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195" yWindow="-30" windowWidth="13095" windowHeight="14835" tabRatio="867" activeTab="4"/>
  </bookViews>
  <sheets>
    <sheet name="Enter" sheetId="114" r:id="rId1"/>
    <sheet name="secs" sheetId="113" r:id="rId2"/>
    <sheet name="Arena" sheetId="112" r:id="rId3"/>
    <sheet name="KDBSF" sheetId="85" r:id="rId4"/>
    <sheet name="PYUMF" sheetId="108" r:id="rId5"/>
    <sheet name="Тараба_TADPF" sheetId="106" r:id="rId6"/>
    <sheet name="Рыбкин_RWVQF_old" sheetId="111" r:id="rId7"/>
    <sheet name="Рыбкин_RWVQF" sheetId="105" r:id="rId8"/>
    <sheet name="Дергачева_DACFF" sheetId="103" r:id="rId9"/>
    <sheet name="Смирнов_XFLQF (2)" sheetId="104" r:id="rId10"/>
    <sheet name="Смирнов_XFLQF" sheetId="102" r:id="rId11"/>
    <sheet name="Кравцов_KDCTF" sheetId="101" r:id="rId12"/>
    <sheet name="Дащинский DADSF" sheetId="100" r:id="rId13"/>
    <sheet name="&lt;Верный_VADZF" sheetId="97" r:id="rId14"/>
    <sheet name="Тюрикова TADFF XGZQF" sheetId="96" r:id="rId15"/>
    <sheet name="&lt;Богданов BBKEF" sheetId="94" r:id="rId16"/>
    <sheet name="Кудряшев KDBEF" sheetId="92" r:id="rId17"/>
    <sheet name="VADYF" sheetId="91" r:id="rId18"/>
    <sheet name="VADTF" sheetId="86" r:id="rId19"/>
    <sheet name="LABKS" sheetId="63" r:id="rId20"/>
    <sheet name="AQLON1" sheetId="65" r:id="rId21"/>
    <sheet name="ELLQF_RUB" sheetId="110" r:id="rId22"/>
    <sheet name="ELLQF_USD" sheetId="109" r:id="rId23"/>
    <sheet name="ELLQF" sheetId="24" r:id="rId24"/>
    <sheet name="INFLE" sheetId="64" r:id="rId25"/>
    <sheet name="madun2" sheetId="34" r:id="rId26"/>
    <sheet name="AANDF" sheetId="84" r:id="rId27"/>
    <sheet name="AKTOS" sheetId="61" r:id="rId28"/>
    <sheet name="BBJSF_BBJUF" sheetId="53" r:id="rId29"/>
    <sheet name="HOQQF" sheetId="88" r:id="rId30"/>
    <sheet name="KDDHF" sheetId="80" r:id="rId31"/>
    <sheet name="OGKQF" sheetId="87" r:id="rId32"/>
    <sheet name="PYUFF" sheetId="79" r:id="rId33"/>
    <sheet name="XFEQF" sheetId="37" r:id="rId34"/>
    <sheet name="XGAQF" sheetId="68" r:id="rId35"/>
    <sheet name="XGKQF" sheetId="83" r:id="rId36"/>
    <sheet name="XGNQF" sheetId="78" r:id="rId37"/>
    <sheet name="STHUF" sheetId="47" r:id="rId38"/>
    <sheet name="VADAF" sheetId="71" r:id="rId39"/>
    <sheet name="FOOQF" sheetId="45" r:id="rId40"/>
    <sheet name="EMIQF" sheetId="81" r:id="rId41"/>
    <sheet name="EMIQF1" sheetId="67" r:id="rId42"/>
    <sheet name="Data" sheetId="72" r:id="rId43"/>
    <sheet name="Table" sheetId="74" r:id="rId44"/>
    <sheet name="Base all $ 3 Duration" sheetId="66" r:id="rId45"/>
    <sheet name="Sheet3" sheetId="77" r:id="rId46"/>
    <sheet name="Model Portfolio" sheetId="98" r:id="rId47"/>
  </sheets>
  <functionGroups builtInGroupCount="17"/>
  <definedNames>
    <definedName name="_xlnm._FilterDatabase" localSheetId="20" hidden="1">AQLON1!$B$38:$R$50</definedName>
    <definedName name="_xlnm._FilterDatabase" localSheetId="44" hidden="1">'Base all $ 3 Duration'!$A$2:$T$159</definedName>
    <definedName name="_xlnm._FilterDatabase" localSheetId="42" hidden="1">Data!$A$1:$AA$325</definedName>
    <definedName name="_xlnm._FilterDatabase" localSheetId="23" hidden="1">ELLQF!$B$77:$R$136</definedName>
    <definedName name="_xlnm._FilterDatabase" localSheetId="46" hidden="1">'Model Portfolio'!$A$1:$AD$1</definedName>
    <definedName name="_xlnm._FilterDatabase" localSheetId="4" hidden="1">PYUMF!#REF!</definedName>
    <definedName name="_xlnm._FilterDatabase" localSheetId="5" hidden="1">Тараба_TADPF!#REF!</definedName>
  </definedNames>
  <calcPr calcId="145621"/>
  <pivotCaches>
    <pivotCache cacheId="2" r:id="rId48"/>
  </pivotCaches>
</workbook>
</file>

<file path=xl/calcChain.xml><?xml version="1.0" encoding="utf-8"?>
<calcChain xmlns="http://schemas.openxmlformats.org/spreadsheetml/2006/main">
  <c r="Q119" i="34" l="1"/>
  <c r="S8" i="105" l="1"/>
  <c r="R8" i="105"/>
  <c r="M8" i="105"/>
  <c r="L8" i="105"/>
  <c r="S7" i="105"/>
  <c r="R7" i="105"/>
  <c r="L7" i="105"/>
  <c r="I69" i="111"/>
  <c r="F69" i="111"/>
  <c r="E6" i="111" s="1"/>
  <c r="J68" i="111"/>
  <c r="J69" i="111" s="1"/>
  <c r="I68" i="111"/>
  <c r="I66" i="111"/>
  <c r="H66" i="111" s="1"/>
  <c r="F8" i="111" s="1"/>
  <c r="F66" i="111"/>
  <c r="I65" i="111"/>
  <c r="J65" i="111" s="1"/>
  <c r="I63" i="111"/>
  <c r="F63" i="111"/>
  <c r="H63" i="111" s="1"/>
  <c r="F11" i="111" s="1"/>
  <c r="I62" i="111"/>
  <c r="F60" i="111"/>
  <c r="E10" i="111" s="1"/>
  <c r="I59" i="111"/>
  <c r="I55" i="111"/>
  <c r="F55" i="111"/>
  <c r="H55" i="111" s="1"/>
  <c r="F9" i="111" s="1"/>
  <c r="I54" i="111"/>
  <c r="I52" i="111"/>
  <c r="H52" i="111" s="1"/>
  <c r="F7" i="111" s="1"/>
  <c r="F52" i="111"/>
  <c r="I51" i="111"/>
  <c r="J51" i="111" s="1"/>
  <c r="I49" i="111"/>
  <c r="F49" i="111"/>
  <c r="H49" i="111" s="1"/>
  <c r="F5" i="111" s="1"/>
  <c r="J48" i="111"/>
  <c r="J49" i="111" s="1"/>
  <c r="I48" i="111"/>
  <c r="I46" i="111"/>
  <c r="H46" i="111" s="1"/>
  <c r="F46" i="111"/>
  <c r="I45" i="111"/>
  <c r="J45" i="111" s="1"/>
  <c r="F43" i="111"/>
  <c r="J42" i="111"/>
  <c r="I42" i="111"/>
  <c r="I41" i="111"/>
  <c r="I43" i="111" s="1"/>
  <c r="I39" i="111"/>
  <c r="F39" i="111"/>
  <c r="I38" i="111"/>
  <c r="J38" i="111" s="1"/>
  <c r="I37" i="111"/>
  <c r="J37" i="111" s="1"/>
  <c r="I35" i="111"/>
  <c r="F35" i="111"/>
  <c r="J34" i="111"/>
  <c r="I34" i="111"/>
  <c r="I32" i="111"/>
  <c r="F32" i="111"/>
  <c r="I31" i="111"/>
  <c r="J31" i="111" s="1"/>
  <c r="I29" i="111"/>
  <c r="F29" i="111"/>
  <c r="J28" i="111"/>
  <c r="I28" i="111"/>
  <c r="M20" i="111"/>
  <c r="K20" i="111"/>
  <c r="J20" i="111"/>
  <c r="N20" i="111" s="1"/>
  <c r="I20" i="111"/>
  <c r="H20" i="111"/>
  <c r="U14" i="111"/>
  <c r="E13" i="111"/>
  <c r="E12" i="111"/>
  <c r="E11" i="111"/>
  <c r="E9" i="111"/>
  <c r="E8" i="111"/>
  <c r="E7" i="111"/>
  <c r="O5" i="111"/>
  <c r="E5" i="111"/>
  <c r="F4" i="111"/>
  <c r="E4" i="111"/>
  <c r="Y8" i="111"/>
  <c r="V7" i="111"/>
  <c r="D28" i="111"/>
  <c r="G9" i="111"/>
  <c r="H10" i="111"/>
  <c r="J7" i="111"/>
  <c r="H57" i="111"/>
  <c r="G1" i="111"/>
  <c r="M59" i="111"/>
  <c r="G6" i="111"/>
  <c r="H5" i="111"/>
  <c r="H11" i="111"/>
  <c r="Y6" i="111"/>
  <c r="P1" i="111"/>
  <c r="L48" i="111"/>
  <c r="V12" i="111"/>
  <c r="G34" i="111"/>
  <c r="X8" i="111"/>
  <c r="H7" i="105"/>
  <c r="G48" i="111"/>
  <c r="J6" i="111"/>
  <c r="G28" i="111"/>
  <c r="Y7" i="105"/>
  <c r="V8" i="105"/>
  <c r="V10" i="111"/>
  <c r="M42" i="111"/>
  <c r="L37" i="111"/>
  <c r="F2" i="111"/>
  <c r="W8" i="111"/>
  <c r="T7" i="111"/>
  <c r="R20" i="111"/>
  <c r="K4" i="111"/>
  <c r="G4" i="105"/>
  <c r="W10" i="111"/>
  <c r="G65" i="111"/>
  <c r="T4" i="111"/>
  <c r="G11" i="111"/>
  <c r="K10" i="111"/>
  <c r="W9" i="111"/>
  <c r="J8" i="111"/>
  <c r="V13" i="111"/>
  <c r="X9" i="111"/>
  <c r="O20" i="111"/>
  <c r="B12" i="111"/>
  <c r="G7" i="105"/>
  <c r="L54" i="111"/>
  <c r="G8" i="111"/>
  <c r="I1" i="111"/>
  <c r="T12" i="111"/>
  <c r="T7" i="105"/>
  <c r="H58" i="111"/>
  <c r="V6" i="111"/>
  <c r="U13" i="111"/>
  <c r="G38" i="111"/>
  <c r="X10" i="111"/>
  <c r="G42" i="111"/>
  <c r="W8" i="105"/>
  <c r="H8" i="105"/>
  <c r="G54" i="111"/>
  <c r="K5" i="111"/>
  <c r="G59" i="111"/>
  <c r="W13" i="111"/>
  <c r="G57" i="111"/>
  <c r="X5" i="111"/>
  <c r="D51" i="111"/>
  <c r="T5" i="111"/>
  <c r="V8" i="111"/>
  <c r="M65" i="111"/>
  <c r="M45" i="111"/>
  <c r="V5" i="111"/>
  <c r="L51" i="111"/>
  <c r="D54" i="111"/>
  <c r="G8" i="105"/>
  <c r="L65" i="111"/>
  <c r="T11" i="111"/>
  <c r="M48" i="111"/>
  <c r="J9" i="111"/>
  <c r="G13" i="111"/>
  <c r="D58" i="111"/>
  <c r="M28" i="111"/>
  <c r="Y10" i="111"/>
  <c r="D41" i="111"/>
  <c r="L31" i="111"/>
  <c r="M62" i="111"/>
  <c r="K7" i="111"/>
  <c r="B13" i="111"/>
  <c r="G5" i="111"/>
  <c r="K8" i="111"/>
  <c r="L59" i="111"/>
  <c r="Y11" i="111"/>
  <c r="J10" i="111"/>
  <c r="M68" i="111"/>
  <c r="J11" i="111"/>
  <c r="W12" i="111"/>
  <c r="G10" i="111"/>
  <c r="M41" i="111"/>
  <c r="Y7" i="111"/>
  <c r="G68" i="111"/>
  <c r="L62" i="111"/>
  <c r="Y9" i="111"/>
  <c r="D65" i="111"/>
  <c r="L58" i="111"/>
  <c r="D38" i="111"/>
  <c r="X7" i="105"/>
  <c r="V4" i="111"/>
  <c r="D68" i="111"/>
  <c r="K13" i="111"/>
  <c r="L45" i="111"/>
  <c r="G37" i="111"/>
  <c r="V7" i="105"/>
  <c r="G12" i="111"/>
  <c r="D34" i="111"/>
  <c r="D42" i="111"/>
  <c r="K8" i="105"/>
  <c r="M37" i="111"/>
  <c r="W6" i="111"/>
  <c r="X8" i="105"/>
  <c r="K7" i="105"/>
  <c r="X11" i="111"/>
  <c r="M38" i="111"/>
  <c r="G41" i="111"/>
  <c r="Y5" i="111"/>
  <c r="D62" i="111"/>
  <c r="G4" i="111"/>
  <c r="Y8" i="105"/>
  <c r="K9" i="111"/>
  <c r="T6" i="111"/>
  <c r="K1" i="111"/>
  <c r="J7" i="105"/>
  <c r="X6" i="111"/>
  <c r="W7" i="105"/>
  <c r="H4" i="111"/>
  <c r="T9" i="111"/>
  <c r="L41" i="111"/>
  <c r="K6" i="111"/>
  <c r="Y4" i="111"/>
  <c r="M57" i="111"/>
  <c r="G7" i="111"/>
  <c r="G58" i="111"/>
  <c r="H9" i="111"/>
  <c r="H7" i="111"/>
  <c r="V11" i="111"/>
  <c r="L68" i="111"/>
  <c r="E20" i="111"/>
  <c r="G62" i="111"/>
  <c r="K11" i="111"/>
  <c r="D37" i="111"/>
  <c r="T10" i="111"/>
  <c r="L38" i="111"/>
  <c r="T13" i="111"/>
  <c r="J8" i="105"/>
  <c r="D59" i="111"/>
  <c r="G51" i="111"/>
  <c r="G45" i="111"/>
  <c r="X7" i="111"/>
  <c r="M54" i="111"/>
  <c r="M58" i="111"/>
  <c r="D57" i="111"/>
  <c r="V9" i="111"/>
  <c r="L42" i="111"/>
  <c r="T8" i="105"/>
  <c r="W11" i="111"/>
  <c r="W5" i="111"/>
  <c r="W4" i="111"/>
  <c r="T8" i="111"/>
  <c r="J4" i="111"/>
  <c r="X4" i="111"/>
  <c r="G31" i="111"/>
  <c r="L34" i="111"/>
  <c r="M51" i="111"/>
  <c r="L28" i="111"/>
  <c r="J5" i="111"/>
  <c r="W7" i="111"/>
  <c r="H2" i="111"/>
  <c r="K12" i="111"/>
  <c r="L57" i="111"/>
  <c r="D31" i="111"/>
  <c r="H6" i="111"/>
  <c r="D48" i="111"/>
  <c r="M31" i="111"/>
  <c r="D45" i="111"/>
  <c r="M34" i="111"/>
  <c r="H8" i="111"/>
  <c r="I8" i="105" l="1"/>
  <c r="P9" i="111"/>
  <c r="J54" i="111"/>
  <c r="J62" i="111"/>
  <c r="M5" i="111"/>
  <c r="P5" i="111"/>
  <c r="M7" i="105"/>
  <c r="I9" i="111"/>
  <c r="I6" i="111"/>
  <c r="I10" i="111"/>
  <c r="I5" i="111"/>
  <c r="I57" i="111"/>
  <c r="I4" i="111"/>
  <c r="I8" i="111"/>
  <c r="M12" i="111"/>
  <c r="M8" i="111"/>
  <c r="M7" i="111"/>
  <c r="L11" i="111"/>
  <c r="I58" i="111"/>
  <c r="J58" i="111" s="1"/>
  <c r="K58" i="111" s="1"/>
  <c r="I7" i="105"/>
  <c r="M4" i="111"/>
  <c r="S20" i="111"/>
  <c r="I7" i="111"/>
  <c r="I11" i="111"/>
  <c r="M13" i="111"/>
  <c r="P12" i="111"/>
  <c r="O4" i="111"/>
  <c r="P4" i="111"/>
  <c r="P20" i="111"/>
  <c r="P21" i="111" s="1"/>
  <c r="P11" i="111"/>
  <c r="K31" i="111"/>
  <c r="K32" i="111" s="1"/>
  <c r="J32" i="111"/>
  <c r="H32" i="111" s="1"/>
  <c r="K37" i="111"/>
  <c r="K39" i="111" s="1"/>
  <c r="N12" i="111" s="1"/>
  <c r="J39" i="111"/>
  <c r="H39" i="111" s="1"/>
  <c r="F12" i="111" s="1"/>
  <c r="O12" i="111" s="1"/>
  <c r="J59" i="111"/>
  <c r="K59" i="111" s="1"/>
  <c r="K65" i="111"/>
  <c r="K66" i="111" s="1"/>
  <c r="N8" i="111" s="1"/>
  <c r="J66" i="111"/>
  <c r="K42" i="111"/>
  <c r="P10" i="111"/>
  <c r="K38" i="111"/>
  <c r="P7" i="111"/>
  <c r="K28" i="111"/>
  <c r="K29" i="111" s="1"/>
  <c r="J29" i="111"/>
  <c r="H29" i="111" s="1"/>
  <c r="J46" i="111"/>
  <c r="K45" i="111"/>
  <c r="K46" i="111" s="1"/>
  <c r="N4" i="111" s="1"/>
  <c r="N15" i="111" s="1"/>
  <c r="P8" i="111"/>
  <c r="O8" i="111"/>
  <c r="K51" i="111"/>
  <c r="K52" i="111" s="1"/>
  <c r="N7" i="111" s="1"/>
  <c r="J52" i="111"/>
  <c r="P6" i="111"/>
  <c r="P13" i="111"/>
  <c r="K34" i="111"/>
  <c r="K35" i="111" s="1"/>
  <c r="N13" i="111" s="1"/>
  <c r="J35" i="111"/>
  <c r="H35" i="111" s="1"/>
  <c r="F13" i="111" s="1"/>
  <c r="O13" i="111" s="1"/>
  <c r="J41" i="111"/>
  <c r="K48" i="111"/>
  <c r="K49" i="111" s="1"/>
  <c r="N5" i="111" s="1"/>
  <c r="K68" i="111"/>
  <c r="K69" i="111" s="1"/>
  <c r="N6" i="111" s="1"/>
  <c r="N11" i="111"/>
  <c r="H69" i="111"/>
  <c r="F6" i="111" s="1"/>
  <c r="M6" i="111" s="1"/>
  <c r="O7" i="111"/>
  <c r="M32" i="24"/>
  <c r="M12" i="24"/>
  <c r="AE43" i="24"/>
  <c r="AE42" i="24"/>
  <c r="AE65" i="24"/>
  <c r="G69" i="24"/>
  <c r="AE47" i="24"/>
  <c r="AE45" i="24"/>
  <c r="G10" i="24"/>
  <c r="AE46" i="24"/>
  <c r="AE56" i="24"/>
  <c r="AE36" i="24"/>
  <c r="AE11" i="24"/>
  <c r="AE34" i="24"/>
  <c r="AE7" i="24"/>
  <c r="G23" i="24"/>
  <c r="G53" i="24"/>
  <c r="G6" i="24"/>
  <c r="AE22" i="24"/>
  <c r="G37" i="24"/>
  <c r="G24" i="24"/>
  <c r="AE15" i="24"/>
  <c r="G41" i="24"/>
  <c r="AE13" i="24"/>
  <c r="G38" i="24"/>
  <c r="G19" i="24"/>
  <c r="AE67" i="24"/>
  <c r="G14" i="24"/>
  <c r="AE69" i="24"/>
  <c r="AE8" i="24"/>
  <c r="G36" i="24"/>
  <c r="AE59" i="24"/>
  <c r="AE57" i="24"/>
  <c r="AE25" i="24"/>
  <c r="G13" i="24"/>
  <c r="AE44" i="24"/>
  <c r="G60" i="24"/>
  <c r="AE28" i="24"/>
  <c r="G29" i="24"/>
  <c r="G45" i="24"/>
  <c r="G16" i="24"/>
  <c r="G17" i="24"/>
  <c r="G67" i="24"/>
  <c r="G48" i="24"/>
  <c r="G18" i="24"/>
  <c r="AE6" i="24"/>
  <c r="G70" i="24"/>
  <c r="AE24" i="24"/>
  <c r="AE10" i="24"/>
  <c r="G20" i="24"/>
  <c r="AE62" i="24"/>
  <c r="G47" i="24"/>
  <c r="G57" i="24"/>
  <c r="AE49" i="24"/>
  <c r="G12" i="24"/>
  <c r="G39" i="24"/>
  <c r="G31" i="24"/>
  <c r="AE16" i="24"/>
  <c r="G56" i="24"/>
  <c r="G25" i="24"/>
  <c r="AE27" i="24"/>
  <c r="G49" i="24"/>
  <c r="G58" i="24"/>
  <c r="G33" i="24"/>
  <c r="G61" i="24"/>
  <c r="AE33" i="24"/>
  <c r="G52" i="24"/>
  <c r="AE58" i="24"/>
  <c r="G62" i="24"/>
  <c r="AE41" i="24"/>
  <c r="G34" i="24"/>
  <c r="G28" i="24"/>
  <c r="G30" i="24"/>
  <c r="AE21" i="24"/>
  <c r="G64" i="24"/>
  <c r="G51" i="24"/>
  <c r="AE4" i="24"/>
  <c r="AE20" i="24"/>
  <c r="AE40" i="24"/>
  <c r="G46" i="24"/>
  <c r="AE30" i="24"/>
  <c r="AE48" i="24"/>
  <c r="AE63" i="24"/>
  <c r="G55" i="24"/>
  <c r="AE53" i="24"/>
  <c r="G65" i="24"/>
  <c r="G5" i="24"/>
  <c r="AE32" i="24"/>
  <c r="AE64" i="24"/>
  <c r="AE66" i="24"/>
  <c r="G66" i="24"/>
  <c r="G42" i="24"/>
  <c r="AE18" i="24"/>
  <c r="AE50" i="24"/>
  <c r="AE26" i="24"/>
  <c r="G11" i="24"/>
  <c r="G32" i="24"/>
  <c r="AE61" i="24"/>
  <c r="AE29" i="24"/>
  <c r="AE52" i="24"/>
  <c r="AE19" i="24"/>
  <c r="U12" i="111"/>
  <c r="G27" i="24"/>
  <c r="G22" i="24"/>
  <c r="G9" i="24"/>
  <c r="G15" i="24"/>
  <c r="G44" i="24"/>
  <c r="AE9" i="24"/>
  <c r="AE5" i="24"/>
  <c r="G50" i="24"/>
  <c r="AE68" i="24"/>
  <c r="G26" i="24"/>
  <c r="AE60" i="24"/>
  <c r="AE54" i="24"/>
  <c r="AE55" i="24"/>
  <c r="AE39" i="24"/>
  <c r="AE23" i="24"/>
  <c r="G21" i="24"/>
  <c r="AE51" i="24"/>
  <c r="G54" i="24"/>
  <c r="AE31" i="24"/>
  <c r="G63" i="24"/>
  <c r="AE12" i="24"/>
  <c r="G8" i="24"/>
  <c r="G35" i="24"/>
  <c r="G4" i="24"/>
  <c r="AE14" i="24"/>
  <c r="AE35" i="24"/>
  <c r="G59" i="24"/>
  <c r="G40" i="24"/>
  <c r="AE37" i="24"/>
  <c r="AE17" i="24"/>
  <c r="G68" i="24"/>
  <c r="G7" i="24"/>
  <c r="G43" i="24"/>
  <c r="AE70" i="24"/>
  <c r="AE38" i="24"/>
  <c r="L5" i="111" l="1"/>
  <c r="Q5" i="111"/>
  <c r="R5" i="111"/>
  <c r="O6" i="111"/>
  <c r="Q10" i="111"/>
  <c r="R8" i="111"/>
  <c r="Q8" i="111"/>
  <c r="L8" i="111"/>
  <c r="R11" i="111"/>
  <c r="Q11" i="111"/>
  <c r="R6" i="111"/>
  <c r="L6" i="111"/>
  <c r="Q6" i="111"/>
  <c r="L12" i="111"/>
  <c r="R12" i="111"/>
  <c r="Q12" i="111"/>
  <c r="J55" i="111"/>
  <c r="O9" i="111" s="1"/>
  <c r="O15" i="111" s="1"/>
  <c r="K54" i="111"/>
  <c r="K55" i="111" s="1"/>
  <c r="N9" i="111" s="1"/>
  <c r="L9" i="111" s="1"/>
  <c r="J57" i="111"/>
  <c r="I60" i="111"/>
  <c r="H60" i="111" s="1"/>
  <c r="F10" i="111" s="1"/>
  <c r="R7" i="111"/>
  <c r="Q7" i="111"/>
  <c r="L7" i="111"/>
  <c r="Q9" i="111"/>
  <c r="R13" i="111"/>
  <c r="Q13" i="111"/>
  <c r="L13" i="111"/>
  <c r="R4" i="111"/>
  <c r="R15" i="111" s="1"/>
  <c r="Q4" i="111"/>
  <c r="P15" i="111"/>
  <c r="L4" i="111"/>
  <c r="J63" i="111"/>
  <c r="O11" i="111" s="1"/>
  <c r="K62" i="111"/>
  <c r="K63" i="111" s="1"/>
  <c r="J43" i="111"/>
  <c r="H43" i="111" s="1"/>
  <c r="K41" i="111"/>
  <c r="K43" i="111" s="1"/>
  <c r="R5" i="24"/>
  <c r="S5" i="24"/>
  <c r="R6" i="24"/>
  <c r="S6" i="24"/>
  <c r="R7" i="24"/>
  <c r="S7" i="24"/>
  <c r="R8" i="24"/>
  <c r="S8" i="24"/>
  <c r="R9" i="24"/>
  <c r="S9" i="24"/>
  <c r="R10" i="24"/>
  <c r="S10" i="24"/>
  <c r="R11" i="24"/>
  <c r="S11" i="24"/>
  <c r="R12" i="24"/>
  <c r="S12" i="24"/>
  <c r="R13" i="24"/>
  <c r="S13" i="24"/>
  <c r="R14" i="24"/>
  <c r="S14" i="24"/>
  <c r="R15" i="24"/>
  <c r="S15" i="24"/>
  <c r="R16" i="24"/>
  <c r="S16" i="24"/>
  <c r="R17" i="24"/>
  <c r="S17" i="24"/>
  <c r="R18" i="24"/>
  <c r="S18" i="24"/>
  <c r="R19" i="24"/>
  <c r="S19" i="24"/>
  <c r="R20" i="24"/>
  <c r="S20" i="24"/>
  <c r="R21" i="24"/>
  <c r="S21" i="24"/>
  <c r="R22" i="24"/>
  <c r="S22" i="24"/>
  <c r="R23" i="24"/>
  <c r="S23" i="24"/>
  <c r="R24" i="24"/>
  <c r="S24" i="24"/>
  <c r="R25" i="24"/>
  <c r="S25" i="24"/>
  <c r="R26" i="24"/>
  <c r="S26" i="24"/>
  <c r="R27" i="24"/>
  <c r="S27" i="24"/>
  <c r="R28" i="24"/>
  <c r="S28" i="24"/>
  <c r="R29" i="24"/>
  <c r="S29" i="24"/>
  <c r="R30" i="24"/>
  <c r="S30" i="24"/>
  <c r="R31" i="24"/>
  <c r="S31" i="24"/>
  <c r="R32" i="24"/>
  <c r="S32" i="24"/>
  <c r="R33" i="24"/>
  <c r="S33" i="24"/>
  <c r="R34" i="24"/>
  <c r="S34" i="24"/>
  <c r="R35" i="24"/>
  <c r="S35" i="24"/>
  <c r="R36" i="24"/>
  <c r="S36" i="24"/>
  <c r="R37" i="24"/>
  <c r="S37" i="24"/>
  <c r="R38" i="24"/>
  <c r="S38" i="24"/>
  <c r="R39" i="24"/>
  <c r="S39" i="24"/>
  <c r="R40" i="24"/>
  <c r="S40" i="24"/>
  <c r="R41" i="24"/>
  <c r="S41" i="24"/>
  <c r="R42" i="24"/>
  <c r="S42" i="24"/>
  <c r="R43" i="24"/>
  <c r="S43" i="24"/>
  <c r="R44" i="24"/>
  <c r="S44" i="24"/>
  <c r="R45" i="24"/>
  <c r="S45" i="24"/>
  <c r="R46" i="24"/>
  <c r="S46" i="24"/>
  <c r="R47" i="24"/>
  <c r="S47" i="24"/>
  <c r="R48" i="24"/>
  <c r="S48" i="24"/>
  <c r="R49" i="24"/>
  <c r="S49" i="24"/>
  <c r="R50" i="24"/>
  <c r="S50" i="24"/>
  <c r="R51" i="24"/>
  <c r="S51" i="24"/>
  <c r="R52" i="24"/>
  <c r="S52" i="24"/>
  <c r="R53" i="24"/>
  <c r="S53" i="24"/>
  <c r="R54" i="24"/>
  <c r="S54" i="24"/>
  <c r="R55" i="24"/>
  <c r="S55" i="24"/>
  <c r="R56" i="24"/>
  <c r="S56" i="24"/>
  <c r="R57" i="24"/>
  <c r="S57" i="24"/>
  <c r="R58" i="24"/>
  <c r="S58" i="24"/>
  <c r="R59" i="24"/>
  <c r="S59" i="24"/>
  <c r="R60" i="24"/>
  <c r="S60" i="24"/>
  <c r="R61" i="24"/>
  <c r="S61" i="24"/>
  <c r="R62" i="24"/>
  <c r="S62" i="24"/>
  <c r="R63" i="24"/>
  <c r="S63" i="24"/>
  <c r="R64" i="24"/>
  <c r="S64" i="24"/>
  <c r="R65" i="24"/>
  <c r="S65" i="24"/>
  <c r="R66" i="24"/>
  <c r="S66" i="24"/>
  <c r="R67" i="24"/>
  <c r="S67" i="24"/>
  <c r="R68" i="24"/>
  <c r="S68" i="24"/>
  <c r="R69" i="24"/>
  <c r="S69" i="24"/>
  <c r="R70" i="24"/>
  <c r="S70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12" i="24"/>
  <c r="L11" i="24"/>
  <c r="L10" i="24"/>
  <c r="L9" i="24"/>
  <c r="L8" i="24"/>
  <c r="L7" i="24"/>
  <c r="L6" i="24"/>
  <c r="L5" i="24"/>
  <c r="L4" i="24"/>
  <c r="M70" i="24"/>
  <c r="M69" i="24"/>
  <c r="M68" i="24"/>
  <c r="M67" i="24"/>
  <c r="M66" i="24"/>
  <c r="M65" i="24"/>
  <c r="M64" i="24"/>
  <c r="M63" i="24"/>
  <c r="M62" i="24"/>
  <c r="M61" i="24"/>
  <c r="M60" i="24"/>
  <c r="M59" i="24"/>
  <c r="M58" i="24"/>
  <c r="M57" i="24"/>
  <c r="M56" i="24"/>
  <c r="M55" i="24"/>
  <c r="M54" i="24"/>
  <c r="M53" i="24"/>
  <c r="M52" i="24"/>
  <c r="M51" i="24"/>
  <c r="M50" i="24"/>
  <c r="M49" i="24"/>
  <c r="M48" i="24"/>
  <c r="M47" i="24"/>
  <c r="M46" i="24"/>
  <c r="M45" i="24"/>
  <c r="M44" i="24"/>
  <c r="M43" i="24"/>
  <c r="M42" i="24"/>
  <c r="M41" i="24"/>
  <c r="M40" i="24"/>
  <c r="M39" i="24"/>
  <c r="M38" i="24"/>
  <c r="M37" i="24"/>
  <c r="M36" i="24"/>
  <c r="M35" i="24"/>
  <c r="M34" i="24"/>
  <c r="M33" i="24"/>
  <c r="M31" i="24"/>
  <c r="M30" i="24"/>
  <c r="M29" i="24"/>
  <c r="M28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1" i="24"/>
  <c r="M10" i="24"/>
  <c r="M9" i="24"/>
  <c r="M8" i="24"/>
  <c r="M7" i="24"/>
  <c r="M6" i="24"/>
  <c r="M5" i="24"/>
  <c r="M4" i="24"/>
  <c r="M27" i="24"/>
  <c r="L27" i="24"/>
  <c r="Z46" i="24"/>
  <c r="Z67" i="24"/>
  <c r="Y26" i="24"/>
  <c r="Z42" i="24"/>
  <c r="Z66" i="24"/>
  <c r="Z60" i="24"/>
  <c r="Z65" i="24"/>
  <c r="Y48" i="24"/>
  <c r="Y40" i="24"/>
  <c r="Y62" i="24"/>
  <c r="Z31" i="24"/>
  <c r="Z22" i="24"/>
  <c r="Y21" i="24"/>
  <c r="Y17" i="24"/>
  <c r="Z44" i="24"/>
  <c r="Z55" i="24"/>
  <c r="Y56" i="24"/>
  <c r="Z19" i="24"/>
  <c r="Z56" i="24"/>
  <c r="Y37" i="24"/>
  <c r="Y18" i="24"/>
  <c r="Y24" i="24"/>
  <c r="Z10" i="24"/>
  <c r="Z41" i="24"/>
  <c r="Y66" i="24"/>
  <c r="Z29" i="24"/>
  <c r="Z4" i="24"/>
  <c r="Z7" i="24"/>
  <c r="Z30" i="24"/>
  <c r="Z57" i="24"/>
  <c r="Z20" i="24"/>
  <c r="Y5" i="24"/>
  <c r="Z9" i="24"/>
  <c r="Y44" i="24"/>
  <c r="Y52" i="24"/>
  <c r="Z38" i="24"/>
  <c r="Y11" i="24"/>
  <c r="Z24" i="24"/>
  <c r="Z25" i="24"/>
  <c r="Y16" i="24"/>
  <c r="Z50" i="24"/>
  <c r="Z48" i="24"/>
  <c r="Z16" i="24"/>
  <c r="Y25" i="24"/>
  <c r="Y38" i="24"/>
  <c r="Z34" i="24"/>
  <c r="Y8" i="24"/>
  <c r="Z61" i="24"/>
  <c r="Z53" i="24"/>
  <c r="Y51" i="24"/>
  <c r="Y58" i="24"/>
  <c r="Y7" i="24"/>
  <c r="Y9" i="24"/>
  <c r="K22" i="24"/>
  <c r="Z64" i="24"/>
  <c r="Y36" i="24"/>
  <c r="Y55" i="24"/>
  <c r="Z12" i="24"/>
  <c r="Z51" i="24"/>
  <c r="Z8" i="24"/>
  <c r="Y10" i="24"/>
  <c r="Y42" i="24"/>
  <c r="Z70" i="24"/>
  <c r="Z33" i="24"/>
  <c r="Y49" i="24"/>
  <c r="Y12" i="24"/>
  <c r="Y46" i="24"/>
  <c r="Y34" i="24"/>
  <c r="Y53" i="24"/>
  <c r="Z40" i="24"/>
  <c r="Z54" i="24"/>
  <c r="Z43" i="24"/>
  <c r="Y54" i="24"/>
  <c r="Y22" i="24"/>
  <c r="Z11" i="24"/>
  <c r="Y59" i="24"/>
  <c r="Z14" i="24"/>
  <c r="Y20" i="24"/>
  <c r="Y27" i="24"/>
  <c r="Y23" i="24"/>
  <c r="Z47" i="24"/>
  <c r="Y60" i="24"/>
  <c r="Y31" i="24"/>
  <c r="Z5" i="24"/>
  <c r="Y29" i="24"/>
  <c r="Y13" i="24"/>
  <c r="Y4" i="24"/>
  <c r="Y64" i="24"/>
  <c r="Z28" i="24"/>
  <c r="Z21" i="24"/>
  <c r="Y32" i="24"/>
  <c r="Z27" i="24"/>
  <c r="Z23" i="24"/>
  <c r="Z17" i="24"/>
  <c r="Y6" i="24"/>
  <c r="Y43" i="24"/>
  <c r="Y14" i="24"/>
  <c r="Z49" i="24"/>
  <c r="Y39" i="24"/>
  <c r="Z26" i="24"/>
  <c r="Y45" i="24"/>
  <c r="Y47" i="24"/>
  <c r="Y63" i="24"/>
  <c r="Y15" i="24"/>
  <c r="Z58" i="24"/>
  <c r="Z45" i="24"/>
  <c r="Y70" i="24"/>
  <c r="Y28" i="24"/>
  <c r="Z68" i="24"/>
  <c r="Z39" i="24"/>
  <c r="Y57" i="24"/>
  <c r="Y41" i="24"/>
  <c r="Y67" i="24"/>
  <c r="Z52" i="24"/>
  <c r="Z15" i="24"/>
  <c r="Y50" i="24"/>
  <c r="Z69" i="24"/>
  <c r="Z62" i="24"/>
  <c r="Z36" i="24"/>
  <c r="Y65" i="24"/>
  <c r="Z59" i="24"/>
  <c r="Z63" i="24"/>
  <c r="Y35" i="24"/>
  <c r="Z13" i="24"/>
  <c r="Z37" i="24"/>
  <c r="Z18" i="24"/>
  <c r="Y19" i="24"/>
  <c r="Y33" i="24"/>
  <c r="Y30" i="24"/>
  <c r="Y61" i="24"/>
  <c r="Y69" i="24"/>
  <c r="Y68" i="24"/>
  <c r="Z6" i="24"/>
  <c r="Z35" i="24"/>
  <c r="Z32" i="24"/>
  <c r="U7" i="111" l="1"/>
  <c r="S7" i="111"/>
  <c r="U6" i="111"/>
  <c r="S6" i="111"/>
  <c r="U10" i="111"/>
  <c r="S13" i="111"/>
  <c r="R9" i="111"/>
  <c r="S9" i="111"/>
  <c r="U9" i="111"/>
  <c r="M9" i="111"/>
  <c r="S12" i="111"/>
  <c r="S5" i="111"/>
  <c r="U5" i="111"/>
  <c r="K57" i="111"/>
  <c r="K60" i="111" s="1"/>
  <c r="N10" i="111" s="1"/>
  <c r="J60" i="111"/>
  <c r="O10" i="111" s="1"/>
  <c r="M10" i="111" s="1"/>
  <c r="M11" i="111"/>
  <c r="U11" i="111"/>
  <c r="S11" i="111"/>
  <c r="Q15" i="111"/>
  <c r="D14" i="111" s="1"/>
  <c r="S4" i="111"/>
  <c r="U4" i="111"/>
  <c r="S8" i="111"/>
  <c r="U8" i="111"/>
  <c r="J51" i="24"/>
  <c r="J30" i="24"/>
  <c r="J11" i="24"/>
  <c r="J10" i="24"/>
  <c r="J65" i="24"/>
  <c r="J56" i="24"/>
  <c r="J55" i="24"/>
  <c r="J45" i="24"/>
  <c r="J4" i="24"/>
  <c r="J31" i="24"/>
  <c r="J21" i="24"/>
  <c r="J32" i="24"/>
  <c r="J34" i="24"/>
  <c r="J52" i="24"/>
  <c r="J64" i="24"/>
  <c r="T4" i="24"/>
  <c r="J12" i="24"/>
  <c r="J54" i="24"/>
  <c r="J44" i="24"/>
  <c r="J25" i="24"/>
  <c r="J40" i="24"/>
  <c r="J24" i="24"/>
  <c r="J18" i="24"/>
  <c r="J35" i="24"/>
  <c r="J15" i="24"/>
  <c r="J14" i="24"/>
  <c r="J5" i="24"/>
  <c r="J41" i="24"/>
  <c r="J28" i="24"/>
  <c r="J27" i="24"/>
  <c r="J8" i="24"/>
  <c r="J7" i="24"/>
  <c r="J70" i="24"/>
  <c r="J6" i="24"/>
  <c r="J61" i="24"/>
  <c r="J50" i="24"/>
  <c r="J43" i="24"/>
  <c r="J23" i="24"/>
  <c r="J22" i="24"/>
  <c r="J13" i="24"/>
  <c r="J36" i="24"/>
  <c r="J48" i="24"/>
  <c r="J16" i="24"/>
  <c r="J69" i="24"/>
  <c r="J17" i="24"/>
  <c r="J20" i="24"/>
  <c r="J19" i="24"/>
  <c r="J63" i="24"/>
  <c r="J42" i="24"/>
  <c r="J62" i="24"/>
  <c r="J66" i="24"/>
  <c r="J53" i="24"/>
  <c r="J68" i="24"/>
  <c r="J67" i="24"/>
  <c r="J58" i="24"/>
  <c r="J47" i="24"/>
  <c r="J57" i="24"/>
  <c r="J46" i="24"/>
  <c r="J49" i="24"/>
  <c r="J37" i="24"/>
  <c r="J60" i="24"/>
  <c r="J59" i="24"/>
  <c r="J26" i="24"/>
  <c r="J39" i="24"/>
  <c r="J33" i="24"/>
  <c r="J38" i="24"/>
  <c r="J9" i="24"/>
  <c r="J29" i="24"/>
  <c r="T50" i="24"/>
  <c r="T18" i="24"/>
  <c r="T65" i="24"/>
  <c r="T25" i="24"/>
  <c r="T68" i="24"/>
  <c r="T60" i="24"/>
  <c r="T52" i="24"/>
  <c r="T44" i="24"/>
  <c r="T36" i="24"/>
  <c r="T28" i="24"/>
  <c r="T20" i="24"/>
  <c r="T12" i="24"/>
  <c r="T67" i="24"/>
  <c r="T59" i="24"/>
  <c r="T51" i="24"/>
  <c r="T43" i="24"/>
  <c r="T35" i="24"/>
  <c r="T27" i="24"/>
  <c r="T19" i="24"/>
  <c r="T11" i="24"/>
  <c r="T66" i="24"/>
  <c r="T26" i="24"/>
  <c r="T41" i="24"/>
  <c r="T17" i="24"/>
  <c r="T64" i="24"/>
  <c r="T24" i="24"/>
  <c r="T55" i="24"/>
  <c r="T47" i="24"/>
  <c r="T39" i="24"/>
  <c r="T31" i="24"/>
  <c r="T23" i="24"/>
  <c r="T15" i="24"/>
  <c r="T7" i="24"/>
  <c r="T58" i="24"/>
  <c r="T10" i="24"/>
  <c r="T49" i="24"/>
  <c r="T9" i="24"/>
  <c r="T48" i="24"/>
  <c r="T32" i="24"/>
  <c r="T16" i="24"/>
  <c r="T63" i="24"/>
  <c r="T70" i="24"/>
  <c r="T62" i="24"/>
  <c r="T54" i="24"/>
  <c r="T46" i="24"/>
  <c r="T38" i="24"/>
  <c r="T30" i="24"/>
  <c r="T22" i="24"/>
  <c r="T14" i="24"/>
  <c r="T6" i="24"/>
  <c r="T42" i="24"/>
  <c r="T34" i="24"/>
  <c r="T57" i="24"/>
  <c r="T33" i="24"/>
  <c r="T56" i="24"/>
  <c r="T40" i="24"/>
  <c r="T8" i="24"/>
  <c r="T69" i="24"/>
  <c r="T61" i="24"/>
  <c r="T53" i="24"/>
  <c r="T45" i="24"/>
  <c r="T37" i="24"/>
  <c r="T29" i="24"/>
  <c r="T21" i="24"/>
  <c r="T13" i="24"/>
  <c r="T5" i="24"/>
  <c r="R18" i="109"/>
  <c r="R14" i="109"/>
  <c r="S10" i="111" l="1"/>
  <c r="S15" i="111"/>
  <c r="U15" i="111"/>
  <c r="D6" i="111"/>
  <c r="D5" i="111"/>
  <c r="D12" i="111"/>
  <c r="D7" i="111"/>
  <c r="R10" i="111"/>
  <c r="L10" i="111"/>
  <c r="D13" i="111"/>
  <c r="D4" i="111"/>
  <c r="D9" i="111"/>
  <c r="D15" i="111" s="1"/>
  <c r="D11" i="111"/>
  <c r="D8" i="111"/>
  <c r="D10" i="111"/>
  <c r="M39" i="53"/>
  <c r="J39" i="53"/>
  <c r="N39" i="53" s="1"/>
  <c r="I39" i="53"/>
  <c r="H39" i="53"/>
  <c r="M33" i="53"/>
  <c r="J33" i="53"/>
  <c r="I33" i="53"/>
  <c r="H33" i="53"/>
  <c r="F87" i="53"/>
  <c r="M38" i="53"/>
  <c r="J38" i="53"/>
  <c r="I38" i="53"/>
  <c r="H38" i="53"/>
  <c r="R39" i="53"/>
  <c r="R33" i="53"/>
  <c r="R38" i="53"/>
  <c r="T15" i="111" l="1"/>
  <c r="L15" i="111"/>
  <c r="I15" i="111"/>
  <c r="M15" i="111"/>
  <c r="P39" i="53"/>
  <c r="N33" i="53"/>
  <c r="P33" i="53" s="1"/>
  <c r="N38" i="53"/>
  <c r="P38" i="53" s="1"/>
  <c r="F102" i="53"/>
  <c r="E3" i="53" s="1"/>
  <c r="F111" i="53" l="1"/>
  <c r="E4" i="53" s="1"/>
  <c r="F94" i="53"/>
  <c r="E6" i="53" s="1"/>
  <c r="F70" i="53"/>
  <c r="E8" i="53"/>
  <c r="F85" i="53"/>
  <c r="E7" i="53"/>
  <c r="F62" i="53"/>
  <c r="E5" i="53" s="1"/>
  <c r="F56" i="53"/>
  <c r="F81" i="53"/>
  <c r="F77" i="53"/>
  <c r="E9" i="53"/>
  <c r="F90" i="53"/>
  <c r="E11" i="53" s="1"/>
  <c r="F66" i="53"/>
  <c r="E10" i="53" s="1"/>
  <c r="F98" i="53"/>
  <c r="E12" i="53"/>
  <c r="F104" i="53"/>
  <c r="F107" i="53" s="1"/>
  <c r="E13" i="53" s="1"/>
  <c r="F59" i="53"/>
  <c r="E15" i="53" s="1"/>
  <c r="F50" i="53"/>
  <c r="E14" i="53"/>
  <c r="F114" i="53"/>
  <c r="E16" i="53" s="1"/>
  <c r="F53" i="53"/>
  <c r="E17" i="53" s="1"/>
  <c r="I100" i="53"/>
  <c r="I101" i="53"/>
  <c r="I102" i="53"/>
  <c r="H102" i="53" s="1"/>
  <c r="F3" i="53" s="1"/>
  <c r="N3" i="53"/>
  <c r="W65" i="24"/>
  <c r="K56" i="24"/>
  <c r="K54" i="24"/>
  <c r="K14" i="24"/>
  <c r="W28" i="24"/>
  <c r="X22" i="24"/>
  <c r="X49" i="24"/>
  <c r="X36" i="24"/>
  <c r="V34" i="24"/>
  <c r="W60" i="24"/>
  <c r="X40" i="24"/>
  <c r="B33" i="24"/>
  <c r="K68" i="24"/>
  <c r="V15" i="24"/>
  <c r="B47" i="24"/>
  <c r="W26" i="24"/>
  <c r="K62" i="24"/>
  <c r="W68" i="24"/>
  <c r="K24" i="24"/>
  <c r="W48" i="24"/>
  <c r="K19" i="24"/>
  <c r="B14" i="24"/>
  <c r="W13" i="24"/>
  <c r="K6" i="24"/>
  <c r="X11" i="24"/>
  <c r="X60" i="24"/>
  <c r="V31" i="24"/>
  <c r="V44" i="24"/>
  <c r="W9" i="24"/>
  <c r="K61" i="24"/>
  <c r="G14" i="53"/>
  <c r="V5" i="24"/>
  <c r="W39" i="24"/>
  <c r="W14" i="24"/>
  <c r="B59" i="24"/>
  <c r="G3" i="53"/>
  <c r="K17" i="24"/>
  <c r="O33" i="53"/>
  <c r="B29" i="24"/>
  <c r="V62" i="24"/>
  <c r="B24" i="24"/>
  <c r="B34" i="24"/>
  <c r="G5" i="53"/>
  <c r="G6" i="53"/>
  <c r="W18" i="24"/>
  <c r="B20" i="24"/>
  <c r="V55" i="24"/>
  <c r="K30" i="24"/>
  <c r="W50" i="24"/>
  <c r="X57" i="24"/>
  <c r="X70" i="24"/>
  <c r="B27" i="24"/>
  <c r="B67" i="24"/>
  <c r="B8" i="24"/>
  <c r="V54" i="24"/>
  <c r="B37" i="24"/>
  <c r="B39" i="24"/>
  <c r="V9" i="24"/>
  <c r="B30" i="24"/>
  <c r="X10" i="24"/>
  <c r="X56" i="24"/>
  <c r="W62" i="24"/>
  <c r="AA3" i="53"/>
  <c r="V6" i="24"/>
  <c r="X41" i="24"/>
  <c r="K18" i="24"/>
  <c r="G13" i="53"/>
  <c r="K33" i="24"/>
  <c r="X66" i="24"/>
  <c r="W7" i="24"/>
  <c r="W3" i="53"/>
  <c r="B25" i="24"/>
  <c r="B42" i="24"/>
  <c r="W64" i="24"/>
  <c r="K7" i="24"/>
  <c r="AC3" i="53"/>
  <c r="X34" i="24"/>
  <c r="W36" i="24"/>
  <c r="L101" i="53"/>
  <c r="V10" i="24"/>
  <c r="W24" i="24"/>
  <c r="B68" i="24"/>
  <c r="B36" i="24"/>
  <c r="E33" i="53"/>
  <c r="L100" i="53"/>
  <c r="V37" i="24"/>
  <c r="W53" i="24"/>
  <c r="V43" i="24"/>
  <c r="V49" i="24"/>
  <c r="V18" i="24"/>
  <c r="W51" i="24"/>
  <c r="H3" i="53"/>
  <c r="B13" i="24"/>
  <c r="X14" i="24"/>
  <c r="B7" i="24"/>
  <c r="W20" i="24"/>
  <c r="X54" i="24"/>
  <c r="G8" i="53"/>
  <c r="X16" i="24"/>
  <c r="V21" i="24"/>
  <c r="X3" i="53"/>
  <c r="X28" i="24"/>
  <c r="W17" i="24"/>
  <c r="K29" i="24"/>
  <c r="V38" i="24"/>
  <c r="K5" i="24"/>
  <c r="X32" i="24"/>
  <c r="V51" i="24"/>
  <c r="B10" i="24"/>
  <c r="K38" i="24"/>
  <c r="W8" i="24"/>
  <c r="V32" i="24"/>
  <c r="W15" i="24"/>
  <c r="B44" i="24"/>
  <c r="B18" i="24"/>
  <c r="W59" i="24"/>
  <c r="V65" i="24"/>
  <c r="W42" i="24"/>
  <c r="W5" i="24"/>
  <c r="X17" i="24"/>
  <c r="W34" i="24"/>
  <c r="B53" i="24"/>
  <c r="K57" i="24"/>
  <c r="B19" i="24"/>
  <c r="K15" i="24"/>
  <c r="T3" i="53"/>
  <c r="X48" i="24"/>
  <c r="V16" i="24"/>
  <c r="V45" i="24"/>
  <c r="K43" i="24"/>
  <c r="X44" i="24"/>
  <c r="G15" i="53"/>
  <c r="K11" i="24"/>
  <c r="E38" i="53"/>
  <c r="G16" i="53"/>
  <c r="K36" i="24"/>
  <c r="K20" i="24"/>
  <c r="K27" i="24"/>
  <c r="K23" i="24"/>
  <c r="W35" i="24"/>
  <c r="V60" i="24"/>
  <c r="K66" i="24"/>
  <c r="W70" i="24"/>
  <c r="X42" i="24"/>
  <c r="X8" i="24"/>
  <c r="V61" i="24"/>
  <c r="V8" i="24"/>
  <c r="X39" i="24"/>
  <c r="K48" i="24"/>
  <c r="W47" i="24"/>
  <c r="Y3" i="53"/>
  <c r="B64" i="24"/>
  <c r="X37" i="24"/>
  <c r="K41" i="24"/>
  <c r="X65" i="24"/>
  <c r="O38" i="53"/>
  <c r="B41" i="24"/>
  <c r="W55" i="24"/>
  <c r="W25" i="24"/>
  <c r="W30" i="24"/>
  <c r="W45" i="24"/>
  <c r="X4" i="24"/>
  <c r="W38" i="24"/>
  <c r="W69" i="24"/>
  <c r="V68" i="24"/>
  <c r="W32" i="24"/>
  <c r="X47" i="24"/>
  <c r="B55" i="24"/>
  <c r="K49" i="24"/>
  <c r="X31" i="24"/>
  <c r="X19" i="24"/>
  <c r="V58" i="24"/>
  <c r="W11" i="24"/>
  <c r="V67" i="24"/>
  <c r="X18" i="24"/>
  <c r="V33" i="24"/>
  <c r="V12" i="24"/>
  <c r="X58" i="24"/>
  <c r="W52" i="24"/>
  <c r="X7" i="24"/>
  <c r="B35" i="24"/>
  <c r="V57" i="24"/>
  <c r="W58" i="24"/>
  <c r="X38" i="24"/>
  <c r="K32" i="24"/>
  <c r="V56" i="24"/>
  <c r="B16" i="24"/>
  <c r="B4" i="24"/>
  <c r="B15" i="24"/>
  <c r="V70" i="24"/>
  <c r="X26" i="24"/>
  <c r="K51" i="24"/>
  <c r="X27" i="24"/>
  <c r="X46" i="24"/>
  <c r="K46" i="24"/>
  <c r="B60" i="24"/>
  <c r="X5" i="24"/>
  <c r="K28" i="24"/>
  <c r="X63" i="24"/>
  <c r="V4" i="24"/>
  <c r="K70" i="24"/>
  <c r="W66" i="24"/>
  <c r="X24" i="24"/>
  <c r="V20" i="24"/>
  <c r="V63" i="24"/>
  <c r="K1" i="53"/>
  <c r="W29" i="24"/>
  <c r="V27" i="24"/>
  <c r="K40" i="24"/>
  <c r="O39" i="53"/>
  <c r="W10" i="24"/>
  <c r="X43" i="24"/>
  <c r="X33" i="24"/>
  <c r="B65" i="24"/>
  <c r="W31" i="24"/>
  <c r="B63" i="24"/>
  <c r="K69" i="24"/>
  <c r="B57" i="24"/>
  <c r="AB3" i="53"/>
  <c r="W21" i="24"/>
  <c r="X29" i="24"/>
  <c r="X50" i="24"/>
  <c r="V13" i="24"/>
  <c r="B56" i="24"/>
  <c r="B23" i="24"/>
  <c r="W16" i="24"/>
  <c r="K63" i="24"/>
  <c r="V48" i="24"/>
  <c r="K13" i="24"/>
  <c r="B5" i="24"/>
  <c r="K21" i="24"/>
  <c r="E39" i="53"/>
  <c r="X23" i="24"/>
  <c r="G7" i="53"/>
  <c r="B11" i="24"/>
  <c r="K58" i="24"/>
  <c r="X67" i="24"/>
  <c r="V11" i="24"/>
  <c r="V64" i="24"/>
  <c r="V17" i="24"/>
  <c r="W44" i="24"/>
  <c r="V26" i="24"/>
  <c r="V50" i="24"/>
  <c r="B58" i="24"/>
  <c r="X9" i="24"/>
  <c r="X25" i="24"/>
  <c r="K8" i="24"/>
  <c r="V25" i="24"/>
  <c r="B31" i="24"/>
  <c r="W61" i="24"/>
  <c r="X15" i="24"/>
  <c r="X69" i="24"/>
  <c r="X51" i="24"/>
  <c r="X20" i="24"/>
  <c r="X62" i="24"/>
  <c r="I1" i="53"/>
  <c r="K44" i="24"/>
  <c r="K64" i="24"/>
  <c r="X30" i="24"/>
  <c r="X6" i="24"/>
  <c r="U3" i="53"/>
  <c r="B26" i="24"/>
  <c r="W41" i="24"/>
  <c r="W23" i="24"/>
  <c r="K67" i="24"/>
  <c r="K16" i="24"/>
  <c r="V23" i="24"/>
  <c r="B6" i="24"/>
  <c r="X45" i="24"/>
  <c r="X52" i="24"/>
  <c r="W49" i="24"/>
  <c r="V59" i="24"/>
  <c r="W57" i="24"/>
  <c r="V42" i="24"/>
  <c r="K50" i="24"/>
  <c r="K45" i="24"/>
  <c r="K39" i="24"/>
  <c r="W54" i="24"/>
  <c r="W63" i="24"/>
  <c r="V14" i="24"/>
  <c r="V47" i="24"/>
  <c r="W33" i="24"/>
  <c r="W56" i="24"/>
  <c r="W40" i="24"/>
  <c r="W22" i="24"/>
  <c r="W46" i="24"/>
  <c r="K3" i="53"/>
  <c r="V39" i="24"/>
  <c r="K34" i="24"/>
  <c r="K42" i="24"/>
  <c r="B17" i="24"/>
  <c r="P1" i="53"/>
  <c r="X59" i="24"/>
  <c r="V30" i="24"/>
  <c r="X61" i="24"/>
  <c r="K25" i="24"/>
  <c r="K35" i="24"/>
  <c r="B9" i="24"/>
  <c r="X21" i="24"/>
  <c r="W67" i="24"/>
  <c r="X13" i="24"/>
  <c r="W37" i="24"/>
  <c r="K26" i="24"/>
  <c r="G10" i="53"/>
  <c r="B38" i="24"/>
  <c r="B21" i="24"/>
  <c r="B54" i="24"/>
  <c r="B22" i="24"/>
  <c r="X35" i="24"/>
  <c r="V52" i="24"/>
  <c r="V24" i="24"/>
  <c r="V22" i="24"/>
  <c r="B69" i="24"/>
  <c r="G1" i="53"/>
  <c r="K55" i="24"/>
  <c r="X55" i="24"/>
  <c r="V36" i="24"/>
  <c r="V40" i="24"/>
  <c r="V28" i="24"/>
  <c r="K9" i="24"/>
  <c r="V69" i="24"/>
  <c r="V19" i="24"/>
  <c r="Z3" i="53"/>
  <c r="B46" i="24"/>
  <c r="G17" i="53"/>
  <c r="K52" i="24"/>
  <c r="G12" i="53"/>
  <c r="K59" i="24"/>
  <c r="V66" i="24"/>
  <c r="B70" i="24"/>
  <c r="B62" i="24"/>
  <c r="K37" i="24"/>
  <c r="W6" i="24"/>
  <c r="X68" i="24"/>
  <c r="W19" i="24"/>
  <c r="B40" i="24"/>
  <c r="B50" i="24"/>
  <c r="B52" i="24"/>
  <c r="B51" i="24"/>
  <c r="K47" i="24"/>
  <c r="W27" i="24"/>
  <c r="B48" i="24"/>
  <c r="W43" i="24"/>
  <c r="B49" i="24"/>
  <c r="V46" i="24"/>
  <c r="V3" i="53"/>
  <c r="V29" i="24"/>
  <c r="B43" i="24"/>
  <c r="G4" i="53"/>
  <c r="V41" i="24"/>
  <c r="V35" i="24"/>
  <c r="K10" i="24"/>
  <c r="V7" i="24"/>
  <c r="B28" i="24"/>
  <c r="B61" i="24"/>
  <c r="X53" i="24"/>
  <c r="K31" i="24"/>
  <c r="X64" i="24"/>
  <c r="G9" i="53"/>
  <c r="B66" i="24"/>
  <c r="K60" i="24"/>
  <c r="K53" i="24"/>
  <c r="X12" i="24"/>
  <c r="K65" i="24"/>
  <c r="B32" i="24"/>
  <c r="B12" i="24"/>
  <c r="B45" i="24"/>
  <c r="W12" i="24"/>
  <c r="J3" i="53"/>
  <c r="K12" i="24"/>
  <c r="V53" i="24"/>
  <c r="G11" i="53"/>
  <c r="J101" i="53" l="1"/>
  <c r="J100" i="53"/>
  <c r="H36" i="24"/>
  <c r="I36" i="24" s="1"/>
  <c r="H43" i="24"/>
  <c r="I43" i="24" s="1"/>
  <c r="H50" i="24"/>
  <c r="I50" i="24" s="1"/>
  <c r="H39" i="24"/>
  <c r="I39" i="24" s="1"/>
  <c r="H15" i="24"/>
  <c r="I15" i="24" s="1"/>
  <c r="P3" i="53"/>
  <c r="Q3" i="53" s="1"/>
  <c r="L3" i="53"/>
  <c r="H60" i="24"/>
  <c r="I60" i="24" s="1"/>
  <c r="H64" i="24"/>
  <c r="I64" i="24" s="1"/>
  <c r="H32" i="24"/>
  <c r="I32" i="24" s="1"/>
  <c r="H54" i="24"/>
  <c r="I54" i="24" s="1"/>
  <c r="H65" i="24"/>
  <c r="I65" i="24" s="1"/>
  <c r="H21" i="24"/>
  <c r="I21" i="24" s="1"/>
  <c r="H41" i="24"/>
  <c r="I41" i="24" s="1"/>
  <c r="H45" i="24"/>
  <c r="I45" i="24" s="1"/>
  <c r="H58" i="24"/>
  <c r="I58" i="24" s="1"/>
  <c r="H19" i="24"/>
  <c r="I19" i="24" s="1"/>
  <c r="H57" i="24"/>
  <c r="I57" i="24" s="1"/>
  <c r="H48" i="24"/>
  <c r="I48" i="24" s="1"/>
  <c r="H35" i="24"/>
  <c r="I35" i="24" s="1"/>
  <c r="H16" i="24"/>
  <c r="I16" i="24" s="1"/>
  <c r="H7" i="24"/>
  <c r="I7" i="24" s="1"/>
  <c r="H17" i="24"/>
  <c r="I17" i="24" s="1"/>
  <c r="P18" i="53"/>
  <c r="H69" i="24"/>
  <c r="I69" i="24" s="1"/>
  <c r="H49" i="24"/>
  <c r="I49" i="24" s="1"/>
  <c r="H14" i="24"/>
  <c r="I14" i="24" s="1"/>
  <c r="H12" i="24"/>
  <c r="I12" i="24" s="1"/>
  <c r="H22" i="24"/>
  <c r="I22" i="24" s="1"/>
  <c r="H30" i="24"/>
  <c r="I30" i="24" s="1"/>
  <c r="H52" i="24"/>
  <c r="I52" i="24" s="1"/>
  <c r="H26" i="24"/>
  <c r="I26" i="24" s="1"/>
  <c r="H62" i="24"/>
  <c r="I62" i="24" s="1"/>
  <c r="H63" i="24"/>
  <c r="I63" i="24" s="1"/>
  <c r="H53" i="24"/>
  <c r="I53" i="24" s="1"/>
  <c r="H34" i="24"/>
  <c r="I34" i="24" s="1"/>
  <c r="H23" i="24"/>
  <c r="I23" i="24" s="1"/>
  <c r="H46" i="24"/>
  <c r="I46" i="24" s="1"/>
  <c r="H10" i="24"/>
  <c r="I10" i="24" s="1"/>
  <c r="H47" i="24"/>
  <c r="I47" i="24" s="1"/>
  <c r="H38" i="24"/>
  <c r="I38" i="24" s="1"/>
  <c r="H55" i="24"/>
  <c r="I55" i="24" s="1"/>
  <c r="H33" i="24"/>
  <c r="I33" i="24" s="1"/>
  <c r="H27" i="24"/>
  <c r="I27" i="24" s="1"/>
  <c r="H44" i="24"/>
  <c r="I44" i="24" s="1"/>
  <c r="H4" i="24"/>
  <c r="H66" i="24"/>
  <c r="I66" i="24" s="1"/>
  <c r="H29" i="24"/>
  <c r="I29" i="24" s="1"/>
  <c r="H31" i="24"/>
  <c r="I31" i="24" s="1"/>
  <c r="H59" i="24"/>
  <c r="I59" i="24" s="1"/>
  <c r="H20" i="24"/>
  <c r="I20" i="24" s="1"/>
  <c r="H11" i="24"/>
  <c r="I11" i="24" s="1"/>
  <c r="H9" i="24"/>
  <c r="I9" i="24" s="1"/>
  <c r="H61" i="24"/>
  <c r="I61" i="24" s="1"/>
  <c r="H5" i="24"/>
  <c r="I5" i="24" s="1"/>
  <c r="H18" i="24"/>
  <c r="I18" i="24" s="1"/>
  <c r="H24" i="24"/>
  <c r="I24" i="24" s="1"/>
  <c r="H67" i="24"/>
  <c r="I67" i="24" s="1"/>
  <c r="H40" i="24"/>
  <c r="I40" i="24" s="1"/>
  <c r="H13" i="24"/>
  <c r="I13" i="24" s="1"/>
  <c r="H25" i="24"/>
  <c r="I25" i="24" s="1"/>
  <c r="H70" i="24"/>
  <c r="I70" i="24" s="1"/>
  <c r="H68" i="24"/>
  <c r="I68" i="24" s="1"/>
  <c r="H37" i="24"/>
  <c r="I37" i="24" s="1"/>
  <c r="H42" i="24"/>
  <c r="I42" i="24" s="1"/>
  <c r="H51" i="24"/>
  <c r="I51" i="24" s="1"/>
  <c r="H28" i="24"/>
  <c r="I28" i="24" s="1"/>
  <c r="H6" i="24"/>
  <c r="I6" i="24" s="1"/>
  <c r="H56" i="24"/>
  <c r="I56" i="24" s="1"/>
  <c r="H8" i="24"/>
  <c r="I8" i="24" s="1"/>
  <c r="I3" i="53"/>
  <c r="P15" i="53"/>
  <c r="P6" i="53"/>
  <c r="P13" i="53"/>
  <c r="P14" i="53"/>
  <c r="P4" i="53"/>
  <c r="P9" i="53"/>
  <c r="P16" i="53"/>
  <c r="P7" i="53"/>
  <c r="P10" i="53"/>
  <c r="P11" i="53"/>
  <c r="P8" i="53"/>
  <c r="P17" i="53"/>
  <c r="P12" i="53"/>
  <c r="P5" i="53"/>
  <c r="I109" i="53"/>
  <c r="I110" i="53"/>
  <c r="I111" i="53" s="1"/>
  <c r="H111" i="53" s="1"/>
  <c r="F4" i="53" s="1"/>
  <c r="L4" i="53"/>
  <c r="N4" i="53"/>
  <c r="T4" i="53"/>
  <c r="L109" i="53"/>
  <c r="Y4" i="53"/>
  <c r="X4" i="53"/>
  <c r="Z4" i="53"/>
  <c r="AB4" i="53"/>
  <c r="V4" i="53"/>
  <c r="W4" i="53"/>
  <c r="H4" i="53"/>
  <c r="L110" i="53"/>
  <c r="J4" i="53"/>
  <c r="K4" i="53"/>
  <c r="U4" i="53"/>
  <c r="AA4" i="53"/>
  <c r="AC4" i="53"/>
  <c r="J109" i="53" l="1"/>
  <c r="J111" i="53" s="1"/>
  <c r="O4" i="53" s="1"/>
  <c r="J110" i="53"/>
  <c r="J102" i="53"/>
  <c r="O3" i="53" s="1"/>
  <c r="M3" i="53" s="1"/>
  <c r="R3" i="53"/>
  <c r="P19" i="53"/>
  <c r="D3" i="53" s="1"/>
  <c r="R4" i="53"/>
  <c r="I4" i="53"/>
  <c r="Q4" i="53"/>
  <c r="I92" i="53"/>
  <c r="J92" i="53"/>
  <c r="Q6" i="53"/>
  <c r="H93" i="53"/>
  <c r="T6" i="53"/>
  <c r="L92" i="53"/>
  <c r="L93" i="53"/>
  <c r="Y6" i="53"/>
  <c r="U6" i="53"/>
  <c r="AA6" i="53"/>
  <c r="Z6" i="53"/>
  <c r="AC6" i="53"/>
  <c r="X6" i="53"/>
  <c r="H6" i="53"/>
  <c r="V6" i="53"/>
  <c r="K6" i="53"/>
  <c r="J6" i="53"/>
  <c r="W6" i="53"/>
  <c r="AB6" i="53"/>
  <c r="K92" i="53" l="1"/>
  <c r="I93" i="53"/>
  <c r="S3" i="53"/>
  <c r="M4" i="53"/>
  <c r="D4" i="53"/>
  <c r="D6" i="53"/>
  <c r="S4" i="53"/>
  <c r="I6" i="53"/>
  <c r="D8" i="53"/>
  <c r="I68" i="53"/>
  <c r="I69" i="53"/>
  <c r="I70" i="53"/>
  <c r="H70" i="53" s="1"/>
  <c r="F8" i="53" s="1"/>
  <c r="J68" i="53"/>
  <c r="J69" i="53"/>
  <c r="M8" i="53"/>
  <c r="O8" i="53"/>
  <c r="Q8" i="53"/>
  <c r="AA8" i="53"/>
  <c r="J8" i="53"/>
  <c r="Z8" i="53"/>
  <c r="H8" i="53"/>
  <c r="V8" i="53"/>
  <c r="L68" i="53"/>
  <c r="W8" i="53"/>
  <c r="X8" i="53"/>
  <c r="T8" i="53"/>
  <c r="AB8" i="53"/>
  <c r="U8" i="53"/>
  <c r="K8" i="53"/>
  <c r="L69" i="53"/>
  <c r="AC8" i="53"/>
  <c r="Y8" i="53"/>
  <c r="K68" i="53" l="1"/>
  <c r="K69" i="53"/>
  <c r="I94" i="53"/>
  <c r="H94" i="53" s="1"/>
  <c r="F6" i="53" s="1"/>
  <c r="J93" i="53"/>
  <c r="K93" i="53" s="1"/>
  <c r="K94" i="53" s="1"/>
  <c r="N6" i="53" s="1"/>
  <c r="I8" i="53"/>
  <c r="S8" i="53"/>
  <c r="D7" i="53"/>
  <c r="I83" i="53"/>
  <c r="I84" i="53"/>
  <c r="I85" i="53" s="1"/>
  <c r="H85" i="53" s="1"/>
  <c r="F7" i="53" s="1"/>
  <c r="L7" i="53"/>
  <c r="Q7" i="53"/>
  <c r="N7" i="53"/>
  <c r="R7" i="53" s="1"/>
  <c r="AB7" i="53"/>
  <c r="J7" i="53"/>
  <c r="L83" i="53"/>
  <c r="V7" i="53"/>
  <c r="K7" i="53"/>
  <c r="L84" i="53"/>
  <c r="T7" i="53"/>
  <c r="W7" i="53"/>
  <c r="X7" i="53"/>
  <c r="AC7" i="53"/>
  <c r="AA7" i="53"/>
  <c r="H7" i="53"/>
  <c r="Y7" i="53"/>
  <c r="U7" i="53"/>
  <c r="Z7" i="53"/>
  <c r="K70" i="53" l="1"/>
  <c r="N8" i="53" s="1"/>
  <c r="L8" i="53" s="1"/>
  <c r="J84" i="53"/>
  <c r="J83" i="53"/>
  <c r="J85" i="53" s="1"/>
  <c r="O7" i="53" s="1"/>
  <c r="M7" i="53" s="1"/>
  <c r="R6" i="53"/>
  <c r="L6" i="53"/>
  <c r="M6" i="53"/>
  <c r="O6" i="53"/>
  <c r="S6" i="53" s="1"/>
  <c r="I7" i="53"/>
  <c r="D5" i="53"/>
  <c r="I61" i="53"/>
  <c r="I62" i="53" s="1"/>
  <c r="H62" i="53" s="1"/>
  <c r="F5" i="53" s="1"/>
  <c r="L5" i="53"/>
  <c r="Q5" i="53"/>
  <c r="N5" i="53"/>
  <c r="R5" i="53" s="1"/>
  <c r="AA5" i="53"/>
  <c r="H5" i="53"/>
  <c r="U5" i="53"/>
  <c r="X5" i="53"/>
  <c r="L61" i="53"/>
  <c r="W5" i="53"/>
  <c r="Y5" i="53"/>
  <c r="AB5" i="53"/>
  <c r="Z5" i="53"/>
  <c r="AC5" i="53"/>
  <c r="J5" i="53"/>
  <c r="V5" i="53"/>
  <c r="K5" i="53"/>
  <c r="T5" i="53"/>
  <c r="R8" i="53" l="1"/>
  <c r="S7" i="53"/>
  <c r="J61" i="53"/>
  <c r="J62" i="53" s="1"/>
  <c r="O5" i="53" s="1"/>
  <c r="S5" i="53" s="1"/>
  <c r="I5" i="53"/>
  <c r="I55" i="53"/>
  <c r="I56" i="53" s="1"/>
  <c r="H56" i="53" s="1"/>
  <c r="L55" i="53"/>
  <c r="M5" i="53" l="1"/>
  <c r="J55" i="53"/>
  <c r="J56" i="53" s="1"/>
  <c r="I79" i="53"/>
  <c r="I80" i="53"/>
  <c r="L79" i="53"/>
  <c r="I81" i="53" l="1"/>
  <c r="H81" i="53" s="1"/>
  <c r="J79" i="53"/>
  <c r="J81" i="53" s="1"/>
  <c r="L80" i="53"/>
  <c r="J80" i="53" l="1"/>
  <c r="D9" i="53"/>
  <c r="I76" i="53"/>
  <c r="I77" i="53"/>
  <c r="H77" i="53" s="1"/>
  <c r="F9" i="53" s="1"/>
  <c r="L9" i="53"/>
  <c r="Q9" i="53"/>
  <c r="N9" i="53"/>
  <c r="R9" i="53"/>
  <c r="AA9" i="53"/>
  <c r="T9" i="53"/>
  <c r="Y9" i="53"/>
  <c r="W9" i="53"/>
  <c r="X9" i="53"/>
  <c r="Z9" i="53"/>
  <c r="H9" i="53"/>
  <c r="AB9" i="53"/>
  <c r="U9" i="53"/>
  <c r="AC9" i="53"/>
  <c r="V9" i="53"/>
  <c r="J9" i="53"/>
  <c r="K9" i="53"/>
  <c r="L76" i="53"/>
  <c r="J76" i="53" l="1"/>
  <c r="J77" i="53" s="1"/>
  <c r="O9" i="53" s="1"/>
  <c r="S9" i="53" s="1"/>
  <c r="I9" i="53"/>
  <c r="D11" i="53"/>
  <c r="I88" i="53"/>
  <c r="I89" i="53"/>
  <c r="H11" i="53"/>
  <c r="H87" i="53"/>
  <c r="M9" i="53" l="1"/>
  <c r="I87" i="53"/>
  <c r="I90" i="53"/>
  <c r="H90" i="53" s="1"/>
  <c r="F11" i="53" s="1"/>
  <c r="L11" i="53" s="1"/>
  <c r="I11" i="53"/>
  <c r="Q11" i="53"/>
  <c r="X11" i="53"/>
  <c r="V11" i="53"/>
  <c r="T11" i="53"/>
  <c r="Z11" i="53"/>
  <c r="L89" i="53"/>
  <c r="Y11" i="53"/>
  <c r="AC11" i="53"/>
  <c r="L87" i="53"/>
  <c r="W11" i="53"/>
  <c r="J11" i="53"/>
  <c r="AA11" i="53"/>
  <c r="L88" i="53"/>
  <c r="AB11" i="53"/>
  <c r="K11" i="53"/>
  <c r="U11" i="53"/>
  <c r="N11" i="53" l="1"/>
  <c r="R11" i="53" s="1"/>
  <c r="J88" i="53"/>
  <c r="J87" i="53"/>
  <c r="J90" i="53" s="1"/>
  <c r="O11" i="53" s="1"/>
  <c r="J89" i="53"/>
  <c r="S11" i="53"/>
  <c r="M11" i="53"/>
  <c r="D10" i="53"/>
  <c r="I64" i="53"/>
  <c r="I65" i="53"/>
  <c r="I66" i="53"/>
  <c r="H66" i="53" s="1"/>
  <c r="F10" i="53" s="1"/>
  <c r="L10" i="53"/>
  <c r="Q10" i="53"/>
  <c r="N10" i="53"/>
  <c r="R10" i="53" s="1"/>
  <c r="AB10" i="53"/>
  <c r="AA10" i="53"/>
  <c r="T10" i="53"/>
  <c r="X10" i="53"/>
  <c r="AC10" i="53"/>
  <c r="W10" i="53"/>
  <c r="K10" i="53"/>
  <c r="Y10" i="53"/>
  <c r="V10" i="53"/>
  <c r="Z10" i="53"/>
  <c r="L64" i="53"/>
  <c r="U10" i="53"/>
  <c r="J10" i="53"/>
  <c r="H10" i="53"/>
  <c r="L65" i="53"/>
  <c r="J65" i="53" l="1"/>
  <c r="J64" i="53"/>
  <c r="J66" i="53" s="1"/>
  <c r="O10" i="53" s="1"/>
  <c r="M10" i="53" s="1"/>
  <c r="I10" i="53"/>
  <c r="D12" i="53"/>
  <c r="I96" i="53"/>
  <c r="I97" i="53"/>
  <c r="I98" i="53" s="1"/>
  <c r="H98" i="53" s="1"/>
  <c r="F12" i="53" s="1"/>
  <c r="L12" i="53"/>
  <c r="Q12" i="53"/>
  <c r="N12" i="53"/>
  <c r="R12" i="53" s="1"/>
  <c r="U12" i="53"/>
  <c r="H12" i="53"/>
  <c r="AA12" i="53"/>
  <c r="Z12" i="53"/>
  <c r="L97" i="53"/>
  <c r="X12" i="53"/>
  <c r="W12" i="53"/>
  <c r="Y12" i="53"/>
  <c r="AB12" i="53"/>
  <c r="T12" i="53"/>
  <c r="AC12" i="53"/>
  <c r="L96" i="53"/>
  <c r="K12" i="53"/>
  <c r="J12" i="53"/>
  <c r="V12" i="53"/>
  <c r="S10" i="53" l="1"/>
  <c r="J96" i="53"/>
  <c r="J97" i="53"/>
  <c r="I12" i="53"/>
  <c r="D13" i="53"/>
  <c r="I104" i="53"/>
  <c r="I105" i="53"/>
  <c r="I106" i="53"/>
  <c r="I107" i="53"/>
  <c r="H107" i="53" s="1"/>
  <c r="F13" i="53" s="1"/>
  <c r="Q13" i="53"/>
  <c r="M105" i="53"/>
  <c r="W13" i="53"/>
  <c r="AB13" i="53"/>
  <c r="M106" i="53"/>
  <c r="T13" i="53"/>
  <c r="J13" i="53"/>
  <c r="AA13" i="53"/>
  <c r="M104" i="53"/>
  <c r="Z13" i="53"/>
  <c r="X13" i="53"/>
  <c r="L105" i="53"/>
  <c r="U13" i="53"/>
  <c r="Y13" i="53"/>
  <c r="K13" i="53"/>
  <c r="H13" i="53"/>
  <c r="L104" i="53"/>
  <c r="V13" i="53"/>
  <c r="L106" i="53"/>
  <c r="AC13" i="53"/>
  <c r="J98" i="53" l="1"/>
  <c r="O12" i="53" s="1"/>
  <c r="M12" i="53" s="1"/>
  <c r="J105" i="53"/>
  <c r="K105" i="53" s="1"/>
  <c r="J106" i="53"/>
  <c r="K106" i="53" s="1"/>
  <c r="J104" i="53"/>
  <c r="I13" i="53"/>
  <c r="D15" i="53"/>
  <c r="I58" i="53"/>
  <c r="I59" i="53"/>
  <c r="H59" i="53" s="1"/>
  <c r="F15" i="53" s="1"/>
  <c r="L15" i="53"/>
  <c r="Q15" i="53"/>
  <c r="N15" i="53"/>
  <c r="R15" i="53" s="1"/>
  <c r="H15" i="53"/>
  <c r="V15" i="53"/>
  <c r="U15" i="53"/>
  <c r="AA15" i="53"/>
  <c r="J15" i="53"/>
  <c r="L58" i="53"/>
  <c r="K15" i="53"/>
  <c r="Y15" i="53"/>
  <c r="AC15" i="53"/>
  <c r="T15" i="53"/>
  <c r="Z15" i="53"/>
  <c r="W15" i="53"/>
  <c r="X15" i="53"/>
  <c r="AB15" i="53"/>
  <c r="S12" i="53" l="1"/>
  <c r="J58" i="53"/>
  <c r="J59" i="53" s="1"/>
  <c r="O15" i="53" s="1"/>
  <c r="M15" i="53" s="1"/>
  <c r="J107" i="53"/>
  <c r="O13" i="53" s="1"/>
  <c r="K104" i="53"/>
  <c r="K107" i="53" s="1"/>
  <c r="N13" i="53" s="1"/>
  <c r="I15" i="53"/>
  <c r="D14" i="53"/>
  <c r="I49" i="53"/>
  <c r="I50" i="53"/>
  <c r="H50" i="53" s="1"/>
  <c r="F14" i="53" s="1"/>
  <c r="L14" i="53"/>
  <c r="Q14" i="53"/>
  <c r="N14" i="53"/>
  <c r="R14" i="53" s="1"/>
  <c r="B16" i="53"/>
  <c r="T14" i="53"/>
  <c r="H14" i="53"/>
  <c r="V14" i="53"/>
  <c r="X14" i="53"/>
  <c r="AA14" i="53"/>
  <c r="AB14" i="53"/>
  <c r="Z14" i="53"/>
  <c r="AC14" i="53"/>
  <c r="Y14" i="53"/>
  <c r="L49" i="53"/>
  <c r="J14" i="53"/>
  <c r="K14" i="53"/>
  <c r="W14" i="53"/>
  <c r="U14" i="53"/>
  <c r="S15" i="53" l="1"/>
  <c r="J49" i="53"/>
  <c r="J50" i="53" s="1"/>
  <c r="O14" i="53" s="1"/>
  <c r="S14" i="53" s="1"/>
  <c r="R13" i="53"/>
  <c r="L13" i="53"/>
  <c r="S13" i="53"/>
  <c r="M13" i="53"/>
  <c r="I14" i="53"/>
  <c r="D16" i="53"/>
  <c r="I113" i="53"/>
  <c r="I114" i="53" s="1"/>
  <c r="H114" i="53" s="1"/>
  <c r="F16" i="53" s="1"/>
  <c r="J113" i="53"/>
  <c r="M16" i="53"/>
  <c r="O16" i="53"/>
  <c r="Q16" i="53"/>
  <c r="S16" i="53" s="1"/>
  <c r="L113" i="53"/>
  <c r="Z16" i="53"/>
  <c r="B17" i="53"/>
  <c r="X16" i="53"/>
  <c r="AA16" i="53"/>
  <c r="K16" i="53"/>
  <c r="Y16" i="53"/>
  <c r="W16" i="53"/>
  <c r="V16" i="53"/>
  <c r="U16" i="53"/>
  <c r="T16" i="53"/>
  <c r="M14" i="53" l="1"/>
  <c r="K113" i="53"/>
  <c r="K114" i="53" s="1"/>
  <c r="N16" i="53" s="1"/>
  <c r="L16" i="53" s="1"/>
  <c r="D17" i="53"/>
  <c r="I52" i="53"/>
  <c r="I53" i="53"/>
  <c r="H53" i="53" s="1"/>
  <c r="F17" i="53" s="1"/>
  <c r="J52" i="53"/>
  <c r="M17" i="53"/>
  <c r="O17" i="53"/>
  <c r="Q17" i="53"/>
  <c r="S17" i="53" s="1"/>
  <c r="L52" i="53"/>
  <c r="U17" i="53"/>
  <c r="T17" i="53"/>
  <c r="Y17" i="53"/>
  <c r="Z17" i="53"/>
  <c r="K17" i="53"/>
  <c r="V17" i="53"/>
  <c r="W17" i="53"/>
  <c r="AA17" i="53"/>
  <c r="X17" i="53"/>
  <c r="R16" i="53" l="1"/>
  <c r="K52" i="53"/>
  <c r="K53" i="53" s="1"/>
  <c r="N17" i="53" s="1"/>
  <c r="L17" i="53" s="1"/>
  <c r="D18" i="53"/>
  <c r="D19" i="53" s="1"/>
  <c r="N18" i="53"/>
  <c r="O18" i="53" s="1"/>
  <c r="O19" i="53" s="1"/>
  <c r="Q18" i="53"/>
  <c r="Q19" i="53" s="1"/>
  <c r="I19" i="53"/>
  <c r="L19" i="53"/>
  <c r="M19" i="53"/>
  <c r="S19" i="53"/>
  <c r="T19" i="53"/>
  <c r="E25" i="53"/>
  <c r="R17" i="53" l="1"/>
  <c r="R19" i="53" s="1"/>
  <c r="S20" i="53"/>
  <c r="N19" i="53"/>
  <c r="R20" i="53" s="1"/>
  <c r="H25" i="53"/>
  <c r="I25" i="53"/>
  <c r="J25" i="53"/>
  <c r="M25" i="53"/>
  <c r="N25" i="53"/>
  <c r="P25" i="53"/>
  <c r="P26" i="53"/>
  <c r="H30" i="53"/>
  <c r="I30" i="53"/>
  <c r="J30" i="53"/>
  <c r="M30" i="53"/>
  <c r="R30" i="53"/>
  <c r="O30" i="53"/>
  <c r="E30" i="53"/>
  <c r="R25" i="53"/>
  <c r="O25" i="53"/>
  <c r="N30" i="53" l="1"/>
  <c r="P30" i="53"/>
  <c r="E31" i="53"/>
  <c r="H31" i="53" l="1"/>
  <c r="I31" i="53"/>
  <c r="J31" i="53"/>
  <c r="N31" i="53" s="1"/>
  <c r="M31" i="53"/>
  <c r="R31" i="53"/>
  <c r="O31" i="53"/>
  <c r="P31" i="53" l="1"/>
  <c r="E32" i="53"/>
  <c r="H32" i="53" l="1"/>
  <c r="I32" i="53"/>
  <c r="J32" i="53"/>
  <c r="N32" i="53" s="1"/>
  <c r="N34" i="53" s="1"/>
  <c r="M32" i="53"/>
  <c r="H37" i="53"/>
  <c r="I37" i="53"/>
  <c r="J37" i="53"/>
  <c r="M37" i="53"/>
  <c r="R37" i="53"/>
  <c r="R32" i="53"/>
  <c r="O32" i="53"/>
  <c r="E37" i="53"/>
  <c r="O37" i="53"/>
  <c r="P32" i="53" l="1"/>
  <c r="P34" i="53" s="1"/>
  <c r="N37" i="53"/>
  <c r="P37" i="53" s="1"/>
  <c r="I46" i="53"/>
  <c r="F47" i="53"/>
  <c r="I47" i="53"/>
  <c r="H47" i="53"/>
  <c r="K49" i="53"/>
  <c r="K50" i="53" s="1"/>
  <c r="J53" i="53"/>
  <c r="K55" i="53"/>
  <c r="K56" i="53" s="1"/>
  <c r="K58" i="53"/>
  <c r="K59" i="53" s="1"/>
  <c r="K61" i="53"/>
  <c r="K62" i="53" s="1"/>
  <c r="K64" i="53"/>
  <c r="K66" i="53" s="1"/>
  <c r="K65" i="53"/>
  <c r="J70" i="53"/>
  <c r="I72" i="53"/>
  <c r="J72" i="53" s="1"/>
  <c r="I73" i="53"/>
  <c r="J73" i="53" s="1"/>
  <c r="F74" i="53"/>
  <c r="I74" i="53"/>
  <c r="H74" i="53" s="1"/>
  <c r="J74" i="53"/>
  <c r="K76" i="53"/>
  <c r="K77" i="53" s="1"/>
  <c r="K79" i="53"/>
  <c r="K81" i="53" s="1"/>
  <c r="K80" i="53"/>
  <c r="K83" i="53"/>
  <c r="K85" i="53" s="1"/>
  <c r="K84" i="53"/>
  <c r="K87" i="53"/>
  <c r="K90" i="53" s="1"/>
  <c r="K88" i="53"/>
  <c r="K89" i="53"/>
  <c r="J94" i="53"/>
  <c r="K96" i="53"/>
  <c r="K98" i="53" s="1"/>
  <c r="K97" i="53"/>
  <c r="K100" i="53"/>
  <c r="K102" i="53" s="1"/>
  <c r="K101" i="53"/>
  <c r="K109" i="53"/>
  <c r="K111" i="53" s="1"/>
  <c r="K110" i="53"/>
  <c r="J114" i="53"/>
  <c r="M84" i="53"/>
  <c r="G64" i="53"/>
  <c r="D55" i="53"/>
  <c r="M92" i="53"/>
  <c r="G104" i="53"/>
  <c r="M101" i="53"/>
  <c r="M93" i="53"/>
  <c r="G93" i="53"/>
  <c r="M46" i="53"/>
  <c r="D84" i="53"/>
  <c r="M61" i="53"/>
  <c r="G73" i="53"/>
  <c r="D92" i="53"/>
  <c r="D88" i="53"/>
  <c r="G55" i="53"/>
  <c r="M52" i="53"/>
  <c r="D110" i="53"/>
  <c r="D97" i="53"/>
  <c r="G52" i="53"/>
  <c r="G72" i="53"/>
  <c r="M68" i="53"/>
  <c r="M109" i="53"/>
  <c r="G97" i="53"/>
  <c r="G68" i="53"/>
  <c r="D73" i="53"/>
  <c r="G106" i="53"/>
  <c r="G96" i="53"/>
  <c r="M110" i="53"/>
  <c r="L46" i="53"/>
  <c r="G88" i="53"/>
  <c r="M100" i="53"/>
  <c r="M80" i="53"/>
  <c r="D49" i="53"/>
  <c r="D105" i="53"/>
  <c r="M69" i="53"/>
  <c r="G92" i="53"/>
  <c r="D93" i="53"/>
  <c r="D109" i="53"/>
  <c r="M96" i="53"/>
  <c r="D46" i="53"/>
  <c r="G80" i="53"/>
  <c r="G79" i="53"/>
  <c r="D69" i="53"/>
  <c r="D64" i="53"/>
  <c r="D76" i="53"/>
  <c r="D83" i="53"/>
  <c r="D96" i="53"/>
  <c r="D106" i="53"/>
  <c r="G69" i="53"/>
  <c r="D100" i="53"/>
  <c r="M87" i="53"/>
  <c r="G83" i="53"/>
  <c r="G109" i="53"/>
  <c r="M113" i="53"/>
  <c r="D89" i="53"/>
  <c r="D65" i="53"/>
  <c r="M89" i="53"/>
  <c r="D104" i="53"/>
  <c r="M88" i="53"/>
  <c r="G61" i="53"/>
  <c r="M97" i="53"/>
  <c r="G113" i="53"/>
  <c r="G105" i="53"/>
  <c r="D79" i="53"/>
  <c r="G58" i="53"/>
  <c r="G89" i="53"/>
  <c r="G49" i="53"/>
  <c r="G100" i="53"/>
  <c r="L73" i="53"/>
  <c r="D87" i="53"/>
  <c r="M49" i="53"/>
  <c r="M55" i="53"/>
  <c r="G101" i="53"/>
  <c r="M58" i="53"/>
  <c r="M64" i="53"/>
  <c r="G76" i="53"/>
  <c r="G65" i="53"/>
  <c r="M76" i="53"/>
  <c r="D113" i="53"/>
  <c r="D101" i="53"/>
  <c r="G84" i="53"/>
  <c r="M73" i="53"/>
  <c r="G46" i="53"/>
  <c r="M72" i="53"/>
  <c r="M79" i="53"/>
  <c r="D58" i="53"/>
  <c r="M65" i="53"/>
  <c r="L72" i="53"/>
  <c r="D68" i="53"/>
  <c r="G87" i="53"/>
  <c r="M83" i="53"/>
  <c r="G110" i="53"/>
  <c r="D61" i="53"/>
  <c r="D80" i="53"/>
  <c r="D52" i="53"/>
  <c r="D72" i="53"/>
  <c r="K73" i="53" l="1"/>
  <c r="K72" i="53"/>
  <c r="K74" i="53" s="1"/>
  <c r="J46" i="53"/>
  <c r="M187" i="24"/>
  <c r="J187" i="24"/>
  <c r="I187" i="24"/>
  <c r="H187" i="24"/>
  <c r="E187" i="24"/>
  <c r="R187" i="24"/>
  <c r="O187" i="24"/>
  <c r="B187" i="24"/>
  <c r="K46" i="53" l="1"/>
  <c r="K47" i="53" s="1"/>
  <c r="J47" i="53"/>
  <c r="N187" i="24"/>
  <c r="P187" i="24" s="1"/>
  <c r="F300" i="24"/>
  <c r="F430" i="24"/>
  <c r="F575" i="24"/>
  <c r="F233" i="24"/>
  <c r="F308" i="24"/>
  <c r="F252" i="24"/>
  <c r="F391" i="24"/>
  <c r="F422" i="24"/>
  <c r="F256" i="24"/>
  <c r="F454" i="24"/>
  <c r="F587" i="24"/>
  <c r="F589" i="24" s="1"/>
  <c r="F588" i="24"/>
  <c r="F526" i="24"/>
  <c r="F616" i="24"/>
  <c r="F692" i="24"/>
  <c r="F494" i="24"/>
  <c r="F474" i="24"/>
  <c r="F236" i="24"/>
  <c r="F272" i="24"/>
  <c r="F602" i="24"/>
  <c r="F462" i="24"/>
  <c r="F654" i="24"/>
  <c r="F411" i="24"/>
  <c r="F222" i="24"/>
  <c r="F627" i="24"/>
  <c r="F249" i="24"/>
  <c r="F631" i="24"/>
  <c r="F321" i="24"/>
  <c r="F303" i="24"/>
  <c r="F438" i="24"/>
  <c r="F581" i="24"/>
  <c r="F259" i="24"/>
  <c r="F294" i="24"/>
  <c r="F680" i="24"/>
  <c r="F667" i="24"/>
  <c r="F484" i="24"/>
  <c r="F480" i="24"/>
  <c r="F477" i="24"/>
  <c r="F336" i="24"/>
  <c r="F327" i="24"/>
  <c r="F206" i="24"/>
  <c r="F203" i="24"/>
  <c r="F209" i="24"/>
  <c r="F339" i="24"/>
  <c r="F197" i="24"/>
  <c r="F352" i="24"/>
  <c r="F348" i="24"/>
  <c r="F333" i="24"/>
  <c r="F330" i="24"/>
  <c r="F200" i="24"/>
  <c r="F780" i="24"/>
  <c r="F375" i="24"/>
  <c r="F766" i="24"/>
  <c r="F773" i="24"/>
  <c r="F215" i="24"/>
  <c r="F769" i="24"/>
  <c r="F797" i="24"/>
  <c r="H297" i="24"/>
  <c r="L296" i="24"/>
  <c r="H296" i="24"/>
  <c r="L298" i="24"/>
  <c r="K4" i="24"/>
  <c r="L299" i="24"/>
  <c r="H298" i="24"/>
  <c r="L297" i="24"/>
  <c r="H299" i="24"/>
  <c r="I4" i="24" l="1"/>
  <c r="I296" i="24"/>
  <c r="J296" i="24" s="1"/>
  <c r="I298" i="24"/>
  <c r="J298" i="24" s="1"/>
  <c r="I297" i="24"/>
  <c r="J297" i="24" s="1"/>
  <c r="I299" i="24"/>
  <c r="J299" i="24" s="1"/>
  <c r="I424" i="24"/>
  <c r="I425" i="24"/>
  <c r="H428" i="24"/>
  <c r="H429" i="24"/>
  <c r="L426" i="24"/>
  <c r="L425" i="24"/>
  <c r="W4" i="24"/>
  <c r="L428" i="24"/>
  <c r="H426" i="24"/>
  <c r="H427" i="24"/>
  <c r="L429" i="24"/>
  <c r="L424" i="24"/>
  <c r="L427" i="24"/>
  <c r="J300" i="24" l="1"/>
  <c r="I428" i="24"/>
  <c r="J428" i="24" s="1"/>
  <c r="I426" i="24"/>
  <c r="I429" i="24"/>
  <c r="J429" i="24" s="1"/>
  <c r="J425" i="24"/>
  <c r="J424" i="24"/>
  <c r="I427" i="24"/>
  <c r="J427" i="24" s="1"/>
  <c r="Q72" i="24"/>
  <c r="S4" i="24"/>
  <c r="R4" i="24"/>
  <c r="I528" i="24"/>
  <c r="L550" i="24"/>
  <c r="H535" i="24"/>
  <c r="H561" i="24"/>
  <c r="H568" i="24"/>
  <c r="L542" i="24"/>
  <c r="L546" i="24"/>
  <c r="L551" i="24"/>
  <c r="L557" i="24"/>
  <c r="L561" i="24"/>
  <c r="L544" i="24"/>
  <c r="H551" i="24"/>
  <c r="H562" i="24"/>
  <c r="L564" i="24"/>
  <c r="H553" i="24"/>
  <c r="H564" i="24"/>
  <c r="L562" i="24"/>
  <c r="H554" i="24"/>
  <c r="L569" i="24"/>
  <c r="L556" i="24"/>
  <c r="H567" i="24"/>
  <c r="H552" i="24"/>
  <c r="H555" i="24"/>
  <c r="L555" i="24"/>
  <c r="H550" i="24"/>
  <c r="L560" i="24"/>
  <c r="H539" i="24"/>
  <c r="H533" i="24"/>
  <c r="H540" i="24"/>
  <c r="H571" i="24"/>
  <c r="L529" i="24"/>
  <c r="L558" i="24"/>
  <c r="L539" i="24"/>
  <c r="L566" i="24"/>
  <c r="H532" i="24"/>
  <c r="H542" i="24"/>
  <c r="L530" i="24"/>
  <c r="H558" i="24"/>
  <c r="H574" i="24"/>
  <c r="L553" i="24"/>
  <c r="H566" i="24"/>
  <c r="H546" i="24"/>
  <c r="L533" i="24"/>
  <c r="L543" i="24"/>
  <c r="L572" i="24"/>
  <c r="L541" i="24"/>
  <c r="H537" i="24"/>
  <c r="L559" i="24"/>
  <c r="H565" i="24"/>
  <c r="H572" i="24"/>
  <c r="L536" i="24"/>
  <c r="L573" i="24"/>
  <c r="L554" i="24"/>
  <c r="L571" i="24"/>
  <c r="H569" i="24"/>
  <c r="L568" i="24"/>
  <c r="H560" i="24"/>
  <c r="H557" i="24"/>
  <c r="H548" i="24"/>
  <c r="L545" i="24"/>
  <c r="H547" i="24"/>
  <c r="H538" i="24"/>
  <c r="H559" i="24"/>
  <c r="L528" i="24"/>
  <c r="L574" i="24"/>
  <c r="L537" i="24"/>
  <c r="L532" i="24"/>
  <c r="L531" i="24"/>
  <c r="L547" i="24"/>
  <c r="H544" i="24"/>
  <c r="H543" i="24"/>
  <c r="H531" i="24"/>
  <c r="H541" i="24"/>
  <c r="L538" i="24"/>
  <c r="L567" i="24"/>
  <c r="H530" i="24"/>
  <c r="L570" i="24"/>
  <c r="H534" i="24"/>
  <c r="H570" i="24"/>
  <c r="H529" i="24"/>
  <c r="H536" i="24"/>
  <c r="L552" i="24"/>
  <c r="L563" i="24"/>
  <c r="H563" i="24"/>
  <c r="H573" i="24"/>
  <c r="H549" i="24"/>
  <c r="H556" i="24"/>
  <c r="L534" i="24"/>
  <c r="L540" i="24"/>
  <c r="H545" i="24"/>
  <c r="L548" i="24"/>
  <c r="L565" i="24"/>
  <c r="L549" i="24"/>
  <c r="L535" i="24"/>
  <c r="D6" i="24" l="1"/>
  <c r="D14" i="24"/>
  <c r="D22" i="24"/>
  <c r="D30" i="24"/>
  <c r="D38" i="24"/>
  <c r="D46" i="24"/>
  <c r="D54" i="24"/>
  <c r="D62" i="24"/>
  <c r="D70" i="24"/>
  <c r="D7" i="24"/>
  <c r="D15" i="24"/>
  <c r="D23" i="24"/>
  <c r="D31" i="24"/>
  <c r="D39" i="24"/>
  <c r="D47" i="24"/>
  <c r="D55" i="24"/>
  <c r="D63" i="24"/>
  <c r="D8" i="24"/>
  <c r="D16" i="24"/>
  <c r="D24" i="24"/>
  <c r="D32" i="24"/>
  <c r="D40" i="24"/>
  <c r="D48" i="24"/>
  <c r="D56" i="24"/>
  <c r="D64" i="24"/>
  <c r="D9" i="24"/>
  <c r="D17" i="24"/>
  <c r="D25" i="24"/>
  <c r="D33" i="24"/>
  <c r="D41" i="24"/>
  <c r="D49" i="24"/>
  <c r="D57" i="24"/>
  <c r="D65" i="24"/>
  <c r="D10" i="24"/>
  <c r="D18" i="24"/>
  <c r="D26" i="24"/>
  <c r="D34" i="24"/>
  <c r="D42" i="24"/>
  <c r="D50" i="24"/>
  <c r="D58" i="24"/>
  <c r="D66" i="24"/>
  <c r="D11" i="24"/>
  <c r="D19" i="24"/>
  <c r="D27" i="24"/>
  <c r="D35" i="24"/>
  <c r="D43" i="24"/>
  <c r="D51" i="24"/>
  <c r="D59" i="24"/>
  <c r="D67" i="24"/>
  <c r="D12" i="24"/>
  <c r="D20" i="24"/>
  <c r="D28" i="24"/>
  <c r="D36" i="24"/>
  <c r="D44" i="24"/>
  <c r="D52" i="24"/>
  <c r="D60" i="24"/>
  <c r="D68" i="24"/>
  <c r="D5" i="24"/>
  <c r="D13" i="24"/>
  <c r="D21" i="24"/>
  <c r="D29" i="24"/>
  <c r="D37" i="24"/>
  <c r="D45" i="24"/>
  <c r="D53" i="24"/>
  <c r="D61" i="24"/>
  <c r="D69" i="24"/>
  <c r="D4" i="24"/>
  <c r="I572" i="24"/>
  <c r="J572" i="24" s="1"/>
  <c r="I568" i="24"/>
  <c r="J568" i="24" s="1"/>
  <c r="I564" i="24"/>
  <c r="J564" i="24" s="1"/>
  <c r="I560" i="24"/>
  <c r="J560" i="24" s="1"/>
  <c r="I556" i="24"/>
  <c r="J556" i="24" s="1"/>
  <c r="I552" i="24"/>
  <c r="J552" i="24" s="1"/>
  <c r="I548" i="24"/>
  <c r="J548" i="24" s="1"/>
  <c r="I544" i="24"/>
  <c r="J544" i="24" s="1"/>
  <c r="I540" i="24"/>
  <c r="J540" i="24" s="1"/>
  <c r="I536" i="24"/>
  <c r="J536" i="24" s="1"/>
  <c r="I532" i="24"/>
  <c r="J532" i="24" s="1"/>
  <c r="I571" i="24"/>
  <c r="J571" i="24" s="1"/>
  <c r="I567" i="24"/>
  <c r="J567" i="24" s="1"/>
  <c r="I563" i="24"/>
  <c r="J563" i="24" s="1"/>
  <c r="I559" i="24"/>
  <c r="J559" i="24" s="1"/>
  <c r="I555" i="24"/>
  <c r="J555" i="24" s="1"/>
  <c r="I551" i="24"/>
  <c r="J551" i="24" s="1"/>
  <c r="I547" i="24"/>
  <c r="J547" i="24" s="1"/>
  <c r="I543" i="24"/>
  <c r="J543" i="24" s="1"/>
  <c r="I539" i="24"/>
  <c r="J539" i="24" s="1"/>
  <c r="I535" i="24"/>
  <c r="J535" i="24" s="1"/>
  <c r="I531" i="24"/>
  <c r="J531" i="24" s="1"/>
  <c r="I574" i="24"/>
  <c r="J574" i="24" s="1"/>
  <c r="I566" i="24"/>
  <c r="J566" i="24" s="1"/>
  <c r="I562" i="24"/>
  <c r="J562" i="24" s="1"/>
  <c r="I554" i="24"/>
  <c r="J554" i="24" s="1"/>
  <c r="I546" i="24"/>
  <c r="J546" i="24" s="1"/>
  <c r="I542" i="24"/>
  <c r="J542" i="24" s="1"/>
  <c r="I534" i="24"/>
  <c r="J534" i="24" s="1"/>
  <c r="I530" i="24"/>
  <c r="J530" i="24" s="1"/>
  <c r="I570" i="24"/>
  <c r="J570" i="24" s="1"/>
  <c r="I558" i="24"/>
  <c r="J558" i="24" s="1"/>
  <c r="I550" i="24"/>
  <c r="J550" i="24" s="1"/>
  <c r="I538" i="24"/>
  <c r="J538" i="24" s="1"/>
  <c r="I573" i="24"/>
  <c r="J573" i="24" s="1"/>
  <c r="I569" i="24"/>
  <c r="J569" i="24" s="1"/>
  <c r="I565" i="24"/>
  <c r="J565" i="24" s="1"/>
  <c r="I561" i="24"/>
  <c r="J561" i="24" s="1"/>
  <c r="I557" i="24"/>
  <c r="J557" i="24" s="1"/>
  <c r="I553" i="24"/>
  <c r="J553" i="24" s="1"/>
  <c r="I549" i="24"/>
  <c r="J549" i="24" s="1"/>
  <c r="I545" i="24"/>
  <c r="J545" i="24" s="1"/>
  <c r="I541" i="24"/>
  <c r="J541" i="24" s="1"/>
  <c r="I537" i="24"/>
  <c r="J537" i="24" s="1"/>
  <c r="I533" i="24"/>
  <c r="J533" i="24" s="1"/>
  <c r="I529" i="24"/>
  <c r="J529" i="24" s="1"/>
  <c r="J528" i="24"/>
  <c r="J426" i="24"/>
  <c r="J430" i="24" s="1"/>
  <c r="I430" i="24"/>
  <c r="H430" i="24" s="1"/>
  <c r="I228" i="24"/>
  <c r="I233" i="24" s="1"/>
  <c r="H233" i="24" s="1"/>
  <c r="I229" i="24"/>
  <c r="I230" i="24"/>
  <c r="I231" i="24"/>
  <c r="I232" i="24"/>
  <c r="L231" i="24"/>
  <c r="L230" i="24"/>
  <c r="L232" i="24"/>
  <c r="L228" i="24"/>
  <c r="L229" i="24"/>
  <c r="J575" i="24" l="1"/>
  <c r="I575" i="24"/>
  <c r="H575" i="24" s="1"/>
  <c r="J229" i="24"/>
  <c r="J232" i="24"/>
  <c r="J228" i="24"/>
  <c r="J231" i="24"/>
  <c r="J230" i="24"/>
  <c r="I305" i="24"/>
  <c r="I308" i="24" s="1"/>
  <c r="H308" i="24" s="1"/>
  <c r="I306" i="24"/>
  <c r="I307" i="24"/>
  <c r="J306" i="24"/>
  <c r="J307" i="24"/>
  <c r="L305" i="24"/>
  <c r="L306" i="24"/>
  <c r="L307" i="24"/>
  <c r="J233" i="24" l="1"/>
  <c r="K307" i="24"/>
  <c r="K306" i="24"/>
  <c r="J305" i="24"/>
  <c r="K305" i="24" s="1"/>
  <c r="I251" i="24"/>
  <c r="I252" i="24"/>
  <c r="H252" i="24" s="1"/>
  <c r="J251" i="24"/>
  <c r="L251" i="24"/>
  <c r="K308" i="24" l="1"/>
  <c r="K251" i="24"/>
  <c r="K252" i="24" s="1"/>
  <c r="I386" i="24"/>
  <c r="I387" i="24"/>
  <c r="I388" i="24"/>
  <c r="H389" i="24"/>
  <c r="L388" i="24"/>
  <c r="L389" i="24"/>
  <c r="H390" i="24"/>
  <c r="L386" i="24"/>
  <c r="L387" i="24"/>
  <c r="L390" i="24"/>
  <c r="J386" i="24" l="1"/>
  <c r="I390" i="24"/>
  <c r="I389" i="24"/>
  <c r="J389" i="24" s="1"/>
  <c r="J388" i="24"/>
  <c r="J387" i="24"/>
  <c r="I414" i="24"/>
  <c r="I415" i="24"/>
  <c r="I416" i="24"/>
  <c r="J414" i="24"/>
  <c r="J415" i="24"/>
  <c r="J416" i="24"/>
  <c r="H420" i="24"/>
  <c r="L418" i="24"/>
  <c r="L421" i="24"/>
  <c r="L413" i="24"/>
  <c r="H421" i="24"/>
  <c r="L417" i="24"/>
  <c r="H418" i="24"/>
  <c r="L419" i="24"/>
  <c r="L414" i="24"/>
  <c r="H417" i="24"/>
  <c r="H413" i="24"/>
  <c r="H419" i="24"/>
  <c r="L420" i="24"/>
  <c r="L416" i="24"/>
  <c r="L415" i="24"/>
  <c r="I421" i="24" l="1"/>
  <c r="J421" i="24" s="1"/>
  <c r="K421" i="24" s="1"/>
  <c r="I417" i="24"/>
  <c r="J417" i="24" s="1"/>
  <c r="K417" i="24" s="1"/>
  <c r="K414" i="24"/>
  <c r="I420" i="24"/>
  <c r="J420" i="24" s="1"/>
  <c r="K420" i="24" s="1"/>
  <c r="I419" i="24"/>
  <c r="J419" i="24" s="1"/>
  <c r="K419" i="24" s="1"/>
  <c r="I413" i="24"/>
  <c r="I418" i="24"/>
  <c r="J418" i="24" s="1"/>
  <c r="K418" i="24" s="1"/>
  <c r="K416" i="24"/>
  <c r="K415" i="24"/>
  <c r="I391" i="24"/>
  <c r="H391" i="24" s="1"/>
  <c r="J390" i="24"/>
  <c r="J391" i="24" s="1"/>
  <c r="I254" i="24"/>
  <c r="I255" i="24"/>
  <c r="J255" i="24" s="1"/>
  <c r="I256" i="24"/>
  <c r="H256" i="24" s="1"/>
  <c r="J254" i="24"/>
  <c r="L255" i="24"/>
  <c r="L254" i="24"/>
  <c r="K254" i="24" l="1"/>
  <c r="K255" i="24"/>
  <c r="I422" i="24"/>
  <c r="H422" i="24" s="1"/>
  <c r="J413" i="24"/>
  <c r="K413" i="24" s="1"/>
  <c r="K422" i="24" s="1"/>
  <c r="I440" i="24"/>
  <c r="I441" i="24"/>
  <c r="I442" i="24"/>
  <c r="I443" i="24"/>
  <c r="I444" i="24"/>
  <c r="I445" i="24"/>
  <c r="I446" i="24"/>
  <c r="I447" i="24"/>
  <c r="I448" i="24"/>
  <c r="I449" i="24"/>
  <c r="I450" i="24"/>
  <c r="L445" i="24"/>
  <c r="L451" i="24"/>
  <c r="H453" i="24"/>
  <c r="L443" i="24"/>
  <c r="L447" i="24"/>
  <c r="H451" i="24"/>
  <c r="L441" i="24"/>
  <c r="L453" i="24"/>
  <c r="L448" i="24"/>
  <c r="L444" i="24"/>
  <c r="L450" i="24"/>
  <c r="L452" i="24"/>
  <c r="L442" i="24"/>
  <c r="L446" i="24"/>
  <c r="H452" i="24"/>
  <c r="L440" i="24"/>
  <c r="L449" i="24"/>
  <c r="K256" i="24" l="1"/>
  <c r="J447" i="24"/>
  <c r="J443" i="24"/>
  <c r="J446" i="24"/>
  <c r="I453" i="24"/>
  <c r="J453" i="24" s="1"/>
  <c r="J449" i="24"/>
  <c r="J445" i="24"/>
  <c r="J441" i="24"/>
  <c r="I452" i="24"/>
  <c r="J452" i="24" s="1"/>
  <c r="J450" i="24"/>
  <c r="J442" i="24"/>
  <c r="J444" i="24"/>
  <c r="I451" i="24"/>
  <c r="J451" i="24" s="1"/>
  <c r="J440" i="24"/>
  <c r="J448" i="24"/>
  <c r="I261" i="24"/>
  <c r="I262" i="24" s="1"/>
  <c r="H262" i="24" s="1"/>
  <c r="F262" i="24"/>
  <c r="E262" i="24"/>
  <c r="L261" i="24"/>
  <c r="I454" i="24" l="1"/>
  <c r="H454" i="24" s="1"/>
  <c r="J261" i="24"/>
  <c r="J262" i="24" s="1"/>
  <c r="J454" i="24"/>
  <c r="I669" i="24"/>
  <c r="F677" i="24"/>
  <c r="H674" i="24"/>
  <c r="H675" i="24"/>
  <c r="H672" i="24"/>
  <c r="H673" i="24"/>
  <c r="H670" i="24"/>
  <c r="H671" i="24"/>
  <c r="H676" i="24"/>
  <c r="I672" i="24" l="1"/>
  <c r="I675" i="24"/>
  <c r="I674" i="24"/>
  <c r="I670" i="24"/>
  <c r="I671" i="24"/>
  <c r="I676" i="24"/>
  <c r="I673" i="24"/>
  <c r="L673" i="24"/>
  <c r="L675" i="24"/>
  <c r="L669" i="24"/>
  <c r="L674" i="24"/>
  <c r="L671" i="24"/>
  <c r="L670" i="24"/>
  <c r="L676" i="24"/>
  <c r="L672" i="24"/>
  <c r="I677" i="24" l="1"/>
  <c r="H677" i="24" s="1"/>
  <c r="J675" i="24"/>
  <c r="J671" i="24"/>
  <c r="J674" i="24"/>
  <c r="J670" i="24"/>
  <c r="J673" i="24"/>
  <c r="J669" i="24"/>
  <c r="J672" i="24"/>
  <c r="J676" i="24"/>
  <c r="L587" i="24"/>
  <c r="H587" i="24"/>
  <c r="H588" i="24"/>
  <c r="L588" i="24"/>
  <c r="J677" i="24" l="1"/>
  <c r="I588" i="24"/>
  <c r="J588" i="24" s="1"/>
  <c r="K588" i="24" s="1"/>
  <c r="I587" i="24"/>
  <c r="H503" i="24"/>
  <c r="H512" i="24"/>
  <c r="L520" i="24"/>
  <c r="H523" i="24"/>
  <c r="H496" i="24"/>
  <c r="H508" i="24"/>
  <c r="H520" i="24"/>
  <c r="L509" i="24"/>
  <c r="L502" i="24"/>
  <c r="H501" i="24"/>
  <c r="L508" i="24"/>
  <c r="H506" i="24"/>
  <c r="L507" i="24"/>
  <c r="H522" i="24"/>
  <c r="H504" i="24"/>
  <c r="L512" i="24"/>
  <c r="L513" i="24"/>
  <c r="L498" i="24"/>
  <c r="L521" i="24"/>
  <c r="L511" i="24"/>
  <c r="H509" i="24"/>
  <c r="H513" i="24"/>
  <c r="L516" i="24"/>
  <c r="H498" i="24"/>
  <c r="H518" i="24"/>
  <c r="L522" i="24"/>
  <c r="L524" i="24"/>
  <c r="L517" i="24"/>
  <c r="L500" i="24"/>
  <c r="H519" i="24"/>
  <c r="L505" i="24"/>
  <c r="H511" i="24"/>
  <c r="H497" i="24"/>
  <c r="L497" i="24"/>
  <c r="H502" i="24"/>
  <c r="H525" i="24"/>
  <c r="H524" i="24"/>
  <c r="L510" i="24"/>
  <c r="L514" i="24"/>
  <c r="H521" i="24"/>
  <c r="H515" i="24"/>
  <c r="H514" i="24"/>
  <c r="H517" i="24"/>
  <c r="H500" i="24"/>
  <c r="L501" i="24"/>
  <c r="L515" i="24"/>
  <c r="L523" i="24"/>
  <c r="L503" i="24"/>
  <c r="L504" i="24"/>
  <c r="L499" i="24"/>
  <c r="L506" i="24"/>
  <c r="H507" i="24"/>
  <c r="H510" i="24"/>
  <c r="H516" i="24"/>
  <c r="L519" i="24"/>
  <c r="L525" i="24"/>
  <c r="L518" i="24"/>
  <c r="H499" i="24"/>
  <c r="H505" i="24"/>
  <c r="L496" i="24"/>
  <c r="I524" i="24" l="1"/>
  <c r="J524" i="24" s="1"/>
  <c r="I516" i="24"/>
  <c r="J516" i="24" s="1"/>
  <c r="I523" i="24"/>
  <c r="J523" i="24" s="1"/>
  <c r="I519" i="24"/>
  <c r="J519" i="24" s="1"/>
  <c r="I515" i="24"/>
  <c r="J515" i="24" s="1"/>
  <c r="I511" i="24"/>
  <c r="J511" i="24" s="1"/>
  <c r="I507" i="24"/>
  <c r="J507" i="24" s="1"/>
  <c r="I503" i="24"/>
  <c r="J503" i="24" s="1"/>
  <c r="I499" i="24"/>
  <c r="J499" i="24" s="1"/>
  <c r="I512" i="24"/>
  <c r="J512" i="24" s="1"/>
  <c r="I522" i="24"/>
  <c r="J522" i="24" s="1"/>
  <c r="I518" i="24"/>
  <c r="J518" i="24" s="1"/>
  <c r="I514" i="24"/>
  <c r="J514" i="24" s="1"/>
  <c r="I510" i="24"/>
  <c r="J510" i="24" s="1"/>
  <c r="I506" i="24"/>
  <c r="J506" i="24" s="1"/>
  <c r="I502" i="24"/>
  <c r="J502" i="24" s="1"/>
  <c r="I498" i="24"/>
  <c r="J498" i="24" s="1"/>
  <c r="I525" i="24"/>
  <c r="J525" i="24" s="1"/>
  <c r="I521" i="24"/>
  <c r="J521" i="24" s="1"/>
  <c r="I517" i="24"/>
  <c r="J517" i="24" s="1"/>
  <c r="I513" i="24"/>
  <c r="J513" i="24" s="1"/>
  <c r="I509" i="24"/>
  <c r="J509" i="24" s="1"/>
  <c r="I505" i="24"/>
  <c r="J505" i="24" s="1"/>
  <c r="I501" i="24"/>
  <c r="J501" i="24" s="1"/>
  <c r="I497" i="24"/>
  <c r="J497" i="24" s="1"/>
  <c r="I520" i="24"/>
  <c r="J520" i="24" s="1"/>
  <c r="I508" i="24"/>
  <c r="J508" i="24" s="1"/>
  <c r="I504" i="24"/>
  <c r="J504" i="24" s="1"/>
  <c r="I500" i="24"/>
  <c r="J500" i="24" s="1"/>
  <c r="I496" i="24"/>
  <c r="I589" i="24"/>
  <c r="H589" i="24" s="1"/>
  <c r="J587" i="24"/>
  <c r="K587" i="24" s="1"/>
  <c r="K589" i="24" s="1"/>
  <c r="I605" i="24"/>
  <c r="I606" i="24"/>
  <c r="I607" i="24"/>
  <c r="H610" i="24"/>
  <c r="H613" i="24"/>
  <c r="L615" i="24"/>
  <c r="L614" i="24"/>
  <c r="L613" i="24"/>
  <c r="H614" i="24"/>
  <c r="H615" i="24"/>
  <c r="L605" i="24"/>
  <c r="H611" i="24"/>
  <c r="H609" i="24"/>
  <c r="L607" i="24"/>
  <c r="L606" i="24"/>
  <c r="H612" i="24"/>
  <c r="L609" i="24"/>
  <c r="L608" i="24"/>
  <c r="L612" i="24"/>
  <c r="H608" i="24"/>
  <c r="L611" i="24"/>
  <c r="L610" i="24"/>
  <c r="I612" i="24" l="1"/>
  <c r="J612" i="24" s="1"/>
  <c r="J607" i="24"/>
  <c r="I615" i="24"/>
  <c r="J615" i="24" s="1"/>
  <c r="I611" i="24"/>
  <c r="J611" i="24" s="1"/>
  <c r="I608" i="24"/>
  <c r="J606" i="24"/>
  <c r="I614" i="24"/>
  <c r="J614" i="24" s="1"/>
  <c r="I610" i="24"/>
  <c r="J610" i="24" s="1"/>
  <c r="I613" i="24"/>
  <c r="J613" i="24" s="1"/>
  <c r="I609" i="24"/>
  <c r="J609" i="24" s="1"/>
  <c r="J605" i="24"/>
  <c r="I526" i="24"/>
  <c r="H526" i="24" s="1"/>
  <c r="J496" i="24"/>
  <c r="J526" i="24" s="1"/>
  <c r="H683" i="24"/>
  <c r="H685" i="24"/>
  <c r="H682" i="24"/>
  <c r="H690" i="24"/>
  <c r="H688" i="24"/>
  <c r="H691" i="24"/>
  <c r="L686" i="24"/>
  <c r="L691" i="24"/>
  <c r="H689" i="24"/>
  <c r="L682" i="24"/>
  <c r="L684" i="24"/>
  <c r="H686" i="24"/>
  <c r="L688" i="24"/>
  <c r="L687" i="24"/>
  <c r="L685" i="24"/>
  <c r="L683" i="24"/>
  <c r="H684" i="24"/>
  <c r="L690" i="24"/>
  <c r="H687" i="24"/>
  <c r="L689" i="24"/>
  <c r="I686" i="24" l="1"/>
  <c r="J686" i="24" s="1"/>
  <c r="I682" i="24"/>
  <c r="I690" i="24"/>
  <c r="J690" i="24" s="1"/>
  <c r="I688" i="24"/>
  <c r="J688" i="24" s="1"/>
  <c r="I684" i="24"/>
  <c r="J684" i="24" s="1"/>
  <c r="I689" i="24"/>
  <c r="J689" i="24" s="1"/>
  <c r="I685" i="24"/>
  <c r="J685" i="24" s="1"/>
  <c r="I691" i="24"/>
  <c r="J691" i="24" s="1"/>
  <c r="I687" i="24"/>
  <c r="J687" i="24" s="1"/>
  <c r="I683" i="24"/>
  <c r="J683" i="24" s="1"/>
  <c r="J608" i="24"/>
  <c r="J616" i="24" s="1"/>
  <c r="I616" i="24"/>
  <c r="H616" i="24" s="1"/>
  <c r="G494" i="24"/>
  <c r="H490" i="24"/>
  <c r="H487" i="24"/>
  <c r="H492" i="24"/>
  <c r="H489" i="24"/>
  <c r="H493" i="24"/>
  <c r="H486" i="24"/>
  <c r="H491" i="24"/>
  <c r="I493" i="24" l="1"/>
  <c r="I487" i="24"/>
  <c r="I491" i="24"/>
  <c r="I486" i="24"/>
  <c r="I490" i="24"/>
  <c r="I489" i="24"/>
  <c r="I492" i="24"/>
  <c r="I692" i="24"/>
  <c r="H692" i="24" s="1"/>
  <c r="J682" i="24"/>
  <c r="J692" i="24" s="1"/>
  <c r="L492" i="24"/>
  <c r="L489" i="24"/>
  <c r="L493" i="24"/>
  <c r="L487" i="24"/>
  <c r="L491" i="24"/>
  <c r="L486" i="24"/>
  <c r="L490" i="24"/>
  <c r="I494" i="24" l="1"/>
  <c r="H494" i="24" s="1"/>
  <c r="J486" i="24"/>
  <c r="J490" i="24"/>
  <c r="J493" i="24"/>
  <c r="J489" i="24"/>
  <c r="J491" i="24"/>
  <c r="J492" i="24"/>
  <c r="J487" i="24"/>
  <c r="I467" i="24"/>
  <c r="J467" i="24"/>
  <c r="I468" i="24"/>
  <c r="J468" i="24"/>
  <c r="I469" i="24"/>
  <c r="J469" i="24"/>
  <c r="I470" i="24"/>
  <c r="J470" i="24" s="1"/>
  <c r="H471" i="24"/>
  <c r="H472" i="24"/>
  <c r="H473" i="24"/>
  <c r="L472" i="24"/>
  <c r="L473" i="24"/>
  <c r="L469" i="24"/>
  <c r="L471" i="24"/>
  <c r="L470" i="24"/>
  <c r="L467" i="24"/>
  <c r="L468" i="24"/>
  <c r="I471" i="24" l="1"/>
  <c r="J471" i="24" s="1"/>
  <c r="K471" i="24" s="1"/>
  <c r="K468" i="24"/>
  <c r="I472" i="24"/>
  <c r="J472" i="24" s="1"/>
  <c r="K472" i="24" s="1"/>
  <c r="K469" i="24"/>
  <c r="K467" i="24"/>
  <c r="I473" i="24"/>
  <c r="J473" i="24" s="1"/>
  <c r="K473" i="24" s="1"/>
  <c r="K470" i="24"/>
  <c r="J494" i="24"/>
  <c r="I235" i="24"/>
  <c r="I236" i="24"/>
  <c r="H236" i="24" s="1"/>
  <c r="L235" i="24"/>
  <c r="K474" i="24" l="1"/>
  <c r="J235" i="24"/>
  <c r="J236" i="24" s="1"/>
  <c r="I264" i="24"/>
  <c r="I265" i="24"/>
  <c r="I266" i="24"/>
  <c r="I267" i="24"/>
  <c r="I268" i="24"/>
  <c r="I269" i="24"/>
  <c r="I270" i="24"/>
  <c r="I271" i="24"/>
  <c r="L266" i="24"/>
  <c r="L268" i="24"/>
  <c r="L269" i="24"/>
  <c r="L264" i="24"/>
  <c r="L265" i="24"/>
  <c r="L270" i="24"/>
  <c r="L267" i="24"/>
  <c r="L271" i="24"/>
  <c r="J270" i="24" l="1"/>
  <c r="J264" i="24"/>
  <c r="J265" i="24"/>
  <c r="J271" i="24"/>
  <c r="J267" i="24"/>
  <c r="J269" i="24"/>
  <c r="J268" i="24"/>
  <c r="J266" i="24"/>
  <c r="I272" i="24"/>
  <c r="H272" i="24" s="1"/>
  <c r="L592" i="24"/>
  <c r="H597" i="24"/>
  <c r="H593" i="24"/>
  <c r="L596" i="24"/>
  <c r="H595" i="24"/>
  <c r="L600" i="24"/>
  <c r="H601" i="24"/>
  <c r="L597" i="24"/>
  <c r="H598" i="24"/>
  <c r="L599" i="24"/>
  <c r="L593" i="24"/>
  <c r="H596" i="24"/>
  <c r="L595" i="24"/>
  <c r="H592" i="24"/>
  <c r="H594" i="24"/>
  <c r="H599" i="24"/>
  <c r="L598" i="24"/>
  <c r="H591" i="24"/>
  <c r="L594" i="24"/>
  <c r="L591" i="24"/>
  <c r="L601" i="24"/>
  <c r="H600" i="24"/>
  <c r="J272" i="24" l="1"/>
  <c r="I600" i="24"/>
  <c r="J600" i="24" s="1"/>
  <c r="K600" i="24" s="1"/>
  <c r="I595" i="24"/>
  <c r="J595" i="24" s="1"/>
  <c r="K595" i="24" s="1"/>
  <c r="I591" i="24"/>
  <c r="I598" i="24"/>
  <c r="J598" i="24" s="1"/>
  <c r="K598" i="24" s="1"/>
  <c r="I594" i="24"/>
  <c r="J594" i="24" s="1"/>
  <c r="K594" i="24" s="1"/>
  <c r="I596" i="24"/>
  <c r="J596" i="24" s="1"/>
  <c r="K596" i="24" s="1"/>
  <c r="I592" i="24"/>
  <c r="J592" i="24" s="1"/>
  <c r="K592" i="24" s="1"/>
  <c r="I599" i="24"/>
  <c r="J599" i="24" s="1"/>
  <c r="K599" i="24" s="1"/>
  <c r="I601" i="24"/>
  <c r="J601" i="24" s="1"/>
  <c r="K601" i="24" s="1"/>
  <c r="I597" i="24"/>
  <c r="J597" i="24" s="1"/>
  <c r="K597" i="24" s="1"/>
  <c r="I593" i="24"/>
  <c r="J593" i="24" s="1"/>
  <c r="K593" i="24" s="1"/>
  <c r="I456" i="24"/>
  <c r="I457" i="24"/>
  <c r="I458" i="24"/>
  <c r="I459" i="24"/>
  <c r="I460" i="24"/>
  <c r="H461" i="24"/>
  <c r="L461" i="24"/>
  <c r="L459" i="24"/>
  <c r="L456" i="24"/>
  <c r="L458" i="24"/>
  <c r="L460" i="24"/>
  <c r="L457" i="24"/>
  <c r="J457" i="24" l="1"/>
  <c r="J456" i="24"/>
  <c r="I461" i="24"/>
  <c r="J460" i="24"/>
  <c r="J459" i="24"/>
  <c r="J458" i="24"/>
  <c r="J591" i="24"/>
  <c r="K591" i="24" s="1"/>
  <c r="K602" i="24" s="1"/>
  <c r="I602" i="24"/>
  <c r="H602" i="24" s="1"/>
  <c r="L639" i="24"/>
  <c r="H635" i="24"/>
  <c r="L649" i="24"/>
  <c r="M649" i="24"/>
  <c r="H645" i="24"/>
  <c r="M637" i="24"/>
  <c r="L638" i="24"/>
  <c r="L644" i="24"/>
  <c r="M643" i="24"/>
  <c r="M640" i="24"/>
  <c r="M636" i="24"/>
  <c r="M651" i="24"/>
  <c r="H646" i="24"/>
  <c r="L637" i="24"/>
  <c r="L634" i="24"/>
  <c r="H643" i="24"/>
  <c r="M653" i="24"/>
  <c r="L652" i="24"/>
  <c r="M642" i="24"/>
  <c r="L653" i="24"/>
  <c r="L640" i="24"/>
  <c r="M635" i="24"/>
  <c r="H642" i="24"/>
  <c r="H652" i="24"/>
  <c r="L636" i="24"/>
  <c r="M645" i="24"/>
  <c r="M647" i="24"/>
  <c r="M644" i="24"/>
  <c r="H649" i="24"/>
  <c r="L650" i="24"/>
  <c r="L648" i="24"/>
  <c r="M648" i="24"/>
  <c r="H648" i="24"/>
  <c r="M641" i="24"/>
  <c r="M646" i="24"/>
  <c r="H647" i="24"/>
  <c r="L646" i="24"/>
  <c r="L642" i="24"/>
  <c r="H633" i="24"/>
  <c r="L645" i="24"/>
  <c r="H644" i="24"/>
  <c r="H651" i="24"/>
  <c r="H636" i="24"/>
  <c r="M633" i="24"/>
  <c r="M639" i="24"/>
  <c r="M634" i="24"/>
  <c r="H638" i="24"/>
  <c r="M650" i="24"/>
  <c r="H634" i="24"/>
  <c r="H641" i="24"/>
  <c r="L651" i="24"/>
  <c r="H650" i="24"/>
  <c r="M652" i="24"/>
  <c r="L647" i="24"/>
  <c r="M638" i="24"/>
  <c r="H637" i="24"/>
  <c r="L643" i="24"/>
  <c r="H640" i="24"/>
  <c r="L633" i="24"/>
  <c r="L635" i="24"/>
  <c r="H639" i="24"/>
  <c r="L641" i="24"/>
  <c r="H653" i="24"/>
  <c r="I653" i="24" l="1"/>
  <c r="J653" i="24" s="1"/>
  <c r="K653" i="24" s="1"/>
  <c r="I641" i="24"/>
  <c r="J641" i="24" s="1"/>
  <c r="K641" i="24" s="1"/>
  <c r="I643" i="24"/>
  <c r="J643" i="24" s="1"/>
  <c r="K643" i="24" s="1"/>
  <c r="I639" i="24"/>
  <c r="J639" i="24" s="1"/>
  <c r="K639" i="24" s="1"/>
  <c r="I650" i="24"/>
  <c r="J650" i="24" s="1"/>
  <c r="K650" i="24" s="1"/>
  <c r="I646" i="24"/>
  <c r="J646" i="24" s="1"/>
  <c r="K646" i="24" s="1"/>
  <c r="I642" i="24"/>
  <c r="J642" i="24" s="1"/>
  <c r="K642" i="24" s="1"/>
  <c r="I638" i="24"/>
  <c r="J638" i="24" s="1"/>
  <c r="K638" i="24" s="1"/>
  <c r="I634" i="24"/>
  <c r="J634" i="24" s="1"/>
  <c r="K634" i="24" s="1"/>
  <c r="I649" i="24"/>
  <c r="J649" i="24" s="1"/>
  <c r="K649" i="24" s="1"/>
  <c r="I637" i="24"/>
  <c r="J637" i="24" s="1"/>
  <c r="K637" i="24" s="1"/>
  <c r="I644" i="24"/>
  <c r="J644" i="24" s="1"/>
  <c r="K644" i="24" s="1"/>
  <c r="I652" i="24"/>
  <c r="J652" i="24" s="1"/>
  <c r="K652" i="24" s="1"/>
  <c r="I640" i="24"/>
  <c r="J640" i="24" s="1"/>
  <c r="K640" i="24" s="1"/>
  <c r="I651" i="24"/>
  <c r="J651" i="24" s="1"/>
  <c r="K651" i="24" s="1"/>
  <c r="I635" i="24"/>
  <c r="J635" i="24" s="1"/>
  <c r="K635" i="24" s="1"/>
  <c r="I645" i="24"/>
  <c r="J645" i="24" s="1"/>
  <c r="K645" i="24" s="1"/>
  <c r="I633" i="24"/>
  <c r="I648" i="24"/>
  <c r="J648" i="24" s="1"/>
  <c r="K648" i="24" s="1"/>
  <c r="I636" i="24"/>
  <c r="J636" i="24" s="1"/>
  <c r="K636" i="24" s="1"/>
  <c r="I647" i="24"/>
  <c r="J647" i="24" s="1"/>
  <c r="K647" i="24" s="1"/>
  <c r="I462" i="24"/>
  <c r="H462" i="24" s="1"/>
  <c r="J461" i="24"/>
  <c r="J462" i="24" s="1"/>
  <c r="I405" i="24"/>
  <c r="I406" i="24"/>
  <c r="L407" i="24"/>
  <c r="H408" i="24"/>
  <c r="L405" i="24"/>
  <c r="L408" i="24"/>
  <c r="H409" i="24"/>
  <c r="L410" i="24"/>
  <c r="L409" i="24"/>
  <c r="H407" i="24"/>
  <c r="L406" i="24"/>
  <c r="H410" i="24"/>
  <c r="J405" i="24" l="1"/>
  <c r="I408" i="24"/>
  <c r="J408" i="24" s="1"/>
  <c r="I407" i="24"/>
  <c r="J407" i="24" s="1"/>
  <c r="I410" i="24"/>
  <c r="J410" i="24" s="1"/>
  <c r="J406" i="24"/>
  <c r="I409" i="24"/>
  <c r="J409" i="24" s="1"/>
  <c r="I654" i="24"/>
  <c r="H654" i="24" s="1"/>
  <c r="J633" i="24"/>
  <c r="I217" i="24"/>
  <c r="I222" i="24" s="1"/>
  <c r="H222" i="24" s="1"/>
  <c r="I218" i="24"/>
  <c r="I219" i="24"/>
  <c r="I220" i="24"/>
  <c r="I221" i="24"/>
  <c r="L219" i="24"/>
  <c r="L221" i="24"/>
  <c r="L218" i="24"/>
  <c r="L220" i="24"/>
  <c r="L217" i="24"/>
  <c r="J411" i="24" l="1"/>
  <c r="J218" i="24"/>
  <c r="J217" i="24"/>
  <c r="J219" i="24"/>
  <c r="J221" i="24"/>
  <c r="J220" i="24"/>
  <c r="K633" i="24"/>
  <c r="K654" i="24" s="1"/>
  <c r="J654" i="24"/>
  <c r="I411" i="24"/>
  <c r="H411" i="24" s="1"/>
  <c r="H626" i="24"/>
  <c r="L625" i="24"/>
  <c r="H621" i="24"/>
  <c r="L620" i="24"/>
  <c r="H625" i="24"/>
  <c r="L621" i="24"/>
  <c r="L624" i="24"/>
  <c r="H619" i="24"/>
  <c r="H622" i="24"/>
  <c r="L626" i="24"/>
  <c r="H624" i="24"/>
  <c r="H618" i="24"/>
  <c r="L622" i="24"/>
  <c r="L619" i="24"/>
  <c r="L623" i="24"/>
  <c r="H623" i="24"/>
  <c r="L618" i="24"/>
  <c r="H620" i="24"/>
  <c r="J222" i="24" l="1"/>
  <c r="I624" i="24"/>
  <c r="J624" i="24" s="1"/>
  <c r="I619" i="24"/>
  <c r="J619" i="24" s="1"/>
  <c r="I626" i="24"/>
  <c r="J626" i="24" s="1"/>
  <c r="I622" i="24"/>
  <c r="J622" i="24" s="1"/>
  <c r="I618" i="24"/>
  <c r="I625" i="24"/>
  <c r="J625" i="24" s="1"/>
  <c r="I621" i="24"/>
  <c r="J621" i="24" s="1"/>
  <c r="I620" i="24"/>
  <c r="J620" i="24" s="1"/>
  <c r="I623" i="24"/>
  <c r="J623" i="24" s="1"/>
  <c r="I241" i="24"/>
  <c r="I242" i="24"/>
  <c r="I243" i="24"/>
  <c r="I244" i="24"/>
  <c r="J244" i="24" s="1"/>
  <c r="I245" i="24"/>
  <c r="I246" i="24"/>
  <c r="I247" i="24"/>
  <c r="J247" i="24" s="1"/>
  <c r="I248" i="24"/>
  <c r="J248" i="24" s="1"/>
  <c r="J241" i="24"/>
  <c r="J242" i="24"/>
  <c r="J243" i="24"/>
  <c r="J245" i="24"/>
  <c r="J246" i="24"/>
  <c r="L242" i="24"/>
  <c r="L245" i="24"/>
  <c r="L247" i="24"/>
  <c r="L248" i="24"/>
  <c r="L243" i="24"/>
  <c r="L241" i="24"/>
  <c r="L244" i="24"/>
  <c r="L246" i="24"/>
  <c r="K245" i="24" l="1"/>
  <c r="K242" i="24"/>
  <c r="K241" i="24"/>
  <c r="K248" i="24"/>
  <c r="K247" i="24"/>
  <c r="K246" i="24"/>
  <c r="K244" i="24"/>
  <c r="K243" i="24"/>
  <c r="I249" i="24"/>
  <c r="H249" i="24" s="1"/>
  <c r="J618" i="24"/>
  <c r="J627" i="24" s="1"/>
  <c r="I627" i="24"/>
  <c r="H627" i="24" s="1"/>
  <c r="L630" i="24"/>
  <c r="L629" i="24"/>
  <c r="H629" i="24"/>
  <c r="H630" i="24"/>
  <c r="K249" i="24" l="1"/>
  <c r="I630" i="24"/>
  <c r="I629" i="24"/>
  <c r="J629" i="24" s="1"/>
  <c r="K629" i="24" s="1"/>
  <c r="L317" i="24"/>
  <c r="H319" i="24"/>
  <c r="H317" i="24"/>
  <c r="L311" i="24"/>
  <c r="L312" i="24"/>
  <c r="H313" i="24"/>
  <c r="L318" i="24"/>
  <c r="H311" i="24"/>
  <c r="L315" i="24"/>
  <c r="H312" i="24"/>
  <c r="H314" i="24"/>
  <c r="H318" i="24"/>
  <c r="L319" i="24"/>
  <c r="L313" i="24"/>
  <c r="L314" i="24"/>
  <c r="L310" i="24"/>
  <c r="H320" i="24"/>
  <c r="L320" i="24"/>
  <c r="L316" i="24"/>
  <c r="H315" i="24"/>
  <c r="H316" i="24"/>
  <c r="H310" i="24"/>
  <c r="I320" i="24" l="1"/>
  <c r="J320" i="24" s="1"/>
  <c r="K320" i="24" s="1"/>
  <c r="I319" i="24"/>
  <c r="J319" i="24" s="1"/>
  <c r="K319" i="24" s="1"/>
  <c r="I315" i="24"/>
  <c r="J315" i="24" s="1"/>
  <c r="K315" i="24" s="1"/>
  <c r="I311" i="24"/>
  <c r="J311" i="24" s="1"/>
  <c r="K311" i="24" s="1"/>
  <c r="I318" i="24"/>
  <c r="J318" i="24" s="1"/>
  <c r="K318" i="24" s="1"/>
  <c r="I314" i="24"/>
  <c r="J314" i="24" s="1"/>
  <c r="K314" i="24" s="1"/>
  <c r="I310" i="24"/>
  <c r="I317" i="24"/>
  <c r="J317" i="24" s="1"/>
  <c r="K317" i="24" s="1"/>
  <c r="I313" i="24"/>
  <c r="J313" i="24" s="1"/>
  <c r="K313" i="24" s="1"/>
  <c r="I312" i="24"/>
  <c r="J312" i="24" s="1"/>
  <c r="K312" i="24" s="1"/>
  <c r="I316" i="24"/>
  <c r="J316" i="24" s="1"/>
  <c r="K316" i="24" s="1"/>
  <c r="I631" i="24"/>
  <c r="H631" i="24" s="1"/>
  <c r="J630" i="24"/>
  <c r="K630" i="24" s="1"/>
  <c r="K631" i="24" s="1"/>
  <c r="H302" i="24"/>
  <c r="L302" i="24"/>
  <c r="I302" i="24" l="1"/>
  <c r="I321" i="24"/>
  <c r="H321" i="24" s="1"/>
  <c r="J310" i="24"/>
  <c r="K310" i="24" s="1"/>
  <c r="K321" i="24" s="1"/>
  <c r="I695" i="24"/>
  <c r="I696" i="24"/>
  <c r="I697" i="24"/>
  <c r="I698" i="24"/>
  <c r="I699" i="24"/>
  <c r="F758" i="24"/>
  <c r="M747" i="24"/>
  <c r="H718" i="24"/>
  <c r="L700" i="24"/>
  <c r="L723" i="24"/>
  <c r="M757" i="24"/>
  <c r="H700" i="24"/>
  <c r="L756" i="24"/>
  <c r="M756" i="24"/>
  <c r="M736" i="24"/>
  <c r="L753" i="24"/>
  <c r="H734" i="24"/>
  <c r="M733" i="24"/>
  <c r="L729" i="24"/>
  <c r="H708" i="24"/>
  <c r="M719" i="24"/>
  <c r="M721" i="24"/>
  <c r="H720" i="24"/>
  <c r="H703" i="24"/>
  <c r="H715" i="24"/>
  <c r="H756" i="24"/>
  <c r="M742" i="24"/>
  <c r="H743" i="24"/>
  <c r="L757" i="24"/>
  <c r="L752" i="24"/>
  <c r="M737" i="24"/>
  <c r="L737" i="24"/>
  <c r="L730" i="24"/>
  <c r="H717" i="24"/>
  <c r="M748" i="24"/>
  <c r="L719" i="24"/>
  <c r="L735" i="24"/>
  <c r="L732" i="24"/>
  <c r="L695" i="24"/>
  <c r="H748" i="24"/>
  <c r="L751" i="24"/>
  <c r="M712" i="24"/>
  <c r="M705" i="24"/>
  <c r="M702" i="24"/>
  <c r="M706" i="24"/>
  <c r="H750" i="24"/>
  <c r="H736" i="24"/>
  <c r="H709" i="24"/>
  <c r="M738" i="24"/>
  <c r="M732" i="24"/>
  <c r="L702" i="24"/>
  <c r="M699" i="24"/>
  <c r="L742" i="24"/>
  <c r="L727" i="24"/>
  <c r="H737" i="24"/>
  <c r="H745" i="24"/>
  <c r="H749" i="24"/>
  <c r="H739" i="24"/>
  <c r="L734" i="24"/>
  <c r="M753" i="24"/>
  <c r="M739" i="24"/>
  <c r="H732" i="24"/>
  <c r="H751" i="24"/>
  <c r="H702" i="24"/>
  <c r="L711" i="24"/>
  <c r="L701" i="24"/>
  <c r="M743" i="24"/>
  <c r="M755" i="24"/>
  <c r="L713" i="24"/>
  <c r="M717" i="24"/>
  <c r="H713" i="24"/>
  <c r="L740" i="24"/>
  <c r="H752" i="24"/>
  <c r="L731" i="24"/>
  <c r="H727" i="24"/>
  <c r="M709" i="24"/>
  <c r="L721" i="24"/>
  <c r="L703" i="24"/>
  <c r="L754" i="24"/>
  <c r="M720" i="24"/>
  <c r="L708" i="24"/>
  <c r="L755" i="24"/>
  <c r="L705" i="24"/>
  <c r="H735" i="24"/>
  <c r="H711" i="24"/>
  <c r="H704" i="24"/>
  <c r="M716" i="24"/>
  <c r="H729" i="24"/>
  <c r="H706" i="24"/>
  <c r="M731" i="24"/>
  <c r="M703" i="24"/>
  <c r="M698" i="24"/>
  <c r="H733" i="24"/>
  <c r="L718" i="24"/>
  <c r="M724" i="24"/>
  <c r="M754" i="24"/>
  <c r="H757" i="24"/>
  <c r="L707" i="24"/>
  <c r="L725" i="24"/>
  <c r="L750" i="24"/>
  <c r="L720" i="24"/>
  <c r="L722" i="24"/>
  <c r="L743" i="24"/>
  <c r="M701" i="24"/>
  <c r="H744" i="24"/>
  <c r="M726" i="24"/>
  <c r="M697" i="24"/>
  <c r="H722" i="24"/>
  <c r="M710" i="24"/>
  <c r="M696" i="24"/>
  <c r="M734" i="24"/>
  <c r="L696" i="24"/>
  <c r="L698" i="24"/>
  <c r="M700" i="24"/>
  <c r="H705" i="24"/>
  <c r="H725" i="24"/>
  <c r="L733" i="24"/>
  <c r="M707" i="24"/>
  <c r="L715" i="24"/>
  <c r="H746" i="24"/>
  <c r="M725" i="24"/>
  <c r="M752" i="24"/>
  <c r="L741" i="24"/>
  <c r="M735" i="24"/>
  <c r="L745" i="24"/>
  <c r="L728" i="24"/>
  <c r="M722" i="24"/>
  <c r="M745" i="24"/>
  <c r="H728" i="24"/>
  <c r="M729" i="24"/>
  <c r="L738" i="24"/>
  <c r="H730" i="24"/>
  <c r="M741" i="24"/>
  <c r="H723" i="24"/>
  <c r="L699" i="24"/>
  <c r="H740" i="24"/>
  <c r="L697" i="24"/>
  <c r="M746" i="24"/>
  <c r="H707" i="24"/>
  <c r="M740" i="24"/>
  <c r="H755" i="24"/>
  <c r="H738" i="24"/>
  <c r="L714" i="24"/>
  <c r="M728" i="24"/>
  <c r="M727" i="24"/>
  <c r="H714" i="24"/>
  <c r="M750" i="24"/>
  <c r="H742" i="24"/>
  <c r="L749" i="24"/>
  <c r="L726" i="24"/>
  <c r="L724" i="24"/>
  <c r="H710" i="24"/>
  <c r="H754" i="24"/>
  <c r="M714" i="24"/>
  <c r="L709" i="24"/>
  <c r="M715" i="24"/>
  <c r="L747" i="24"/>
  <c r="H731" i="24"/>
  <c r="H712" i="24"/>
  <c r="H716" i="24"/>
  <c r="L746" i="24"/>
  <c r="L744" i="24"/>
  <c r="L717" i="24"/>
  <c r="H724" i="24"/>
  <c r="H719" i="24"/>
  <c r="M704" i="24"/>
  <c r="H747" i="24"/>
  <c r="M744" i="24"/>
  <c r="M713" i="24"/>
  <c r="L704" i="24"/>
  <c r="H726" i="24"/>
  <c r="M723" i="24"/>
  <c r="M730" i="24"/>
  <c r="L736" i="24"/>
  <c r="M749" i="24"/>
  <c r="H701" i="24"/>
  <c r="L739" i="24"/>
  <c r="H741" i="24"/>
  <c r="M695" i="24"/>
  <c r="M751" i="24"/>
  <c r="H721" i="24"/>
  <c r="M708" i="24"/>
  <c r="L716" i="24"/>
  <c r="L710" i="24"/>
  <c r="M711" i="24"/>
  <c r="H753" i="24"/>
  <c r="L706" i="24"/>
  <c r="M718" i="24"/>
  <c r="L712" i="24"/>
  <c r="L748" i="24"/>
  <c r="I734" i="24" l="1"/>
  <c r="J734" i="24" s="1"/>
  <c r="K734" i="24" s="1"/>
  <c r="I731" i="24"/>
  <c r="J731" i="24" s="1"/>
  <c r="K731" i="24" s="1"/>
  <c r="I746" i="24"/>
  <c r="J746" i="24" s="1"/>
  <c r="K746" i="24" s="1"/>
  <c r="I743" i="24"/>
  <c r="J743" i="24" s="1"/>
  <c r="K743" i="24" s="1"/>
  <c r="I727" i="24"/>
  <c r="J727" i="24" s="1"/>
  <c r="K727" i="24" s="1"/>
  <c r="I711" i="24"/>
  <c r="J711" i="24" s="1"/>
  <c r="K711" i="24" s="1"/>
  <c r="I702" i="24"/>
  <c r="J702" i="24" s="1"/>
  <c r="K702" i="24" s="1"/>
  <c r="I715" i="24"/>
  <c r="J715" i="24" s="1"/>
  <c r="K715" i="24" s="1"/>
  <c r="I730" i="24"/>
  <c r="J730" i="24" s="1"/>
  <c r="K730" i="24" s="1"/>
  <c r="I742" i="24"/>
  <c r="J742" i="24" s="1"/>
  <c r="K742" i="24" s="1"/>
  <c r="I726" i="24"/>
  <c r="J726" i="24" s="1"/>
  <c r="K726" i="24" s="1"/>
  <c r="I710" i="24"/>
  <c r="J710" i="24" s="1"/>
  <c r="K710" i="24" s="1"/>
  <c r="I755" i="24"/>
  <c r="J755" i="24" s="1"/>
  <c r="K755" i="24" s="1"/>
  <c r="I739" i="24"/>
  <c r="J739" i="24" s="1"/>
  <c r="K739" i="24" s="1"/>
  <c r="I723" i="24"/>
  <c r="J723" i="24" s="1"/>
  <c r="K723" i="24" s="1"/>
  <c r="I707" i="24"/>
  <c r="J707" i="24" s="1"/>
  <c r="K707" i="24" s="1"/>
  <c r="I750" i="24"/>
  <c r="J750" i="24" s="1"/>
  <c r="K750" i="24" s="1"/>
  <c r="I718" i="24"/>
  <c r="J718" i="24" s="1"/>
  <c r="K718" i="24" s="1"/>
  <c r="I747" i="24"/>
  <c r="J747" i="24" s="1"/>
  <c r="K747" i="24" s="1"/>
  <c r="I714" i="24"/>
  <c r="J714" i="24" s="1"/>
  <c r="K714" i="24" s="1"/>
  <c r="J699" i="24"/>
  <c r="K699" i="24" s="1"/>
  <c r="I754" i="24"/>
  <c r="J754" i="24" s="1"/>
  <c r="K754" i="24" s="1"/>
  <c r="I738" i="24"/>
  <c r="J738" i="24" s="1"/>
  <c r="K738" i="24" s="1"/>
  <c r="I722" i="24"/>
  <c r="J722" i="24" s="1"/>
  <c r="K722" i="24" s="1"/>
  <c r="I706" i="24"/>
  <c r="J706" i="24" s="1"/>
  <c r="K706" i="24" s="1"/>
  <c r="I751" i="24"/>
  <c r="J751" i="24" s="1"/>
  <c r="K751" i="24" s="1"/>
  <c r="I735" i="24"/>
  <c r="J735" i="24" s="1"/>
  <c r="K735" i="24" s="1"/>
  <c r="I719" i="24"/>
  <c r="J719" i="24" s="1"/>
  <c r="K719" i="24" s="1"/>
  <c r="I703" i="24"/>
  <c r="J703" i="24" s="1"/>
  <c r="K703" i="24" s="1"/>
  <c r="I737" i="24"/>
  <c r="J737" i="24" s="1"/>
  <c r="K737" i="24" s="1"/>
  <c r="I725" i="24"/>
  <c r="J725" i="24" s="1"/>
  <c r="K725" i="24" s="1"/>
  <c r="I717" i="24"/>
  <c r="J717" i="24" s="1"/>
  <c r="K717" i="24" s="1"/>
  <c r="I701" i="24"/>
  <c r="J701" i="24" s="1"/>
  <c r="K701" i="24" s="1"/>
  <c r="I757" i="24"/>
  <c r="J757" i="24" s="1"/>
  <c r="K757" i="24" s="1"/>
  <c r="I749" i="24"/>
  <c r="J749" i="24" s="1"/>
  <c r="K749" i="24" s="1"/>
  <c r="I741" i="24"/>
  <c r="J741" i="24" s="1"/>
  <c r="K741" i="24" s="1"/>
  <c r="I733" i="24"/>
  <c r="J733" i="24" s="1"/>
  <c r="K733" i="24" s="1"/>
  <c r="I721" i="24"/>
  <c r="J721" i="24" s="1"/>
  <c r="K721" i="24" s="1"/>
  <c r="I713" i="24"/>
  <c r="J713" i="24" s="1"/>
  <c r="K713" i="24" s="1"/>
  <c r="I705" i="24"/>
  <c r="J705" i="24" s="1"/>
  <c r="K705" i="24" s="1"/>
  <c r="I756" i="24"/>
  <c r="J756" i="24" s="1"/>
  <c r="K756" i="24" s="1"/>
  <c r="I752" i="24"/>
  <c r="J752" i="24" s="1"/>
  <c r="K752" i="24" s="1"/>
  <c r="I748" i="24"/>
  <c r="J748" i="24" s="1"/>
  <c r="K748" i="24" s="1"/>
  <c r="I744" i="24"/>
  <c r="J744" i="24" s="1"/>
  <c r="K744" i="24" s="1"/>
  <c r="I740" i="24"/>
  <c r="J740" i="24" s="1"/>
  <c r="K740" i="24" s="1"/>
  <c r="I736" i="24"/>
  <c r="J736" i="24" s="1"/>
  <c r="K736" i="24" s="1"/>
  <c r="I732" i="24"/>
  <c r="J732" i="24" s="1"/>
  <c r="K732" i="24" s="1"/>
  <c r="I728" i="24"/>
  <c r="J728" i="24" s="1"/>
  <c r="K728" i="24" s="1"/>
  <c r="I724" i="24"/>
  <c r="J724" i="24" s="1"/>
  <c r="K724" i="24" s="1"/>
  <c r="I720" i="24"/>
  <c r="J720" i="24" s="1"/>
  <c r="K720" i="24" s="1"/>
  <c r="I716" i="24"/>
  <c r="J716" i="24" s="1"/>
  <c r="K716" i="24" s="1"/>
  <c r="I712" i="24"/>
  <c r="J712" i="24" s="1"/>
  <c r="K712" i="24" s="1"/>
  <c r="I708" i="24"/>
  <c r="J708" i="24" s="1"/>
  <c r="K708" i="24" s="1"/>
  <c r="I704" i="24"/>
  <c r="J704" i="24" s="1"/>
  <c r="K704" i="24" s="1"/>
  <c r="I700" i="24"/>
  <c r="J700" i="24" s="1"/>
  <c r="K700" i="24" s="1"/>
  <c r="I753" i="24"/>
  <c r="J753" i="24" s="1"/>
  <c r="K753" i="24" s="1"/>
  <c r="I745" i="24"/>
  <c r="J745" i="24" s="1"/>
  <c r="K745" i="24" s="1"/>
  <c r="I729" i="24"/>
  <c r="J729" i="24" s="1"/>
  <c r="K729" i="24" s="1"/>
  <c r="I709" i="24"/>
  <c r="J709" i="24" s="1"/>
  <c r="K709" i="24" s="1"/>
  <c r="J698" i="24"/>
  <c r="K698" i="24" s="1"/>
  <c r="J697" i="24"/>
  <c r="K697" i="24" s="1"/>
  <c r="J696" i="24"/>
  <c r="K696" i="24" s="1"/>
  <c r="J695" i="24"/>
  <c r="I303" i="24"/>
  <c r="H303" i="24" s="1"/>
  <c r="J302" i="24"/>
  <c r="J303" i="24" s="1"/>
  <c r="I224" i="24"/>
  <c r="I225" i="24"/>
  <c r="I226" i="24"/>
  <c r="H226" i="24" s="1"/>
  <c r="F226" i="24"/>
  <c r="E226" i="24" s="1"/>
  <c r="L225" i="24"/>
  <c r="L224" i="24"/>
  <c r="I758" i="24" l="1"/>
  <c r="H758" i="24" s="1"/>
  <c r="J224" i="24"/>
  <c r="J225" i="24"/>
  <c r="K695" i="24"/>
  <c r="K758" i="24" s="1"/>
  <c r="J758" i="24"/>
  <c r="F664" i="24"/>
  <c r="E664" i="24"/>
  <c r="L662" i="24"/>
  <c r="L658" i="24"/>
  <c r="H660" i="24"/>
  <c r="H657" i="24"/>
  <c r="L656" i="24"/>
  <c r="H656" i="24"/>
  <c r="H663" i="24"/>
  <c r="L660" i="24"/>
  <c r="H658" i="24"/>
  <c r="L659" i="24"/>
  <c r="H662" i="24"/>
  <c r="L657" i="24"/>
  <c r="H659" i="24"/>
  <c r="L663" i="24"/>
  <c r="H661" i="24"/>
  <c r="J226" i="24" l="1"/>
  <c r="I663" i="24"/>
  <c r="J663" i="24" s="1"/>
  <c r="I659" i="24"/>
  <c r="J659" i="24" s="1"/>
  <c r="I656" i="24"/>
  <c r="I662" i="24"/>
  <c r="J662" i="24" s="1"/>
  <c r="I660" i="24"/>
  <c r="J660" i="24" s="1"/>
  <c r="I658" i="24"/>
  <c r="J658" i="24" s="1"/>
  <c r="I661" i="24"/>
  <c r="I657" i="24"/>
  <c r="J657" i="24" s="1"/>
  <c r="E438" i="24"/>
  <c r="L434" i="24"/>
  <c r="H432" i="24"/>
  <c r="L435" i="24"/>
  <c r="L432" i="24"/>
  <c r="H436" i="24"/>
  <c r="H433" i="24"/>
  <c r="H437" i="24"/>
  <c r="H434" i="24"/>
  <c r="L436" i="24"/>
  <c r="H435" i="24"/>
  <c r="L437" i="24"/>
  <c r="L433" i="24"/>
  <c r="I432" i="24" l="1"/>
  <c r="I435" i="24"/>
  <c r="J435" i="24" s="1"/>
  <c r="I434" i="24"/>
  <c r="J434" i="24" s="1"/>
  <c r="I437" i="24"/>
  <c r="J437" i="24" s="1"/>
  <c r="I433" i="24"/>
  <c r="J433" i="24" s="1"/>
  <c r="I436" i="24"/>
  <c r="J436" i="24" s="1"/>
  <c r="J656" i="24"/>
  <c r="J664" i="24" s="1"/>
  <c r="I664" i="24"/>
  <c r="H664" i="24" s="1"/>
  <c r="L578" i="24"/>
  <c r="H577" i="24"/>
  <c r="H579" i="24"/>
  <c r="H580" i="24"/>
  <c r="H578" i="24"/>
  <c r="L580" i="24"/>
  <c r="L577" i="24"/>
  <c r="I580" i="24" l="1"/>
  <c r="J580" i="24" s="1"/>
  <c r="I579" i="24"/>
  <c r="I578" i="24"/>
  <c r="J578" i="24" s="1"/>
  <c r="I577" i="24"/>
  <c r="I438" i="24"/>
  <c r="H438" i="24" s="1"/>
  <c r="J432" i="24"/>
  <c r="J438" i="24" s="1"/>
  <c r="I258" i="24"/>
  <c r="I259" i="24"/>
  <c r="H259" i="24" s="1"/>
  <c r="L258" i="24"/>
  <c r="J258" i="24" l="1"/>
  <c r="J259" i="24" s="1"/>
  <c r="I581" i="24"/>
  <c r="H581" i="24" s="1"/>
  <c r="J577" i="24"/>
  <c r="J581" i="24" s="1"/>
  <c r="I274" i="24"/>
  <c r="I294" i="24" s="1"/>
  <c r="H294" i="24" s="1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L281" i="24"/>
  <c r="L283" i="24"/>
  <c r="L278" i="24"/>
  <c r="L282" i="24"/>
  <c r="L289" i="24"/>
  <c r="L290" i="24"/>
  <c r="L293" i="24"/>
  <c r="L292" i="24"/>
  <c r="L274" i="24"/>
  <c r="L286" i="24"/>
  <c r="L284" i="24"/>
  <c r="L280" i="24"/>
  <c r="L288" i="24"/>
  <c r="L279" i="24"/>
  <c r="L277" i="24"/>
  <c r="L276" i="24"/>
  <c r="L275" i="24"/>
  <c r="L287" i="24"/>
  <c r="L291" i="24"/>
  <c r="L285" i="24"/>
  <c r="J291" i="24" l="1"/>
  <c r="J283" i="24"/>
  <c r="J286" i="24"/>
  <c r="J278" i="24"/>
  <c r="J293" i="24"/>
  <c r="J285" i="24"/>
  <c r="J277" i="24"/>
  <c r="J292" i="24"/>
  <c r="J284" i="24"/>
  <c r="J276" i="24"/>
  <c r="J275" i="24"/>
  <c r="J290" i="24"/>
  <c r="J282" i="24"/>
  <c r="J289" i="24"/>
  <c r="J281" i="24"/>
  <c r="J288" i="24"/>
  <c r="J280" i="24"/>
  <c r="J287" i="24"/>
  <c r="J279" i="24"/>
  <c r="J274" i="24"/>
  <c r="L679" i="24"/>
  <c r="H679" i="24"/>
  <c r="J294" i="24" l="1"/>
  <c r="I679" i="24"/>
  <c r="L666" i="24"/>
  <c r="H666" i="24"/>
  <c r="I666" i="24" l="1"/>
  <c r="I680" i="24"/>
  <c r="H680" i="24" s="1"/>
  <c r="J679" i="24"/>
  <c r="J680" i="24" s="1"/>
  <c r="I482" i="24"/>
  <c r="J482" i="24"/>
  <c r="H483" i="24"/>
  <c r="L482" i="24"/>
  <c r="L483" i="24"/>
  <c r="I483" i="24" l="1"/>
  <c r="K482" i="24"/>
  <c r="I667" i="24"/>
  <c r="H667" i="24" s="1"/>
  <c r="J666" i="24"/>
  <c r="J667" i="24" s="1"/>
  <c r="I479" i="24"/>
  <c r="I480" i="24"/>
  <c r="H480" i="24" s="1"/>
  <c r="J479" i="24"/>
  <c r="L479" i="24"/>
  <c r="K479" i="24" l="1"/>
  <c r="K480" i="24" s="1"/>
  <c r="I484" i="24"/>
  <c r="H484" i="24" s="1"/>
  <c r="J483" i="24"/>
  <c r="K483" i="24" s="1"/>
  <c r="K484" i="24" s="1"/>
  <c r="I476" i="24"/>
  <c r="I477" i="24"/>
  <c r="H477" i="24"/>
  <c r="J476" i="24"/>
  <c r="L476" i="24"/>
  <c r="K476" i="24" l="1"/>
  <c r="K477" i="24" s="1"/>
  <c r="I335" i="24"/>
  <c r="I336" i="24" s="1"/>
  <c r="H336" i="24" s="1"/>
  <c r="L335" i="24"/>
  <c r="J335" i="24" l="1"/>
  <c r="J336" i="24" s="1"/>
  <c r="I323" i="24"/>
  <c r="I327" i="24" s="1"/>
  <c r="H327" i="24" s="1"/>
  <c r="I324" i="24"/>
  <c r="I325" i="24"/>
  <c r="I326" i="24"/>
  <c r="L323" i="24"/>
  <c r="L326" i="24"/>
  <c r="L324" i="24"/>
  <c r="L325" i="24"/>
  <c r="J324" i="24" l="1"/>
  <c r="J326" i="24"/>
  <c r="J325" i="24"/>
  <c r="J323" i="24"/>
  <c r="I205" i="24"/>
  <c r="I206" i="24" s="1"/>
  <c r="H206" i="24" s="1"/>
  <c r="L205" i="24"/>
  <c r="J327" i="24" l="1"/>
  <c r="J205" i="24"/>
  <c r="J206" i="24" s="1"/>
  <c r="I202" i="24"/>
  <c r="I203" i="24" s="1"/>
  <c r="H203" i="24" s="1"/>
  <c r="L202" i="24"/>
  <c r="J202" i="24" l="1"/>
  <c r="J203" i="24" s="1"/>
  <c r="I208" i="24"/>
  <c r="I209" i="24"/>
  <c r="H209" i="24" s="1"/>
  <c r="L208" i="24"/>
  <c r="J208" i="24" l="1"/>
  <c r="J209" i="24" s="1"/>
  <c r="I338" i="24"/>
  <c r="I339" i="24" s="1"/>
  <c r="H339" i="24" s="1"/>
  <c r="L338" i="24"/>
  <c r="J338" i="24" l="1"/>
  <c r="J339" i="24" s="1"/>
  <c r="I196" i="24"/>
  <c r="I197" i="24" s="1"/>
  <c r="H197" i="24" s="1"/>
  <c r="L196" i="24"/>
  <c r="J196" i="24" l="1"/>
  <c r="J197" i="24" s="1"/>
  <c r="I350" i="24"/>
  <c r="I351" i="24"/>
  <c r="I352" i="24"/>
  <c r="H352" i="24" s="1"/>
  <c r="L351" i="24"/>
  <c r="L350" i="24"/>
  <c r="J351" i="24" l="1"/>
  <c r="J350" i="24"/>
  <c r="J352" i="24" s="1"/>
  <c r="I347" i="24"/>
  <c r="L347" i="24"/>
  <c r="J347" i="24" l="1"/>
  <c r="J348" i="24" s="1"/>
  <c r="I348" i="24"/>
  <c r="H348" i="24" s="1"/>
  <c r="I332" i="24"/>
  <c r="I333" i="24"/>
  <c r="H333" i="24" s="1"/>
  <c r="L332" i="24"/>
  <c r="J332" i="24" l="1"/>
  <c r="J333" i="24" s="1"/>
  <c r="I329" i="24"/>
  <c r="I330" i="24" s="1"/>
  <c r="H330" i="24" s="1"/>
  <c r="L329" i="24"/>
  <c r="J329" i="24" l="1"/>
  <c r="J330" i="24" s="1"/>
  <c r="I199" i="24"/>
  <c r="I200" i="24" s="1"/>
  <c r="H200" i="24" s="1"/>
  <c r="L199" i="24"/>
  <c r="J199" i="24" l="1"/>
  <c r="J200" i="24" s="1"/>
  <c r="I775" i="24"/>
  <c r="I776" i="24"/>
  <c r="J776" i="24" s="1"/>
  <c r="I777" i="24"/>
  <c r="I778" i="24"/>
  <c r="J778" i="24" s="1"/>
  <c r="I779" i="24"/>
  <c r="J777" i="24"/>
  <c r="J779" i="24"/>
  <c r="L777" i="24"/>
  <c r="L779" i="24"/>
  <c r="L778" i="24"/>
  <c r="L775" i="24"/>
  <c r="L776" i="24"/>
  <c r="K779" i="24" l="1"/>
  <c r="K776" i="24"/>
  <c r="K777" i="24"/>
  <c r="K778" i="24"/>
  <c r="I780" i="24"/>
  <c r="H780" i="24" s="1"/>
  <c r="J775" i="24"/>
  <c r="I372" i="24"/>
  <c r="J372" i="24" s="1"/>
  <c r="I373" i="24"/>
  <c r="I374" i="24"/>
  <c r="I375" i="24" s="1"/>
  <c r="H375" i="24" s="1"/>
  <c r="J373" i="24"/>
  <c r="L372" i="24"/>
  <c r="L373" i="24"/>
  <c r="L374" i="24"/>
  <c r="K372" i="24" l="1"/>
  <c r="K373" i="24"/>
  <c r="J780" i="24"/>
  <c r="K775" i="24"/>
  <c r="K780" i="24" s="1"/>
  <c r="J374" i="24"/>
  <c r="K374" i="24" s="1"/>
  <c r="I764" i="24"/>
  <c r="I766" i="24" s="1"/>
  <c r="H766" i="24" s="1"/>
  <c r="I765" i="24"/>
  <c r="J765" i="24" s="1"/>
  <c r="L764" i="24"/>
  <c r="L765" i="24"/>
  <c r="K765" i="24" l="1"/>
  <c r="K375" i="24"/>
  <c r="J764" i="24"/>
  <c r="I771" i="24"/>
  <c r="I773" i="24" s="1"/>
  <c r="H773" i="24" s="1"/>
  <c r="I772" i="24"/>
  <c r="J772" i="24"/>
  <c r="L772" i="24"/>
  <c r="L771" i="24"/>
  <c r="K772" i="24" l="1"/>
  <c r="J771" i="24"/>
  <c r="J766" i="24"/>
  <c r="K764" i="24"/>
  <c r="K766" i="24" s="1"/>
  <c r="I214" i="24"/>
  <c r="I215" i="24" s="1"/>
  <c r="H215" i="24" s="1"/>
  <c r="J214" i="24"/>
  <c r="I799" i="24"/>
  <c r="J799" i="24"/>
  <c r="L214" i="24"/>
  <c r="K214" i="24" l="1"/>
  <c r="K215" i="24" s="1"/>
  <c r="K771" i="24"/>
  <c r="K773" i="24" s="1"/>
  <c r="J773" i="24"/>
  <c r="I211" i="24"/>
  <c r="I212" i="24"/>
  <c r="F212" i="24"/>
  <c r="H212" i="24" s="1"/>
  <c r="J211" i="24"/>
  <c r="E212" i="24"/>
  <c r="L211" i="24"/>
  <c r="K211" i="24" l="1"/>
  <c r="K212" i="24" s="1"/>
  <c r="I768" i="24"/>
  <c r="I769" i="24" s="1"/>
  <c r="H769" i="24" s="1"/>
  <c r="J768" i="24"/>
  <c r="L768" i="24"/>
  <c r="K768" i="24" l="1"/>
  <c r="K769" i="24" s="1"/>
  <c r="J769" i="24"/>
  <c r="I794" i="24"/>
  <c r="I797" i="24" s="1"/>
  <c r="H797" i="24" s="1"/>
  <c r="I795" i="24"/>
  <c r="I796" i="24"/>
  <c r="J796" i="24" s="1"/>
  <c r="J795" i="24"/>
  <c r="L796" i="24"/>
  <c r="L795" i="24"/>
  <c r="L794" i="24"/>
  <c r="K795" i="24" l="1"/>
  <c r="K796" i="24"/>
  <c r="J794" i="24"/>
  <c r="I363" i="24"/>
  <c r="I364" i="24" s="1"/>
  <c r="F364" i="24"/>
  <c r="E364" i="24" s="1"/>
  <c r="L363" i="24"/>
  <c r="H364" i="24" l="1"/>
  <c r="K794" i="24"/>
  <c r="K797" i="24" s="1"/>
  <c r="J797" i="24"/>
  <c r="J363" i="24"/>
  <c r="K363" i="24" s="1"/>
  <c r="K364" i="24" s="1"/>
  <c r="D72" i="24"/>
  <c r="P72" i="24"/>
  <c r="T72" i="24"/>
  <c r="U72" i="24"/>
  <c r="H78" i="24"/>
  <c r="I78" i="24"/>
  <c r="N78" i="24" s="1"/>
  <c r="J78" i="24"/>
  <c r="M78" i="24"/>
  <c r="H79" i="24"/>
  <c r="I79" i="24"/>
  <c r="J79" i="24"/>
  <c r="M79" i="24"/>
  <c r="N79" i="24"/>
  <c r="H80" i="24"/>
  <c r="I80" i="24"/>
  <c r="J80" i="24"/>
  <c r="N80" i="24" s="1"/>
  <c r="M80" i="24"/>
  <c r="H81" i="24"/>
  <c r="I81" i="24"/>
  <c r="J81" i="24"/>
  <c r="M81" i="24"/>
  <c r="N81" i="24"/>
  <c r="H82" i="24"/>
  <c r="I82" i="24"/>
  <c r="J82" i="24"/>
  <c r="M82" i="24"/>
  <c r="N82" i="24"/>
  <c r="H83" i="24"/>
  <c r="I83" i="24"/>
  <c r="J83" i="24"/>
  <c r="M83" i="24"/>
  <c r="N83" i="24"/>
  <c r="H84" i="24"/>
  <c r="I84" i="24"/>
  <c r="J84" i="24"/>
  <c r="M84" i="24"/>
  <c r="H85" i="24"/>
  <c r="I85" i="24"/>
  <c r="J85" i="24"/>
  <c r="N85" i="24" s="1"/>
  <c r="M85" i="24"/>
  <c r="H86" i="24"/>
  <c r="I86" i="24"/>
  <c r="N86" i="24" s="1"/>
  <c r="J86" i="24"/>
  <c r="M86" i="24"/>
  <c r="H87" i="24"/>
  <c r="I87" i="24"/>
  <c r="J87" i="24"/>
  <c r="M87" i="24"/>
  <c r="H88" i="24"/>
  <c r="I88" i="24"/>
  <c r="J88" i="24"/>
  <c r="M88" i="24"/>
  <c r="H89" i="24"/>
  <c r="I89" i="24"/>
  <c r="J89" i="24"/>
  <c r="M89" i="24"/>
  <c r="H90" i="24"/>
  <c r="I90" i="24"/>
  <c r="J90" i="24"/>
  <c r="M90" i="24"/>
  <c r="H91" i="24"/>
  <c r="I91" i="24"/>
  <c r="J91" i="24"/>
  <c r="M91" i="24"/>
  <c r="H92" i="24"/>
  <c r="I92" i="24"/>
  <c r="J92" i="24"/>
  <c r="N92" i="24" s="1"/>
  <c r="M92" i="24"/>
  <c r="H93" i="24"/>
  <c r="I93" i="24"/>
  <c r="J93" i="24"/>
  <c r="M93" i="24"/>
  <c r="H94" i="24"/>
  <c r="I94" i="24"/>
  <c r="J94" i="24"/>
  <c r="M94" i="24"/>
  <c r="N94" i="24"/>
  <c r="H95" i="24"/>
  <c r="I95" i="24"/>
  <c r="J95" i="24"/>
  <c r="M95" i="24"/>
  <c r="H96" i="24"/>
  <c r="I96" i="24"/>
  <c r="J96" i="24"/>
  <c r="M96" i="24"/>
  <c r="H97" i="24"/>
  <c r="I97" i="24"/>
  <c r="N97" i="24" s="1"/>
  <c r="J97" i="24"/>
  <c r="M97" i="24"/>
  <c r="H98" i="24"/>
  <c r="I98" i="24"/>
  <c r="J98" i="24"/>
  <c r="N98" i="24" s="1"/>
  <c r="M98" i="24"/>
  <c r="H99" i="24"/>
  <c r="I99" i="24"/>
  <c r="J99" i="24"/>
  <c r="M99" i="24"/>
  <c r="H100" i="24"/>
  <c r="I100" i="24"/>
  <c r="J100" i="24"/>
  <c r="N100" i="24" s="1"/>
  <c r="M100" i="24"/>
  <c r="H101" i="24"/>
  <c r="I101" i="24"/>
  <c r="J101" i="24"/>
  <c r="M101" i="24"/>
  <c r="N101" i="24"/>
  <c r="H102" i="24"/>
  <c r="I102" i="24"/>
  <c r="J102" i="24"/>
  <c r="M102" i="24"/>
  <c r="N102" i="24"/>
  <c r="H103" i="24"/>
  <c r="I103" i="24"/>
  <c r="J103" i="24"/>
  <c r="M103" i="24"/>
  <c r="N103" i="24"/>
  <c r="H104" i="24"/>
  <c r="I104" i="24"/>
  <c r="N104" i="24" s="1"/>
  <c r="J104" i="24"/>
  <c r="M104" i="24"/>
  <c r="H105" i="24"/>
  <c r="I105" i="24"/>
  <c r="J105" i="24"/>
  <c r="N105" i="24" s="1"/>
  <c r="M105" i="24"/>
  <c r="H106" i="24"/>
  <c r="I106" i="24"/>
  <c r="N106" i="24" s="1"/>
  <c r="J106" i="24"/>
  <c r="M106" i="24"/>
  <c r="H107" i="24"/>
  <c r="I107" i="24"/>
  <c r="J107" i="24"/>
  <c r="M107" i="24"/>
  <c r="H108" i="24"/>
  <c r="I108" i="24"/>
  <c r="J108" i="24"/>
  <c r="N108" i="24" s="1"/>
  <c r="M108" i="24"/>
  <c r="H109" i="24"/>
  <c r="I109" i="24"/>
  <c r="N109" i="24" s="1"/>
  <c r="J109" i="24"/>
  <c r="M109" i="24"/>
  <c r="H110" i="24"/>
  <c r="I110" i="24"/>
  <c r="J110" i="24"/>
  <c r="N110" i="24" s="1"/>
  <c r="M110" i="24"/>
  <c r="H111" i="24"/>
  <c r="I111" i="24"/>
  <c r="J111" i="24"/>
  <c r="M111" i="24"/>
  <c r="N111" i="24"/>
  <c r="H112" i="24"/>
  <c r="I112" i="24"/>
  <c r="J112" i="24"/>
  <c r="M112" i="24"/>
  <c r="N112" i="24"/>
  <c r="H113" i="24"/>
  <c r="I113" i="24"/>
  <c r="J113" i="24"/>
  <c r="M113" i="24"/>
  <c r="H114" i="24"/>
  <c r="I114" i="24"/>
  <c r="N114" i="24" s="1"/>
  <c r="J114" i="24"/>
  <c r="M114" i="24"/>
  <c r="H115" i="24"/>
  <c r="I115" i="24"/>
  <c r="J115" i="24"/>
  <c r="M115" i="24"/>
  <c r="H116" i="24"/>
  <c r="I116" i="24"/>
  <c r="J116" i="24"/>
  <c r="M116" i="24"/>
  <c r="H117" i="24"/>
  <c r="I117" i="24"/>
  <c r="J117" i="24"/>
  <c r="N117" i="24" s="1"/>
  <c r="M117" i="24"/>
  <c r="H118" i="24"/>
  <c r="I118" i="24"/>
  <c r="J118" i="24"/>
  <c r="M118" i="24"/>
  <c r="N118" i="24"/>
  <c r="H119" i="24"/>
  <c r="I119" i="24"/>
  <c r="J119" i="24"/>
  <c r="N119" i="24" s="1"/>
  <c r="M119" i="24"/>
  <c r="H120" i="24"/>
  <c r="I120" i="24"/>
  <c r="J120" i="24"/>
  <c r="M120" i="24"/>
  <c r="H121" i="24"/>
  <c r="I121" i="24"/>
  <c r="J121" i="24"/>
  <c r="M121" i="24"/>
  <c r="H122" i="24"/>
  <c r="I122" i="24"/>
  <c r="J122" i="24"/>
  <c r="M122" i="24"/>
  <c r="H123" i="24"/>
  <c r="I123" i="24"/>
  <c r="J123" i="24"/>
  <c r="N123" i="24" s="1"/>
  <c r="M123" i="24"/>
  <c r="H124" i="24"/>
  <c r="I124" i="24"/>
  <c r="J124" i="24"/>
  <c r="M124" i="24"/>
  <c r="H125" i="24"/>
  <c r="I125" i="24"/>
  <c r="J125" i="24"/>
  <c r="N125" i="24" s="1"/>
  <c r="M125" i="24"/>
  <c r="H126" i="24"/>
  <c r="I126" i="24"/>
  <c r="N126" i="24" s="1"/>
  <c r="J126" i="24"/>
  <c r="M126" i="24"/>
  <c r="H127" i="24"/>
  <c r="I127" i="24"/>
  <c r="J127" i="24"/>
  <c r="M127" i="24"/>
  <c r="N127" i="24"/>
  <c r="H128" i="24"/>
  <c r="I128" i="24"/>
  <c r="J128" i="24"/>
  <c r="N128" i="24" s="1"/>
  <c r="M128" i="24"/>
  <c r="H129" i="24"/>
  <c r="I129" i="24"/>
  <c r="J129" i="24"/>
  <c r="M129" i="24"/>
  <c r="H130" i="24"/>
  <c r="I130" i="24"/>
  <c r="J130" i="24"/>
  <c r="M130" i="24"/>
  <c r="N130" i="24"/>
  <c r="H131" i="24"/>
  <c r="I131" i="24"/>
  <c r="J131" i="24"/>
  <c r="M131" i="24"/>
  <c r="N131" i="24"/>
  <c r="H132" i="24"/>
  <c r="I132" i="24"/>
  <c r="N132" i="24" s="1"/>
  <c r="J132" i="24"/>
  <c r="M132" i="24"/>
  <c r="H133" i="24"/>
  <c r="I133" i="24"/>
  <c r="J133" i="24"/>
  <c r="N133" i="24" s="1"/>
  <c r="M133" i="24"/>
  <c r="H134" i="24"/>
  <c r="I134" i="24"/>
  <c r="J134" i="24"/>
  <c r="M134" i="24"/>
  <c r="H135" i="24"/>
  <c r="I135" i="24"/>
  <c r="J135" i="24"/>
  <c r="M135" i="24"/>
  <c r="H140" i="24"/>
  <c r="I140" i="24"/>
  <c r="J140" i="24"/>
  <c r="N140" i="24" s="1"/>
  <c r="M140" i="24"/>
  <c r="H141" i="24"/>
  <c r="I141" i="24"/>
  <c r="J141" i="24"/>
  <c r="N141" i="24" s="1"/>
  <c r="M141" i="24"/>
  <c r="H142" i="24"/>
  <c r="I142" i="24"/>
  <c r="J142" i="24"/>
  <c r="M142" i="24"/>
  <c r="H143" i="24"/>
  <c r="I143" i="24"/>
  <c r="J143" i="24"/>
  <c r="M143" i="24"/>
  <c r="H144" i="24"/>
  <c r="I144" i="24"/>
  <c r="J144" i="24"/>
  <c r="M144" i="24"/>
  <c r="N144" i="24"/>
  <c r="H145" i="24"/>
  <c r="I145" i="24"/>
  <c r="J145" i="24"/>
  <c r="M145" i="24"/>
  <c r="H146" i="24"/>
  <c r="I146" i="24"/>
  <c r="J146" i="24"/>
  <c r="N146" i="24" s="1"/>
  <c r="M146" i="24"/>
  <c r="H147" i="24"/>
  <c r="I147" i="24"/>
  <c r="J147" i="24"/>
  <c r="M147" i="24"/>
  <c r="H148" i="24"/>
  <c r="I148" i="24"/>
  <c r="J148" i="24"/>
  <c r="N148" i="24" s="1"/>
  <c r="M148" i="24"/>
  <c r="H149" i="24"/>
  <c r="I149" i="24"/>
  <c r="N149" i="24" s="1"/>
  <c r="J149" i="24"/>
  <c r="M149" i="24"/>
  <c r="H150" i="24"/>
  <c r="I150" i="24"/>
  <c r="J150" i="24"/>
  <c r="N150" i="24" s="1"/>
  <c r="M150" i="24"/>
  <c r="H151" i="24"/>
  <c r="I151" i="24"/>
  <c r="J151" i="24"/>
  <c r="M151" i="24"/>
  <c r="H152" i="24"/>
  <c r="I152" i="24"/>
  <c r="J152" i="24"/>
  <c r="M152" i="24"/>
  <c r="H153" i="24"/>
  <c r="I153" i="24"/>
  <c r="J153" i="24"/>
  <c r="M153" i="24"/>
  <c r="H154" i="24"/>
  <c r="I154" i="24"/>
  <c r="J154" i="24"/>
  <c r="M154" i="24"/>
  <c r="H155" i="24"/>
  <c r="I155" i="24"/>
  <c r="J155" i="24"/>
  <c r="M155" i="24"/>
  <c r="H156" i="24"/>
  <c r="I156" i="24"/>
  <c r="J156" i="24"/>
  <c r="M156" i="24"/>
  <c r="H157" i="24"/>
  <c r="I157" i="24"/>
  <c r="J157" i="24"/>
  <c r="M157" i="24"/>
  <c r="H158" i="24"/>
  <c r="I158" i="24"/>
  <c r="J158" i="24"/>
  <c r="M158" i="24"/>
  <c r="H159" i="24"/>
  <c r="I159" i="24"/>
  <c r="J159" i="24"/>
  <c r="M159" i="24"/>
  <c r="H160" i="24"/>
  <c r="I160" i="24"/>
  <c r="J160" i="24"/>
  <c r="M160" i="24"/>
  <c r="H161" i="24"/>
  <c r="I161" i="24"/>
  <c r="J161" i="24"/>
  <c r="M161" i="24"/>
  <c r="H162" i="24"/>
  <c r="I162" i="24"/>
  <c r="N162" i="24" s="1"/>
  <c r="J162" i="24"/>
  <c r="M162" i="24"/>
  <c r="H163" i="24"/>
  <c r="I163" i="24"/>
  <c r="J163" i="24"/>
  <c r="M163" i="24"/>
  <c r="H164" i="24"/>
  <c r="I164" i="24"/>
  <c r="J164" i="24"/>
  <c r="M164" i="24"/>
  <c r="H165" i="24"/>
  <c r="I165" i="24"/>
  <c r="J165" i="24"/>
  <c r="M165" i="24"/>
  <c r="H166" i="24"/>
  <c r="I166" i="24"/>
  <c r="J166" i="24"/>
  <c r="M166" i="24"/>
  <c r="H167" i="24"/>
  <c r="I167" i="24"/>
  <c r="J167" i="24"/>
  <c r="M167" i="24"/>
  <c r="H168" i="24"/>
  <c r="I168" i="24"/>
  <c r="J168" i="24"/>
  <c r="M168" i="24"/>
  <c r="H169" i="24"/>
  <c r="I169" i="24"/>
  <c r="J169" i="24"/>
  <c r="M169" i="24"/>
  <c r="H170" i="24"/>
  <c r="I170" i="24"/>
  <c r="J170" i="24"/>
  <c r="M170" i="24"/>
  <c r="H171" i="24"/>
  <c r="I171" i="24"/>
  <c r="N171" i="24" s="1"/>
  <c r="J171" i="24"/>
  <c r="M171" i="24"/>
  <c r="H172" i="24"/>
  <c r="I172" i="24"/>
  <c r="J172" i="24"/>
  <c r="N172" i="24" s="1"/>
  <c r="M172" i="24"/>
  <c r="H173" i="24"/>
  <c r="I173" i="24"/>
  <c r="J173" i="24"/>
  <c r="M173" i="24"/>
  <c r="H174" i="24"/>
  <c r="I174" i="24"/>
  <c r="J174" i="24"/>
  <c r="N174" i="24" s="1"/>
  <c r="M174" i="24"/>
  <c r="H175" i="24"/>
  <c r="I175" i="24"/>
  <c r="H176" i="24"/>
  <c r="I176" i="24"/>
  <c r="J176" i="24"/>
  <c r="N176" i="24" s="1"/>
  <c r="M176" i="24"/>
  <c r="H177" i="24"/>
  <c r="I177" i="24"/>
  <c r="J177" i="24"/>
  <c r="M177" i="24"/>
  <c r="H178" i="24"/>
  <c r="I178" i="24"/>
  <c r="J178" i="24"/>
  <c r="M178" i="24"/>
  <c r="H179" i="24"/>
  <c r="I179" i="24"/>
  <c r="J179" i="24"/>
  <c r="M179" i="24"/>
  <c r="N179" i="24"/>
  <c r="H180" i="24"/>
  <c r="I180" i="24"/>
  <c r="J180" i="24"/>
  <c r="M180" i="24"/>
  <c r="N180" i="24"/>
  <c r="H185" i="24"/>
  <c r="I185" i="24"/>
  <c r="J185" i="24"/>
  <c r="M185" i="24"/>
  <c r="H186" i="24"/>
  <c r="I186" i="24"/>
  <c r="J186" i="24"/>
  <c r="M186" i="24"/>
  <c r="K196" i="24"/>
  <c r="K197" i="24" s="1"/>
  <c r="K199" i="24"/>
  <c r="K200" i="24" s="1"/>
  <c r="K202" i="24"/>
  <c r="K203" i="24" s="1"/>
  <c r="K205" i="24"/>
  <c r="K206" i="24" s="1"/>
  <c r="K208" i="24"/>
  <c r="K209" i="24" s="1"/>
  <c r="J212" i="24"/>
  <c r="J215" i="24"/>
  <c r="K217" i="24"/>
  <c r="K218" i="24"/>
  <c r="K219" i="24"/>
  <c r="K220" i="24"/>
  <c r="K221" i="24"/>
  <c r="K224" i="24"/>
  <c r="K225" i="24"/>
  <c r="K228" i="24"/>
  <c r="K229" i="24"/>
  <c r="K230" i="24"/>
  <c r="K231" i="24"/>
  <c r="K232" i="24"/>
  <c r="K235" i="24"/>
  <c r="K236" i="24" s="1"/>
  <c r="I238" i="24"/>
  <c r="I239" i="24" s="1"/>
  <c r="H239" i="24" s="1"/>
  <c r="J238" i="24"/>
  <c r="J239" i="24" s="1"/>
  <c r="F239" i="24"/>
  <c r="J249" i="24"/>
  <c r="J252" i="24"/>
  <c r="J256" i="24"/>
  <c r="K258" i="24"/>
  <c r="K259" i="24" s="1"/>
  <c r="K261" i="24"/>
  <c r="K262" i="24" s="1"/>
  <c r="K264" i="24"/>
  <c r="K265" i="24"/>
  <c r="K266" i="24"/>
  <c r="K267" i="24"/>
  <c r="K268" i="24"/>
  <c r="K269" i="24"/>
  <c r="K270" i="24"/>
  <c r="K271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6" i="24"/>
  <c r="K297" i="24"/>
  <c r="K298" i="24"/>
  <c r="K299" i="24"/>
  <c r="I300" i="24"/>
  <c r="K302" i="24"/>
  <c r="K303" i="24" s="1"/>
  <c r="J308" i="24"/>
  <c r="J321" i="24"/>
  <c r="K323" i="24"/>
  <c r="K324" i="24"/>
  <c r="K325" i="24"/>
  <c r="K326" i="24"/>
  <c r="K329" i="24"/>
  <c r="K330" i="24" s="1"/>
  <c r="K332" i="24"/>
  <c r="K333" i="24" s="1"/>
  <c r="K335" i="24"/>
  <c r="K336" i="24" s="1"/>
  <c r="K338" i="24"/>
  <c r="K339" i="24" s="1"/>
  <c r="I341" i="24"/>
  <c r="F342" i="24"/>
  <c r="I344" i="24"/>
  <c r="I345" i="24" s="1"/>
  <c r="H345" i="24" s="1"/>
  <c r="F345" i="24"/>
  <c r="K347" i="24"/>
  <c r="K348" i="24" s="1"/>
  <c r="K350" i="24"/>
  <c r="K351" i="24"/>
  <c r="I354" i="24"/>
  <c r="F355" i="24"/>
  <c r="I355" i="24"/>
  <c r="H355" i="24" s="1"/>
  <c r="I357" i="24"/>
  <c r="F358" i="24"/>
  <c r="I360" i="24"/>
  <c r="F361" i="24"/>
  <c r="J364" i="24"/>
  <c r="I366" i="24"/>
  <c r="J366" i="24"/>
  <c r="J367" i="24" s="1"/>
  <c r="F367" i="24"/>
  <c r="I367" i="24"/>
  <c r="H367" i="24" s="1"/>
  <c r="I369" i="24"/>
  <c r="F370" i="24"/>
  <c r="J375" i="24"/>
  <c r="I377" i="24"/>
  <c r="J377" i="24" s="1"/>
  <c r="F378" i="24"/>
  <c r="I378" i="24"/>
  <c r="I380" i="24"/>
  <c r="J380" i="24"/>
  <c r="J381" i="24" s="1"/>
  <c r="F381" i="24"/>
  <c r="I381" i="24"/>
  <c r="I383" i="24"/>
  <c r="I384" i="24" s="1"/>
  <c r="J383" i="24"/>
  <c r="J384" i="24" s="1"/>
  <c r="F384" i="24"/>
  <c r="H384" i="24"/>
  <c r="K386" i="24"/>
  <c r="K387" i="24"/>
  <c r="K388" i="24"/>
  <c r="K389" i="24"/>
  <c r="K390" i="24"/>
  <c r="I393" i="24"/>
  <c r="J393" i="24" s="1"/>
  <c r="F394" i="24"/>
  <c r="H394" i="24"/>
  <c r="I394" i="24"/>
  <c r="I396" i="24"/>
  <c r="F397" i="24"/>
  <c r="H397" i="24"/>
  <c r="I399" i="24"/>
  <c r="I400" i="24" s="1"/>
  <c r="J399" i="24"/>
  <c r="F400" i="24"/>
  <c r="H400" i="24"/>
  <c r="J400" i="24"/>
  <c r="I402" i="24"/>
  <c r="F403" i="24"/>
  <c r="K405" i="24"/>
  <c r="K406" i="24"/>
  <c r="K407" i="24"/>
  <c r="K408" i="24"/>
  <c r="K409" i="24"/>
  <c r="K410" i="24"/>
  <c r="J422" i="24"/>
  <c r="K424" i="24"/>
  <c r="K425" i="24"/>
  <c r="K426" i="24"/>
  <c r="K427" i="24"/>
  <c r="K428" i="24"/>
  <c r="K429" i="24"/>
  <c r="K432" i="24"/>
  <c r="K433" i="24"/>
  <c r="K434" i="24"/>
  <c r="K435" i="24"/>
  <c r="K436" i="24"/>
  <c r="K437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6" i="24"/>
  <c r="K457" i="24"/>
  <c r="K458" i="24"/>
  <c r="K459" i="24"/>
  <c r="K460" i="24"/>
  <c r="K461" i="24"/>
  <c r="F465" i="24"/>
  <c r="I474" i="24"/>
  <c r="J474" i="24"/>
  <c r="J477" i="24"/>
  <c r="J480" i="24"/>
  <c r="J484" i="24"/>
  <c r="K486" i="24"/>
  <c r="K487" i="24"/>
  <c r="K489" i="24"/>
  <c r="K490" i="24"/>
  <c r="K491" i="24"/>
  <c r="K492" i="24"/>
  <c r="K493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7" i="24"/>
  <c r="K578" i="24"/>
  <c r="K580" i="24"/>
  <c r="F585" i="24"/>
  <c r="J589" i="24"/>
  <c r="J602" i="24"/>
  <c r="K605" i="24"/>
  <c r="K606" i="24"/>
  <c r="K607" i="24"/>
  <c r="K608" i="24"/>
  <c r="K609" i="24"/>
  <c r="K610" i="24"/>
  <c r="K611" i="24"/>
  <c r="K612" i="24"/>
  <c r="K613" i="24"/>
  <c r="K614" i="24"/>
  <c r="K615" i="24"/>
  <c r="K618" i="24"/>
  <c r="K619" i="24"/>
  <c r="K620" i="24"/>
  <c r="K621" i="24"/>
  <c r="K622" i="24"/>
  <c r="K623" i="24"/>
  <c r="K624" i="24"/>
  <c r="K625" i="24"/>
  <c r="K626" i="24"/>
  <c r="J631" i="24"/>
  <c r="K656" i="24"/>
  <c r="K657" i="24"/>
  <c r="K658" i="24"/>
  <c r="K659" i="24"/>
  <c r="K660" i="24"/>
  <c r="K661" i="24"/>
  <c r="K662" i="24"/>
  <c r="K663" i="24"/>
  <c r="K666" i="24"/>
  <c r="K667" i="24" s="1"/>
  <c r="K669" i="24"/>
  <c r="K670" i="24"/>
  <c r="K671" i="24"/>
  <c r="K672" i="24"/>
  <c r="K673" i="24"/>
  <c r="K674" i="24"/>
  <c r="K675" i="24"/>
  <c r="K676" i="24"/>
  <c r="E677" i="24"/>
  <c r="D677" i="24"/>
  <c r="K679" i="24"/>
  <c r="K680" i="24" s="1"/>
  <c r="K682" i="24"/>
  <c r="K683" i="24"/>
  <c r="K684" i="24"/>
  <c r="K685" i="24"/>
  <c r="K686" i="24"/>
  <c r="K687" i="24"/>
  <c r="K688" i="24"/>
  <c r="K689" i="24"/>
  <c r="K690" i="24"/>
  <c r="K691" i="24"/>
  <c r="E758" i="24"/>
  <c r="I760" i="24"/>
  <c r="I761" i="24"/>
  <c r="J761" i="24"/>
  <c r="F762" i="24"/>
  <c r="I782" i="24"/>
  <c r="J782" i="24" s="1"/>
  <c r="F783" i="24"/>
  <c r="I783" i="24"/>
  <c r="H783" i="24" s="1"/>
  <c r="I785" i="24"/>
  <c r="J785" i="24" s="1"/>
  <c r="F786" i="24"/>
  <c r="I786" i="24"/>
  <c r="H786" i="24" s="1"/>
  <c r="J786" i="24"/>
  <c r="I788" i="24"/>
  <c r="J788" i="24"/>
  <c r="F789" i="24"/>
  <c r="I789" i="24"/>
  <c r="H789" i="24" s="1"/>
  <c r="J789" i="24"/>
  <c r="I791" i="24"/>
  <c r="J791" i="24" s="1"/>
  <c r="F792" i="24"/>
  <c r="I792" i="24"/>
  <c r="H792" i="24" s="1"/>
  <c r="J792" i="24"/>
  <c r="F800" i="24"/>
  <c r="I800" i="24"/>
  <c r="J800" i="24"/>
  <c r="I802" i="24"/>
  <c r="I803" i="24" s="1"/>
  <c r="H803" i="24" s="1"/>
  <c r="J802" i="24"/>
  <c r="F803" i="24"/>
  <c r="D803" i="24"/>
  <c r="J803" i="24"/>
  <c r="M305" i="24"/>
  <c r="M555" i="24"/>
  <c r="M556" i="24"/>
  <c r="R172" i="24"/>
  <c r="M297" i="24"/>
  <c r="M598" i="24"/>
  <c r="M765" i="24"/>
  <c r="R173" i="24"/>
  <c r="D517" i="24"/>
  <c r="D648" i="24"/>
  <c r="D545" i="24"/>
  <c r="O178" i="24"/>
  <c r="D448" i="24"/>
  <c r="G741" i="24"/>
  <c r="D544" i="24"/>
  <c r="D745" i="24"/>
  <c r="M350" i="24"/>
  <c r="M413" i="24"/>
  <c r="M472" i="24"/>
  <c r="L383" i="24"/>
  <c r="M241" i="24"/>
  <c r="M788" i="24"/>
  <c r="M601" i="24"/>
  <c r="G265" i="24"/>
  <c r="G437" i="24"/>
  <c r="O146" i="24"/>
  <c r="G219" i="24"/>
  <c r="G525" i="24"/>
  <c r="B89" i="24"/>
  <c r="D556" i="24"/>
  <c r="O105" i="24"/>
  <c r="M281" i="24"/>
  <c r="M317" i="24"/>
  <c r="M366" i="24"/>
  <c r="M610" i="24"/>
  <c r="R152" i="24"/>
  <c r="M310" i="24"/>
  <c r="M507" i="24"/>
  <c r="O111" i="24"/>
  <c r="O153" i="24"/>
  <c r="E172" i="24"/>
  <c r="G427" i="24"/>
  <c r="G663" i="24"/>
  <c r="G326" i="24"/>
  <c r="O162" i="24"/>
  <c r="O164" i="24"/>
  <c r="R133" i="24"/>
  <c r="R159" i="24"/>
  <c r="R107" i="24"/>
  <c r="M570" i="24"/>
  <c r="M287" i="24"/>
  <c r="M587" i="24"/>
  <c r="M684" i="24"/>
  <c r="G261" i="24"/>
  <c r="G228" i="24"/>
  <c r="O123" i="24"/>
  <c r="G434" i="24"/>
  <c r="E114" i="24"/>
  <c r="B186" i="24"/>
  <c r="E127" i="24"/>
  <c r="B169" i="24"/>
  <c r="G624" i="24"/>
  <c r="M225" i="24"/>
  <c r="M666" i="24"/>
  <c r="R115" i="24"/>
  <c r="D609" i="24"/>
  <c r="G299" i="24"/>
  <c r="G622" i="24"/>
  <c r="D270" i="24"/>
  <c r="D483" i="24"/>
  <c r="G649" i="24"/>
  <c r="D596" i="24"/>
  <c r="D468" i="24"/>
  <c r="E170" i="24"/>
  <c r="G305" i="24"/>
  <c r="D626" i="24"/>
  <c r="M436" i="24"/>
  <c r="M583" i="24"/>
  <c r="R105" i="24"/>
  <c r="D557" i="24"/>
  <c r="D532" i="24"/>
  <c r="G572" i="24"/>
  <c r="G505" i="24"/>
  <c r="D612" i="24"/>
  <c r="D266" i="24"/>
  <c r="E186" i="24"/>
  <c r="E150" i="24"/>
  <c r="G756" i="24"/>
  <c r="G283" i="24"/>
  <c r="M543" i="24"/>
  <c r="R110" i="24"/>
  <c r="M550" i="24"/>
  <c r="R111" i="24"/>
  <c r="D318" i="24"/>
  <c r="D369" i="24"/>
  <c r="B113" i="24"/>
  <c r="G711" i="24"/>
  <c r="G648" i="24"/>
  <c r="G442" i="24"/>
  <c r="D307" i="24"/>
  <c r="B168" i="24"/>
  <c r="O141" i="24"/>
  <c r="G730" i="24"/>
  <c r="R153" i="24"/>
  <c r="R117" i="24"/>
  <c r="M320" i="24"/>
  <c r="R157" i="24"/>
  <c r="B153" i="24"/>
  <c r="B151" i="24"/>
  <c r="E157" i="24"/>
  <c r="G347" i="24"/>
  <c r="G630" i="24"/>
  <c r="D747" i="24"/>
  <c r="G697" i="24"/>
  <c r="D351" i="24"/>
  <c r="B122" i="24"/>
  <c r="D710" i="24"/>
  <c r="E100" i="24"/>
  <c r="M399" i="24"/>
  <c r="M597" i="24"/>
  <c r="M620" i="24"/>
  <c r="M332" i="24"/>
  <c r="M449" i="24"/>
  <c r="M795" i="24"/>
  <c r="M618" i="24"/>
  <c r="M674" i="24"/>
  <c r="G573" i="24"/>
  <c r="D407" i="24"/>
  <c r="D452" i="24"/>
  <c r="D587" i="24"/>
  <c r="D691" i="24"/>
  <c r="O177" i="24"/>
  <c r="G306" i="24"/>
  <c r="R127" i="24"/>
  <c r="H464" i="24"/>
  <c r="M486" i="24"/>
  <c r="M656" i="24"/>
  <c r="R80" i="24"/>
  <c r="M386" i="24"/>
  <c r="M238" i="24"/>
  <c r="M388" i="24"/>
  <c r="G514" i="24"/>
  <c r="D372" i="24"/>
  <c r="D287" i="24"/>
  <c r="D647" i="24"/>
  <c r="D350" i="24"/>
  <c r="G722" i="24"/>
  <c r="D559" i="24"/>
  <c r="G406" i="24"/>
  <c r="M357" i="24"/>
  <c r="M421" i="24"/>
  <c r="M483" i="24"/>
  <c r="M434" i="24"/>
  <c r="M269" i="24"/>
  <c r="M659" i="24"/>
  <c r="M679" i="24"/>
  <c r="G452" i="24"/>
  <c r="O97" i="24"/>
  <c r="D543" i="24"/>
  <c r="G429" i="24"/>
  <c r="G497" i="24"/>
  <c r="E164" i="24"/>
  <c r="G593" i="24"/>
  <c r="O143" i="24"/>
  <c r="M235" i="24"/>
  <c r="M278" i="24"/>
  <c r="M284" i="24"/>
  <c r="L782" i="24"/>
  <c r="M673" i="24"/>
  <c r="M208" i="24"/>
  <c r="L377" i="24"/>
  <c r="E99" i="24"/>
  <c r="G357" i="24"/>
  <c r="O81" i="24"/>
  <c r="O175" i="24"/>
  <c r="G676" i="24"/>
  <c r="E101" i="24"/>
  <c r="D269" i="24"/>
  <c r="B164" i="24"/>
  <c r="D537" i="24"/>
  <c r="M432" i="24"/>
  <c r="M456" i="24"/>
  <c r="M688" i="24"/>
  <c r="D366" i="24"/>
  <c r="G548" i="24"/>
  <c r="D518" i="24"/>
  <c r="D542" i="24"/>
  <c r="D611" i="24"/>
  <c r="D743" i="24"/>
  <c r="G341" i="24"/>
  <c r="G296" i="24"/>
  <c r="G752" i="24"/>
  <c r="D593" i="24"/>
  <c r="M254" i="24"/>
  <c r="M540" i="24"/>
  <c r="M264" i="24"/>
  <c r="M553" i="24"/>
  <c r="G543" i="24"/>
  <c r="G544" i="24"/>
  <c r="D258" i="24"/>
  <c r="D520" i="24"/>
  <c r="E146" i="24"/>
  <c r="D533" i="24"/>
  <c r="G320" i="24"/>
  <c r="D306" i="24"/>
  <c r="G224" i="24"/>
  <c r="D799" i="24"/>
  <c r="R91" i="24"/>
  <c r="M499" i="24"/>
  <c r="R131" i="24"/>
  <c r="M562" i="24"/>
  <c r="G702" i="24"/>
  <c r="G363" i="24"/>
  <c r="D738" i="24"/>
  <c r="D650" i="24"/>
  <c r="G479" i="24"/>
  <c r="D591" i="24"/>
  <c r="G424" i="24"/>
  <c r="D702" i="24"/>
  <c r="D199" i="24"/>
  <c r="G620" i="24"/>
  <c r="M315" i="24"/>
  <c r="M452" i="24"/>
  <c r="M217" i="24"/>
  <c r="M663" i="24"/>
  <c r="B92" i="24"/>
  <c r="D324" i="24"/>
  <c r="D493" i="24"/>
  <c r="B143" i="24"/>
  <c r="O130" i="24"/>
  <c r="G675" i="24"/>
  <c r="D696" i="24"/>
  <c r="G488" i="24"/>
  <c r="G723" i="24"/>
  <c r="G782" i="24"/>
  <c r="D785" i="24"/>
  <c r="R86" i="24"/>
  <c r="R104" i="24"/>
  <c r="R135" i="24"/>
  <c r="M520" i="24"/>
  <c r="M682" i="24"/>
  <c r="M292" i="24"/>
  <c r="M557" i="24"/>
  <c r="M630" i="24"/>
  <c r="G285" i="24"/>
  <c r="E133" i="24"/>
  <c r="D562" i="24"/>
  <c r="D265" i="24"/>
  <c r="D451" i="24"/>
  <c r="D268" i="24"/>
  <c r="D508" i="24"/>
  <c r="M218" i="24"/>
  <c r="M525" i="24"/>
  <c r="M528" i="24"/>
  <c r="M600" i="24"/>
  <c r="R128" i="24"/>
  <c r="M516" i="24"/>
  <c r="M512" i="24"/>
  <c r="M396" i="24"/>
  <c r="G688" i="24"/>
  <c r="D311" i="24"/>
  <c r="D666" i="24"/>
  <c r="G707" i="24"/>
  <c r="G282" i="24"/>
  <c r="D750" i="24"/>
  <c r="D293" i="24"/>
  <c r="R140" i="24"/>
  <c r="M497" i="24"/>
  <c r="M498" i="24"/>
  <c r="M671" i="24"/>
  <c r="R84" i="24"/>
  <c r="L396" i="24"/>
  <c r="M311" i="24"/>
  <c r="M442" i="24"/>
  <c r="O156" i="24"/>
  <c r="G244" i="24"/>
  <c r="D514" i="24"/>
  <c r="G318" i="24"/>
  <c r="G564" i="24"/>
  <c r="O121" i="24"/>
  <c r="G291" i="24"/>
  <c r="E161" i="24"/>
  <c r="M306" i="24"/>
  <c r="L366" i="24"/>
  <c r="M443" i="24"/>
  <c r="M686" i="24"/>
  <c r="R185" i="24"/>
  <c r="M558" i="24"/>
  <c r="M593" i="24"/>
  <c r="O115" i="24"/>
  <c r="O176" i="24"/>
  <c r="G618" i="24"/>
  <c r="O89" i="24"/>
  <c r="O80" i="24"/>
  <c r="G486" i="24"/>
  <c r="D524" i="24"/>
  <c r="E168" i="24"/>
  <c r="M244" i="24"/>
  <c r="M536" i="24"/>
  <c r="M221" i="24"/>
  <c r="M546" i="24"/>
  <c r="G568" i="24"/>
  <c r="G498" i="24"/>
  <c r="D507" i="24"/>
  <c r="D536" i="24"/>
  <c r="G513" i="24"/>
  <c r="D682" i="24"/>
  <c r="D731" i="24"/>
  <c r="G450" i="24"/>
  <c r="E179" i="24"/>
  <c r="G217" i="24"/>
  <c r="M440" i="24"/>
  <c r="R94" i="24"/>
  <c r="M493" i="24"/>
  <c r="M530" i="24"/>
  <c r="G761" i="24"/>
  <c r="D279" i="24"/>
  <c r="G443" i="24"/>
  <c r="D546" i="24"/>
  <c r="G531" i="24"/>
  <c r="D723" i="24"/>
  <c r="D417" i="24"/>
  <c r="D690" i="24"/>
  <c r="D561" i="24"/>
  <c r="G387" i="24"/>
  <c r="M274" i="24"/>
  <c r="M772" i="24"/>
  <c r="R160" i="24"/>
  <c r="E112" i="24"/>
  <c r="G626" i="24"/>
  <c r="G271" i="24"/>
  <c r="G297" i="24"/>
  <c r="G302" i="24"/>
  <c r="G736" i="24"/>
  <c r="B142" i="24"/>
  <c r="G765" i="24"/>
  <c r="D418" i="24"/>
  <c r="G501" i="24"/>
  <c r="G453" i="24"/>
  <c r="M517" i="24"/>
  <c r="M771" i="24"/>
  <c r="M500" i="24"/>
  <c r="M457" i="24"/>
  <c r="D316" i="24"/>
  <c r="D701" i="24"/>
  <c r="D718" i="24"/>
  <c r="D420" i="24"/>
  <c r="G373" i="24"/>
  <c r="G537" i="24"/>
  <c r="O179" i="24"/>
  <c r="D434" i="24"/>
  <c r="E125" i="24"/>
  <c r="G732" i="24"/>
  <c r="R120" i="24"/>
  <c r="M458" i="24"/>
  <c r="M476" i="24"/>
  <c r="M613" i="24"/>
  <c r="R95" i="24"/>
  <c r="M374" i="24"/>
  <c r="R176" i="24"/>
  <c r="M779" i="24"/>
  <c r="G519" i="24"/>
  <c r="D706" i="24"/>
  <c r="G599" i="24"/>
  <c r="D637" i="24"/>
  <c r="D761" i="24"/>
  <c r="G796" i="24"/>
  <c r="D687" i="24"/>
  <c r="G245" i="24"/>
  <c r="R162" i="24"/>
  <c r="M196" i="24"/>
  <c r="R150" i="24"/>
  <c r="M625" i="24"/>
  <c r="M450" i="24"/>
  <c r="M687" i="24"/>
  <c r="M232" i="24"/>
  <c r="D624" i="24"/>
  <c r="D491" i="24"/>
  <c r="D674" i="24"/>
  <c r="O93" i="24"/>
  <c r="O131" i="24"/>
  <c r="O94" i="24"/>
  <c r="E111" i="24"/>
  <c r="B95" i="24"/>
  <c r="R106" i="24"/>
  <c r="R118" i="24"/>
  <c r="R156" i="24"/>
  <c r="M538" i="24"/>
  <c r="M794" i="24"/>
  <c r="M420" i="24"/>
  <c r="R144" i="24"/>
  <c r="D670" i="24"/>
  <c r="G547" i="24"/>
  <c r="O172" i="24"/>
  <c r="G563" i="24"/>
  <c r="G672" i="24"/>
  <c r="D684" i="24"/>
  <c r="G457" i="24"/>
  <c r="E94" i="24"/>
  <c r="L360" i="24"/>
  <c r="L584" i="24"/>
  <c r="M591" i="24"/>
  <c r="M316" i="24"/>
  <c r="M426" i="24"/>
  <c r="L788" i="24"/>
  <c r="M542" i="24"/>
  <c r="M778" i="24"/>
  <c r="D498" i="24"/>
  <c r="D254" i="24"/>
  <c r="D511" i="24"/>
  <c r="D396" i="24"/>
  <c r="D522" i="24"/>
  <c r="G715" i="24"/>
  <c r="G578" i="24"/>
  <c r="O96" i="24"/>
  <c r="M535" i="24"/>
  <c r="M691" i="24"/>
  <c r="M534" i="24"/>
  <c r="M670" i="24"/>
  <c r="D699" i="24"/>
  <c r="D709" i="24"/>
  <c r="G588" i="24"/>
  <c r="B121" i="24"/>
  <c r="D646" i="24"/>
  <c r="G600" i="24"/>
  <c r="G691" i="24"/>
  <c r="G229" i="24"/>
  <c r="D610" i="24"/>
  <c r="D737" i="24"/>
  <c r="M658" i="24"/>
  <c r="M473" i="24"/>
  <c r="R119" i="24"/>
  <c r="M537" i="24"/>
  <c r="G407" i="24"/>
  <c r="G705" i="24"/>
  <c r="D470" i="24"/>
  <c r="D751" i="24"/>
  <c r="G785" i="24"/>
  <c r="G549" i="24"/>
  <c r="B160" i="24"/>
  <c r="E116" i="24"/>
  <c r="D558" i="24"/>
  <c r="M224" i="24"/>
  <c r="M279" i="24"/>
  <c r="M607" i="24"/>
  <c r="M329" i="24"/>
  <c r="O104" i="24"/>
  <c r="D428" i="24"/>
  <c r="O186" i="24"/>
  <c r="E89" i="24"/>
  <c r="G393" i="24"/>
  <c r="E110" i="24"/>
  <c r="G389" i="24"/>
  <c r="D563" i="24"/>
  <c r="D315" i="24"/>
  <c r="D741" i="24"/>
  <c r="L175" i="24"/>
  <c r="M518" i="24"/>
  <c r="R116" i="24"/>
  <c r="M471" i="24"/>
  <c r="D505" i="24"/>
  <c r="G199" i="24"/>
  <c r="G292" i="24"/>
  <c r="D506" i="24"/>
  <c r="D285" i="24"/>
  <c r="O155" i="24"/>
  <c r="G778" i="24"/>
  <c r="D459" i="24"/>
  <c r="O180" i="24"/>
  <c r="O122" i="24"/>
  <c r="G350" i="24"/>
  <c r="E95" i="24"/>
  <c r="R78" i="24"/>
  <c r="M672" i="24"/>
  <c r="D686" i="24"/>
  <c r="G496" i="24"/>
  <c r="G760" i="24"/>
  <c r="G476" i="24"/>
  <c r="D360" i="24"/>
  <c r="D572" i="24"/>
  <c r="R175" i="24"/>
  <c r="M595" i="24"/>
  <c r="M662" i="24"/>
  <c r="G625" i="24"/>
  <c r="D622" i="24"/>
  <c r="D614" i="24"/>
  <c r="E171" i="24"/>
  <c r="M314" i="24"/>
  <c r="M560" i="24"/>
  <c r="M318" i="24"/>
  <c r="L799" i="24"/>
  <c r="G518" i="24"/>
  <c r="G553" i="24"/>
  <c r="G687" i="24"/>
  <c r="D584" i="24"/>
  <c r="M531" i="24"/>
  <c r="M669" i="24"/>
  <c r="M529" i="24"/>
  <c r="M482" i="24"/>
  <c r="D320" i="24"/>
  <c r="G636" i="24"/>
  <c r="G729" i="24"/>
  <c r="R79" i="24"/>
  <c r="L464" i="24"/>
  <c r="M683" i="24"/>
  <c r="R141" i="24"/>
  <c r="E154" i="24"/>
  <c r="D444" i="24"/>
  <c r="D196" i="24"/>
  <c r="D523" i="24"/>
  <c r="M429" i="24"/>
  <c r="M489" i="24"/>
  <c r="G601" i="24"/>
  <c r="G440" i="24"/>
  <c r="D630" i="24"/>
  <c r="O88" i="24"/>
  <c r="E156" i="24"/>
  <c r="M211" i="24"/>
  <c r="M578" i="24"/>
  <c r="D323" i="24"/>
  <c r="D221" i="24"/>
  <c r="G799" i="24"/>
  <c r="D414" i="24"/>
  <c r="G802" i="24"/>
  <c r="M459" i="24"/>
  <c r="R130" i="24"/>
  <c r="D553" i="24"/>
  <c r="G515" i="24"/>
  <c r="D608" i="24"/>
  <c r="O133" i="24"/>
  <c r="G520" i="24"/>
  <c r="M588" i="24"/>
  <c r="L791" i="24"/>
  <c r="D312" i="24"/>
  <c r="G421" i="24"/>
  <c r="G751" i="24"/>
  <c r="E135" i="24"/>
  <c r="D290" i="24"/>
  <c r="D574" i="24"/>
  <c r="G551" i="24"/>
  <c r="M515" i="24"/>
  <c r="G506" i="24"/>
  <c r="G653" i="24"/>
  <c r="E152" i="24"/>
  <c r="O124" i="24"/>
  <c r="D754" i="24"/>
  <c r="G740" i="24"/>
  <c r="D217" i="24"/>
  <c r="G360" i="24"/>
  <c r="D271" i="24"/>
  <c r="R151" i="24"/>
  <c r="O154" i="24"/>
  <c r="M245" i="24"/>
  <c r="G754" i="24"/>
  <c r="D305" i="24"/>
  <c r="M549" i="24"/>
  <c r="O128" i="24"/>
  <c r="G460" i="24"/>
  <c r="D246" i="24"/>
  <c r="G251" i="24"/>
  <c r="G639" i="24"/>
  <c r="O149" i="24"/>
  <c r="G696" i="24"/>
  <c r="O119" i="24"/>
  <c r="G241" i="24"/>
  <c r="M296" i="24"/>
  <c r="E174" i="24"/>
  <c r="R154" i="24"/>
  <c r="R90" i="24"/>
  <c r="D760" i="24"/>
  <c r="G558" i="24"/>
  <c r="G540" i="24"/>
  <c r="D432" i="24"/>
  <c r="G634" i="24"/>
  <c r="D538" i="24"/>
  <c r="E162" i="24"/>
  <c r="G268" i="24"/>
  <c r="R170" i="24"/>
  <c r="M487" i="24"/>
  <c r="G214" i="24"/>
  <c r="G482" i="24"/>
  <c r="B91" i="24"/>
  <c r="D749" i="24"/>
  <c r="M437" i="24"/>
  <c r="M579" i="24"/>
  <c r="O157" i="24"/>
  <c r="D218" i="24"/>
  <c r="O99" i="24"/>
  <c r="D231" i="24"/>
  <c r="G791" i="24"/>
  <c r="D247" i="24"/>
  <c r="D486" i="24"/>
  <c r="B102" i="24"/>
  <c r="G254" i="24"/>
  <c r="G536" i="24"/>
  <c r="G464" i="24"/>
  <c r="D516" i="24"/>
  <c r="G468" i="24"/>
  <c r="G380" i="24"/>
  <c r="M341" i="24"/>
  <c r="M246" i="24"/>
  <c r="G684" i="24"/>
  <c r="D297" i="24"/>
  <c r="E123" i="24"/>
  <c r="O79" i="24"/>
  <c r="M572" i="24"/>
  <c r="B94" i="24"/>
  <c r="M286" i="24"/>
  <c r="L583" i="24"/>
  <c r="M266" i="24"/>
  <c r="G605" i="24"/>
  <c r="G458" i="24"/>
  <c r="D458" i="24"/>
  <c r="D663" i="24"/>
  <c r="M418" i="24"/>
  <c r="M624" i="24"/>
  <c r="M453" i="24"/>
  <c r="M270" i="24"/>
  <c r="G444" i="24"/>
  <c r="D594" i="24"/>
  <c r="D600" i="24"/>
  <c r="D281" i="24"/>
  <c r="M563" i="24"/>
  <c r="R186" i="24"/>
  <c r="M626" i="24"/>
  <c r="M299" i="24"/>
  <c r="B177" i="24"/>
  <c r="D764" i="24"/>
  <c r="D726" i="24"/>
  <c r="R171" i="24"/>
  <c r="M514" i="24"/>
  <c r="R103" i="24"/>
  <c r="M451" i="24"/>
  <c r="D292" i="24"/>
  <c r="G280" i="24"/>
  <c r="G332" i="24"/>
  <c r="D571" i="24"/>
  <c r="M202" i="24"/>
  <c r="M490" i="24"/>
  <c r="E185" i="24"/>
  <c r="G426" i="24"/>
  <c r="E134" i="24"/>
  <c r="G728" i="24"/>
  <c r="D791" i="24"/>
  <c r="M406" i="24"/>
  <c r="M319" i="24"/>
  <c r="E78" i="24"/>
  <c r="E91" i="24"/>
  <c r="O103" i="24"/>
  <c r="G652" i="24"/>
  <c r="G746" i="24"/>
  <c r="M544" i="24"/>
  <c r="M592" i="24"/>
  <c r="D595" i="24"/>
  <c r="D515" i="24"/>
  <c r="D441" i="24"/>
  <c r="D202" i="24"/>
  <c r="D488" i="24"/>
  <c r="R167" i="24"/>
  <c r="M615" i="24"/>
  <c r="O110" i="24"/>
  <c r="G613" i="24"/>
  <c r="G726" i="24"/>
  <c r="D413" i="24"/>
  <c r="D771" i="24"/>
  <c r="G718" i="24"/>
  <c r="G512" i="24"/>
  <c r="M777" i="24"/>
  <c r="G777" i="24"/>
  <c r="D673" i="24"/>
  <c r="E81" i="24"/>
  <c r="D689" i="24"/>
  <c r="D645" i="24"/>
  <c r="G666" i="24"/>
  <c r="D482" i="24"/>
  <c r="G372" i="24"/>
  <c r="D739" i="24"/>
  <c r="G287" i="24"/>
  <c r="G659" i="24"/>
  <c r="M552" i="24"/>
  <c r="G621" i="24"/>
  <c r="R147" i="24"/>
  <c r="R87" i="24"/>
  <c r="D599" i="24"/>
  <c r="E145" i="24"/>
  <c r="G574" i="24"/>
  <c r="D341" i="24"/>
  <c r="G255" i="24"/>
  <c r="G523" i="24"/>
  <c r="D802" i="24"/>
  <c r="G221" i="24"/>
  <c r="D220" i="24"/>
  <c r="R108" i="24"/>
  <c r="D727" i="24"/>
  <c r="R114" i="24"/>
  <c r="M242" i="24"/>
  <c r="G445" i="24"/>
  <c r="D424" i="24"/>
  <c r="D535" i="24"/>
  <c r="G473" i="24"/>
  <c r="G436" i="24"/>
  <c r="G542" i="24"/>
  <c r="G487" i="24"/>
  <c r="D658" i="24"/>
  <c r="M509" i="24"/>
  <c r="L761" i="24"/>
  <c r="D642" i="24"/>
  <c r="D695" i="24"/>
  <c r="O174" i="24"/>
  <c r="D487" i="24"/>
  <c r="M302" i="24"/>
  <c r="H488" i="24"/>
  <c r="D363" i="24"/>
  <c r="D473" i="24"/>
  <c r="G276" i="24"/>
  <c r="G409" i="24"/>
  <c r="B116" i="24"/>
  <c r="G673" i="24"/>
  <c r="G713" i="24"/>
  <c r="E177" i="24"/>
  <c r="D649" i="24"/>
  <c r="G577" i="24"/>
  <c r="E144" i="24"/>
  <c r="G420" i="24"/>
  <c r="G698" i="24"/>
  <c r="D255" i="24"/>
  <c r="D521" i="24"/>
  <c r="G557" i="24"/>
  <c r="D719" i="24"/>
  <c r="G657" i="24"/>
  <c r="G747" i="24"/>
  <c r="M568" i="24"/>
  <c r="G535" i="24"/>
  <c r="G611" i="24"/>
  <c r="M407" i="24"/>
  <c r="L785" i="24"/>
  <c r="M764" i="24"/>
  <c r="O114" i="24"/>
  <c r="G529" i="24"/>
  <c r="D338" i="24"/>
  <c r="G338" i="24"/>
  <c r="R92" i="24"/>
  <c r="R149" i="24"/>
  <c r="M690" i="24"/>
  <c r="M612" i="24"/>
  <c r="D685" i="24"/>
  <c r="G238" i="24"/>
  <c r="G567" i="24"/>
  <c r="G517" i="24"/>
  <c r="M623" i="24"/>
  <c r="M372" i="24"/>
  <c r="R89" i="24"/>
  <c r="M248" i="24"/>
  <c r="E163" i="24"/>
  <c r="D387" i="24"/>
  <c r="D405" i="24"/>
  <c r="M271" i="24"/>
  <c r="M548" i="24"/>
  <c r="M280" i="24"/>
  <c r="M608" i="24"/>
  <c r="D282" i="24"/>
  <c r="D541" i="24"/>
  <c r="D580" i="24"/>
  <c r="G571" i="24"/>
  <c r="M402" i="24"/>
  <c r="M307" i="24"/>
  <c r="D427" i="24"/>
  <c r="D393" i="24"/>
  <c r="B166" i="24"/>
  <c r="G242" i="24"/>
  <c r="D248" i="24"/>
  <c r="M539" i="24"/>
  <c r="M545" i="24"/>
  <c r="G764" i="24"/>
  <c r="G635" i="24"/>
  <c r="G647" i="24"/>
  <c r="G559" i="24"/>
  <c r="D460" i="24"/>
  <c r="R101" i="24"/>
  <c r="M569" i="24"/>
  <c r="G596" i="24"/>
  <c r="O158" i="24"/>
  <c r="G706" i="24"/>
  <c r="G539" i="24"/>
  <c r="D635" i="24"/>
  <c r="L380" i="24"/>
  <c r="L579" i="24"/>
  <c r="D661" i="24"/>
  <c r="D502" i="24"/>
  <c r="D389" i="24"/>
  <c r="E90" i="24"/>
  <c r="D453" i="24"/>
  <c r="G290" i="24"/>
  <c r="R99" i="24"/>
  <c r="M363" i="24"/>
  <c r="G369" i="24"/>
  <c r="D560" i="24"/>
  <c r="D746" i="24"/>
  <c r="O100" i="24"/>
  <c r="O125" i="24"/>
  <c r="B87" i="24"/>
  <c r="G703" i="24"/>
  <c r="G281" i="24"/>
  <c r="D757" i="24"/>
  <c r="G724" i="24"/>
  <c r="D730" i="24"/>
  <c r="M291" i="24"/>
  <c r="G492" i="24"/>
  <c r="R113" i="24"/>
  <c r="R148" i="24"/>
  <c r="G507" i="24"/>
  <c r="E105" i="24"/>
  <c r="D597" i="24"/>
  <c r="D740" i="24"/>
  <c r="D325" i="24"/>
  <c r="E160" i="24"/>
  <c r="G776" i="24"/>
  <c r="D291" i="24"/>
  <c r="G795" i="24"/>
  <c r="M622" i="24"/>
  <c r="G533" i="24"/>
  <c r="M505" i="24"/>
  <c r="M408" i="24"/>
  <c r="D408" i="24"/>
  <c r="G319" i="24"/>
  <c r="G775" i="24"/>
  <c r="G679" i="24"/>
  <c r="E109" i="24"/>
  <c r="E165" i="24"/>
  <c r="G640" i="24"/>
  <c r="E108" i="24"/>
  <c r="M510" i="24"/>
  <c r="G658" i="24"/>
  <c r="G554" i="24"/>
  <c r="D329" i="24"/>
  <c r="G329" i="24"/>
  <c r="G716" i="24"/>
  <c r="M676" i="24"/>
  <c r="O112" i="24"/>
  <c r="D659" i="24"/>
  <c r="D660" i="24"/>
  <c r="E104" i="24"/>
  <c r="D636" i="24"/>
  <c r="D456" i="24"/>
  <c r="G534" i="24"/>
  <c r="D310" i="24"/>
  <c r="D729" i="24"/>
  <c r="G528" i="24"/>
  <c r="G516" i="24"/>
  <c r="E132" i="24"/>
  <c r="M571" i="24"/>
  <c r="B96" i="24"/>
  <c r="G417" i="24"/>
  <c r="G560" i="24"/>
  <c r="G414" i="24"/>
  <c r="G742" i="24"/>
  <c r="G662" i="24"/>
  <c r="O117" i="24"/>
  <c r="R134" i="24"/>
  <c r="D531" i="24"/>
  <c r="B161" i="24"/>
  <c r="M323" i="24"/>
  <c r="M464" i="24"/>
  <c r="M230" i="24"/>
  <c r="M768" i="24"/>
  <c r="E169" i="24"/>
  <c r="E143" i="24"/>
  <c r="E84" i="24"/>
  <c r="O142" i="24"/>
  <c r="R112" i="24"/>
  <c r="M533" i="24"/>
  <c r="L369" i="24"/>
  <c r="R179" i="24"/>
  <c r="O147" i="24"/>
  <c r="G615" i="24"/>
  <c r="D299" i="24"/>
  <c r="M425" i="24"/>
  <c r="R81" i="24"/>
  <c r="M460" i="24"/>
  <c r="M424" i="24"/>
  <c r="O159" i="24"/>
  <c r="E159" i="24"/>
  <c r="D552" i="24"/>
  <c r="G278" i="24"/>
  <c r="M547" i="24"/>
  <c r="R123" i="24"/>
  <c r="M561" i="24"/>
  <c r="R129" i="24"/>
  <c r="D421" i="24"/>
  <c r="D644" i="24"/>
  <c r="E87" i="24"/>
  <c r="B88" i="24"/>
  <c r="M488" i="24"/>
  <c r="M799" i="24"/>
  <c r="G231" i="24"/>
  <c r="D776" i="24"/>
  <c r="G269" i="24"/>
  <c r="D383" i="24"/>
  <c r="D705" i="24"/>
  <c r="M785" i="24"/>
  <c r="R82" i="24"/>
  <c r="D377" i="24"/>
  <c r="G695" i="24"/>
  <c r="D464" i="24"/>
  <c r="B165" i="24"/>
  <c r="M444" i="24"/>
  <c r="M606" i="24"/>
  <c r="D503" i="24"/>
  <c r="D288" i="24"/>
  <c r="G579" i="24"/>
  <c r="D652" i="24"/>
  <c r="D598" i="24"/>
  <c r="O160" i="24"/>
  <c r="M775" i="24"/>
  <c r="O82" i="24"/>
  <c r="G674" i="24"/>
  <c r="G606" i="24"/>
  <c r="D354" i="24"/>
  <c r="G314" i="24"/>
  <c r="G594" i="24"/>
  <c r="D224" i="24"/>
  <c r="R121" i="24"/>
  <c r="M574" i="24"/>
  <c r="E80" i="24"/>
  <c r="E128" i="24"/>
  <c r="D296" i="24"/>
  <c r="E79" i="24"/>
  <c r="D261" i="24"/>
  <c r="G405" i="24"/>
  <c r="G386" i="24"/>
  <c r="D643" i="24"/>
  <c r="G307" i="24"/>
  <c r="O108" i="24"/>
  <c r="G555" i="24"/>
  <c r="G388" i="24"/>
  <c r="D436" i="24"/>
  <c r="R164" i="24"/>
  <c r="L238" i="24"/>
  <c r="O91" i="24"/>
  <c r="D211" i="24"/>
  <c r="G727" i="24"/>
  <c r="G196" i="24"/>
  <c r="O161" i="24"/>
  <c r="E103" i="24"/>
  <c r="G366" i="24"/>
  <c r="E129" i="24"/>
  <c r="G768" i="24"/>
  <c r="O129" i="24"/>
  <c r="G416" i="24"/>
  <c r="M685" i="24"/>
  <c r="M503" i="24"/>
  <c r="D707" i="24"/>
  <c r="G748" i="24"/>
  <c r="D525" i="24"/>
  <c r="G324" i="24"/>
  <c r="G316" i="24"/>
  <c r="G546" i="24"/>
  <c r="D733" i="24"/>
  <c r="G471" i="24"/>
  <c r="M276" i="24"/>
  <c r="D592" i="24"/>
  <c r="D547" i="24"/>
  <c r="M231" i="24"/>
  <c r="G538" i="24"/>
  <c r="M351" i="24"/>
  <c r="M524" i="24"/>
  <c r="G609" i="24"/>
  <c r="G225" i="24"/>
  <c r="D712" i="24"/>
  <c r="D656" i="24"/>
  <c r="G683" i="24"/>
  <c r="E82" i="24"/>
  <c r="D386" i="24"/>
  <c r="D728" i="24"/>
  <c r="O168" i="24"/>
  <c r="G208" i="24"/>
  <c r="R166" i="24"/>
  <c r="G566" i="24"/>
  <c r="D765" i="24"/>
  <c r="G671" i="24"/>
  <c r="O152" i="24"/>
  <c r="G545" i="24"/>
  <c r="M541" i="24"/>
  <c r="D264" i="24"/>
  <c r="D479" i="24"/>
  <c r="D442" i="24"/>
  <c r="E124" i="24"/>
  <c r="G383" i="24"/>
  <c r="M661" i="24"/>
  <c r="O151" i="24"/>
  <c r="G274" i="24"/>
  <c r="D640" i="24"/>
  <c r="G258" i="24"/>
  <c r="D539" i="24"/>
  <c r="D490" i="24"/>
  <c r="G645" i="24"/>
  <c r="M251" i="24"/>
  <c r="G449" i="24"/>
  <c r="D243" i="24"/>
  <c r="G738" i="24"/>
  <c r="R177" i="24"/>
  <c r="R122" i="24"/>
  <c r="G510" i="24"/>
  <c r="G689" i="24"/>
  <c r="M277" i="24"/>
  <c r="R146" i="24"/>
  <c r="D492" i="24"/>
  <c r="E142" i="24"/>
  <c r="M214" i="24"/>
  <c r="M796" i="24"/>
  <c r="D618" i="24"/>
  <c r="O109" i="24"/>
  <c r="R109" i="24"/>
  <c r="M369" i="24"/>
  <c r="D446" i="24"/>
  <c r="G289" i="24"/>
  <c r="R102" i="24"/>
  <c r="O167" i="24"/>
  <c r="D425" i="24"/>
  <c r="M247" i="24"/>
  <c r="E126" i="24"/>
  <c r="G413" i="24"/>
  <c r="D601" i="24"/>
  <c r="L344" i="24"/>
  <c r="G310" i="24"/>
  <c r="E153" i="24"/>
  <c r="M599" i="24"/>
  <c r="D577" i="24"/>
  <c r="D313" i="24"/>
  <c r="G325" i="24"/>
  <c r="M435" i="24"/>
  <c r="D205" i="24"/>
  <c r="D669" i="24"/>
  <c r="G685" i="24"/>
  <c r="G637" i="24"/>
  <c r="D755" i="24"/>
  <c r="G491" i="24"/>
  <c r="G202" i="24"/>
  <c r="L399" i="24"/>
  <c r="D748" i="24"/>
  <c r="E147" i="24"/>
  <c r="D326" i="24"/>
  <c r="D443" i="24"/>
  <c r="G623" i="24"/>
  <c r="R132" i="24"/>
  <c r="D621" i="24"/>
  <c r="O87" i="24"/>
  <c r="G552" i="24"/>
  <c r="D244" i="24"/>
  <c r="R100" i="24"/>
  <c r="E148" i="24"/>
  <c r="D605" i="24"/>
  <c r="M416" i="24"/>
  <c r="D683" i="24"/>
  <c r="D588" i="24"/>
  <c r="D440" i="24"/>
  <c r="D698" i="24"/>
  <c r="D344" i="24"/>
  <c r="D519" i="24"/>
  <c r="G541" i="24"/>
  <c r="G591" i="24"/>
  <c r="M324" i="24"/>
  <c r="D639" i="24"/>
  <c r="G788" i="24"/>
  <c r="E180" i="24"/>
  <c r="G598" i="24"/>
  <c r="G243" i="24"/>
  <c r="L402" i="24"/>
  <c r="G232" i="24"/>
  <c r="D219" i="24"/>
  <c r="D703" i="24"/>
  <c r="M377" i="24"/>
  <c r="D623" i="24"/>
  <c r="G735" i="24"/>
  <c r="G643" i="24"/>
  <c r="G744" i="24"/>
  <c r="E158" i="24"/>
  <c r="M614" i="24"/>
  <c r="G530" i="24"/>
  <c r="M390" i="24"/>
  <c r="E173" i="24"/>
  <c r="D283" i="24"/>
  <c r="O126" i="24"/>
  <c r="D615" i="24"/>
  <c r="D496" i="24"/>
  <c r="D619" i="24"/>
  <c r="M609" i="24"/>
  <c r="G612" i="24"/>
  <c r="M479" i="24"/>
  <c r="D228" i="24"/>
  <c r="D606" i="24"/>
  <c r="M508" i="24"/>
  <c r="B105" i="24"/>
  <c r="D657" i="24"/>
  <c r="D267" i="24"/>
  <c r="M414" i="24"/>
  <c r="D472" i="24"/>
  <c r="M491" i="24"/>
  <c r="G489" i="24"/>
  <c r="O120" i="24"/>
  <c r="G293" i="24"/>
  <c r="D734" i="24"/>
  <c r="D317" i="24"/>
  <c r="G608" i="24"/>
  <c r="D555" i="24"/>
  <c r="D704" i="24"/>
  <c r="G504" i="24"/>
  <c r="E122" i="24"/>
  <c r="M461" i="24"/>
  <c r="G218" i="24"/>
  <c r="G629" i="24"/>
  <c r="R126" i="24"/>
  <c r="G502" i="24"/>
  <c r="G266" i="24"/>
  <c r="D688" i="24"/>
  <c r="G247" i="24"/>
  <c r="R143" i="24"/>
  <c r="R178" i="24"/>
  <c r="D278" i="24"/>
  <c r="D782" i="24"/>
  <c r="D777" i="24"/>
  <c r="M611" i="24"/>
  <c r="M360" i="24"/>
  <c r="G749" i="24"/>
  <c r="B167" i="24"/>
  <c r="G415" i="24"/>
  <c r="D613" i="24"/>
  <c r="R161" i="24"/>
  <c r="M427" i="24"/>
  <c r="O78" i="24"/>
  <c r="G230" i="24"/>
  <c r="M559" i="24"/>
  <c r="M621" i="24"/>
  <c r="G757" i="24"/>
  <c r="G638" i="24"/>
  <c r="M532" i="24"/>
  <c r="M519" i="24"/>
  <c r="D534" i="24"/>
  <c r="D274" i="24"/>
  <c r="M605" i="24"/>
  <c r="M447" i="24"/>
  <c r="D711" i="24"/>
  <c r="G467" i="24"/>
  <c r="M496" i="24"/>
  <c r="D529" i="24"/>
  <c r="D579" i="24"/>
  <c r="M261" i="24"/>
  <c r="B185" i="24"/>
  <c r="D675" i="24"/>
  <c r="O170" i="24"/>
  <c r="D566" i="24"/>
  <c r="G669" i="24"/>
  <c r="G737" i="24"/>
  <c r="M325" i="24"/>
  <c r="O163" i="24"/>
  <c r="G441" i="24"/>
  <c r="D620" i="24"/>
  <c r="R97" i="24"/>
  <c r="G503" i="24"/>
  <c r="D570" i="24"/>
  <c r="E176" i="24"/>
  <c r="G461" i="24"/>
  <c r="G670" i="24"/>
  <c r="G661" i="24"/>
  <c r="D314" i="24"/>
  <c r="M441" i="24"/>
  <c r="O98" i="24"/>
  <c r="G714" i="24"/>
  <c r="B170" i="24"/>
  <c r="D788" i="24"/>
  <c r="E141" i="24"/>
  <c r="M506" i="24"/>
  <c r="G772" i="24"/>
  <c r="G522" i="24"/>
  <c r="D429" i="24"/>
  <c r="D449" i="24"/>
  <c r="M689" i="24"/>
  <c r="G418" i="24"/>
  <c r="E178" i="24"/>
  <c r="R168" i="24"/>
  <c r="E102" i="24"/>
  <c r="E107" i="24"/>
  <c r="G408" i="24"/>
  <c r="D447" i="24"/>
  <c r="G459" i="24"/>
  <c r="G433" i="24"/>
  <c r="D796" i="24"/>
  <c r="O171" i="24"/>
  <c r="G344" i="24"/>
  <c r="M504" i="24"/>
  <c r="D708" i="24"/>
  <c r="O83" i="24"/>
  <c r="G428" i="24"/>
  <c r="M433" i="24"/>
  <c r="G399" i="24"/>
  <c r="D775" i="24"/>
  <c r="D717" i="24"/>
  <c r="G323" i="24"/>
  <c r="D662" i="24"/>
  <c r="D565" i="24"/>
  <c r="M417" i="24"/>
  <c r="D569" i="24"/>
  <c r="O127" i="24"/>
  <c r="M344" i="24"/>
  <c r="D509" i="24"/>
  <c r="G794" i="24"/>
  <c r="D512" i="24"/>
  <c r="L357" i="24"/>
  <c r="G270" i="24"/>
  <c r="D277" i="24"/>
  <c r="G583" i="24"/>
  <c r="M594" i="24"/>
  <c r="H584" i="24"/>
  <c r="M265" i="24"/>
  <c r="D530" i="24"/>
  <c r="G701" i="24"/>
  <c r="D214" i="24"/>
  <c r="E149" i="24"/>
  <c r="G248" i="24"/>
  <c r="G597" i="24"/>
  <c r="M268" i="24"/>
  <c r="G419" i="24"/>
  <c r="D450" i="24"/>
  <c r="D275" i="24"/>
  <c r="D720" i="24"/>
  <c r="G402" i="24"/>
  <c r="B178" i="24"/>
  <c r="D500" i="24"/>
  <c r="O84" i="24"/>
  <c r="D548" i="24"/>
  <c r="M312" i="24"/>
  <c r="G580" i="24"/>
  <c r="D732" i="24"/>
  <c r="R174" i="24"/>
  <c r="D735" i="24"/>
  <c r="R124" i="24"/>
  <c r="L393" i="24"/>
  <c r="D332" i="24"/>
  <c r="M255" i="24"/>
  <c r="R125" i="24"/>
  <c r="D399" i="24"/>
  <c r="E106" i="24"/>
  <c r="M619" i="24"/>
  <c r="R83" i="24"/>
  <c r="D373" i="24"/>
  <c r="D416" i="24"/>
  <c r="M564" i="24"/>
  <c r="L802" i="24"/>
  <c r="G690" i="24"/>
  <c r="D550" i="24"/>
  <c r="M761" i="24"/>
  <c r="M791" i="24"/>
  <c r="G710" i="24"/>
  <c r="G712" i="24"/>
  <c r="M283" i="24"/>
  <c r="B104" i="24"/>
  <c r="D772" i="24"/>
  <c r="M492" i="24"/>
  <c r="B101" i="24"/>
  <c r="E118" i="24"/>
  <c r="M267" i="24"/>
  <c r="G446" i="24"/>
  <c r="G595" i="24"/>
  <c r="G656" i="24"/>
  <c r="H583" i="24"/>
  <c r="O140" i="24"/>
  <c r="G500" i="24"/>
  <c r="E119" i="24"/>
  <c r="M468" i="24"/>
  <c r="G641" i="24"/>
  <c r="D435" i="24"/>
  <c r="E93" i="24"/>
  <c r="G235" i="24"/>
  <c r="E175" i="24"/>
  <c r="D489" i="24"/>
  <c r="G755" i="24"/>
  <c r="L341" i="24"/>
  <c r="G565" i="24"/>
  <c r="O90" i="24"/>
  <c r="D347" i="24"/>
  <c r="G719" i="24"/>
  <c r="D501" i="24"/>
  <c r="R85" i="24"/>
  <c r="B84" i="24"/>
  <c r="D469" i="24"/>
  <c r="D752" i="24"/>
  <c r="G686" i="24"/>
  <c r="R93" i="24"/>
  <c r="B134" i="24"/>
  <c r="E88" i="24"/>
  <c r="M782" i="24"/>
  <c r="D753" i="24"/>
  <c r="G351" i="24"/>
  <c r="E92" i="24"/>
  <c r="G508" i="24"/>
  <c r="B145" i="24"/>
  <c r="D476" i="24"/>
  <c r="G410" i="24"/>
  <c r="D573" i="24"/>
  <c r="M409" i="24"/>
  <c r="O145" i="24"/>
  <c r="G220" i="24"/>
  <c r="G614" i="24"/>
  <c r="G298" i="24"/>
  <c r="O107" i="24"/>
  <c r="D554" i="24"/>
  <c r="M289" i="24"/>
  <c r="D671" i="24"/>
  <c r="D725" i="24"/>
  <c r="B163" i="24"/>
  <c r="B93" i="24"/>
  <c r="R155" i="24"/>
  <c r="M521" i="24"/>
  <c r="D697" i="24"/>
  <c r="M290" i="24"/>
  <c r="M288" i="24"/>
  <c r="M220" i="24"/>
  <c r="G435" i="24"/>
  <c r="R163" i="24"/>
  <c r="L488" i="24"/>
  <c r="L760" i="24"/>
  <c r="G490" i="24"/>
  <c r="D280" i="24"/>
  <c r="G771" i="24"/>
  <c r="D388" i="24"/>
  <c r="D241" i="24"/>
  <c r="M554" i="24"/>
  <c r="D700" i="24"/>
  <c r="G584" i="24"/>
  <c r="G313" i="24"/>
  <c r="G264" i="24"/>
  <c r="G524" i="24"/>
  <c r="E121" i="24"/>
  <c r="M522" i="24"/>
  <c r="M446" i="24"/>
  <c r="M448" i="24"/>
  <c r="D319" i="24"/>
  <c r="D679" i="24"/>
  <c r="G720" i="24"/>
  <c r="D564" i="24"/>
  <c r="D284" i="24"/>
  <c r="M501" i="24"/>
  <c r="M565" i="24"/>
  <c r="D467" i="24"/>
  <c r="M354" i="24"/>
  <c r="D286" i="24"/>
  <c r="G708" i="24"/>
  <c r="D551" i="24"/>
  <c r="G532" i="24"/>
  <c r="D736" i="24"/>
  <c r="M199" i="24"/>
  <c r="M229" i="24"/>
  <c r="M347" i="24"/>
  <c r="G469" i="24"/>
  <c r="G509" i="24"/>
  <c r="D251" i="24"/>
  <c r="G483" i="24"/>
  <c r="G317" i="24"/>
  <c r="G739" i="24"/>
  <c r="G499" i="24"/>
  <c r="G451" i="24"/>
  <c r="M802" i="24"/>
  <c r="M660" i="24"/>
  <c r="G470" i="24"/>
  <c r="G734" i="24"/>
  <c r="M596" i="24"/>
  <c r="O148" i="24"/>
  <c r="D457" i="24"/>
  <c r="R169" i="24"/>
  <c r="M467" i="24"/>
  <c r="D402" i="24"/>
  <c r="D229" i="24"/>
  <c r="R96" i="24"/>
  <c r="M205" i="24"/>
  <c r="E167" i="24"/>
  <c r="G267" i="24"/>
  <c r="M415" i="24"/>
  <c r="G587" i="24"/>
  <c r="G447" i="24"/>
  <c r="D676" i="24"/>
  <c r="E115" i="24"/>
  <c r="D461" i="24"/>
  <c r="D716" i="24"/>
  <c r="M326" i="24"/>
  <c r="D778" i="24"/>
  <c r="D724" i="24"/>
  <c r="M387" i="24"/>
  <c r="D499" i="24"/>
  <c r="D513" i="24"/>
  <c r="G448" i="24"/>
  <c r="O150" i="24"/>
  <c r="M219" i="24"/>
  <c r="B100" i="24"/>
  <c r="D549" i="24"/>
  <c r="G660" i="24"/>
  <c r="G246" i="24"/>
  <c r="D419" i="24"/>
  <c r="D768" i="24"/>
  <c r="M675" i="24"/>
  <c r="G312" i="24"/>
  <c r="E117" i="24"/>
  <c r="D794" i="24"/>
  <c r="D302" i="24"/>
  <c r="M551" i="24"/>
  <c r="E96" i="24"/>
  <c r="D225" i="24"/>
  <c r="G390" i="24"/>
  <c r="B152" i="24"/>
  <c r="G633" i="24"/>
  <c r="D744" i="24"/>
  <c r="G550" i="24"/>
  <c r="G521" i="24"/>
  <c r="M584" i="24"/>
  <c r="D578" i="24"/>
  <c r="O165" i="24"/>
  <c r="O134" i="24"/>
  <c r="E131" i="24"/>
  <c r="G753" i="24"/>
  <c r="O106" i="24"/>
  <c r="D415" i="24"/>
  <c r="G700" i="24"/>
  <c r="D357" i="24"/>
  <c r="D528" i="24"/>
  <c r="D504" i="24"/>
  <c r="M470" i="24"/>
  <c r="D638" i="24"/>
  <c r="G682" i="24"/>
  <c r="G288" i="24"/>
  <c r="E166" i="24"/>
  <c r="G425" i="24"/>
  <c r="D540" i="24"/>
  <c r="M760" i="24"/>
  <c r="D653" i="24"/>
  <c r="G745" i="24"/>
  <c r="G205" i="24"/>
  <c r="D390" i="24"/>
  <c r="G607" i="24"/>
  <c r="G286" i="24"/>
  <c r="D715" i="24"/>
  <c r="D795" i="24"/>
  <c r="E113" i="24"/>
  <c r="M511" i="24"/>
  <c r="M258" i="24"/>
  <c r="D245" i="24"/>
  <c r="D641" i="24"/>
  <c r="M410" i="24"/>
  <c r="G650" i="24"/>
  <c r="G374" i="24"/>
  <c r="G556" i="24"/>
  <c r="O118" i="24"/>
  <c r="G456" i="24"/>
  <c r="G315" i="24"/>
  <c r="O132" i="24"/>
  <c r="G493" i="24"/>
  <c r="D721" i="24"/>
  <c r="M285" i="24"/>
  <c r="D232" i="24"/>
  <c r="G211" i="24"/>
  <c r="O101" i="24"/>
  <c r="D567" i="24"/>
  <c r="G432" i="24"/>
  <c r="L661" i="24"/>
  <c r="M657" i="24"/>
  <c r="M629" i="24"/>
  <c r="R98" i="24"/>
  <c r="D779" i="24"/>
  <c r="D276" i="24"/>
  <c r="D208" i="24"/>
  <c r="M393" i="24"/>
  <c r="G610" i="24"/>
  <c r="G644" i="24"/>
  <c r="G779" i="24"/>
  <c r="G642" i="24"/>
  <c r="D235" i="24"/>
  <c r="M282" i="24"/>
  <c r="G569" i="24"/>
  <c r="R158" i="24"/>
  <c r="G592" i="24"/>
  <c r="O135" i="24"/>
  <c r="M243" i="24"/>
  <c r="R142" i="24"/>
  <c r="M419" i="24"/>
  <c r="R88" i="24"/>
  <c r="O102" i="24"/>
  <c r="E97" i="24"/>
  <c r="G277" i="24"/>
  <c r="E98" i="24"/>
  <c r="E120" i="24"/>
  <c r="D714" i="24"/>
  <c r="G646" i="24"/>
  <c r="M275" i="24"/>
  <c r="M523" i="24"/>
  <c r="D238" i="24"/>
  <c r="D230" i="24"/>
  <c r="G396" i="24"/>
  <c r="G377" i="24"/>
  <c r="M566" i="24"/>
  <c r="G619" i="24"/>
  <c r="D583" i="24"/>
  <c r="D410" i="24"/>
  <c r="G750" i="24"/>
  <c r="G562" i="24"/>
  <c r="G699" i="24"/>
  <c r="D433" i="24"/>
  <c r="D409" i="24"/>
  <c r="G311" i="24"/>
  <c r="D651" i="24"/>
  <c r="D713" i="24"/>
  <c r="M389" i="24"/>
  <c r="M513" i="24"/>
  <c r="O113" i="24"/>
  <c r="M573" i="24"/>
  <c r="M335" i="24"/>
  <c r="M228" i="24"/>
  <c r="D289" i="24"/>
  <c r="D374" i="24"/>
  <c r="G284" i="24"/>
  <c r="D625" i="24"/>
  <c r="M298" i="24"/>
  <c r="G733" i="24"/>
  <c r="M776" i="24"/>
  <c r="O185" i="24"/>
  <c r="D437" i="24"/>
  <c r="G731" i="24"/>
  <c r="M428" i="24"/>
  <c r="G275" i="24"/>
  <c r="E140" i="24"/>
  <c r="D629" i="24"/>
  <c r="D471" i="24"/>
  <c r="D445" i="24"/>
  <c r="G725" i="24"/>
  <c r="G511" i="24"/>
  <c r="D633" i="24"/>
  <c r="G704" i="24"/>
  <c r="E155" i="24"/>
  <c r="E83" i="24"/>
  <c r="M580" i="24"/>
  <c r="M338" i="24"/>
  <c r="R145" i="24"/>
  <c r="D672" i="24"/>
  <c r="D380" i="24"/>
  <c r="D242" i="24"/>
  <c r="M313" i="24"/>
  <c r="M373" i="24"/>
  <c r="E151" i="24"/>
  <c r="G721" i="24"/>
  <c r="O144" i="24"/>
  <c r="O92" i="24"/>
  <c r="D568" i="24"/>
  <c r="M577" i="24"/>
  <c r="D510" i="24"/>
  <c r="M405" i="24"/>
  <c r="G354" i="24"/>
  <c r="G561" i="24"/>
  <c r="M567" i="24"/>
  <c r="M293" i="24"/>
  <c r="O169" i="24"/>
  <c r="G279" i="24"/>
  <c r="B157" i="24"/>
  <c r="G570" i="24"/>
  <c r="B135" i="24"/>
  <c r="D742" i="24"/>
  <c r="L354" i="24"/>
  <c r="M445" i="24"/>
  <c r="D722" i="24"/>
  <c r="D756" i="24"/>
  <c r="G472" i="24"/>
  <c r="M380" i="24"/>
  <c r="D497" i="24"/>
  <c r="G717" i="24"/>
  <c r="D298" i="24"/>
  <c r="O166" i="24"/>
  <c r="D607" i="24"/>
  <c r="G335" i="24"/>
  <c r="D406" i="24"/>
  <c r="R180" i="24"/>
  <c r="G651" i="24"/>
  <c r="E130" i="24"/>
  <c r="O116" i="24"/>
  <c r="M502" i="24"/>
  <c r="M383" i="24"/>
  <c r="O95" i="24"/>
  <c r="D426" i="24"/>
  <c r="R165" i="24"/>
  <c r="D335" i="24"/>
  <c r="B103" i="24"/>
  <c r="D634" i="24"/>
  <c r="G709" i="24"/>
  <c r="O173" i="24"/>
  <c r="G743" i="24"/>
  <c r="M469" i="24"/>
  <c r="K226" i="24" l="1"/>
  <c r="K411" i="24"/>
  <c r="K438" i="24"/>
  <c r="K352" i="24"/>
  <c r="K494" i="24"/>
  <c r="K300" i="24"/>
  <c r="K692" i="24"/>
  <c r="K327" i="24"/>
  <c r="K575" i="24"/>
  <c r="K462" i="24"/>
  <c r="K294" i="24"/>
  <c r="K454" i="24"/>
  <c r="K272" i="24"/>
  <c r="K677" i="24"/>
  <c r="K627" i="24"/>
  <c r="K616" i="24"/>
  <c r="K664" i="24"/>
  <c r="K222" i="24"/>
  <c r="K391" i="24"/>
  <c r="K430" i="24"/>
  <c r="K233" i="24"/>
  <c r="P180" i="24"/>
  <c r="I488" i="24"/>
  <c r="J488" i="24" s="1"/>
  <c r="K488" i="24" s="1"/>
  <c r="P111" i="24"/>
  <c r="K761" i="24"/>
  <c r="J344" i="24"/>
  <c r="K238" i="24"/>
  <c r="K239" i="24" s="1"/>
  <c r="P144" i="24"/>
  <c r="I584" i="24"/>
  <c r="J584" i="24" s="1"/>
  <c r="K584" i="24" s="1"/>
  <c r="K799" i="24"/>
  <c r="K800" i="24" s="1"/>
  <c r="P174" i="24"/>
  <c r="K579" i="24"/>
  <c r="P131" i="24"/>
  <c r="P83" i="24"/>
  <c r="K791" i="24"/>
  <c r="K792" i="24" s="1"/>
  <c r="K788" i="24"/>
  <c r="K789" i="24" s="1"/>
  <c r="K399" i="24"/>
  <c r="K400" i="24" s="1"/>
  <c r="N185" i="24"/>
  <c r="N158" i="24"/>
  <c r="P158" i="24" s="1"/>
  <c r="P103" i="24"/>
  <c r="N95" i="24"/>
  <c r="P95" i="24" s="1"/>
  <c r="K383" i="24"/>
  <c r="K384" i="24" s="1"/>
  <c r="I583" i="24"/>
  <c r="N164" i="24"/>
  <c r="P164" i="24" s="1"/>
  <c r="N121" i="24"/>
  <c r="P121" i="24" s="1"/>
  <c r="P101" i="24"/>
  <c r="N88" i="24"/>
  <c r="P88" i="24" s="1"/>
  <c r="K380" i="24"/>
  <c r="K381" i="24" s="1"/>
  <c r="N167" i="24"/>
  <c r="P167" i="24" s="1"/>
  <c r="N159" i="24"/>
  <c r="P159" i="24" s="1"/>
  <c r="N151" i="24"/>
  <c r="P151" i="24" s="1"/>
  <c r="P118" i="24"/>
  <c r="P112" i="24"/>
  <c r="N96" i="24"/>
  <c r="P96" i="24" s="1"/>
  <c r="I464" i="24"/>
  <c r="N161" i="24"/>
  <c r="P161" i="24" s="1"/>
  <c r="N113" i="24"/>
  <c r="P113" i="24" s="1"/>
  <c r="P92" i="24"/>
  <c r="P86" i="24"/>
  <c r="J175" i="24"/>
  <c r="N175" i="24" s="1"/>
  <c r="P175" i="24" s="1"/>
  <c r="M175" i="24"/>
  <c r="P150" i="24"/>
  <c r="K802" i="24"/>
  <c r="K803" i="24" s="1"/>
  <c r="P162" i="24"/>
  <c r="P123" i="24"/>
  <c r="P114" i="24"/>
  <c r="P94" i="24"/>
  <c r="K782" i="24"/>
  <c r="K783" i="24" s="1"/>
  <c r="N163" i="24"/>
  <c r="P163" i="24" s="1"/>
  <c r="J360" i="24"/>
  <c r="I361" i="24"/>
  <c r="H361" i="24" s="1"/>
  <c r="P149" i="24"/>
  <c r="P140" i="24"/>
  <c r="P126" i="24"/>
  <c r="P106" i="24"/>
  <c r="P176" i="24"/>
  <c r="N135" i="24"/>
  <c r="P135" i="24" s="1"/>
  <c r="P100" i="24"/>
  <c r="P179" i="24"/>
  <c r="P81" i="24"/>
  <c r="N156" i="24"/>
  <c r="P156" i="24" s="1"/>
  <c r="P110" i="24"/>
  <c r="N90" i="24"/>
  <c r="P90" i="24" s="1"/>
  <c r="K785" i="24"/>
  <c r="K786" i="24" s="1"/>
  <c r="J760" i="24"/>
  <c r="I762" i="24"/>
  <c r="H762" i="24" s="1"/>
  <c r="P127" i="24"/>
  <c r="P104" i="24"/>
  <c r="N84" i="24"/>
  <c r="P84" i="24" s="1"/>
  <c r="N153" i="24"/>
  <c r="P153" i="24" s="1"/>
  <c r="P109" i="24"/>
  <c r="P85" i="24"/>
  <c r="P133" i="24"/>
  <c r="P172" i="24"/>
  <c r="J354" i="24"/>
  <c r="N186" i="24"/>
  <c r="P186" i="24" s="1"/>
  <c r="N165" i="24"/>
  <c r="P165" i="24" s="1"/>
  <c r="P117" i="24"/>
  <c r="K377" i="24"/>
  <c r="K378" i="24" s="1"/>
  <c r="J378" i="24"/>
  <c r="K366" i="24"/>
  <c r="K367" i="24" s="1"/>
  <c r="J357" i="24"/>
  <c r="I358" i="24"/>
  <c r="H358" i="24" s="1"/>
  <c r="N166" i="24"/>
  <c r="P166" i="24" s="1"/>
  <c r="P132" i="24"/>
  <c r="N129" i="24"/>
  <c r="P129" i="24" s="1"/>
  <c r="P97" i="24"/>
  <c r="J783" i="24"/>
  <c r="J341" i="24"/>
  <c r="I342" i="24"/>
  <c r="H342" i="24" s="1"/>
  <c r="N178" i="24"/>
  <c r="P178" i="24" s="1"/>
  <c r="P171" i="24"/>
  <c r="N169" i="24"/>
  <c r="P169" i="24" s="1"/>
  <c r="N143" i="24"/>
  <c r="P143" i="24" s="1"/>
  <c r="P130" i="24"/>
  <c r="N107" i="24"/>
  <c r="P107" i="24" s="1"/>
  <c r="P98" i="24"/>
  <c r="P79" i="24"/>
  <c r="J394" i="24"/>
  <c r="K393" i="24"/>
  <c r="K394" i="24" s="1"/>
  <c r="N170" i="24"/>
  <c r="P170" i="24" s="1"/>
  <c r="N160" i="24"/>
  <c r="P160" i="24" s="1"/>
  <c r="P105" i="24"/>
  <c r="I370" i="24"/>
  <c r="H370" i="24" s="1"/>
  <c r="J369" i="24"/>
  <c r="N157" i="24"/>
  <c r="P157" i="24" s="1"/>
  <c r="N154" i="24"/>
  <c r="P154" i="24" s="1"/>
  <c r="P141" i="24"/>
  <c r="N134" i="24"/>
  <c r="P134" i="24" s="1"/>
  <c r="N115" i="24"/>
  <c r="P115" i="24" s="1"/>
  <c r="P108" i="24"/>
  <c r="P102" i="24"/>
  <c r="I397" i="24"/>
  <c r="J396" i="24"/>
  <c r="N177" i="24"/>
  <c r="P177" i="24" s="1"/>
  <c r="P148" i="24"/>
  <c r="N145" i="24"/>
  <c r="P145" i="24" s="1"/>
  <c r="P119" i="24"/>
  <c r="N89" i="24"/>
  <c r="P89" i="24" s="1"/>
  <c r="P82" i="24"/>
  <c r="H800" i="24"/>
  <c r="J402" i="24"/>
  <c r="I403" i="24"/>
  <c r="H378" i="24"/>
  <c r="N155" i="24"/>
  <c r="P155" i="24" s="1"/>
  <c r="P146" i="24"/>
  <c r="P125" i="24"/>
  <c r="H381" i="24"/>
  <c r="N168" i="24"/>
  <c r="P168" i="24" s="1"/>
  <c r="N152" i="24"/>
  <c r="P152" i="24" s="1"/>
  <c r="N142" i="24"/>
  <c r="P142" i="24" s="1"/>
  <c r="P128" i="24"/>
  <c r="N122" i="24"/>
  <c r="P122" i="24" s="1"/>
  <c r="N116" i="24"/>
  <c r="P116" i="24" s="1"/>
  <c r="N93" i="24"/>
  <c r="P93" i="24" s="1"/>
  <c r="N87" i="24"/>
  <c r="P87" i="24" s="1"/>
  <c r="P80" i="24"/>
  <c r="P78" i="24"/>
  <c r="N147" i="24"/>
  <c r="P147" i="24" s="1"/>
  <c r="N120" i="24"/>
  <c r="P120" i="24" s="1"/>
  <c r="N99" i="24"/>
  <c r="P99" i="24" s="1"/>
  <c r="N124" i="24"/>
  <c r="P124" i="24" s="1"/>
  <c r="N91" i="24"/>
  <c r="P91" i="24" s="1"/>
  <c r="R72" i="24"/>
  <c r="F55" i="94"/>
  <c r="E6" i="94" s="1"/>
  <c r="F90" i="94"/>
  <c r="E5" i="94" s="1"/>
  <c r="F70" i="94"/>
  <c r="E13" i="94" s="1"/>
  <c r="F87" i="94"/>
  <c r="E8" i="94" s="1"/>
  <c r="F51" i="94"/>
  <c r="E7" i="94" s="1"/>
  <c r="F66" i="94"/>
  <c r="E9" i="94" s="1"/>
  <c r="F73" i="94"/>
  <c r="E14" i="94" s="1"/>
  <c r="F83" i="94"/>
  <c r="F59" i="94"/>
  <c r="E15" i="94"/>
  <c r="F76" i="94"/>
  <c r="E16" i="94" s="1"/>
  <c r="F79" i="94"/>
  <c r="E18" i="94" s="1"/>
  <c r="F63" i="94"/>
  <c r="E17" i="94" s="1"/>
  <c r="I53" i="94"/>
  <c r="I55" i="94" s="1"/>
  <c r="H55" i="94" s="1"/>
  <c r="F6" i="94" s="1"/>
  <c r="I54" i="94"/>
  <c r="J53" i="94"/>
  <c r="J54" i="94"/>
  <c r="O6" i="94"/>
  <c r="G4" i="94"/>
  <c r="P1" i="94"/>
  <c r="T6" i="94"/>
  <c r="G16" i="94"/>
  <c r="N173" i="24"/>
  <c r="G18" i="94"/>
  <c r="K1" i="94"/>
  <c r="G7" i="94"/>
  <c r="G9" i="94"/>
  <c r="G15" i="94"/>
  <c r="G14" i="94"/>
  <c r="G6" i="94"/>
  <c r="K6" i="94"/>
  <c r="L54" i="94"/>
  <c r="G17" i="94"/>
  <c r="G11" i="94"/>
  <c r="G12" i="94"/>
  <c r="G5" i="94"/>
  <c r="J6" i="94"/>
  <c r="G10" i="94"/>
  <c r="G13" i="94"/>
  <c r="H6" i="94"/>
  <c r="L53" i="94"/>
  <c r="G8" i="94"/>
  <c r="I1" i="94"/>
  <c r="G1" i="94"/>
  <c r="K54" i="94" l="1"/>
  <c r="K53" i="94"/>
  <c r="K55" i="94" s="1"/>
  <c r="N6" i="94" s="1"/>
  <c r="S72" i="24"/>
  <c r="O72" i="24"/>
  <c r="N136" i="24"/>
  <c r="P136" i="24"/>
  <c r="P173" i="24"/>
  <c r="P181" i="24" s="1"/>
  <c r="J583" i="24"/>
  <c r="I585" i="24"/>
  <c r="H585" i="24" s="1"/>
  <c r="K344" i="24"/>
  <c r="K345" i="24" s="1"/>
  <c r="J345" i="24"/>
  <c r="N181" i="24"/>
  <c r="K357" i="24"/>
  <c r="K358" i="24" s="1"/>
  <c r="J358" i="24"/>
  <c r="J464" i="24"/>
  <c r="I465" i="24"/>
  <c r="H465" i="24" s="1"/>
  <c r="J370" i="24"/>
  <c r="K369" i="24"/>
  <c r="K370" i="24" s="1"/>
  <c r="K341" i="24"/>
  <c r="K342" i="24" s="1"/>
  <c r="J342" i="24"/>
  <c r="K760" i="24"/>
  <c r="K762" i="24" s="1"/>
  <c r="J762" i="24"/>
  <c r="K360" i="24"/>
  <c r="K361" i="24" s="1"/>
  <c r="J361" i="24"/>
  <c r="P185" i="24"/>
  <c r="P188" i="24" s="1"/>
  <c r="N188" i="24"/>
  <c r="K402" i="24"/>
  <c r="K403" i="24" s="1"/>
  <c r="J403" i="24"/>
  <c r="J397" i="24"/>
  <c r="K396" i="24"/>
  <c r="K397" i="24" s="1"/>
  <c r="K354" i="24"/>
  <c r="K355" i="24" s="1"/>
  <c r="J355" i="24"/>
  <c r="I6" i="94"/>
  <c r="P18" i="94"/>
  <c r="Q18" i="94" s="1"/>
  <c r="P11" i="94"/>
  <c r="Q11" i="94" s="1"/>
  <c r="P7" i="94"/>
  <c r="Q7" i="94" s="1"/>
  <c r="P9" i="94"/>
  <c r="Q9" i="94" s="1"/>
  <c r="P5" i="94"/>
  <c r="Q5" i="94" s="1"/>
  <c r="P16" i="94"/>
  <c r="Q16" i="94" s="1"/>
  <c r="P14" i="94"/>
  <c r="Q14" i="94" s="1"/>
  <c r="P8" i="94"/>
  <c r="Q8" i="94" s="1"/>
  <c r="P17" i="94"/>
  <c r="Q17" i="94" s="1"/>
  <c r="P4" i="94"/>
  <c r="Q4" i="94" s="1"/>
  <c r="M6" i="94"/>
  <c r="P6" i="94"/>
  <c r="Q6" i="94" s="1"/>
  <c r="S6" i="94" s="1"/>
  <c r="P15" i="94"/>
  <c r="Q15" i="94" s="1"/>
  <c r="P10" i="94"/>
  <c r="Q10" i="94" s="1"/>
  <c r="P12" i="94"/>
  <c r="Q12" i="94" s="1"/>
  <c r="P13" i="94"/>
  <c r="Q13" i="94" s="1"/>
  <c r="P19" i="94"/>
  <c r="Q19" i="94" s="1"/>
  <c r="I89" i="94"/>
  <c r="I90" i="94" s="1"/>
  <c r="H90" i="94" s="1"/>
  <c r="F5" i="94" s="1"/>
  <c r="J89" i="94"/>
  <c r="M5" i="94"/>
  <c r="O5" i="94"/>
  <c r="L89" i="94"/>
  <c r="J5" i="94"/>
  <c r="W6" i="94"/>
  <c r="K5" i="94"/>
  <c r="V6" i="94"/>
  <c r="X6" i="94"/>
  <c r="H5" i="94"/>
  <c r="T5" i="94"/>
  <c r="Y6" i="94"/>
  <c r="K89" i="94" l="1"/>
  <c r="K90" i="94" s="1"/>
  <c r="N5" i="94" s="1"/>
  <c r="L5" i="94" s="1"/>
  <c r="J585" i="24"/>
  <c r="K583" i="24"/>
  <c r="K585" i="24" s="1"/>
  <c r="J465" i="24"/>
  <c r="K464" i="24"/>
  <c r="K465" i="24" s="1"/>
  <c r="U6" i="94"/>
  <c r="R6" i="94"/>
  <c r="I5" i="94"/>
  <c r="S5" i="94"/>
  <c r="Q20" i="94"/>
  <c r="D6" i="94" s="1"/>
  <c r="L6" i="94"/>
  <c r="U5" i="94"/>
  <c r="I68" i="94"/>
  <c r="I70" i="94" s="1"/>
  <c r="H70" i="94" s="1"/>
  <c r="F13" i="94" s="1"/>
  <c r="I69" i="94"/>
  <c r="L13" i="94"/>
  <c r="N13" i="94"/>
  <c r="R13" i="94"/>
  <c r="L68" i="94"/>
  <c r="H13" i="94"/>
  <c r="V5" i="94"/>
  <c r="T13" i="94"/>
  <c r="W5" i="94"/>
  <c r="L69" i="94"/>
  <c r="J13" i="94"/>
  <c r="X5" i="94"/>
  <c r="Y5" i="94"/>
  <c r="K13" i="94"/>
  <c r="R5" i="94" l="1"/>
  <c r="J69" i="94"/>
  <c r="J68" i="94"/>
  <c r="J70" i="94" s="1"/>
  <c r="O13" i="94" s="1"/>
  <c r="M13" i="94" s="1"/>
  <c r="D13" i="94"/>
  <c r="D5" i="94"/>
  <c r="I13" i="94"/>
  <c r="U13" i="94"/>
  <c r="D8" i="94"/>
  <c r="I85" i="94"/>
  <c r="I86" i="94"/>
  <c r="I87" i="94" s="1"/>
  <c r="H87" i="94" s="1"/>
  <c r="F8" i="94" s="1"/>
  <c r="L8" i="94"/>
  <c r="N8" i="94"/>
  <c r="R8" i="94"/>
  <c r="J8" i="94"/>
  <c r="K8" i="94"/>
  <c r="W13" i="94"/>
  <c r="H8" i="94"/>
  <c r="V13" i="94"/>
  <c r="L85" i="94"/>
  <c r="Y13" i="94"/>
  <c r="T8" i="94"/>
  <c r="X13" i="94"/>
  <c r="S13" i="94" l="1"/>
  <c r="J85" i="94"/>
  <c r="I8" i="94"/>
  <c r="U8" i="94"/>
  <c r="D7" i="94"/>
  <c r="I50" i="94"/>
  <c r="I51" i="94"/>
  <c r="H51" i="94" s="1"/>
  <c r="F7" i="94" s="1"/>
  <c r="L7" i="94"/>
  <c r="N7" i="94"/>
  <c r="R7" i="94" s="1"/>
  <c r="W8" i="94"/>
  <c r="K7" i="94"/>
  <c r="V8" i="94"/>
  <c r="L50" i="94"/>
  <c r="J7" i="94"/>
  <c r="Y8" i="94"/>
  <c r="H7" i="94"/>
  <c r="X8" i="94"/>
  <c r="T7" i="94"/>
  <c r="J50" i="94" l="1"/>
  <c r="J51" i="94" s="1"/>
  <c r="O7" i="94" s="1"/>
  <c r="S7" i="94" s="1"/>
  <c r="I7" i="94"/>
  <c r="U7" i="94"/>
  <c r="D12" i="94"/>
  <c r="L12" i="94"/>
  <c r="N12" i="94"/>
  <c r="O12" i="94" s="1"/>
  <c r="V7" i="94"/>
  <c r="W7" i="94"/>
  <c r="X7" i="94"/>
  <c r="K12" i="94"/>
  <c r="Y7" i="94"/>
  <c r="H12" i="94"/>
  <c r="T12" i="94"/>
  <c r="J12" i="94"/>
  <c r="M7" i="94" l="1"/>
  <c r="I12" i="94"/>
  <c r="R12" i="94"/>
  <c r="M12" i="94"/>
  <c r="S12" i="94"/>
  <c r="U12" i="94"/>
  <c r="D4" i="94"/>
  <c r="L4" i="94"/>
  <c r="N4" i="94"/>
  <c r="O4" i="94"/>
  <c r="M4" i="94" s="1"/>
  <c r="R4" i="94"/>
  <c r="U4" i="94"/>
  <c r="D9" i="94"/>
  <c r="I65" i="94"/>
  <c r="I66" i="94" s="1"/>
  <c r="H66" i="94" s="1"/>
  <c r="F9" i="94" s="1"/>
  <c r="L9" i="94"/>
  <c r="N9" i="94"/>
  <c r="R9" i="94" s="1"/>
  <c r="X4" i="94"/>
  <c r="X12" i="94"/>
  <c r="L65" i="94"/>
  <c r="Y12" i="94"/>
  <c r="V4" i="94"/>
  <c r="H4" i="94"/>
  <c r="J9" i="94"/>
  <c r="Y4" i="94"/>
  <c r="V12" i="94"/>
  <c r="J4" i="94"/>
  <c r="K4" i="94"/>
  <c r="K9" i="94"/>
  <c r="W4" i="94"/>
  <c r="T4" i="94"/>
  <c r="H9" i="94"/>
  <c r="T9" i="94"/>
  <c r="W12" i="94"/>
  <c r="J65" i="94" l="1"/>
  <c r="J66" i="94" s="1"/>
  <c r="O9" i="94" s="1"/>
  <c r="M9" i="94" s="1"/>
  <c r="I9" i="94"/>
  <c r="I4" i="94"/>
  <c r="S4" i="94"/>
  <c r="U9" i="94"/>
  <c r="D11" i="94"/>
  <c r="L11" i="94"/>
  <c r="N11" i="94"/>
  <c r="O11" i="94" s="1"/>
  <c r="X9" i="94"/>
  <c r="J11" i="94"/>
  <c r="K11" i="94"/>
  <c r="Y9" i="94"/>
  <c r="V9" i="94"/>
  <c r="T11" i="94"/>
  <c r="W9" i="94"/>
  <c r="H11" i="94"/>
  <c r="S9" i="94" l="1"/>
  <c r="I11" i="94"/>
  <c r="R11" i="94"/>
  <c r="M11" i="94"/>
  <c r="S11" i="94"/>
  <c r="U11" i="94"/>
  <c r="D10" i="94"/>
  <c r="L10" i="94"/>
  <c r="N10" i="94"/>
  <c r="O10" i="94"/>
  <c r="M10" i="94" s="1"/>
  <c r="R10" i="94"/>
  <c r="J10" i="94"/>
  <c r="T10" i="94"/>
  <c r="W11" i="94"/>
  <c r="Y11" i="94"/>
  <c r="X11" i="94"/>
  <c r="K10" i="94"/>
  <c r="V11" i="94"/>
  <c r="H10" i="94"/>
  <c r="I10" i="94" l="1"/>
  <c r="S10" i="94"/>
  <c r="U10" i="94"/>
  <c r="D14" i="94"/>
  <c r="I72" i="94"/>
  <c r="I73" i="94"/>
  <c r="H73" i="94" s="1"/>
  <c r="F14" i="94" s="1"/>
  <c r="L14" i="94"/>
  <c r="N14" i="94"/>
  <c r="R14" i="94"/>
  <c r="U14" i="94"/>
  <c r="V10" i="94"/>
  <c r="X14" i="94"/>
  <c r="Y10" i="94"/>
  <c r="K14" i="94"/>
  <c r="W14" i="94"/>
  <c r="J14" i="94"/>
  <c r="W10" i="94"/>
  <c r="Y14" i="94"/>
  <c r="X10" i="94"/>
  <c r="L72" i="94"/>
  <c r="H14" i="94"/>
  <c r="V14" i="94"/>
  <c r="J72" i="94" l="1"/>
  <c r="J73" i="94" s="1"/>
  <c r="O14" i="94" s="1"/>
  <c r="S14" i="94" s="1"/>
  <c r="I14" i="94"/>
  <c r="I81" i="94"/>
  <c r="I82" i="94"/>
  <c r="I83" i="94" s="1"/>
  <c r="H83" i="94" s="1"/>
  <c r="D15" i="94"/>
  <c r="I57" i="94"/>
  <c r="J57" i="94" s="1"/>
  <c r="I58" i="94"/>
  <c r="J58" i="94" s="1"/>
  <c r="B15" i="94"/>
  <c r="L81" i="94"/>
  <c r="L82" i="94"/>
  <c r="L57" i="94"/>
  <c r="K15" i="94"/>
  <c r="M14" i="94" l="1"/>
  <c r="J81" i="94"/>
  <c r="J83" i="94" s="1"/>
  <c r="J82" i="94"/>
  <c r="J59" i="94"/>
  <c r="H59" i="94" s="1"/>
  <c r="F15" i="94" s="1"/>
  <c r="K57" i="94"/>
  <c r="M15" i="94"/>
  <c r="O15" i="94"/>
  <c r="S15" i="94" s="1"/>
  <c r="B16" i="94"/>
  <c r="T15" i="94"/>
  <c r="X15" i="94"/>
  <c r="Y15" i="94"/>
  <c r="U15" i="94"/>
  <c r="D16" i="94" l="1"/>
  <c r="I75" i="94"/>
  <c r="J75" i="94" s="1"/>
  <c r="J76" i="94" s="1"/>
  <c r="H76" i="94" s="1"/>
  <c r="F16" i="94" s="1"/>
  <c r="M16" i="94"/>
  <c r="O16" i="94"/>
  <c r="S16" i="94"/>
  <c r="X16" i="94"/>
  <c r="L75" i="94"/>
  <c r="U16" i="94"/>
  <c r="Y16" i="94"/>
  <c r="K16" i="94"/>
  <c r="T16" i="94"/>
  <c r="B18" i="94"/>
  <c r="K75" i="94" l="1"/>
  <c r="K76" i="94" s="1"/>
  <c r="N16" i="94" s="1"/>
  <c r="L16" i="94" s="1"/>
  <c r="D18" i="94"/>
  <c r="I78" i="94"/>
  <c r="J78" i="94"/>
  <c r="J79" i="94" s="1"/>
  <c r="H79" i="94" s="1"/>
  <c r="F18" i="94" s="1"/>
  <c r="M18" i="94"/>
  <c r="O18" i="94"/>
  <c r="S18" i="94" s="1"/>
  <c r="L78" i="94"/>
  <c r="B17" i="94"/>
  <c r="K18" i="94"/>
  <c r="X18" i="94"/>
  <c r="U18" i="94"/>
  <c r="Y18" i="94"/>
  <c r="T18" i="94"/>
  <c r="R16" i="94" l="1"/>
  <c r="K78" i="94"/>
  <c r="K79" i="94" s="1"/>
  <c r="N18" i="94" s="1"/>
  <c r="L18" i="94" s="1"/>
  <c r="D17" i="94"/>
  <c r="I61" i="94"/>
  <c r="J61" i="94"/>
  <c r="I62" i="94"/>
  <c r="J62" i="94" s="1"/>
  <c r="J63" i="94" s="1"/>
  <c r="H63" i="94" s="1"/>
  <c r="F17" i="94" s="1"/>
  <c r="M17" i="94"/>
  <c r="O17" i="94"/>
  <c r="S17" i="94" s="1"/>
  <c r="K17" i="94"/>
  <c r="T17" i="94"/>
  <c r="L62" i="94"/>
  <c r="X17" i="94"/>
  <c r="L61" i="94"/>
  <c r="U17" i="94"/>
  <c r="Y17" i="94"/>
  <c r="R18" i="94" l="1"/>
  <c r="K61" i="94"/>
  <c r="K63" i="94" s="1"/>
  <c r="N17" i="94" s="1"/>
  <c r="K62" i="94"/>
  <c r="L17" i="94"/>
  <c r="R17" i="94"/>
  <c r="D19" i="94"/>
  <c r="D20" i="94" s="1"/>
  <c r="N19" i="94"/>
  <c r="O19" i="94"/>
  <c r="I20" i="94"/>
  <c r="P20" i="94"/>
  <c r="T20" i="94"/>
  <c r="U20" i="94"/>
  <c r="H27" i="94"/>
  <c r="I27" i="94"/>
  <c r="J27" i="94"/>
  <c r="N27" i="94" s="1"/>
  <c r="M27" i="94"/>
  <c r="H28" i="94"/>
  <c r="I28" i="94"/>
  <c r="J28" i="94"/>
  <c r="M28" i="94"/>
  <c r="N28" i="94"/>
  <c r="H29" i="94"/>
  <c r="I29" i="94"/>
  <c r="J29" i="94"/>
  <c r="N29" i="94" s="1"/>
  <c r="M29" i="94"/>
  <c r="H30" i="94"/>
  <c r="I30" i="94"/>
  <c r="J30" i="94"/>
  <c r="M30" i="94"/>
  <c r="O27" i="94"/>
  <c r="E30" i="94"/>
  <c r="O29" i="94"/>
  <c r="R27" i="94"/>
  <c r="R28" i="94"/>
  <c r="O28" i="94"/>
  <c r="O30" i="94"/>
  <c r="R30" i="94"/>
  <c r="E29" i="94"/>
  <c r="E27" i="94"/>
  <c r="E28" i="94"/>
  <c r="R29" i="94"/>
  <c r="P28" i="94" l="1"/>
  <c r="P27" i="94"/>
  <c r="P29" i="94"/>
  <c r="N30" i="94"/>
  <c r="P30" i="94" s="1"/>
  <c r="H31" i="94"/>
  <c r="I31" i="94"/>
  <c r="J31" i="94"/>
  <c r="M31" i="94"/>
  <c r="N31" i="94"/>
  <c r="H32" i="94"/>
  <c r="I32" i="94"/>
  <c r="J32" i="94"/>
  <c r="N32" i="94" s="1"/>
  <c r="M32" i="94"/>
  <c r="H33" i="94"/>
  <c r="I33" i="94"/>
  <c r="J33" i="94"/>
  <c r="M33" i="94"/>
  <c r="N33" i="94"/>
  <c r="H34" i="94"/>
  <c r="I34" i="94"/>
  <c r="J34" i="94"/>
  <c r="M34" i="94"/>
  <c r="N34" i="94"/>
  <c r="H35" i="94"/>
  <c r="I35" i="94"/>
  <c r="J35" i="94"/>
  <c r="M35" i="94"/>
  <c r="N35" i="94"/>
  <c r="H36" i="94"/>
  <c r="I36" i="94"/>
  <c r="J36" i="94"/>
  <c r="M36" i="94"/>
  <c r="N36" i="94"/>
  <c r="H37" i="94"/>
  <c r="I37" i="94"/>
  <c r="J37" i="94"/>
  <c r="M37" i="94"/>
  <c r="N37" i="94"/>
  <c r="H38" i="94"/>
  <c r="I38" i="94"/>
  <c r="J38" i="94"/>
  <c r="N38" i="94" s="1"/>
  <c r="M38" i="94"/>
  <c r="N39" i="94"/>
  <c r="P39" i="94"/>
  <c r="H43" i="94"/>
  <c r="I43" i="94"/>
  <c r="J43" i="94"/>
  <c r="M43" i="94"/>
  <c r="N43" i="94"/>
  <c r="K50" i="94"/>
  <c r="K51" i="94" s="1"/>
  <c r="J55" i="94"/>
  <c r="O32" i="94"/>
  <c r="E35" i="94"/>
  <c r="M58" i="94"/>
  <c r="R35" i="94"/>
  <c r="G58" i="94"/>
  <c r="M54" i="94"/>
  <c r="R37" i="94"/>
  <c r="O33" i="94"/>
  <c r="L58" i="94"/>
  <c r="D54" i="94"/>
  <c r="O43" i="94"/>
  <c r="D53" i="94"/>
  <c r="O36" i="94"/>
  <c r="O38" i="94"/>
  <c r="D50" i="94"/>
  <c r="R32" i="94"/>
  <c r="O31" i="94"/>
  <c r="R36" i="94"/>
  <c r="R33" i="94"/>
  <c r="R38" i="94"/>
  <c r="M53" i="94"/>
  <c r="M50" i="94"/>
  <c r="E32" i="94"/>
  <c r="G50" i="94"/>
  <c r="R31" i="94"/>
  <c r="E37" i="94"/>
  <c r="R43" i="94"/>
  <c r="D58" i="94"/>
  <c r="M57" i="94"/>
  <c r="G57" i="94"/>
  <c r="E33" i="94"/>
  <c r="O34" i="94"/>
  <c r="G54" i="94"/>
  <c r="E36" i="94"/>
  <c r="O35" i="94"/>
  <c r="O37" i="94"/>
  <c r="E43" i="94"/>
  <c r="E31" i="94"/>
  <c r="R34" i="94"/>
  <c r="G53" i="94"/>
  <c r="E38" i="94"/>
  <c r="E34" i="94"/>
  <c r="D57" i="94"/>
  <c r="P32" i="94" l="1"/>
  <c r="P33" i="94"/>
  <c r="P35" i="94"/>
  <c r="K58" i="94"/>
  <c r="K59" i="94" s="1"/>
  <c r="N15" i="94" s="1"/>
  <c r="R15" i="94" s="1"/>
  <c r="R20" i="94" s="1"/>
  <c r="P37" i="94"/>
  <c r="P43" i="94"/>
  <c r="P31" i="94"/>
  <c r="P34" i="94"/>
  <c r="P36" i="94"/>
  <c r="P38" i="94"/>
  <c r="N20" i="94"/>
  <c r="I59" i="94"/>
  <c r="I63" i="94"/>
  <c r="K65" i="94"/>
  <c r="K66" i="94" s="1"/>
  <c r="K68" i="94"/>
  <c r="K70" i="94" s="1"/>
  <c r="K69" i="94"/>
  <c r="K72" i="94"/>
  <c r="K73" i="94" s="1"/>
  <c r="I76" i="94"/>
  <c r="I79" i="94"/>
  <c r="K81" i="94"/>
  <c r="K83" i="94" s="1"/>
  <c r="K82" i="94"/>
  <c r="K85" i="94"/>
  <c r="M68" i="94"/>
  <c r="G78" i="94"/>
  <c r="M62" i="94"/>
  <c r="G61" i="94"/>
  <c r="M85" i="94"/>
  <c r="G69" i="94"/>
  <c r="G65" i="94"/>
  <c r="D82" i="94"/>
  <c r="M69" i="94"/>
  <c r="D65" i="94"/>
  <c r="M81" i="94"/>
  <c r="M61" i="94"/>
  <c r="G86" i="94"/>
  <c r="D68" i="94"/>
  <c r="D81" i="94"/>
  <c r="D78" i="94"/>
  <c r="G62" i="94"/>
  <c r="M65" i="94"/>
  <c r="L86" i="94"/>
  <c r="M72" i="94"/>
  <c r="D61" i="94"/>
  <c r="M86" i="94"/>
  <c r="D62" i="94"/>
  <c r="D69" i="94"/>
  <c r="G81" i="94"/>
  <c r="G75" i="94"/>
  <c r="G82" i="94"/>
  <c r="D72" i="94"/>
  <c r="D85" i="94"/>
  <c r="M82" i="94"/>
  <c r="G68" i="94"/>
  <c r="D86" i="94"/>
  <c r="M78" i="94"/>
  <c r="D75" i="94"/>
  <c r="M75" i="94"/>
  <c r="G72" i="94"/>
  <c r="G85" i="94"/>
  <c r="J86" i="94" l="1"/>
  <c r="K86" i="94" s="1"/>
  <c r="L15" i="94"/>
  <c r="L20" i="94" s="1"/>
  <c r="J87" i="94"/>
  <c r="O8" i="94" s="1"/>
  <c r="K87" i="94"/>
  <c r="G89" i="94"/>
  <c r="M89" i="94"/>
  <c r="D89" i="94"/>
  <c r="M8" i="94" l="1"/>
  <c r="M20" i="94" s="1"/>
  <c r="S8" i="94"/>
  <c r="S20" i="94" s="1"/>
  <c r="O20" i="94"/>
  <c r="J90" i="94"/>
  <c r="K1" i="37"/>
  <c r="P1" i="37"/>
  <c r="I1" i="37"/>
  <c r="G1" i="37"/>
  <c r="F82" i="37" l="1"/>
  <c r="E4" i="37" s="1"/>
  <c r="F85" i="37"/>
  <c r="E5" i="37"/>
  <c r="F59" i="37"/>
  <c r="E14" i="37"/>
  <c r="F91" i="37"/>
  <c r="E6" i="37"/>
  <c r="F63" i="37"/>
  <c r="E13" i="37" s="1"/>
  <c r="F55" i="37"/>
  <c r="E10" i="37"/>
  <c r="F88" i="37"/>
  <c r="E12" i="37"/>
  <c r="F76" i="37"/>
  <c r="E8" i="37"/>
  <c r="F98" i="37"/>
  <c r="E7" i="37"/>
  <c r="F95" i="37"/>
  <c r="E9" i="37"/>
  <c r="F72" i="37"/>
  <c r="E11" i="37" s="1"/>
  <c r="F52" i="37"/>
  <c r="E15" i="37"/>
  <c r="Q16" i="37"/>
  <c r="I81" i="37"/>
  <c r="I82" i="37"/>
  <c r="H82" i="37" s="1"/>
  <c r="F4" i="37" s="1"/>
  <c r="G12" i="37"/>
  <c r="G5" i="37"/>
  <c r="G6" i="37"/>
  <c r="G9" i="37"/>
  <c r="G10" i="37"/>
  <c r="G15" i="37"/>
  <c r="H4" i="37"/>
  <c r="G8" i="37"/>
  <c r="G4" i="37"/>
  <c r="G14" i="37"/>
  <c r="G11" i="37"/>
  <c r="G7" i="37"/>
  <c r="G13" i="37"/>
  <c r="P7" i="37" l="1"/>
  <c r="Q7" i="37" s="1"/>
  <c r="P13" i="37"/>
  <c r="Q13" i="37" s="1"/>
  <c r="P11" i="37"/>
  <c r="Q11" i="37" s="1"/>
  <c r="P12" i="37"/>
  <c r="Q12" i="37" s="1"/>
  <c r="P9" i="37"/>
  <c r="Q9" i="37" s="1"/>
  <c r="P6" i="37"/>
  <c r="Q6" i="37" s="1"/>
  <c r="P5" i="37"/>
  <c r="Q5" i="37" s="1"/>
  <c r="P15" i="37"/>
  <c r="Q15" i="37" s="1"/>
  <c r="P8" i="37"/>
  <c r="Q8" i="37" s="1"/>
  <c r="P10" i="37"/>
  <c r="Q10" i="37" s="1"/>
  <c r="P14" i="37"/>
  <c r="Q14" i="37" s="1"/>
  <c r="P4" i="37"/>
  <c r="Q4" i="37" s="1"/>
  <c r="I4" i="37"/>
  <c r="J81" i="37"/>
  <c r="M4" i="37"/>
  <c r="O4" i="37"/>
  <c r="L81" i="37"/>
  <c r="T4" i="37"/>
  <c r="J4" i="37"/>
  <c r="W4" i="37"/>
  <c r="U4" i="37"/>
  <c r="V4" i="37"/>
  <c r="X4" i="37"/>
  <c r="K4" i="37"/>
  <c r="Q17" i="37" l="1"/>
  <c r="D4" i="37" s="1"/>
  <c r="S4" i="37"/>
  <c r="K81" i="37"/>
  <c r="K82" i="37" s="1"/>
  <c r="N4" i="37" s="1"/>
  <c r="I84" i="37"/>
  <c r="I85" i="37"/>
  <c r="H85" i="37" s="1"/>
  <c r="F5" i="37" s="1"/>
  <c r="H5" i="37"/>
  <c r="D5" i="37" l="1"/>
  <c r="R4" i="37"/>
  <c r="L4" i="37"/>
  <c r="I5" i="37"/>
  <c r="J84" i="37"/>
  <c r="M5" i="37"/>
  <c r="O5" i="37"/>
  <c r="S5" i="37" s="1"/>
  <c r="X5" i="37"/>
  <c r="V5" i="37"/>
  <c r="T5" i="37"/>
  <c r="J5" i="37"/>
  <c r="L84" i="37"/>
  <c r="U5" i="37"/>
  <c r="K5" i="37"/>
  <c r="W5" i="37"/>
  <c r="K84" i="37" l="1"/>
  <c r="K85" i="37" s="1"/>
  <c r="N5" i="37" s="1"/>
  <c r="D14" i="37"/>
  <c r="I57" i="37"/>
  <c r="I58" i="37"/>
  <c r="I59" i="37"/>
  <c r="H59" i="37" s="1"/>
  <c r="F14" i="37" s="1"/>
  <c r="H14" i="37"/>
  <c r="R5" i="37" l="1"/>
  <c r="L5" i="37"/>
  <c r="I14" i="37"/>
  <c r="U14" i="37"/>
  <c r="L57" i="37"/>
  <c r="T14" i="37"/>
  <c r="X14" i="37"/>
  <c r="V14" i="37"/>
  <c r="W14" i="37"/>
  <c r="K14" i="37"/>
  <c r="M57" i="37"/>
  <c r="J14" i="37"/>
  <c r="J57" i="37" l="1"/>
  <c r="D6" i="37"/>
  <c r="I90" i="37"/>
  <c r="I91" i="37"/>
  <c r="H91" i="37"/>
  <c r="F6" i="37"/>
  <c r="H6" i="37"/>
  <c r="K57" i="37" l="1"/>
  <c r="I6" i="37"/>
  <c r="J6" i="37"/>
  <c r="K6" i="37"/>
  <c r="L6" i="37" l="1"/>
  <c r="N6" i="37"/>
  <c r="R6" i="37"/>
  <c r="U6" i="37"/>
  <c r="X6" i="37"/>
  <c r="L90" i="37"/>
  <c r="V6" i="37"/>
  <c r="T6" i="37"/>
  <c r="W6" i="37"/>
  <c r="J90" i="37" l="1"/>
  <c r="J91" i="37" s="1"/>
  <c r="O6" i="37" s="1"/>
  <c r="D13" i="37"/>
  <c r="I61" i="37"/>
  <c r="I62" i="37"/>
  <c r="I63" i="37" s="1"/>
  <c r="H63" i="37" s="1"/>
  <c r="F13" i="37" s="1"/>
  <c r="H13" i="37"/>
  <c r="M6" i="37" l="1"/>
  <c r="S6" i="37"/>
  <c r="I13" i="37"/>
  <c r="V13" i="37"/>
  <c r="U13" i="37"/>
  <c r="T13" i="37"/>
  <c r="W13" i="37"/>
  <c r="X13" i="37"/>
  <c r="K13" i="37"/>
  <c r="L61" i="37"/>
  <c r="J13" i="37"/>
  <c r="M61" i="37"/>
  <c r="J61" i="37" l="1"/>
  <c r="D10" i="37"/>
  <c r="I54" i="37"/>
  <c r="I55" i="37"/>
  <c r="H55" i="37" s="1"/>
  <c r="F10" i="37" s="1"/>
  <c r="H10" i="37"/>
  <c r="K61" i="37" l="1"/>
  <c r="I10" i="37"/>
  <c r="J10" i="37"/>
  <c r="K10" i="37"/>
  <c r="L10" i="37" l="1"/>
  <c r="N10" i="37"/>
  <c r="R10" i="37"/>
  <c r="T10" i="37"/>
  <c r="W10" i="37"/>
  <c r="L54" i="37"/>
  <c r="U10" i="37"/>
  <c r="X10" i="37"/>
  <c r="V10" i="37"/>
  <c r="J54" i="37" l="1"/>
  <c r="J55" i="37" s="1"/>
  <c r="O10" i="37" s="1"/>
  <c r="D12" i="37"/>
  <c r="I87" i="37"/>
  <c r="I88" i="37"/>
  <c r="H88" i="37"/>
  <c r="F12" i="37" s="1"/>
  <c r="H12" i="37"/>
  <c r="M10" i="37" l="1"/>
  <c r="S10" i="37"/>
  <c r="I12" i="37"/>
  <c r="L12" i="37"/>
  <c r="N12" i="37"/>
  <c r="R12" i="37"/>
  <c r="X12" i="37"/>
  <c r="J12" i="37"/>
  <c r="T12" i="37"/>
  <c r="V12" i="37"/>
  <c r="K12" i="37"/>
  <c r="L87" i="37"/>
  <c r="W12" i="37"/>
  <c r="U12" i="37"/>
  <c r="J87" i="37" l="1"/>
  <c r="J88" i="37" s="1"/>
  <c r="O12" i="37" s="1"/>
  <c r="D8" i="37"/>
  <c r="I74" i="37"/>
  <c r="H75" i="37"/>
  <c r="H8" i="37"/>
  <c r="I75" i="37" l="1"/>
  <c r="I76" i="37" s="1"/>
  <c r="H76" i="37" s="1"/>
  <c r="F8" i="37" s="1"/>
  <c r="S12" i="37"/>
  <c r="M12" i="37"/>
  <c r="I8" i="37"/>
  <c r="J74" i="37"/>
  <c r="M8" i="37"/>
  <c r="O8" i="37"/>
  <c r="S8" i="37" s="1"/>
  <c r="U8" i="37"/>
  <c r="W8" i="37"/>
  <c r="V8" i="37"/>
  <c r="L74" i="37"/>
  <c r="K8" i="37"/>
  <c r="X8" i="37"/>
  <c r="J8" i="37"/>
  <c r="T8" i="37"/>
  <c r="K74" i="37" l="1"/>
  <c r="D7" i="37"/>
  <c r="I97" i="37"/>
  <c r="I98" i="37"/>
  <c r="H98" i="37"/>
  <c r="F7" i="37"/>
  <c r="H7" i="37"/>
  <c r="I7" i="37" l="1"/>
  <c r="J97" i="37"/>
  <c r="M7" i="37"/>
  <c r="O7" i="37"/>
  <c r="S7" i="37" s="1"/>
  <c r="W7" i="37"/>
  <c r="K7" i="37"/>
  <c r="L97" i="37"/>
  <c r="X7" i="37"/>
  <c r="U7" i="37"/>
  <c r="V7" i="37"/>
  <c r="T7" i="37"/>
  <c r="J7" i="37"/>
  <c r="K97" i="37" l="1"/>
  <c r="K98" i="37" s="1"/>
  <c r="N7" i="37" s="1"/>
  <c r="D9" i="37"/>
  <c r="I93" i="37"/>
  <c r="I95" i="37" s="1"/>
  <c r="H95" i="37" s="1"/>
  <c r="F9" i="37" s="1"/>
  <c r="I94" i="37"/>
  <c r="H9" i="37"/>
  <c r="R7" i="37" l="1"/>
  <c r="L7" i="37"/>
  <c r="I9" i="37"/>
  <c r="J93" i="37"/>
  <c r="M9" i="37"/>
  <c r="O9" i="37"/>
  <c r="S9" i="37" s="1"/>
  <c r="T9" i="37"/>
  <c r="L93" i="37"/>
  <c r="U9" i="37"/>
  <c r="V9" i="37"/>
  <c r="X9" i="37"/>
  <c r="J9" i="37"/>
  <c r="K9" i="37"/>
  <c r="W9" i="37"/>
  <c r="K93" i="37" l="1"/>
  <c r="D11" i="37"/>
  <c r="I70" i="37"/>
  <c r="I71" i="37"/>
  <c r="I72" i="37" s="1"/>
  <c r="H72" i="37" s="1"/>
  <c r="F11" i="37" s="1"/>
  <c r="H11" i="37"/>
  <c r="I11" i="37" l="1"/>
  <c r="J70" i="37"/>
  <c r="M11" i="37"/>
  <c r="O11" i="37"/>
  <c r="S11" i="37" s="1"/>
  <c r="U11" i="37"/>
  <c r="K11" i="37"/>
  <c r="L70" i="37"/>
  <c r="T11" i="37"/>
  <c r="W11" i="37"/>
  <c r="V11" i="37"/>
  <c r="J11" i="37"/>
  <c r="X11" i="37"/>
  <c r="K70" i="37" l="1"/>
  <c r="D15" i="37"/>
  <c r="H51" i="37"/>
  <c r="H15" i="37"/>
  <c r="I51" i="37" l="1"/>
  <c r="I52" i="37" s="1"/>
  <c r="H52" i="37" s="1"/>
  <c r="F15" i="37" s="1"/>
  <c r="L15" i="37" s="1"/>
  <c r="I15" i="37"/>
  <c r="O15" i="37"/>
  <c r="M15" i="37"/>
  <c r="S15" i="37"/>
  <c r="D16" i="37"/>
  <c r="D17" i="37" s="1"/>
  <c r="P16" i="37"/>
  <c r="P17" i="37" s="1"/>
  <c r="I17" i="37"/>
  <c r="O17" i="37"/>
  <c r="S18" i="37" s="1"/>
  <c r="W15" i="37"/>
  <c r="U15" i="37"/>
  <c r="E23" i="37"/>
  <c r="T15" i="37"/>
  <c r="V15" i="37"/>
  <c r="K15" i="37"/>
  <c r="X15" i="37"/>
  <c r="J15" i="37"/>
  <c r="N15" i="37" l="1"/>
  <c r="R15" i="37" s="1"/>
  <c r="T17" i="37"/>
  <c r="H23" i="37"/>
  <c r="I23" i="37"/>
  <c r="J23" i="37"/>
  <c r="M23" i="37"/>
  <c r="N23" i="37"/>
  <c r="P23" i="37"/>
  <c r="H24" i="37"/>
  <c r="I24" i="37"/>
  <c r="J24" i="37"/>
  <c r="M24" i="37"/>
  <c r="N24" i="37"/>
  <c r="P24" i="37"/>
  <c r="H25" i="37"/>
  <c r="I25" i="37"/>
  <c r="J25" i="37"/>
  <c r="M25" i="37"/>
  <c r="N25" i="37"/>
  <c r="P25" i="37"/>
  <c r="H26" i="37"/>
  <c r="I26" i="37"/>
  <c r="J26" i="37"/>
  <c r="M26" i="37"/>
  <c r="N26" i="37"/>
  <c r="P26" i="37"/>
  <c r="H27" i="37"/>
  <c r="I27" i="37"/>
  <c r="J27" i="37"/>
  <c r="M27" i="37"/>
  <c r="N27" i="37"/>
  <c r="P27" i="37"/>
  <c r="H28" i="37"/>
  <c r="I28" i="37"/>
  <c r="J28" i="37"/>
  <c r="M28" i="37"/>
  <c r="N28" i="37"/>
  <c r="R23" i="37"/>
  <c r="E27" i="37"/>
  <c r="E29" i="37"/>
  <c r="E24" i="37"/>
  <c r="O27" i="37"/>
  <c r="R26" i="37"/>
  <c r="R28" i="37"/>
  <c r="E26" i="37"/>
  <c r="R25" i="37"/>
  <c r="O26" i="37"/>
  <c r="R24" i="37"/>
  <c r="O23" i="37"/>
  <c r="E25" i="37"/>
  <c r="E28" i="37"/>
  <c r="R27" i="37"/>
  <c r="O24" i="37"/>
  <c r="O25" i="37"/>
  <c r="O28" i="37"/>
  <c r="P28" i="37" l="1"/>
  <c r="H29" i="37"/>
  <c r="I29" i="37"/>
  <c r="J29" i="37"/>
  <c r="M29" i="37"/>
  <c r="N29" i="37"/>
  <c r="P29" i="37"/>
  <c r="H30" i="37"/>
  <c r="I30" i="37"/>
  <c r="J30" i="37"/>
  <c r="M30" i="37"/>
  <c r="N30" i="37"/>
  <c r="P30" i="37"/>
  <c r="H31" i="37"/>
  <c r="I31" i="37"/>
  <c r="J31" i="37"/>
  <c r="M31" i="37"/>
  <c r="N31" i="37"/>
  <c r="P31" i="37"/>
  <c r="H32" i="37"/>
  <c r="I32" i="37"/>
  <c r="J32" i="37"/>
  <c r="M32" i="37"/>
  <c r="N32" i="37"/>
  <c r="P32" i="37"/>
  <c r="H33" i="37"/>
  <c r="I33" i="37"/>
  <c r="J33" i="37"/>
  <c r="M33" i="37"/>
  <c r="N33" i="37"/>
  <c r="P33" i="37"/>
  <c r="H34" i="37"/>
  <c r="I34" i="37"/>
  <c r="J34" i="37"/>
  <c r="M34" i="37"/>
  <c r="N34" i="37"/>
  <c r="P34" i="37"/>
  <c r="H35" i="37"/>
  <c r="I35" i="37"/>
  <c r="J35" i="37"/>
  <c r="M35" i="37"/>
  <c r="N35" i="37"/>
  <c r="P35" i="37"/>
  <c r="H36" i="37"/>
  <c r="I36" i="37"/>
  <c r="J36" i="37"/>
  <c r="M36" i="37"/>
  <c r="N36" i="37"/>
  <c r="R35" i="37"/>
  <c r="O29" i="37"/>
  <c r="E35" i="37"/>
  <c r="R34" i="37"/>
  <c r="E32" i="37"/>
  <c r="E36" i="37"/>
  <c r="O30" i="37"/>
  <c r="O36" i="37"/>
  <c r="O31" i="37"/>
  <c r="O32" i="37"/>
  <c r="R30" i="37"/>
  <c r="E33" i="37"/>
  <c r="E34" i="37"/>
  <c r="E31" i="37"/>
  <c r="R36" i="37"/>
  <c r="O33" i="37"/>
  <c r="E30" i="37"/>
  <c r="O34" i="37"/>
  <c r="R33" i="37"/>
  <c r="R29" i="37"/>
  <c r="R32" i="37"/>
  <c r="O35" i="37"/>
  <c r="R31" i="37"/>
  <c r="E37" i="37"/>
  <c r="P36" i="37" l="1"/>
  <c r="H37" i="37"/>
  <c r="I37" i="37"/>
  <c r="J37" i="37"/>
  <c r="M37" i="37"/>
  <c r="N37" i="37"/>
  <c r="P37" i="37"/>
  <c r="H38" i="37"/>
  <c r="I38" i="37"/>
  <c r="J38" i="37"/>
  <c r="M38" i="37"/>
  <c r="N38" i="37"/>
  <c r="E39" i="37"/>
  <c r="O37" i="37"/>
  <c r="O38" i="37"/>
  <c r="E38" i="37"/>
  <c r="R38" i="37"/>
  <c r="R37" i="37"/>
  <c r="P38" i="37" l="1"/>
  <c r="H39" i="37"/>
  <c r="I39" i="37"/>
  <c r="J39" i="37"/>
  <c r="M39" i="37"/>
  <c r="N39" i="37"/>
  <c r="P39" i="37"/>
  <c r="P40" i="37"/>
  <c r="I48" i="37"/>
  <c r="F49" i="37"/>
  <c r="I49" i="37"/>
  <c r="H49" i="37"/>
  <c r="G51" i="37"/>
  <c r="D51" i="37"/>
  <c r="D48" i="37"/>
  <c r="O39" i="37"/>
  <c r="M48" i="37"/>
  <c r="G48" i="37"/>
  <c r="L48" i="37"/>
  <c r="R39" i="37"/>
  <c r="J48" i="37" l="1"/>
  <c r="M51" i="37"/>
  <c r="G54" i="37"/>
  <c r="D54" i="37"/>
  <c r="L51" i="37"/>
  <c r="J51" i="37" l="1"/>
  <c r="J49" i="37"/>
  <c r="K48" i="37"/>
  <c r="K49" i="37" s="1"/>
  <c r="K54" i="37"/>
  <c r="K55" i="37" s="1"/>
  <c r="M54" i="37"/>
  <c r="D58" i="37"/>
  <c r="G58" i="37"/>
  <c r="D57" i="37"/>
  <c r="G57" i="37"/>
  <c r="K51" i="37" l="1"/>
  <c r="K52" i="37" s="1"/>
  <c r="J52" i="37"/>
  <c r="L58" i="37"/>
  <c r="G62" i="37"/>
  <c r="G61" i="37"/>
  <c r="D61" i="37"/>
  <c r="M58" i="37"/>
  <c r="D62" i="37"/>
  <c r="J58" i="37" l="1"/>
  <c r="L62" i="37"/>
  <c r="G65" i="37"/>
  <c r="D65" i="37"/>
  <c r="M62" i="37"/>
  <c r="K58" i="37" l="1"/>
  <c r="K59" i="37" s="1"/>
  <c r="N14" i="37" s="1"/>
  <c r="J59" i="37"/>
  <c r="O14" i="37" s="1"/>
  <c r="J62" i="37"/>
  <c r="I65" i="37"/>
  <c r="D66" i="37"/>
  <c r="M65" i="37"/>
  <c r="G66" i="37"/>
  <c r="L65" i="37"/>
  <c r="M14" i="37" l="1"/>
  <c r="S14" i="37"/>
  <c r="K62" i="37"/>
  <c r="K63" i="37" s="1"/>
  <c r="N13" i="37" s="1"/>
  <c r="J63" i="37"/>
  <c r="O13" i="37" s="1"/>
  <c r="L14" i="37"/>
  <c r="R14" i="37"/>
  <c r="J65" i="37"/>
  <c r="K65" i="37" s="1"/>
  <c r="I66" i="37"/>
  <c r="M66" i="37"/>
  <c r="L66" i="37"/>
  <c r="G67" i="37"/>
  <c r="D67" i="37"/>
  <c r="M13" i="37" l="1"/>
  <c r="S13" i="37"/>
  <c r="L13" i="37"/>
  <c r="R13" i="37"/>
  <c r="S17" i="37"/>
  <c r="M17" i="37"/>
  <c r="J66" i="37"/>
  <c r="K66" i="37" s="1"/>
  <c r="I67" i="37"/>
  <c r="F68" i="37"/>
  <c r="I68" i="37"/>
  <c r="H68" i="37" s="1"/>
  <c r="G70" i="37"/>
  <c r="L67" i="37"/>
  <c r="M67" i="37"/>
  <c r="D70" i="37"/>
  <c r="J67" i="37" l="1"/>
  <c r="K67" i="37" s="1"/>
  <c r="K68" i="37" s="1"/>
  <c r="M70" i="37"/>
  <c r="D71" i="37"/>
  <c r="G71" i="37"/>
  <c r="J68" i="37" l="1"/>
  <c r="J71" i="37"/>
  <c r="J72" i="37"/>
  <c r="L71" i="37"/>
  <c r="M71" i="37"/>
  <c r="D74" i="37"/>
  <c r="G74" i="37"/>
  <c r="K71" i="37" l="1"/>
  <c r="K72" i="37" s="1"/>
  <c r="N11" i="37" s="1"/>
  <c r="M74" i="37"/>
  <c r="D75" i="37"/>
  <c r="G75" i="37"/>
  <c r="L11" i="37" l="1"/>
  <c r="R11" i="37"/>
  <c r="J75" i="37"/>
  <c r="J76" i="37"/>
  <c r="M75" i="37"/>
  <c r="L75" i="37"/>
  <c r="D78" i="37"/>
  <c r="G78" i="37"/>
  <c r="K75" i="37" l="1"/>
  <c r="K76" i="37" s="1"/>
  <c r="N8" i="37" s="1"/>
  <c r="I78" i="37"/>
  <c r="J78" i="37"/>
  <c r="J79" i="37" s="1"/>
  <c r="F79" i="37"/>
  <c r="I79" i="37"/>
  <c r="H79" i="37" s="1"/>
  <c r="G81" i="37"/>
  <c r="M78" i="37"/>
  <c r="D81" i="37"/>
  <c r="L78" i="37"/>
  <c r="L8" i="37" l="1"/>
  <c r="R8" i="37"/>
  <c r="K78" i="37"/>
  <c r="K79" i="37" s="1"/>
  <c r="J82" i="37"/>
  <c r="D84" i="37"/>
  <c r="M81" i="37"/>
  <c r="G84" i="37"/>
  <c r="J85" i="37" l="1"/>
  <c r="K87" i="37"/>
  <c r="K88" i="37" s="1"/>
  <c r="K90" i="37"/>
  <c r="K91" i="37" s="1"/>
  <c r="J94" i="37"/>
  <c r="J95" i="37"/>
  <c r="D90" i="37"/>
  <c r="D87" i="37"/>
  <c r="M90" i="37"/>
  <c r="M93" i="37"/>
  <c r="L94" i="37"/>
  <c r="M84" i="37"/>
  <c r="D97" i="37"/>
  <c r="M94" i="37"/>
  <c r="G93" i="37"/>
  <c r="G87" i="37"/>
  <c r="G97" i="37"/>
  <c r="G90" i="37"/>
  <c r="D94" i="37"/>
  <c r="G94" i="37"/>
  <c r="D93" i="37"/>
  <c r="M87" i="37"/>
  <c r="K94" i="37" l="1"/>
  <c r="K95" i="37" s="1"/>
  <c r="N9" i="37" s="1"/>
  <c r="J98" i="37"/>
  <c r="D100" i="37"/>
  <c r="M97" i="37"/>
  <c r="G100" i="37"/>
  <c r="R9" i="37" l="1"/>
  <c r="R17" i="37" s="1"/>
  <c r="L9" i="37"/>
  <c r="L17" i="37" s="1"/>
  <c r="N17" i="37"/>
  <c r="R18" i="37" s="1"/>
  <c r="I100" i="37"/>
  <c r="J100" i="37"/>
  <c r="F101" i="37"/>
  <c r="I101" i="37"/>
  <c r="H101" i="37"/>
  <c r="J101" i="37"/>
  <c r="J104" i="65"/>
  <c r="I104" i="65"/>
  <c r="F104" i="65"/>
  <c r="I100" i="65"/>
  <c r="J100" i="65" s="1"/>
  <c r="M100" i="37"/>
  <c r="L100" i="37"/>
  <c r="G100" i="65"/>
  <c r="M100" i="65"/>
  <c r="D100" i="65"/>
  <c r="L100" i="65"/>
  <c r="K100" i="37" l="1"/>
  <c r="K101" i="37" s="1"/>
  <c r="K100" i="65"/>
  <c r="K104" i="65" s="1"/>
  <c r="M29" i="108"/>
  <c r="J29" i="108"/>
  <c r="I29" i="108"/>
  <c r="H29" i="108"/>
  <c r="P1" i="108"/>
  <c r="R29" i="108"/>
  <c r="O29" i="108"/>
  <c r="G1" i="108"/>
  <c r="B29" i="108"/>
  <c r="K1" i="108"/>
  <c r="E29" i="108"/>
  <c r="I1" i="108"/>
  <c r="N29" i="108" l="1"/>
  <c r="P29" i="108" s="1"/>
  <c r="F48" i="108"/>
  <c r="E4" i="108" s="1"/>
  <c r="F45" i="108"/>
  <c r="E5" i="108" s="1"/>
  <c r="F51" i="108"/>
  <c r="E6" i="108" s="1"/>
  <c r="F72" i="108"/>
  <c r="E7" i="108" s="1"/>
  <c r="F54" i="108"/>
  <c r="E8" i="108" s="1"/>
  <c r="F57" i="108"/>
  <c r="E9" i="108" s="1"/>
  <c r="F69" i="108"/>
  <c r="E10" i="108"/>
  <c r="F39" i="108"/>
  <c r="E11" i="108"/>
  <c r="F60" i="108"/>
  <c r="F78" i="108"/>
  <c r="E12" i="108"/>
  <c r="F63" i="108"/>
  <c r="E13" i="108"/>
  <c r="F75" i="108"/>
  <c r="E14" i="108" s="1"/>
  <c r="F36" i="108"/>
  <c r="E15" i="108" s="1"/>
  <c r="I47" i="108"/>
  <c r="I48" i="108"/>
  <c r="H48" i="108" s="1"/>
  <c r="F4" i="108" s="1"/>
  <c r="N4" i="108"/>
  <c r="G10" i="108"/>
  <c r="G4" i="108"/>
  <c r="T4" i="108"/>
  <c r="G13" i="108"/>
  <c r="K4" i="108"/>
  <c r="G11" i="108"/>
  <c r="G14" i="108"/>
  <c r="G15" i="108"/>
  <c r="J4" i="108"/>
  <c r="G7" i="108"/>
  <c r="G8" i="108"/>
  <c r="G6" i="108"/>
  <c r="G5" i="108"/>
  <c r="H4" i="108"/>
  <c r="G9" i="108"/>
  <c r="L47" i="108"/>
  <c r="G12" i="108"/>
  <c r="J47" i="108" l="1"/>
  <c r="J48" i="108" s="1"/>
  <c r="O4" i="108" s="1"/>
  <c r="I4" i="108"/>
  <c r="Q5" i="108"/>
  <c r="P12" i="108"/>
  <c r="Q12" i="108" s="1"/>
  <c r="P8" i="108"/>
  <c r="Q8" i="108" s="1"/>
  <c r="Q7" i="108"/>
  <c r="L4" i="108"/>
  <c r="P4" i="108"/>
  <c r="Q4" i="108" s="1"/>
  <c r="P11" i="108"/>
  <c r="Q11" i="108" s="1"/>
  <c r="P9" i="108"/>
  <c r="Q9" i="108" s="1"/>
  <c r="P14" i="108"/>
  <c r="Q14" i="108" s="1"/>
  <c r="P10" i="108"/>
  <c r="Q10" i="108" s="1"/>
  <c r="P13" i="108"/>
  <c r="Q13" i="108" s="1"/>
  <c r="P15" i="108"/>
  <c r="Q15" i="108" s="1"/>
  <c r="Q6" i="108"/>
  <c r="I44" i="108"/>
  <c r="I45" i="108"/>
  <c r="H45" i="108" s="1"/>
  <c r="F5" i="108" s="1"/>
  <c r="P5" i="108"/>
  <c r="J44" i="108"/>
  <c r="M5" i="108"/>
  <c r="O5" i="108"/>
  <c r="J5" i="108"/>
  <c r="X4" i="108"/>
  <c r="K5" i="108"/>
  <c r="Y4" i="108"/>
  <c r="H5" i="108"/>
  <c r="W4" i="108"/>
  <c r="V4" i="108"/>
  <c r="T5" i="108"/>
  <c r="L44" i="108"/>
  <c r="K44" i="108" l="1"/>
  <c r="K45" i="108" s="1"/>
  <c r="N5" i="108" s="1"/>
  <c r="L5" i="108" s="1"/>
  <c r="S5" i="108"/>
  <c r="Q17" i="108"/>
  <c r="D4" i="108" s="1"/>
  <c r="M4" i="108"/>
  <c r="I5" i="108"/>
  <c r="R4" i="108"/>
  <c r="U4" i="108"/>
  <c r="S4" i="108"/>
  <c r="U5" i="108"/>
  <c r="I50" i="108"/>
  <c r="I51" i="108" s="1"/>
  <c r="H51" i="108" s="1"/>
  <c r="F6" i="108" s="1"/>
  <c r="P6" i="108"/>
  <c r="J50" i="108"/>
  <c r="M6" i="108"/>
  <c r="O6" i="108"/>
  <c r="S6" i="108"/>
  <c r="J6" i="108"/>
  <c r="Y5" i="108"/>
  <c r="T6" i="108"/>
  <c r="W5" i="108"/>
  <c r="H6" i="108"/>
  <c r="K6" i="108"/>
  <c r="L50" i="108"/>
  <c r="X5" i="108"/>
  <c r="V5" i="108"/>
  <c r="R5" i="108" l="1"/>
  <c r="K50" i="108"/>
  <c r="K51" i="108" s="1"/>
  <c r="N6" i="108" s="1"/>
  <c r="L6" i="108" s="1"/>
  <c r="D6" i="108"/>
  <c r="D5" i="108"/>
  <c r="I6" i="108"/>
  <c r="U6" i="108"/>
  <c r="D7" i="108"/>
  <c r="I71" i="108"/>
  <c r="I72" i="108" s="1"/>
  <c r="H72" i="108" s="1"/>
  <c r="F7" i="108" s="1"/>
  <c r="P7" i="108"/>
  <c r="J71" i="108"/>
  <c r="M7" i="108"/>
  <c r="O7" i="108"/>
  <c r="S7" i="108"/>
  <c r="Y6" i="108"/>
  <c r="K7" i="108"/>
  <c r="L71" i="108"/>
  <c r="X6" i="108"/>
  <c r="T7" i="108"/>
  <c r="J7" i="108"/>
  <c r="V6" i="108"/>
  <c r="H7" i="108"/>
  <c r="W6" i="108"/>
  <c r="R6" i="108" l="1"/>
  <c r="K71" i="108"/>
  <c r="K72" i="108" s="1"/>
  <c r="N7" i="108" s="1"/>
  <c r="L7" i="108" s="1"/>
  <c r="I7" i="108"/>
  <c r="U7" i="108"/>
  <c r="D8" i="108"/>
  <c r="I53" i="108"/>
  <c r="I54" i="108" s="1"/>
  <c r="H54" i="108" s="1"/>
  <c r="F8" i="108" s="1"/>
  <c r="L8" i="108"/>
  <c r="N8" i="108"/>
  <c r="R8" i="108"/>
  <c r="U8" i="108"/>
  <c r="V8" i="108"/>
  <c r="X8" i="108"/>
  <c r="Y7" i="108"/>
  <c r="W8" i="108"/>
  <c r="V7" i="108"/>
  <c r="L53" i="108"/>
  <c r="W7" i="108"/>
  <c r="J8" i="108"/>
  <c r="Y8" i="108"/>
  <c r="H8" i="108"/>
  <c r="X7" i="108"/>
  <c r="K8" i="108"/>
  <c r="R7" i="108" l="1"/>
  <c r="J53" i="108"/>
  <c r="J54" i="108" s="1"/>
  <c r="O8" i="108" s="1"/>
  <c r="M8" i="108" s="1"/>
  <c r="I8" i="108"/>
  <c r="D9" i="108"/>
  <c r="I56" i="108"/>
  <c r="I57" i="108" s="1"/>
  <c r="H57" i="108" s="1"/>
  <c r="F9" i="108" s="1"/>
  <c r="J9" i="108"/>
  <c r="K9" i="108"/>
  <c r="L56" i="108"/>
  <c r="M56" i="108"/>
  <c r="T9" i="108"/>
  <c r="H9" i="108"/>
  <c r="S8" i="108" l="1"/>
  <c r="J56" i="108"/>
  <c r="I9" i="108"/>
  <c r="U9" i="108"/>
  <c r="D10" i="108"/>
  <c r="I68" i="108"/>
  <c r="I69" i="108"/>
  <c r="H69" i="108"/>
  <c r="F10" i="108" s="1"/>
  <c r="L10" i="108"/>
  <c r="N10" i="108"/>
  <c r="R10" i="108" s="1"/>
  <c r="W9" i="108"/>
  <c r="X9" i="108"/>
  <c r="L68" i="108"/>
  <c r="K10" i="108"/>
  <c r="T10" i="108"/>
  <c r="H10" i="108"/>
  <c r="V9" i="108"/>
  <c r="Y9" i="108"/>
  <c r="J10" i="108"/>
  <c r="J68" i="108" l="1"/>
  <c r="J69" i="108" s="1"/>
  <c r="O10" i="108" s="1"/>
  <c r="J57" i="108"/>
  <c r="O9" i="108" s="1"/>
  <c r="K56" i="108"/>
  <c r="K57" i="108" s="1"/>
  <c r="N9" i="108" s="1"/>
  <c r="I10" i="108"/>
  <c r="S10" i="108"/>
  <c r="M10" i="108"/>
  <c r="U10" i="108"/>
  <c r="D11" i="108"/>
  <c r="I38" i="108"/>
  <c r="I39" i="108"/>
  <c r="H39" i="108" s="1"/>
  <c r="F11" i="108" s="1"/>
  <c r="J38" i="108"/>
  <c r="M11" i="108"/>
  <c r="O11" i="108"/>
  <c r="S11" i="108" s="1"/>
  <c r="B11" i="108"/>
  <c r="L38" i="108"/>
  <c r="V10" i="108"/>
  <c r="V11" i="108"/>
  <c r="X10" i="108"/>
  <c r="U11" i="108"/>
  <c r="W10" i="108"/>
  <c r="K11" i="108"/>
  <c r="T11" i="108"/>
  <c r="Y10" i="108"/>
  <c r="W11" i="108"/>
  <c r="K38" i="108" l="1"/>
  <c r="K39" i="108" s="1"/>
  <c r="N11" i="108" s="1"/>
  <c r="R9" i="108"/>
  <c r="L9" i="108"/>
  <c r="S9" i="108"/>
  <c r="M9" i="108"/>
  <c r="L11" i="108"/>
  <c r="R11" i="108"/>
  <c r="I59" i="108"/>
  <c r="I60" i="108"/>
  <c r="H60" i="108" s="1"/>
  <c r="J59" i="108"/>
  <c r="L59" i="108"/>
  <c r="B12" i="108"/>
  <c r="K59" i="108" l="1"/>
  <c r="K60" i="108" s="1"/>
  <c r="D12" i="108"/>
  <c r="I77" i="108"/>
  <c r="I78" i="108"/>
  <c r="H78" i="108" s="1"/>
  <c r="F12" i="108" s="1"/>
  <c r="J77" i="108"/>
  <c r="M12" i="108"/>
  <c r="O12" i="108"/>
  <c r="S12" i="108"/>
  <c r="V12" i="108"/>
  <c r="W12" i="108"/>
  <c r="B13" i="108"/>
  <c r="K12" i="108"/>
  <c r="L77" i="108"/>
  <c r="U12" i="108"/>
  <c r="K77" i="108" l="1"/>
  <c r="K78" i="108" s="1"/>
  <c r="N12" i="108" s="1"/>
  <c r="L12" i="108" s="1"/>
  <c r="D13" i="108"/>
  <c r="I62" i="108"/>
  <c r="I63" i="108" s="1"/>
  <c r="H63" i="108" s="1"/>
  <c r="F13" i="108" s="1"/>
  <c r="J62" i="108"/>
  <c r="M13" i="108"/>
  <c r="O13" i="108"/>
  <c r="S13" i="108" s="1"/>
  <c r="B14" i="108"/>
  <c r="V13" i="108"/>
  <c r="L62" i="108"/>
  <c r="W13" i="108"/>
  <c r="U13" i="108"/>
  <c r="T13" i="108"/>
  <c r="K13" i="108"/>
  <c r="R12" i="108" l="1"/>
  <c r="K62" i="108"/>
  <c r="K63" i="108" s="1"/>
  <c r="N13" i="108" s="1"/>
  <c r="R13" i="108" s="1"/>
  <c r="D14" i="108"/>
  <c r="I74" i="108"/>
  <c r="I75" i="108"/>
  <c r="H75" i="108" s="1"/>
  <c r="F14" i="108" s="1"/>
  <c r="J74" i="108"/>
  <c r="M14" i="108"/>
  <c r="O14" i="108"/>
  <c r="S14" i="108"/>
  <c r="V14" i="108"/>
  <c r="W14" i="108"/>
  <c r="L74" i="108"/>
  <c r="U14" i="108"/>
  <c r="B15" i="108"/>
  <c r="K14" i="108"/>
  <c r="T14" i="108"/>
  <c r="L13" i="108" l="1"/>
  <c r="K74" i="108"/>
  <c r="K75" i="108" s="1"/>
  <c r="N14" i="108" s="1"/>
  <c r="L14" i="108" s="1"/>
  <c r="D15" i="108"/>
  <c r="I35" i="108"/>
  <c r="I36" i="108"/>
  <c r="H36" i="108" s="1"/>
  <c r="F15" i="108" s="1"/>
  <c r="J35" i="108"/>
  <c r="M15" i="108"/>
  <c r="O15" i="108"/>
  <c r="S15" i="108"/>
  <c r="U15" i="108"/>
  <c r="W15" i="108"/>
  <c r="T15" i="108"/>
  <c r="K15" i="108"/>
  <c r="V15" i="108"/>
  <c r="L35" i="108"/>
  <c r="R14" i="108" l="1"/>
  <c r="K35" i="108"/>
  <c r="K36" i="108" s="1"/>
  <c r="N15" i="108" s="1"/>
  <c r="R15" i="108" s="1"/>
  <c r="D16" i="108"/>
  <c r="D17" i="108" s="1"/>
  <c r="P16" i="108"/>
  <c r="N16" i="108" s="1"/>
  <c r="N17" i="108" s="1"/>
  <c r="U16" i="108"/>
  <c r="I17" i="108"/>
  <c r="L17" i="108"/>
  <c r="M17" i="108"/>
  <c r="O17" i="108"/>
  <c r="R17" i="108"/>
  <c r="S17" i="108"/>
  <c r="T17" i="108"/>
  <c r="U17" i="108"/>
  <c r="S18" i="108" s="1"/>
  <c r="B23" i="108"/>
  <c r="E23" i="108"/>
  <c r="L15" i="108" l="1"/>
  <c r="P17" i="108"/>
  <c r="H23" i="108"/>
  <c r="I23" i="108"/>
  <c r="J23" i="108"/>
  <c r="M23" i="108"/>
  <c r="N23" i="108"/>
  <c r="P23" i="108"/>
  <c r="H28" i="108"/>
  <c r="I28" i="108"/>
  <c r="J28" i="108"/>
  <c r="N28" i="108" s="1"/>
  <c r="M28" i="108"/>
  <c r="P28" i="108"/>
  <c r="J36" i="108"/>
  <c r="J39" i="108"/>
  <c r="I41" i="108"/>
  <c r="J41" i="108"/>
  <c r="F42" i="108"/>
  <c r="I42" i="108"/>
  <c r="H42" i="108"/>
  <c r="J42" i="108"/>
  <c r="J45" i="108"/>
  <c r="K47" i="108"/>
  <c r="K48" i="108" s="1"/>
  <c r="J51" i="108"/>
  <c r="K53" i="108"/>
  <c r="K54" i="108"/>
  <c r="J60" i="108"/>
  <c r="J63" i="108"/>
  <c r="I65" i="108"/>
  <c r="J65" i="108"/>
  <c r="F66" i="108"/>
  <c r="I66" i="108"/>
  <c r="H66" i="108"/>
  <c r="J66" i="108"/>
  <c r="K68" i="108"/>
  <c r="K69" i="108" s="1"/>
  <c r="J72" i="108"/>
  <c r="J75" i="108"/>
  <c r="J78" i="108"/>
  <c r="C4" i="79"/>
  <c r="F23" i="79"/>
  <c r="E4" i="79" s="1"/>
  <c r="F26" i="79"/>
  <c r="E5" i="79" s="1"/>
  <c r="C5" i="79"/>
  <c r="F29" i="79"/>
  <c r="E6" i="79"/>
  <c r="C6" i="79"/>
  <c r="I22" i="79"/>
  <c r="I23" i="79"/>
  <c r="H23" i="79" s="1"/>
  <c r="F4" i="79" s="1"/>
  <c r="K4" i="79"/>
  <c r="M38" i="108"/>
  <c r="G53" i="108"/>
  <c r="G68" i="108"/>
  <c r="D53" i="108"/>
  <c r="T4" i="79"/>
  <c r="E28" i="108"/>
  <c r="G5" i="79"/>
  <c r="D41" i="108"/>
  <c r="M71" i="108"/>
  <c r="AA4" i="79"/>
  <c r="O28" i="108"/>
  <c r="G50" i="108"/>
  <c r="D68" i="108"/>
  <c r="Z4" i="79"/>
  <c r="M35" i="108"/>
  <c r="G38" i="108"/>
  <c r="G74" i="108"/>
  <c r="M41" i="108"/>
  <c r="M62" i="108"/>
  <c r="M77" i="108"/>
  <c r="G41" i="108"/>
  <c r="D50" i="108"/>
  <c r="B28" i="108"/>
  <c r="G47" i="108"/>
  <c r="G35" i="108"/>
  <c r="X4" i="79"/>
  <c r="L22" i="79"/>
  <c r="D65" i="108"/>
  <c r="M74" i="108"/>
  <c r="D59" i="108"/>
  <c r="K1" i="79"/>
  <c r="L41" i="108"/>
  <c r="S4" i="79"/>
  <c r="G6" i="79"/>
  <c r="P1" i="79"/>
  <c r="D56" i="108"/>
  <c r="Y4" i="79"/>
  <c r="D35" i="108"/>
  <c r="M50" i="108"/>
  <c r="G56" i="108"/>
  <c r="W4" i="79"/>
  <c r="G71" i="108"/>
  <c r="D62" i="108"/>
  <c r="D74" i="108"/>
  <c r="I1" i="79"/>
  <c r="U4" i="79"/>
  <c r="G65" i="108"/>
  <c r="H4" i="79"/>
  <c r="D71" i="108"/>
  <c r="O23" i="108"/>
  <c r="G62" i="108"/>
  <c r="R4" i="79"/>
  <c r="M44" i="108"/>
  <c r="D77" i="108"/>
  <c r="D44" i="108"/>
  <c r="R28" i="108"/>
  <c r="D47" i="108"/>
  <c r="M53" i="108"/>
  <c r="G77" i="108"/>
  <c r="L65" i="108"/>
  <c r="M59" i="108"/>
  <c r="R23" i="108"/>
  <c r="E1" i="79"/>
  <c r="V4" i="79"/>
  <c r="M68" i="108"/>
  <c r="G59" i="108"/>
  <c r="D38" i="108"/>
  <c r="G4" i="79"/>
  <c r="G1" i="79"/>
  <c r="M65" i="108"/>
  <c r="M47" i="108"/>
  <c r="G44" i="108"/>
  <c r="K65" i="108" l="1"/>
  <c r="K66" i="108" s="1"/>
  <c r="K41" i="108"/>
  <c r="K42" i="108" s="1"/>
  <c r="M4" i="79"/>
  <c r="N4" i="79" s="1"/>
  <c r="I4" i="79"/>
  <c r="M5" i="79"/>
  <c r="M6" i="79"/>
  <c r="J22" i="79"/>
  <c r="J23" i="79" s="1"/>
  <c r="L4" i="79" s="1"/>
  <c r="I25" i="79"/>
  <c r="I26" i="79"/>
  <c r="H26" i="79" s="1"/>
  <c r="F5" i="79" s="1"/>
  <c r="H5" i="79"/>
  <c r="J4" i="79" l="1"/>
  <c r="O4" i="79"/>
  <c r="M8" i="79"/>
  <c r="P4" i="79"/>
  <c r="Q4" i="79" s="1"/>
  <c r="I5" i="79"/>
  <c r="N5" i="79"/>
  <c r="K5" i="79"/>
  <c r="O5" i="79"/>
  <c r="L25" i="79"/>
  <c r="X5" i="79"/>
  <c r="R5" i="79"/>
  <c r="AA5" i="79"/>
  <c r="W5" i="79"/>
  <c r="S5" i="79"/>
  <c r="Y5" i="79"/>
  <c r="V5" i="79"/>
  <c r="U5" i="79"/>
  <c r="Z5" i="79"/>
  <c r="T5" i="79"/>
  <c r="D4" i="79" l="1"/>
  <c r="D5" i="79"/>
  <c r="J25" i="79"/>
  <c r="J26" i="79" s="1"/>
  <c r="L5" i="79" s="1"/>
  <c r="J5" i="79" s="1"/>
  <c r="D6" i="79"/>
  <c r="I28" i="79"/>
  <c r="I29" i="79" s="1"/>
  <c r="H29" i="79" s="1"/>
  <c r="F6" i="79" s="1"/>
  <c r="H6" i="79"/>
  <c r="P5" i="79" l="1"/>
  <c r="Q5" i="79" s="1"/>
  <c r="J28" i="79"/>
  <c r="J6" i="79"/>
  <c r="L6" i="79"/>
  <c r="N6" i="79"/>
  <c r="V6" i="79"/>
  <c r="S6" i="79"/>
  <c r="L28" i="79"/>
  <c r="T6" i="79"/>
  <c r="R6" i="79"/>
  <c r="Z6" i="79"/>
  <c r="X6" i="79"/>
  <c r="W6" i="79"/>
  <c r="U6" i="79"/>
  <c r="Y6" i="79"/>
  <c r="AA6" i="79"/>
  <c r="P6" i="79" l="1"/>
  <c r="Q6" i="79" s="1"/>
  <c r="K28" i="79"/>
  <c r="K29" i="79" s="1"/>
  <c r="K6" i="79" s="1"/>
  <c r="D7" i="79"/>
  <c r="D8" i="79" s="1"/>
  <c r="N7" i="79"/>
  <c r="N8" i="79"/>
  <c r="P8" i="79"/>
  <c r="Q8" i="79"/>
  <c r="O9" i="79"/>
  <c r="E14" i="79"/>
  <c r="O6" i="79" l="1"/>
  <c r="O8" i="79" s="1"/>
  <c r="I6" i="79"/>
  <c r="H14" i="79"/>
  <c r="I14" i="79"/>
  <c r="J14" i="79"/>
  <c r="N14" i="79" s="1"/>
  <c r="M14" i="79"/>
  <c r="N15" i="79"/>
  <c r="G22" i="79"/>
  <c r="R14" i="79"/>
  <c r="O14" i="79"/>
  <c r="D22" i="79"/>
  <c r="P14" i="79" l="1"/>
  <c r="P15" i="79" s="1"/>
  <c r="K22" i="79"/>
  <c r="K23" i="79" s="1"/>
  <c r="K25" i="79"/>
  <c r="K26" i="79" s="1"/>
  <c r="J29" i="79"/>
  <c r="F35" i="103"/>
  <c r="E4" i="103" s="1"/>
  <c r="F45" i="103"/>
  <c r="E5" i="103" s="1"/>
  <c r="F42" i="103"/>
  <c r="E6" i="103" s="1"/>
  <c r="F32" i="103"/>
  <c r="E7" i="103"/>
  <c r="F29" i="103"/>
  <c r="E8" i="103" s="1"/>
  <c r="F26" i="103"/>
  <c r="E9" i="103"/>
  <c r="F39" i="103"/>
  <c r="E10" i="103"/>
  <c r="I34" i="103"/>
  <c r="J34" i="103" s="1"/>
  <c r="J35" i="103" s="1"/>
  <c r="H35" i="103" s="1"/>
  <c r="F4" i="103" s="1"/>
  <c r="L4" i="103"/>
  <c r="F2" i="103"/>
  <c r="G7" i="103"/>
  <c r="S4" i="103"/>
  <c r="Q4" i="103"/>
  <c r="G8" i="103"/>
  <c r="G28" i="79"/>
  <c r="M28" i="79"/>
  <c r="G5" i="103"/>
  <c r="G9" i="103"/>
  <c r="H2" i="103"/>
  <c r="G25" i="79"/>
  <c r="G1" i="103"/>
  <c r="M25" i="79"/>
  <c r="D25" i="79"/>
  <c r="G4" i="103"/>
  <c r="D28" i="79"/>
  <c r="B5" i="103"/>
  <c r="M22" i="79"/>
  <c r="U4" i="103"/>
  <c r="H4" i="103"/>
  <c r="W4" i="103"/>
  <c r="P1" i="103"/>
  <c r="G10" i="103"/>
  <c r="L34" i="103"/>
  <c r="T4" i="103"/>
  <c r="R4" i="103"/>
  <c r="K1" i="103"/>
  <c r="V4" i="103"/>
  <c r="G6" i="103"/>
  <c r="B4" i="103"/>
  <c r="I1" i="103"/>
  <c r="X4" i="103"/>
  <c r="Y4" i="103"/>
  <c r="M5" i="103" l="1"/>
  <c r="N5" i="103" s="1"/>
  <c r="M7" i="103"/>
  <c r="N7" i="103" s="1"/>
  <c r="M4" i="103"/>
  <c r="N4" i="103" s="1"/>
  <c r="P4" i="103" s="1"/>
  <c r="J4" i="103"/>
  <c r="M10" i="103"/>
  <c r="N10" i="103" s="1"/>
  <c r="M6" i="103"/>
  <c r="N6" i="103" s="1"/>
  <c r="M9" i="103"/>
  <c r="N9" i="103" s="1"/>
  <c r="M8" i="103"/>
  <c r="N8" i="103" s="1"/>
  <c r="K34" i="103"/>
  <c r="K35" i="103" s="1"/>
  <c r="K4" i="103" s="1"/>
  <c r="I44" i="103"/>
  <c r="J44" i="103" s="1"/>
  <c r="J45" i="103" s="1"/>
  <c r="H45" i="103" s="1"/>
  <c r="F5" i="103" s="1"/>
  <c r="H5" i="103"/>
  <c r="N12" i="103" l="1"/>
  <c r="D4" i="103" s="1"/>
  <c r="O4" i="103"/>
  <c r="I4" i="103"/>
  <c r="J5" i="103"/>
  <c r="L5" i="103"/>
  <c r="P5" i="103"/>
  <c r="Q5" i="103"/>
  <c r="X5" i="103"/>
  <c r="B6" i="103"/>
  <c r="T5" i="103"/>
  <c r="U5" i="103"/>
  <c r="R5" i="103"/>
  <c r="V5" i="103"/>
  <c r="Y5" i="103"/>
  <c r="S5" i="103"/>
  <c r="W5" i="103"/>
  <c r="L44" i="103"/>
  <c r="D5" i="103" l="1"/>
  <c r="K44" i="103"/>
  <c r="K45" i="103" s="1"/>
  <c r="K5" i="103" s="1"/>
  <c r="D6" i="103"/>
  <c r="I41" i="103"/>
  <c r="J41" i="103"/>
  <c r="J42" i="103"/>
  <c r="H42" i="103"/>
  <c r="F6" i="103"/>
  <c r="H6" i="103"/>
  <c r="O5" i="103" l="1"/>
  <c r="I5" i="103"/>
  <c r="J6" i="103"/>
  <c r="L6" i="103"/>
  <c r="P6" i="103"/>
  <c r="Q6" i="103"/>
  <c r="Y6" i="103"/>
  <c r="U6" i="103"/>
  <c r="V6" i="103"/>
  <c r="W6" i="103"/>
  <c r="T6" i="103"/>
  <c r="R6" i="103"/>
  <c r="X6" i="103"/>
  <c r="L41" i="103"/>
  <c r="B7" i="103"/>
  <c r="S6" i="103"/>
  <c r="K41" i="103" l="1"/>
  <c r="K42" i="103" s="1"/>
  <c r="K6" i="103" s="1"/>
  <c r="D7" i="103"/>
  <c r="I31" i="103"/>
  <c r="J31" i="103" s="1"/>
  <c r="J32" i="103" s="1"/>
  <c r="H32" i="103" s="1"/>
  <c r="F7" i="103" s="1"/>
  <c r="H7" i="103"/>
  <c r="O6" i="103" l="1"/>
  <c r="I6" i="103"/>
  <c r="J7" i="103"/>
  <c r="L7" i="103"/>
  <c r="P7" i="103"/>
  <c r="Y7" i="103"/>
  <c r="R7" i="103"/>
  <c r="S7" i="103"/>
  <c r="V7" i="103"/>
  <c r="Q7" i="103"/>
  <c r="T7" i="103"/>
  <c r="X7" i="103"/>
  <c r="W7" i="103"/>
  <c r="U7" i="103"/>
  <c r="B8" i="103"/>
  <c r="L31" i="103"/>
  <c r="K31" i="103" l="1"/>
  <c r="K32" i="103" s="1"/>
  <c r="K7" i="103" s="1"/>
  <c r="D8" i="103"/>
  <c r="I28" i="103"/>
  <c r="J28" i="103" s="1"/>
  <c r="J29" i="103" s="1"/>
  <c r="H29" i="103" s="1"/>
  <c r="F8" i="103" s="1"/>
  <c r="H8" i="103"/>
  <c r="O7" i="103" l="1"/>
  <c r="I7" i="103"/>
  <c r="J8" i="103"/>
  <c r="L8" i="103"/>
  <c r="P8" i="103"/>
  <c r="R8" i="103"/>
  <c r="X8" i="103"/>
  <c r="L28" i="103"/>
  <c r="U8" i="103"/>
  <c r="V8" i="103"/>
  <c r="S8" i="103"/>
  <c r="Y8" i="103"/>
  <c r="W8" i="103"/>
  <c r="T8" i="103"/>
  <c r="Q8" i="103"/>
  <c r="B9" i="103"/>
  <c r="K28" i="103" l="1"/>
  <c r="K29" i="103" s="1"/>
  <c r="K8" i="103" s="1"/>
  <c r="D9" i="103"/>
  <c r="I25" i="103"/>
  <c r="J25" i="103" s="1"/>
  <c r="J26" i="103" s="1"/>
  <c r="H26" i="103" s="1"/>
  <c r="F9" i="103" s="1"/>
  <c r="H9" i="103"/>
  <c r="O8" i="103" l="1"/>
  <c r="I8" i="103"/>
  <c r="J9" i="103"/>
  <c r="L9" i="103"/>
  <c r="P9" i="103"/>
  <c r="V9" i="103"/>
  <c r="L25" i="103"/>
  <c r="R9" i="103"/>
  <c r="X9" i="103"/>
  <c r="B10" i="103"/>
  <c r="W9" i="103"/>
  <c r="U9" i="103"/>
  <c r="Y9" i="103"/>
  <c r="T9" i="103"/>
  <c r="Q9" i="103"/>
  <c r="S9" i="103"/>
  <c r="K25" i="103" l="1"/>
  <c r="K26" i="103" s="1"/>
  <c r="K9" i="103" s="1"/>
  <c r="D10" i="103"/>
  <c r="I37" i="103"/>
  <c r="J37" i="103"/>
  <c r="I38" i="103"/>
  <c r="J38" i="103" s="1"/>
  <c r="J39" i="103" s="1"/>
  <c r="H39" i="103" s="1"/>
  <c r="F10" i="103" s="1"/>
  <c r="H10" i="103"/>
  <c r="O9" i="103" l="1"/>
  <c r="I9" i="103"/>
  <c r="J10" i="103"/>
  <c r="L10" i="103"/>
  <c r="P10" i="103"/>
  <c r="V10" i="103"/>
  <c r="L37" i="103"/>
  <c r="U10" i="103"/>
  <c r="Y10" i="103"/>
  <c r="W10" i="103"/>
  <c r="T10" i="103"/>
  <c r="S10" i="103"/>
  <c r="R10" i="103"/>
  <c r="X10" i="103"/>
  <c r="Q10" i="103"/>
  <c r="K37" i="103" l="1"/>
  <c r="D11" i="103"/>
  <c r="D12" i="103" s="1"/>
  <c r="S11" i="103"/>
  <c r="J12" i="103"/>
  <c r="M12" i="103"/>
  <c r="P12" i="103"/>
  <c r="Q12" i="103"/>
  <c r="R12" i="103"/>
  <c r="S12" i="103"/>
  <c r="B17" i="103"/>
  <c r="E17" i="103"/>
  <c r="H17" i="103" l="1"/>
  <c r="I17" i="103"/>
  <c r="J17" i="103"/>
  <c r="M17" i="103"/>
  <c r="N17" i="103"/>
  <c r="P17" i="103"/>
  <c r="P18" i="103"/>
  <c r="I26" i="103"/>
  <c r="I29" i="103"/>
  <c r="I32" i="103"/>
  <c r="I35" i="103"/>
  <c r="I39" i="103"/>
  <c r="G41" i="103"/>
  <c r="M28" i="103"/>
  <c r="M34" i="103"/>
  <c r="R17" i="103"/>
  <c r="G37" i="103"/>
  <c r="D28" i="103"/>
  <c r="G28" i="103"/>
  <c r="G34" i="103"/>
  <c r="D31" i="103"/>
  <c r="G31" i="103"/>
  <c r="D34" i="103"/>
  <c r="O17" i="103"/>
  <c r="M37" i="103"/>
  <c r="L38" i="103"/>
  <c r="D38" i="103"/>
  <c r="D37" i="103"/>
  <c r="G38" i="103"/>
  <c r="D41" i="103"/>
  <c r="G25" i="103"/>
  <c r="D25" i="103"/>
  <c r="M25" i="103"/>
  <c r="M31" i="103"/>
  <c r="M38" i="103"/>
  <c r="K38" i="103" l="1"/>
  <c r="K39" i="103" s="1"/>
  <c r="K10" i="103" s="1"/>
  <c r="I42" i="103"/>
  <c r="M41" i="103"/>
  <c r="G44" i="103"/>
  <c r="D44" i="103"/>
  <c r="K12" i="103" l="1"/>
  <c r="I10" i="103"/>
  <c r="I12" i="103" s="1"/>
  <c r="O10" i="103"/>
  <c r="O12" i="103" s="1"/>
  <c r="I45" i="103"/>
  <c r="M44" i="103"/>
  <c r="F48" i="105" l="1"/>
  <c r="F51" i="105"/>
  <c r="F71" i="105"/>
  <c r="F54" i="105"/>
  <c r="F68" i="105"/>
  <c r="F57" i="105"/>
  <c r="F62" i="105"/>
  <c r="F65" i="105"/>
  <c r="F41" i="105"/>
  <c r="E14" i="105" s="1"/>
  <c r="F37" i="105"/>
  <c r="E15" i="105" s="1"/>
  <c r="I47" i="105"/>
  <c r="I48" i="105" s="1"/>
  <c r="H48" i="105" s="1"/>
  <c r="J47" i="105"/>
  <c r="G13" i="105"/>
  <c r="G10" i="105"/>
  <c r="G14" i="105"/>
  <c r="L47" i="105"/>
  <c r="G12" i="105"/>
  <c r="J4" i="105"/>
  <c r="G9" i="105"/>
  <c r="G11" i="105"/>
  <c r="G15" i="105"/>
  <c r="T4" i="105"/>
  <c r="G6" i="105"/>
  <c r="K4" i="105"/>
  <c r="H4" i="105"/>
  <c r="G5" i="105"/>
  <c r="I4" i="105" l="1"/>
  <c r="M4" i="105"/>
  <c r="S4" i="105"/>
  <c r="P15" i="105"/>
  <c r="Q15" i="105" s="1"/>
  <c r="P14" i="105"/>
  <c r="Q14" i="105" s="1"/>
  <c r="K47" i="105"/>
  <c r="K48" i="105" s="1"/>
  <c r="X4" i="105"/>
  <c r="Y4" i="105"/>
  <c r="W4" i="105"/>
  <c r="V4" i="105"/>
  <c r="Q17" i="105" l="1"/>
  <c r="R4" i="105"/>
  <c r="L4" i="105"/>
  <c r="I50" i="105"/>
  <c r="I51" i="105" s="1"/>
  <c r="H51" i="105" s="1"/>
  <c r="J50" i="105"/>
  <c r="M5" i="105"/>
  <c r="S5" i="105"/>
  <c r="H5" i="105"/>
  <c r="L50" i="105"/>
  <c r="J5" i="105"/>
  <c r="T5" i="105"/>
  <c r="K5" i="105"/>
  <c r="D4" i="105" l="1"/>
  <c r="D7" i="105"/>
  <c r="D8" i="105"/>
  <c r="D5" i="105"/>
  <c r="I5" i="105"/>
  <c r="K50" i="105"/>
  <c r="K51" i="105" s="1"/>
  <c r="Y5" i="105"/>
  <c r="W5" i="105"/>
  <c r="V5" i="105"/>
  <c r="X5" i="105"/>
  <c r="R5" i="105" l="1"/>
  <c r="L5" i="105"/>
  <c r="D6" i="105"/>
  <c r="I70" i="105"/>
  <c r="I71" i="105"/>
  <c r="H71" i="105" s="1"/>
  <c r="J70" i="105"/>
  <c r="M6" i="105"/>
  <c r="S6" i="105"/>
  <c r="L70" i="105"/>
  <c r="T6" i="105"/>
  <c r="J6" i="105"/>
  <c r="H6" i="105"/>
  <c r="K6" i="105"/>
  <c r="I6" i="105" l="1"/>
  <c r="K70" i="105"/>
  <c r="K71" i="105" s="1"/>
  <c r="V6" i="105"/>
  <c r="Y6" i="105"/>
  <c r="X6" i="105"/>
  <c r="W6" i="105"/>
  <c r="R6" i="105" l="1"/>
  <c r="L6" i="105"/>
  <c r="D9" i="105"/>
  <c r="I53" i="105"/>
  <c r="I54" i="105"/>
  <c r="H54" i="105" s="1"/>
  <c r="J53" i="105"/>
  <c r="M9" i="105"/>
  <c r="S9" i="105"/>
  <c r="L53" i="105"/>
  <c r="K9" i="105"/>
  <c r="J9" i="105"/>
  <c r="H9" i="105"/>
  <c r="T9" i="105"/>
  <c r="I9" i="105" l="1"/>
  <c r="K53" i="105"/>
  <c r="K54" i="105" s="1"/>
  <c r="V9" i="105"/>
  <c r="W9" i="105"/>
  <c r="X9" i="105"/>
  <c r="Y9" i="105"/>
  <c r="R9" i="105" l="1"/>
  <c r="L9" i="105"/>
  <c r="D10" i="105"/>
  <c r="I67" i="105"/>
  <c r="I68" i="105"/>
  <c r="H68" i="105" s="1"/>
  <c r="J67" i="105"/>
  <c r="M10" i="105"/>
  <c r="S10" i="105"/>
  <c r="L67" i="105"/>
  <c r="K10" i="105"/>
  <c r="T10" i="105"/>
  <c r="H10" i="105"/>
  <c r="J10" i="105"/>
  <c r="I10" i="105" l="1"/>
  <c r="K67" i="105"/>
  <c r="K68" i="105" s="1"/>
  <c r="W10" i="105"/>
  <c r="V10" i="105"/>
  <c r="X10" i="105"/>
  <c r="Y10" i="105"/>
  <c r="R10" i="105" l="1"/>
  <c r="L10" i="105"/>
  <c r="D11" i="105"/>
  <c r="I56" i="105"/>
  <c r="I57" i="105"/>
  <c r="H57" i="105"/>
  <c r="M56" i="105"/>
  <c r="L56" i="105"/>
  <c r="T11" i="105"/>
  <c r="K11" i="105"/>
  <c r="J11" i="105"/>
  <c r="H11" i="105"/>
  <c r="I11" i="105" l="1"/>
  <c r="J56" i="105"/>
  <c r="X11" i="105"/>
  <c r="W11" i="105"/>
  <c r="V11" i="105"/>
  <c r="Y11" i="105"/>
  <c r="K56" i="105" l="1"/>
  <c r="K57" i="105" s="1"/>
  <c r="J57" i="105"/>
  <c r="D12" i="105"/>
  <c r="H59" i="105"/>
  <c r="H12" i="105"/>
  <c r="I59" i="105" l="1"/>
  <c r="M11" i="105"/>
  <c r="S11" i="105"/>
  <c r="R11" i="105"/>
  <c r="L11" i="105"/>
  <c r="I12" i="105"/>
  <c r="J12" i="105"/>
  <c r="M59" i="105"/>
  <c r="L59" i="105"/>
  <c r="T12" i="105"/>
  <c r="K12" i="105"/>
  <c r="J59" i="105" l="1"/>
  <c r="W12" i="105"/>
  <c r="Y12" i="105"/>
  <c r="V12" i="105"/>
  <c r="X12" i="105"/>
  <c r="K59" i="105" l="1"/>
  <c r="D13" i="105"/>
  <c r="I64" i="105"/>
  <c r="I65" i="105"/>
  <c r="H65" i="105" s="1"/>
  <c r="H13" i="105"/>
  <c r="I13" i="105" l="1"/>
  <c r="L13" i="105"/>
  <c r="R13" i="105"/>
  <c r="L64" i="105"/>
  <c r="J13" i="105"/>
  <c r="K13" i="105"/>
  <c r="T13" i="105"/>
  <c r="J64" i="105" l="1"/>
  <c r="J65" i="105" s="1"/>
  <c r="B14" i="105"/>
  <c r="V13" i="105"/>
  <c r="W13" i="105"/>
  <c r="Y13" i="105"/>
  <c r="X13" i="105"/>
  <c r="S13" i="105" l="1"/>
  <c r="M13" i="105"/>
  <c r="D14" i="105"/>
  <c r="I39" i="105"/>
  <c r="J39" i="105" s="1"/>
  <c r="J41" i="105" s="1"/>
  <c r="H41" i="105" s="1"/>
  <c r="F14" i="105" s="1"/>
  <c r="I40" i="105"/>
  <c r="J40" i="105"/>
  <c r="M14" i="105"/>
  <c r="O14" i="105"/>
  <c r="S14" i="105"/>
  <c r="V14" i="105"/>
  <c r="L39" i="105"/>
  <c r="T14" i="105"/>
  <c r="B15" i="105"/>
  <c r="W14" i="105"/>
  <c r="U14" i="105"/>
  <c r="K14" i="105"/>
  <c r="K39" i="105" l="1"/>
  <c r="D15" i="105"/>
  <c r="I36" i="105"/>
  <c r="J36" i="105"/>
  <c r="J37" i="105"/>
  <c r="H37" i="105" s="1"/>
  <c r="F15" i="105" s="1"/>
  <c r="K15" i="105"/>
  <c r="M15" i="105" l="1"/>
  <c r="O15" i="105"/>
  <c r="S15" i="105"/>
  <c r="T15" i="105"/>
  <c r="V15" i="105"/>
  <c r="W15" i="105"/>
  <c r="U15" i="105"/>
  <c r="L36" i="105"/>
  <c r="K36" i="105" l="1"/>
  <c r="K37" i="105" s="1"/>
  <c r="N15" i="105" s="1"/>
  <c r="D16" i="105"/>
  <c r="U16" i="105"/>
  <c r="D17" i="105"/>
  <c r="I17" i="105"/>
  <c r="P17" i="105"/>
  <c r="T17" i="105"/>
  <c r="U17" i="105"/>
  <c r="E22" i="105"/>
  <c r="R15" i="105" l="1"/>
  <c r="L15" i="105"/>
  <c r="H22" i="105"/>
  <c r="K22" i="105"/>
  <c r="I22" i="105"/>
  <c r="J22" i="105"/>
  <c r="N22" i="105" s="1"/>
  <c r="M22" i="105"/>
  <c r="D30" i="105"/>
  <c r="G30" i="105"/>
  <c r="R22" i="105"/>
  <c r="O22" i="105"/>
  <c r="P22" i="105" l="1"/>
  <c r="P23" i="105" s="1"/>
  <c r="S22" i="105"/>
  <c r="I30" i="105"/>
  <c r="I31" i="105" s="1"/>
  <c r="F31" i="105"/>
  <c r="M30" i="105"/>
  <c r="L30" i="105"/>
  <c r="D33" i="105"/>
  <c r="G33" i="105"/>
  <c r="J30" i="105" l="1"/>
  <c r="I33" i="105"/>
  <c r="J33" i="105"/>
  <c r="F34" i="105"/>
  <c r="J34" i="105"/>
  <c r="H34" i="105" s="1"/>
  <c r="I34" i="105"/>
  <c r="L33" i="105"/>
  <c r="M33" i="105"/>
  <c r="D36" i="105"/>
  <c r="G36" i="105"/>
  <c r="K33" i="105" l="1"/>
  <c r="K34" i="105" s="1"/>
  <c r="J31" i="105"/>
  <c r="H31" i="105" s="1"/>
  <c r="K30" i="105"/>
  <c r="K31" i="105" s="1"/>
  <c r="I37" i="105"/>
  <c r="I41" i="105"/>
  <c r="G39" i="105"/>
  <c r="L40" i="105"/>
  <c r="M36" i="105"/>
  <c r="G43" i="105"/>
  <c r="M40" i="105"/>
  <c r="D40" i="105"/>
  <c r="G40" i="105"/>
  <c r="D43" i="105"/>
  <c r="M39" i="105"/>
  <c r="D39" i="105"/>
  <c r="K40" i="105" l="1"/>
  <c r="K41" i="105" s="1"/>
  <c r="N14" i="105" s="1"/>
  <c r="I43" i="105"/>
  <c r="J43" i="105"/>
  <c r="M43" i="105"/>
  <c r="D44" i="105"/>
  <c r="G44" i="105"/>
  <c r="L43" i="105"/>
  <c r="L14" i="105" l="1"/>
  <c r="R14" i="105"/>
  <c r="K43" i="105"/>
  <c r="I44" i="105"/>
  <c r="J44" i="105"/>
  <c r="F45" i="105"/>
  <c r="J45" i="105"/>
  <c r="H45" i="105" s="1"/>
  <c r="I45" i="105"/>
  <c r="M44" i="105"/>
  <c r="L44" i="105"/>
  <c r="G47" i="105"/>
  <c r="D47" i="105"/>
  <c r="K44" i="105" l="1"/>
  <c r="K45" i="105" s="1"/>
  <c r="J48" i="105"/>
  <c r="J51" i="105"/>
  <c r="J54" i="105"/>
  <c r="D61" i="105"/>
  <c r="D56" i="105"/>
  <c r="D50" i="105"/>
  <c r="M50" i="105"/>
  <c r="G53" i="105"/>
  <c r="G50" i="105"/>
  <c r="D59" i="105"/>
  <c r="G59" i="105"/>
  <c r="H60" i="105"/>
  <c r="G60" i="105"/>
  <c r="L60" i="105"/>
  <c r="M53" i="105"/>
  <c r="M47" i="105"/>
  <c r="D53" i="105"/>
  <c r="G56" i="105"/>
  <c r="M60" i="105"/>
  <c r="G61" i="105"/>
  <c r="D60" i="105"/>
  <c r="I60" i="105" l="1"/>
  <c r="I61" i="105"/>
  <c r="L61" i="105"/>
  <c r="G64" i="105"/>
  <c r="M61" i="105"/>
  <c r="D64" i="105"/>
  <c r="J60" i="105" l="1"/>
  <c r="I62" i="105"/>
  <c r="H62" i="105" s="1"/>
  <c r="J61" i="105"/>
  <c r="K61" i="105" s="1"/>
  <c r="K64" i="105"/>
  <c r="K65" i="105" s="1"/>
  <c r="M64" i="105"/>
  <c r="G67" i="105"/>
  <c r="D67" i="105"/>
  <c r="K60" i="105" l="1"/>
  <c r="K62" i="105" s="1"/>
  <c r="J62" i="105"/>
  <c r="J68" i="105"/>
  <c r="G70" i="105"/>
  <c r="M67" i="105"/>
  <c r="D70" i="105"/>
  <c r="S12" i="105" l="1"/>
  <c r="S17" i="105" s="1"/>
  <c r="M12" i="105"/>
  <c r="M17" i="105" s="1"/>
  <c r="O17" i="105"/>
  <c r="R12" i="105"/>
  <c r="R17" i="105" s="1"/>
  <c r="L12" i="105"/>
  <c r="L17" i="105" s="1"/>
  <c r="N17" i="105"/>
  <c r="J71" i="105"/>
  <c r="G1" i="63"/>
  <c r="P1" i="63"/>
  <c r="K1" i="63"/>
  <c r="I1" i="63"/>
  <c r="M70" i="105"/>
  <c r="F101" i="63" l="1"/>
  <c r="E4" i="63" s="1"/>
  <c r="F69" i="63"/>
  <c r="E5" i="63"/>
  <c r="F90" i="63"/>
  <c r="E6" i="63" s="1"/>
  <c r="F104" i="63"/>
  <c r="E7" i="63"/>
  <c r="F72" i="63"/>
  <c r="E8" i="63"/>
  <c r="F83" i="63"/>
  <c r="E9" i="63"/>
  <c r="F52" i="63"/>
  <c r="E10" i="63"/>
  <c r="F76" i="63"/>
  <c r="E11" i="63" s="1"/>
  <c r="F86" i="63"/>
  <c r="E12" i="63"/>
  <c r="F56" i="63"/>
  <c r="E13" i="63"/>
  <c r="F80" i="63"/>
  <c r="E14" i="63" s="1"/>
  <c r="F94" i="63"/>
  <c r="E16" i="63" s="1"/>
  <c r="F98" i="63"/>
  <c r="E17" i="63" s="1"/>
  <c r="F62" i="63"/>
  <c r="E18" i="63"/>
  <c r="Q19" i="63"/>
  <c r="I100" i="63"/>
  <c r="I101" i="63" s="1"/>
  <c r="H101" i="63" s="1"/>
  <c r="F4" i="63" s="1"/>
  <c r="J100" i="63"/>
  <c r="O4" i="63"/>
  <c r="G9" i="63"/>
  <c r="G16" i="63"/>
  <c r="G6" i="63"/>
  <c r="J4" i="63"/>
  <c r="G18" i="63"/>
  <c r="H4" i="63"/>
  <c r="G8" i="63"/>
  <c r="G5" i="63"/>
  <c r="G4" i="63"/>
  <c r="G10" i="63"/>
  <c r="L100" i="63"/>
  <c r="K4" i="63"/>
  <c r="T4" i="63"/>
  <c r="G12" i="63"/>
  <c r="G15" i="63"/>
  <c r="G13" i="63"/>
  <c r="G11" i="63"/>
  <c r="G14" i="63"/>
  <c r="G17" i="63"/>
  <c r="G7" i="63"/>
  <c r="K100" i="63" l="1"/>
  <c r="K101" i="63" s="1"/>
  <c r="N4" i="63" s="1"/>
  <c r="P4" i="63"/>
  <c r="Q4" i="63" s="1"/>
  <c r="S4" i="63" s="1"/>
  <c r="M4" i="63"/>
  <c r="P10" i="63"/>
  <c r="Q10" i="63" s="1"/>
  <c r="P6" i="63"/>
  <c r="Q6" i="63" s="1"/>
  <c r="I4" i="63"/>
  <c r="P17" i="63"/>
  <c r="Q17" i="63" s="1"/>
  <c r="P14" i="63"/>
  <c r="Q14" i="63" s="1"/>
  <c r="P5" i="63"/>
  <c r="Q5" i="63" s="1"/>
  <c r="P15" i="63"/>
  <c r="Q15" i="63" s="1"/>
  <c r="P8" i="63"/>
  <c r="Q8" i="63" s="1"/>
  <c r="P12" i="63"/>
  <c r="Q12" i="63" s="1"/>
  <c r="P9" i="63"/>
  <c r="Q9" i="63" s="1"/>
  <c r="P7" i="63"/>
  <c r="Q7" i="63" s="1"/>
  <c r="P16" i="63"/>
  <c r="Q16" i="63" s="1"/>
  <c r="P13" i="63"/>
  <c r="Q13" i="63" s="1"/>
  <c r="P11" i="63"/>
  <c r="Q11" i="63" s="1"/>
  <c r="P18" i="63"/>
  <c r="Q18" i="63" s="1"/>
  <c r="I68" i="63"/>
  <c r="I69" i="63"/>
  <c r="H69" i="63" s="1"/>
  <c r="F5" i="63" s="1"/>
  <c r="L5" i="63"/>
  <c r="N5" i="63"/>
  <c r="X4" i="63"/>
  <c r="L68" i="63"/>
  <c r="T5" i="63"/>
  <c r="H5" i="63"/>
  <c r="W4" i="63"/>
  <c r="Y4" i="63"/>
  <c r="V4" i="63"/>
  <c r="K5" i="63"/>
  <c r="J5" i="63"/>
  <c r="J68" i="63" l="1"/>
  <c r="J69" i="63" s="1"/>
  <c r="O5" i="63" s="1"/>
  <c r="M5" i="63" s="1"/>
  <c r="L4" i="63"/>
  <c r="Q20" i="63"/>
  <c r="D4" i="63" s="1"/>
  <c r="I5" i="63"/>
  <c r="R5" i="63"/>
  <c r="U4" i="63"/>
  <c r="R4" i="63"/>
  <c r="S5" i="63"/>
  <c r="U5" i="63"/>
  <c r="I88" i="63"/>
  <c r="I89" i="63"/>
  <c r="I90" i="63"/>
  <c r="H90" i="63" s="1"/>
  <c r="F6" i="63" s="1"/>
  <c r="J88" i="63"/>
  <c r="J89" i="63"/>
  <c r="M6" i="63"/>
  <c r="O6" i="63"/>
  <c r="S6" i="63" s="1"/>
  <c r="T6" i="63"/>
  <c r="Y5" i="63"/>
  <c r="L88" i="63"/>
  <c r="W5" i="63"/>
  <c r="J6" i="63"/>
  <c r="X5" i="63"/>
  <c r="L89" i="63"/>
  <c r="V5" i="63"/>
  <c r="H6" i="63"/>
  <c r="K6" i="63"/>
  <c r="K89" i="63" l="1"/>
  <c r="K88" i="63"/>
  <c r="K90" i="63" s="1"/>
  <c r="N6" i="63" s="1"/>
  <c r="L6" i="63" s="1"/>
  <c r="D5" i="63"/>
  <c r="D6" i="63"/>
  <c r="I6" i="63"/>
  <c r="U6" i="63"/>
  <c r="D7" i="63"/>
  <c r="I103" i="63"/>
  <c r="I104" i="63"/>
  <c r="H104" i="63" s="1"/>
  <c r="F7" i="63" s="1"/>
  <c r="J103" i="63"/>
  <c r="M7" i="63"/>
  <c r="O7" i="63"/>
  <c r="S7" i="63"/>
  <c r="Y6" i="63"/>
  <c r="T7" i="63"/>
  <c r="V6" i="63"/>
  <c r="J7" i="63"/>
  <c r="X6" i="63"/>
  <c r="W6" i="63"/>
  <c r="H7" i="63"/>
  <c r="L103" i="63"/>
  <c r="K7" i="63"/>
  <c r="R6" i="63" l="1"/>
  <c r="K103" i="63"/>
  <c r="K104" i="63" s="1"/>
  <c r="N7" i="63" s="1"/>
  <c r="L7" i="63" s="1"/>
  <c r="I7" i="63"/>
  <c r="U7" i="63"/>
  <c r="D8" i="63"/>
  <c r="I71" i="63"/>
  <c r="I72" i="63" s="1"/>
  <c r="H72" i="63" s="1"/>
  <c r="F8" i="63" s="1"/>
  <c r="J71" i="63"/>
  <c r="M8" i="63"/>
  <c r="O8" i="63"/>
  <c r="S8" i="63"/>
  <c r="V7" i="63"/>
  <c r="L71" i="63"/>
  <c r="X7" i="63"/>
  <c r="K8" i="63"/>
  <c r="H8" i="63"/>
  <c r="W7" i="63"/>
  <c r="J8" i="63"/>
  <c r="T8" i="63"/>
  <c r="Y7" i="63"/>
  <c r="R7" i="63" l="1"/>
  <c r="K71" i="63"/>
  <c r="K72" i="63" s="1"/>
  <c r="N8" i="63" s="1"/>
  <c r="L8" i="63" s="1"/>
  <c r="I8" i="63"/>
  <c r="U8" i="63"/>
  <c r="D9" i="63"/>
  <c r="I82" i="63"/>
  <c r="I83" i="63"/>
  <c r="H83" i="63" s="1"/>
  <c r="F9" i="63" s="1"/>
  <c r="J82" i="63"/>
  <c r="M9" i="63"/>
  <c r="O9" i="63"/>
  <c r="S9" i="63"/>
  <c r="K9" i="63"/>
  <c r="L82" i="63"/>
  <c r="V8" i="63"/>
  <c r="X8" i="63"/>
  <c r="H9" i="63"/>
  <c r="Y8" i="63"/>
  <c r="W8" i="63"/>
  <c r="J9" i="63"/>
  <c r="T9" i="63"/>
  <c r="R8" i="63" l="1"/>
  <c r="K82" i="63"/>
  <c r="K83" i="63" s="1"/>
  <c r="N9" i="63" s="1"/>
  <c r="L9" i="63" s="1"/>
  <c r="I9" i="63"/>
  <c r="U9" i="63"/>
  <c r="D10" i="63"/>
  <c r="I51" i="63"/>
  <c r="I52" i="63" s="1"/>
  <c r="H52" i="63" s="1"/>
  <c r="F10" i="63" s="1"/>
  <c r="L51" i="63"/>
  <c r="W9" i="63"/>
  <c r="Y9" i="63"/>
  <c r="J10" i="63"/>
  <c r="M51" i="63"/>
  <c r="T10" i="63"/>
  <c r="V9" i="63"/>
  <c r="K10" i="63"/>
  <c r="X9" i="63"/>
  <c r="H10" i="63"/>
  <c r="R9" i="63" l="1"/>
  <c r="J51" i="63"/>
  <c r="I10" i="63"/>
  <c r="U10" i="63"/>
  <c r="D11" i="63"/>
  <c r="I74" i="63"/>
  <c r="I76" i="63" s="1"/>
  <c r="H76" i="63" s="1"/>
  <c r="F11" i="63" s="1"/>
  <c r="I75" i="63"/>
  <c r="L11" i="63"/>
  <c r="N11" i="63"/>
  <c r="R11" i="63"/>
  <c r="W10" i="63"/>
  <c r="L74" i="63"/>
  <c r="Y10" i="63"/>
  <c r="K11" i="63"/>
  <c r="J11" i="63"/>
  <c r="T11" i="63"/>
  <c r="X10" i="63"/>
  <c r="V10" i="63"/>
  <c r="L75" i="63"/>
  <c r="H11" i="63"/>
  <c r="J74" i="63" l="1"/>
  <c r="J76" i="63" s="1"/>
  <c r="O11" i="63" s="1"/>
  <c r="M11" i="63" s="1"/>
  <c r="J75" i="63"/>
  <c r="J52" i="63"/>
  <c r="O10" i="63" s="1"/>
  <c r="K51" i="63"/>
  <c r="K52" i="63" s="1"/>
  <c r="N10" i="63" s="1"/>
  <c r="I11" i="63"/>
  <c r="U11" i="63"/>
  <c r="D12" i="63"/>
  <c r="I85" i="63"/>
  <c r="I86" i="63"/>
  <c r="H86" i="63" s="1"/>
  <c r="F12" i="63" s="1"/>
  <c r="J85" i="63"/>
  <c r="M12" i="63"/>
  <c r="O12" i="63"/>
  <c r="S12" i="63"/>
  <c r="V11" i="63"/>
  <c r="X11" i="63"/>
  <c r="W11" i="63"/>
  <c r="L85" i="63"/>
  <c r="Y11" i="63"/>
  <c r="J12" i="63"/>
  <c r="H12" i="63"/>
  <c r="K12" i="63"/>
  <c r="T12" i="63"/>
  <c r="S11" i="63" l="1"/>
  <c r="K85" i="63"/>
  <c r="K86" i="63" s="1"/>
  <c r="N12" i="63" s="1"/>
  <c r="R12" i="63" s="1"/>
  <c r="M10" i="63"/>
  <c r="S10" i="63"/>
  <c r="L10" i="63"/>
  <c r="R10" i="63"/>
  <c r="I12" i="63"/>
  <c r="L12" i="63"/>
  <c r="U12" i="63"/>
  <c r="D13" i="63"/>
  <c r="I54" i="63"/>
  <c r="I55" i="63"/>
  <c r="I56" i="63"/>
  <c r="H56" i="63"/>
  <c r="F13" i="63"/>
  <c r="J54" i="63"/>
  <c r="J55" i="63"/>
  <c r="M13" i="63"/>
  <c r="O13" i="63"/>
  <c r="S13" i="63"/>
  <c r="X12" i="63"/>
  <c r="L54" i="63"/>
  <c r="Y12" i="63"/>
  <c r="T13" i="63"/>
  <c r="J13" i="63"/>
  <c r="K13" i="63"/>
  <c r="L55" i="63"/>
  <c r="H13" i="63"/>
  <c r="V12" i="63"/>
  <c r="W12" i="63"/>
  <c r="K55" i="63" l="1"/>
  <c r="K54" i="63"/>
  <c r="K56" i="63" s="1"/>
  <c r="N13" i="63" s="1"/>
  <c r="L13" i="63" s="1"/>
  <c r="I13" i="63"/>
  <c r="U13" i="63"/>
  <c r="D14" i="63"/>
  <c r="I78" i="63"/>
  <c r="I79" i="63"/>
  <c r="I80" i="63" s="1"/>
  <c r="H80" i="63" s="1"/>
  <c r="F14" i="63" s="1"/>
  <c r="J78" i="63"/>
  <c r="J79" i="63"/>
  <c r="M14" i="63"/>
  <c r="O14" i="63"/>
  <c r="S14" i="63"/>
  <c r="K14" i="63"/>
  <c r="Y13" i="63"/>
  <c r="J14" i="63"/>
  <c r="H14" i="63"/>
  <c r="L79" i="63"/>
  <c r="W13" i="63"/>
  <c r="V13" i="63"/>
  <c r="L78" i="63"/>
  <c r="X13" i="63"/>
  <c r="T14" i="63"/>
  <c r="R13" i="63" l="1"/>
  <c r="K78" i="63"/>
  <c r="K80" i="63" s="1"/>
  <c r="N14" i="63" s="1"/>
  <c r="L14" i="63" s="1"/>
  <c r="K79" i="63"/>
  <c r="I14" i="63"/>
  <c r="R14" i="63"/>
  <c r="U14" i="63"/>
  <c r="D15" i="63"/>
  <c r="I64" i="63"/>
  <c r="J64" i="63"/>
  <c r="I65" i="63"/>
  <c r="J65" i="63" s="1"/>
  <c r="J66" i="63" s="1"/>
  <c r="H66" i="63" s="1"/>
  <c r="F15" i="63" s="1"/>
  <c r="F66" i="63"/>
  <c r="M15" i="63"/>
  <c r="O15" i="63"/>
  <c r="S15" i="63"/>
  <c r="V15" i="63"/>
  <c r="X14" i="63"/>
  <c r="B15" i="63"/>
  <c r="L64" i="63"/>
  <c r="L65" i="63"/>
  <c r="V14" i="63"/>
  <c r="Y14" i="63"/>
  <c r="W14" i="63"/>
  <c r="K15" i="63"/>
  <c r="B16" i="63"/>
  <c r="T15" i="63"/>
  <c r="U15" i="63"/>
  <c r="W15" i="63"/>
  <c r="K65" i="63" l="1"/>
  <c r="K64" i="63"/>
  <c r="K66" i="63" s="1"/>
  <c r="N15" i="63" s="1"/>
  <c r="L15" i="63" s="1"/>
  <c r="D16" i="63"/>
  <c r="I92" i="63"/>
  <c r="J92" i="63" s="1"/>
  <c r="J94" i="63" s="1"/>
  <c r="H94" i="63" s="1"/>
  <c r="F16" i="63" s="1"/>
  <c r="I93" i="63"/>
  <c r="J93" i="63"/>
  <c r="M16" i="63"/>
  <c r="O16" i="63"/>
  <c r="S16" i="63" s="1"/>
  <c r="L92" i="63"/>
  <c r="U16" i="63"/>
  <c r="T16" i="63"/>
  <c r="B17" i="63"/>
  <c r="V16" i="63"/>
  <c r="L93" i="63"/>
  <c r="W16" i="63"/>
  <c r="K16" i="63"/>
  <c r="R15" i="63" l="1"/>
  <c r="K93" i="63"/>
  <c r="K92" i="63"/>
  <c r="K94" i="63" s="1"/>
  <c r="N16" i="63" s="1"/>
  <c r="L16" i="63" s="1"/>
  <c r="D17" i="63"/>
  <c r="I96" i="63"/>
  <c r="J96" i="63" s="1"/>
  <c r="I97" i="63"/>
  <c r="J97" i="63" s="1"/>
  <c r="K17" i="63"/>
  <c r="L96" i="63"/>
  <c r="R16" i="63" l="1"/>
  <c r="J98" i="63"/>
  <c r="H98" i="63" s="1"/>
  <c r="F17" i="63" s="1"/>
  <c r="K96" i="63"/>
  <c r="K98" i="63" s="1"/>
  <c r="N17" i="63" s="1"/>
  <c r="M17" i="63"/>
  <c r="O17" i="63"/>
  <c r="S17" i="63"/>
  <c r="U17" i="63"/>
  <c r="W17" i="63"/>
  <c r="B18" i="63"/>
  <c r="L97" i="63"/>
  <c r="T17" i="63"/>
  <c r="V17" i="63"/>
  <c r="K97" i="63" l="1"/>
  <c r="R17" i="63"/>
  <c r="L17" i="63"/>
  <c r="D18" i="63"/>
  <c r="I61" i="63"/>
  <c r="J61" i="63"/>
  <c r="J62" i="63"/>
  <c r="H62" i="63"/>
  <c r="F18" i="63" s="1"/>
  <c r="M18" i="63"/>
  <c r="O18" i="63"/>
  <c r="S18" i="63"/>
  <c r="K18" i="63"/>
  <c r="T18" i="63"/>
  <c r="L61" i="63"/>
  <c r="W18" i="63"/>
  <c r="U18" i="63"/>
  <c r="V18" i="63"/>
  <c r="K61" i="63" l="1"/>
  <c r="K62" i="63" s="1"/>
  <c r="N18" i="63" s="1"/>
  <c r="L18" i="63" s="1"/>
  <c r="D19" i="63"/>
  <c r="D20" i="63" s="1"/>
  <c r="P19" i="63"/>
  <c r="N19" i="63" s="1"/>
  <c r="N20" i="63" s="1"/>
  <c r="O19" i="63"/>
  <c r="U19" i="63"/>
  <c r="I20" i="63"/>
  <c r="L20" i="63"/>
  <c r="M20" i="63"/>
  <c r="R20" i="63"/>
  <c r="S20" i="63"/>
  <c r="U20" i="63"/>
  <c r="U21" i="63" s="1"/>
  <c r="S21" i="63"/>
  <c r="T21" i="63"/>
  <c r="E26" i="63"/>
  <c r="R18" i="63" l="1"/>
  <c r="P20" i="63"/>
  <c r="H26" i="63"/>
  <c r="I26" i="63"/>
  <c r="J26" i="63"/>
  <c r="M26" i="63"/>
  <c r="N26" i="63"/>
  <c r="P26" i="63"/>
  <c r="H27" i="63"/>
  <c r="I27" i="63"/>
  <c r="J27" i="63"/>
  <c r="M27" i="63"/>
  <c r="N27" i="63"/>
  <c r="P27" i="63"/>
  <c r="H28" i="63"/>
  <c r="I28" i="63"/>
  <c r="J28" i="63"/>
  <c r="M28" i="63"/>
  <c r="N28" i="63"/>
  <c r="P28" i="63"/>
  <c r="H29" i="63"/>
  <c r="I29" i="63"/>
  <c r="J29" i="63"/>
  <c r="M29" i="63"/>
  <c r="N29" i="63"/>
  <c r="H30" i="63"/>
  <c r="I30" i="63"/>
  <c r="J30" i="63"/>
  <c r="M30" i="63"/>
  <c r="N30" i="63"/>
  <c r="P30" i="63"/>
  <c r="H31" i="63"/>
  <c r="I31" i="63"/>
  <c r="J31" i="63"/>
  <c r="M31" i="63"/>
  <c r="N31" i="63"/>
  <c r="P31" i="63"/>
  <c r="H32" i="63"/>
  <c r="I32" i="63"/>
  <c r="J32" i="63"/>
  <c r="M32" i="63"/>
  <c r="N32" i="63"/>
  <c r="P32" i="63"/>
  <c r="H33" i="63"/>
  <c r="I33" i="63"/>
  <c r="J33" i="63"/>
  <c r="M33" i="63"/>
  <c r="N33" i="63"/>
  <c r="X33" i="63"/>
  <c r="H34" i="63"/>
  <c r="I34" i="63"/>
  <c r="J34" i="63"/>
  <c r="N34" i="63" s="1"/>
  <c r="M34" i="63"/>
  <c r="X34" i="63"/>
  <c r="H35" i="63"/>
  <c r="I35" i="63"/>
  <c r="J35" i="63"/>
  <c r="M35" i="63"/>
  <c r="N35" i="63"/>
  <c r="P35" i="63"/>
  <c r="V35" i="63"/>
  <c r="X35" i="63"/>
  <c r="W35" i="63" s="1"/>
  <c r="H36" i="63"/>
  <c r="I36" i="63"/>
  <c r="J36" i="63"/>
  <c r="N36" i="63" s="1"/>
  <c r="M36" i="63"/>
  <c r="P36" i="63"/>
  <c r="H37" i="63"/>
  <c r="I37" i="63"/>
  <c r="J37" i="63"/>
  <c r="M37" i="63"/>
  <c r="N37" i="63"/>
  <c r="P37" i="63"/>
  <c r="H38" i="63"/>
  <c r="I38" i="63"/>
  <c r="J38" i="63"/>
  <c r="N38" i="63" s="1"/>
  <c r="M38" i="63"/>
  <c r="P38" i="63"/>
  <c r="H39" i="63"/>
  <c r="I39" i="63"/>
  <c r="J39" i="63"/>
  <c r="M39" i="63"/>
  <c r="N39" i="63"/>
  <c r="P39" i="63"/>
  <c r="H40" i="63"/>
  <c r="I40" i="63"/>
  <c r="J40" i="63"/>
  <c r="M40" i="63"/>
  <c r="N40" i="63"/>
  <c r="P40" i="63"/>
  <c r="H41" i="63"/>
  <c r="I41" i="63"/>
  <c r="J41" i="63"/>
  <c r="M41" i="63"/>
  <c r="N41" i="63"/>
  <c r="P41" i="63"/>
  <c r="H42" i="63"/>
  <c r="I42" i="63"/>
  <c r="J42" i="63"/>
  <c r="M42" i="63"/>
  <c r="N42" i="63"/>
  <c r="P42" i="63"/>
  <c r="H43" i="63"/>
  <c r="I43" i="63"/>
  <c r="J43" i="63"/>
  <c r="M43" i="63"/>
  <c r="N43" i="63"/>
  <c r="P43" i="63"/>
  <c r="J56" i="63"/>
  <c r="I58" i="63"/>
  <c r="J58" i="63"/>
  <c r="F59" i="63"/>
  <c r="J59" i="63"/>
  <c r="H59" i="63"/>
  <c r="I59" i="63"/>
  <c r="I62" i="63"/>
  <c r="I66" i="63"/>
  <c r="K68" i="63"/>
  <c r="K69" i="63" s="1"/>
  <c r="J72" i="63"/>
  <c r="K74" i="63"/>
  <c r="K76" i="63" s="1"/>
  <c r="K75" i="63"/>
  <c r="J80" i="63"/>
  <c r="J83" i="63"/>
  <c r="J86" i="63"/>
  <c r="J90" i="63"/>
  <c r="I94" i="63"/>
  <c r="I98" i="63"/>
  <c r="J101" i="63"/>
  <c r="J104" i="63"/>
  <c r="O39" i="63"/>
  <c r="G51" i="63"/>
  <c r="G58" i="63"/>
  <c r="M54" i="63"/>
  <c r="O36" i="63"/>
  <c r="M97" i="63"/>
  <c r="D79" i="63"/>
  <c r="M85" i="63"/>
  <c r="B41" i="63"/>
  <c r="E43" i="63"/>
  <c r="R28" i="63"/>
  <c r="M61" i="63"/>
  <c r="G96" i="63"/>
  <c r="R35" i="63"/>
  <c r="B42" i="63"/>
  <c r="G97" i="63"/>
  <c r="G79" i="63"/>
  <c r="D65" i="63"/>
  <c r="B36" i="63"/>
  <c r="D89" i="63"/>
  <c r="E36" i="63"/>
  <c r="O29" i="63"/>
  <c r="M64" i="63"/>
  <c r="E31" i="63"/>
  <c r="G88" i="63"/>
  <c r="M88" i="63"/>
  <c r="G93" i="63"/>
  <c r="O41" i="63"/>
  <c r="D64" i="63"/>
  <c r="D82" i="63"/>
  <c r="R34" i="63"/>
  <c r="O38" i="63"/>
  <c r="D97" i="63"/>
  <c r="E37" i="63"/>
  <c r="E42" i="63"/>
  <c r="M65" i="63"/>
  <c r="O37" i="63"/>
  <c r="D71" i="63"/>
  <c r="B31" i="63"/>
  <c r="M96" i="63"/>
  <c r="B39" i="63"/>
  <c r="O33" i="63"/>
  <c r="M100" i="63"/>
  <c r="M71" i="63"/>
  <c r="G65" i="63"/>
  <c r="R36" i="63"/>
  <c r="D78" i="63"/>
  <c r="G71" i="63"/>
  <c r="M58" i="63"/>
  <c r="M78" i="63"/>
  <c r="E30" i="63"/>
  <c r="E29" i="63"/>
  <c r="M92" i="63"/>
  <c r="G64" i="63"/>
  <c r="E32" i="63"/>
  <c r="E41" i="63"/>
  <c r="M103" i="63"/>
  <c r="B38" i="63"/>
  <c r="D61" i="63"/>
  <c r="G103" i="63"/>
  <c r="R42" i="63"/>
  <c r="B37" i="63"/>
  <c r="R39" i="63"/>
  <c r="D100" i="63"/>
  <c r="M74" i="63"/>
  <c r="G75" i="63"/>
  <c r="E39" i="63"/>
  <c r="O30" i="63"/>
  <c r="G74" i="63"/>
  <c r="D96" i="63"/>
  <c r="D58" i="63"/>
  <c r="G82" i="63"/>
  <c r="M79" i="63"/>
  <c r="G85" i="63"/>
  <c r="R43" i="63"/>
  <c r="D88" i="63"/>
  <c r="M89" i="63"/>
  <c r="D85" i="63"/>
  <c r="B35" i="63"/>
  <c r="O28" i="63"/>
  <c r="D54" i="63"/>
  <c r="G92" i="63"/>
  <c r="G100" i="63"/>
  <c r="O34" i="63"/>
  <c r="D75" i="63"/>
  <c r="G55" i="63"/>
  <c r="R27" i="63"/>
  <c r="G78" i="63"/>
  <c r="M82" i="63"/>
  <c r="B32" i="63"/>
  <c r="M68" i="63"/>
  <c r="O31" i="63"/>
  <c r="E34" i="63"/>
  <c r="M93" i="63"/>
  <c r="G54" i="63"/>
  <c r="G68" i="63"/>
  <c r="R32" i="63"/>
  <c r="O27" i="63"/>
  <c r="E40" i="63"/>
  <c r="O42" i="63"/>
  <c r="R40" i="63"/>
  <c r="O32" i="63"/>
  <c r="R30" i="63"/>
  <c r="B40" i="63"/>
  <c r="R37" i="63"/>
  <c r="O35" i="63"/>
  <c r="R26" i="63"/>
  <c r="O43" i="63"/>
  <c r="D103" i="63"/>
  <c r="E38" i="63"/>
  <c r="D51" i="63"/>
  <c r="G89" i="63"/>
  <c r="E35" i="63"/>
  <c r="R41" i="63"/>
  <c r="D93" i="63"/>
  <c r="R29" i="63"/>
  <c r="G61" i="63"/>
  <c r="M55" i="63"/>
  <c r="E28" i="63"/>
  <c r="M75" i="63"/>
  <c r="E27" i="63"/>
  <c r="L58" i="63"/>
  <c r="O40" i="63"/>
  <c r="R33" i="63"/>
  <c r="D55" i="63"/>
  <c r="D68" i="63"/>
  <c r="R38" i="63"/>
  <c r="D92" i="63"/>
  <c r="D74" i="63"/>
  <c r="E33" i="63"/>
  <c r="R31" i="63"/>
  <c r="B43" i="63"/>
  <c r="O26" i="63"/>
  <c r="P33" i="63" l="1"/>
  <c r="K58" i="63"/>
  <c r="K59" i="63" s="1"/>
  <c r="P34" i="63"/>
  <c r="P29" i="63"/>
  <c r="P44" i="63" s="1"/>
  <c r="F148" i="65"/>
  <c r="E25" i="65" s="1"/>
  <c r="G1" i="65"/>
  <c r="K1" i="65"/>
  <c r="P1" i="65"/>
  <c r="G25" i="65"/>
  <c r="I1" i="65"/>
  <c r="P25" i="65" l="1"/>
  <c r="Q25" i="65" s="1"/>
  <c r="F143" i="65"/>
  <c r="E5" i="65" s="1"/>
  <c r="E11" i="65"/>
  <c r="F122" i="65"/>
  <c r="E24" i="65"/>
  <c r="F109" i="65"/>
  <c r="E10" i="65"/>
  <c r="F189" i="65"/>
  <c r="E12" i="65"/>
  <c r="F215" i="65"/>
  <c r="E8" i="65"/>
  <c r="F169" i="65"/>
  <c r="E13" i="65"/>
  <c r="F117" i="65"/>
  <c r="E19" i="65"/>
  <c r="F199" i="65"/>
  <c r="E7" i="65"/>
  <c r="F165" i="65"/>
  <c r="E6" i="65"/>
  <c r="F95" i="65"/>
  <c r="E15" i="65"/>
  <c r="F85" i="65"/>
  <c r="E20" i="65"/>
  <c r="F152" i="65"/>
  <c r="E9" i="65"/>
  <c r="F88" i="65"/>
  <c r="E14" i="65"/>
  <c r="F125" i="65"/>
  <c r="E18" i="65"/>
  <c r="F183" i="65"/>
  <c r="E22" i="65"/>
  <c r="F130" i="65"/>
  <c r="E16" i="65"/>
  <c r="F174" i="65"/>
  <c r="E17" i="65"/>
  <c r="F193" i="65"/>
  <c r="E23" i="65"/>
  <c r="F161" i="65"/>
  <c r="E27" i="65"/>
  <c r="F134" i="65"/>
  <c r="E21" i="65"/>
  <c r="F203" i="65"/>
  <c r="E4" i="65"/>
  <c r="F98" i="65"/>
  <c r="E26" i="65"/>
  <c r="F73" i="65"/>
  <c r="E28" i="65"/>
  <c r="F77" i="65"/>
  <c r="E29" i="65" s="1"/>
  <c r="F212" i="65"/>
  <c r="E30" i="65" s="1"/>
  <c r="F70" i="65"/>
  <c r="E31" i="65" s="1"/>
  <c r="P32" i="65"/>
  <c r="I145" i="65"/>
  <c r="I146" i="65"/>
  <c r="I147" i="65"/>
  <c r="I148" i="65"/>
  <c r="H148" i="65"/>
  <c r="F25" i="65" s="1"/>
  <c r="L25" i="65"/>
  <c r="N25" i="65"/>
  <c r="G29" i="65"/>
  <c r="G5" i="65"/>
  <c r="G18" i="65"/>
  <c r="G8" i="65"/>
  <c r="G24" i="65"/>
  <c r="G30" i="65"/>
  <c r="H25" i="65"/>
  <c r="L147" i="65"/>
  <c r="J25" i="65"/>
  <c r="G13" i="65"/>
  <c r="G19" i="65"/>
  <c r="G20" i="65"/>
  <c r="G12" i="65"/>
  <c r="T25" i="65"/>
  <c r="G31" i="65"/>
  <c r="G21" i="65"/>
  <c r="G7" i="65"/>
  <c r="L145" i="65"/>
  <c r="G4" i="65"/>
  <c r="G9" i="65"/>
  <c r="G23" i="65"/>
  <c r="G10" i="65"/>
  <c r="G15" i="65"/>
  <c r="G28" i="65"/>
  <c r="G17" i="65"/>
  <c r="G26" i="65"/>
  <c r="G11" i="65"/>
  <c r="G27" i="65"/>
  <c r="G6" i="65"/>
  <c r="G22" i="65"/>
  <c r="L146" i="65"/>
  <c r="G16" i="65"/>
  <c r="K25" i="65"/>
  <c r="G14" i="65"/>
  <c r="J146" i="65" l="1"/>
  <c r="J145" i="65"/>
  <c r="J148" i="65" s="1"/>
  <c r="O25" i="65" s="1"/>
  <c r="M25" i="65" s="1"/>
  <c r="J147" i="65"/>
  <c r="R25" i="65"/>
  <c r="P26" i="65"/>
  <c r="I25" i="65"/>
  <c r="P31" i="65"/>
  <c r="P28" i="65"/>
  <c r="P4" i="65"/>
  <c r="P27" i="65"/>
  <c r="P17" i="65"/>
  <c r="P22" i="65"/>
  <c r="P14" i="65"/>
  <c r="P20" i="65"/>
  <c r="P6" i="65"/>
  <c r="P19" i="65"/>
  <c r="P8" i="65"/>
  <c r="P10" i="65"/>
  <c r="P11" i="65"/>
  <c r="P30" i="65"/>
  <c r="P23" i="65"/>
  <c r="P16" i="65"/>
  <c r="P18" i="65"/>
  <c r="P9" i="65"/>
  <c r="P15" i="65"/>
  <c r="P7" i="65"/>
  <c r="P13" i="65"/>
  <c r="P12" i="65"/>
  <c r="P24" i="65"/>
  <c r="P5" i="65"/>
  <c r="P21" i="65"/>
  <c r="P29" i="65"/>
  <c r="S25" i="65"/>
  <c r="U25" i="65"/>
  <c r="I141" i="65"/>
  <c r="I142" i="65"/>
  <c r="I143" i="65"/>
  <c r="H143" i="65"/>
  <c r="F5" i="65" s="1"/>
  <c r="J141" i="65"/>
  <c r="J142" i="65"/>
  <c r="M5" i="65"/>
  <c r="O5" i="65"/>
  <c r="Q5" i="65"/>
  <c r="S5" i="65" s="1"/>
  <c r="L142" i="65"/>
  <c r="V25" i="65"/>
  <c r="J5" i="65"/>
  <c r="Y25" i="65"/>
  <c r="X25" i="65"/>
  <c r="T5" i="65"/>
  <c r="W25" i="65"/>
  <c r="L141" i="65"/>
  <c r="K5" i="65"/>
  <c r="H5" i="65"/>
  <c r="K142" i="65" l="1"/>
  <c r="K141" i="65"/>
  <c r="K143" i="65" s="1"/>
  <c r="N5" i="65" s="1"/>
  <c r="L5" i="65" s="1"/>
  <c r="P33" i="65"/>
  <c r="D25" i="65" s="1"/>
  <c r="I5" i="65"/>
  <c r="U5" i="65"/>
  <c r="I101" i="65"/>
  <c r="I102" i="65"/>
  <c r="I103" i="65"/>
  <c r="H104" i="65"/>
  <c r="F11" i="65" s="1"/>
  <c r="J101" i="65"/>
  <c r="J102" i="65"/>
  <c r="J103" i="65"/>
  <c r="N11" i="65"/>
  <c r="M11" i="65"/>
  <c r="O11" i="65"/>
  <c r="Q11" i="65"/>
  <c r="X5" i="65"/>
  <c r="J11" i="65"/>
  <c r="V5" i="65"/>
  <c r="L101" i="65"/>
  <c r="W5" i="65"/>
  <c r="Y5" i="65"/>
  <c r="H11" i="65"/>
  <c r="L103" i="65"/>
  <c r="L102" i="65"/>
  <c r="K11" i="65"/>
  <c r="T11" i="65"/>
  <c r="R5" i="65" l="1"/>
  <c r="K102" i="65"/>
  <c r="K101" i="65"/>
  <c r="K103" i="65"/>
  <c r="D11" i="65"/>
  <c r="D5" i="65"/>
  <c r="I11" i="65"/>
  <c r="S11" i="65"/>
  <c r="R11" i="65"/>
  <c r="L11" i="65"/>
  <c r="U11" i="65"/>
  <c r="D24" i="65"/>
  <c r="I119" i="65"/>
  <c r="I120" i="65"/>
  <c r="I121" i="65"/>
  <c r="I122" i="65"/>
  <c r="H122" i="65" s="1"/>
  <c r="F24" i="65" s="1"/>
  <c r="Q24" i="65"/>
  <c r="Y11" i="65"/>
  <c r="T24" i="65"/>
  <c r="V11" i="65"/>
  <c r="L121" i="65"/>
  <c r="M119" i="65"/>
  <c r="X11" i="65"/>
  <c r="L120" i="65"/>
  <c r="K24" i="65"/>
  <c r="M120" i="65"/>
  <c r="W11" i="65"/>
  <c r="L119" i="65"/>
  <c r="H24" i="65"/>
  <c r="J24" i="65"/>
  <c r="M121" i="65"/>
  <c r="J119" i="65" l="1"/>
  <c r="J121" i="65"/>
  <c r="K121" i="65" s="1"/>
  <c r="J120" i="65"/>
  <c r="K120" i="65" s="1"/>
  <c r="I24" i="65"/>
  <c r="U24" i="65"/>
  <c r="D10" i="65"/>
  <c r="I106" i="65"/>
  <c r="I107" i="65"/>
  <c r="I108" i="65"/>
  <c r="I109" i="65"/>
  <c r="H109" i="65" s="1"/>
  <c r="F10" i="65" s="1"/>
  <c r="J106" i="65"/>
  <c r="J107" i="65"/>
  <c r="J108" i="65"/>
  <c r="M10" i="65"/>
  <c r="O10" i="65"/>
  <c r="Q10" i="65"/>
  <c r="S10" i="65" s="1"/>
  <c r="T10" i="65"/>
  <c r="L107" i="65"/>
  <c r="K10" i="65"/>
  <c r="L106" i="65"/>
  <c r="Y24" i="65"/>
  <c r="J10" i="65"/>
  <c r="X24" i="65"/>
  <c r="H10" i="65"/>
  <c r="V24" i="65"/>
  <c r="W24" i="65"/>
  <c r="L108" i="65"/>
  <c r="K107" i="65" l="1"/>
  <c r="K108" i="65"/>
  <c r="K106" i="65"/>
  <c r="K109" i="65" s="1"/>
  <c r="N10" i="65" s="1"/>
  <c r="J122" i="65"/>
  <c r="O24" i="65" s="1"/>
  <c r="K119" i="65"/>
  <c r="K122" i="65" s="1"/>
  <c r="N24" i="65" s="1"/>
  <c r="I10" i="65"/>
  <c r="L10" i="65"/>
  <c r="R10" i="65"/>
  <c r="U10" i="65"/>
  <c r="D12" i="65"/>
  <c r="I185" i="65"/>
  <c r="I186" i="65"/>
  <c r="I187" i="65"/>
  <c r="I188" i="65"/>
  <c r="I189" i="65"/>
  <c r="H189" i="65" s="1"/>
  <c r="F12" i="65" s="1"/>
  <c r="L12" i="65"/>
  <c r="Q12" i="65"/>
  <c r="N12" i="65"/>
  <c r="R12" i="65" s="1"/>
  <c r="W10" i="65"/>
  <c r="Y10" i="65"/>
  <c r="L188" i="65"/>
  <c r="J12" i="65"/>
  <c r="H12" i="65"/>
  <c r="K12" i="65"/>
  <c r="X10" i="65"/>
  <c r="L185" i="65"/>
  <c r="L186" i="65"/>
  <c r="T12" i="65"/>
  <c r="L187" i="65"/>
  <c r="V10" i="65"/>
  <c r="J187" i="65" l="1"/>
  <c r="J186" i="65"/>
  <c r="J188" i="65"/>
  <c r="J185" i="65"/>
  <c r="M24" i="65"/>
  <c r="S24" i="65"/>
  <c r="L24" i="65"/>
  <c r="R24" i="65"/>
  <c r="I12" i="65"/>
  <c r="U12" i="65"/>
  <c r="D8" i="65"/>
  <c r="I214" i="65"/>
  <c r="I215" i="65"/>
  <c r="H215" i="65" s="1"/>
  <c r="F8" i="65" s="1"/>
  <c r="J214" i="65"/>
  <c r="M8" i="65"/>
  <c r="O8" i="65"/>
  <c r="Q8" i="65"/>
  <c r="S8" i="65" s="1"/>
  <c r="J8" i="65"/>
  <c r="Y12" i="65"/>
  <c r="X12" i="65"/>
  <c r="L214" i="65"/>
  <c r="V12" i="65"/>
  <c r="H8" i="65"/>
  <c r="W12" i="65"/>
  <c r="T8" i="65"/>
  <c r="K8" i="65"/>
  <c r="K214" i="65" l="1"/>
  <c r="K215" i="65" s="1"/>
  <c r="N8" i="65" s="1"/>
  <c r="L8" i="65" s="1"/>
  <c r="J189" i="65"/>
  <c r="O12" i="65" s="1"/>
  <c r="I8" i="65"/>
  <c r="U8" i="65"/>
  <c r="D13" i="65"/>
  <c r="I167" i="65"/>
  <c r="I168" i="65"/>
  <c r="I169" i="65"/>
  <c r="H169" i="65"/>
  <c r="F13" i="65" s="1"/>
  <c r="L13" i="65"/>
  <c r="Q13" i="65"/>
  <c r="N13" i="65"/>
  <c r="R13" i="65" s="1"/>
  <c r="W8" i="65"/>
  <c r="L167" i="65"/>
  <c r="L168" i="65"/>
  <c r="J13" i="65"/>
  <c r="H13" i="65"/>
  <c r="T13" i="65"/>
  <c r="V8" i="65"/>
  <c r="Y8" i="65"/>
  <c r="K13" i="65"/>
  <c r="X8" i="65"/>
  <c r="R8" i="65" l="1"/>
  <c r="J168" i="65"/>
  <c r="J167" i="65"/>
  <c r="J169" i="65" s="1"/>
  <c r="O13" i="65" s="1"/>
  <c r="M13" i="65" s="1"/>
  <c r="M12" i="65"/>
  <c r="S12" i="65"/>
  <c r="I13" i="65"/>
  <c r="S13" i="65"/>
  <c r="U13" i="65"/>
  <c r="D19" i="65"/>
  <c r="I112" i="65"/>
  <c r="I114" i="65"/>
  <c r="I115" i="65"/>
  <c r="I116" i="65"/>
  <c r="Q19" i="65"/>
  <c r="H19" i="65"/>
  <c r="L116" i="65"/>
  <c r="W13" i="65"/>
  <c r="X13" i="65"/>
  <c r="H113" i="65"/>
  <c r="L111" i="65"/>
  <c r="K19" i="65"/>
  <c r="H111" i="65"/>
  <c r="L114" i="65"/>
  <c r="L115" i="65"/>
  <c r="V13" i="65"/>
  <c r="T19" i="65"/>
  <c r="L113" i="65"/>
  <c r="L112" i="65"/>
  <c r="Y13" i="65"/>
  <c r="J19" i="65"/>
  <c r="J116" i="65" l="1"/>
  <c r="I113" i="65"/>
  <c r="J115" i="65"/>
  <c r="J114" i="65"/>
  <c r="I111" i="65"/>
  <c r="J111" i="65" s="1"/>
  <c r="J112" i="65"/>
  <c r="I19" i="65"/>
  <c r="U19" i="65"/>
  <c r="D7" i="65"/>
  <c r="I198" i="65"/>
  <c r="I199" i="65" s="1"/>
  <c r="H199" i="65" s="1"/>
  <c r="F7" i="65" s="1"/>
  <c r="I7" i="65"/>
  <c r="L7" i="65"/>
  <c r="Q7" i="65"/>
  <c r="N7" i="65"/>
  <c r="R7" i="65" s="1"/>
  <c r="K7" i="65"/>
  <c r="X19" i="65"/>
  <c r="W19" i="65"/>
  <c r="J7" i="65"/>
  <c r="Y19" i="65"/>
  <c r="T7" i="65"/>
  <c r="V19" i="65"/>
  <c r="L198" i="65"/>
  <c r="J198" i="65" l="1"/>
  <c r="J199" i="65" s="1"/>
  <c r="O7" i="65" s="1"/>
  <c r="I117" i="65"/>
  <c r="H117" i="65" s="1"/>
  <c r="F19" i="65" s="1"/>
  <c r="J113" i="65"/>
  <c r="J117" i="65"/>
  <c r="O19" i="65" s="1"/>
  <c r="M7" i="65"/>
  <c r="S7" i="65"/>
  <c r="U7" i="65"/>
  <c r="D6" i="65"/>
  <c r="I163" i="65"/>
  <c r="I164" i="65"/>
  <c r="I165" i="65"/>
  <c r="H165" i="65" s="1"/>
  <c r="F6" i="65" s="1"/>
  <c r="L6" i="65"/>
  <c r="Q6" i="65"/>
  <c r="N6" i="65"/>
  <c r="R6" i="65"/>
  <c r="K6" i="65"/>
  <c r="L164" i="65"/>
  <c r="W7" i="65"/>
  <c r="X7" i="65"/>
  <c r="L163" i="65"/>
  <c r="T6" i="65"/>
  <c r="V7" i="65"/>
  <c r="H6" i="65"/>
  <c r="Y7" i="65"/>
  <c r="J6" i="65"/>
  <c r="J164" i="65" l="1"/>
  <c r="J163" i="65"/>
  <c r="J165" i="65" s="1"/>
  <c r="O6" i="65" s="1"/>
  <c r="S6" i="65" s="1"/>
  <c r="N19" i="65"/>
  <c r="R19" i="65" s="1"/>
  <c r="L19" i="65"/>
  <c r="M19" i="65"/>
  <c r="S19" i="65"/>
  <c r="I6" i="65"/>
  <c r="M6" i="65"/>
  <c r="U6" i="65"/>
  <c r="D15" i="65"/>
  <c r="I93" i="65"/>
  <c r="I94" i="65"/>
  <c r="I95" i="65"/>
  <c r="H95" i="65" s="1"/>
  <c r="F15" i="65" s="1"/>
  <c r="L15" i="65"/>
  <c r="Q15" i="65"/>
  <c r="N15" i="65"/>
  <c r="R15" i="65" s="1"/>
  <c r="L93" i="65"/>
  <c r="Y6" i="65"/>
  <c r="J15" i="65"/>
  <c r="W6" i="65"/>
  <c r="L94" i="65"/>
  <c r="K15" i="65"/>
  <c r="X6" i="65"/>
  <c r="V6" i="65"/>
  <c r="T15" i="65"/>
  <c r="H15" i="65"/>
  <c r="J94" i="65" l="1"/>
  <c r="J93" i="65"/>
  <c r="J95" i="65" s="1"/>
  <c r="O15" i="65" s="1"/>
  <c r="M15" i="65" s="1"/>
  <c r="I15" i="65"/>
  <c r="U15" i="65"/>
  <c r="D20" i="65"/>
  <c r="I84" i="65"/>
  <c r="I85" i="65"/>
  <c r="H85" i="65"/>
  <c r="F20" i="65" s="1"/>
  <c r="L20" i="65"/>
  <c r="Q20" i="65"/>
  <c r="N20" i="65"/>
  <c r="R20" i="65" s="1"/>
  <c r="T20" i="65"/>
  <c r="L84" i="65"/>
  <c r="K20" i="65"/>
  <c r="W15" i="65"/>
  <c r="H20" i="65"/>
  <c r="V15" i="65"/>
  <c r="J20" i="65"/>
  <c r="Y15" i="65"/>
  <c r="X15" i="65"/>
  <c r="S15" i="65" l="1"/>
  <c r="J84" i="65"/>
  <c r="J85" i="65" s="1"/>
  <c r="O20" i="65" s="1"/>
  <c r="M20" i="65" s="1"/>
  <c r="I20" i="65"/>
  <c r="U20" i="65"/>
  <c r="D9" i="65"/>
  <c r="I150" i="65"/>
  <c r="I151" i="65"/>
  <c r="I152" i="65"/>
  <c r="H152" i="65" s="1"/>
  <c r="F9" i="65" s="1"/>
  <c r="L9" i="65"/>
  <c r="Q9" i="65"/>
  <c r="N9" i="65"/>
  <c r="R9" i="65" s="1"/>
  <c r="K9" i="65"/>
  <c r="V20" i="65"/>
  <c r="L150" i="65"/>
  <c r="J9" i="65"/>
  <c r="W20" i="65"/>
  <c r="L151" i="65"/>
  <c r="H9" i="65"/>
  <c r="T9" i="65"/>
  <c r="Y20" i="65"/>
  <c r="X20" i="65"/>
  <c r="S20" i="65" l="1"/>
  <c r="J150" i="65"/>
  <c r="J152" i="65" s="1"/>
  <c r="O9" i="65" s="1"/>
  <c r="M9" i="65" s="1"/>
  <c r="J151" i="65"/>
  <c r="I9" i="65"/>
  <c r="U9" i="65"/>
  <c r="D14" i="65"/>
  <c r="I87" i="65"/>
  <c r="I88" i="65"/>
  <c r="H88" i="65"/>
  <c r="F14" i="65"/>
  <c r="L14" i="65"/>
  <c r="Q14" i="65"/>
  <c r="N14" i="65"/>
  <c r="R14" i="65" s="1"/>
  <c r="V9" i="65"/>
  <c r="T14" i="65"/>
  <c r="L87" i="65"/>
  <c r="X9" i="65"/>
  <c r="J14" i="65"/>
  <c r="W9" i="65"/>
  <c r="Y9" i="65"/>
  <c r="K14" i="65"/>
  <c r="H14" i="65"/>
  <c r="S9" i="65" l="1"/>
  <c r="J87" i="65"/>
  <c r="J88" i="65" s="1"/>
  <c r="O14" i="65" s="1"/>
  <c r="M14" i="65" s="1"/>
  <c r="I14" i="65"/>
  <c r="U14" i="65"/>
  <c r="D18" i="65"/>
  <c r="I124" i="65"/>
  <c r="I125" i="65"/>
  <c r="H125" i="65"/>
  <c r="F18" i="65" s="1"/>
  <c r="L18" i="65"/>
  <c r="Q18" i="65"/>
  <c r="N18" i="65"/>
  <c r="R18" i="65" s="1"/>
  <c r="W14" i="65"/>
  <c r="T18" i="65"/>
  <c r="L124" i="65"/>
  <c r="X14" i="65"/>
  <c r="K18" i="65"/>
  <c r="V14" i="65"/>
  <c r="Y14" i="65"/>
  <c r="J18" i="65"/>
  <c r="H18" i="65"/>
  <c r="S14" i="65" l="1"/>
  <c r="J124" i="65"/>
  <c r="J125" i="65" s="1"/>
  <c r="O18" i="65" s="1"/>
  <c r="M18" i="65" s="1"/>
  <c r="I18" i="65"/>
  <c r="U18" i="65"/>
  <c r="D22" i="65"/>
  <c r="I180" i="65"/>
  <c r="I181" i="65"/>
  <c r="I182" i="65"/>
  <c r="I183" i="65"/>
  <c r="H183" i="65" s="1"/>
  <c r="F22" i="65" s="1"/>
  <c r="J180" i="65"/>
  <c r="J181" i="65"/>
  <c r="J182" i="65"/>
  <c r="M22" i="65"/>
  <c r="O22" i="65"/>
  <c r="Q22" i="65"/>
  <c r="W18" i="65"/>
  <c r="Y18" i="65"/>
  <c r="K22" i="65"/>
  <c r="L182" i="65"/>
  <c r="V18" i="65"/>
  <c r="X18" i="65"/>
  <c r="T22" i="65"/>
  <c r="L181" i="65"/>
  <c r="L180" i="65"/>
  <c r="H22" i="65"/>
  <c r="J22" i="65"/>
  <c r="S18" i="65" l="1"/>
  <c r="K181" i="65"/>
  <c r="K182" i="65"/>
  <c r="K180" i="65"/>
  <c r="I22" i="65"/>
  <c r="S22" i="65"/>
  <c r="U22" i="65"/>
  <c r="D16" i="65"/>
  <c r="I127" i="65"/>
  <c r="I128" i="65"/>
  <c r="I129" i="65"/>
  <c r="I130" i="65"/>
  <c r="H130" i="65"/>
  <c r="F16" i="65" s="1"/>
  <c r="L16" i="65"/>
  <c r="Q16" i="65"/>
  <c r="E130" i="65"/>
  <c r="N16" i="65"/>
  <c r="R16" i="65" s="1"/>
  <c r="L127" i="65"/>
  <c r="L128" i="65"/>
  <c r="L129" i="65"/>
  <c r="Y22" i="65"/>
  <c r="V22" i="65"/>
  <c r="K16" i="65"/>
  <c r="H16" i="65"/>
  <c r="W22" i="65"/>
  <c r="J16" i="65"/>
  <c r="T16" i="65"/>
  <c r="X22" i="65"/>
  <c r="J129" i="65" l="1"/>
  <c r="J128" i="65"/>
  <c r="J127" i="65"/>
  <c r="J130" i="65" s="1"/>
  <c r="O16" i="65" s="1"/>
  <c r="S16" i="65" s="1"/>
  <c r="K183" i="65"/>
  <c r="N22" i="65" s="1"/>
  <c r="I16" i="65"/>
  <c r="U16" i="65"/>
  <c r="D17" i="65"/>
  <c r="I171" i="65"/>
  <c r="I172" i="65"/>
  <c r="I173" i="65"/>
  <c r="I174" i="65"/>
  <c r="H174" i="65" s="1"/>
  <c r="F17" i="65" s="1"/>
  <c r="L17" i="65"/>
  <c r="Q17" i="65"/>
  <c r="N17" i="65"/>
  <c r="R17" i="65" s="1"/>
  <c r="T17" i="65"/>
  <c r="K17" i="65"/>
  <c r="L172" i="65"/>
  <c r="W16" i="65"/>
  <c r="Y16" i="65"/>
  <c r="L171" i="65"/>
  <c r="V16" i="65"/>
  <c r="H17" i="65"/>
  <c r="X16" i="65"/>
  <c r="J17" i="65"/>
  <c r="L173" i="65"/>
  <c r="M16" i="65" l="1"/>
  <c r="J173" i="65"/>
  <c r="J172" i="65"/>
  <c r="J171" i="65"/>
  <c r="J174" i="65" s="1"/>
  <c r="O17" i="65" s="1"/>
  <c r="S17" i="65" s="1"/>
  <c r="L22" i="65"/>
  <c r="R22" i="65"/>
  <c r="I17" i="65"/>
  <c r="U17" i="65"/>
  <c r="D23" i="65"/>
  <c r="I191" i="65"/>
  <c r="I192" i="65"/>
  <c r="I193" i="65" s="1"/>
  <c r="H193" i="65" s="1"/>
  <c r="F23" i="65" s="1"/>
  <c r="L23" i="65"/>
  <c r="Q23" i="65"/>
  <c r="N23" i="65"/>
  <c r="R23" i="65" s="1"/>
  <c r="T23" i="65"/>
  <c r="V17" i="65"/>
  <c r="K23" i="65"/>
  <c r="J23" i="65"/>
  <c r="Y17" i="65"/>
  <c r="H23" i="65"/>
  <c r="X17" i="65"/>
  <c r="L192" i="65"/>
  <c r="W17" i="65"/>
  <c r="L191" i="65"/>
  <c r="M17" i="65" l="1"/>
  <c r="J191" i="65"/>
  <c r="J193" i="65" s="1"/>
  <c r="O23" i="65" s="1"/>
  <c r="M23" i="65" s="1"/>
  <c r="J192" i="65"/>
  <c r="I23" i="65"/>
  <c r="U23" i="65"/>
  <c r="D27" i="65"/>
  <c r="I157" i="65"/>
  <c r="I161" i="65" s="1"/>
  <c r="H161" i="65" s="1"/>
  <c r="F27" i="65" s="1"/>
  <c r="I158" i="65"/>
  <c r="I159" i="65"/>
  <c r="I160" i="65"/>
  <c r="L27" i="65"/>
  <c r="Q27" i="65"/>
  <c r="U27" i="65" s="1"/>
  <c r="N27" i="65"/>
  <c r="R27" i="65" s="1"/>
  <c r="V23" i="65"/>
  <c r="K27" i="65"/>
  <c r="J27" i="65"/>
  <c r="X27" i="65"/>
  <c r="L159" i="65"/>
  <c r="L160" i="65"/>
  <c r="H27" i="65"/>
  <c r="L157" i="65"/>
  <c r="V27" i="65"/>
  <c r="Y27" i="65"/>
  <c r="W27" i="65"/>
  <c r="L158" i="65"/>
  <c r="W23" i="65"/>
  <c r="X23" i="65"/>
  <c r="Y23" i="65"/>
  <c r="S23" i="65" l="1"/>
  <c r="J157" i="65"/>
  <c r="J161" i="65" s="1"/>
  <c r="O27" i="65" s="1"/>
  <c r="J160" i="65"/>
  <c r="J159" i="65"/>
  <c r="J158" i="65"/>
  <c r="I27" i="65"/>
  <c r="M27" i="65"/>
  <c r="S27" i="65"/>
  <c r="D21" i="65"/>
  <c r="I132" i="65"/>
  <c r="I133" i="65"/>
  <c r="I134" i="65"/>
  <c r="H134" i="65" s="1"/>
  <c r="F21" i="65" s="1"/>
  <c r="L21" i="65"/>
  <c r="Q21" i="65"/>
  <c r="N21" i="65"/>
  <c r="R21" i="65" s="1"/>
  <c r="H21" i="65"/>
  <c r="J21" i="65"/>
  <c r="K21" i="65"/>
  <c r="T21" i="65"/>
  <c r="L133" i="65"/>
  <c r="L132" i="65"/>
  <c r="J133" i="65" l="1"/>
  <c r="J132" i="65"/>
  <c r="J134" i="65" s="1"/>
  <c r="O21" i="65" s="1"/>
  <c r="M21" i="65" s="1"/>
  <c r="I21" i="65"/>
  <c r="U21" i="65"/>
  <c r="D4" i="65"/>
  <c r="I201" i="65"/>
  <c r="I202" i="65"/>
  <c r="I203" i="65"/>
  <c r="H203" i="65"/>
  <c r="F4" i="65"/>
  <c r="L4" i="65"/>
  <c r="Q4" i="65"/>
  <c r="N4" i="65"/>
  <c r="R4" i="65" s="1"/>
  <c r="L201" i="65"/>
  <c r="H4" i="65"/>
  <c r="K4" i="65"/>
  <c r="X21" i="65"/>
  <c r="L202" i="65"/>
  <c r="Y21" i="65"/>
  <c r="V21" i="65"/>
  <c r="T4" i="65"/>
  <c r="W21" i="65"/>
  <c r="J4" i="65"/>
  <c r="S21" i="65" l="1"/>
  <c r="J201" i="65"/>
  <c r="J203" i="65" s="1"/>
  <c r="O4" i="65" s="1"/>
  <c r="J202" i="65"/>
  <c r="I4" i="65"/>
  <c r="S4" i="65"/>
  <c r="M4" i="65"/>
  <c r="U4" i="65"/>
  <c r="D26" i="65"/>
  <c r="I97" i="65"/>
  <c r="I98" i="65" s="1"/>
  <c r="H98" i="65" s="1"/>
  <c r="F26" i="65" s="1"/>
  <c r="L26" i="65"/>
  <c r="Q26" i="65"/>
  <c r="N26" i="65"/>
  <c r="R26" i="65" s="1"/>
  <c r="X4" i="65"/>
  <c r="L97" i="65"/>
  <c r="W4" i="65"/>
  <c r="J26" i="65"/>
  <c r="Y4" i="65"/>
  <c r="H26" i="65"/>
  <c r="T26" i="65"/>
  <c r="K26" i="65"/>
  <c r="V4" i="65"/>
  <c r="J97" i="65" l="1"/>
  <c r="J98" i="65" s="1"/>
  <c r="O26" i="65" s="1"/>
  <c r="M26" i="65" s="1"/>
  <c r="I26" i="65"/>
  <c r="U26" i="65"/>
  <c r="D28" i="65"/>
  <c r="I72" i="65"/>
  <c r="I73" i="65" s="1"/>
  <c r="H73" i="65" s="1"/>
  <c r="F28" i="65" s="1"/>
  <c r="J72" i="65"/>
  <c r="M28" i="65"/>
  <c r="O28" i="65"/>
  <c r="Q28" i="65"/>
  <c r="S28" i="65" s="1"/>
  <c r="K28" i="65"/>
  <c r="L72" i="65"/>
  <c r="X26" i="65"/>
  <c r="B28" i="65"/>
  <c r="V28" i="65"/>
  <c r="B29" i="65"/>
  <c r="W26" i="65"/>
  <c r="U28" i="65"/>
  <c r="T28" i="65"/>
  <c r="W28" i="65"/>
  <c r="V26" i="65"/>
  <c r="Y26" i="65"/>
  <c r="S26" i="65" l="1"/>
  <c r="K72" i="65"/>
  <c r="K73" i="65" s="1"/>
  <c r="N28" i="65" s="1"/>
  <c r="L28" i="65" s="1"/>
  <c r="D29" i="65"/>
  <c r="I75" i="65"/>
  <c r="I76" i="65"/>
  <c r="I77" i="65" s="1"/>
  <c r="H77" i="65" s="1"/>
  <c r="F29" i="65" s="1"/>
  <c r="J75" i="65"/>
  <c r="J76" i="65"/>
  <c r="M29" i="65"/>
  <c r="O29" i="65"/>
  <c r="Q29" i="65"/>
  <c r="S29" i="65" s="1"/>
  <c r="L75" i="65"/>
  <c r="T29" i="65"/>
  <c r="W29" i="65"/>
  <c r="V29" i="65"/>
  <c r="B30" i="65"/>
  <c r="L76" i="65"/>
  <c r="U29" i="65"/>
  <c r="K29" i="65"/>
  <c r="R28" i="65" l="1"/>
  <c r="K75" i="65"/>
  <c r="K77" i="65" s="1"/>
  <c r="N29" i="65" s="1"/>
  <c r="L29" i="65" s="1"/>
  <c r="K76" i="65"/>
  <c r="D30" i="65"/>
  <c r="I211" i="65"/>
  <c r="I212" i="65"/>
  <c r="H212" i="65" s="1"/>
  <c r="F30" i="65" s="1"/>
  <c r="J211" i="65"/>
  <c r="K211" i="65"/>
  <c r="K212" i="65"/>
  <c r="N30" i="65"/>
  <c r="R30" i="65" s="1"/>
  <c r="M30" i="65"/>
  <c r="O30" i="65"/>
  <c r="Q30" i="65"/>
  <c r="S30" i="65" s="1"/>
  <c r="T30" i="65"/>
  <c r="W30" i="65"/>
  <c r="K30" i="65"/>
  <c r="U30" i="65"/>
  <c r="V30" i="65"/>
  <c r="B31" i="65"/>
  <c r="R29" i="65" l="1"/>
  <c r="L30" i="65"/>
  <c r="D31" i="65"/>
  <c r="I69" i="65"/>
  <c r="I70" i="65" s="1"/>
  <c r="H70" i="65" s="1"/>
  <c r="F31" i="65" s="1"/>
  <c r="J69" i="65"/>
  <c r="M31" i="65"/>
  <c r="O31" i="65"/>
  <c r="Q31" i="65"/>
  <c r="S31" i="65" s="1"/>
  <c r="T31" i="65"/>
  <c r="V31" i="65"/>
  <c r="W31" i="65"/>
  <c r="U31" i="65"/>
  <c r="L69" i="65"/>
  <c r="K31" i="65"/>
  <c r="K69" i="65" l="1"/>
  <c r="K70" i="65" s="1"/>
  <c r="N31" i="65" s="1"/>
  <c r="L31" i="65" s="1"/>
  <c r="D32" i="65"/>
  <c r="Q32" i="65"/>
  <c r="Q33" i="65" s="1"/>
  <c r="D33" i="65"/>
  <c r="I33" i="65"/>
  <c r="L33" i="65"/>
  <c r="M33" i="65"/>
  <c r="N33" i="65"/>
  <c r="O33" i="65"/>
  <c r="R33" i="65"/>
  <c r="S33" i="65"/>
  <c r="T33" i="65"/>
  <c r="U33" i="65"/>
  <c r="H39" i="65"/>
  <c r="I39" i="65"/>
  <c r="J39" i="65"/>
  <c r="M39" i="65"/>
  <c r="N39" i="65"/>
  <c r="H40" i="65"/>
  <c r="I40" i="65"/>
  <c r="J40" i="65"/>
  <c r="M40" i="65"/>
  <c r="N40" i="65"/>
  <c r="H41" i="65"/>
  <c r="I41" i="65"/>
  <c r="J41" i="65"/>
  <c r="M41" i="65"/>
  <c r="N41" i="65"/>
  <c r="H42" i="65"/>
  <c r="I42" i="65"/>
  <c r="N42" i="65" s="1"/>
  <c r="J42" i="65"/>
  <c r="M42" i="65"/>
  <c r="H43" i="65"/>
  <c r="I43" i="65"/>
  <c r="J43" i="65"/>
  <c r="M43" i="65"/>
  <c r="N43" i="65"/>
  <c r="H44" i="65"/>
  <c r="I44" i="65"/>
  <c r="J44" i="65"/>
  <c r="M44" i="65"/>
  <c r="N44" i="65"/>
  <c r="H45" i="65"/>
  <c r="I45" i="65"/>
  <c r="J45" i="65"/>
  <c r="N45" i="65" s="1"/>
  <c r="M45" i="65"/>
  <c r="H46" i="65"/>
  <c r="I46" i="65"/>
  <c r="J46" i="65"/>
  <c r="M46" i="65"/>
  <c r="N46" i="65"/>
  <c r="H47" i="65"/>
  <c r="I47" i="65"/>
  <c r="J47" i="65"/>
  <c r="M47" i="65"/>
  <c r="N47" i="65"/>
  <c r="H48" i="65"/>
  <c r="I48" i="65"/>
  <c r="J48" i="65"/>
  <c r="M48" i="65"/>
  <c r="H49" i="65"/>
  <c r="I49" i="65"/>
  <c r="J49" i="65"/>
  <c r="M49" i="65"/>
  <c r="N49" i="65"/>
  <c r="H54" i="65"/>
  <c r="I54" i="65"/>
  <c r="J54" i="65"/>
  <c r="M54" i="65"/>
  <c r="N54" i="65"/>
  <c r="H55" i="65"/>
  <c r="I55" i="65"/>
  <c r="J55" i="65"/>
  <c r="M55" i="65"/>
  <c r="N55" i="65"/>
  <c r="H56" i="65"/>
  <c r="I56" i="65"/>
  <c r="J56" i="65"/>
  <c r="M56" i="65"/>
  <c r="N56" i="65"/>
  <c r="H57" i="65"/>
  <c r="I57" i="65"/>
  <c r="J57" i="65"/>
  <c r="M57" i="65"/>
  <c r="N57" i="65"/>
  <c r="H58" i="65"/>
  <c r="I58" i="65"/>
  <c r="J58" i="65"/>
  <c r="M58" i="65"/>
  <c r="N58" i="65"/>
  <c r="H59" i="65"/>
  <c r="I59" i="65"/>
  <c r="J59" i="65"/>
  <c r="M59" i="65"/>
  <c r="N59" i="65"/>
  <c r="H60" i="65"/>
  <c r="I60" i="65"/>
  <c r="J60" i="65"/>
  <c r="M60" i="65"/>
  <c r="N60" i="65"/>
  <c r="H61" i="65"/>
  <c r="I61" i="65"/>
  <c r="J61" i="65"/>
  <c r="N61" i="65" s="1"/>
  <c r="M61" i="65"/>
  <c r="H62" i="65"/>
  <c r="I62" i="65"/>
  <c r="J62" i="65"/>
  <c r="N62" i="65" s="1"/>
  <c r="M62" i="65"/>
  <c r="H63" i="65"/>
  <c r="I63" i="65"/>
  <c r="J63" i="65"/>
  <c r="M63" i="65"/>
  <c r="S63" i="65"/>
  <c r="J70" i="65"/>
  <c r="J73" i="65"/>
  <c r="J77" i="65"/>
  <c r="I79" i="65"/>
  <c r="I80" i="65"/>
  <c r="I81" i="65"/>
  <c r="F82" i="65"/>
  <c r="E82" i="65"/>
  <c r="D82" i="65" s="1"/>
  <c r="I82" i="65"/>
  <c r="H82" i="65" s="1"/>
  <c r="K84" i="65"/>
  <c r="K85" i="65" s="1"/>
  <c r="K87" i="65"/>
  <c r="K88" i="65" s="1"/>
  <c r="I90" i="65"/>
  <c r="F91" i="65"/>
  <c r="I91" i="65"/>
  <c r="H91" i="65"/>
  <c r="K93" i="65"/>
  <c r="K95" i="65" s="1"/>
  <c r="K94" i="65"/>
  <c r="K97" i="65"/>
  <c r="K98" i="65" s="1"/>
  <c r="J109" i="65"/>
  <c r="K111" i="65"/>
  <c r="K117" i="65" s="1"/>
  <c r="K112" i="65"/>
  <c r="K113" i="65"/>
  <c r="K114" i="65"/>
  <c r="K115" i="65"/>
  <c r="K116" i="65"/>
  <c r="K124" i="65"/>
  <c r="K125" i="65" s="1"/>
  <c r="K127" i="65"/>
  <c r="K130" i="65" s="1"/>
  <c r="K128" i="65"/>
  <c r="K129" i="65"/>
  <c r="K132" i="65"/>
  <c r="K134" i="65" s="1"/>
  <c r="K133" i="65"/>
  <c r="I136" i="65"/>
  <c r="J136" i="65"/>
  <c r="I137" i="65"/>
  <c r="J137" i="65"/>
  <c r="I138" i="65"/>
  <c r="J138" i="65"/>
  <c r="F139" i="65"/>
  <c r="I139" i="65"/>
  <c r="H139" i="65" s="1"/>
  <c r="J139" i="65"/>
  <c r="J143" i="65"/>
  <c r="K145" i="65"/>
  <c r="K148" i="65" s="1"/>
  <c r="K146" i="65"/>
  <c r="K147" i="65"/>
  <c r="K150" i="65"/>
  <c r="K152" i="65" s="1"/>
  <c r="K151" i="65"/>
  <c r="I154" i="65"/>
  <c r="F155" i="65"/>
  <c r="I155" i="65"/>
  <c r="H155" i="65"/>
  <c r="K157" i="65"/>
  <c r="K161" i="65" s="1"/>
  <c r="K158" i="65"/>
  <c r="K159" i="65"/>
  <c r="K160" i="65"/>
  <c r="K163" i="65"/>
  <c r="K165" i="65" s="1"/>
  <c r="K164" i="65"/>
  <c r="K167" i="65"/>
  <c r="K169" i="65" s="1"/>
  <c r="K168" i="65"/>
  <c r="K171" i="65"/>
  <c r="K174" i="65" s="1"/>
  <c r="K172" i="65"/>
  <c r="K173" i="65"/>
  <c r="I176" i="65"/>
  <c r="I177" i="65"/>
  <c r="F178" i="65"/>
  <c r="I178" i="65"/>
  <c r="H178" i="65" s="1"/>
  <c r="J183" i="65"/>
  <c r="K185" i="65"/>
  <c r="K189" i="65" s="1"/>
  <c r="K186" i="65"/>
  <c r="K187" i="65"/>
  <c r="K188" i="65"/>
  <c r="K191" i="65"/>
  <c r="K193" i="65" s="1"/>
  <c r="K192" i="65"/>
  <c r="I195" i="65"/>
  <c r="F196" i="65"/>
  <c r="I196" i="65"/>
  <c r="H196" i="65"/>
  <c r="K198" i="65"/>
  <c r="K199" i="65" s="1"/>
  <c r="K201" i="65"/>
  <c r="K203" i="65" s="1"/>
  <c r="K202" i="65"/>
  <c r="I205" i="65"/>
  <c r="F206" i="65"/>
  <c r="I206" i="65"/>
  <c r="H206" i="65"/>
  <c r="I208" i="65"/>
  <c r="F209" i="65"/>
  <c r="I209" i="65"/>
  <c r="H209" i="65"/>
  <c r="J212" i="65"/>
  <c r="J215" i="65"/>
  <c r="M142" i="65"/>
  <c r="D90" i="65"/>
  <c r="G120" i="65"/>
  <c r="D113" i="65"/>
  <c r="M84" i="65"/>
  <c r="O47" i="65"/>
  <c r="D182" i="65"/>
  <c r="M80" i="65"/>
  <c r="M198" i="65"/>
  <c r="D106" i="65"/>
  <c r="G146" i="65"/>
  <c r="D202" i="65"/>
  <c r="G205" i="65"/>
  <c r="R63" i="65"/>
  <c r="G177" i="65"/>
  <c r="G208" i="65"/>
  <c r="M93" i="65"/>
  <c r="M195" i="65"/>
  <c r="E41" i="65"/>
  <c r="D120" i="65"/>
  <c r="G157" i="65"/>
  <c r="M171" i="65"/>
  <c r="D137" i="65"/>
  <c r="D160" i="65"/>
  <c r="M192" i="65"/>
  <c r="R44" i="65"/>
  <c r="L177" i="65"/>
  <c r="D93" i="65"/>
  <c r="G112" i="65"/>
  <c r="D108" i="65"/>
  <c r="R56" i="65"/>
  <c r="M114" i="65"/>
  <c r="G76" i="65"/>
  <c r="G202" i="65"/>
  <c r="D97" i="65"/>
  <c r="O41" i="65"/>
  <c r="D119" i="65"/>
  <c r="D186" i="65"/>
  <c r="M177" i="65"/>
  <c r="G150" i="65"/>
  <c r="M164" i="65"/>
  <c r="M111" i="65"/>
  <c r="O61" i="65"/>
  <c r="G102" i="65"/>
  <c r="R62" i="65"/>
  <c r="D150" i="65"/>
  <c r="O57" i="65"/>
  <c r="G136" i="65"/>
  <c r="D115" i="65"/>
  <c r="M186" i="65"/>
  <c r="G186" i="65"/>
  <c r="M202" i="65"/>
  <c r="G167" i="65"/>
  <c r="L154" i="65"/>
  <c r="D101" i="65"/>
  <c r="M79" i="65"/>
  <c r="M76" i="65"/>
  <c r="D163" i="65"/>
  <c r="M205" i="65"/>
  <c r="M115" i="65"/>
  <c r="G158" i="65"/>
  <c r="G147" i="65"/>
  <c r="M150" i="65"/>
  <c r="G133" i="65"/>
  <c r="M201" i="65"/>
  <c r="D84" i="65"/>
  <c r="R60" i="65"/>
  <c r="M113" i="65"/>
  <c r="M132" i="65"/>
  <c r="G180" i="65"/>
  <c r="G121" i="65"/>
  <c r="G132" i="65"/>
  <c r="D124" i="65"/>
  <c r="M158" i="65"/>
  <c r="G80" i="65"/>
  <c r="D129" i="65"/>
  <c r="M107" i="65"/>
  <c r="G168" i="65"/>
  <c r="R43" i="65"/>
  <c r="D205" i="65"/>
  <c r="M137" i="65"/>
  <c r="R42" i="65"/>
  <c r="M157" i="65"/>
  <c r="G185" i="65"/>
  <c r="D208" i="65"/>
  <c r="B40" i="65"/>
  <c r="M103" i="65"/>
  <c r="G75" i="65"/>
  <c r="E42" i="65"/>
  <c r="L90" i="65"/>
  <c r="L205" i="65"/>
  <c r="D154" i="65"/>
  <c r="G142" i="65"/>
  <c r="G113" i="65"/>
  <c r="D146" i="65"/>
  <c r="M106" i="65"/>
  <c r="E49" i="65"/>
  <c r="G84" i="65"/>
  <c r="M102" i="65"/>
  <c r="L208" i="65"/>
  <c r="D79" i="65"/>
  <c r="E58" i="65"/>
  <c r="G201" i="65"/>
  <c r="E47" i="65"/>
  <c r="M159" i="65"/>
  <c r="G124" i="65"/>
  <c r="G145" i="65"/>
  <c r="R61" i="65"/>
  <c r="M181" i="65"/>
  <c r="G103" i="65"/>
  <c r="O48" i="65"/>
  <c r="D167" i="65"/>
  <c r="R57" i="65"/>
  <c r="M141" i="65"/>
  <c r="E43" i="65"/>
  <c r="O45" i="65"/>
  <c r="D75" i="65"/>
  <c r="G191" i="65"/>
  <c r="D141" i="65"/>
  <c r="R49" i="65"/>
  <c r="E57" i="65"/>
  <c r="G192" i="65"/>
  <c r="G159" i="65"/>
  <c r="D157" i="65"/>
  <c r="G119" i="65"/>
  <c r="L81" i="65"/>
  <c r="M208" i="65"/>
  <c r="M138" i="65"/>
  <c r="R46" i="65"/>
  <c r="D198" i="65"/>
  <c r="D133" i="65"/>
  <c r="R59" i="65"/>
  <c r="G128" i="65"/>
  <c r="M188" i="65"/>
  <c r="E40" i="65"/>
  <c r="E60" i="65"/>
  <c r="D112" i="65"/>
  <c r="G81" i="65"/>
  <c r="M128" i="65"/>
  <c r="D168" i="65"/>
  <c r="D132" i="65"/>
  <c r="M72" i="65"/>
  <c r="D142" i="65"/>
  <c r="M173" i="65"/>
  <c r="G72" i="65"/>
  <c r="E39" i="65"/>
  <c r="G107" i="65"/>
  <c r="R48" i="65"/>
  <c r="M168" i="65"/>
  <c r="O42" i="65"/>
  <c r="D172" i="65"/>
  <c r="G93" i="65"/>
  <c r="M116" i="65"/>
  <c r="D176" i="65"/>
  <c r="G154" i="65"/>
  <c r="M101" i="65"/>
  <c r="O46" i="65"/>
  <c r="O58" i="65"/>
  <c r="D188" i="65"/>
  <c r="R40" i="65"/>
  <c r="D111" i="65"/>
  <c r="M151" i="65"/>
  <c r="G171" i="65"/>
  <c r="D80" i="65"/>
  <c r="M133" i="65"/>
  <c r="M211" i="65"/>
  <c r="G214" i="65"/>
  <c r="G137" i="65"/>
  <c r="D201" i="65"/>
  <c r="D147" i="65"/>
  <c r="M176" i="65"/>
  <c r="D180" i="65"/>
  <c r="G141" i="65"/>
  <c r="M87" i="65"/>
  <c r="M187" i="65"/>
  <c r="G111" i="65"/>
  <c r="D214" i="65"/>
  <c r="E55" i="65"/>
  <c r="R58" i="65"/>
  <c r="M147" i="65"/>
  <c r="O39" i="65"/>
  <c r="G115" i="65"/>
  <c r="D151" i="65"/>
  <c r="O56" i="65"/>
  <c r="D121" i="65"/>
  <c r="G138" i="65"/>
  <c r="M108" i="65"/>
  <c r="G182" i="65"/>
  <c r="O44" i="65"/>
  <c r="D127" i="65"/>
  <c r="D72" i="65"/>
  <c r="M81" i="65"/>
  <c r="M69" i="65"/>
  <c r="D145" i="65"/>
  <c r="E56" i="65"/>
  <c r="G173" i="65"/>
  <c r="G127" i="65"/>
  <c r="D211" i="65"/>
  <c r="M127" i="65"/>
  <c r="M145" i="65"/>
  <c r="E62" i="65"/>
  <c r="G160" i="65"/>
  <c r="D192" i="65"/>
  <c r="L136" i="65"/>
  <c r="O63" i="65"/>
  <c r="M182" i="65"/>
  <c r="D173" i="65"/>
  <c r="M136" i="65"/>
  <c r="G195" i="65"/>
  <c r="G164" i="65"/>
  <c r="G188" i="65"/>
  <c r="G108" i="65"/>
  <c r="O60" i="65"/>
  <c r="M94" i="65"/>
  <c r="D138" i="65"/>
  <c r="M154" i="65"/>
  <c r="G187" i="65"/>
  <c r="B49" i="65"/>
  <c r="D81" i="65"/>
  <c r="M191" i="65"/>
  <c r="R39" i="65"/>
  <c r="D171" i="65"/>
  <c r="G79" i="65"/>
  <c r="R41" i="65"/>
  <c r="L176" i="65"/>
  <c r="O49" i="65"/>
  <c r="O43" i="65"/>
  <c r="O55" i="65"/>
  <c r="M112" i="65"/>
  <c r="O40" i="65"/>
  <c r="G114" i="65"/>
  <c r="M129" i="65"/>
  <c r="G87" i="65"/>
  <c r="M160" i="65"/>
  <c r="D76" i="65"/>
  <c r="E48" i="65"/>
  <c r="G97" i="65"/>
  <c r="R54" i="65"/>
  <c r="L80" i="65"/>
  <c r="E59" i="65"/>
  <c r="G172" i="65"/>
  <c r="O59" i="65"/>
  <c r="G69" i="65"/>
  <c r="M172" i="65"/>
  <c r="L138" i="65"/>
  <c r="G211" i="65"/>
  <c r="G198" i="65"/>
  <c r="E45" i="65"/>
  <c r="L79" i="65"/>
  <c r="G94" i="65"/>
  <c r="M214" i="65"/>
  <c r="D181" i="65"/>
  <c r="M163" i="65"/>
  <c r="O54" i="65"/>
  <c r="G181" i="65"/>
  <c r="D187" i="65"/>
  <c r="D107" i="65"/>
  <c r="R45" i="65"/>
  <c r="D195" i="65"/>
  <c r="O62" i="65"/>
  <c r="R47" i="65"/>
  <c r="M185" i="65"/>
  <c r="D158" i="65"/>
  <c r="D136" i="65"/>
  <c r="G129" i="65"/>
  <c r="L137" i="65"/>
  <c r="D69" i="65"/>
  <c r="G176" i="65"/>
  <c r="M146" i="65"/>
  <c r="D102" i="65"/>
  <c r="M167" i="65"/>
  <c r="D128" i="65"/>
  <c r="D191" i="65"/>
  <c r="D177" i="65"/>
  <c r="R55" i="65"/>
  <c r="M97" i="65"/>
  <c r="D185" i="65"/>
  <c r="D103" i="65"/>
  <c r="D94" i="65"/>
  <c r="E63" i="65"/>
  <c r="G101" i="65"/>
  <c r="D116" i="65"/>
  <c r="E61" i="65"/>
  <c r="G116" i="65"/>
  <c r="E44" i="65"/>
  <c r="M124" i="65"/>
  <c r="D164" i="65"/>
  <c r="G90" i="65"/>
  <c r="E46" i="65"/>
  <c r="L195" i="65"/>
  <c r="D114" i="65"/>
  <c r="D87" i="65"/>
  <c r="D159" i="65"/>
  <c r="G163" i="65"/>
  <c r="M180" i="65"/>
  <c r="B63" i="65"/>
  <c r="M90" i="65"/>
  <c r="G151" i="65"/>
  <c r="G106" i="65"/>
  <c r="M75" i="65"/>
  <c r="E54" i="65"/>
  <c r="R31" i="65" l="1"/>
  <c r="J154" i="65"/>
  <c r="J80" i="65"/>
  <c r="K80" i="65" s="1"/>
  <c r="P60" i="65"/>
  <c r="S60" i="65"/>
  <c r="P59" i="65"/>
  <c r="S59" i="65"/>
  <c r="P58" i="65"/>
  <c r="S58" i="65"/>
  <c r="P57" i="65"/>
  <c r="S57" i="65"/>
  <c r="P56" i="65"/>
  <c r="S56" i="65"/>
  <c r="P55" i="65"/>
  <c r="S55" i="65"/>
  <c r="P54" i="65"/>
  <c r="P64" i="65" s="1"/>
  <c r="S54" i="65"/>
  <c r="S64" i="65" s="1"/>
  <c r="P43" i="65"/>
  <c r="J177" i="65"/>
  <c r="K177" i="65" s="1"/>
  <c r="K136" i="65"/>
  <c r="K139" i="65" s="1"/>
  <c r="S61" i="65"/>
  <c r="P61" i="65"/>
  <c r="P44" i="65"/>
  <c r="K137" i="65"/>
  <c r="P46" i="65"/>
  <c r="J208" i="65"/>
  <c r="J176" i="65"/>
  <c r="P47" i="65"/>
  <c r="P41" i="65"/>
  <c r="P62" i="65"/>
  <c r="S62" i="65"/>
  <c r="N63" i="65"/>
  <c r="P45" i="65"/>
  <c r="P39" i="65"/>
  <c r="P50" i="65" s="1"/>
  <c r="J81" i="65"/>
  <c r="K81" i="65" s="1"/>
  <c r="P40" i="65"/>
  <c r="J205" i="65"/>
  <c r="J90" i="65"/>
  <c r="J79" i="65"/>
  <c r="K79" i="65" s="1"/>
  <c r="K82" i="65" s="1"/>
  <c r="J195" i="65"/>
  <c r="K138" i="65"/>
  <c r="P49" i="65"/>
  <c r="N48" i="65"/>
  <c r="P42" i="65"/>
  <c r="F133" i="81"/>
  <c r="E4" i="81"/>
  <c r="F137" i="81"/>
  <c r="E10" i="81" s="1"/>
  <c r="I132" i="81"/>
  <c r="I133" i="81" s="1"/>
  <c r="H133" i="81" s="1"/>
  <c r="F4" i="81" s="1"/>
  <c r="M4" i="81"/>
  <c r="G6" i="81"/>
  <c r="G7" i="81"/>
  <c r="G9" i="81"/>
  <c r="K1" i="81"/>
  <c r="I1" i="81"/>
  <c r="G1" i="81"/>
  <c r="G8" i="81"/>
  <c r="G10" i="81"/>
  <c r="J4" i="81"/>
  <c r="H4" i="81"/>
  <c r="L132" i="81"/>
  <c r="P1" i="81"/>
  <c r="S4" i="81"/>
  <c r="G5" i="81"/>
  <c r="G4" i="81"/>
  <c r="K195" i="65" l="1"/>
  <c r="K196" i="65" s="1"/>
  <c r="J196" i="65"/>
  <c r="N64" i="65"/>
  <c r="P63" i="65"/>
  <c r="K90" i="65"/>
  <c r="K91" i="65" s="1"/>
  <c r="J91" i="65"/>
  <c r="J82" i="65"/>
  <c r="N50" i="65"/>
  <c r="P48" i="65"/>
  <c r="K176" i="65"/>
  <c r="K178" i="65" s="1"/>
  <c r="J178" i="65"/>
  <c r="K205" i="65"/>
  <c r="K206" i="65" s="1"/>
  <c r="J206" i="65"/>
  <c r="K208" i="65"/>
  <c r="K209" i="65" s="1"/>
  <c r="J209" i="65"/>
  <c r="K154" i="65"/>
  <c r="K155" i="65" s="1"/>
  <c r="J155" i="65"/>
  <c r="O7" i="81"/>
  <c r="I4" i="81"/>
  <c r="O8" i="81"/>
  <c r="O4" i="81"/>
  <c r="P4" i="81" s="1"/>
  <c r="T4" i="81" s="1"/>
  <c r="K4" i="81"/>
  <c r="O6" i="81"/>
  <c r="O10" i="81"/>
  <c r="O9" i="81"/>
  <c r="O5" i="81"/>
  <c r="J132" i="81"/>
  <c r="J133" i="81" s="1"/>
  <c r="N4" i="81" s="1"/>
  <c r="V4" i="81"/>
  <c r="X4" i="81"/>
  <c r="W4" i="81"/>
  <c r="U4" i="81"/>
  <c r="O12" i="81" l="1"/>
  <c r="D4" i="81" s="1"/>
  <c r="Q4" i="81"/>
  <c r="L4" i="81"/>
  <c r="R4" i="81"/>
  <c r="F87" i="81"/>
  <c r="H5" i="81"/>
  <c r="H83" i="81"/>
  <c r="D5" i="81" l="1"/>
  <c r="I83" i="81"/>
  <c r="I5" i="81"/>
  <c r="J5" i="81"/>
  <c r="J83" i="81" l="1"/>
  <c r="D87" i="81"/>
  <c r="P5" i="81"/>
  <c r="S5" i="81"/>
  <c r="L83" i="81"/>
  <c r="K83" i="81" l="1"/>
  <c r="T5" i="81"/>
  <c r="X5" i="81"/>
  <c r="W5" i="81"/>
  <c r="U5" i="81"/>
  <c r="V5" i="81"/>
  <c r="D6" i="81" l="1"/>
  <c r="F68" i="81"/>
  <c r="H62" i="81"/>
  <c r="H6" i="81"/>
  <c r="I62" i="81" l="1"/>
  <c r="I6" i="81"/>
  <c r="J6" i="81"/>
  <c r="J62" i="81" l="1"/>
  <c r="D68" i="81"/>
  <c r="P6" i="81"/>
  <c r="L62" i="81"/>
  <c r="S6" i="81"/>
  <c r="K62" i="81" l="1"/>
  <c r="T6" i="81"/>
  <c r="U6" i="81"/>
  <c r="X6" i="81"/>
  <c r="W6" i="81"/>
  <c r="V6" i="81"/>
  <c r="D7" i="81" l="1"/>
  <c r="I70" i="81"/>
  <c r="I71" i="81"/>
  <c r="I72" i="81"/>
  <c r="I73" i="81"/>
  <c r="H73" i="81" s="1"/>
  <c r="F7" i="81" s="1"/>
  <c r="F73" i="81"/>
  <c r="K7" i="81"/>
  <c r="P7" i="81"/>
  <c r="D73" i="81"/>
  <c r="M7" i="81"/>
  <c r="Q7" i="81" s="1"/>
  <c r="L70" i="81"/>
  <c r="J7" i="81"/>
  <c r="H7" i="81"/>
  <c r="S7" i="81"/>
  <c r="I7" i="81" l="1"/>
  <c r="J70" i="81"/>
  <c r="T7" i="81"/>
  <c r="W7" i="81"/>
  <c r="U7" i="81"/>
  <c r="X7" i="81"/>
  <c r="V7" i="81"/>
  <c r="D8" i="81" l="1"/>
  <c r="I75" i="81"/>
  <c r="I81" i="81" s="1"/>
  <c r="H81" i="81" s="1"/>
  <c r="F8" i="81" s="1"/>
  <c r="I76" i="81"/>
  <c r="I77" i="81"/>
  <c r="I78" i="81"/>
  <c r="I79" i="81"/>
  <c r="I80" i="81"/>
  <c r="F81" i="81"/>
  <c r="K8" i="81"/>
  <c r="P8" i="81"/>
  <c r="D81" i="81"/>
  <c r="M8" i="81"/>
  <c r="Q8" i="81"/>
  <c r="S8" i="81"/>
  <c r="J8" i="81"/>
  <c r="H8" i="81"/>
  <c r="L75" i="81"/>
  <c r="I8" i="81" l="1"/>
  <c r="J75" i="81"/>
  <c r="T8" i="81"/>
  <c r="X8" i="81"/>
  <c r="V8" i="81"/>
  <c r="U8" i="81"/>
  <c r="W8" i="81"/>
  <c r="D9" i="81" l="1"/>
  <c r="F94" i="81"/>
  <c r="H93" i="81"/>
  <c r="H9" i="81"/>
  <c r="I93" i="81" l="1"/>
  <c r="I94" i="81" s="1"/>
  <c r="H94" i="81" s="1"/>
  <c r="F9" i="81" s="1"/>
  <c r="L9" i="81" s="1"/>
  <c r="I9" i="81"/>
  <c r="D94" i="81"/>
  <c r="P9" i="81"/>
  <c r="J9" i="81"/>
  <c r="L93" i="81"/>
  <c r="S9" i="81"/>
  <c r="N9" i="81" l="1"/>
  <c r="J93" i="81"/>
  <c r="R9" i="81"/>
  <c r="K93" i="81"/>
  <c r="K94" i="81" s="1"/>
  <c r="M9" i="81" s="1"/>
  <c r="T9" i="81"/>
  <c r="X9" i="81"/>
  <c r="U9" i="81"/>
  <c r="V9" i="81"/>
  <c r="W9" i="81"/>
  <c r="Q9" i="81" l="1"/>
  <c r="K9" i="81"/>
  <c r="D10" i="81"/>
  <c r="I135" i="81"/>
  <c r="I136" i="81"/>
  <c r="I137" i="81"/>
  <c r="H137" i="81" s="1"/>
  <c r="F10" i="81" s="1"/>
  <c r="K10" i="81"/>
  <c r="P10" i="81"/>
  <c r="M10" i="81"/>
  <c r="Q10" i="81" s="1"/>
  <c r="L135" i="81"/>
  <c r="H10" i="81"/>
  <c r="S10" i="81"/>
  <c r="J10" i="81"/>
  <c r="I10" i="81" l="1"/>
  <c r="J135" i="81"/>
  <c r="T10" i="81"/>
  <c r="V10" i="81"/>
  <c r="U10" i="81"/>
  <c r="X10" i="81"/>
  <c r="W10" i="81"/>
  <c r="D11" i="81" l="1"/>
  <c r="D12" i="81" s="1"/>
  <c r="I12" i="81"/>
  <c r="P12" i="81"/>
  <c r="S12" i="81"/>
  <c r="E14" i="81"/>
  <c r="H14" i="81" l="1"/>
  <c r="I14" i="81"/>
  <c r="J14" i="81"/>
  <c r="M14" i="81"/>
  <c r="N14" i="81"/>
  <c r="R14" i="81"/>
  <c r="E15" i="81"/>
  <c r="O14" i="81"/>
  <c r="P14" i="81" l="1"/>
  <c r="H15" i="81"/>
  <c r="I15" i="81"/>
  <c r="J15" i="81"/>
  <c r="M15" i="81"/>
  <c r="N15" i="81"/>
  <c r="R15" i="81"/>
  <c r="O15" i="81"/>
  <c r="E16" i="81"/>
  <c r="P15" i="81" l="1"/>
  <c r="H16" i="81"/>
  <c r="I16" i="81"/>
  <c r="J16" i="81"/>
  <c r="M16" i="81"/>
  <c r="N16" i="81"/>
  <c r="R16" i="81"/>
  <c r="O16" i="81"/>
  <c r="E17" i="81"/>
  <c r="P16" i="81" l="1"/>
  <c r="H17" i="81"/>
  <c r="I17" i="81"/>
  <c r="J17" i="81"/>
  <c r="M17" i="81"/>
  <c r="N17" i="81"/>
  <c r="R17" i="81"/>
  <c r="O17" i="81"/>
  <c r="E18" i="81"/>
  <c r="P17" i="81" l="1"/>
  <c r="H18" i="81"/>
  <c r="I18" i="81"/>
  <c r="J18" i="81"/>
  <c r="M18" i="81"/>
  <c r="N18" i="81"/>
  <c r="O18" i="81"/>
  <c r="R18" i="81"/>
  <c r="E19" i="81"/>
  <c r="P18" i="81" l="1"/>
  <c r="H19" i="81"/>
  <c r="I19" i="81"/>
  <c r="J19" i="81"/>
  <c r="M19" i="81"/>
  <c r="N19" i="81"/>
  <c r="R19" i="81"/>
  <c r="E20" i="81"/>
  <c r="O19" i="81"/>
  <c r="P19" i="81" l="1"/>
  <c r="H20" i="81"/>
  <c r="I20" i="81"/>
  <c r="J20" i="81"/>
  <c r="M20" i="81"/>
  <c r="N20" i="81"/>
  <c r="R20" i="81"/>
  <c r="O20" i="81"/>
  <c r="E21" i="81"/>
  <c r="P20" i="81" l="1"/>
  <c r="H21" i="81"/>
  <c r="I21" i="81"/>
  <c r="J21" i="81"/>
  <c r="N21" i="81" s="1"/>
  <c r="M21" i="81"/>
  <c r="R21" i="81"/>
  <c r="O21" i="81"/>
  <c r="E22" i="81"/>
  <c r="P21" i="81" l="1"/>
  <c r="H22" i="81"/>
  <c r="I22" i="81"/>
  <c r="N22" i="81" s="1"/>
  <c r="J22" i="81"/>
  <c r="M22" i="81"/>
  <c r="R22" i="81"/>
  <c r="E23" i="81"/>
  <c r="O22" i="81"/>
  <c r="P22" i="81" l="1"/>
  <c r="H23" i="81"/>
  <c r="I23" i="81"/>
  <c r="J23" i="81"/>
  <c r="M23" i="81"/>
  <c r="N23" i="81"/>
  <c r="R23" i="81"/>
  <c r="E24" i="81"/>
  <c r="O23" i="81"/>
  <c r="P23" i="81" l="1"/>
  <c r="H24" i="81"/>
  <c r="I24" i="81"/>
  <c r="J24" i="81"/>
  <c r="N24" i="81" s="1"/>
  <c r="M24" i="81"/>
  <c r="E25" i="81"/>
  <c r="R24" i="81"/>
  <c r="O24" i="81"/>
  <c r="P24" i="81" l="1"/>
  <c r="H25" i="81"/>
  <c r="I25" i="81"/>
  <c r="J25" i="81"/>
  <c r="M25" i="81"/>
  <c r="N25" i="81"/>
  <c r="E26" i="81"/>
  <c r="R25" i="81"/>
  <c r="O25" i="81"/>
  <c r="P25" i="81" l="1"/>
  <c r="H26" i="81"/>
  <c r="I26" i="81"/>
  <c r="J26" i="81"/>
  <c r="M26" i="81"/>
  <c r="N26" i="81"/>
  <c r="R26" i="81"/>
  <c r="O26" i="81"/>
  <c r="E27" i="81"/>
  <c r="P26" i="81" l="1"/>
  <c r="H27" i="81"/>
  <c r="I27" i="81"/>
  <c r="J27" i="81"/>
  <c r="M27" i="81"/>
  <c r="N27" i="81"/>
  <c r="R27" i="81"/>
  <c r="E28" i="81"/>
  <c r="O27" i="81"/>
  <c r="P27" i="81" l="1"/>
  <c r="H28" i="81"/>
  <c r="I28" i="81"/>
  <c r="J28" i="81"/>
  <c r="N28" i="81" s="1"/>
  <c r="M28" i="81"/>
  <c r="O28" i="81"/>
  <c r="R28" i="81"/>
  <c r="E29" i="81"/>
  <c r="P28" i="81" l="1"/>
  <c r="H29" i="81"/>
  <c r="I29" i="81"/>
  <c r="J29" i="81"/>
  <c r="N29" i="81" s="1"/>
  <c r="M29" i="81"/>
  <c r="R29" i="81"/>
  <c r="E30" i="81"/>
  <c r="O29" i="81"/>
  <c r="P29" i="81" l="1"/>
  <c r="H30" i="81"/>
  <c r="I30" i="81"/>
  <c r="J30" i="81"/>
  <c r="M30" i="81"/>
  <c r="N30" i="81"/>
  <c r="R30" i="81"/>
  <c r="O30" i="81"/>
  <c r="E31" i="81"/>
  <c r="P30" i="81" l="1"/>
  <c r="H31" i="81"/>
  <c r="I31" i="81"/>
  <c r="J31" i="81"/>
  <c r="M31" i="81"/>
  <c r="N31" i="81"/>
  <c r="R31" i="81"/>
  <c r="E32" i="81"/>
  <c r="O31" i="81"/>
  <c r="P31" i="81" l="1"/>
  <c r="H32" i="81"/>
  <c r="I32" i="81"/>
  <c r="J32" i="81"/>
  <c r="M32" i="81"/>
  <c r="N32" i="81"/>
  <c r="R32" i="81"/>
  <c r="E33" i="81"/>
  <c r="O32" i="81"/>
  <c r="P32" i="81" l="1"/>
  <c r="H33" i="81"/>
  <c r="I33" i="81"/>
  <c r="J33" i="81"/>
  <c r="M33" i="81"/>
  <c r="N33" i="81"/>
  <c r="R33" i="81"/>
  <c r="E34" i="81"/>
  <c r="O33" i="81"/>
  <c r="P33" i="81" l="1"/>
  <c r="H34" i="81"/>
  <c r="I34" i="81"/>
  <c r="J34" i="81"/>
  <c r="M34" i="81"/>
  <c r="N34" i="81"/>
  <c r="R34" i="81"/>
  <c r="O34" i="81"/>
  <c r="E35" i="81"/>
  <c r="P34" i="81" l="1"/>
  <c r="H35" i="81"/>
  <c r="I35" i="81"/>
  <c r="J35" i="81"/>
  <c r="N35" i="81" s="1"/>
  <c r="M35" i="81"/>
  <c r="R35" i="81"/>
  <c r="E36" i="81"/>
  <c r="O35" i="81"/>
  <c r="P35" i="81" l="1"/>
  <c r="H36" i="81"/>
  <c r="I36" i="81"/>
  <c r="J36" i="81"/>
  <c r="M36" i="81"/>
  <c r="N36" i="81"/>
  <c r="N37" i="81"/>
  <c r="R36" i="81"/>
  <c r="O36" i="81"/>
  <c r="E41" i="81"/>
  <c r="P36" i="81" l="1"/>
  <c r="P37" i="81" s="1"/>
  <c r="H41" i="81"/>
  <c r="I41" i="81"/>
  <c r="N41" i="81" s="1"/>
  <c r="J41" i="81"/>
  <c r="M41" i="81"/>
  <c r="O41" i="81"/>
  <c r="R41" i="81"/>
  <c r="E42" i="81"/>
  <c r="P41" i="81" l="1"/>
  <c r="H42" i="81"/>
  <c r="I42" i="81"/>
  <c r="J42" i="81"/>
  <c r="M42" i="81"/>
  <c r="N42" i="81"/>
  <c r="P42" i="81"/>
  <c r="H43" i="81"/>
  <c r="I43" i="81"/>
  <c r="J43" i="81"/>
  <c r="N43" i="81" s="1"/>
  <c r="M43" i="81"/>
  <c r="O42" i="81"/>
  <c r="E44" i="81"/>
  <c r="R42" i="81"/>
  <c r="O43" i="81"/>
  <c r="R43" i="81"/>
  <c r="E43" i="81"/>
  <c r="P43" i="81" l="1"/>
  <c r="H44" i="81"/>
  <c r="I44" i="81"/>
  <c r="J44" i="81"/>
  <c r="M44" i="81"/>
  <c r="N44" i="81"/>
  <c r="N45" i="81"/>
  <c r="G50" i="81"/>
  <c r="D50" i="81"/>
  <c r="R44" i="81"/>
  <c r="O44" i="81"/>
  <c r="P44" i="81" l="1"/>
  <c r="P45" i="81" s="1"/>
  <c r="I50" i="81"/>
  <c r="M50" i="81"/>
  <c r="L50" i="81"/>
  <c r="D51" i="81"/>
  <c r="G51" i="81"/>
  <c r="J50" i="81" l="1"/>
  <c r="K50" i="81" s="1"/>
  <c r="I51" i="81"/>
  <c r="G52" i="81"/>
  <c r="M51" i="81"/>
  <c r="L51" i="81"/>
  <c r="D52" i="81"/>
  <c r="J51" i="81" l="1"/>
  <c r="K51" i="81" s="1"/>
  <c r="I52" i="81"/>
  <c r="L52" i="81"/>
  <c r="M52" i="81"/>
  <c r="D53" i="81"/>
  <c r="G53" i="81"/>
  <c r="J52" i="81" l="1"/>
  <c r="K52" i="81" s="1"/>
  <c r="I53" i="81"/>
  <c r="D54" i="81"/>
  <c r="M53" i="81"/>
  <c r="L53" i="81"/>
  <c r="G54" i="81"/>
  <c r="J53" i="81" l="1"/>
  <c r="K53" i="81" s="1"/>
  <c r="I54" i="81"/>
  <c r="M54" i="81"/>
  <c r="D55" i="81"/>
  <c r="G55" i="81"/>
  <c r="L54" i="81"/>
  <c r="J54" i="81" l="1"/>
  <c r="K54" i="81" s="1"/>
  <c r="I55" i="81"/>
  <c r="D56" i="81"/>
  <c r="G56" i="81"/>
  <c r="L55" i="81"/>
  <c r="M55" i="81"/>
  <c r="J55" i="81" l="1"/>
  <c r="K55" i="81" s="1"/>
  <c r="I56" i="81"/>
  <c r="M56" i="81"/>
  <c r="G57" i="81"/>
  <c r="L56" i="81"/>
  <c r="D57" i="81"/>
  <c r="J56" i="81" l="1"/>
  <c r="K56" i="81" s="1"/>
  <c r="I57" i="81"/>
  <c r="G58" i="81"/>
  <c r="M57" i="81"/>
  <c r="L57" i="81"/>
  <c r="D58" i="81"/>
  <c r="J57" i="81" l="1"/>
  <c r="K57" i="81" s="1"/>
  <c r="I58" i="81"/>
  <c r="L58" i="81"/>
  <c r="G59" i="81"/>
  <c r="D59" i="81"/>
  <c r="M58" i="81"/>
  <c r="J58" i="81" l="1"/>
  <c r="K58" i="81" s="1"/>
  <c r="I59" i="81"/>
  <c r="I60" i="81" s="1"/>
  <c r="H60" i="81" s="1"/>
  <c r="F60" i="81"/>
  <c r="D60" i="81" s="1"/>
  <c r="M59" i="81"/>
  <c r="G62" i="81"/>
  <c r="D62" i="81"/>
  <c r="L59" i="81"/>
  <c r="J59" i="81" l="1"/>
  <c r="K59" i="81" s="1"/>
  <c r="K60" i="81" s="1"/>
  <c r="M63" i="81"/>
  <c r="D63" i="81"/>
  <c r="M62" i="81"/>
  <c r="G64" i="81"/>
  <c r="G63" i="81"/>
  <c r="L63" i="81"/>
  <c r="H63" i="81"/>
  <c r="D64" i="81"/>
  <c r="J60" i="81" l="1"/>
  <c r="I63" i="81"/>
  <c r="D65" i="81"/>
  <c r="M64" i="81"/>
  <c r="H64" i="81"/>
  <c r="L64" i="81"/>
  <c r="G65" i="81"/>
  <c r="J63" i="81" l="1"/>
  <c r="K63" i="81" s="1"/>
  <c r="I64" i="81"/>
  <c r="J64" i="81" s="1"/>
  <c r="K64" i="81" s="1"/>
  <c r="H65" i="81"/>
  <c r="M65" i="81"/>
  <c r="L65" i="81"/>
  <c r="G66" i="81"/>
  <c r="D66" i="81"/>
  <c r="I65" i="81" l="1"/>
  <c r="J65" i="81" s="1"/>
  <c r="K65" i="81" s="1"/>
  <c r="G67" i="81"/>
  <c r="L66" i="81"/>
  <c r="D67" i="81"/>
  <c r="H66" i="81"/>
  <c r="M66" i="81"/>
  <c r="I66" i="81" l="1"/>
  <c r="J66" i="81" s="1"/>
  <c r="K66" i="81" s="1"/>
  <c r="G70" i="81"/>
  <c r="M67" i="81"/>
  <c r="H67" i="81"/>
  <c r="L67" i="81"/>
  <c r="D70" i="81"/>
  <c r="I67" i="81" l="1"/>
  <c r="K70" i="81"/>
  <c r="D72" i="81"/>
  <c r="G71" i="81"/>
  <c r="M70" i="81"/>
  <c r="D71" i="81"/>
  <c r="G72" i="81"/>
  <c r="M71" i="81"/>
  <c r="L71" i="81"/>
  <c r="J67" i="81" l="1"/>
  <c r="I68" i="81"/>
  <c r="H68" i="81" s="1"/>
  <c r="F6" i="81" s="1"/>
  <c r="J71" i="81"/>
  <c r="L72" i="81"/>
  <c r="D75" i="81"/>
  <c r="M72" i="81"/>
  <c r="G75" i="81"/>
  <c r="K71" i="81" l="1"/>
  <c r="L6" i="81"/>
  <c r="N6" i="81"/>
  <c r="R6" i="81" s="1"/>
  <c r="K67" i="81"/>
  <c r="K68" i="81" s="1"/>
  <c r="M6" i="81" s="1"/>
  <c r="J68" i="81"/>
  <c r="J72" i="81"/>
  <c r="K72" i="81" s="1"/>
  <c r="K75" i="81"/>
  <c r="M76" i="81"/>
  <c r="G77" i="81"/>
  <c r="D77" i="81"/>
  <c r="M75" i="81"/>
  <c r="D76" i="81"/>
  <c r="G76" i="81"/>
  <c r="L76" i="81"/>
  <c r="Q6" i="81" l="1"/>
  <c r="K6" i="81"/>
  <c r="J73" i="81"/>
  <c r="N7" i="81" s="1"/>
  <c r="K73" i="81"/>
  <c r="J76" i="81"/>
  <c r="L77" i="81"/>
  <c r="M77" i="81"/>
  <c r="D78" i="81"/>
  <c r="G78" i="81"/>
  <c r="K76" i="81" l="1"/>
  <c r="L7" i="81"/>
  <c r="R7" i="81"/>
  <c r="J77" i="81"/>
  <c r="K77" i="81" s="1"/>
  <c r="M78" i="81"/>
  <c r="G79" i="81"/>
  <c r="L78" i="81"/>
  <c r="D79" i="81"/>
  <c r="J78" i="81" l="1"/>
  <c r="K78" i="81" s="1"/>
  <c r="M79" i="81"/>
  <c r="L79" i="81"/>
  <c r="G80" i="81"/>
  <c r="D80" i="81"/>
  <c r="J79" i="81" l="1"/>
  <c r="K79" i="81" s="1"/>
  <c r="L80" i="81"/>
  <c r="D83" i="81"/>
  <c r="G83" i="81"/>
  <c r="M80" i="81"/>
  <c r="J80" i="81" l="1"/>
  <c r="K80" i="81" s="1"/>
  <c r="K81" i="81" s="1"/>
  <c r="M84" i="81"/>
  <c r="G84" i="81"/>
  <c r="G85" i="81"/>
  <c r="M83" i="81"/>
  <c r="H84" i="81"/>
  <c r="L84" i="81"/>
  <c r="D85" i="81"/>
  <c r="D84" i="81"/>
  <c r="J81" i="81" l="1"/>
  <c r="N8" i="81" s="1"/>
  <c r="I84" i="81"/>
  <c r="M85" i="81"/>
  <c r="H85" i="81"/>
  <c r="L85" i="81"/>
  <c r="D86" i="81"/>
  <c r="G86" i="81"/>
  <c r="J84" i="81" l="1"/>
  <c r="K84" i="81" s="1"/>
  <c r="R8" i="81"/>
  <c r="L8" i="81"/>
  <c r="I85" i="81"/>
  <c r="J85" i="81" s="1"/>
  <c r="K85" i="81" s="1"/>
  <c r="G89" i="81"/>
  <c r="H86" i="81"/>
  <c r="L86" i="81"/>
  <c r="D89" i="81"/>
  <c r="M86" i="81"/>
  <c r="I86" i="81" l="1"/>
  <c r="J86" i="81" s="1"/>
  <c r="I89" i="81"/>
  <c r="M89" i="81"/>
  <c r="L89" i="81"/>
  <c r="G90" i="81"/>
  <c r="D90" i="81"/>
  <c r="K86" i="81" l="1"/>
  <c r="K87" i="81" s="1"/>
  <c r="M5" i="81" s="1"/>
  <c r="J87" i="81"/>
  <c r="I87" i="81"/>
  <c r="H87" i="81" s="1"/>
  <c r="F5" i="81" s="1"/>
  <c r="J89" i="81"/>
  <c r="K89" i="81" s="1"/>
  <c r="I90" i="81"/>
  <c r="I91" i="81" s="1"/>
  <c r="H91" i="81" s="1"/>
  <c r="F91" i="81"/>
  <c r="D91" i="81"/>
  <c r="D93" i="81"/>
  <c r="G93" i="81"/>
  <c r="L90" i="81"/>
  <c r="M90" i="81"/>
  <c r="L5" i="81" l="1"/>
  <c r="N5" i="81"/>
  <c r="K5" i="81"/>
  <c r="Q5" i="81"/>
  <c r="Q12" i="81" s="1"/>
  <c r="M12" i="81"/>
  <c r="Q13" i="81" s="1"/>
  <c r="J90" i="81"/>
  <c r="K90" i="81" s="1"/>
  <c r="K91" i="81" s="1"/>
  <c r="J94" i="81"/>
  <c r="G96" i="81"/>
  <c r="M93" i="81"/>
  <c r="D96" i="81"/>
  <c r="J91" i="81" l="1"/>
  <c r="R5" i="81"/>
  <c r="I96" i="81"/>
  <c r="J96" i="81"/>
  <c r="J97" i="81" s="1"/>
  <c r="H97" i="81" s="1"/>
  <c r="F97" i="81"/>
  <c r="I97" i="81"/>
  <c r="M96" i="81"/>
  <c r="L96" i="81"/>
  <c r="D99" i="81"/>
  <c r="G99" i="81"/>
  <c r="K96" i="81" l="1"/>
  <c r="K97" i="81" s="1"/>
  <c r="I99" i="81"/>
  <c r="J99" i="81"/>
  <c r="M99" i="81"/>
  <c r="G100" i="81"/>
  <c r="L99" i="81"/>
  <c r="D100" i="81"/>
  <c r="K99" i="81" l="1"/>
  <c r="I100" i="81"/>
  <c r="J100" i="81"/>
  <c r="M100" i="81"/>
  <c r="L100" i="81"/>
  <c r="D101" i="81"/>
  <c r="G101" i="81"/>
  <c r="K100" i="81" l="1"/>
  <c r="I101" i="81"/>
  <c r="J101" i="81"/>
  <c r="F102" i="81"/>
  <c r="J102" i="81"/>
  <c r="H102" i="81" s="1"/>
  <c r="I102" i="81"/>
  <c r="D104" i="81"/>
  <c r="G104" i="81"/>
  <c r="L101" i="81"/>
  <c r="M101" i="81"/>
  <c r="K101" i="81" l="1"/>
  <c r="K102" i="81" s="1"/>
  <c r="I104" i="81"/>
  <c r="J104" i="81"/>
  <c r="F105" i="81"/>
  <c r="J105" i="81"/>
  <c r="H105" i="81" s="1"/>
  <c r="I105" i="81"/>
  <c r="G107" i="81"/>
  <c r="D107" i="81"/>
  <c r="M104" i="81"/>
  <c r="L104" i="81"/>
  <c r="K104" i="81" l="1"/>
  <c r="K105" i="81" s="1"/>
  <c r="I107" i="81"/>
  <c r="J107" i="81"/>
  <c r="M107" i="81"/>
  <c r="D108" i="81"/>
  <c r="G108" i="81"/>
  <c r="L107" i="81"/>
  <c r="K107" i="81" l="1"/>
  <c r="I108" i="81"/>
  <c r="J108" i="81"/>
  <c r="M108" i="81"/>
  <c r="D109" i="81"/>
  <c r="L108" i="81"/>
  <c r="G109" i="81"/>
  <c r="K108" i="81" l="1"/>
  <c r="I109" i="81"/>
  <c r="J109" i="81"/>
  <c r="F110" i="81"/>
  <c r="J110" i="81"/>
  <c r="H110" i="81"/>
  <c r="I110" i="81"/>
  <c r="D112" i="81"/>
  <c r="G112" i="81"/>
  <c r="M109" i="81"/>
  <c r="L109" i="81"/>
  <c r="K109" i="81" l="1"/>
  <c r="K110" i="81" s="1"/>
  <c r="I112" i="81"/>
  <c r="J112" i="81"/>
  <c r="F113" i="81"/>
  <c r="J113" i="81"/>
  <c r="H113" i="81" s="1"/>
  <c r="I113" i="81"/>
  <c r="D115" i="81"/>
  <c r="G115" i="81"/>
  <c r="M112" i="81"/>
  <c r="L112" i="81"/>
  <c r="K112" i="81" l="1"/>
  <c r="K113" i="81" s="1"/>
  <c r="I115" i="81"/>
  <c r="J115" i="81"/>
  <c r="F116" i="81"/>
  <c r="J116" i="81"/>
  <c r="H116" i="81" s="1"/>
  <c r="I116" i="81"/>
  <c r="G118" i="81"/>
  <c r="L115" i="81"/>
  <c r="M115" i="81"/>
  <c r="D118" i="81"/>
  <c r="K115" i="81" l="1"/>
  <c r="K116" i="81" s="1"/>
  <c r="I118" i="81"/>
  <c r="J118" i="81" s="1"/>
  <c r="G119" i="81"/>
  <c r="M118" i="81"/>
  <c r="L118" i="81"/>
  <c r="D119" i="81"/>
  <c r="K118" i="81" l="1"/>
  <c r="I119" i="81"/>
  <c r="J119" i="81"/>
  <c r="F120" i="81"/>
  <c r="J120" i="81"/>
  <c r="H120" i="81" s="1"/>
  <c r="I120" i="81"/>
  <c r="L119" i="81"/>
  <c r="D122" i="81"/>
  <c r="G122" i="81"/>
  <c r="M119" i="81"/>
  <c r="K119" i="81" l="1"/>
  <c r="K120" i="81" s="1"/>
  <c r="I122" i="81"/>
  <c r="J122" i="81"/>
  <c r="L122" i="81"/>
  <c r="G123" i="81"/>
  <c r="M122" i="81"/>
  <c r="D123" i="81"/>
  <c r="K122" i="81" l="1"/>
  <c r="I123" i="81"/>
  <c r="J123" i="81"/>
  <c r="F124" i="81"/>
  <c r="J124" i="81"/>
  <c r="H124" i="81" s="1"/>
  <c r="I124" i="81"/>
  <c r="G126" i="81"/>
  <c r="D126" i="81"/>
  <c r="L123" i="81"/>
  <c r="M123" i="81"/>
  <c r="K123" i="81" l="1"/>
  <c r="K124" i="81" s="1"/>
  <c r="I126" i="81"/>
  <c r="J126" i="81"/>
  <c r="F127" i="81"/>
  <c r="J127" i="81"/>
  <c r="H127" i="81" s="1"/>
  <c r="I127" i="81"/>
  <c r="G129" i="81"/>
  <c r="M126" i="81"/>
  <c r="L126" i="81"/>
  <c r="D129" i="81"/>
  <c r="K126" i="81" l="1"/>
  <c r="K127" i="81" s="1"/>
  <c r="I129" i="81"/>
  <c r="J129" i="81"/>
  <c r="F130" i="81"/>
  <c r="J130" i="81"/>
  <c r="H130" i="81" s="1"/>
  <c r="I130" i="81"/>
  <c r="G132" i="81"/>
  <c r="L129" i="81"/>
  <c r="D132" i="81"/>
  <c r="M129" i="81"/>
  <c r="K129" i="81" l="1"/>
  <c r="K130" i="81" s="1"/>
  <c r="K132" i="81"/>
  <c r="K133" i="81" s="1"/>
  <c r="K135" i="81"/>
  <c r="D136" i="81"/>
  <c r="G136" i="81"/>
  <c r="L136" i="81"/>
  <c r="M132" i="81"/>
  <c r="M136" i="81"/>
  <c r="G135" i="81"/>
  <c r="D135" i="81"/>
  <c r="M135" i="81"/>
  <c r="J136" i="81" l="1"/>
  <c r="K136" i="81" l="1"/>
  <c r="K137" i="81" s="1"/>
  <c r="J137" i="81"/>
  <c r="N10" i="81" s="1"/>
  <c r="L10" i="81" l="1"/>
  <c r="R10" i="81"/>
  <c r="R12" i="81" s="1"/>
  <c r="N12" i="81"/>
  <c r="R13" i="81" s="1"/>
  <c r="M58" i="84" l="1"/>
  <c r="J58" i="84"/>
  <c r="I58" i="84"/>
  <c r="H58" i="84"/>
  <c r="B58" i="84"/>
  <c r="I1" i="68"/>
  <c r="K1" i="68"/>
  <c r="G1" i="68"/>
  <c r="E58" i="84"/>
  <c r="R58" i="84"/>
  <c r="O58" i="84"/>
  <c r="P1" i="68"/>
  <c r="N58" i="84" l="1"/>
  <c r="P58" i="84" s="1"/>
  <c r="F111" i="68"/>
  <c r="E4" i="68" s="1"/>
  <c r="F127" i="68"/>
  <c r="E5" i="68" s="1"/>
  <c r="F98" i="68"/>
  <c r="E6" i="68"/>
  <c r="F101" i="68"/>
  <c r="E7" i="68" s="1"/>
  <c r="F52" i="68"/>
  <c r="E8" i="68" s="1"/>
  <c r="F130" i="68"/>
  <c r="E9" i="68"/>
  <c r="F89" i="68"/>
  <c r="E10" i="68" s="1"/>
  <c r="F59" i="68"/>
  <c r="E11" i="68"/>
  <c r="F56" i="68"/>
  <c r="E12" i="68"/>
  <c r="F133" i="68"/>
  <c r="E13" i="68"/>
  <c r="F76" i="68"/>
  <c r="E14" i="68" s="1"/>
  <c r="F121" i="68"/>
  <c r="E15" i="68" s="1"/>
  <c r="F146" i="68"/>
  <c r="E16" i="68"/>
  <c r="F137" i="68"/>
  <c r="E17" i="68"/>
  <c r="F143" i="68"/>
  <c r="E18" i="68" s="1"/>
  <c r="F124" i="68"/>
  <c r="E19" i="68"/>
  <c r="F66" i="68"/>
  <c r="E20" i="68"/>
  <c r="F140" i="68"/>
  <c r="E21" i="68"/>
  <c r="I109" i="68"/>
  <c r="I110" i="68"/>
  <c r="I111" i="68" s="1"/>
  <c r="H111" i="68" s="1"/>
  <c r="F4" i="68" s="1"/>
  <c r="J109" i="68"/>
  <c r="N4" i="68"/>
  <c r="S4" i="68"/>
  <c r="G10" i="68"/>
  <c r="G7" i="68"/>
  <c r="G20" i="68"/>
  <c r="G14" i="68"/>
  <c r="G18" i="68"/>
  <c r="G21" i="68"/>
  <c r="G8" i="68"/>
  <c r="G12" i="68"/>
  <c r="G19" i="68"/>
  <c r="H4" i="68"/>
  <c r="G4" i="68"/>
  <c r="G5" i="68"/>
  <c r="G13" i="68"/>
  <c r="G6" i="68"/>
  <c r="G15" i="68"/>
  <c r="G17" i="68"/>
  <c r="L109" i="68"/>
  <c r="J4" i="68"/>
  <c r="G16" i="68"/>
  <c r="G11" i="68"/>
  <c r="G9" i="68"/>
  <c r="I4" i="68" l="1"/>
  <c r="P20" i="68"/>
  <c r="P13" i="68"/>
  <c r="P12" i="68"/>
  <c r="P10" i="68"/>
  <c r="P9" i="68"/>
  <c r="P14" i="68"/>
  <c r="P5" i="68"/>
  <c r="P16" i="68"/>
  <c r="P7" i="68"/>
  <c r="P18" i="68"/>
  <c r="P11" i="68"/>
  <c r="O4" i="68"/>
  <c r="P4" i="68"/>
  <c r="R4" i="68" s="1"/>
  <c r="P6" i="68"/>
  <c r="P17" i="68"/>
  <c r="P15" i="68"/>
  <c r="P21" i="68"/>
  <c r="P19" i="68"/>
  <c r="P8" i="68"/>
  <c r="K109" i="68"/>
  <c r="V4" i="68"/>
  <c r="W4" i="68"/>
  <c r="U4" i="68"/>
  <c r="X4" i="68"/>
  <c r="T4" i="68" l="1"/>
  <c r="P23" i="68"/>
  <c r="D4" i="68" s="1"/>
  <c r="L4" i="68"/>
  <c r="I126" i="68"/>
  <c r="I127" i="68" s="1"/>
  <c r="H127" i="68" s="1"/>
  <c r="F5" i="68" s="1"/>
  <c r="O5" i="68"/>
  <c r="J126" i="68"/>
  <c r="N5" i="68"/>
  <c r="L5" i="68" s="1"/>
  <c r="S5" i="68"/>
  <c r="J5" i="68"/>
  <c r="L126" i="68"/>
  <c r="H5" i="68"/>
  <c r="D5" i="68" l="1"/>
  <c r="I5" i="68"/>
  <c r="K126" i="68"/>
  <c r="K127" i="68" s="1"/>
  <c r="M5" i="68" s="1"/>
  <c r="R5" i="68"/>
  <c r="T5" i="68"/>
  <c r="V5" i="68"/>
  <c r="U5" i="68"/>
  <c r="W5" i="68"/>
  <c r="X5" i="68"/>
  <c r="Q5" i="68" l="1"/>
  <c r="K5" i="68"/>
  <c r="D6" i="68"/>
  <c r="I97" i="68"/>
  <c r="I98" i="68"/>
  <c r="H98" i="68" s="1"/>
  <c r="F6" i="68" s="1"/>
  <c r="O6" i="68"/>
  <c r="J97" i="68"/>
  <c r="N6" i="68"/>
  <c r="L6" i="68" s="1"/>
  <c r="L97" i="68"/>
  <c r="J6" i="68"/>
  <c r="S6" i="68"/>
  <c r="H6" i="68"/>
  <c r="I6" i="68" l="1"/>
  <c r="K97" i="68"/>
  <c r="K98" i="68" s="1"/>
  <c r="M6" i="68" s="1"/>
  <c r="R6" i="68"/>
  <c r="T6" i="68"/>
  <c r="W6" i="68"/>
  <c r="V6" i="68"/>
  <c r="U6" i="68"/>
  <c r="X6" i="68"/>
  <c r="Q6" i="68" l="1"/>
  <c r="K6" i="68"/>
  <c r="D7" i="68"/>
  <c r="I100" i="68"/>
  <c r="I101" i="68"/>
  <c r="H101" i="68"/>
  <c r="F7" i="68"/>
  <c r="O7" i="68"/>
  <c r="K7" i="68" s="1"/>
  <c r="M7" i="68"/>
  <c r="H7" i="68"/>
  <c r="L100" i="68"/>
  <c r="S7" i="68"/>
  <c r="J7" i="68"/>
  <c r="I7" i="68" l="1"/>
  <c r="Q7" i="68"/>
  <c r="J100" i="68"/>
  <c r="J101" i="68" s="1"/>
  <c r="N7" i="68" s="1"/>
  <c r="T7" i="68"/>
  <c r="W7" i="68"/>
  <c r="U7" i="68"/>
  <c r="X7" i="68"/>
  <c r="V7" i="68"/>
  <c r="R7" i="68" l="1"/>
  <c r="L7" i="68"/>
  <c r="D8" i="68"/>
  <c r="I49" i="68"/>
  <c r="I50" i="68"/>
  <c r="I52" i="68" s="1"/>
  <c r="H52" i="68" s="1"/>
  <c r="F8" i="68" s="1"/>
  <c r="I51" i="68"/>
  <c r="O8" i="68"/>
  <c r="K8" i="68" s="1"/>
  <c r="M8" i="68"/>
  <c r="L49" i="68"/>
  <c r="S8" i="68"/>
  <c r="J8" i="68"/>
  <c r="H8" i="68"/>
  <c r="I8" i="68" l="1"/>
  <c r="Q8" i="68"/>
  <c r="J49" i="68"/>
  <c r="T8" i="68"/>
  <c r="W8" i="68"/>
  <c r="U8" i="68"/>
  <c r="X8" i="68"/>
  <c r="V8" i="68"/>
  <c r="D9" i="68" l="1"/>
  <c r="I129" i="68"/>
  <c r="I130" i="68"/>
  <c r="H130" i="68" s="1"/>
  <c r="F9" i="68" s="1"/>
  <c r="O9" i="68"/>
  <c r="J129" i="68"/>
  <c r="N9" i="68"/>
  <c r="L9" i="68" s="1"/>
  <c r="L129" i="68"/>
  <c r="H9" i="68"/>
  <c r="J9" i="68"/>
  <c r="S9" i="68"/>
  <c r="I9" i="68" l="1"/>
  <c r="K129" i="68"/>
  <c r="K130" i="68" s="1"/>
  <c r="M9" i="68" s="1"/>
  <c r="R9" i="68"/>
  <c r="T9" i="68"/>
  <c r="U9" i="68"/>
  <c r="V9" i="68"/>
  <c r="W9" i="68"/>
  <c r="X9" i="68"/>
  <c r="Q9" i="68" l="1"/>
  <c r="K9" i="68"/>
  <c r="D10" i="68"/>
  <c r="I86" i="68"/>
  <c r="I87" i="68"/>
  <c r="I88" i="68"/>
  <c r="I89" i="68"/>
  <c r="H89" i="68" s="1"/>
  <c r="F10" i="68" s="1"/>
  <c r="O10" i="68"/>
  <c r="K10" i="68" s="1"/>
  <c r="M10" i="68"/>
  <c r="J10" i="68"/>
  <c r="S10" i="68"/>
  <c r="H10" i="68"/>
  <c r="L86" i="68"/>
  <c r="I10" i="68" l="1"/>
  <c r="Q10" i="68"/>
  <c r="J86" i="68"/>
  <c r="T10" i="68"/>
  <c r="V10" i="68"/>
  <c r="X10" i="68"/>
  <c r="W10" i="68"/>
  <c r="U10" i="68"/>
  <c r="D11" i="68" l="1"/>
  <c r="I58" i="68"/>
  <c r="I59" i="68"/>
  <c r="H59" i="68" s="1"/>
  <c r="F11" i="68" s="1"/>
  <c r="O11" i="68"/>
  <c r="J58" i="68"/>
  <c r="N11" i="68"/>
  <c r="L11" i="68" s="1"/>
  <c r="S11" i="68"/>
  <c r="H11" i="68"/>
  <c r="L58" i="68"/>
  <c r="J11" i="68"/>
  <c r="I11" i="68" l="1"/>
  <c r="K58" i="68"/>
  <c r="K59" i="68" s="1"/>
  <c r="M11" i="68" s="1"/>
  <c r="R11" i="68"/>
  <c r="T11" i="68"/>
  <c r="V11" i="68"/>
  <c r="X11" i="68"/>
  <c r="W11" i="68"/>
  <c r="U11" i="68"/>
  <c r="Q11" i="68" l="1"/>
  <c r="K11" i="68"/>
  <c r="D12" i="68"/>
  <c r="I54" i="68"/>
  <c r="I55" i="68"/>
  <c r="I56" i="68"/>
  <c r="H56" i="68" s="1"/>
  <c r="F12" i="68" s="1"/>
  <c r="O12" i="68"/>
  <c r="K12" i="68" s="1"/>
  <c r="M12" i="68"/>
  <c r="L54" i="68"/>
  <c r="J12" i="68"/>
  <c r="H12" i="68"/>
  <c r="S12" i="68"/>
  <c r="I12" i="68" l="1"/>
  <c r="Q12" i="68"/>
  <c r="J54" i="68"/>
  <c r="T12" i="68"/>
  <c r="X12" i="68"/>
  <c r="U12" i="68"/>
  <c r="V12" i="68"/>
  <c r="W12" i="68"/>
  <c r="D13" i="68" l="1"/>
  <c r="I132" i="68"/>
  <c r="I133" i="68"/>
  <c r="H133" i="68" s="1"/>
  <c r="F13" i="68" s="1"/>
  <c r="O13" i="68"/>
  <c r="M13" i="68"/>
  <c r="S13" i="68"/>
  <c r="H13" i="68"/>
  <c r="L132" i="68"/>
  <c r="J13" i="68"/>
  <c r="I13" i="68" l="1"/>
  <c r="Q13" i="68"/>
  <c r="J132" i="68"/>
  <c r="J133" i="68" s="1"/>
  <c r="N13" i="68" s="1"/>
  <c r="K13" i="68"/>
  <c r="T13" i="68"/>
  <c r="B14" i="68"/>
  <c r="U13" i="68"/>
  <c r="W13" i="68"/>
  <c r="V13" i="68"/>
  <c r="X13" i="68"/>
  <c r="R13" i="68" l="1"/>
  <c r="L13" i="68"/>
  <c r="D14" i="68"/>
  <c r="I74" i="68"/>
  <c r="I75" i="68"/>
  <c r="I76" i="68" s="1"/>
  <c r="H76" i="68" s="1"/>
  <c r="F14" i="68" s="1"/>
  <c r="O14" i="68"/>
  <c r="J74" i="68"/>
  <c r="N14" i="68"/>
  <c r="L14" i="68" s="1"/>
  <c r="L74" i="68"/>
  <c r="T14" i="68"/>
  <c r="S14" i="68"/>
  <c r="U14" i="68"/>
  <c r="B15" i="68"/>
  <c r="J14" i="68"/>
  <c r="V14" i="68"/>
  <c r="K74" i="68" l="1"/>
  <c r="R14" i="68"/>
  <c r="D15" i="68"/>
  <c r="I119" i="68"/>
  <c r="I120" i="68"/>
  <c r="I121" i="68"/>
  <c r="H121" i="68" s="1"/>
  <c r="F15" i="68" s="1"/>
  <c r="J15" i="68"/>
  <c r="O15" i="68" l="1"/>
  <c r="J119" i="68"/>
  <c r="N15" i="68"/>
  <c r="L15" i="68" s="1"/>
  <c r="R15" i="68"/>
  <c r="U15" i="68"/>
  <c r="T15" i="68"/>
  <c r="L119" i="68"/>
  <c r="S15" i="68"/>
  <c r="V15" i="68"/>
  <c r="B16" i="68"/>
  <c r="K119" i="68" l="1"/>
  <c r="D16" i="68"/>
  <c r="I145" i="68"/>
  <c r="I146" i="68"/>
  <c r="H146" i="68" s="1"/>
  <c r="F16" i="68" s="1"/>
  <c r="J16" i="68"/>
  <c r="O16" i="68" l="1"/>
  <c r="J145" i="68"/>
  <c r="N16" i="68"/>
  <c r="L16" i="68"/>
  <c r="R16" i="68"/>
  <c r="T16" i="68"/>
  <c r="L145" i="68"/>
  <c r="S16" i="68"/>
  <c r="V16" i="68"/>
  <c r="U16" i="68"/>
  <c r="B17" i="68"/>
  <c r="K145" i="68" l="1"/>
  <c r="K146" i="68" s="1"/>
  <c r="M16" i="68" s="1"/>
  <c r="K16" i="68" s="1"/>
  <c r="D17" i="68"/>
  <c r="I135" i="68"/>
  <c r="I136" i="68"/>
  <c r="I137" i="68"/>
  <c r="H137" i="68"/>
  <c r="F17" i="68"/>
  <c r="J17" i="68"/>
  <c r="Q16" i="68" l="1"/>
  <c r="O17" i="68"/>
  <c r="J135" i="68"/>
  <c r="N17" i="68"/>
  <c r="L17" i="68" s="1"/>
  <c r="R17" i="68"/>
  <c r="T17" i="68"/>
  <c r="V17" i="68"/>
  <c r="L135" i="68"/>
  <c r="S17" i="68"/>
  <c r="B18" i="68"/>
  <c r="U17" i="68"/>
  <c r="K135" i="68" l="1"/>
  <c r="D18" i="68"/>
  <c r="I142" i="68"/>
  <c r="I143" i="68"/>
  <c r="H143" i="68" s="1"/>
  <c r="F18" i="68" s="1"/>
  <c r="J18" i="68"/>
  <c r="O18" i="68" l="1"/>
  <c r="J142" i="68"/>
  <c r="N18" i="68"/>
  <c r="L18" i="68"/>
  <c r="R18" i="68"/>
  <c r="L142" i="68"/>
  <c r="B19" i="68"/>
  <c r="T18" i="68"/>
  <c r="V18" i="68"/>
  <c r="U18" i="68"/>
  <c r="S18" i="68"/>
  <c r="K142" i="68" l="1"/>
  <c r="K143" i="68" s="1"/>
  <c r="M18" i="68" s="1"/>
  <c r="D19" i="68"/>
  <c r="I123" i="68"/>
  <c r="I124" i="68"/>
  <c r="H124" i="68" s="1"/>
  <c r="F19" i="68" s="1"/>
  <c r="J19" i="68"/>
  <c r="K18" i="68" l="1"/>
  <c r="Q18" i="68"/>
  <c r="O19" i="68"/>
  <c r="J123" i="68"/>
  <c r="N19" i="68"/>
  <c r="L19" i="68"/>
  <c r="R19" i="68"/>
  <c r="T19" i="68"/>
  <c r="U19" i="68"/>
  <c r="S19" i="68"/>
  <c r="L123" i="68"/>
  <c r="B20" i="68"/>
  <c r="V19" i="68"/>
  <c r="K123" i="68" l="1"/>
  <c r="K124" i="68" s="1"/>
  <c r="M19" i="68" s="1"/>
  <c r="Q19" i="68" s="1"/>
  <c r="D20" i="68"/>
  <c r="I64" i="68"/>
  <c r="I66" i="68" s="1"/>
  <c r="H66" i="68" s="1"/>
  <c r="F20" i="68" s="1"/>
  <c r="I65" i="68"/>
  <c r="J20" i="68"/>
  <c r="K19" i="68" l="1"/>
  <c r="O20" i="68"/>
  <c r="J64" i="68"/>
  <c r="N20" i="68"/>
  <c r="L20" i="68" s="1"/>
  <c r="R20" i="68"/>
  <c r="S20" i="68"/>
  <c r="U20" i="68"/>
  <c r="L64" i="68"/>
  <c r="T20" i="68"/>
  <c r="V20" i="68"/>
  <c r="B21" i="68"/>
  <c r="K64" i="68" l="1"/>
  <c r="D21" i="68"/>
  <c r="I139" i="68"/>
  <c r="I140" i="68"/>
  <c r="H140" i="68"/>
  <c r="F21" i="68" s="1"/>
  <c r="J21" i="68"/>
  <c r="O21" i="68" l="1"/>
  <c r="J139" i="68"/>
  <c r="N21" i="68"/>
  <c r="L21" i="68"/>
  <c r="R21" i="68"/>
  <c r="U21" i="68"/>
  <c r="L139" i="68"/>
  <c r="S21" i="68"/>
  <c r="T21" i="68"/>
  <c r="V21" i="68"/>
  <c r="K139" i="68" l="1"/>
  <c r="K140" i="68" s="1"/>
  <c r="M21" i="68" s="1"/>
  <c r="Q21" i="68" s="1"/>
  <c r="D22" i="68"/>
  <c r="D23" i="68"/>
  <c r="I23" i="68"/>
  <c r="O23" i="68"/>
  <c r="S23" i="68"/>
  <c r="T23" i="68"/>
  <c r="E29" i="68"/>
  <c r="K21" i="68" l="1"/>
  <c r="H29" i="68"/>
  <c r="I29" i="68"/>
  <c r="J29" i="68"/>
  <c r="M29" i="68"/>
  <c r="N29" i="68"/>
  <c r="R29" i="68"/>
  <c r="E30" i="68"/>
  <c r="O29" i="68"/>
  <c r="P29" i="68" l="1"/>
  <c r="H30" i="68"/>
  <c r="I30" i="68"/>
  <c r="J30" i="68"/>
  <c r="N30" i="68" s="1"/>
  <c r="M30" i="68"/>
  <c r="E31" i="68"/>
  <c r="O30" i="68"/>
  <c r="R30" i="68"/>
  <c r="P30" i="68" l="1"/>
  <c r="H31" i="68"/>
  <c r="I31" i="68"/>
  <c r="J31" i="68"/>
  <c r="N31" i="68" s="1"/>
  <c r="M31" i="68"/>
  <c r="R31" i="68"/>
  <c r="O31" i="68"/>
  <c r="E32" i="68"/>
  <c r="P31" i="68" l="1"/>
  <c r="H32" i="68"/>
  <c r="I32" i="68"/>
  <c r="O32" i="68"/>
  <c r="R32" i="68"/>
  <c r="L32" i="68" l="1"/>
  <c r="E33" i="68"/>
  <c r="J32" i="68" l="1"/>
  <c r="N32" i="68" s="1"/>
  <c r="P32" i="68" s="1"/>
  <c r="M32" i="68"/>
  <c r="H33" i="68"/>
  <c r="I33" i="68"/>
  <c r="J33" i="68"/>
  <c r="N33" i="68" s="1"/>
  <c r="M33" i="68"/>
  <c r="B34" i="68"/>
  <c r="O33" i="68"/>
  <c r="R33" i="68"/>
  <c r="E34" i="68"/>
  <c r="P33" i="68" l="1"/>
  <c r="H34" i="68"/>
  <c r="I34" i="68"/>
  <c r="J34" i="68"/>
  <c r="M34" i="68"/>
  <c r="R34" i="68"/>
  <c r="O34" i="68"/>
  <c r="N34" i="68" l="1"/>
  <c r="P34" i="68" s="1"/>
  <c r="H35" i="68"/>
  <c r="I35" i="68"/>
  <c r="J35" i="68"/>
  <c r="M35" i="68"/>
  <c r="N35" i="68"/>
  <c r="C36" i="68"/>
  <c r="R35" i="68"/>
  <c r="E36" i="68"/>
  <c r="O35" i="68"/>
  <c r="B36" i="68"/>
  <c r="E35" i="68"/>
  <c r="P35" i="68" l="1"/>
  <c r="H36" i="68"/>
  <c r="I36" i="68"/>
  <c r="J36" i="68"/>
  <c r="M36" i="68"/>
  <c r="R36" i="68"/>
  <c r="O36" i="68"/>
  <c r="N36" i="68" l="1"/>
  <c r="P36" i="68" s="1"/>
  <c r="C37" i="68"/>
  <c r="H37" i="68"/>
  <c r="I37" i="68"/>
  <c r="J37" i="68"/>
  <c r="M37" i="68"/>
  <c r="R37" i="68"/>
  <c r="B37" i="68"/>
  <c r="O37" i="68"/>
  <c r="E37" i="68"/>
  <c r="N37" i="68" l="1"/>
  <c r="P37" i="68" s="1"/>
  <c r="H38" i="68"/>
  <c r="I38" i="68"/>
  <c r="J38" i="68"/>
  <c r="M38" i="68"/>
  <c r="B38" i="68"/>
  <c r="E38" i="68"/>
  <c r="O38" i="68"/>
  <c r="R38" i="68"/>
  <c r="N38" i="68" l="1"/>
  <c r="P38" i="68" s="1"/>
  <c r="H39" i="68"/>
  <c r="I39" i="68"/>
  <c r="J39" i="68"/>
  <c r="M39" i="68"/>
  <c r="R39" i="68"/>
  <c r="B39" i="68"/>
  <c r="O39" i="68"/>
  <c r="E39" i="68"/>
  <c r="N39" i="68" l="1"/>
  <c r="P39" i="68" s="1"/>
  <c r="H40" i="68"/>
  <c r="I40" i="68"/>
  <c r="J40" i="68"/>
  <c r="M40" i="68"/>
  <c r="O40" i="68"/>
  <c r="E40" i="68"/>
  <c r="B40" i="68"/>
  <c r="R40" i="68"/>
  <c r="N40" i="68" l="1"/>
  <c r="P40" i="68" s="1"/>
  <c r="H41" i="68"/>
  <c r="I41" i="68"/>
  <c r="J41" i="68"/>
  <c r="M41" i="68"/>
  <c r="B41" i="68"/>
  <c r="E41" i="68"/>
  <c r="O41" i="68"/>
  <c r="R41" i="68"/>
  <c r="N41" i="68" l="1"/>
  <c r="P41" i="68" s="1"/>
  <c r="N42" i="68"/>
  <c r="P42" i="68"/>
  <c r="K49" i="68"/>
  <c r="D50" i="68"/>
  <c r="D49" i="68"/>
  <c r="G49" i="68"/>
  <c r="G50" i="68"/>
  <c r="M49" i="68"/>
  <c r="G51" i="68"/>
  <c r="M50" i="68"/>
  <c r="L50" i="68"/>
  <c r="D51" i="68"/>
  <c r="J50" i="68" l="1"/>
  <c r="L51" i="68"/>
  <c r="D54" i="68"/>
  <c r="M51" i="68"/>
  <c r="G54" i="68"/>
  <c r="K50" i="68" l="1"/>
  <c r="J51" i="68"/>
  <c r="K51" i="68" s="1"/>
  <c r="K54" i="68"/>
  <c r="M54" i="68"/>
  <c r="G55" i="68"/>
  <c r="D55" i="68"/>
  <c r="J52" i="68" l="1"/>
  <c r="N8" i="68" s="1"/>
  <c r="K52" i="68"/>
  <c r="D58" i="68"/>
  <c r="M55" i="68"/>
  <c r="L55" i="68"/>
  <c r="G58" i="68"/>
  <c r="R8" i="68" l="1"/>
  <c r="L8" i="68"/>
  <c r="J55" i="68"/>
  <c r="J59" i="68"/>
  <c r="M58" i="68"/>
  <c r="D61" i="68"/>
  <c r="G61" i="68"/>
  <c r="K55" i="68" l="1"/>
  <c r="K56" i="68" s="1"/>
  <c r="J56" i="68"/>
  <c r="N12" i="68" s="1"/>
  <c r="I61" i="68"/>
  <c r="F62" i="68"/>
  <c r="I62" i="68"/>
  <c r="H62" i="68"/>
  <c r="G64" i="68"/>
  <c r="L61" i="68"/>
  <c r="M61" i="68"/>
  <c r="D64" i="68"/>
  <c r="L12" i="68" l="1"/>
  <c r="R12" i="68"/>
  <c r="J61" i="68"/>
  <c r="M64" i="68"/>
  <c r="G65" i="68"/>
  <c r="D65" i="68"/>
  <c r="J62" i="68" l="1"/>
  <c r="K61" i="68"/>
  <c r="K62" i="68" s="1"/>
  <c r="J65" i="68"/>
  <c r="J66" i="68"/>
  <c r="L65" i="68"/>
  <c r="D68" i="68"/>
  <c r="M65" i="68"/>
  <c r="G68" i="68"/>
  <c r="K65" i="68" l="1"/>
  <c r="K66" i="68" s="1"/>
  <c r="M20" i="68" s="1"/>
  <c r="I68" i="68"/>
  <c r="J68" i="68"/>
  <c r="J69" i="68" s="1"/>
  <c r="F69" i="68"/>
  <c r="I69" i="68"/>
  <c r="H69" i="68"/>
  <c r="D71" i="68"/>
  <c r="L68" i="68"/>
  <c r="M68" i="68"/>
  <c r="G71" i="68"/>
  <c r="K20" i="68" l="1"/>
  <c r="Q20" i="68"/>
  <c r="K68" i="68"/>
  <c r="K69" i="68" s="1"/>
  <c r="I71" i="68"/>
  <c r="J71" i="68"/>
  <c r="F72" i="68"/>
  <c r="I72" i="68"/>
  <c r="H72" i="68" s="1"/>
  <c r="J72" i="68"/>
  <c r="L71" i="68"/>
  <c r="M71" i="68"/>
  <c r="D74" i="68"/>
  <c r="G74" i="68"/>
  <c r="K71" i="68" l="1"/>
  <c r="K72" i="68" s="1"/>
  <c r="J75" i="68"/>
  <c r="J76" i="68"/>
  <c r="M75" i="68"/>
  <c r="L75" i="68"/>
  <c r="D78" i="68"/>
  <c r="M74" i="68"/>
  <c r="G78" i="68"/>
  <c r="D75" i="68"/>
  <c r="K75" i="68" l="1"/>
  <c r="K76" i="68" s="1"/>
  <c r="M14" i="68" s="1"/>
  <c r="I78" i="68"/>
  <c r="J78" i="68" s="1"/>
  <c r="L78" i="68"/>
  <c r="G79" i="68"/>
  <c r="M78" i="68"/>
  <c r="D79" i="68"/>
  <c r="Q14" i="68" l="1"/>
  <c r="K14" i="68"/>
  <c r="K78" i="68"/>
  <c r="I79" i="68"/>
  <c r="J79" i="68" s="1"/>
  <c r="F80" i="68"/>
  <c r="I80" i="68"/>
  <c r="H80" i="68"/>
  <c r="G82" i="68"/>
  <c r="L79" i="68"/>
  <c r="M79" i="68"/>
  <c r="D82" i="68"/>
  <c r="J80" i="68" l="1"/>
  <c r="K79" i="68"/>
  <c r="K80" i="68" s="1"/>
  <c r="I82" i="68"/>
  <c r="M82" i="68"/>
  <c r="L82" i="68"/>
  <c r="D83" i="68"/>
  <c r="G83" i="68"/>
  <c r="J82" i="68" l="1"/>
  <c r="K82" i="68" s="1"/>
  <c r="I83" i="68"/>
  <c r="F84" i="68"/>
  <c r="I84" i="68"/>
  <c r="H84" i="68"/>
  <c r="G86" i="68"/>
  <c r="M83" i="68"/>
  <c r="D86" i="68"/>
  <c r="L83" i="68"/>
  <c r="J83" i="68" l="1"/>
  <c r="K83" i="68" s="1"/>
  <c r="K84" i="68" s="1"/>
  <c r="J84" i="68"/>
  <c r="K86" i="68"/>
  <c r="L87" i="68"/>
  <c r="D87" i="68"/>
  <c r="G87" i="68"/>
  <c r="D88" i="68"/>
  <c r="M87" i="68"/>
  <c r="M86" i="68"/>
  <c r="J87" i="68" l="1"/>
  <c r="L88" i="68"/>
  <c r="D91" i="68"/>
  <c r="M88" i="68"/>
  <c r="G91" i="68"/>
  <c r="K87" i="68" l="1"/>
  <c r="J88" i="68"/>
  <c r="K88" i="68" s="1"/>
  <c r="I91" i="68"/>
  <c r="J91" i="68"/>
  <c r="J92" i="68" s="1"/>
  <c r="F92" i="68"/>
  <c r="I92" i="68"/>
  <c r="H92" i="68"/>
  <c r="G94" i="68"/>
  <c r="M91" i="68"/>
  <c r="D94" i="68"/>
  <c r="L91" i="68"/>
  <c r="J89" i="68" l="1"/>
  <c r="N10" i="68" s="1"/>
  <c r="K89" i="68"/>
  <c r="K91" i="68"/>
  <c r="K92" i="68" s="1"/>
  <c r="I94" i="68"/>
  <c r="F95" i="68"/>
  <c r="I95" i="68"/>
  <c r="H95" i="68" s="1"/>
  <c r="L94" i="68"/>
  <c r="M94" i="68"/>
  <c r="D97" i="68"/>
  <c r="G97" i="68"/>
  <c r="R10" i="68" l="1"/>
  <c r="R23" i="68" s="1"/>
  <c r="L10" i="68"/>
  <c r="N23" i="68"/>
  <c r="J94" i="68"/>
  <c r="J98" i="68"/>
  <c r="M97" i="68"/>
  <c r="D100" i="68"/>
  <c r="G100" i="68"/>
  <c r="J95" i="68" l="1"/>
  <c r="K94" i="68"/>
  <c r="K95" i="68" s="1"/>
  <c r="K100" i="68"/>
  <c r="K101" i="68" s="1"/>
  <c r="I103" i="68"/>
  <c r="F104" i="68"/>
  <c r="I104" i="68"/>
  <c r="H104" i="68" s="1"/>
  <c r="G103" i="68"/>
  <c r="D106" i="68"/>
  <c r="G106" i="68"/>
  <c r="D103" i="68"/>
  <c r="L103" i="68"/>
  <c r="M100" i="68"/>
  <c r="M103" i="68"/>
  <c r="J103" i="68" l="1"/>
  <c r="I106" i="68"/>
  <c r="F107" i="68"/>
  <c r="I107" i="68"/>
  <c r="H107" i="68"/>
  <c r="M106" i="68"/>
  <c r="L106" i="68"/>
  <c r="D109" i="68"/>
  <c r="G109" i="68"/>
  <c r="J106" i="68" l="1"/>
  <c r="J104" i="68"/>
  <c r="K103" i="68"/>
  <c r="K104" i="68" s="1"/>
  <c r="M109" i="68"/>
  <c r="G110" i="68"/>
  <c r="D110" i="68"/>
  <c r="J107" i="68" l="1"/>
  <c r="K106" i="68"/>
  <c r="K107" i="68" s="1"/>
  <c r="J110" i="68"/>
  <c r="J111" i="68"/>
  <c r="M110" i="68"/>
  <c r="L110" i="68"/>
  <c r="D113" i="68"/>
  <c r="G113" i="68"/>
  <c r="K110" i="68" l="1"/>
  <c r="K111" i="68" s="1"/>
  <c r="M4" i="68" s="1"/>
  <c r="I113" i="68"/>
  <c r="J113" i="68"/>
  <c r="F114" i="68"/>
  <c r="H114" i="68" s="1"/>
  <c r="I114" i="68"/>
  <c r="J114" i="68"/>
  <c r="G116" i="68"/>
  <c r="M113" i="68"/>
  <c r="L113" i="68"/>
  <c r="D116" i="68"/>
  <c r="Q4" i="68" l="1"/>
  <c r="K4" i="68"/>
  <c r="K113" i="68"/>
  <c r="K114" i="68" s="1"/>
  <c r="I116" i="68"/>
  <c r="J116" i="68"/>
  <c r="J117" i="68" s="1"/>
  <c r="F117" i="68"/>
  <c r="I117" i="68"/>
  <c r="H117" i="68"/>
  <c r="L116" i="68"/>
  <c r="D119" i="68"/>
  <c r="G119" i="68"/>
  <c r="M116" i="68"/>
  <c r="K116" i="68" l="1"/>
  <c r="K117" i="68" s="1"/>
  <c r="J120" i="68"/>
  <c r="J121" i="68"/>
  <c r="D123" i="68"/>
  <c r="M120" i="68"/>
  <c r="D120" i="68"/>
  <c r="L120" i="68"/>
  <c r="M119" i="68"/>
  <c r="G123" i="68"/>
  <c r="G120" i="68"/>
  <c r="K120" i="68" l="1"/>
  <c r="K121" i="68" s="1"/>
  <c r="M15" i="68" s="1"/>
  <c r="J124" i="68"/>
  <c r="M123" i="68"/>
  <c r="D126" i="68"/>
  <c r="G126" i="68"/>
  <c r="Q15" i="68" l="1"/>
  <c r="K15" i="68"/>
  <c r="J127" i="68"/>
  <c r="D129" i="68"/>
  <c r="M126" i="68"/>
  <c r="G129" i="68"/>
  <c r="J130" i="68" l="1"/>
  <c r="K132" i="68"/>
  <c r="K133" i="68" s="1"/>
  <c r="J136" i="68"/>
  <c r="J137" i="68"/>
  <c r="G139" i="68"/>
  <c r="G135" i="68"/>
  <c r="D139" i="68"/>
  <c r="M132" i="68"/>
  <c r="L136" i="68"/>
  <c r="G136" i="68"/>
  <c r="M136" i="68"/>
  <c r="G132" i="68"/>
  <c r="D132" i="68"/>
  <c r="M129" i="68"/>
  <c r="D135" i="68"/>
  <c r="M135" i="68"/>
  <c r="D136" i="68"/>
  <c r="K136" i="68" l="1"/>
  <c r="K137" i="68" s="1"/>
  <c r="M17" i="68" s="1"/>
  <c r="J140" i="68"/>
  <c r="M139" i="68"/>
  <c r="G142" i="68"/>
  <c r="D142" i="68"/>
  <c r="Q17" i="68" l="1"/>
  <c r="Q23" i="68" s="1"/>
  <c r="K17" i="68"/>
  <c r="M23" i="68"/>
  <c r="J143" i="68"/>
  <c r="J146" i="68"/>
  <c r="F42" i="100"/>
  <c r="E4" i="100" s="1"/>
  <c r="F39" i="100"/>
  <c r="E5" i="100" s="1"/>
  <c r="F36" i="100"/>
  <c r="E6" i="100"/>
  <c r="F48" i="100"/>
  <c r="E7" i="100"/>
  <c r="F45" i="100"/>
  <c r="E8" i="100" s="1"/>
  <c r="F33" i="100"/>
  <c r="E9" i="100" s="1"/>
  <c r="F30" i="100"/>
  <c r="E10" i="100"/>
  <c r="F27" i="100"/>
  <c r="E11" i="100"/>
  <c r="I41" i="100"/>
  <c r="J41" i="100"/>
  <c r="J42" i="100"/>
  <c r="H42" i="100"/>
  <c r="F4" i="100" s="1"/>
  <c r="M142" i="68"/>
  <c r="H2" i="100"/>
  <c r="F2" i="100"/>
  <c r="G9" i="100"/>
  <c r="G4" i="100"/>
  <c r="G8" i="100"/>
  <c r="D145" i="68"/>
  <c r="B4" i="100"/>
  <c r="G145" i="68"/>
  <c r="G7" i="100"/>
  <c r="G1" i="100"/>
  <c r="G5" i="100"/>
  <c r="P1" i="100"/>
  <c r="I1" i="100"/>
  <c r="K1" i="100"/>
  <c r="H4" i="100"/>
  <c r="G6" i="100"/>
  <c r="M145" i="68"/>
  <c r="G10" i="100"/>
  <c r="G11" i="100"/>
  <c r="M7" i="100" l="1"/>
  <c r="N7" i="100" s="1"/>
  <c r="M5" i="100"/>
  <c r="N5" i="100" s="1"/>
  <c r="M10" i="100"/>
  <c r="N10" i="100" s="1"/>
  <c r="M11" i="100"/>
  <c r="N11" i="100" s="1"/>
  <c r="M9" i="100"/>
  <c r="N9" i="100" s="1"/>
  <c r="N12" i="100"/>
  <c r="M8" i="100"/>
  <c r="N8" i="100" s="1"/>
  <c r="M4" i="100"/>
  <c r="N4" i="100" s="1"/>
  <c r="M6" i="100"/>
  <c r="N6" i="100" s="1"/>
  <c r="J4" i="100"/>
  <c r="L4" i="100"/>
  <c r="T4" i="100"/>
  <c r="R4" i="100"/>
  <c r="B5" i="100"/>
  <c r="Q4" i="100"/>
  <c r="U4" i="100"/>
  <c r="V4" i="100"/>
  <c r="X4" i="100"/>
  <c r="S4" i="100"/>
  <c r="L41" i="100"/>
  <c r="W4" i="100"/>
  <c r="N13" i="100" l="1"/>
  <c r="D4" i="100" s="1"/>
  <c r="P4" i="100"/>
  <c r="K41" i="100"/>
  <c r="K42" i="100" s="1"/>
  <c r="K4" i="100" s="1"/>
  <c r="I38" i="100"/>
  <c r="J38" i="100"/>
  <c r="J39" i="100"/>
  <c r="H39" i="100"/>
  <c r="F5" i="100"/>
  <c r="H5" i="100"/>
  <c r="D5" i="100" l="1"/>
  <c r="I4" i="100"/>
  <c r="O4" i="100"/>
  <c r="J5" i="100"/>
  <c r="L5" i="100"/>
  <c r="P5" i="100" s="1"/>
  <c r="S5" i="100"/>
  <c r="T5" i="100"/>
  <c r="B6" i="100"/>
  <c r="L38" i="100"/>
  <c r="R5" i="100"/>
  <c r="Q5" i="100"/>
  <c r="X5" i="100"/>
  <c r="W5" i="100"/>
  <c r="V5" i="100"/>
  <c r="U5" i="100"/>
  <c r="K38" i="100" l="1"/>
  <c r="K39" i="100" s="1"/>
  <c r="K5" i="100" s="1"/>
  <c r="D6" i="100"/>
  <c r="I35" i="100"/>
  <c r="J35" i="100"/>
  <c r="J36" i="100"/>
  <c r="H36" i="100" s="1"/>
  <c r="F6" i="100" s="1"/>
  <c r="H6" i="100"/>
  <c r="O5" i="100" l="1"/>
  <c r="I5" i="100"/>
  <c r="J6" i="100"/>
  <c r="L6" i="100"/>
  <c r="P6" i="100"/>
  <c r="B7" i="100"/>
  <c r="Q6" i="100"/>
  <c r="W6" i="100"/>
  <c r="X6" i="100"/>
  <c r="V6" i="100"/>
  <c r="R6" i="100"/>
  <c r="S6" i="100"/>
  <c r="L35" i="100"/>
  <c r="T6" i="100"/>
  <c r="U6" i="100"/>
  <c r="K35" i="100" l="1"/>
  <c r="K36" i="100" s="1"/>
  <c r="K6" i="100" s="1"/>
  <c r="D7" i="100"/>
  <c r="I47" i="100"/>
  <c r="J47" i="100"/>
  <c r="J48" i="100"/>
  <c r="H48" i="100"/>
  <c r="F7" i="100"/>
  <c r="H7" i="100"/>
  <c r="O6" i="100" l="1"/>
  <c r="I6" i="100"/>
  <c r="J7" i="100"/>
  <c r="L7" i="100"/>
  <c r="P7" i="100"/>
  <c r="V7" i="100"/>
  <c r="Q7" i="100"/>
  <c r="U7" i="100"/>
  <c r="L47" i="100"/>
  <c r="X7" i="100"/>
  <c r="S7" i="100"/>
  <c r="R7" i="100"/>
  <c r="W7" i="100"/>
  <c r="T7" i="100"/>
  <c r="B8" i="100"/>
  <c r="K47" i="100" l="1"/>
  <c r="K48" i="100" s="1"/>
  <c r="K7" i="100" s="1"/>
  <c r="D8" i="100"/>
  <c r="I44" i="100"/>
  <c r="J44" i="100" s="1"/>
  <c r="J45" i="100" s="1"/>
  <c r="H45" i="100" s="1"/>
  <c r="F8" i="100" s="1"/>
  <c r="H8" i="100"/>
  <c r="I7" i="100" l="1"/>
  <c r="O7" i="100"/>
  <c r="J8" i="100"/>
  <c r="L8" i="100"/>
  <c r="P8" i="100"/>
  <c r="V8" i="100"/>
  <c r="S8" i="100"/>
  <c r="W8" i="100"/>
  <c r="B9" i="100"/>
  <c r="X8" i="100"/>
  <c r="T8" i="100"/>
  <c r="Q8" i="100"/>
  <c r="L44" i="100"/>
  <c r="R8" i="100"/>
  <c r="U8" i="100"/>
  <c r="K44" i="100" l="1"/>
  <c r="K45" i="100" s="1"/>
  <c r="K8" i="100" s="1"/>
  <c r="D9" i="100"/>
  <c r="I32" i="100"/>
  <c r="J32" i="100"/>
  <c r="J33" i="100" s="1"/>
  <c r="H33" i="100" s="1"/>
  <c r="F9" i="100" s="1"/>
  <c r="H9" i="100"/>
  <c r="O8" i="100" l="1"/>
  <c r="I8" i="100"/>
  <c r="J9" i="100"/>
  <c r="L9" i="100"/>
  <c r="P9" i="100" s="1"/>
  <c r="T9" i="100"/>
  <c r="Q9" i="100"/>
  <c r="R9" i="100"/>
  <c r="L32" i="100"/>
  <c r="B10" i="100"/>
  <c r="X9" i="100"/>
  <c r="V9" i="100"/>
  <c r="U9" i="100"/>
  <c r="W9" i="100"/>
  <c r="S9" i="100"/>
  <c r="K32" i="100" l="1"/>
  <c r="K33" i="100" s="1"/>
  <c r="K9" i="100" s="1"/>
  <c r="D10" i="100"/>
  <c r="I29" i="100"/>
  <c r="J29" i="100" s="1"/>
  <c r="J30" i="100" s="1"/>
  <c r="H30" i="100" s="1"/>
  <c r="F10" i="100" s="1"/>
  <c r="H10" i="100"/>
  <c r="O9" i="100" l="1"/>
  <c r="I9" i="100"/>
  <c r="J10" i="100"/>
  <c r="L10" i="100"/>
  <c r="P10" i="100"/>
  <c r="R10" i="100"/>
  <c r="B11" i="100"/>
  <c r="S10" i="100"/>
  <c r="Q10" i="100"/>
  <c r="U10" i="100"/>
  <c r="T10" i="100"/>
  <c r="X10" i="100"/>
  <c r="V10" i="100"/>
  <c r="L29" i="100"/>
  <c r="W10" i="100"/>
  <c r="K29" i="100" l="1"/>
  <c r="K30" i="100" s="1"/>
  <c r="K10" i="100" s="1"/>
  <c r="D11" i="100"/>
  <c r="I25" i="100"/>
  <c r="J25" i="100"/>
  <c r="I26" i="100"/>
  <c r="J26" i="100"/>
  <c r="J27" i="100"/>
  <c r="H27" i="100"/>
  <c r="F11" i="100" s="1"/>
  <c r="H11" i="100"/>
  <c r="O10" i="100" l="1"/>
  <c r="I10" i="100"/>
  <c r="J11" i="100"/>
  <c r="L11" i="100"/>
  <c r="P11" i="100"/>
  <c r="U11" i="100"/>
  <c r="L25" i="100"/>
  <c r="W11" i="100"/>
  <c r="S11" i="100"/>
  <c r="X11" i="100"/>
  <c r="V11" i="100"/>
  <c r="Q11" i="100"/>
  <c r="T11" i="100"/>
  <c r="R11" i="100"/>
  <c r="K25" i="100" l="1"/>
  <c r="D12" i="100"/>
  <c r="D13" i="100" s="1"/>
  <c r="R12" i="100"/>
  <c r="R13" i="100" s="1"/>
  <c r="L13" i="100"/>
  <c r="M13" i="100"/>
  <c r="P13" i="100"/>
  <c r="Q13" i="100"/>
  <c r="N14" i="100"/>
  <c r="P18" i="100"/>
  <c r="I27" i="100"/>
  <c r="G25" i="100"/>
  <c r="L26" i="100"/>
  <c r="M25" i="100"/>
  <c r="D26" i="100"/>
  <c r="M26" i="100"/>
  <c r="G26" i="100"/>
  <c r="D25" i="100"/>
  <c r="D29" i="100"/>
  <c r="G29" i="100"/>
  <c r="K26" i="100" l="1"/>
  <c r="K27" i="100" s="1"/>
  <c r="K11" i="100" s="1"/>
  <c r="I30" i="100"/>
  <c r="M29" i="100"/>
  <c r="D32" i="100"/>
  <c r="G32" i="100"/>
  <c r="K13" i="100" l="1"/>
  <c r="M14" i="100" s="1"/>
  <c r="O11" i="100"/>
  <c r="O13" i="100" s="1"/>
  <c r="I11" i="100"/>
  <c r="I33" i="100"/>
  <c r="I36" i="100"/>
  <c r="I39" i="100"/>
  <c r="I42" i="100"/>
  <c r="I45" i="100"/>
  <c r="I48" i="100"/>
  <c r="F92" i="84"/>
  <c r="E4" i="84" s="1"/>
  <c r="F87" i="84"/>
  <c r="E5" i="84" s="1"/>
  <c r="F70" i="84"/>
  <c r="E6" i="84" s="1"/>
  <c r="F128" i="84"/>
  <c r="E7" i="84" s="1"/>
  <c r="F103" i="84"/>
  <c r="E8" i="84" s="1"/>
  <c r="F107" i="84"/>
  <c r="E9" i="84" s="1"/>
  <c r="F99" i="84"/>
  <c r="E10" i="84" s="1"/>
  <c r="F96" i="84"/>
  <c r="E11" i="84" s="1"/>
  <c r="F124" i="84"/>
  <c r="E12" i="84" s="1"/>
  <c r="F121" i="84"/>
  <c r="E13" i="84" s="1"/>
  <c r="F113" i="84"/>
  <c r="E14" i="84" s="1"/>
  <c r="F135" i="84"/>
  <c r="E15" i="84" s="1"/>
  <c r="F73" i="84"/>
  <c r="E16" i="84"/>
  <c r="F118" i="84"/>
  <c r="E17" i="84" s="1"/>
  <c r="F64" i="84"/>
  <c r="E18" i="84" s="1"/>
  <c r="F132" i="84"/>
  <c r="E19" i="84" s="1"/>
  <c r="F67" i="84"/>
  <c r="E20" i="84" s="1"/>
  <c r="F79" i="84"/>
  <c r="E21" i="84" s="1"/>
  <c r="I89" i="84"/>
  <c r="I90" i="84"/>
  <c r="I91" i="84"/>
  <c r="I92" i="84"/>
  <c r="H92" i="84" s="1"/>
  <c r="F4" i="84" s="1"/>
  <c r="N4" i="84"/>
  <c r="G6" i="84"/>
  <c r="X4" i="84"/>
  <c r="M41" i="100"/>
  <c r="G19" i="84"/>
  <c r="L89" i="84"/>
  <c r="G7" i="84"/>
  <c r="M32" i="100"/>
  <c r="V4" i="84"/>
  <c r="G20" i="84"/>
  <c r="K1" i="84"/>
  <c r="E1" i="84"/>
  <c r="G15" i="84"/>
  <c r="M38" i="100"/>
  <c r="D41" i="100"/>
  <c r="G11" i="84"/>
  <c r="L91" i="84"/>
  <c r="M44" i="100"/>
  <c r="G5" i="84"/>
  <c r="G21" i="84"/>
  <c r="G41" i="100"/>
  <c r="G18" i="84"/>
  <c r="G16" i="84"/>
  <c r="W4" i="84"/>
  <c r="L90" i="84"/>
  <c r="G9" i="84"/>
  <c r="I1" i="84"/>
  <c r="G47" i="100"/>
  <c r="G44" i="100"/>
  <c r="G12" i="84"/>
  <c r="T4" i="84"/>
  <c r="G35" i="100"/>
  <c r="K4" i="84"/>
  <c r="D35" i="100"/>
  <c r="D47" i="100"/>
  <c r="U4" i="84"/>
  <c r="G13" i="84"/>
  <c r="G17" i="84"/>
  <c r="P1" i="84"/>
  <c r="D38" i="100"/>
  <c r="D44" i="100"/>
  <c r="M35" i="100"/>
  <c r="G10" i="84"/>
  <c r="G38" i="100"/>
  <c r="H4" i="84"/>
  <c r="J4" i="84"/>
  <c r="G4" i="84"/>
  <c r="M47" i="100"/>
  <c r="G8" i="84"/>
  <c r="G14" i="84"/>
  <c r="G1" i="84"/>
  <c r="J89" i="84" l="1"/>
  <c r="J92" i="84" s="1"/>
  <c r="O4" i="84" s="1"/>
  <c r="J91" i="84"/>
  <c r="J90" i="84"/>
  <c r="P14" i="84"/>
  <c r="Q14" i="84" s="1"/>
  <c r="I4" i="84"/>
  <c r="P21" i="84"/>
  <c r="Q21" i="84" s="1"/>
  <c r="P11" i="84"/>
  <c r="Q11" i="84" s="1"/>
  <c r="P6" i="84"/>
  <c r="Q6" i="84" s="1"/>
  <c r="P18" i="84"/>
  <c r="Q18" i="84" s="1"/>
  <c r="P8" i="84"/>
  <c r="Q8" i="84" s="1"/>
  <c r="P12" i="84"/>
  <c r="Q12" i="84" s="1"/>
  <c r="P19" i="84"/>
  <c r="Q19" i="84" s="1"/>
  <c r="P13" i="84"/>
  <c r="Q13" i="84" s="1"/>
  <c r="P5" i="84"/>
  <c r="Q5" i="84" s="1"/>
  <c r="P9" i="84"/>
  <c r="Q9" i="84" s="1"/>
  <c r="P20" i="84"/>
  <c r="Q20" i="84" s="1"/>
  <c r="P10" i="84"/>
  <c r="Q10" i="84" s="1"/>
  <c r="P4" i="84"/>
  <c r="Q4" i="84" s="1"/>
  <c r="L4" i="84"/>
  <c r="P16" i="84"/>
  <c r="Q16" i="84" s="1"/>
  <c r="P17" i="84"/>
  <c r="Q17" i="84" s="1"/>
  <c r="P15" i="84"/>
  <c r="Q15" i="84" s="1"/>
  <c r="P7" i="84"/>
  <c r="Q7" i="84" s="1"/>
  <c r="I84" i="84"/>
  <c r="I85" i="84"/>
  <c r="I87" i="84" s="1"/>
  <c r="H87" i="84" s="1"/>
  <c r="F5" i="84" s="1"/>
  <c r="I86" i="84"/>
  <c r="L5" i="84"/>
  <c r="N5" i="84"/>
  <c r="T5" i="84"/>
  <c r="J5" i="84"/>
  <c r="L84" i="84"/>
  <c r="H5" i="84"/>
  <c r="X5" i="84"/>
  <c r="W5" i="84"/>
  <c r="U5" i="84"/>
  <c r="L86" i="84"/>
  <c r="V5" i="84"/>
  <c r="L85" i="84"/>
  <c r="K5" i="84"/>
  <c r="J84" i="84" l="1"/>
  <c r="J87" i="84" s="1"/>
  <c r="O5" i="84" s="1"/>
  <c r="M5" i="84" s="1"/>
  <c r="J86" i="84"/>
  <c r="J85" i="84"/>
  <c r="R5" i="84"/>
  <c r="Q23" i="84"/>
  <c r="D4" i="84" s="1"/>
  <c r="I5" i="84"/>
  <c r="R4" i="84"/>
  <c r="M4" i="84"/>
  <c r="S4" i="84"/>
  <c r="S5" i="84"/>
  <c r="I69" i="84"/>
  <c r="I70" i="84" s="1"/>
  <c r="H70" i="84" s="1"/>
  <c r="F6" i="84" s="1"/>
  <c r="L6" i="84"/>
  <c r="N6" i="84"/>
  <c r="R6" i="84" s="1"/>
  <c r="J6" i="84"/>
  <c r="K6" i="84"/>
  <c r="W6" i="84"/>
  <c r="L69" i="84"/>
  <c r="H6" i="84"/>
  <c r="T6" i="84"/>
  <c r="U6" i="84"/>
  <c r="X6" i="84"/>
  <c r="V6" i="84"/>
  <c r="J69" i="84" l="1"/>
  <c r="J70" i="84" s="1"/>
  <c r="O6" i="84" s="1"/>
  <c r="S6" i="84" s="1"/>
  <c r="D6" i="84"/>
  <c r="D5" i="84"/>
  <c r="I6" i="84"/>
  <c r="D7" i="84"/>
  <c r="I126" i="84"/>
  <c r="I127" i="84"/>
  <c r="I128" i="84" s="1"/>
  <c r="H128" i="84" s="1"/>
  <c r="F7" i="84" s="1"/>
  <c r="L7" i="84"/>
  <c r="D8" i="84"/>
  <c r="I101" i="84"/>
  <c r="I102" i="84"/>
  <c r="I103" i="84"/>
  <c r="H103" i="84" s="1"/>
  <c r="F8" i="84" s="1"/>
  <c r="L8" i="84"/>
  <c r="N8" i="84"/>
  <c r="R8" i="84" s="1"/>
  <c r="H7" i="84"/>
  <c r="J7" i="84"/>
  <c r="U8" i="84"/>
  <c r="M127" i="84"/>
  <c r="K8" i="84"/>
  <c r="X7" i="84"/>
  <c r="T8" i="84"/>
  <c r="L101" i="84"/>
  <c r="J8" i="84"/>
  <c r="V7" i="84"/>
  <c r="W7" i="84"/>
  <c r="K7" i="84"/>
  <c r="T7" i="84"/>
  <c r="V8" i="84"/>
  <c r="L102" i="84"/>
  <c r="X8" i="84"/>
  <c r="H8" i="84"/>
  <c r="W8" i="84"/>
  <c r="L126" i="84"/>
  <c r="M126" i="84"/>
  <c r="L127" i="84"/>
  <c r="U7" i="84"/>
  <c r="M6" i="84" l="1"/>
  <c r="J126" i="84"/>
  <c r="J101" i="84"/>
  <c r="J103" i="84" s="1"/>
  <c r="O8" i="84" s="1"/>
  <c r="M8" i="84" s="1"/>
  <c r="J127" i="84"/>
  <c r="K127" i="84" s="1"/>
  <c r="J102" i="84"/>
  <c r="I7" i="84"/>
  <c r="I8" i="84"/>
  <c r="D9" i="84"/>
  <c r="I105" i="84"/>
  <c r="I106" i="84"/>
  <c r="I107" i="84" s="1"/>
  <c r="H107" i="84" s="1"/>
  <c r="F9" i="84" s="1"/>
  <c r="L9" i="84"/>
  <c r="N9" i="84"/>
  <c r="R9" i="84" s="1"/>
  <c r="V9" i="84"/>
  <c r="W9" i="84"/>
  <c r="J9" i="84"/>
  <c r="L106" i="84"/>
  <c r="H9" i="84"/>
  <c r="U9" i="84"/>
  <c r="L105" i="84"/>
  <c r="K9" i="84"/>
  <c r="T9" i="84"/>
  <c r="X9" i="84"/>
  <c r="S8" i="84" l="1"/>
  <c r="J106" i="84"/>
  <c r="J105" i="84"/>
  <c r="J107" i="84" s="1"/>
  <c r="O9" i="84" s="1"/>
  <c r="K126" i="84"/>
  <c r="K128" i="84" s="1"/>
  <c r="N7" i="84" s="1"/>
  <c r="R7" i="84" s="1"/>
  <c r="J128" i="84"/>
  <c r="O7" i="84" s="1"/>
  <c r="I9" i="84"/>
  <c r="M9" i="84"/>
  <c r="S9" i="84"/>
  <c r="D10" i="84"/>
  <c r="I98" i="84"/>
  <c r="I99" i="84"/>
  <c r="H99" i="84" s="1"/>
  <c r="F10" i="84" s="1"/>
  <c r="L10" i="84"/>
  <c r="N10" i="84"/>
  <c r="R10" i="84" s="1"/>
  <c r="L98" i="84"/>
  <c r="W10" i="84"/>
  <c r="J10" i="84"/>
  <c r="T10" i="84"/>
  <c r="U10" i="84"/>
  <c r="V10" i="84"/>
  <c r="H10" i="84"/>
  <c r="K10" i="84"/>
  <c r="X10" i="84"/>
  <c r="J98" i="84" l="1"/>
  <c r="J99" i="84" s="1"/>
  <c r="O10" i="84" s="1"/>
  <c r="M10" i="84" s="1"/>
  <c r="M7" i="84"/>
  <c r="S7" i="84"/>
  <c r="I10" i="84"/>
  <c r="D11" i="84"/>
  <c r="I94" i="84"/>
  <c r="I96" i="84" s="1"/>
  <c r="H96" i="84" s="1"/>
  <c r="F11" i="84" s="1"/>
  <c r="I95" i="84"/>
  <c r="L11" i="84"/>
  <c r="N11" i="84"/>
  <c r="R11" i="84" s="1"/>
  <c r="V11" i="84"/>
  <c r="K11" i="84"/>
  <c r="L95" i="84"/>
  <c r="J11" i="84"/>
  <c r="H11" i="84"/>
  <c r="U11" i="84"/>
  <c r="L94" i="84"/>
  <c r="X11" i="84"/>
  <c r="T11" i="84"/>
  <c r="W11" i="84"/>
  <c r="S10" i="84" l="1"/>
  <c r="J95" i="84"/>
  <c r="J94" i="84"/>
  <c r="I11" i="84"/>
  <c r="D12" i="84"/>
  <c r="I123" i="84"/>
  <c r="I124" i="84" s="1"/>
  <c r="H124" i="84" s="1"/>
  <c r="F12" i="84" s="1"/>
  <c r="J123" i="84"/>
  <c r="M12" i="84"/>
  <c r="O12" i="84"/>
  <c r="S12" i="84"/>
  <c r="H12" i="84"/>
  <c r="V12" i="84"/>
  <c r="W12" i="84"/>
  <c r="X12" i="84"/>
  <c r="K12" i="84"/>
  <c r="L123" i="84"/>
  <c r="U12" i="84"/>
  <c r="T12" i="84"/>
  <c r="J12" i="84"/>
  <c r="K123" i="84" l="1"/>
  <c r="K124" i="84" s="1"/>
  <c r="N12" i="84" s="1"/>
  <c r="L12" i="84" s="1"/>
  <c r="J96" i="84"/>
  <c r="O11" i="84" s="1"/>
  <c r="I12" i="84"/>
  <c r="D13" i="84"/>
  <c r="I120" i="84"/>
  <c r="I121" i="84" s="1"/>
  <c r="H121" i="84" s="1"/>
  <c r="F13" i="84" s="1"/>
  <c r="L13" i="84"/>
  <c r="N13" i="84"/>
  <c r="R13" i="84"/>
  <c r="V13" i="84"/>
  <c r="U13" i="84"/>
  <c r="L120" i="84"/>
  <c r="K13" i="84"/>
  <c r="H13" i="84"/>
  <c r="W13" i="84"/>
  <c r="X13" i="84"/>
  <c r="T13" i="84"/>
  <c r="J13" i="84"/>
  <c r="R12" i="84" l="1"/>
  <c r="J120" i="84"/>
  <c r="J121" i="84" s="1"/>
  <c r="O13" i="84" s="1"/>
  <c r="S11" i="84"/>
  <c r="M11" i="84"/>
  <c r="I13" i="84"/>
  <c r="S13" i="84"/>
  <c r="M13" i="84"/>
  <c r="D14" i="84"/>
  <c r="I112" i="84"/>
  <c r="I113" i="84"/>
  <c r="H113" i="84" s="1"/>
  <c r="F14" i="84" s="1"/>
  <c r="J112" i="84"/>
  <c r="M14" i="84"/>
  <c r="O14" i="84"/>
  <c r="S14" i="84" s="1"/>
  <c r="J14" i="84"/>
  <c r="L112" i="84"/>
  <c r="H14" i="84"/>
  <c r="T14" i="84"/>
  <c r="V14" i="84"/>
  <c r="K14" i="84"/>
  <c r="X14" i="84"/>
  <c r="U14" i="84"/>
  <c r="W14" i="84"/>
  <c r="K112" i="84" l="1"/>
  <c r="K113" i="84" s="1"/>
  <c r="N14" i="84" s="1"/>
  <c r="I14" i="84"/>
  <c r="L14" i="84"/>
  <c r="R14" i="84"/>
  <c r="D15" i="84"/>
  <c r="I134" i="84"/>
  <c r="I135" i="84" s="1"/>
  <c r="H135" i="84" s="1"/>
  <c r="F15" i="84" s="1"/>
  <c r="L15" i="84"/>
  <c r="N15" i="84"/>
  <c r="R15" i="84" s="1"/>
  <c r="K15" i="84"/>
  <c r="T15" i="84"/>
  <c r="H15" i="84"/>
  <c r="X15" i="84"/>
  <c r="L134" i="84"/>
  <c r="U15" i="84"/>
  <c r="V15" i="84"/>
  <c r="W15" i="84"/>
  <c r="J15" i="84"/>
  <c r="J134" i="84" l="1"/>
  <c r="J135" i="84" s="1"/>
  <c r="O15" i="84" s="1"/>
  <c r="M15" i="84" s="1"/>
  <c r="I15" i="84"/>
  <c r="S15" i="84"/>
  <c r="D16" i="84"/>
  <c r="I72" i="84"/>
  <c r="I73" i="84" s="1"/>
  <c r="H73" i="84" s="1"/>
  <c r="F16" i="84" s="1"/>
  <c r="J72" i="84"/>
  <c r="M16" i="84"/>
  <c r="O16" i="84"/>
  <c r="S16" i="84"/>
  <c r="U16" i="84"/>
  <c r="K16" i="84"/>
  <c r="J16" i="84"/>
  <c r="X16" i="84"/>
  <c r="W16" i="84"/>
  <c r="L72" i="84"/>
  <c r="T16" i="84"/>
  <c r="V16" i="84"/>
  <c r="H16" i="84"/>
  <c r="K72" i="84" l="1"/>
  <c r="K73" i="84" s="1"/>
  <c r="N16" i="84" s="1"/>
  <c r="I16" i="84"/>
  <c r="L16" i="84"/>
  <c r="R16" i="84"/>
  <c r="D17" i="84"/>
  <c r="I115" i="84"/>
  <c r="I116" i="84"/>
  <c r="I117" i="84"/>
  <c r="I118" i="84"/>
  <c r="H118" i="84" s="1"/>
  <c r="F17" i="84" s="1"/>
  <c r="J115" i="84"/>
  <c r="J116" i="84"/>
  <c r="J117" i="84"/>
  <c r="M17" i="84"/>
  <c r="O17" i="84"/>
  <c r="S17" i="84" s="1"/>
  <c r="J17" i="84"/>
  <c r="U17" i="84"/>
  <c r="L117" i="84"/>
  <c r="X17" i="84"/>
  <c r="B18" i="84"/>
  <c r="K17" i="84"/>
  <c r="H17" i="84"/>
  <c r="L116" i="84"/>
  <c r="V17" i="84"/>
  <c r="W17" i="84"/>
  <c r="L115" i="84"/>
  <c r="T17" i="84"/>
  <c r="K115" i="84" l="1"/>
  <c r="K118" i="84" s="1"/>
  <c r="N17" i="84" s="1"/>
  <c r="K116" i="84"/>
  <c r="K117" i="84"/>
  <c r="I17" i="84"/>
  <c r="L17" i="84"/>
  <c r="R17" i="84"/>
  <c r="D18" i="84"/>
  <c r="I63" i="84"/>
  <c r="I64" i="84"/>
  <c r="H64" i="84" s="1"/>
  <c r="F18" i="84" s="1"/>
  <c r="L18" i="84"/>
  <c r="N18" i="84"/>
  <c r="R18" i="84" s="1"/>
  <c r="W18" i="84"/>
  <c r="AA18" i="84"/>
  <c r="M63" i="84"/>
  <c r="B19" i="84"/>
  <c r="X18" i="84"/>
  <c r="Y18" i="84"/>
  <c r="U18" i="84"/>
  <c r="T18" i="84"/>
  <c r="K18" i="84"/>
  <c r="Z18" i="84"/>
  <c r="V18" i="84"/>
  <c r="J63" i="84" l="1"/>
  <c r="J64" i="84" s="1"/>
  <c r="O18" i="84" s="1"/>
  <c r="M18" i="84" s="1"/>
  <c r="D19" i="84"/>
  <c r="I130" i="84"/>
  <c r="I131" i="84"/>
  <c r="I132" i="84"/>
  <c r="H132" i="84" s="1"/>
  <c r="F19" i="84" s="1"/>
  <c r="J130" i="84"/>
  <c r="J131" i="84"/>
  <c r="M19" i="84"/>
  <c r="O19" i="84"/>
  <c r="S19" i="84" s="1"/>
  <c r="L131" i="84"/>
  <c r="V19" i="84"/>
  <c r="L130" i="84"/>
  <c r="T19" i="84"/>
  <c r="B20" i="84"/>
  <c r="K19" i="84"/>
  <c r="U19" i="84"/>
  <c r="S18" i="84" l="1"/>
  <c r="K131" i="84"/>
  <c r="K130" i="84"/>
  <c r="K132" i="84" s="1"/>
  <c r="N19" i="84" s="1"/>
  <c r="L19" i="84" s="1"/>
  <c r="D20" i="84"/>
  <c r="I66" i="84"/>
  <c r="I67" i="84" s="1"/>
  <c r="H67" i="84" s="1"/>
  <c r="F20" i="84" s="1"/>
  <c r="J66" i="84"/>
  <c r="M20" i="84"/>
  <c r="O20" i="84"/>
  <c r="S20" i="84" s="1"/>
  <c r="K20" i="84"/>
  <c r="T20" i="84"/>
  <c r="U20" i="84"/>
  <c r="L66" i="84"/>
  <c r="V20" i="84"/>
  <c r="R19" i="84" l="1"/>
  <c r="K66" i="84"/>
  <c r="K67" i="84" s="1"/>
  <c r="N20" i="84" s="1"/>
  <c r="L20" i="84" s="1"/>
  <c r="B21" i="84"/>
  <c r="R20" i="84" l="1"/>
  <c r="D21" i="84"/>
  <c r="I78" i="84"/>
  <c r="I79" i="84"/>
  <c r="H79" i="84" s="1"/>
  <c r="F21" i="84" s="1"/>
  <c r="J78" i="84"/>
  <c r="M21" i="84"/>
  <c r="O21" i="84"/>
  <c r="S21" i="84" s="1"/>
  <c r="K21" i="84"/>
  <c r="L78" i="84"/>
  <c r="V21" i="84"/>
  <c r="T21" i="84"/>
  <c r="U21" i="84"/>
  <c r="K78" i="84" l="1"/>
  <c r="K79" i="84" s="1"/>
  <c r="N21" i="84" s="1"/>
  <c r="L21" i="84" s="1"/>
  <c r="L23" i="84" s="1"/>
  <c r="D22" i="84"/>
  <c r="D23" i="84" s="1"/>
  <c r="I23" i="84"/>
  <c r="M23" i="84"/>
  <c r="N23" i="84"/>
  <c r="O23" i="84"/>
  <c r="P23" i="84"/>
  <c r="S23" i="84"/>
  <c r="T23" i="84"/>
  <c r="H29" i="84"/>
  <c r="I29" i="84"/>
  <c r="J29" i="84"/>
  <c r="M29" i="84"/>
  <c r="N29" i="84"/>
  <c r="P29" i="84"/>
  <c r="P30" i="84"/>
  <c r="H34" i="84"/>
  <c r="I34" i="84"/>
  <c r="J34" i="84"/>
  <c r="N34" i="84" s="1"/>
  <c r="M34" i="84"/>
  <c r="C35" i="84"/>
  <c r="B35" i="84"/>
  <c r="E35" i="84"/>
  <c r="H35" i="84"/>
  <c r="I35" i="84"/>
  <c r="J35" i="84"/>
  <c r="M35" i="84"/>
  <c r="N35" i="84"/>
  <c r="O35" i="84"/>
  <c r="C36" i="84"/>
  <c r="B36" i="84"/>
  <c r="E36" i="84"/>
  <c r="H36" i="84"/>
  <c r="I36" i="84"/>
  <c r="J36" i="84"/>
  <c r="M36" i="84"/>
  <c r="O36" i="84"/>
  <c r="B34" i="84"/>
  <c r="E34" i="84"/>
  <c r="R34" i="84"/>
  <c r="O34" i="84"/>
  <c r="E29" i="84"/>
  <c r="R35" i="84"/>
  <c r="R36" i="84"/>
  <c r="R29" i="84"/>
  <c r="O29" i="84"/>
  <c r="R21" i="84" l="1"/>
  <c r="R23" i="84" s="1"/>
  <c r="P34" i="84"/>
  <c r="P35" i="84"/>
  <c r="N36" i="84"/>
  <c r="P36" i="84"/>
  <c r="H37" i="84"/>
  <c r="I37" i="84"/>
  <c r="J37" i="84"/>
  <c r="N37" i="84" s="1"/>
  <c r="M37" i="84"/>
  <c r="H38" i="84"/>
  <c r="I38" i="84"/>
  <c r="J38" i="84"/>
  <c r="M38" i="84"/>
  <c r="B38" i="84"/>
  <c r="O37" i="84"/>
  <c r="R37" i="84"/>
  <c r="E37" i="84"/>
  <c r="B37" i="84"/>
  <c r="R38" i="84"/>
  <c r="O38" i="84"/>
  <c r="E38" i="84"/>
  <c r="P37" i="84" l="1"/>
  <c r="N38" i="84"/>
  <c r="P38" i="84" s="1"/>
  <c r="H39" i="84"/>
  <c r="I39" i="84"/>
  <c r="J39" i="84"/>
  <c r="M39" i="84"/>
  <c r="B39" i="84"/>
  <c r="R39" i="84"/>
  <c r="E39" i="84"/>
  <c r="O39" i="84"/>
  <c r="N39" i="84" l="1"/>
  <c r="P39" i="84" s="1"/>
  <c r="H40" i="84"/>
  <c r="I40" i="84"/>
  <c r="J40" i="84"/>
  <c r="M40" i="84"/>
  <c r="N40" i="84"/>
  <c r="H41" i="84"/>
  <c r="I41" i="84"/>
  <c r="N41" i="84" s="1"/>
  <c r="J41" i="84"/>
  <c r="M41" i="84"/>
  <c r="C42" i="84"/>
  <c r="B42" i="84"/>
  <c r="E42" i="84"/>
  <c r="H42" i="84"/>
  <c r="I42" i="84"/>
  <c r="J42" i="84"/>
  <c r="N42" i="84" s="1"/>
  <c r="M42" i="84"/>
  <c r="O42" i="84"/>
  <c r="H43" i="84"/>
  <c r="I43" i="84"/>
  <c r="J43" i="84"/>
  <c r="M43" i="84"/>
  <c r="N43" i="84"/>
  <c r="C44" i="84"/>
  <c r="B44" i="84"/>
  <c r="E44" i="84"/>
  <c r="H44" i="84"/>
  <c r="I44" i="84"/>
  <c r="J44" i="84"/>
  <c r="M44" i="84"/>
  <c r="O44" i="84"/>
  <c r="C45" i="84"/>
  <c r="B45" i="84"/>
  <c r="E45" i="84"/>
  <c r="H45" i="84"/>
  <c r="I45" i="84"/>
  <c r="J45" i="84"/>
  <c r="M45" i="84"/>
  <c r="O45" i="84"/>
  <c r="C46" i="84"/>
  <c r="H46" i="84"/>
  <c r="I46" i="84"/>
  <c r="J46" i="84"/>
  <c r="M46" i="84"/>
  <c r="H47" i="84"/>
  <c r="I47" i="84"/>
  <c r="J47" i="84"/>
  <c r="M47" i="84"/>
  <c r="H48" i="84"/>
  <c r="I48" i="84"/>
  <c r="C49" i="84"/>
  <c r="B49" i="84"/>
  <c r="E49" i="84"/>
  <c r="H49" i="84"/>
  <c r="I49" i="84"/>
  <c r="J49" i="84"/>
  <c r="M49" i="84"/>
  <c r="O49" i="84"/>
  <c r="H50" i="84"/>
  <c r="I50" i="84"/>
  <c r="J50" i="84"/>
  <c r="N50" i="84" s="1"/>
  <c r="M50" i="84"/>
  <c r="H51" i="84"/>
  <c r="I51" i="84"/>
  <c r="J51" i="84"/>
  <c r="M51" i="84"/>
  <c r="H52" i="84"/>
  <c r="I52" i="84"/>
  <c r="J52" i="84"/>
  <c r="N52" i="84" s="1"/>
  <c r="M52" i="84"/>
  <c r="H53" i="84"/>
  <c r="I53" i="84"/>
  <c r="J53" i="84"/>
  <c r="M53" i="84"/>
  <c r="H57" i="84"/>
  <c r="I57" i="84"/>
  <c r="J57" i="84"/>
  <c r="M57" i="84"/>
  <c r="J67" i="84"/>
  <c r="K69" i="84"/>
  <c r="K70" i="84" s="1"/>
  <c r="J73" i="84"/>
  <c r="I75" i="84"/>
  <c r="J75" i="84" s="1"/>
  <c r="F76" i="84"/>
  <c r="I76" i="84"/>
  <c r="H76" i="84" s="1"/>
  <c r="J76" i="84"/>
  <c r="J79" i="84"/>
  <c r="I81" i="84"/>
  <c r="J81" i="84" s="1"/>
  <c r="F82" i="84"/>
  <c r="I82" i="84"/>
  <c r="H82" i="84" s="1"/>
  <c r="J82" i="84"/>
  <c r="K84" i="84"/>
  <c r="K87" i="84" s="1"/>
  <c r="K85" i="84"/>
  <c r="K86" i="84"/>
  <c r="K89" i="84"/>
  <c r="K92" i="84" s="1"/>
  <c r="K90" i="84"/>
  <c r="K91" i="84"/>
  <c r="K94" i="84"/>
  <c r="K95" i="84"/>
  <c r="K96" i="84"/>
  <c r="K98" i="84"/>
  <c r="K99" i="84" s="1"/>
  <c r="K101" i="84"/>
  <c r="K103" i="84" s="1"/>
  <c r="K102" i="84"/>
  <c r="K105" i="84"/>
  <c r="K107" i="84" s="1"/>
  <c r="K106" i="84"/>
  <c r="I109" i="84"/>
  <c r="F110" i="84"/>
  <c r="I110" i="84"/>
  <c r="H110" i="84" s="1"/>
  <c r="J113" i="84"/>
  <c r="J118" i="84"/>
  <c r="K120" i="84"/>
  <c r="K121" i="84" s="1"/>
  <c r="J124" i="84"/>
  <c r="J132" i="84"/>
  <c r="K134" i="84"/>
  <c r="K135" i="84" s="1"/>
  <c r="G117" i="84"/>
  <c r="G130" i="84"/>
  <c r="M75" i="84"/>
  <c r="M90" i="84"/>
  <c r="M78" i="84"/>
  <c r="O43" i="84"/>
  <c r="G90" i="84"/>
  <c r="M101" i="84"/>
  <c r="G89" i="84"/>
  <c r="L81" i="84"/>
  <c r="O52" i="84"/>
  <c r="L48" i="84"/>
  <c r="D94" i="84"/>
  <c r="D117" i="84"/>
  <c r="M131" i="84"/>
  <c r="G81" i="84"/>
  <c r="G123" i="84"/>
  <c r="D126" i="84"/>
  <c r="D105" i="84"/>
  <c r="O48" i="84"/>
  <c r="G115" i="84"/>
  <c r="B41" i="84"/>
  <c r="D95" i="84"/>
  <c r="D85" i="84"/>
  <c r="E50" i="84"/>
  <c r="R57" i="84"/>
  <c r="G66" i="84"/>
  <c r="D123" i="84"/>
  <c r="D131" i="84"/>
  <c r="G126" i="84"/>
  <c r="D112" i="84"/>
  <c r="M86" i="84"/>
  <c r="D72" i="84"/>
  <c r="D101" i="84"/>
  <c r="D89" i="84"/>
  <c r="G63" i="84"/>
  <c r="E46" i="84"/>
  <c r="G127" i="84"/>
  <c r="M84" i="84"/>
  <c r="E53" i="84"/>
  <c r="M106" i="84"/>
  <c r="G85" i="84"/>
  <c r="O51" i="84"/>
  <c r="M120" i="84"/>
  <c r="D66" i="84"/>
  <c r="M95" i="84"/>
  <c r="D91" i="84"/>
  <c r="M81" i="84"/>
  <c r="D90" i="84"/>
  <c r="E40" i="84"/>
  <c r="D78" i="84"/>
  <c r="E48" i="84"/>
  <c r="R51" i="84"/>
  <c r="G75" i="84"/>
  <c r="E47" i="84"/>
  <c r="O50" i="84"/>
  <c r="M109" i="84"/>
  <c r="D130" i="84"/>
  <c r="D109" i="84"/>
  <c r="G106" i="84"/>
  <c r="G72" i="84"/>
  <c r="E52" i="84"/>
  <c r="M116" i="84"/>
  <c r="G94" i="84"/>
  <c r="D120" i="84"/>
  <c r="G109" i="84"/>
  <c r="M130" i="84"/>
  <c r="M102" i="84"/>
  <c r="G131" i="84"/>
  <c r="M112" i="84"/>
  <c r="L109" i="84"/>
  <c r="D86" i="84"/>
  <c r="B40" i="84"/>
  <c r="D84" i="84"/>
  <c r="R46" i="84"/>
  <c r="M134" i="84"/>
  <c r="D102" i="84"/>
  <c r="M123" i="84"/>
  <c r="D81" i="84"/>
  <c r="M85" i="84"/>
  <c r="G134" i="84"/>
  <c r="R52" i="84"/>
  <c r="G101" i="84"/>
  <c r="O40" i="84"/>
  <c r="R43" i="84"/>
  <c r="B53" i="84"/>
  <c r="R49" i="84"/>
  <c r="E43" i="84"/>
  <c r="M72" i="84"/>
  <c r="L63" i="84"/>
  <c r="D63" i="84"/>
  <c r="G84" i="84"/>
  <c r="R50" i="84"/>
  <c r="B47" i="84"/>
  <c r="M91" i="84"/>
  <c r="M115" i="84"/>
  <c r="D115" i="84"/>
  <c r="R45" i="84"/>
  <c r="M66" i="84"/>
  <c r="R40" i="84"/>
  <c r="D69" i="84"/>
  <c r="D98" i="84"/>
  <c r="E57" i="84"/>
  <c r="G116" i="84"/>
  <c r="D134" i="84"/>
  <c r="R47" i="84"/>
  <c r="E51" i="84"/>
  <c r="D116" i="84"/>
  <c r="L75" i="84"/>
  <c r="G120" i="84"/>
  <c r="G95" i="84"/>
  <c r="O41" i="84"/>
  <c r="R42" i="84"/>
  <c r="O47" i="84"/>
  <c r="B57" i="84"/>
  <c r="M105" i="84"/>
  <c r="G78" i="84"/>
  <c r="G105" i="84"/>
  <c r="B46" i="84"/>
  <c r="O53" i="84"/>
  <c r="D75" i="84"/>
  <c r="R41" i="84"/>
  <c r="R53" i="84"/>
  <c r="R48" i="84"/>
  <c r="G91" i="84"/>
  <c r="G98" i="84"/>
  <c r="M94" i="84"/>
  <c r="G86" i="84"/>
  <c r="G102" i="84"/>
  <c r="M69" i="84"/>
  <c r="R44" i="84"/>
  <c r="G112" i="84"/>
  <c r="G69" i="84"/>
  <c r="M117" i="84"/>
  <c r="O57" i="84"/>
  <c r="O46" i="84"/>
  <c r="E41" i="84"/>
  <c r="D106" i="84"/>
  <c r="M89" i="84"/>
  <c r="D127" i="84"/>
  <c r="M98" i="84"/>
  <c r="N57" i="84" l="1"/>
  <c r="P43" i="84"/>
  <c r="P52" i="84"/>
  <c r="M48" i="84"/>
  <c r="J48" i="84"/>
  <c r="N48" i="84" s="1"/>
  <c r="P48" i="84" s="1"/>
  <c r="N44" i="84"/>
  <c r="P42" i="84"/>
  <c r="P40" i="84"/>
  <c r="K81" i="84"/>
  <c r="K82" i="84" s="1"/>
  <c r="K75" i="84"/>
  <c r="K76" i="84" s="1"/>
  <c r="P50" i="84"/>
  <c r="N49" i="84"/>
  <c r="P49" i="84" s="1"/>
  <c r="N46" i="84"/>
  <c r="P46" i="84" s="1"/>
  <c r="N47" i="84"/>
  <c r="P47" i="84" s="1"/>
  <c r="N45" i="84"/>
  <c r="P45" i="84" s="1"/>
  <c r="N53" i="84"/>
  <c r="P53" i="84" s="1"/>
  <c r="P54" i="84" s="1"/>
  <c r="J109" i="84"/>
  <c r="P41" i="84"/>
  <c r="K63" i="84"/>
  <c r="K64" i="84" s="1"/>
  <c r="Q26" i="88"/>
  <c r="R26" i="88"/>
  <c r="R25" i="88"/>
  <c r="P26" i="88"/>
  <c r="R27" i="88"/>
  <c r="F296" i="34"/>
  <c r="E4" i="34" s="1"/>
  <c r="F231" i="34"/>
  <c r="E5" i="34"/>
  <c r="F130" i="34"/>
  <c r="E6" i="34" s="1"/>
  <c r="F224" i="34"/>
  <c r="E7" i="34" s="1"/>
  <c r="F134" i="34"/>
  <c r="E8" i="34" s="1"/>
  <c r="F359" i="34"/>
  <c r="E9" i="34"/>
  <c r="F96" i="34"/>
  <c r="E10" i="34" s="1"/>
  <c r="F142" i="34"/>
  <c r="E11" i="34"/>
  <c r="F374" i="34"/>
  <c r="E12" i="34"/>
  <c r="F382" i="34"/>
  <c r="E13" i="34"/>
  <c r="F201" i="34"/>
  <c r="E14" i="34"/>
  <c r="F105" i="34"/>
  <c r="E15" i="34"/>
  <c r="F126" i="34"/>
  <c r="E16" i="34"/>
  <c r="F340" i="34"/>
  <c r="E17" i="34"/>
  <c r="F85" i="34"/>
  <c r="E18" i="34"/>
  <c r="F260" i="34"/>
  <c r="E19" i="34" s="1"/>
  <c r="F367" i="34"/>
  <c r="E20" i="34"/>
  <c r="F302" i="34"/>
  <c r="E21" i="34"/>
  <c r="F101" i="34"/>
  <c r="E22" i="34"/>
  <c r="F216" i="34"/>
  <c r="E24" i="34"/>
  <c r="F114" i="34"/>
  <c r="E25" i="34"/>
  <c r="F346" i="34"/>
  <c r="E26" i="34"/>
  <c r="F240" i="34"/>
  <c r="E27" i="34"/>
  <c r="F91" i="34"/>
  <c r="E29" i="34"/>
  <c r="F190" i="34"/>
  <c r="E30" i="34"/>
  <c r="N51" i="84"/>
  <c r="H290" i="34"/>
  <c r="P51" i="84" l="1"/>
  <c r="N54" i="84"/>
  <c r="P44" i="84"/>
  <c r="K109" i="84"/>
  <c r="K110" i="84" s="1"/>
  <c r="J110" i="84"/>
  <c r="N59" i="84"/>
  <c r="P57" i="84"/>
  <c r="P59" i="84" s="1"/>
  <c r="I290" i="34"/>
  <c r="I128" i="34" l="1"/>
  <c r="I129" i="34"/>
  <c r="I130" i="34"/>
  <c r="H130" i="34" s="1"/>
  <c r="F6" i="34" s="1"/>
  <c r="J128" i="34" l="1"/>
  <c r="O6" i="34"/>
  <c r="Q51" i="98"/>
  <c r="B36" i="98"/>
  <c r="C77" i="98"/>
  <c r="K54" i="98"/>
  <c r="N47" i="98"/>
  <c r="H38" i="98"/>
  <c r="AB75" i="98"/>
  <c r="V22" i="98"/>
  <c r="AA3" i="98"/>
  <c r="B24" i="98"/>
  <c r="C55" i="98"/>
  <c r="U2" i="98"/>
  <c r="AB26" i="98"/>
  <c r="Z42" i="98"/>
  <c r="Z16" i="98"/>
  <c r="D8" i="98"/>
  <c r="Z31" i="98"/>
  <c r="V50" i="98"/>
  <c r="AB15" i="98"/>
  <c r="S27" i="98"/>
  <c r="C67" i="98"/>
  <c r="T27" i="98"/>
  <c r="D47" i="98"/>
  <c r="T54" i="98"/>
  <c r="O39" i="98"/>
  <c r="U24" i="98"/>
  <c r="AD16" i="98"/>
  <c r="F66" i="98"/>
  <c r="R33" i="98"/>
  <c r="G28" i="98"/>
  <c r="AB32" i="98"/>
  <c r="C58" i="98"/>
  <c r="AC49" i="98"/>
  <c r="G55" i="98"/>
  <c r="Q13" i="98"/>
  <c r="C27" i="98"/>
  <c r="H23" i="98"/>
  <c r="N3" i="98"/>
  <c r="K44" i="98"/>
  <c r="AE63" i="98"/>
  <c r="U54" i="98"/>
  <c r="F42" i="98"/>
  <c r="W33" i="98"/>
  <c r="F18" i="98"/>
  <c r="L41" i="98"/>
  <c r="AE42" i="98"/>
  <c r="C62" i="98"/>
  <c r="W8" i="98"/>
  <c r="P67" i="98"/>
  <c r="S22" i="98"/>
  <c r="AC23" i="98"/>
  <c r="AA33" i="98"/>
  <c r="AD72" i="98"/>
  <c r="H3" i="98"/>
  <c r="Y15" i="98"/>
  <c r="H63" i="98"/>
  <c r="O27" i="98"/>
  <c r="R25" i="98"/>
  <c r="R41" i="98"/>
  <c r="AD25" i="98"/>
  <c r="Y56" i="98"/>
  <c r="K13" i="98"/>
  <c r="N26" i="98"/>
  <c r="U49" i="98"/>
  <c r="C74" i="98"/>
  <c r="N14" i="98"/>
  <c r="AA13" i="98"/>
  <c r="AC67" i="98"/>
  <c r="AC77" i="98"/>
  <c r="K52" i="98"/>
  <c r="T34" i="98"/>
  <c r="P49" i="98"/>
  <c r="X8" i="98"/>
  <c r="AB65" i="98"/>
  <c r="AB2" i="98"/>
  <c r="AA34" i="98"/>
  <c r="AD5" i="98"/>
  <c r="T38" i="98"/>
  <c r="T60" i="98"/>
  <c r="Q17" i="98"/>
  <c r="X67" i="98"/>
  <c r="S60" i="98"/>
  <c r="B67" i="98"/>
  <c r="P31" i="98"/>
  <c r="D51" i="98"/>
  <c r="X13" i="98"/>
  <c r="AB17" i="98"/>
  <c r="C23" i="98"/>
  <c r="AB7" i="98"/>
  <c r="X6" i="98"/>
  <c r="N45" i="98"/>
  <c r="F44" i="98"/>
  <c r="H58" i="98"/>
  <c r="D16" i="98"/>
  <c r="P39" i="98"/>
  <c r="N51" i="98"/>
  <c r="AC51" i="98"/>
  <c r="G26" i="34"/>
  <c r="AD44" i="98"/>
  <c r="K16" i="98"/>
  <c r="K39" i="98"/>
  <c r="J3" i="98"/>
  <c r="F9" i="98"/>
  <c r="N22" i="98"/>
  <c r="O28" i="98"/>
  <c r="X5" i="98"/>
  <c r="P26" i="98"/>
  <c r="AE38" i="98"/>
  <c r="Q24" i="98"/>
  <c r="AA20" i="98"/>
  <c r="O24" i="98"/>
  <c r="AA49" i="98"/>
  <c r="R51" i="98"/>
  <c r="AA47" i="98"/>
  <c r="AD49" i="98"/>
  <c r="O3" i="98"/>
  <c r="R22" i="98"/>
  <c r="Z48" i="98"/>
  <c r="E55" i="98"/>
  <c r="O48" i="98"/>
  <c r="M20" i="98"/>
  <c r="AB28" i="98"/>
  <c r="X7" i="98"/>
  <c r="X38" i="98"/>
  <c r="Q10" i="98"/>
  <c r="O4" i="98"/>
  <c r="Q65" i="98"/>
  <c r="D13" i="98"/>
  <c r="Q62" i="98"/>
  <c r="P44" i="98"/>
  <c r="AD26" i="98"/>
  <c r="M69" i="98"/>
  <c r="AD54" i="98"/>
  <c r="D77" i="98"/>
  <c r="O16" i="98"/>
  <c r="N33" i="98"/>
  <c r="AC30" i="98"/>
  <c r="Z62" i="98"/>
  <c r="M57" i="98"/>
  <c r="S55" i="98"/>
  <c r="N58" i="98"/>
  <c r="R62" i="98"/>
  <c r="W42" i="98"/>
  <c r="S67" i="98"/>
  <c r="AA54" i="98"/>
  <c r="U23" i="98"/>
  <c r="C26" i="98"/>
  <c r="AD74" i="98"/>
  <c r="N62" i="98"/>
  <c r="G44" i="98"/>
  <c r="S50" i="98"/>
  <c r="B55" i="98"/>
  <c r="Z46" i="98"/>
  <c r="L36" i="98"/>
  <c r="P1" i="34"/>
  <c r="X33" i="98"/>
  <c r="AB37" i="98"/>
  <c r="R32" i="98"/>
  <c r="K45" i="98"/>
  <c r="R44" i="98"/>
  <c r="P54" i="98"/>
  <c r="D60" i="98"/>
  <c r="E41" i="98"/>
  <c r="X11" i="98"/>
  <c r="Y39" i="98"/>
  <c r="X17" i="98"/>
  <c r="U32" i="98"/>
  <c r="S48" i="98"/>
  <c r="W29" i="98"/>
  <c r="Q26" i="98"/>
  <c r="AB46" i="98"/>
  <c r="O41" i="98"/>
  <c r="V59" i="98"/>
  <c r="Y41" i="98"/>
  <c r="F51" i="98"/>
  <c r="B60" i="98"/>
  <c r="Z13" i="98"/>
  <c r="G34" i="98"/>
  <c r="K51" i="98"/>
  <c r="Q15" i="98"/>
  <c r="AB14" i="98"/>
  <c r="X72" i="98"/>
  <c r="T76" i="98"/>
  <c r="B26" i="98"/>
  <c r="AA67" i="98"/>
  <c r="S3" i="98"/>
  <c r="H76" i="98"/>
  <c r="R36" i="98"/>
  <c r="Q52" i="98"/>
  <c r="F55" i="98"/>
  <c r="P52" i="98"/>
  <c r="M19" i="98"/>
  <c r="B11" i="98"/>
  <c r="AA19" i="98"/>
  <c r="B31" i="98"/>
  <c r="H72" i="98"/>
  <c r="G75" i="98"/>
  <c r="Y14" i="98"/>
  <c r="F19" i="98"/>
  <c r="L42" i="98"/>
  <c r="F13" i="98"/>
  <c r="M64" i="98"/>
  <c r="Q39" i="98"/>
  <c r="W2" i="98"/>
  <c r="AD30" i="98"/>
  <c r="N2" i="98"/>
  <c r="R75" i="98"/>
  <c r="T44" i="98"/>
  <c r="U69" i="98"/>
  <c r="Q19" i="98"/>
  <c r="E34" i="98"/>
  <c r="AD23" i="98"/>
  <c r="AE77" i="98"/>
  <c r="F77" i="98"/>
  <c r="V52" i="98"/>
  <c r="Z20" i="98"/>
  <c r="S31" i="98"/>
  <c r="W65" i="98"/>
  <c r="X63" i="98"/>
  <c r="V7" i="98"/>
  <c r="Z71" i="98"/>
  <c r="M8" i="98"/>
  <c r="AB44" i="98"/>
  <c r="N74" i="98"/>
  <c r="AC44" i="98"/>
  <c r="F74" i="98"/>
  <c r="H16" i="98"/>
  <c r="E9" i="98"/>
  <c r="B63" i="98"/>
  <c r="T32" i="98"/>
  <c r="F48" i="98"/>
  <c r="M71" i="98"/>
  <c r="R20" i="98"/>
  <c r="G66" i="98"/>
  <c r="C30" i="98"/>
  <c r="H40" i="98"/>
  <c r="AE43" i="98"/>
  <c r="G65" i="98"/>
  <c r="C13" i="98"/>
  <c r="AD17" i="98"/>
  <c r="N77" i="98"/>
  <c r="AC69" i="98"/>
  <c r="O56" i="98"/>
  <c r="U55" i="98"/>
  <c r="X9" i="98"/>
  <c r="AA48" i="98"/>
  <c r="C50" i="98"/>
  <c r="B29" i="98"/>
  <c r="AK1" i="98"/>
  <c r="H4" i="34"/>
  <c r="R7" i="98"/>
  <c r="AD4" i="98"/>
  <c r="W72" i="98"/>
  <c r="O44" i="98"/>
  <c r="G14" i="98"/>
  <c r="M41" i="98"/>
  <c r="AB69" i="98"/>
  <c r="AE36" i="98"/>
  <c r="H15" i="98"/>
  <c r="B3" i="98"/>
  <c r="R11" i="98"/>
  <c r="AD56" i="98"/>
  <c r="B9" i="98"/>
  <c r="O30" i="98"/>
  <c r="U33" i="98"/>
  <c r="R30" i="98"/>
  <c r="Z38" i="98"/>
  <c r="Q71" i="98"/>
  <c r="R38" i="98"/>
  <c r="O45" i="98"/>
  <c r="AC11" i="98"/>
  <c r="U39" i="98"/>
  <c r="AD31" i="98"/>
  <c r="V54" i="98"/>
  <c r="W74" i="98"/>
  <c r="P16" i="98"/>
  <c r="F31" i="98"/>
  <c r="W48" i="98"/>
  <c r="AC39" i="98"/>
  <c r="P8" i="98"/>
  <c r="F3" i="98"/>
  <c r="U12" i="98"/>
  <c r="G22" i="98"/>
  <c r="AA24" i="98"/>
  <c r="Q38" i="98"/>
  <c r="U25" i="98"/>
  <c r="M13" i="98"/>
  <c r="AB25" i="98"/>
  <c r="V75" i="98"/>
  <c r="K25" i="98"/>
  <c r="E52" i="98"/>
  <c r="E25" i="98"/>
  <c r="X23" i="98"/>
  <c r="AA77" i="98"/>
  <c r="V56" i="98"/>
  <c r="X77" i="98"/>
  <c r="AD38" i="98"/>
  <c r="K31" i="98"/>
  <c r="P32" i="98"/>
  <c r="C52" i="98"/>
  <c r="V55" i="98"/>
  <c r="Z19" i="98"/>
  <c r="H31" i="98"/>
  <c r="R47" i="98"/>
  <c r="V31" i="98"/>
  <c r="Y34" i="98"/>
  <c r="M77" i="98"/>
  <c r="Y77" i="98"/>
  <c r="E3" i="98"/>
  <c r="R76" i="98"/>
  <c r="T3" i="98"/>
  <c r="S69" i="98"/>
  <c r="F16" i="98"/>
  <c r="AC34" i="98"/>
  <c r="D30" i="98"/>
  <c r="W49" i="98"/>
  <c r="U42" i="98"/>
  <c r="T19" i="98"/>
  <c r="G17" i="34"/>
  <c r="K15" i="98"/>
  <c r="R15" i="98"/>
  <c r="AA63" i="98"/>
  <c r="AB50" i="98"/>
  <c r="R39" i="98"/>
  <c r="AC38" i="98"/>
  <c r="W54" i="98"/>
  <c r="M42" i="98"/>
  <c r="G53" i="98"/>
  <c r="C32" i="98"/>
  <c r="S16" i="98"/>
  <c r="D57" i="98"/>
  <c r="C12" i="98"/>
  <c r="N28" i="98"/>
  <c r="O51" i="98"/>
  <c r="E72" i="98"/>
  <c r="T49" i="98"/>
  <c r="AD75" i="98"/>
  <c r="N39" i="98"/>
  <c r="R16" i="98"/>
  <c r="AE41" i="98"/>
  <c r="J9" i="98"/>
  <c r="K50" i="98"/>
  <c r="O20" i="98"/>
  <c r="F71" i="98"/>
  <c r="W50" i="98"/>
  <c r="G38" i="98"/>
  <c r="H30" i="98"/>
  <c r="M58" i="98"/>
  <c r="AD29" i="98"/>
  <c r="T14" i="98"/>
  <c r="M76" i="98"/>
  <c r="B19" i="98"/>
  <c r="D69" i="98"/>
  <c r="AC48" i="98"/>
  <c r="B56" i="98"/>
  <c r="P48" i="98"/>
  <c r="S36" i="98"/>
  <c r="AB27" i="98"/>
  <c r="B61" i="98"/>
  <c r="AE64" i="98"/>
  <c r="J71" i="98"/>
  <c r="C28" i="98"/>
  <c r="T65" i="98"/>
  <c r="O33" i="98"/>
  <c r="B34" i="98"/>
  <c r="F39" i="98"/>
  <c r="V48" i="98"/>
  <c r="D36" i="98"/>
  <c r="S33" i="98"/>
  <c r="Y18" i="98"/>
  <c r="P37" i="98"/>
  <c r="U71" i="98"/>
  <c r="P66" i="98"/>
  <c r="C57" i="98"/>
  <c r="C43" i="98"/>
  <c r="V4" i="98"/>
  <c r="G61" i="98"/>
  <c r="U37" i="98"/>
  <c r="O21" i="98"/>
  <c r="P12" i="98"/>
  <c r="H34" i="98"/>
  <c r="P75" i="98"/>
  <c r="T62" i="98"/>
  <c r="R74" i="98"/>
  <c r="E16" i="98"/>
  <c r="Q76" i="98"/>
  <c r="T41" i="98"/>
  <c r="O23" i="98"/>
  <c r="AA38" i="98"/>
  <c r="K47" i="98"/>
  <c r="R10" i="98"/>
  <c r="M31" i="98"/>
  <c r="V66" i="98"/>
  <c r="D72" i="98"/>
  <c r="X53" i="98"/>
  <c r="N75" i="98"/>
  <c r="M24" i="98"/>
  <c r="U19" i="98"/>
  <c r="Q9" i="98"/>
  <c r="N44" i="98"/>
  <c r="M33" i="98"/>
  <c r="AE60" i="98"/>
  <c r="H62" i="98"/>
  <c r="Q69" i="98"/>
  <c r="H48" i="98"/>
  <c r="K34" i="98"/>
  <c r="AE7" i="98"/>
  <c r="T51" i="98"/>
  <c r="Z68" i="98"/>
  <c r="V17" i="98"/>
  <c r="T18" i="98"/>
  <c r="Z72" i="98"/>
  <c r="O46" i="98"/>
  <c r="O34" i="98"/>
  <c r="G16" i="98"/>
  <c r="K17" i="98"/>
  <c r="X36" i="98"/>
  <c r="AB11" i="98"/>
  <c r="H26" i="98"/>
  <c r="P74" i="98"/>
  <c r="AE22" i="98"/>
  <c r="H51" i="98"/>
  <c r="AB35" i="98"/>
  <c r="G28" i="34"/>
  <c r="H20" i="98"/>
  <c r="X76" i="98"/>
  <c r="R42" i="98"/>
  <c r="H60" i="98"/>
  <c r="B10" i="98"/>
  <c r="Y44" i="98"/>
  <c r="S56" i="98"/>
  <c r="Z15" i="98"/>
  <c r="R48" i="98"/>
  <c r="Q77" i="98"/>
  <c r="C54" i="98"/>
  <c r="Y49" i="98"/>
  <c r="S9" i="98"/>
  <c r="AA26" i="98"/>
  <c r="K30" i="98"/>
  <c r="AA62" i="98"/>
  <c r="O18" i="98"/>
  <c r="Z39" i="98"/>
  <c r="AE30" i="98"/>
  <c r="G62" i="98"/>
  <c r="N46" i="98"/>
  <c r="P55" i="98"/>
  <c r="AC41" i="98"/>
  <c r="K48" i="98"/>
  <c r="D27" i="98"/>
  <c r="C37" i="98"/>
  <c r="F7" i="98"/>
  <c r="AD8" i="98"/>
  <c r="G71" i="98"/>
  <c r="V29" i="98"/>
  <c r="R4" i="98"/>
  <c r="W36" i="98"/>
  <c r="X27" i="98"/>
  <c r="M12" i="98"/>
  <c r="K6" i="98"/>
  <c r="T37" i="98"/>
  <c r="H77" i="98"/>
  <c r="N32" i="98"/>
  <c r="E63" i="98"/>
  <c r="R26" i="98"/>
  <c r="V39" i="98"/>
  <c r="AE20" i="98"/>
  <c r="C42" i="98"/>
  <c r="M29" i="98"/>
  <c r="H46" i="98"/>
  <c r="T35" i="98"/>
  <c r="B64" i="98"/>
  <c r="AA32" i="98"/>
  <c r="T25" i="98"/>
  <c r="B7" i="98"/>
  <c r="X40" i="98"/>
  <c r="B2" i="98"/>
  <c r="B44" i="98"/>
  <c r="AE69" i="98"/>
  <c r="Y75" i="98"/>
  <c r="O52" i="98"/>
  <c r="Q44" i="98"/>
  <c r="N23" i="98"/>
  <c r="D74" i="98"/>
  <c r="AB34" i="98"/>
  <c r="C14" i="98"/>
  <c r="E7" i="98"/>
  <c r="J61" i="98"/>
  <c r="Q61" i="98"/>
  <c r="Q11" i="98"/>
  <c r="AD53" i="98"/>
  <c r="F32" i="98"/>
  <c r="P41" i="98"/>
  <c r="R31" i="98"/>
  <c r="G77" i="98"/>
  <c r="D76" i="98"/>
  <c r="AE76" i="98"/>
  <c r="AB19" i="98"/>
  <c r="S47" i="98"/>
  <c r="T72" i="98"/>
  <c r="C15" i="98"/>
  <c r="D34" i="98"/>
  <c r="AB18" i="98"/>
  <c r="AA11" i="98"/>
  <c r="AA61" i="98"/>
  <c r="G6" i="34"/>
  <c r="K46" i="98"/>
  <c r="R57" i="98"/>
  <c r="AD28" i="98"/>
  <c r="F38" i="98"/>
  <c r="L290" i="34"/>
  <c r="K33" i="98"/>
  <c r="Q25" i="98"/>
  <c r="O25" i="98"/>
  <c r="V25" i="98"/>
  <c r="E67" i="98"/>
  <c r="G17" i="98"/>
  <c r="AB49" i="98"/>
  <c r="M290" i="34"/>
  <c r="Z25" i="98"/>
  <c r="X25" i="98"/>
  <c r="M25" i="98"/>
  <c r="D49" i="98"/>
  <c r="W23" i="98"/>
  <c r="M67" i="98"/>
  <c r="S15" i="98"/>
  <c r="C76" i="98"/>
  <c r="N76" i="98"/>
  <c r="AA74" i="98"/>
  <c r="Z76" i="98"/>
  <c r="W11" i="98"/>
  <c r="P19" i="98"/>
  <c r="E77" i="98"/>
  <c r="AC74" i="98"/>
  <c r="N67" i="98"/>
  <c r="S49" i="98"/>
  <c r="C47" i="98"/>
  <c r="Y11" i="98"/>
  <c r="E11" i="98"/>
  <c r="O11" i="98"/>
  <c r="AA52" i="98"/>
  <c r="B15" i="98"/>
  <c r="F14" i="98"/>
  <c r="M34" i="98"/>
  <c r="AB56" i="98"/>
  <c r="J41" i="98"/>
  <c r="K63" i="98"/>
  <c r="X58" i="98"/>
  <c r="L3" i="98"/>
  <c r="P4" i="98"/>
  <c r="F52" i="98"/>
  <c r="M49" i="98"/>
  <c r="O22" i="98"/>
  <c r="W16" i="98"/>
  <c r="U41" i="98"/>
  <c r="AB71" i="98"/>
  <c r="Q37" i="98"/>
  <c r="AA43" i="98"/>
  <c r="S32" i="98"/>
  <c r="AD50" i="98"/>
  <c r="AD68" i="98"/>
  <c r="U46" i="98"/>
  <c r="AE2" i="98"/>
  <c r="AE25" i="98"/>
  <c r="W59" i="98"/>
  <c r="N71" i="98"/>
  <c r="Y27" i="98"/>
  <c r="M36" i="98"/>
  <c r="N5" i="98"/>
  <c r="W58" i="98"/>
  <c r="P58" i="98"/>
  <c r="AA76" i="98"/>
  <c r="W46" i="98"/>
  <c r="K18" i="98"/>
  <c r="V53" i="98"/>
  <c r="S75" i="98"/>
  <c r="S11" i="98"/>
  <c r="AE49" i="98"/>
  <c r="X52" i="98"/>
  <c r="T74" i="98"/>
  <c r="AC62" i="98"/>
  <c r="X39" i="98"/>
  <c r="Y53" i="98"/>
  <c r="C41" i="98"/>
  <c r="Z59" i="98"/>
  <c r="E6" i="98"/>
  <c r="B35" i="98"/>
  <c r="Y55" i="98"/>
  <c r="C73" i="98"/>
  <c r="J43" i="98"/>
  <c r="M18" i="98"/>
  <c r="X28" i="98"/>
  <c r="E27" i="98"/>
  <c r="D18" i="98"/>
  <c r="N21" i="98"/>
  <c r="D45" i="98"/>
  <c r="G23" i="34"/>
  <c r="D38" i="98"/>
  <c r="F43" i="98"/>
  <c r="S12" i="98"/>
  <c r="Z75" i="98"/>
  <c r="G24" i="98"/>
  <c r="AA8" i="98"/>
  <c r="G8" i="34"/>
  <c r="G47" i="98"/>
  <c r="Z51" i="98"/>
  <c r="M75" i="98"/>
  <c r="Q49" i="98"/>
  <c r="P23" i="98"/>
  <c r="U56" i="98"/>
  <c r="N48" i="98"/>
  <c r="C10" i="98"/>
  <c r="Y54" i="98"/>
  <c r="N42" i="98"/>
  <c r="P73" i="98"/>
  <c r="K5" i="98"/>
  <c r="AC56" i="98"/>
  <c r="G16" i="34"/>
  <c r="H4" i="98"/>
  <c r="D6" i="98"/>
  <c r="G73" i="98"/>
  <c r="F76" i="98"/>
  <c r="B39" i="98"/>
  <c r="G21" i="34"/>
  <c r="F64" i="98"/>
  <c r="K67" i="98"/>
  <c r="R40" i="98"/>
  <c r="U65" i="98"/>
  <c r="X55" i="98"/>
  <c r="Q23" i="98"/>
  <c r="AC66" i="98"/>
  <c r="C4" i="98"/>
  <c r="C35" i="98"/>
  <c r="V40" i="98"/>
  <c r="P25" i="98"/>
  <c r="AA23" i="98"/>
  <c r="Q31" i="98"/>
  <c r="D17" i="98"/>
  <c r="E74" i="98"/>
  <c r="U15" i="98"/>
  <c r="M72" i="98"/>
  <c r="U17" i="98"/>
  <c r="E76" i="98"/>
  <c r="R69" i="98"/>
  <c r="Y19" i="98"/>
  <c r="Y17" i="98"/>
  <c r="B47" i="98"/>
  <c r="AC47" i="98"/>
  <c r="M23" i="98"/>
  <c r="AA31" i="98"/>
  <c r="X60" i="98"/>
  <c r="R17" i="98"/>
  <c r="C72" i="98"/>
  <c r="Q67" i="98"/>
  <c r="U74" i="98"/>
  <c r="AD76" i="98"/>
  <c r="B14" i="98"/>
  <c r="Z69" i="98"/>
  <c r="W77" i="98"/>
  <c r="H52" i="98"/>
  <c r="P34" i="98"/>
  <c r="R52" i="98"/>
  <c r="B49" i="98"/>
  <c r="AD11" i="98"/>
  <c r="W67" i="98"/>
  <c r="R72" i="98"/>
  <c r="S34" i="98"/>
  <c r="AE19" i="98"/>
  <c r="AC31" i="98"/>
  <c r="F15" i="98"/>
  <c r="AD77" i="98"/>
  <c r="G10" i="34"/>
  <c r="Y50" i="98"/>
  <c r="E39" i="98"/>
  <c r="L46" i="98"/>
  <c r="Z12" i="98"/>
  <c r="T69" i="98"/>
  <c r="P17" i="98"/>
  <c r="B69" i="98"/>
  <c r="M27" i="98"/>
  <c r="W63" i="98"/>
  <c r="W26" i="98"/>
  <c r="W61" i="98"/>
  <c r="P68" i="98"/>
  <c r="P22" i="98"/>
  <c r="D3" i="98"/>
  <c r="M48" i="98"/>
  <c r="S29" i="98"/>
  <c r="Q59" i="98"/>
  <c r="AQ1" i="98"/>
  <c r="Q32" i="98"/>
  <c r="AC45" i="98"/>
  <c r="G35" i="98"/>
  <c r="S38" i="98"/>
  <c r="D22" i="98"/>
  <c r="N30" i="98"/>
  <c r="Y12" i="98"/>
  <c r="P20" i="98"/>
  <c r="B46" i="98"/>
  <c r="L71" i="98"/>
  <c r="AC6" i="98"/>
  <c r="G42" i="98"/>
  <c r="Z52" i="98"/>
  <c r="U31" i="98"/>
  <c r="R3" i="98"/>
  <c r="K26" i="98"/>
  <c r="K41" i="98"/>
  <c r="Q68" i="98"/>
  <c r="U68" i="98"/>
  <c r="F40" i="98"/>
  <c r="Q36" i="98"/>
  <c r="AC70" i="98"/>
  <c r="E51" i="98"/>
  <c r="N18" i="98"/>
  <c r="Q20" i="98"/>
  <c r="T64" i="98"/>
  <c r="O13" i="98"/>
  <c r="B43" i="98"/>
  <c r="AA64" i="98"/>
  <c r="O31" i="98"/>
  <c r="K20" i="98"/>
  <c r="AD61" i="98"/>
  <c r="AE66" i="98"/>
  <c r="AE74" i="98"/>
  <c r="K62" i="98"/>
  <c r="F58" i="98"/>
  <c r="B12" i="98"/>
  <c r="T17" i="98"/>
  <c r="V33" i="98"/>
  <c r="W31" i="98"/>
  <c r="U9" i="98"/>
  <c r="AC52" i="98"/>
  <c r="AC60" i="98"/>
  <c r="AC63" i="98"/>
  <c r="C9" i="98"/>
  <c r="R9" i="98"/>
  <c r="Q18" i="98"/>
  <c r="C68" i="98"/>
  <c r="H70" i="98"/>
  <c r="AC3" i="98"/>
  <c r="AA73" i="98"/>
  <c r="Z60" i="98"/>
  <c r="N53" i="98"/>
  <c r="H7" i="98"/>
  <c r="AD21" i="98"/>
  <c r="W38" i="98"/>
  <c r="Z43" i="98"/>
  <c r="Y61" i="98"/>
  <c r="O77" i="98"/>
  <c r="R28" i="98"/>
  <c r="AE28" i="98"/>
  <c r="B40" i="98"/>
  <c r="Y23" i="98"/>
  <c r="Y43" i="98"/>
  <c r="D24" i="98"/>
  <c r="M16" i="98"/>
  <c r="R49" i="98"/>
  <c r="U6" i="98"/>
  <c r="D73" i="98"/>
  <c r="S61" i="98"/>
  <c r="K43" i="98"/>
  <c r="F11" i="98"/>
  <c r="C75" i="98"/>
  <c r="K69" i="98"/>
  <c r="AA17" i="98"/>
  <c r="AB67" i="98"/>
  <c r="G52" i="98"/>
  <c r="B76" i="98"/>
  <c r="C51" i="98"/>
  <c r="T75" i="98"/>
  <c r="V77" i="98"/>
  <c r="R23" i="98"/>
  <c r="K76" i="98"/>
  <c r="H11" i="98"/>
  <c r="M44" i="98"/>
  <c r="O49" i="98"/>
  <c r="E15" i="98"/>
  <c r="AB72" i="98"/>
  <c r="R13" i="98"/>
  <c r="C31" i="98"/>
  <c r="O15" i="98"/>
  <c r="H75" i="98"/>
  <c r="B51" i="98"/>
  <c r="AD14" i="98"/>
  <c r="X14" i="98"/>
  <c r="E47" i="98"/>
  <c r="D23" i="98"/>
  <c r="S77" i="98"/>
  <c r="D19" i="98"/>
  <c r="V11" i="98"/>
  <c r="AE44" i="98"/>
  <c r="E23" i="98"/>
  <c r="G69" i="98"/>
  <c r="S52" i="98"/>
  <c r="AD39" i="98"/>
  <c r="T36" i="98"/>
  <c r="D63" i="98"/>
  <c r="AE50" i="98"/>
  <c r="Z41" i="98"/>
  <c r="G27" i="34"/>
  <c r="X46" i="98"/>
  <c r="AA59" i="98"/>
  <c r="G21" i="98"/>
  <c r="Y24" i="98"/>
  <c r="X37" i="98"/>
  <c r="AA55" i="98"/>
  <c r="G9" i="98"/>
  <c r="U18" i="98"/>
  <c r="P29" i="98"/>
  <c r="T68" i="98"/>
  <c r="N40" i="98"/>
  <c r="H8" i="98"/>
  <c r="AA58" i="98"/>
  <c r="R55" i="98"/>
  <c r="F63" i="98"/>
  <c r="R5" i="98"/>
  <c r="Y25" i="98"/>
  <c r="C7" i="98"/>
  <c r="AB10" i="98"/>
  <c r="Y59" i="98"/>
  <c r="T61" i="98"/>
  <c r="G31" i="98"/>
  <c r="N69" i="98"/>
  <c r="G72" i="98"/>
  <c r="C34" i="98"/>
  <c r="X2" i="98"/>
  <c r="T20" i="98"/>
  <c r="V18" i="98"/>
  <c r="K60" i="98"/>
  <c r="K2" i="98"/>
  <c r="T50" i="98"/>
  <c r="Q27" i="98"/>
  <c r="P57" i="98"/>
  <c r="H53" i="98"/>
  <c r="K53" i="98"/>
  <c r="V13" i="98"/>
  <c r="V58" i="98"/>
  <c r="AD66" i="98"/>
  <c r="AA28" i="98"/>
  <c r="G7" i="34"/>
  <c r="X26" i="98"/>
  <c r="AE70" i="98"/>
  <c r="P5" i="98"/>
  <c r="AA70" i="98"/>
  <c r="H35" i="98"/>
  <c r="K3" i="98"/>
  <c r="S23" i="98"/>
  <c r="H71" i="98"/>
  <c r="X22" i="98"/>
  <c r="B50" i="98"/>
  <c r="P61" i="98"/>
  <c r="AB3" i="98"/>
  <c r="C20" i="98"/>
  <c r="K22" i="98"/>
  <c r="H5" i="98"/>
  <c r="W51" i="98"/>
  <c r="U11" i="98"/>
  <c r="S18" i="98"/>
  <c r="AD19" i="98"/>
  <c r="M63" i="98"/>
  <c r="W62" i="98"/>
  <c r="C2" i="98"/>
  <c r="O35" i="98"/>
  <c r="E66" i="98"/>
  <c r="AC72" i="98"/>
  <c r="P30" i="98"/>
  <c r="E42" i="98"/>
  <c r="S24" i="98"/>
  <c r="E61" i="98"/>
  <c r="N55" i="98"/>
  <c r="E73" i="98"/>
  <c r="K29" i="98"/>
  <c r="X21" i="98"/>
  <c r="O71" i="98"/>
  <c r="U26" i="98"/>
  <c r="E12" i="98"/>
  <c r="Z23" i="98"/>
  <c r="H13" i="98"/>
  <c r="M7" i="98"/>
  <c r="AE40" i="98"/>
  <c r="AB31" i="98"/>
  <c r="F72" i="98"/>
  <c r="W30" i="98"/>
  <c r="M15" i="98"/>
  <c r="P3" i="98"/>
  <c r="AA9" i="98"/>
  <c r="O66" i="98"/>
  <c r="R29" i="98"/>
  <c r="AD3" i="98"/>
  <c r="AB76" i="98"/>
  <c r="G49" i="98"/>
  <c r="D39" i="98"/>
  <c r="U62" i="98"/>
  <c r="AB48" i="98"/>
  <c r="AA56" i="98"/>
  <c r="H22" i="98"/>
  <c r="U63" i="98"/>
  <c r="V57" i="98"/>
  <c r="Z2" i="98"/>
  <c r="K59" i="98"/>
  <c r="G59" i="98"/>
  <c r="F62" i="98"/>
  <c r="B22" i="98"/>
  <c r="B48" i="98"/>
  <c r="V26" i="98"/>
  <c r="D37" i="98"/>
  <c r="D71" i="98"/>
  <c r="Q53" i="98"/>
  <c r="X18" i="98"/>
  <c r="Z50" i="98"/>
  <c r="N27" i="98"/>
  <c r="S39" i="98"/>
  <c r="Y62" i="98"/>
  <c r="P35" i="98"/>
  <c r="O7" i="98"/>
  <c r="V5" i="98"/>
  <c r="Z30" i="98"/>
  <c r="O55" i="98"/>
  <c r="Y16" i="98"/>
  <c r="F36" i="98"/>
  <c r="Y48" i="98"/>
  <c r="F2" i="98"/>
  <c r="V20" i="98"/>
  <c r="W12" i="98"/>
  <c r="X66" i="98"/>
  <c r="W32" i="98"/>
  <c r="F41" i="98"/>
  <c r="T12" i="98"/>
  <c r="C45" i="98"/>
  <c r="V64" i="98"/>
  <c r="AA40" i="98"/>
  <c r="K4" i="98"/>
  <c r="V49" i="98"/>
  <c r="F33" i="98"/>
  <c r="K32" i="98"/>
  <c r="E37" i="98"/>
  <c r="Z29" i="98"/>
  <c r="L61" i="98"/>
  <c r="V6" i="98"/>
  <c r="G40" i="98"/>
  <c r="AE17" i="98"/>
  <c r="W41" i="98"/>
  <c r="AA41" i="98"/>
  <c r="W71" i="98"/>
  <c r="V28" i="98"/>
  <c r="Z4" i="98"/>
  <c r="G19" i="34"/>
  <c r="AD70" i="98"/>
  <c r="AA25" i="98"/>
  <c r="Y76" i="98"/>
  <c r="P47" i="98"/>
  <c r="G60" i="98"/>
  <c r="Z34" i="98"/>
  <c r="Z65" i="98"/>
  <c r="C11" i="98"/>
  <c r="AC17" i="98"/>
  <c r="Z27" i="98"/>
  <c r="AD2" i="98"/>
  <c r="W55" i="98"/>
  <c r="AB38" i="98"/>
  <c r="AI1" i="98"/>
  <c r="R2" i="98"/>
  <c r="AE6" i="98"/>
  <c r="P76" i="98"/>
  <c r="AD6" i="98"/>
  <c r="N49" i="98"/>
  <c r="O2" i="98"/>
  <c r="AD35" i="98"/>
  <c r="R19" i="98"/>
  <c r="D32" i="98"/>
  <c r="U59" i="98"/>
  <c r="AB30" i="98"/>
  <c r="D26" i="98"/>
  <c r="D12" i="98"/>
  <c r="E60" i="98"/>
  <c r="K42" i="98"/>
  <c r="V8" i="98"/>
  <c r="K36" i="98"/>
  <c r="Z74" i="98"/>
  <c r="C8" i="98"/>
  <c r="F45" i="98"/>
  <c r="AB45" i="98"/>
  <c r="D2" i="98"/>
  <c r="E10" i="98"/>
  <c r="D50" i="98"/>
  <c r="AA66" i="98"/>
  <c r="AE48" i="98"/>
  <c r="Y3" i="98"/>
  <c r="G56" i="98"/>
  <c r="V45" i="98"/>
  <c r="G10" i="98"/>
  <c r="Q6" i="98"/>
  <c r="X51" i="98"/>
  <c r="Y6" i="98"/>
  <c r="AB74" i="98"/>
  <c r="AD57" i="98"/>
  <c r="Q28" i="98"/>
  <c r="T13" i="98"/>
  <c r="AC55" i="98"/>
  <c r="AA42" i="98"/>
  <c r="H42" i="98"/>
  <c r="Q54" i="98"/>
  <c r="S53" i="98"/>
  <c r="D41" i="98"/>
  <c r="D43" i="98"/>
  <c r="O53" i="98"/>
  <c r="M61" i="98"/>
  <c r="N37" i="98"/>
  <c r="G58" i="98"/>
  <c r="Q58" i="98"/>
  <c r="R68" i="98"/>
  <c r="AA65" i="98"/>
  <c r="M10" i="98"/>
  <c r="Z36" i="98"/>
  <c r="R34" i="98"/>
  <c r="U35" i="98"/>
  <c r="AA15" i="98"/>
  <c r="Z77" i="98"/>
  <c r="H56" i="98"/>
  <c r="Z54" i="98"/>
  <c r="K27" i="98"/>
  <c r="C59" i="98"/>
  <c r="B5" i="98"/>
  <c r="O67" i="98"/>
  <c r="K55" i="98"/>
  <c r="U61" i="98"/>
  <c r="F67" i="98"/>
  <c r="AD42" i="98"/>
  <c r="AC20" i="98"/>
  <c r="AB61" i="98"/>
  <c r="X32" i="98"/>
  <c r="N11" i="98"/>
  <c r="H45" i="98"/>
  <c r="U60" i="98"/>
  <c r="AE68" i="98"/>
  <c r="K64" i="98"/>
  <c r="M30" i="98"/>
  <c r="E22" i="98"/>
  <c r="S45" i="98"/>
  <c r="AE56" i="98"/>
  <c r="H14" i="98"/>
  <c r="Y58" i="98"/>
  <c r="G51" i="98"/>
  <c r="Z21" i="98"/>
  <c r="K19" i="98"/>
  <c r="F34" i="98"/>
  <c r="R67" i="98"/>
  <c r="S72" i="98"/>
  <c r="T52" i="98"/>
  <c r="M51" i="98"/>
  <c r="P60" i="98"/>
  <c r="V34" i="98"/>
  <c r="W19" i="98"/>
  <c r="K49" i="98"/>
  <c r="T63" i="98"/>
  <c r="W39" i="98"/>
  <c r="T77" i="98"/>
  <c r="D11" i="98"/>
  <c r="G36" i="98"/>
  <c r="E38" i="98"/>
  <c r="F50" i="98"/>
  <c r="AB12" i="98"/>
  <c r="G7" i="98"/>
  <c r="E45" i="98"/>
  <c r="E32" i="98"/>
  <c r="AE35" i="98"/>
  <c r="U8" i="98"/>
  <c r="H24" i="98"/>
  <c r="K14" i="98"/>
  <c r="F69" i="98"/>
  <c r="S57" i="98"/>
  <c r="T66" i="98"/>
  <c r="Q60" i="98"/>
  <c r="B17" i="98"/>
  <c r="Z45" i="98"/>
  <c r="H29" i="98"/>
  <c r="V42" i="98"/>
  <c r="Q50" i="98"/>
  <c r="N25" i="98"/>
  <c r="R18" i="98"/>
  <c r="G6" i="98"/>
  <c r="Z64" i="98"/>
  <c r="C69" i="98"/>
  <c r="G9" i="34"/>
  <c r="Y10" i="98"/>
  <c r="X43" i="98"/>
  <c r="AC68" i="98"/>
  <c r="B41" i="98"/>
  <c r="E65" i="98"/>
  <c r="L9" i="98"/>
  <c r="B68" i="98"/>
  <c r="F54" i="98"/>
  <c r="W25" i="98"/>
  <c r="Y5" i="98"/>
  <c r="B30" i="98"/>
  <c r="T2" i="98"/>
  <c r="X24" i="98"/>
  <c r="D42" i="98"/>
  <c r="M53" i="98"/>
  <c r="K65" i="98"/>
  <c r="AE47" i="98"/>
  <c r="W43" i="98"/>
  <c r="AD24" i="98"/>
  <c r="M6" i="98"/>
  <c r="O68" i="98"/>
  <c r="V23" i="98"/>
  <c r="M22" i="98"/>
  <c r="Q35" i="98"/>
  <c r="AA35" i="98"/>
  <c r="G1" i="34"/>
  <c r="AE59" i="98"/>
  <c r="AB40" i="98"/>
  <c r="P45" i="98"/>
  <c r="G12" i="98"/>
  <c r="X29" i="98"/>
  <c r="AB57" i="98"/>
  <c r="L65" i="98"/>
  <c r="D70" i="98"/>
  <c r="U64" i="98"/>
  <c r="R65" i="98"/>
  <c r="Y26" i="98"/>
  <c r="AE5" i="98"/>
  <c r="AM1" i="98"/>
  <c r="P36" i="98"/>
  <c r="E75" i="98"/>
  <c r="C5" i="98"/>
  <c r="Q21" i="98"/>
  <c r="AC26" i="98"/>
  <c r="S65" i="98"/>
  <c r="P28" i="98"/>
  <c r="M59" i="98"/>
  <c r="D66" i="98"/>
  <c r="W56" i="98"/>
  <c r="T56" i="98"/>
  <c r="B66" i="98"/>
  <c r="AD71" i="98"/>
  <c r="AC12" i="98"/>
  <c r="X65" i="98"/>
  <c r="R45" i="98"/>
  <c r="P42" i="98"/>
  <c r="Q29" i="98"/>
  <c r="AC65" i="98"/>
  <c r="V3" i="98"/>
  <c r="T4" i="98"/>
  <c r="AC5" i="98"/>
  <c r="C70" i="98"/>
  <c r="D20" i="98"/>
  <c r="AE55" i="98"/>
  <c r="D54" i="98"/>
  <c r="E33" i="98"/>
  <c r="G22" i="34"/>
  <c r="W14" i="98"/>
  <c r="AB66" i="98"/>
  <c r="T70" i="98"/>
  <c r="AA71" i="98"/>
  <c r="Q33" i="98"/>
  <c r="Y33" i="98"/>
  <c r="T15" i="98"/>
  <c r="AC76" i="98"/>
  <c r="D58" i="98"/>
  <c r="J48" i="98"/>
  <c r="M4" i="98"/>
  <c r="C44" i="98"/>
  <c r="AA2" i="98"/>
  <c r="X12" i="98"/>
  <c r="Z32" i="98"/>
  <c r="AE61" i="98"/>
  <c r="W53" i="98"/>
  <c r="W75" i="98"/>
  <c r="G30" i="98"/>
  <c r="W5" i="98"/>
  <c r="F57" i="98"/>
  <c r="Z3" i="98"/>
  <c r="AC21" i="98"/>
  <c r="AC22" i="98"/>
  <c r="I1" i="34"/>
  <c r="G4" i="34"/>
  <c r="H68" i="98"/>
  <c r="C71" i="98"/>
  <c r="AB52" i="98"/>
  <c r="H229" i="34"/>
  <c r="T5" i="34"/>
  <c r="L229" i="34"/>
  <c r="G68" i="98"/>
  <c r="K1" i="34"/>
  <c r="AA53" i="98"/>
  <c r="C56" i="98"/>
  <c r="AC10" i="98"/>
  <c r="E71" i="98"/>
  <c r="Y35" i="98"/>
  <c r="O36" i="98"/>
  <c r="P6" i="98"/>
  <c r="AB36" i="98"/>
  <c r="G26" i="98"/>
  <c r="Z73" i="98"/>
  <c r="X47" i="98"/>
  <c r="T5" i="98"/>
  <c r="AE18" i="98"/>
  <c r="S30" i="98"/>
  <c r="D64" i="98"/>
  <c r="C36" i="98"/>
  <c r="U13" i="98"/>
  <c r="AD20" i="98"/>
  <c r="X62" i="98"/>
  <c r="U76" i="98"/>
  <c r="E20" i="98"/>
  <c r="Y57" i="98"/>
  <c r="S68" i="98"/>
  <c r="E30" i="98"/>
  <c r="V70" i="98"/>
  <c r="S2" i="98"/>
  <c r="W4" i="34"/>
  <c r="O62" i="98"/>
  <c r="AA30" i="98"/>
  <c r="E70" i="98"/>
  <c r="G20" i="34"/>
  <c r="Q40" i="98"/>
  <c r="Q2" i="98"/>
  <c r="B16" i="98"/>
  <c r="AE72" i="98"/>
  <c r="AA7" i="98"/>
  <c r="F53" i="98"/>
  <c r="U22" i="98"/>
  <c r="Z56" i="98"/>
  <c r="U67" i="98"/>
  <c r="Q14" i="98"/>
  <c r="N38" i="98"/>
  <c r="V27" i="98"/>
  <c r="N19" i="98"/>
  <c r="U75" i="98"/>
  <c r="Q48" i="98"/>
  <c r="G3" i="98"/>
  <c r="D14" i="98"/>
  <c r="U52" i="98"/>
  <c r="AA22" i="98"/>
  <c r="C63" i="98"/>
  <c r="O63" i="98"/>
  <c r="G39" i="98"/>
  <c r="T10" i="98"/>
  <c r="F30" i="98"/>
  <c r="B74" i="98"/>
  <c r="U50" i="98"/>
  <c r="M35" i="98"/>
  <c r="O43" i="98"/>
  <c r="B13" i="98"/>
  <c r="G41" i="98"/>
  <c r="AC28" i="98"/>
  <c r="B73" i="98"/>
  <c r="S26" i="98"/>
  <c r="S7" i="98"/>
  <c r="AA6" i="98"/>
  <c r="F6" i="98"/>
  <c r="M54" i="98"/>
  <c r="X59" i="98"/>
  <c r="P21" i="98"/>
  <c r="R64" i="98"/>
  <c r="P71" i="98"/>
  <c r="O14" i="98"/>
  <c r="H19" i="98"/>
  <c r="L44" i="98"/>
  <c r="K57" i="98"/>
  <c r="B21" i="98"/>
  <c r="B77" i="98"/>
  <c r="M65" i="98"/>
  <c r="N54" i="98"/>
  <c r="C48" i="98"/>
  <c r="S28" i="98"/>
  <c r="AD58" i="98"/>
  <c r="AB16" i="98"/>
  <c r="C53" i="98"/>
  <c r="Y4" i="98"/>
  <c r="S14" i="98"/>
  <c r="G19" i="98"/>
  <c r="AC37" i="98"/>
  <c r="B18" i="98"/>
  <c r="K66" i="98"/>
  <c r="S35" i="98"/>
  <c r="Z18" i="98"/>
  <c r="AD73" i="98"/>
  <c r="AD7" i="98"/>
  <c r="H44" i="98"/>
  <c r="S71" i="98"/>
  <c r="K35" i="98"/>
  <c r="O64" i="98"/>
  <c r="P7" i="98"/>
  <c r="O65" i="98"/>
  <c r="C25" i="98"/>
  <c r="N72" i="98"/>
  <c r="F35" i="98"/>
  <c r="P51" i="98"/>
  <c r="V73" i="98"/>
  <c r="G23" i="98"/>
  <c r="Y29" i="98"/>
  <c r="N6" i="98"/>
  <c r="AB70" i="98"/>
  <c r="Q46" i="98"/>
  <c r="AD40" i="98"/>
  <c r="O19" i="98"/>
  <c r="AE10" i="98"/>
  <c r="AB64" i="98"/>
  <c r="K7" i="98"/>
  <c r="S63" i="98"/>
  <c r="H10" i="98"/>
  <c r="S5" i="98"/>
  <c r="W20" i="98"/>
  <c r="AD34" i="98"/>
  <c r="AB58" i="98"/>
  <c r="P50" i="98"/>
  <c r="P70" i="98"/>
  <c r="G43" i="98"/>
  <c r="O37" i="98"/>
  <c r="Q4" i="98"/>
  <c r="P33" i="98"/>
  <c r="AD33" i="98"/>
  <c r="U10" i="98"/>
  <c r="W18" i="98"/>
  <c r="Z58" i="98"/>
  <c r="T45" i="98"/>
  <c r="K68" i="98"/>
  <c r="H6" i="98"/>
  <c r="R71" i="98"/>
  <c r="O40" i="98"/>
  <c r="AD45" i="98"/>
  <c r="B75" i="98"/>
  <c r="AD12" i="98"/>
  <c r="T43" i="98"/>
  <c r="Z53" i="98"/>
  <c r="P10" i="98"/>
  <c r="K10" i="98"/>
  <c r="Y42" i="98"/>
  <c r="K71" i="98"/>
  <c r="P62" i="98"/>
  <c r="O32" i="98"/>
  <c r="M40" i="98"/>
  <c r="Q73" i="98"/>
  <c r="T11" i="98"/>
  <c r="AB29" i="98"/>
  <c r="G5" i="34"/>
  <c r="W9" i="98"/>
  <c r="E8" i="98"/>
  <c r="T16" i="98"/>
  <c r="AB22" i="98"/>
  <c r="Y36" i="98"/>
  <c r="H57" i="98"/>
  <c r="W73" i="98"/>
  <c r="N68" i="98"/>
  <c r="Z70" i="98"/>
  <c r="AE32" i="98"/>
  <c r="Q34" i="98"/>
  <c r="AD22" i="98"/>
  <c r="H64" i="98"/>
  <c r="Q7" i="98"/>
  <c r="H54" i="98"/>
  <c r="H59" i="98"/>
  <c r="Y2" i="98"/>
  <c r="D67" i="98"/>
  <c r="E36" i="98"/>
  <c r="D33" i="98"/>
  <c r="AC57" i="98"/>
  <c r="T21" i="98"/>
  <c r="H5" i="34"/>
  <c r="P56" i="98"/>
  <c r="H41" i="98"/>
  <c r="T26" i="98"/>
  <c r="AE16" i="98"/>
  <c r="G48" i="98"/>
  <c r="W70" i="98"/>
  <c r="E43" i="98"/>
  <c r="G15" i="98"/>
  <c r="Y45" i="98"/>
  <c r="K58" i="98"/>
  <c r="G25" i="98"/>
  <c r="M46" i="98"/>
  <c r="B53" i="98"/>
  <c r="W21" i="98"/>
  <c r="U3" i="98"/>
  <c r="V72" i="98"/>
  <c r="AE29" i="98"/>
  <c r="C40" i="98"/>
  <c r="R60" i="98"/>
  <c r="Y65" i="98"/>
  <c r="H18" i="98"/>
  <c r="K70" i="98"/>
  <c r="W57" i="98"/>
  <c r="K9" i="98"/>
  <c r="U5" i="98"/>
  <c r="AC50" i="98"/>
  <c r="AE75" i="98"/>
  <c r="Y31" i="98"/>
  <c r="V19" i="98"/>
  <c r="E59" i="98"/>
  <c r="S64" i="98"/>
  <c r="P13" i="98"/>
  <c r="AC7" i="98"/>
  <c r="X50" i="98"/>
  <c r="K4" i="34"/>
  <c r="Y60" i="98"/>
  <c r="AB51" i="98"/>
  <c r="AB53" i="98"/>
  <c r="X68" i="98"/>
  <c r="E40" i="98"/>
  <c r="R53" i="98"/>
  <c r="P40" i="98"/>
  <c r="T7" i="98"/>
  <c r="AE52" i="98"/>
  <c r="X75" i="98"/>
  <c r="J36" i="98"/>
  <c r="Q56" i="98"/>
  <c r="AD51" i="98"/>
  <c r="S76" i="98"/>
  <c r="G32" i="98"/>
  <c r="H50" i="98"/>
  <c r="Y32" i="98"/>
  <c r="AD63" i="98"/>
  <c r="E2" i="98"/>
  <c r="AG1" i="98"/>
  <c r="Y38" i="98"/>
  <c r="Z26" i="98"/>
  <c r="AE71" i="98"/>
  <c r="E35" i="98"/>
  <c r="AE23" i="98"/>
  <c r="AB55" i="98"/>
  <c r="AE53" i="98"/>
  <c r="AB6" i="98"/>
  <c r="G13" i="98"/>
  <c r="AB39" i="98"/>
  <c r="L70" i="98"/>
  <c r="S21" i="98"/>
  <c r="V36" i="98"/>
  <c r="O12" i="98"/>
  <c r="N61" i="98"/>
  <c r="AD64" i="98"/>
  <c r="T33" i="98"/>
  <c r="F28" i="98"/>
  <c r="P65" i="98"/>
  <c r="T73" i="98"/>
  <c r="Q57" i="98"/>
  <c r="S17" i="98"/>
  <c r="F27" i="98"/>
  <c r="E46" i="98"/>
  <c r="V61" i="98"/>
  <c r="Z67" i="98"/>
  <c r="N60" i="98"/>
  <c r="S54" i="98"/>
  <c r="B20" i="98"/>
  <c r="J42" i="98"/>
  <c r="U73" i="98"/>
  <c r="AC75" i="98"/>
  <c r="X42" i="98"/>
  <c r="X20" i="98"/>
  <c r="H25" i="98"/>
  <c r="P15" i="98"/>
  <c r="AB33" i="98"/>
  <c r="U28" i="98"/>
  <c r="H73" i="98"/>
  <c r="AY1" i="98"/>
  <c r="J40" i="98"/>
  <c r="P59" i="98"/>
  <c r="N34" i="98"/>
  <c r="Z49" i="98"/>
  <c r="B27" i="98"/>
  <c r="U29" i="98"/>
  <c r="V47" i="98"/>
  <c r="Q70" i="98"/>
  <c r="AE58" i="98"/>
  <c r="N43" i="98"/>
  <c r="U34" i="98"/>
  <c r="Y13" i="98"/>
  <c r="AD46" i="98"/>
  <c r="Y8" i="98"/>
  <c r="F70" i="98"/>
  <c r="C3" i="98"/>
  <c r="K40" i="98"/>
  <c r="C16" i="98"/>
  <c r="B25" i="98"/>
  <c r="D29" i="98"/>
  <c r="E54" i="98"/>
  <c r="AE39" i="98"/>
  <c r="E4" i="98"/>
  <c r="N52" i="98"/>
  <c r="Q74" i="98"/>
  <c r="AE3" i="98"/>
  <c r="S42" i="98"/>
  <c r="T58" i="98"/>
  <c r="R21" i="98"/>
  <c r="L43" i="98"/>
  <c r="W35" i="98"/>
  <c r="AB47" i="98"/>
  <c r="X3" i="98"/>
  <c r="O50" i="98"/>
  <c r="Y64" i="98"/>
  <c r="S46" i="98"/>
  <c r="U44" i="98"/>
  <c r="F60" i="98"/>
  <c r="M47" i="98"/>
  <c r="AA60" i="98"/>
  <c r="Y30" i="98"/>
  <c r="AE4" i="98"/>
  <c r="X71" i="98"/>
  <c r="N57" i="98"/>
  <c r="E29" i="98"/>
  <c r="M43" i="98"/>
  <c r="E57" i="98"/>
  <c r="X69" i="98"/>
  <c r="D28" i="98"/>
  <c r="W40" i="98"/>
  <c r="R61" i="98"/>
  <c r="D21" i="98"/>
  <c r="U45" i="98"/>
  <c r="Q64" i="98"/>
  <c r="U4" i="34"/>
  <c r="AC29" i="98"/>
  <c r="G33" i="98"/>
  <c r="F29" i="98"/>
  <c r="D9" i="98"/>
  <c r="B52" i="98"/>
  <c r="AC4" i="98"/>
  <c r="X35" i="98"/>
  <c r="O42" i="98"/>
  <c r="O61" i="98"/>
  <c r="F56" i="98"/>
  <c r="AD62" i="98"/>
  <c r="W37" i="98"/>
  <c r="M66" i="98"/>
  <c r="AC14" i="98"/>
  <c r="C24" i="98"/>
  <c r="B37" i="98"/>
  <c r="B71" i="98"/>
  <c r="X19" i="98"/>
  <c r="M28" i="98"/>
  <c r="AA39" i="98"/>
  <c r="X70" i="98"/>
  <c r="K56" i="98"/>
  <c r="V37" i="98"/>
  <c r="M38" i="98"/>
  <c r="AB9" i="98"/>
  <c r="AU1" i="98"/>
  <c r="M73" i="98"/>
  <c r="W24" i="98"/>
  <c r="AE65" i="98"/>
  <c r="U5" i="34"/>
  <c r="H6" i="34"/>
  <c r="M50" i="98"/>
  <c r="Q41" i="98"/>
  <c r="S59" i="98"/>
  <c r="AB5" i="98"/>
  <c r="B54" i="98"/>
  <c r="N24" i="98"/>
  <c r="K73" i="98"/>
  <c r="S8" i="98"/>
  <c r="S74" i="98"/>
  <c r="B23" i="98"/>
  <c r="X16" i="98"/>
  <c r="M62" i="98"/>
  <c r="Y51" i="98"/>
  <c r="U16" i="98"/>
  <c r="P43" i="98"/>
  <c r="R70" i="98"/>
  <c r="R50" i="98"/>
  <c r="AD52" i="98"/>
  <c r="G29" i="98"/>
  <c r="Q30" i="98"/>
  <c r="D75" i="98"/>
  <c r="C18" i="98"/>
  <c r="S58" i="98"/>
  <c r="AB23" i="98"/>
  <c r="AC33" i="98"/>
  <c r="AE13" i="98"/>
  <c r="AC24" i="98"/>
  <c r="AD67" i="98"/>
  <c r="W22" i="98"/>
  <c r="Z40" i="98"/>
  <c r="X4" i="98"/>
  <c r="Y74" i="98"/>
  <c r="Z22" i="98"/>
  <c r="AE21" i="98"/>
  <c r="AC53" i="98"/>
  <c r="Y72" i="98"/>
  <c r="AA4" i="98"/>
  <c r="X64" i="98"/>
  <c r="N66" i="98"/>
  <c r="Y69" i="98"/>
  <c r="G70" i="98"/>
  <c r="AC19" i="98"/>
  <c r="P64" i="98"/>
  <c r="K24" i="98"/>
  <c r="Q45" i="98"/>
  <c r="F73" i="98"/>
  <c r="M52" i="98"/>
  <c r="Y52" i="98"/>
  <c r="U27" i="98"/>
  <c r="Z63" i="98"/>
  <c r="P69" i="98"/>
  <c r="X44" i="98"/>
  <c r="V9" i="98"/>
  <c r="N36" i="98"/>
  <c r="N41" i="98"/>
  <c r="R56" i="98"/>
  <c r="AA46" i="98"/>
  <c r="X45" i="98"/>
  <c r="X56" i="98"/>
  <c r="P38" i="98"/>
  <c r="T42" i="98"/>
  <c r="AD10" i="98"/>
  <c r="AA44" i="98"/>
  <c r="W3" i="98"/>
  <c r="F10" i="98"/>
  <c r="E17" i="98"/>
  <c r="N15" i="98"/>
  <c r="AA16" i="98"/>
  <c r="AA57" i="98"/>
  <c r="O74" i="98"/>
  <c r="V38" i="98"/>
  <c r="H66" i="98"/>
  <c r="K77" i="98"/>
  <c r="V69" i="98"/>
  <c r="U36" i="98"/>
  <c r="S10" i="98"/>
  <c r="F75" i="98"/>
  <c r="AD69" i="98"/>
  <c r="W52" i="98"/>
  <c r="R63" i="98"/>
  <c r="P24" i="98"/>
  <c r="B6" i="98"/>
  <c r="R66" i="98"/>
  <c r="S6" i="98"/>
  <c r="R35" i="98"/>
  <c r="AC25" i="98"/>
  <c r="AA75" i="98"/>
  <c r="D61" i="98"/>
  <c r="U7" i="98"/>
  <c r="X48" i="98"/>
  <c r="W66" i="98"/>
  <c r="Q3" i="98"/>
  <c r="AE12" i="98"/>
  <c r="C19" i="98"/>
  <c r="V41" i="98"/>
  <c r="W45" i="98"/>
  <c r="C6" i="98"/>
  <c r="AC15" i="98"/>
  <c r="AA51" i="98"/>
  <c r="AD55" i="98"/>
  <c r="AA18" i="98"/>
  <c r="V68" i="98"/>
  <c r="D59" i="98"/>
  <c r="H39" i="98"/>
  <c r="AA68" i="98"/>
  <c r="AE34" i="98"/>
  <c r="U4" i="98"/>
  <c r="N31" i="98"/>
  <c r="AE67" i="98"/>
  <c r="X49" i="98"/>
  <c r="Y63" i="98"/>
  <c r="B28" i="98"/>
  <c r="S44" i="98"/>
  <c r="AC58" i="98"/>
  <c r="R54" i="98"/>
  <c r="AA69" i="98"/>
  <c r="B62" i="98"/>
  <c r="AC43" i="98"/>
  <c r="AC35" i="98"/>
  <c r="E53" i="98"/>
  <c r="T28" i="98"/>
  <c r="AD36" i="98"/>
  <c r="D31" i="98"/>
  <c r="Z10" i="98"/>
  <c r="F17" i="98"/>
  <c r="H61" i="98"/>
  <c r="V24" i="98"/>
  <c r="Y73" i="98"/>
  <c r="AE62" i="98"/>
  <c r="H12" i="98"/>
  <c r="AE31" i="98"/>
  <c r="W34" i="98"/>
  <c r="V46" i="98"/>
  <c r="X34" i="98"/>
  <c r="M60" i="98"/>
  <c r="AE15" i="98"/>
  <c r="U47" i="98"/>
  <c r="AD47" i="98"/>
  <c r="N17" i="98"/>
  <c r="E48" i="98"/>
  <c r="N10" i="98"/>
  <c r="D55" i="98"/>
  <c r="AB59" i="98"/>
  <c r="U70" i="98"/>
  <c r="B42" i="98"/>
  <c r="M55" i="98"/>
  <c r="T29" i="98"/>
  <c r="E21" i="98"/>
  <c r="Z5" i="98"/>
  <c r="AE45" i="98"/>
  <c r="AC18" i="98"/>
  <c r="R12" i="98"/>
  <c r="R14" i="98"/>
  <c r="W27" i="98"/>
  <c r="N29" i="98"/>
  <c r="AA10" i="98"/>
  <c r="AD37" i="98"/>
  <c r="P14" i="98"/>
  <c r="B65" i="98"/>
  <c r="G18" i="98"/>
  <c r="G24" i="34"/>
  <c r="C33" i="98"/>
  <c r="AE57" i="98"/>
  <c r="P11" i="98"/>
  <c r="G8" i="98"/>
  <c r="M3" i="98"/>
  <c r="O58" i="98"/>
  <c r="U30" i="98"/>
  <c r="G5" i="98"/>
  <c r="V51" i="98"/>
  <c r="G46" i="98"/>
  <c r="G29" i="34"/>
  <c r="S40" i="98"/>
  <c r="W6" i="98"/>
  <c r="Z55" i="98"/>
  <c r="AD41" i="98"/>
  <c r="AC8" i="98"/>
  <c r="AE37" i="98"/>
  <c r="C61" i="98"/>
  <c r="AE26" i="98"/>
  <c r="Z35" i="98"/>
  <c r="AE51" i="98"/>
  <c r="V5" i="34"/>
  <c r="D62" i="98"/>
  <c r="Q63" i="98"/>
  <c r="T46" i="98"/>
  <c r="AA29" i="98"/>
  <c r="H33" i="98"/>
  <c r="AC27" i="98"/>
  <c r="B59" i="98"/>
  <c r="V35" i="98"/>
  <c r="H55" i="98"/>
  <c r="Q22" i="98"/>
  <c r="D68" i="98"/>
  <c r="N12" i="98"/>
  <c r="AC16" i="98"/>
  <c r="C38" i="98"/>
  <c r="E24" i="98"/>
  <c r="F8" i="98"/>
  <c r="AA36" i="98"/>
  <c r="AB68" i="98"/>
  <c r="K75" i="98"/>
  <c r="P72" i="98"/>
  <c r="N50" i="98"/>
  <c r="V10" i="98"/>
  <c r="W13" i="98"/>
  <c r="E14" i="98"/>
  <c r="AD15" i="98"/>
  <c r="C49" i="98"/>
  <c r="AC32" i="98"/>
  <c r="E19" i="98"/>
  <c r="W76" i="98"/>
  <c r="V62" i="98"/>
  <c r="AD9" i="98"/>
  <c r="AB20" i="98"/>
  <c r="S62" i="98"/>
  <c r="S25" i="98"/>
  <c r="Q43" i="98"/>
  <c r="G76" i="98"/>
  <c r="C29" i="98"/>
  <c r="AA27" i="98"/>
  <c r="AO1" i="98"/>
  <c r="Y37" i="98"/>
  <c r="O9" i="98"/>
  <c r="U72" i="98"/>
  <c r="U14" i="98"/>
  <c r="U43" i="98"/>
  <c r="AA12" i="98"/>
  <c r="AD18" i="98"/>
  <c r="V60" i="98"/>
  <c r="F25" i="98"/>
  <c r="V67" i="98"/>
  <c r="K72" i="98"/>
  <c r="L48" i="98"/>
  <c r="D7" i="98"/>
  <c r="F22" i="98"/>
  <c r="Z57" i="98"/>
  <c r="O70" i="98"/>
  <c r="F24" i="98"/>
  <c r="C65" i="98"/>
  <c r="W10" i="98"/>
  <c r="X73" i="98"/>
  <c r="H21" i="98"/>
  <c r="O8" i="98"/>
  <c r="G27" i="98"/>
  <c r="V2" i="98"/>
  <c r="H47" i="98"/>
  <c r="AE14" i="98"/>
  <c r="P18" i="98"/>
  <c r="R46" i="98"/>
  <c r="H28" i="98"/>
  <c r="H2" i="98"/>
  <c r="AW1" i="98"/>
  <c r="AC54" i="98"/>
  <c r="V43" i="98"/>
  <c r="F5" i="98"/>
  <c r="X10" i="98"/>
  <c r="M5" i="98"/>
  <c r="AB24" i="98"/>
  <c r="K12" i="98"/>
  <c r="F61" i="98"/>
  <c r="P9" i="98"/>
  <c r="W64" i="98"/>
  <c r="AC73" i="98"/>
  <c r="C64" i="98"/>
  <c r="G11" i="98"/>
  <c r="L37" i="98"/>
  <c r="Z24" i="98"/>
  <c r="U48" i="98"/>
  <c r="AA14" i="98"/>
  <c r="AA72" i="98"/>
  <c r="S19" i="98"/>
  <c r="R27" i="98"/>
  <c r="Y9" i="98"/>
  <c r="AD48" i="98"/>
  <c r="D53" i="98"/>
  <c r="G12" i="34"/>
  <c r="X61" i="98"/>
  <c r="V32" i="98"/>
  <c r="H43" i="98"/>
  <c r="AD43" i="98"/>
  <c r="N35" i="98"/>
  <c r="F46" i="98"/>
  <c r="Y70" i="98"/>
  <c r="X74" i="98"/>
  <c r="R6" i="98"/>
  <c r="V12" i="98"/>
  <c r="V4" i="34"/>
  <c r="V65" i="98"/>
  <c r="M74" i="98"/>
  <c r="F20" i="98"/>
  <c r="AB21" i="98"/>
  <c r="B45" i="98"/>
  <c r="X4" i="34"/>
  <c r="M39" i="98"/>
  <c r="G64" i="98"/>
  <c r="J46" i="98"/>
  <c r="X15" i="98"/>
  <c r="E50" i="98"/>
  <c r="F12" i="98"/>
  <c r="B8" i="98"/>
  <c r="Z14" i="98"/>
  <c r="D52" i="98"/>
  <c r="M17" i="98"/>
  <c r="H67" i="98"/>
  <c r="V63" i="98"/>
  <c r="X54" i="98"/>
  <c r="T47" i="98"/>
  <c r="F47" i="98"/>
  <c r="AB63" i="98"/>
  <c r="AB8" i="98"/>
  <c r="V74" i="98"/>
  <c r="N7" i="98"/>
  <c r="J44" i="98"/>
  <c r="Z11" i="98"/>
  <c r="AB77" i="98"/>
  <c r="AE46" i="98"/>
  <c r="G14" i="34"/>
  <c r="J65" i="98"/>
  <c r="AC2" i="98"/>
  <c r="S73" i="98"/>
  <c r="M68" i="98"/>
  <c r="N70" i="98"/>
  <c r="O54" i="98"/>
  <c r="D40" i="98"/>
  <c r="V30" i="98"/>
  <c r="E5" i="98"/>
  <c r="Z8" i="98"/>
  <c r="AD13" i="98"/>
  <c r="O6" i="98"/>
  <c r="G37" i="98"/>
  <c r="Z33" i="98"/>
  <c r="W47" i="98"/>
  <c r="U40" i="98"/>
  <c r="AB43" i="98"/>
  <c r="P2" i="98"/>
  <c r="O59" i="98"/>
  <c r="R37" i="98"/>
  <c r="W5" i="34"/>
  <c r="W69" i="98"/>
  <c r="G25" i="34"/>
  <c r="AC13" i="98"/>
  <c r="T67" i="98"/>
  <c r="D25" i="98"/>
  <c r="C22" i="98"/>
  <c r="AC59" i="98"/>
  <c r="P46" i="98"/>
  <c r="AB13" i="98"/>
  <c r="T30" i="98"/>
  <c r="AC42" i="98"/>
  <c r="P27" i="98"/>
  <c r="V14" i="98"/>
  <c r="Y22" i="98"/>
  <c r="N65" i="98"/>
  <c r="K28" i="98"/>
  <c r="G11" i="34"/>
  <c r="Y68" i="98"/>
  <c r="X30" i="98"/>
  <c r="D44" i="98"/>
  <c r="W60" i="98"/>
  <c r="O73" i="98"/>
  <c r="N56" i="98"/>
  <c r="Z66" i="98"/>
  <c r="Z47" i="98"/>
  <c r="O10" i="98"/>
  <c r="Z44" i="98"/>
  <c r="U20" i="98"/>
  <c r="N4" i="98"/>
  <c r="B4" i="98"/>
  <c r="D5" i="98"/>
  <c r="T40" i="98"/>
  <c r="U51" i="98"/>
  <c r="U77" i="98"/>
  <c r="Z17" i="98"/>
  <c r="G63" i="98"/>
  <c r="N13" i="98"/>
  <c r="M11" i="98"/>
  <c r="S41" i="98"/>
  <c r="AC9" i="98"/>
  <c r="O72" i="98"/>
  <c r="D35" i="98"/>
  <c r="AC36" i="98"/>
  <c r="T71" i="98"/>
  <c r="D15" i="98"/>
  <c r="K74" i="98"/>
  <c r="U57" i="98"/>
  <c r="M32" i="98"/>
  <c r="AC64" i="98"/>
  <c r="D65" i="98"/>
  <c r="S43" i="98"/>
  <c r="T59" i="98"/>
  <c r="P53" i="98"/>
  <c r="E64" i="98"/>
  <c r="N16" i="98"/>
  <c r="N64" i="98"/>
  <c r="R8" i="98"/>
  <c r="M45" i="98"/>
  <c r="G13" i="34"/>
  <c r="K38" i="98"/>
  <c r="B58" i="98"/>
  <c r="D4" i="98"/>
  <c r="E28" i="98"/>
  <c r="U66" i="98"/>
  <c r="O29" i="98"/>
  <c r="G67" i="98"/>
  <c r="Y46" i="98"/>
  <c r="Y21" i="98"/>
  <c r="Q72" i="98"/>
  <c r="X5" i="34"/>
  <c r="O75" i="98"/>
  <c r="T39" i="98"/>
  <c r="AC71" i="98"/>
  <c r="Y20" i="98"/>
  <c r="B70" i="98"/>
  <c r="G4" i="98"/>
  <c r="G57" i="98"/>
  <c r="X41" i="98"/>
  <c r="AB42" i="98"/>
  <c r="L40" i="98"/>
  <c r="X57" i="98"/>
  <c r="R58" i="98"/>
  <c r="K5" i="34"/>
  <c r="AE54" i="98"/>
  <c r="G18" i="34"/>
  <c r="Y7" i="98"/>
  <c r="T23" i="98"/>
  <c r="AS1" i="98"/>
  <c r="N8" i="98"/>
  <c r="Q66" i="98"/>
  <c r="H32" i="98"/>
  <c r="T22" i="98"/>
  <c r="P77" i="98"/>
  <c r="AE9" i="98"/>
  <c r="O57" i="98"/>
  <c r="C66" i="98"/>
  <c r="AA21" i="98"/>
  <c r="AE24" i="98"/>
  <c r="D10" i="98"/>
  <c r="K8" i="98"/>
  <c r="S66" i="98"/>
  <c r="Q47" i="98"/>
  <c r="S13" i="98"/>
  <c r="E13" i="98"/>
  <c r="O76" i="98"/>
  <c r="X31" i="98"/>
  <c r="R24" i="98"/>
  <c r="Y66" i="98"/>
  <c r="F49" i="98"/>
  <c r="T9" i="98"/>
  <c r="Y71" i="98"/>
  <c r="D46" i="98"/>
  <c r="V71" i="98"/>
  <c r="B57" i="98"/>
  <c r="Q42" i="98"/>
  <c r="AC40" i="98"/>
  <c r="O26" i="98"/>
  <c r="D48" i="98"/>
  <c r="O60" i="98"/>
  <c r="U53" i="98"/>
  <c r="N73" i="98"/>
  <c r="O17" i="98"/>
  <c r="AA45" i="98"/>
  <c r="G45" i="98"/>
  <c r="B32" i="98"/>
  <c r="F4" i="98"/>
  <c r="E18" i="98"/>
  <c r="C46" i="98"/>
  <c r="M70" i="98"/>
  <c r="R43" i="98"/>
  <c r="AE27" i="98"/>
  <c r="Q8" i="98"/>
  <c r="M14" i="98"/>
  <c r="G2" i="98"/>
  <c r="V16" i="98"/>
  <c r="Q55" i="98"/>
  <c r="U58" i="98"/>
  <c r="K61" i="98"/>
  <c r="AD32" i="98"/>
  <c r="J5" i="34"/>
  <c r="AE11" i="98"/>
  <c r="AB62" i="98"/>
  <c r="H37" i="98"/>
  <c r="F68" i="98"/>
  <c r="B38" i="98"/>
  <c r="H9" i="98"/>
  <c r="P63" i="98"/>
  <c r="L39" i="98"/>
  <c r="E31" i="98"/>
  <c r="E62" i="98"/>
  <c r="Z6" i="98"/>
  <c r="Z61" i="98"/>
  <c r="N20" i="98"/>
  <c r="V44" i="98"/>
  <c r="W68" i="98"/>
  <c r="AB60" i="98"/>
  <c r="M26" i="98"/>
  <c r="R59" i="98"/>
  <c r="M9" i="98"/>
  <c r="E68" i="98"/>
  <c r="U21" i="98"/>
  <c r="S70" i="98"/>
  <c r="AD60" i="98"/>
  <c r="AB4" i="98"/>
  <c r="S4" i="98"/>
  <c r="K37" i="98"/>
  <c r="AC46" i="98"/>
  <c r="T24" i="98"/>
  <c r="U38" i="98"/>
  <c r="T4" i="34"/>
  <c r="E26" i="98"/>
  <c r="S51" i="98"/>
  <c r="AC61" i="98"/>
  <c r="N63" i="98"/>
  <c r="K23" i="98"/>
  <c r="C60" i="98"/>
  <c r="D56" i="98"/>
  <c r="M56" i="98"/>
  <c r="J70" i="98"/>
  <c r="W4" i="98"/>
  <c r="M37" i="98"/>
  <c r="N59" i="98"/>
  <c r="AA37" i="98"/>
  <c r="Z37" i="98"/>
  <c r="O38" i="98"/>
  <c r="F26" i="98"/>
  <c r="H65" i="98"/>
  <c r="G54" i="98"/>
  <c r="G20" i="98"/>
  <c r="Y47" i="98"/>
  <c r="W28" i="98"/>
  <c r="Y28" i="98"/>
  <c r="O47" i="98"/>
  <c r="F23" i="98"/>
  <c r="H17" i="98"/>
  <c r="V76" i="98"/>
  <c r="F59" i="98"/>
  <c r="K11" i="98"/>
  <c r="E56" i="98"/>
  <c r="T55" i="98"/>
  <c r="E49" i="98"/>
  <c r="E44" i="98"/>
  <c r="H36" i="98"/>
  <c r="M2" i="98"/>
  <c r="AE8" i="98"/>
  <c r="AB54" i="98"/>
  <c r="H74" i="98"/>
  <c r="AD65" i="98"/>
  <c r="C17" i="98"/>
  <c r="T53" i="98"/>
  <c r="T8" i="98"/>
  <c r="G50" i="98"/>
  <c r="T48" i="98"/>
  <c r="AE33" i="98"/>
  <c r="E58" i="98"/>
  <c r="V21" i="98"/>
  <c r="Y40" i="98"/>
  <c r="B72" i="98"/>
  <c r="E69" i="98"/>
  <c r="S37" i="98"/>
  <c r="F65" i="98"/>
  <c r="Z9" i="98"/>
  <c r="R77" i="98"/>
  <c r="K21" i="98"/>
  <c r="Q16" i="98"/>
  <c r="Q5" i="98"/>
  <c r="AA5" i="98"/>
  <c r="G30" i="34"/>
  <c r="W7" i="98"/>
  <c r="N9" i="98"/>
  <c r="T57" i="98"/>
  <c r="Q12" i="98"/>
  <c r="W15" i="98"/>
  <c r="F37" i="98"/>
  <c r="O69" i="98"/>
  <c r="AD27" i="98"/>
  <c r="Z28" i="98"/>
  <c r="Z7" i="98"/>
  <c r="G74" i="98"/>
  <c r="H27" i="98"/>
  <c r="W17" i="98"/>
  <c r="T6" i="98"/>
  <c r="AA50" i="98"/>
  <c r="C21" i="98"/>
  <c r="J4" i="34"/>
  <c r="V15" i="98"/>
  <c r="AB73" i="98"/>
  <c r="T31" i="98"/>
  <c r="W44" i="98"/>
  <c r="B33" i="98"/>
  <c r="R73" i="98"/>
  <c r="M21" i="98"/>
  <c r="C39" i="98"/>
  <c r="AB41" i="98"/>
  <c r="F21" i="98"/>
  <c r="S20" i="98"/>
  <c r="Y67" i="98"/>
  <c r="AE73" i="98"/>
  <c r="AD59" i="98"/>
  <c r="G15" i="34"/>
  <c r="Q75" i="98"/>
  <c r="O5" i="98"/>
  <c r="X6" i="34"/>
  <c r="J6" i="34"/>
  <c r="V6" i="34"/>
  <c r="T6" i="34"/>
  <c r="L128" i="34"/>
  <c r="W6" i="34"/>
  <c r="U6" i="34"/>
  <c r="K6" i="34"/>
  <c r="P15" i="34" l="1"/>
  <c r="Q15" i="34" s="1"/>
  <c r="I27" i="98"/>
  <c r="P30" i="34"/>
  <c r="Q30" i="34" s="1"/>
  <c r="I74" i="98"/>
  <c r="I36" i="98"/>
  <c r="I17" i="98"/>
  <c r="I65" i="98"/>
  <c r="I9" i="98"/>
  <c r="I37" i="98"/>
  <c r="I32" i="98"/>
  <c r="P18" i="34"/>
  <c r="Q18" i="34" s="1"/>
  <c r="P13" i="34"/>
  <c r="Q13" i="34" s="1"/>
  <c r="P11" i="34"/>
  <c r="Q11" i="34" s="1"/>
  <c r="P25" i="34"/>
  <c r="Q25" i="34" s="1"/>
  <c r="P14" i="34"/>
  <c r="Q14" i="34" s="1"/>
  <c r="I67" i="98"/>
  <c r="I43" i="98"/>
  <c r="P12" i="34"/>
  <c r="Q12" i="34" s="1"/>
  <c r="I2" i="98"/>
  <c r="I28" i="98"/>
  <c r="I47" i="98"/>
  <c r="I21" i="98"/>
  <c r="I55" i="98"/>
  <c r="I33" i="98"/>
  <c r="P29" i="34"/>
  <c r="Q29" i="34" s="1"/>
  <c r="P24" i="34"/>
  <c r="Q24" i="34" s="1"/>
  <c r="I12" i="98"/>
  <c r="I61" i="98"/>
  <c r="I39" i="98"/>
  <c r="I66" i="98"/>
  <c r="I6" i="34"/>
  <c r="I73" i="98"/>
  <c r="I25" i="98"/>
  <c r="I50" i="98"/>
  <c r="I18" i="98"/>
  <c r="I41" i="98"/>
  <c r="I5" i="34"/>
  <c r="I59" i="98"/>
  <c r="I54" i="98"/>
  <c r="I64" i="98"/>
  <c r="I57" i="98"/>
  <c r="P5" i="34"/>
  <c r="Q5" i="34" s="1"/>
  <c r="I6" i="98"/>
  <c r="I10" i="98"/>
  <c r="I44" i="98"/>
  <c r="I19" i="98"/>
  <c r="P20" i="34"/>
  <c r="Q20" i="34" s="1"/>
  <c r="I229" i="34"/>
  <c r="J229" i="34" s="1"/>
  <c r="I68" i="98"/>
  <c r="P4" i="34"/>
  <c r="Q4" i="34" s="1"/>
  <c r="Q32" i="34" s="1"/>
  <c r="D4" i="34" s="1"/>
  <c r="P22" i="34"/>
  <c r="Q22" i="34" s="1"/>
  <c r="Q31" i="34"/>
  <c r="P9" i="34"/>
  <c r="Q9" i="34" s="1"/>
  <c r="I29" i="98"/>
  <c r="I24" i="98"/>
  <c r="I14" i="98"/>
  <c r="I45" i="98"/>
  <c r="I56" i="98"/>
  <c r="I42" i="98"/>
  <c r="P19" i="34"/>
  <c r="Q19" i="34" s="1"/>
  <c r="I22" i="98"/>
  <c r="I13" i="98"/>
  <c r="I5" i="98"/>
  <c r="I71" i="98"/>
  <c r="I35" i="98"/>
  <c r="P7" i="34"/>
  <c r="Q7" i="34" s="1"/>
  <c r="I53" i="98"/>
  <c r="I8" i="98"/>
  <c r="P27" i="34"/>
  <c r="Q27" i="34" s="1"/>
  <c r="I75" i="98"/>
  <c r="I11" i="98"/>
  <c r="I7" i="98"/>
  <c r="I70" i="98"/>
  <c r="P10" i="34"/>
  <c r="Q10" i="34" s="1"/>
  <c r="I52" i="98"/>
  <c r="P21" i="34"/>
  <c r="Q21" i="34" s="1"/>
  <c r="I4" i="98"/>
  <c r="P16" i="34"/>
  <c r="Q16" i="34" s="1"/>
  <c r="P8" i="34"/>
  <c r="Q8" i="34" s="1"/>
  <c r="P23" i="34"/>
  <c r="Q23" i="34" s="1"/>
  <c r="J290" i="34"/>
  <c r="K290" i="34" s="1"/>
  <c r="M6" i="34"/>
  <c r="P6" i="34"/>
  <c r="Q6" i="34" s="1"/>
  <c r="S6" i="34" s="1"/>
  <c r="I46" i="98"/>
  <c r="I77" i="98"/>
  <c r="I60" i="98"/>
  <c r="I20" i="98"/>
  <c r="P28" i="34"/>
  <c r="Q28" i="34" s="1"/>
  <c r="I51" i="98"/>
  <c r="I26" i="98"/>
  <c r="I48" i="98"/>
  <c r="I62" i="98"/>
  <c r="I34" i="98"/>
  <c r="I30" i="98"/>
  <c r="P17" i="34"/>
  <c r="Q17" i="34" s="1"/>
  <c r="I31" i="98"/>
  <c r="I15" i="98"/>
  <c r="I4" i="34"/>
  <c r="I40" i="98"/>
  <c r="I16" i="98"/>
  <c r="I72" i="98"/>
  <c r="I76" i="98"/>
  <c r="P26" i="34"/>
  <c r="Q26" i="34" s="1"/>
  <c r="I58" i="98"/>
  <c r="I63" i="98"/>
  <c r="I3" i="98"/>
  <c r="I23" i="98"/>
  <c r="I38" i="98"/>
  <c r="K128" i="34"/>
  <c r="D7" i="34"/>
  <c r="J4" i="98"/>
  <c r="J66" i="98"/>
  <c r="L22" i="98"/>
  <c r="L54" i="98"/>
  <c r="L25" i="98"/>
  <c r="J32" i="98"/>
  <c r="J14" i="98"/>
  <c r="L63" i="98"/>
  <c r="L24" i="98"/>
  <c r="J21" i="98"/>
  <c r="J16" i="98"/>
  <c r="J53" i="98"/>
  <c r="L32" i="98"/>
  <c r="J39" i="98"/>
  <c r="J11" i="98"/>
  <c r="L10" i="98"/>
  <c r="J49" i="98"/>
  <c r="J69" i="98"/>
  <c r="J19" i="98"/>
  <c r="J76" i="98"/>
  <c r="J67" i="98"/>
  <c r="J2" i="98"/>
  <c r="J25" i="98"/>
  <c r="L13" i="98"/>
  <c r="H69" i="98"/>
  <c r="L64" i="98"/>
  <c r="L31" i="98"/>
  <c r="L67" i="98"/>
  <c r="L38" i="98"/>
  <c r="L50" i="98"/>
  <c r="L27" i="98"/>
  <c r="L6" i="98"/>
  <c r="J55" i="98"/>
  <c r="L35" i="98"/>
  <c r="L15" i="98"/>
  <c r="L75" i="98"/>
  <c r="J58" i="98"/>
  <c r="L17" i="98"/>
  <c r="L21" i="98"/>
  <c r="L69" i="98"/>
  <c r="L74" i="98"/>
  <c r="L58" i="98"/>
  <c r="L53" i="98"/>
  <c r="L49" i="98"/>
  <c r="J31" i="98"/>
  <c r="L62" i="98"/>
  <c r="L29" i="98"/>
  <c r="L66" i="98"/>
  <c r="L4" i="98"/>
  <c r="J62" i="98"/>
  <c r="L16" i="98"/>
  <c r="L20" i="98"/>
  <c r="J22" i="98"/>
  <c r="L28" i="98"/>
  <c r="L33" i="98"/>
  <c r="J73" i="98"/>
  <c r="J10" i="98"/>
  <c r="L26" i="98"/>
  <c r="J27" i="98"/>
  <c r="L52" i="98"/>
  <c r="L5" i="98"/>
  <c r="L23" i="98"/>
  <c r="J50" i="98"/>
  <c r="J52" i="98"/>
  <c r="L47" i="98"/>
  <c r="J13" i="98"/>
  <c r="J56" i="98"/>
  <c r="J59" i="98"/>
  <c r="J33" i="98"/>
  <c r="L14" i="98"/>
  <c r="J45" i="98"/>
  <c r="J23" i="98"/>
  <c r="J63" i="98"/>
  <c r="J26" i="98"/>
  <c r="J17" i="98"/>
  <c r="J5" i="98"/>
  <c r="J75" i="98"/>
  <c r="L51" i="98"/>
  <c r="L73" i="98"/>
  <c r="J29" i="98"/>
  <c r="L11" i="98"/>
  <c r="L55" i="98"/>
  <c r="J77" i="98"/>
  <c r="L60" i="98"/>
  <c r="L12" i="98"/>
  <c r="J30" i="98"/>
  <c r="J6" i="98"/>
  <c r="J8" i="98"/>
  <c r="J64" i="98"/>
  <c r="L7" i="98"/>
  <c r="L8" i="98"/>
  <c r="J35" i="98"/>
  <c r="L2" i="98"/>
  <c r="H49" i="98"/>
  <c r="L19" i="98"/>
  <c r="L77" i="98"/>
  <c r="J54" i="98"/>
  <c r="L57" i="98"/>
  <c r="J57" i="98"/>
  <c r="L34" i="98"/>
  <c r="L59" i="98"/>
  <c r="J68" i="98"/>
  <c r="J20" i="98"/>
  <c r="J28" i="98"/>
  <c r="H7" i="34"/>
  <c r="J7" i="98"/>
  <c r="J15" i="98"/>
  <c r="L56" i="98"/>
  <c r="J34" i="98"/>
  <c r="L72" i="98"/>
  <c r="J38" i="98"/>
  <c r="J18" i="98"/>
  <c r="L45" i="98"/>
  <c r="J51" i="98"/>
  <c r="L68" i="98"/>
  <c r="J60" i="98"/>
  <c r="J37" i="98"/>
  <c r="J74" i="98"/>
  <c r="J47" i="98"/>
  <c r="J24" i="98"/>
  <c r="H218" i="34"/>
  <c r="J72" i="98"/>
  <c r="L76" i="98"/>
  <c r="L18" i="98"/>
  <c r="J12" i="98"/>
  <c r="L30" i="98"/>
  <c r="I49" i="98" l="1"/>
  <c r="I69" i="98"/>
  <c r="D5" i="34"/>
  <c r="D6" i="34"/>
  <c r="I218" i="34"/>
  <c r="I7" i="34"/>
  <c r="J7" i="34"/>
  <c r="K7" i="34"/>
  <c r="J218" i="34" l="1"/>
  <c r="X7" i="34"/>
  <c r="V7" i="34"/>
  <c r="T7" i="34"/>
  <c r="L218" i="34"/>
  <c r="W7" i="34"/>
  <c r="U7" i="34"/>
  <c r="K218" i="34" l="1"/>
  <c r="D8" i="34"/>
  <c r="I132" i="34"/>
  <c r="I133" i="34"/>
  <c r="I134" i="34"/>
  <c r="H134" i="34" s="1"/>
  <c r="F8" i="34" s="1"/>
  <c r="H8" i="34"/>
  <c r="I8" i="34" l="1"/>
  <c r="J132" i="34"/>
  <c r="M8" i="34"/>
  <c r="O8" i="34"/>
  <c r="S8" i="34"/>
  <c r="K8" i="34"/>
  <c r="L132" i="34"/>
  <c r="J8" i="34"/>
  <c r="X8" i="34"/>
  <c r="T8" i="34"/>
  <c r="W8" i="34"/>
  <c r="V8" i="34"/>
  <c r="U8" i="34"/>
  <c r="K132" i="34" l="1"/>
  <c r="D9" i="34"/>
  <c r="F9" i="34"/>
  <c r="H9" i="34"/>
  <c r="I9" i="34" l="1"/>
  <c r="K9" i="34"/>
  <c r="L356" i="34"/>
  <c r="V9" i="34"/>
  <c r="U9" i="34"/>
  <c r="J9" i="34"/>
  <c r="W9" i="34"/>
  <c r="T9" i="34"/>
  <c r="H356" i="34"/>
  <c r="X9" i="34"/>
  <c r="M356" i="34"/>
  <c r="I356" i="34" l="1"/>
  <c r="J356" i="34" s="1"/>
  <c r="D10" i="34"/>
  <c r="I93" i="34"/>
  <c r="I94" i="34"/>
  <c r="I95" i="34"/>
  <c r="I96" i="34"/>
  <c r="H96" i="34" s="1"/>
  <c r="F10" i="34" s="1"/>
  <c r="H10" i="34"/>
  <c r="K356" i="34" l="1"/>
  <c r="I10" i="34"/>
  <c r="J10" i="34"/>
  <c r="K10" i="34"/>
  <c r="L10" i="34" l="1"/>
  <c r="N10" i="34"/>
  <c r="R10" i="34"/>
  <c r="W10" i="34"/>
  <c r="X10" i="34"/>
  <c r="L93" i="34"/>
  <c r="V10" i="34"/>
  <c r="U10" i="34"/>
  <c r="T10" i="34"/>
  <c r="J93" i="34" l="1"/>
  <c r="D11" i="34"/>
  <c r="F11" i="34"/>
  <c r="H11" i="34"/>
  <c r="I11" i="34" l="1"/>
  <c r="I136" i="34"/>
  <c r="J136" i="34"/>
  <c r="M11" i="34"/>
  <c r="O11" i="34"/>
  <c r="S11" i="34"/>
  <c r="J11" i="34"/>
  <c r="V11" i="34"/>
  <c r="L136" i="34"/>
  <c r="X11" i="34"/>
  <c r="U11" i="34"/>
  <c r="K11" i="34"/>
  <c r="T11" i="34"/>
  <c r="W11" i="34"/>
  <c r="K136" i="34" l="1"/>
  <c r="D12" i="34"/>
  <c r="H12" i="34"/>
  <c r="H372" i="34"/>
  <c r="I372" i="34" l="1"/>
  <c r="I12" i="34"/>
  <c r="T12" i="34"/>
  <c r="U12" i="34"/>
  <c r="W12" i="34"/>
  <c r="K12" i="34"/>
  <c r="V12" i="34"/>
  <c r="J12" i="34"/>
  <c r="X12" i="34"/>
  <c r="L372" i="34"/>
  <c r="J372" i="34" l="1"/>
  <c r="D13" i="34"/>
  <c r="I376" i="34"/>
  <c r="I377" i="34"/>
  <c r="H13" i="34"/>
  <c r="H378" i="34"/>
  <c r="I378" i="34" l="1"/>
  <c r="I13" i="34"/>
  <c r="M376" i="34"/>
  <c r="V13" i="34"/>
  <c r="W13" i="34"/>
  <c r="K13" i="34"/>
  <c r="T13" i="34"/>
  <c r="L376" i="34"/>
  <c r="J13" i="34"/>
  <c r="X13" i="34"/>
  <c r="U13" i="34"/>
  <c r="J376" i="34" l="1"/>
  <c r="D14" i="34"/>
  <c r="H14" i="34"/>
  <c r="H195" i="34"/>
  <c r="I195" i="34" l="1"/>
  <c r="K376" i="34"/>
  <c r="I14" i="34"/>
  <c r="J14" i="34"/>
  <c r="U14" i="34"/>
  <c r="X14" i="34"/>
  <c r="V14" i="34"/>
  <c r="T14" i="34"/>
  <c r="K14" i="34"/>
  <c r="W14" i="34"/>
  <c r="L195" i="34"/>
  <c r="J195" i="34" l="1"/>
  <c r="D15" i="34"/>
  <c r="I103" i="34"/>
  <c r="I104" i="34"/>
  <c r="I105" i="34"/>
  <c r="H105" i="34" s="1"/>
  <c r="F15" i="34" s="1"/>
  <c r="H15" i="34"/>
  <c r="I15" i="34" l="1"/>
  <c r="L15" i="34"/>
  <c r="N15" i="34"/>
  <c r="R15" i="34"/>
  <c r="L103" i="34"/>
  <c r="U15" i="34"/>
  <c r="J15" i="34"/>
  <c r="V15" i="34"/>
  <c r="X15" i="34"/>
  <c r="W15" i="34"/>
  <c r="T15" i="34"/>
  <c r="K15" i="34"/>
  <c r="J103" i="34" l="1"/>
  <c r="D16" i="34"/>
  <c r="I124" i="34"/>
  <c r="I126" i="34" s="1"/>
  <c r="H126" i="34" s="1"/>
  <c r="F16" i="34" s="1"/>
  <c r="I125" i="34"/>
  <c r="H16" i="34"/>
  <c r="I16" i="34" l="1"/>
  <c r="J124" i="34"/>
  <c r="M16" i="34"/>
  <c r="O16" i="34"/>
  <c r="S16" i="34" s="1"/>
  <c r="T16" i="34"/>
  <c r="J16" i="34"/>
  <c r="U16" i="34"/>
  <c r="W16" i="34"/>
  <c r="L124" i="34"/>
  <c r="X16" i="34"/>
  <c r="K16" i="34"/>
  <c r="V16" i="34"/>
  <c r="K124" i="34" l="1"/>
  <c r="D17" i="34"/>
  <c r="H339" i="34"/>
  <c r="H17" i="34"/>
  <c r="I339" i="34" l="1"/>
  <c r="I340" i="34" s="1"/>
  <c r="H340" i="34" s="1"/>
  <c r="F17" i="34" s="1"/>
  <c r="L17" i="34" s="1"/>
  <c r="I17" i="34"/>
  <c r="L339" i="34"/>
  <c r="T17" i="34"/>
  <c r="X17" i="34"/>
  <c r="K17" i="34"/>
  <c r="W17" i="34"/>
  <c r="U17" i="34"/>
  <c r="V17" i="34"/>
  <c r="J17" i="34"/>
  <c r="N17" i="34" l="1"/>
  <c r="R17" i="34" s="1"/>
  <c r="J339" i="34"/>
  <c r="J340" i="34" s="1"/>
  <c r="O17" i="34" s="1"/>
  <c r="D18" i="34"/>
  <c r="I83" i="34"/>
  <c r="I85" i="34" s="1"/>
  <c r="H85" i="34" s="1"/>
  <c r="F18" i="34" s="1"/>
  <c r="I84" i="34"/>
  <c r="H18" i="34"/>
  <c r="S17" i="34" l="1"/>
  <c r="M17" i="34"/>
  <c r="I18" i="34"/>
  <c r="L18" i="34"/>
  <c r="N18" i="34"/>
  <c r="R18" i="34"/>
  <c r="U18" i="34"/>
  <c r="L83" i="34"/>
  <c r="V18" i="34"/>
  <c r="X18" i="34"/>
  <c r="T18" i="34"/>
  <c r="W18" i="34"/>
  <c r="K18" i="34"/>
  <c r="J18" i="34"/>
  <c r="J83" i="34" l="1"/>
  <c r="D19" i="34"/>
  <c r="I257" i="34"/>
  <c r="I258" i="34"/>
  <c r="H259" i="34"/>
  <c r="H19" i="34"/>
  <c r="I259" i="34" l="1"/>
  <c r="I260" i="34" s="1"/>
  <c r="H260" i="34" s="1"/>
  <c r="F19" i="34" s="1"/>
  <c r="L19" i="34" s="1"/>
  <c r="I19" i="34"/>
  <c r="J19" i="34"/>
  <c r="T19" i="34"/>
  <c r="W19" i="34"/>
  <c r="L257" i="34"/>
  <c r="U19" i="34"/>
  <c r="X19" i="34"/>
  <c r="V19" i="34"/>
  <c r="K19" i="34"/>
  <c r="N19" i="34" l="1"/>
  <c r="R19" i="34" s="1"/>
  <c r="J257" i="34"/>
  <c r="D20" i="34"/>
  <c r="I366" i="34"/>
  <c r="I367" i="34"/>
  <c r="H367" i="34" s="1"/>
  <c r="F20" i="34" s="1"/>
  <c r="H20" i="34"/>
  <c r="I20" i="34" l="1"/>
  <c r="L20" i="34"/>
  <c r="N20" i="34"/>
  <c r="R20" i="34"/>
  <c r="K20" i="34"/>
  <c r="X20" i="34"/>
  <c r="J20" i="34"/>
  <c r="L366" i="34"/>
  <c r="U20" i="34"/>
  <c r="V20" i="34"/>
  <c r="T20" i="34"/>
  <c r="W20" i="34"/>
  <c r="J366" i="34" l="1"/>
  <c r="J367" i="34" s="1"/>
  <c r="O20" i="34" s="1"/>
  <c r="D21" i="34"/>
  <c r="H21" i="34"/>
  <c r="H301" i="34"/>
  <c r="I301" i="34" l="1"/>
  <c r="I302" i="34" s="1"/>
  <c r="H302" i="34" s="1"/>
  <c r="F21" i="34" s="1"/>
  <c r="L21" i="34" s="1"/>
  <c r="S20" i="34"/>
  <c r="M20" i="34"/>
  <c r="I21" i="34"/>
  <c r="V21" i="34"/>
  <c r="T21" i="34"/>
  <c r="K21" i="34"/>
  <c r="W21" i="34"/>
  <c r="J21" i="34"/>
  <c r="X21" i="34"/>
  <c r="L301" i="34"/>
  <c r="U21" i="34"/>
  <c r="N21" i="34" l="1"/>
  <c r="R21" i="34" s="1"/>
  <c r="J301" i="34"/>
  <c r="J302" i="34" s="1"/>
  <c r="O21" i="34" s="1"/>
  <c r="D22" i="34"/>
  <c r="I98" i="34"/>
  <c r="I99" i="34"/>
  <c r="I100" i="34"/>
  <c r="I101" i="34"/>
  <c r="H101" i="34"/>
  <c r="F22" i="34"/>
  <c r="H22" i="34"/>
  <c r="S21" i="34" l="1"/>
  <c r="M21" i="34"/>
  <c r="I22" i="34"/>
  <c r="J98" i="34"/>
  <c r="M22" i="34"/>
  <c r="O22" i="34"/>
  <c r="S22" i="34"/>
  <c r="J22" i="34"/>
  <c r="W22" i="34"/>
  <c r="K22" i="34"/>
  <c r="U22" i="34"/>
  <c r="X22" i="34"/>
  <c r="T22" i="34"/>
  <c r="V22" i="34"/>
  <c r="L98" i="34"/>
  <c r="K98" i="34" l="1"/>
  <c r="D23" i="34"/>
  <c r="F299" i="34"/>
  <c r="H298" i="34"/>
  <c r="H23" i="34"/>
  <c r="I298" i="34" l="1"/>
  <c r="I299" i="34" s="1"/>
  <c r="H299" i="34" s="1"/>
  <c r="F23" i="34" s="1"/>
  <c r="N23" i="34" s="1"/>
  <c r="R23" i="34" s="1"/>
  <c r="I23" i="34"/>
  <c r="L23" i="34"/>
  <c r="D299" i="34"/>
  <c r="J23" i="34"/>
  <c r="K23" i="34"/>
  <c r="X23" i="34"/>
  <c r="T23" i="34"/>
  <c r="V23" i="34"/>
  <c r="U23" i="34"/>
  <c r="L298" i="34"/>
  <c r="W23" i="34"/>
  <c r="J298" i="34" l="1"/>
  <c r="J299" i="34" s="1"/>
  <c r="O23" i="34" s="1"/>
  <c r="D24" i="34"/>
  <c r="I24" i="34"/>
  <c r="K24" i="34"/>
  <c r="J24" i="34"/>
  <c r="H215" i="34"/>
  <c r="I215" i="34" l="1"/>
  <c r="I216" i="34" s="1"/>
  <c r="H216" i="34" s="1"/>
  <c r="F24" i="34" s="1"/>
  <c r="N24" i="34" s="1"/>
  <c r="R24" i="34" s="1"/>
  <c r="S23" i="34"/>
  <c r="M23" i="34"/>
  <c r="V24" i="34"/>
  <c r="T24" i="34"/>
  <c r="W24" i="34"/>
  <c r="X24" i="34"/>
  <c r="U24" i="34"/>
  <c r="L215" i="34"/>
  <c r="L24" i="34" l="1"/>
  <c r="J215" i="34"/>
  <c r="J216" i="34" s="1"/>
  <c r="O24" i="34" s="1"/>
  <c r="D25" i="34"/>
  <c r="I107" i="34"/>
  <c r="I114" i="34" s="1"/>
  <c r="H114" i="34" s="1"/>
  <c r="F25" i="34" s="1"/>
  <c r="I108" i="34"/>
  <c r="I109" i="34"/>
  <c r="I110" i="34"/>
  <c r="I111" i="34"/>
  <c r="I112" i="34"/>
  <c r="I113" i="34"/>
  <c r="H25" i="34"/>
  <c r="M24" i="34" l="1"/>
  <c r="S24" i="34"/>
  <c r="I25" i="34"/>
  <c r="L25" i="34"/>
  <c r="N25" i="34"/>
  <c r="R25" i="34"/>
  <c r="U25" i="34"/>
  <c r="X25" i="34"/>
  <c r="L107" i="34"/>
  <c r="K25" i="34"/>
  <c r="W25" i="34"/>
  <c r="J25" i="34"/>
  <c r="V25" i="34"/>
  <c r="T25" i="34"/>
  <c r="J107" i="34" l="1"/>
  <c r="D26" i="34"/>
  <c r="H342" i="34"/>
  <c r="H26" i="34"/>
  <c r="I342" i="34" l="1"/>
  <c r="I26" i="34"/>
  <c r="X26" i="34"/>
  <c r="K26" i="34"/>
  <c r="J26" i="34"/>
  <c r="U26" i="34"/>
  <c r="L342" i="34"/>
  <c r="T26" i="34"/>
  <c r="V26" i="34"/>
  <c r="W26" i="34"/>
  <c r="J342" i="34" l="1"/>
  <c r="D27" i="34"/>
  <c r="I233" i="34"/>
  <c r="H234" i="34"/>
  <c r="H27" i="34"/>
  <c r="I234" i="34" l="1"/>
  <c r="I27" i="34"/>
  <c r="X27" i="34"/>
  <c r="L233" i="34"/>
  <c r="K27" i="34"/>
  <c r="T27" i="34"/>
  <c r="J27" i="34"/>
  <c r="U27" i="34"/>
  <c r="W27" i="34"/>
  <c r="V27" i="34"/>
  <c r="J233" i="34" l="1"/>
  <c r="D28" i="34"/>
  <c r="F119" i="34"/>
  <c r="H28" i="34"/>
  <c r="H116" i="34"/>
  <c r="I116" i="34" l="1"/>
  <c r="I28" i="34"/>
  <c r="J28" i="34"/>
  <c r="K28" i="34"/>
  <c r="D119" i="34" l="1"/>
  <c r="L116" i="34"/>
  <c r="X28" i="34"/>
  <c r="W28" i="34"/>
  <c r="V28" i="34"/>
  <c r="U28" i="34"/>
  <c r="T28" i="34"/>
  <c r="J116" i="34" l="1"/>
  <c r="D29" i="34"/>
  <c r="K29" i="34"/>
  <c r="H90" i="34"/>
  <c r="H29" i="34"/>
  <c r="J29" i="34"/>
  <c r="I90" i="34" l="1"/>
  <c r="I91" i="34" s="1"/>
  <c r="H91" i="34" s="1"/>
  <c r="F29" i="34" s="1"/>
  <c r="N29" i="34" s="1"/>
  <c r="R29" i="34" s="1"/>
  <c r="U29" i="34"/>
  <c r="B30" i="34"/>
  <c r="L90" i="34"/>
  <c r="T29" i="34"/>
  <c r="X29" i="34"/>
  <c r="V29" i="34"/>
  <c r="W29" i="34"/>
  <c r="L29" i="34" l="1"/>
  <c r="J90" i="34"/>
  <c r="J91" i="34" s="1"/>
  <c r="O29" i="34" s="1"/>
  <c r="D30" i="34"/>
  <c r="I189" i="34"/>
  <c r="J189" i="34"/>
  <c r="J190" i="34"/>
  <c r="H190" i="34" s="1"/>
  <c r="F30" i="34" s="1"/>
  <c r="K30" i="34"/>
  <c r="M29" i="34" l="1"/>
  <c r="S29" i="34"/>
  <c r="M30" i="34"/>
  <c r="O30" i="34"/>
  <c r="S30" i="34"/>
  <c r="L189" i="34"/>
  <c r="U30" i="34"/>
  <c r="T30" i="34"/>
  <c r="V30" i="34"/>
  <c r="K189" i="34" l="1"/>
  <c r="K190" i="34" s="1"/>
  <c r="N30" i="34" s="1"/>
  <c r="D31" i="34"/>
  <c r="D32" i="34" s="1"/>
  <c r="I32" i="34"/>
  <c r="O32" i="34"/>
  <c r="P32" i="34"/>
  <c r="T32" i="34"/>
  <c r="S33" i="34"/>
  <c r="E37" i="34"/>
  <c r="R30" i="34" l="1"/>
  <c r="L30" i="34"/>
  <c r="H37" i="34"/>
  <c r="I37" i="34"/>
  <c r="J37" i="34"/>
  <c r="M37" i="34"/>
  <c r="N37" i="34"/>
  <c r="R37" i="34"/>
  <c r="O37" i="34"/>
  <c r="E38" i="34"/>
  <c r="P37" i="34" l="1"/>
  <c r="H38" i="34"/>
  <c r="I38" i="34"/>
  <c r="J38" i="34"/>
  <c r="M38" i="34"/>
  <c r="N38" i="34"/>
  <c r="W38" i="34"/>
  <c r="O38" i="34"/>
  <c r="E39" i="34"/>
  <c r="R38" i="34"/>
  <c r="P38" i="34" l="1"/>
  <c r="H39" i="34"/>
  <c r="I39" i="34"/>
  <c r="J39" i="34"/>
  <c r="M39" i="34"/>
  <c r="N39" i="34"/>
  <c r="W39" i="34"/>
  <c r="R39" i="34"/>
  <c r="O39" i="34"/>
  <c r="E40" i="34"/>
  <c r="P39" i="34" l="1"/>
  <c r="H40" i="34"/>
  <c r="I40" i="34"/>
  <c r="J40" i="34"/>
  <c r="M40" i="34"/>
  <c r="N40" i="34"/>
  <c r="W40" i="34"/>
  <c r="R40" i="34"/>
  <c r="E41" i="34"/>
  <c r="O40" i="34"/>
  <c r="P40" i="34" l="1"/>
  <c r="H41" i="34"/>
  <c r="I41" i="34"/>
  <c r="J41" i="34"/>
  <c r="M41" i="34"/>
  <c r="N41" i="34"/>
  <c r="W41" i="34"/>
  <c r="V41" i="34"/>
  <c r="R41" i="34"/>
  <c r="E42" i="34"/>
  <c r="O41" i="34"/>
  <c r="P41" i="34" l="1"/>
  <c r="H42" i="34"/>
  <c r="I42" i="34"/>
  <c r="J42" i="34"/>
  <c r="M42" i="34"/>
  <c r="N42" i="34"/>
  <c r="R42" i="34"/>
  <c r="E43" i="34"/>
  <c r="O42" i="34"/>
  <c r="P42" i="34" l="1"/>
  <c r="H43" i="34"/>
  <c r="I43" i="34"/>
  <c r="J43" i="34"/>
  <c r="M43" i="34"/>
  <c r="N43" i="34"/>
  <c r="E44" i="34"/>
  <c r="O43" i="34"/>
  <c r="R43" i="34"/>
  <c r="P43" i="34" l="1"/>
  <c r="H44" i="34"/>
  <c r="I44" i="34"/>
  <c r="J44" i="34"/>
  <c r="M44" i="34"/>
  <c r="N44" i="34"/>
  <c r="R44" i="34"/>
  <c r="E45" i="34"/>
  <c r="O44" i="34"/>
  <c r="P44" i="34" l="1"/>
  <c r="H45" i="34"/>
  <c r="I45" i="34"/>
  <c r="J45" i="34"/>
  <c r="M45" i="34"/>
  <c r="N45" i="34"/>
  <c r="P45" i="34"/>
  <c r="H46" i="34"/>
  <c r="I46" i="34"/>
  <c r="J46" i="34"/>
  <c r="M46" i="34"/>
  <c r="N46" i="34"/>
  <c r="E47" i="34"/>
  <c r="R46" i="34"/>
  <c r="O46" i="34"/>
  <c r="R45" i="34"/>
  <c r="E46" i="34"/>
  <c r="O45" i="34"/>
  <c r="P46" i="34" l="1"/>
  <c r="H47" i="34"/>
  <c r="I47" i="34"/>
  <c r="J47" i="34"/>
  <c r="M47" i="34"/>
  <c r="N47" i="34"/>
  <c r="P47" i="34"/>
  <c r="H48" i="34"/>
  <c r="I48" i="34"/>
  <c r="J48" i="34"/>
  <c r="M48" i="34"/>
  <c r="N48" i="34"/>
  <c r="E48" i="34"/>
  <c r="O47" i="34"/>
  <c r="R47" i="34"/>
  <c r="E49" i="34"/>
  <c r="O48" i="34"/>
  <c r="R48" i="34"/>
  <c r="P48" i="34" l="1"/>
  <c r="H49" i="34"/>
  <c r="I49" i="34"/>
  <c r="J49" i="34"/>
  <c r="M49" i="34"/>
  <c r="N49" i="34"/>
  <c r="O49" i="34"/>
  <c r="E50" i="34"/>
  <c r="B50" i="34"/>
  <c r="R49" i="34"/>
  <c r="P49" i="34" l="1"/>
  <c r="H50" i="34"/>
  <c r="I50" i="34"/>
  <c r="J50" i="34"/>
  <c r="M50" i="34"/>
  <c r="R50" i="34"/>
  <c r="O50" i="34"/>
  <c r="N50" i="34" l="1"/>
  <c r="P50" i="34" s="1"/>
  <c r="H51" i="34"/>
  <c r="I51" i="34"/>
  <c r="J51" i="34"/>
  <c r="N51" i="34" s="1"/>
  <c r="M51" i="34"/>
  <c r="E52" i="34"/>
  <c r="E51" i="34"/>
  <c r="O51" i="34"/>
  <c r="R51" i="34"/>
  <c r="P51" i="34" l="1"/>
  <c r="H52" i="34"/>
  <c r="I52" i="34"/>
  <c r="J52" i="34"/>
  <c r="M52" i="34"/>
  <c r="N52" i="34"/>
  <c r="O52" i="34"/>
  <c r="E53" i="34"/>
  <c r="R52" i="34"/>
  <c r="B53" i="34"/>
  <c r="P52" i="34" l="1"/>
  <c r="H53" i="34"/>
  <c r="I53" i="34"/>
  <c r="J53" i="34"/>
  <c r="M53" i="34"/>
  <c r="R53" i="34"/>
  <c r="O53" i="34"/>
  <c r="N53" i="34" l="1"/>
  <c r="P53" i="34" s="1"/>
  <c r="H54" i="34"/>
  <c r="I54" i="34"/>
  <c r="J54" i="34"/>
  <c r="M54" i="34"/>
  <c r="N54" i="34"/>
  <c r="O54" i="34"/>
  <c r="E55" i="34"/>
  <c r="R54" i="34"/>
  <c r="E54" i="34"/>
  <c r="P54" i="34" l="1"/>
  <c r="H55" i="34"/>
  <c r="I55" i="34"/>
  <c r="J55" i="34"/>
  <c r="N55" i="34" s="1"/>
  <c r="M55" i="34"/>
  <c r="E56" i="34"/>
  <c r="R55" i="34"/>
  <c r="O55" i="34"/>
  <c r="P55" i="34" l="1"/>
  <c r="H56" i="34"/>
  <c r="I56" i="34"/>
  <c r="J56" i="34"/>
  <c r="M56" i="34"/>
  <c r="N56" i="34"/>
  <c r="R56" i="34"/>
  <c r="O56" i="34"/>
  <c r="E57" i="34"/>
  <c r="P56" i="34" l="1"/>
  <c r="H57" i="34"/>
  <c r="I57" i="34"/>
  <c r="J57" i="34"/>
  <c r="M57" i="34"/>
  <c r="N57" i="34"/>
  <c r="R57" i="34"/>
  <c r="E58" i="34"/>
  <c r="O57" i="34"/>
  <c r="P57" i="34" l="1"/>
  <c r="H58" i="34"/>
  <c r="I58" i="34"/>
  <c r="J58" i="34"/>
  <c r="M58" i="34"/>
  <c r="N58" i="34"/>
  <c r="R58" i="34"/>
  <c r="O58" i="34"/>
  <c r="E59" i="34"/>
  <c r="P58" i="34" l="1"/>
  <c r="H59" i="34"/>
  <c r="I59" i="34"/>
  <c r="J59" i="34"/>
  <c r="N59" i="34" s="1"/>
  <c r="M59" i="34"/>
  <c r="P59" i="34"/>
  <c r="H60" i="34"/>
  <c r="I60" i="34"/>
  <c r="J60" i="34"/>
  <c r="M60" i="34"/>
  <c r="N60" i="34"/>
  <c r="R60" i="34"/>
  <c r="R59" i="34"/>
  <c r="O59" i="34"/>
  <c r="O60" i="34"/>
  <c r="B61" i="34"/>
  <c r="B60" i="34"/>
  <c r="E61" i="34"/>
  <c r="E60" i="34"/>
  <c r="P60" i="34" l="1"/>
  <c r="H61" i="34"/>
  <c r="I61" i="34"/>
  <c r="J61" i="34"/>
  <c r="M61" i="34"/>
  <c r="N61" i="34"/>
  <c r="R61" i="34"/>
  <c r="O61" i="34"/>
  <c r="E66" i="34"/>
  <c r="P61" i="34" l="1"/>
  <c r="P62" i="34" s="1"/>
  <c r="H66" i="34"/>
  <c r="I66" i="34"/>
  <c r="J66" i="34"/>
  <c r="M66" i="34"/>
  <c r="N66" i="34"/>
  <c r="O66" i="34"/>
  <c r="E67" i="34"/>
  <c r="R66" i="34"/>
  <c r="B67" i="34"/>
  <c r="P66" i="34" l="1"/>
  <c r="H67" i="34"/>
  <c r="I67" i="34"/>
  <c r="J67" i="34"/>
  <c r="M67" i="34"/>
  <c r="N67" i="34"/>
  <c r="R67" i="34"/>
  <c r="E68" i="34"/>
  <c r="O67" i="34"/>
  <c r="P67" i="34" l="1"/>
  <c r="H68" i="34"/>
  <c r="I68" i="34"/>
  <c r="J68" i="34"/>
  <c r="M68" i="34"/>
  <c r="N68" i="34"/>
  <c r="R68" i="34"/>
  <c r="O68" i="34"/>
  <c r="E69" i="34"/>
  <c r="P68" i="34" l="1"/>
  <c r="H69" i="34"/>
  <c r="I69" i="34"/>
  <c r="J69" i="34"/>
  <c r="M69" i="34"/>
  <c r="N69" i="34"/>
  <c r="R69" i="34"/>
  <c r="O69" i="34"/>
  <c r="E70" i="34"/>
  <c r="P69" i="34" l="1"/>
  <c r="H70" i="34"/>
  <c r="I70" i="34"/>
  <c r="J70" i="34"/>
  <c r="M70" i="34"/>
  <c r="N70" i="34"/>
  <c r="R70" i="34"/>
  <c r="O70" i="34"/>
  <c r="E71" i="34"/>
  <c r="P70" i="34" l="1"/>
  <c r="H71" i="34"/>
  <c r="I71" i="34"/>
  <c r="L71" i="34"/>
  <c r="O71" i="34"/>
  <c r="J71" i="34" l="1"/>
  <c r="N71" i="34" s="1"/>
  <c r="M71" i="34"/>
  <c r="R71" i="34"/>
  <c r="E72" i="34"/>
  <c r="P71" i="34" l="1"/>
  <c r="H72" i="34"/>
  <c r="I72" i="34"/>
  <c r="N72" i="34" s="1"/>
  <c r="J72" i="34"/>
  <c r="M72" i="34"/>
  <c r="R72" i="34"/>
  <c r="O72" i="34"/>
  <c r="E73" i="34"/>
  <c r="P72" i="34" l="1"/>
  <c r="H73" i="34"/>
  <c r="I73" i="34"/>
  <c r="J73" i="34"/>
  <c r="N73" i="34" s="1"/>
  <c r="M73" i="34"/>
  <c r="R73" i="34"/>
  <c r="O73" i="34"/>
  <c r="E74" i="34"/>
  <c r="P73" i="34" l="1"/>
  <c r="H74" i="34"/>
  <c r="I74" i="34"/>
  <c r="J74" i="34"/>
  <c r="N74" i="34" s="1"/>
  <c r="M74" i="34"/>
  <c r="R74" i="34"/>
  <c r="E75" i="34"/>
  <c r="O74" i="34"/>
  <c r="P74" i="34" l="1"/>
  <c r="H75" i="34"/>
  <c r="I75" i="34"/>
  <c r="J75" i="34"/>
  <c r="M75" i="34"/>
  <c r="N75" i="34"/>
  <c r="R75" i="34"/>
  <c r="E76" i="34"/>
  <c r="O75" i="34"/>
  <c r="P75" i="34" l="1"/>
  <c r="H76" i="34"/>
  <c r="I76" i="34"/>
  <c r="J76" i="34"/>
  <c r="M76" i="34"/>
  <c r="N76" i="34"/>
  <c r="O76" i="34"/>
  <c r="R76" i="34"/>
  <c r="D83" i="34"/>
  <c r="G83" i="34"/>
  <c r="P76" i="34" l="1"/>
  <c r="P77" i="34" s="1"/>
  <c r="K83" i="34"/>
  <c r="M84" i="34"/>
  <c r="G87" i="34"/>
  <c r="M83" i="34"/>
  <c r="L84" i="34"/>
  <c r="D84" i="34"/>
  <c r="D87" i="34"/>
  <c r="G84" i="34"/>
  <c r="J84" i="34" l="1"/>
  <c r="I87" i="34"/>
  <c r="F88" i="34"/>
  <c r="L87" i="34"/>
  <c r="D90" i="34"/>
  <c r="G90" i="34"/>
  <c r="M87" i="34"/>
  <c r="K84" i="34" l="1"/>
  <c r="K85" i="34" s="1"/>
  <c r="J85" i="34"/>
  <c r="O18" i="34" s="1"/>
  <c r="J87" i="34"/>
  <c r="I88" i="34"/>
  <c r="H88" i="34" s="1"/>
  <c r="K90" i="34"/>
  <c r="K91" i="34" s="1"/>
  <c r="M90" i="34"/>
  <c r="G93" i="34"/>
  <c r="D93" i="34"/>
  <c r="M18" i="34" l="1"/>
  <c r="S18" i="34"/>
  <c r="K87" i="34"/>
  <c r="K88" i="34" s="1"/>
  <c r="J88" i="34"/>
  <c r="K93" i="34"/>
  <c r="M94" i="34"/>
  <c r="D94" i="34"/>
  <c r="M93" i="34"/>
  <c r="L94" i="34"/>
  <c r="G95" i="34"/>
  <c r="G94" i="34"/>
  <c r="D95" i="34"/>
  <c r="J94" i="34" l="1"/>
  <c r="M95" i="34"/>
  <c r="D98" i="34"/>
  <c r="L95" i="34"/>
  <c r="G98" i="34"/>
  <c r="K94" i="34" l="1"/>
  <c r="J95" i="34"/>
  <c r="K95" i="34" s="1"/>
  <c r="M98" i="34"/>
  <c r="G99" i="34"/>
  <c r="D99" i="34"/>
  <c r="J96" i="34" l="1"/>
  <c r="O10" i="34" s="1"/>
  <c r="K96" i="34"/>
  <c r="J99" i="34"/>
  <c r="M99" i="34"/>
  <c r="L99" i="34"/>
  <c r="G100" i="34"/>
  <c r="D100" i="34"/>
  <c r="M10" i="34" l="1"/>
  <c r="S10" i="34"/>
  <c r="K99" i="34"/>
  <c r="J100" i="34"/>
  <c r="J101" i="34"/>
  <c r="G103" i="34"/>
  <c r="D103" i="34"/>
  <c r="L100" i="34"/>
  <c r="M100" i="34"/>
  <c r="K101" i="34" l="1"/>
  <c r="N22" i="34" s="1"/>
  <c r="K100" i="34"/>
  <c r="K103" i="34"/>
  <c r="D104" i="34"/>
  <c r="G104" i="34"/>
  <c r="M103" i="34"/>
  <c r="L22" i="34" l="1"/>
  <c r="R22" i="34"/>
  <c r="M104" i="34"/>
  <c r="L104" i="34"/>
  <c r="G107" i="34"/>
  <c r="D107" i="34"/>
  <c r="J104" i="34" l="1"/>
  <c r="K107" i="34"/>
  <c r="D108" i="34"/>
  <c r="D109" i="34"/>
  <c r="M107" i="34"/>
  <c r="L108" i="34"/>
  <c r="G108" i="34"/>
  <c r="M108" i="34"/>
  <c r="G109" i="34"/>
  <c r="K104" i="34" l="1"/>
  <c r="K105" i="34" s="1"/>
  <c r="J105" i="34"/>
  <c r="O15" i="34" s="1"/>
  <c r="J108" i="34"/>
  <c r="L109" i="34"/>
  <c r="M109" i="34"/>
  <c r="G110" i="34"/>
  <c r="D110" i="34"/>
  <c r="K108" i="34" l="1"/>
  <c r="M15" i="34"/>
  <c r="S15" i="34"/>
  <c r="J109" i="34"/>
  <c r="K109" i="34" s="1"/>
  <c r="L110" i="34"/>
  <c r="G111" i="34"/>
  <c r="M110" i="34"/>
  <c r="D111" i="34"/>
  <c r="J110" i="34" l="1"/>
  <c r="K110" i="34" s="1"/>
  <c r="M111" i="34"/>
  <c r="L111" i="34"/>
  <c r="D112" i="34"/>
  <c r="G112" i="34"/>
  <c r="J111" i="34" l="1"/>
  <c r="K111" i="34" s="1"/>
  <c r="M112" i="34"/>
  <c r="L112" i="34"/>
  <c r="G113" i="34"/>
  <c r="D113" i="34"/>
  <c r="J112" i="34" l="1"/>
  <c r="M113" i="34"/>
  <c r="G116" i="34"/>
  <c r="D116" i="34"/>
  <c r="L113" i="34"/>
  <c r="K112" i="34" l="1"/>
  <c r="J114" i="34"/>
  <c r="O25" i="34" s="1"/>
  <c r="J113" i="34"/>
  <c r="K113" i="34" s="1"/>
  <c r="K116" i="34"/>
  <c r="G117" i="34"/>
  <c r="L117" i="34"/>
  <c r="H117" i="34"/>
  <c r="M116" i="34"/>
  <c r="D118" i="34"/>
  <c r="G118" i="34"/>
  <c r="D117" i="34"/>
  <c r="M117" i="34"/>
  <c r="M25" i="34" l="1"/>
  <c r="S25" i="34"/>
  <c r="K114" i="34"/>
  <c r="I117" i="34"/>
  <c r="H118" i="34"/>
  <c r="G121" i="34"/>
  <c r="M118" i="34"/>
  <c r="D121" i="34"/>
  <c r="L118" i="34"/>
  <c r="J117" i="34" l="1"/>
  <c r="I118" i="34"/>
  <c r="J118" i="34" s="1"/>
  <c r="K118" i="34" s="1"/>
  <c r="F122" i="34"/>
  <c r="M121" i="34"/>
  <c r="L121" i="34"/>
  <c r="H121" i="34"/>
  <c r="G124" i="34"/>
  <c r="D124" i="34"/>
  <c r="I119" i="34" l="1"/>
  <c r="H119" i="34" s="1"/>
  <c r="F28" i="34" s="1"/>
  <c r="K117" i="34"/>
  <c r="K119" i="34" s="1"/>
  <c r="J119" i="34"/>
  <c r="O28" i="34" s="1"/>
  <c r="I121" i="34"/>
  <c r="D125" i="34"/>
  <c r="G125" i="34"/>
  <c r="M124" i="34"/>
  <c r="S28" i="34" l="1"/>
  <c r="M28" i="34"/>
  <c r="N28" i="34"/>
  <c r="R28" i="34" s="1"/>
  <c r="L28" i="34"/>
  <c r="I122" i="34"/>
  <c r="H122" i="34" s="1"/>
  <c r="J121" i="34"/>
  <c r="J125" i="34"/>
  <c r="J126" i="34"/>
  <c r="L125" i="34"/>
  <c r="G128" i="34"/>
  <c r="M125" i="34"/>
  <c r="D128" i="34"/>
  <c r="K125" i="34" l="1"/>
  <c r="K126" i="34" s="1"/>
  <c r="N16" i="34" s="1"/>
  <c r="J122" i="34"/>
  <c r="K121" i="34"/>
  <c r="K122" i="34" s="1"/>
  <c r="M128" i="34"/>
  <c r="D129" i="34"/>
  <c r="G129" i="34"/>
  <c r="R16" i="34" l="1"/>
  <c r="L16" i="34"/>
  <c r="J129" i="34"/>
  <c r="J130" i="34"/>
  <c r="L129" i="34"/>
  <c r="M129" i="34"/>
  <c r="G132" i="34"/>
  <c r="D132" i="34"/>
  <c r="K129" i="34" l="1"/>
  <c r="K130" i="34" s="1"/>
  <c r="N6" i="34" s="1"/>
  <c r="M132" i="34"/>
  <c r="D133" i="34"/>
  <c r="G133" i="34"/>
  <c r="R6" i="34" l="1"/>
  <c r="L6" i="34"/>
  <c r="J133" i="34"/>
  <c r="J134" i="34"/>
  <c r="L133" i="34"/>
  <c r="G136" i="34"/>
  <c r="M133" i="34"/>
  <c r="D136" i="34"/>
  <c r="K133" i="34" l="1"/>
  <c r="K134" i="34" s="1"/>
  <c r="N8" i="34" s="1"/>
  <c r="L137" i="34"/>
  <c r="H137" i="34"/>
  <c r="G137" i="34"/>
  <c r="G138" i="34"/>
  <c r="D137" i="34"/>
  <c r="M136" i="34"/>
  <c r="D138" i="34"/>
  <c r="M137" i="34"/>
  <c r="R8" i="34" l="1"/>
  <c r="L8" i="34"/>
  <c r="I137" i="34"/>
  <c r="J137" i="34" s="1"/>
  <c r="K137" i="34" s="1"/>
  <c r="L138" i="34"/>
  <c r="H138" i="34"/>
  <c r="D139" i="34"/>
  <c r="M138" i="34"/>
  <c r="G139" i="34"/>
  <c r="I138" i="34" l="1"/>
  <c r="J138" i="34" s="1"/>
  <c r="K138" i="34" s="1"/>
  <c r="L139" i="34"/>
  <c r="D140" i="34"/>
  <c r="M139" i="34"/>
  <c r="H139" i="34"/>
  <c r="G140" i="34"/>
  <c r="I139" i="34" l="1"/>
  <c r="J139" i="34" s="1"/>
  <c r="K139" i="34" s="1"/>
  <c r="G141" i="34"/>
  <c r="L140" i="34"/>
  <c r="D141" i="34"/>
  <c r="H140" i="34"/>
  <c r="M140" i="34"/>
  <c r="I140" i="34" l="1"/>
  <c r="J140" i="34" s="1"/>
  <c r="K140" i="34" s="1"/>
  <c r="L141" i="34"/>
  <c r="G144" i="34"/>
  <c r="D144" i="34"/>
  <c r="M141" i="34"/>
  <c r="H141" i="34"/>
  <c r="I141" i="34" l="1"/>
  <c r="I144" i="34"/>
  <c r="F145" i="34"/>
  <c r="I145" i="34"/>
  <c r="H145" i="34" s="1"/>
  <c r="L144" i="34"/>
  <c r="G147" i="34"/>
  <c r="D147" i="34"/>
  <c r="M144" i="34"/>
  <c r="J141" i="34" l="1"/>
  <c r="I142" i="34"/>
  <c r="J144" i="34"/>
  <c r="I147" i="34"/>
  <c r="F148" i="34"/>
  <c r="I148" i="34"/>
  <c r="H148" i="34" s="1"/>
  <c r="M147" i="34"/>
  <c r="L147" i="34"/>
  <c r="G150" i="34"/>
  <c r="D150" i="34"/>
  <c r="K141" i="34" l="1"/>
  <c r="K142" i="34" s="1"/>
  <c r="N11" i="34" s="1"/>
  <c r="J142" i="34"/>
  <c r="J147" i="34"/>
  <c r="J145" i="34"/>
  <c r="K144" i="34"/>
  <c r="K145" i="34" s="1"/>
  <c r="I150" i="34"/>
  <c r="I151" i="34" s="1"/>
  <c r="H151" i="34" s="1"/>
  <c r="F151" i="34"/>
  <c r="D153" i="34"/>
  <c r="M150" i="34"/>
  <c r="G153" i="34"/>
  <c r="L150" i="34"/>
  <c r="R11" i="34" l="1"/>
  <c r="L11" i="34"/>
  <c r="J150" i="34"/>
  <c r="J148" i="34"/>
  <c r="K147" i="34"/>
  <c r="K148" i="34" s="1"/>
  <c r="I153" i="34"/>
  <c r="F154" i="34"/>
  <c r="G156" i="34"/>
  <c r="L153" i="34"/>
  <c r="M153" i="34"/>
  <c r="D156" i="34"/>
  <c r="J153" i="34" l="1"/>
  <c r="I154" i="34"/>
  <c r="H154" i="34" s="1"/>
  <c r="J151" i="34"/>
  <c r="K150" i="34"/>
  <c r="K151" i="34" s="1"/>
  <c r="I156" i="34"/>
  <c r="I157" i="34" s="1"/>
  <c r="H157" i="34" s="1"/>
  <c r="F157" i="34"/>
  <c r="G159" i="34"/>
  <c r="D159" i="34"/>
  <c r="L156" i="34"/>
  <c r="M156" i="34"/>
  <c r="J156" i="34" l="1"/>
  <c r="K153" i="34"/>
  <c r="K154" i="34" s="1"/>
  <c r="J154" i="34"/>
  <c r="I159" i="34"/>
  <c r="I160" i="34" s="1"/>
  <c r="H160" i="34" s="1"/>
  <c r="F160" i="34"/>
  <c r="G162" i="34"/>
  <c r="D162" i="34"/>
  <c r="M159" i="34"/>
  <c r="L159" i="34"/>
  <c r="J159" i="34" l="1"/>
  <c r="J157" i="34"/>
  <c r="K156" i="34"/>
  <c r="K157" i="34" s="1"/>
  <c r="I162" i="34"/>
  <c r="I163" i="34" s="1"/>
  <c r="H163" i="34" s="1"/>
  <c r="F163" i="34"/>
  <c r="M162" i="34"/>
  <c r="D165" i="34"/>
  <c r="G165" i="34"/>
  <c r="L162" i="34"/>
  <c r="J162" i="34" l="1"/>
  <c r="J160" i="34"/>
  <c r="K159" i="34"/>
  <c r="K160" i="34" s="1"/>
  <c r="I165" i="34"/>
  <c r="J165" i="34"/>
  <c r="J166" i="34" s="1"/>
  <c r="F166" i="34"/>
  <c r="I166" i="34"/>
  <c r="H166" i="34"/>
  <c r="M165" i="34"/>
  <c r="L165" i="34"/>
  <c r="G168" i="34"/>
  <c r="D168" i="34"/>
  <c r="K165" i="34" l="1"/>
  <c r="K166" i="34" s="1"/>
  <c r="J163" i="34"/>
  <c r="K162" i="34"/>
  <c r="K163" i="34" s="1"/>
  <c r="I168" i="34"/>
  <c r="I169" i="34" s="1"/>
  <c r="H169" i="34" s="1"/>
  <c r="F169" i="34"/>
  <c r="L168" i="34"/>
  <c r="G171" i="34"/>
  <c r="D171" i="34"/>
  <c r="M168" i="34"/>
  <c r="J168" i="34" l="1"/>
  <c r="I171" i="34"/>
  <c r="J171" i="34"/>
  <c r="F172" i="34"/>
  <c r="I172" i="34"/>
  <c r="H172" i="34" s="1"/>
  <c r="J172" i="34"/>
  <c r="D174" i="34"/>
  <c r="G174" i="34"/>
  <c r="L171" i="34"/>
  <c r="M171" i="34"/>
  <c r="K171" i="34" l="1"/>
  <c r="K172" i="34" s="1"/>
  <c r="J169" i="34"/>
  <c r="K168" i="34"/>
  <c r="K169" i="34" s="1"/>
  <c r="I174" i="34"/>
  <c r="I175" i="34" s="1"/>
  <c r="H175" i="34" s="1"/>
  <c r="J174" i="34"/>
  <c r="J175" i="34" s="1"/>
  <c r="F175" i="34"/>
  <c r="L174" i="34"/>
  <c r="D177" i="34"/>
  <c r="M174" i="34"/>
  <c r="G177" i="34"/>
  <c r="K174" i="34" l="1"/>
  <c r="K175" i="34" s="1"/>
  <c r="I177" i="34"/>
  <c r="J177" i="34"/>
  <c r="J178" i="34" s="1"/>
  <c r="F178" i="34"/>
  <c r="I178" i="34"/>
  <c r="H178" i="34" s="1"/>
  <c r="G180" i="34"/>
  <c r="D180" i="34"/>
  <c r="L177" i="34"/>
  <c r="M177" i="34"/>
  <c r="K177" i="34" l="1"/>
  <c r="K178" i="34" s="1"/>
  <c r="I180" i="34"/>
  <c r="J180" i="34"/>
  <c r="J181" i="34" s="1"/>
  <c r="F181" i="34"/>
  <c r="I181" i="34"/>
  <c r="H181" i="34" s="1"/>
  <c r="D183" i="34"/>
  <c r="M180" i="34"/>
  <c r="G183" i="34"/>
  <c r="L180" i="34"/>
  <c r="K180" i="34" l="1"/>
  <c r="K181" i="34" s="1"/>
  <c r="I183" i="34"/>
  <c r="J183" i="34"/>
  <c r="J184" i="34" s="1"/>
  <c r="F184" i="34"/>
  <c r="I184" i="34"/>
  <c r="H184" i="34" s="1"/>
  <c r="D186" i="34"/>
  <c r="M183" i="34"/>
  <c r="L183" i="34"/>
  <c r="G186" i="34"/>
  <c r="K183" i="34" l="1"/>
  <c r="K184" i="34" s="1"/>
  <c r="I186" i="34"/>
  <c r="J186" i="34"/>
  <c r="J187" i="34" s="1"/>
  <c r="F187" i="34"/>
  <c r="I187" i="34"/>
  <c r="H187" i="34" s="1"/>
  <c r="D189" i="34"/>
  <c r="L186" i="34"/>
  <c r="M186" i="34"/>
  <c r="G189" i="34"/>
  <c r="K186" i="34" l="1"/>
  <c r="K187" i="34" s="1"/>
  <c r="I190" i="34"/>
  <c r="I192" i="34"/>
  <c r="J192" i="34"/>
  <c r="F193" i="34"/>
  <c r="H193" i="34"/>
  <c r="I193" i="34"/>
  <c r="J193" i="34"/>
  <c r="M189" i="34"/>
  <c r="G192" i="34"/>
  <c r="D192" i="34"/>
  <c r="M192" i="34"/>
  <c r="G195" i="34"/>
  <c r="L192" i="34"/>
  <c r="D195" i="34"/>
  <c r="K192" i="34" l="1"/>
  <c r="K193" i="34" s="1"/>
  <c r="K195" i="34"/>
  <c r="L196" i="34"/>
  <c r="G197" i="34"/>
  <c r="H196" i="34"/>
  <c r="M195" i="34"/>
  <c r="D196" i="34"/>
  <c r="M196" i="34"/>
  <c r="D197" i="34"/>
  <c r="G196" i="34"/>
  <c r="I196" i="34" l="1"/>
  <c r="L197" i="34"/>
  <c r="M197" i="34"/>
  <c r="H197" i="34"/>
  <c r="G198" i="34"/>
  <c r="D198" i="34"/>
  <c r="J196" i="34" l="1"/>
  <c r="I197" i="34"/>
  <c r="J197" i="34" s="1"/>
  <c r="K197" i="34" s="1"/>
  <c r="H198" i="34"/>
  <c r="G199" i="34"/>
  <c r="L198" i="34"/>
  <c r="M198" i="34"/>
  <c r="D199" i="34"/>
  <c r="K196" i="34" l="1"/>
  <c r="I198" i="34"/>
  <c r="J198" i="34" s="1"/>
  <c r="K198" i="34" s="1"/>
  <c r="L199" i="34"/>
  <c r="D200" i="34"/>
  <c r="H199" i="34"/>
  <c r="M199" i="34"/>
  <c r="G200" i="34"/>
  <c r="I199" i="34" l="1"/>
  <c r="J199" i="34" s="1"/>
  <c r="K199" i="34" s="1"/>
  <c r="G203" i="34"/>
  <c r="L200" i="34"/>
  <c r="M200" i="34"/>
  <c r="H200" i="34"/>
  <c r="D203" i="34"/>
  <c r="J201" i="34" l="1"/>
  <c r="O14" i="34" s="1"/>
  <c r="I200" i="34"/>
  <c r="J200" i="34" s="1"/>
  <c r="K200" i="34" s="1"/>
  <c r="K201" i="34" s="1"/>
  <c r="I203" i="34"/>
  <c r="J203" i="34"/>
  <c r="J204" i="34" s="1"/>
  <c r="F204" i="34"/>
  <c r="H204" i="34"/>
  <c r="I204" i="34"/>
  <c r="G206" i="34"/>
  <c r="L203" i="34"/>
  <c r="M203" i="34"/>
  <c r="D206" i="34"/>
  <c r="S14" i="34" l="1"/>
  <c r="M14" i="34"/>
  <c r="I201" i="34"/>
  <c r="H201" i="34" s="1"/>
  <c r="F14" i="34" s="1"/>
  <c r="K203" i="34"/>
  <c r="K204" i="34" s="1"/>
  <c r="I206" i="34"/>
  <c r="J206" i="34" s="1"/>
  <c r="F207" i="34"/>
  <c r="H207" i="34"/>
  <c r="I207" i="34"/>
  <c r="L206" i="34"/>
  <c r="M206" i="34"/>
  <c r="G209" i="34"/>
  <c r="D209" i="34"/>
  <c r="N14" i="34" l="1"/>
  <c r="R14" i="34" s="1"/>
  <c r="L14" i="34"/>
  <c r="J207" i="34"/>
  <c r="K206" i="34"/>
  <c r="K207" i="34" s="1"/>
  <c r="I209" i="34"/>
  <c r="I210" i="34" s="1"/>
  <c r="F210" i="34"/>
  <c r="H210" i="34"/>
  <c r="G212" i="34"/>
  <c r="M209" i="34"/>
  <c r="L209" i="34"/>
  <c r="D212" i="34"/>
  <c r="J209" i="34" l="1"/>
  <c r="I212" i="34"/>
  <c r="F213" i="34"/>
  <c r="I213" i="34"/>
  <c r="M212" i="34"/>
  <c r="D215" i="34"/>
  <c r="L212" i="34"/>
  <c r="G215" i="34"/>
  <c r="J212" i="34" l="1"/>
  <c r="J210" i="34"/>
  <c r="K209" i="34"/>
  <c r="K210" i="34" s="1"/>
  <c r="K215" i="34"/>
  <c r="K216" i="34" s="1"/>
  <c r="M215" i="34"/>
  <c r="D218" i="34"/>
  <c r="G218" i="34"/>
  <c r="J213" i="34" l="1"/>
  <c r="K212" i="34"/>
  <c r="K213" i="34" s="1"/>
  <c r="H219" i="34"/>
  <c r="L219" i="34"/>
  <c r="G219" i="34"/>
  <c r="M218" i="34"/>
  <c r="D219" i="34"/>
  <c r="D220" i="34"/>
  <c r="G220" i="34"/>
  <c r="M219" i="34"/>
  <c r="I219" i="34" l="1"/>
  <c r="M220" i="34"/>
  <c r="D221" i="34"/>
  <c r="L220" i="34"/>
  <c r="H220" i="34"/>
  <c r="G221" i="34"/>
  <c r="J219" i="34" l="1"/>
  <c r="K219" i="34" s="1"/>
  <c r="I220" i="34"/>
  <c r="J220" i="34" s="1"/>
  <c r="K220" i="34" s="1"/>
  <c r="H221" i="34"/>
  <c r="D222" i="34"/>
  <c r="M221" i="34"/>
  <c r="G222" i="34"/>
  <c r="L221" i="34"/>
  <c r="I221" i="34" l="1"/>
  <c r="M222" i="34"/>
  <c r="D223" i="34"/>
  <c r="L222" i="34"/>
  <c r="H222" i="34"/>
  <c r="G223" i="34"/>
  <c r="J221" i="34" l="1"/>
  <c r="K221" i="34" s="1"/>
  <c r="I222" i="34"/>
  <c r="J222" i="34" s="1"/>
  <c r="K222" i="34" s="1"/>
  <c r="M223" i="34"/>
  <c r="L223" i="34"/>
  <c r="H223" i="34"/>
  <c r="D226" i="34"/>
  <c r="G226" i="34"/>
  <c r="I223" i="34" l="1"/>
  <c r="J223" i="34" s="1"/>
  <c r="F227" i="34"/>
  <c r="H226" i="34"/>
  <c r="G229" i="34"/>
  <c r="D229" i="34"/>
  <c r="M226" i="34"/>
  <c r="L226" i="34"/>
  <c r="K223" i="34" l="1"/>
  <c r="K224" i="34" s="1"/>
  <c r="N7" i="34" s="1"/>
  <c r="J224" i="34"/>
  <c r="I224" i="34"/>
  <c r="H224" i="34" s="1"/>
  <c r="F7" i="34" s="1"/>
  <c r="I226" i="34"/>
  <c r="K229" i="34"/>
  <c r="M229" i="34"/>
  <c r="G230" i="34"/>
  <c r="D230" i="34"/>
  <c r="O7" i="34" l="1"/>
  <c r="S7" i="34" s="1"/>
  <c r="M7" i="34"/>
  <c r="R7" i="34"/>
  <c r="L7" i="34"/>
  <c r="I227" i="34"/>
  <c r="H227" i="34" s="1"/>
  <c r="J226" i="34"/>
  <c r="D233" i="34"/>
  <c r="M230" i="34"/>
  <c r="H230" i="34"/>
  <c r="G233" i="34"/>
  <c r="L230" i="34"/>
  <c r="I230" i="34" l="1"/>
  <c r="J227" i="34"/>
  <c r="K226" i="34"/>
  <c r="K227" i="34" s="1"/>
  <c r="K233" i="34"/>
  <c r="M233" i="34"/>
  <c r="M234" i="34"/>
  <c r="G234" i="34"/>
  <c r="L234" i="34"/>
  <c r="D234" i="34"/>
  <c r="D235" i="34"/>
  <c r="G235" i="34"/>
  <c r="J230" i="34" l="1"/>
  <c r="I231" i="34"/>
  <c r="H231" i="34" s="1"/>
  <c r="F5" i="34" s="1"/>
  <c r="J234" i="34"/>
  <c r="G236" i="34"/>
  <c r="L235" i="34"/>
  <c r="H235" i="34"/>
  <c r="D236" i="34"/>
  <c r="M235" i="34"/>
  <c r="L5" i="34" l="1"/>
  <c r="N5" i="34"/>
  <c r="R5" i="34" s="1"/>
  <c r="K234" i="34"/>
  <c r="K230" i="34"/>
  <c r="K231" i="34" s="1"/>
  <c r="J231" i="34"/>
  <c r="O5" i="34" s="1"/>
  <c r="I235" i="34"/>
  <c r="M236" i="34"/>
  <c r="L236" i="34"/>
  <c r="G237" i="34"/>
  <c r="H236" i="34"/>
  <c r="D237" i="34"/>
  <c r="M5" i="34" l="1"/>
  <c r="S5" i="34"/>
  <c r="J235" i="34"/>
  <c r="I236" i="34"/>
  <c r="J236" i="34" s="1"/>
  <c r="K236" i="34" s="1"/>
  <c r="M237" i="34"/>
  <c r="D238" i="34"/>
  <c r="L237" i="34"/>
  <c r="G238" i="34"/>
  <c r="H237" i="34"/>
  <c r="K235" i="34" l="1"/>
  <c r="I237" i="34"/>
  <c r="J237" i="34" s="1"/>
  <c r="K237" i="34" s="1"/>
  <c r="L238" i="34"/>
  <c r="M238" i="34"/>
  <c r="H238" i="34"/>
  <c r="D239" i="34"/>
  <c r="G239" i="34"/>
  <c r="I238" i="34" l="1"/>
  <c r="J238" i="34" s="1"/>
  <c r="D243" i="34"/>
  <c r="G243" i="34"/>
  <c r="H239" i="34"/>
  <c r="M239" i="34"/>
  <c r="L239" i="34"/>
  <c r="K238" i="34" l="1"/>
  <c r="I239" i="34"/>
  <c r="D244" i="34"/>
  <c r="G244" i="34"/>
  <c r="H243" i="34"/>
  <c r="M243" i="34"/>
  <c r="L243" i="34"/>
  <c r="J239" i="34" l="1"/>
  <c r="I240" i="34"/>
  <c r="H240" i="34" s="1"/>
  <c r="F27" i="34" s="1"/>
  <c r="I243" i="34"/>
  <c r="J243" i="34" s="1"/>
  <c r="K243" i="34" s="1"/>
  <c r="H244" i="34"/>
  <c r="G245" i="34"/>
  <c r="L244" i="34"/>
  <c r="D245" i="34"/>
  <c r="M244" i="34"/>
  <c r="N27" i="34" l="1"/>
  <c r="R27" i="34" s="1"/>
  <c r="L27" i="34"/>
  <c r="K239" i="34"/>
  <c r="K240" i="34" s="1"/>
  <c r="J240" i="34"/>
  <c r="O27" i="34" s="1"/>
  <c r="I244" i="34"/>
  <c r="J244" i="34" s="1"/>
  <c r="K244" i="34" s="1"/>
  <c r="F246" i="34"/>
  <c r="I246" i="34"/>
  <c r="J246" i="34"/>
  <c r="K246" i="34"/>
  <c r="L245" i="34"/>
  <c r="G248" i="34"/>
  <c r="M245" i="34"/>
  <c r="D248" i="34"/>
  <c r="H245" i="34"/>
  <c r="S27" i="34" l="1"/>
  <c r="M27" i="34"/>
  <c r="H246" i="34"/>
  <c r="I245" i="34"/>
  <c r="J245" i="34" s="1"/>
  <c r="K245" i="34" s="1"/>
  <c r="F249" i="34"/>
  <c r="M248" i="34"/>
  <c r="H248" i="34"/>
  <c r="G251" i="34"/>
  <c r="L248" i="34"/>
  <c r="D251" i="34"/>
  <c r="I248" i="34" l="1"/>
  <c r="L251" i="34"/>
  <c r="D252" i="34"/>
  <c r="H251" i="34"/>
  <c r="M251" i="34"/>
  <c r="G252" i="34"/>
  <c r="I251" i="34" l="1"/>
  <c r="J251" i="34" s="1"/>
  <c r="K251" i="34" s="1"/>
  <c r="I249" i="34"/>
  <c r="H249" i="34" s="1"/>
  <c r="J248" i="34"/>
  <c r="M252" i="34"/>
  <c r="D253" i="34"/>
  <c r="H252" i="34"/>
  <c r="G253" i="34"/>
  <c r="L252" i="34"/>
  <c r="I252" i="34" l="1"/>
  <c r="J252" i="34" s="1"/>
  <c r="K252" i="34" s="1"/>
  <c r="J249" i="34"/>
  <c r="K248" i="34"/>
  <c r="K249" i="34" s="1"/>
  <c r="M253" i="34"/>
  <c r="L253" i="34"/>
  <c r="H253" i="34"/>
  <c r="G254" i="34"/>
  <c r="D254" i="34"/>
  <c r="I253" i="34" l="1"/>
  <c r="J253" i="34" s="1"/>
  <c r="K253" i="34" s="1"/>
  <c r="F255" i="34"/>
  <c r="D257" i="34"/>
  <c r="M254" i="34"/>
  <c r="H254" i="34"/>
  <c r="L254" i="34"/>
  <c r="G257" i="34"/>
  <c r="I254" i="34" l="1"/>
  <c r="K257" i="34"/>
  <c r="G259" i="34"/>
  <c r="D258" i="34"/>
  <c r="L258" i="34"/>
  <c r="M258" i="34"/>
  <c r="M257" i="34"/>
  <c r="G258" i="34"/>
  <c r="D259" i="34"/>
  <c r="J254" i="34" l="1"/>
  <c r="I255" i="34"/>
  <c r="J258" i="34"/>
  <c r="L259" i="34"/>
  <c r="D262" i="34"/>
  <c r="M259" i="34"/>
  <c r="G262" i="34"/>
  <c r="K258" i="34" l="1"/>
  <c r="K254" i="34"/>
  <c r="K255" i="34" s="1"/>
  <c r="J255" i="34"/>
  <c r="J259" i="34"/>
  <c r="K259" i="34" s="1"/>
  <c r="I262" i="34"/>
  <c r="M262" i="34"/>
  <c r="L262" i="34"/>
  <c r="G263" i="34"/>
  <c r="D263" i="34"/>
  <c r="J260" i="34" l="1"/>
  <c r="O19" i="34" s="1"/>
  <c r="K260" i="34"/>
  <c r="J262" i="34"/>
  <c r="K262" i="34" s="1"/>
  <c r="I263" i="34"/>
  <c r="G264" i="34"/>
  <c r="D264" i="34"/>
  <c r="M263" i="34"/>
  <c r="L263" i="34"/>
  <c r="S19" i="34" l="1"/>
  <c r="M19" i="34"/>
  <c r="J263" i="34"/>
  <c r="K263" i="34" s="1"/>
  <c r="I264" i="34"/>
  <c r="F265" i="34"/>
  <c r="I265" i="34"/>
  <c r="H265" i="34" s="1"/>
  <c r="L264" i="34"/>
  <c r="M264" i="34"/>
  <c r="D267" i="34"/>
  <c r="G267" i="34"/>
  <c r="J265" i="34" l="1"/>
  <c r="J264" i="34"/>
  <c r="K264" i="34" s="1"/>
  <c r="K265" i="34" s="1"/>
  <c r="L267" i="34"/>
  <c r="M267" i="34"/>
  <c r="D268" i="34"/>
  <c r="G268" i="34"/>
  <c r="H267" i="34"/>
  <c r="I267" i="34" l="1"/>
  <c r="J267" i="34" s="1"/>
  <c r="K267" i="34" s="1"/>
  <c r="D269" i="34"/>
  <c r="L268" i="34"/>
  <c r="H268" i="34"/>
  <c r="M268" i="34"/>
  <c r="G269" i="34"/>
  <c r="I268" i="34" l="1"/>
  <c r="J268" i="34" s="1"/>
  <c r="K268" i="34" s="1"/>
  <c r="L269" i="34"/>
  <c r="M269" i="34"/>
  <c r="H269" i="34"/>
  <c r="G270" i="34"/>
  <c r="D270" i="34"/>
  <c r="I269" i="34" l="1"/>
  <c r="J269" i="34" s="1"/>
  <c r="K269" i="34" s="1"/>
  <c r="D271" i="34"/>
  <c r="G271" i="34"/>
  <c r="H270" i="34"/>
  <c r="M270" i="34"/>
  <c r="L270" i="34"/>
  <c r="I270" i="34" l="1"/>
  <c r="J270" i="34" s="1"/>
  <c r="K270" i="34" s="1"/>
  <c r="L271" i="34"/>
  <c r="G272" i="34"/>
  <c r="H271" i="34"/>
  <c r="M271" i="34"/>
  <c r="D272" i="34"/>
  <c r="I271" i="34" l="1"/>
  <c r="J271" i="34" s="1"/>
  <c r="K271" i="34" s="1"/>
  <c r="L272" i="34"/>
  <c r="G273" i="34"/>
  <c r="M272" i="34"/>
  <c r="H272" i="34"/>
  <c r="D273" i="34"/>
  <c r="I272" i="34" l="1"/>
  <c r="J272" i="34" s="1"/>
  <c r="K272" i="34" s="1"/>
  <c r="M273" i="34"/>
  <c r="D274" i="34"/>
  <c r="L273" i="34"/>
  <c r="H273" i="34"/>
  <c r="G274" i="34"/>
  <c r="I273" i="34" l="1"/>
  <c r="J273" i="34" s="1"/>
  <c r="K273" i="34" s="1"/>
  <c r="D275" i="34"/>
  <c r="L274" i="34"/>
  <c r="M274" i="34"/>
  <c r="H274" i="34"/>
  <c r="G275" i="34"/>
  <c r="I274" i="34" l="1"/>
  <c r="J274" i="34" s="1"/>
  <c r="K274" i="34" s="1"/>
  <c r="F276" i="34"/>
  <c r="L275" i="34"/>
  <c r="G278" i="34"/>
  <c r="M275" i="34"/>
  <c r="D278" i="34"/>
  <c r="H275" i="34"/>
  <c r="I275" i="34" l="1"/>
  <c r="F279" i="34"/>
  <c r="H278" i="34"/>
  <c r="G281" i="34"/>
  <c r="D281" i="34"/>
  <c r="L278" i="34"/>
  <c r="M278" i="34"/>
  <c r="J275" i="34" l="1"/>
  <c r="I276" i="34"/>
  <c r="I278" i="34"/>
  <c r="D282" i="34"/>
  <c r="G282" i="34"/>
  <c r="H281" i="34"/>
  <c r="L281" i="34"/>
  <c r="M281" i="34"/>
  <c r="K275" i="34" l="1"/>
  <c r="K276" i="34" s="1"/>
  <c r="J276" i="34"/>
  <c r="I281" i="34"/>
  <c r="J281" i="34" s="1"/>
  <c r="K281" i="34" s="1"/>
  <c r="I279" i="34"/>
  <c r="H279" i="34" s="1"/>
  <c r="J278" i="34"/>
  <c r="L282" i="34"/>
  <c r="H282" i="34"/>
  <c r="G283" i="34"/>
  <c r="M282" i="34"/>
  <c r="D283" i="34"/>
  <c r="I282" i="34" l="1"/>
  <c r="J282" i="34" s="1"/>
  <c r="K282" i="34" s="1"/>
  <c r="K278" i="34"/>
  <c r="K279" i="34" s="1"/>
  <c r="J279" i="34"/>
  <c r="F284" i="34"/>
  <c r="H283" i="34"/>
  <c r="L283" i="34"/>
  <c r="G286" i="34"/>
  <c r="D286" i="34"/>
  <c r="M283" i="34"/>
  <c r="I283" i="34" l="1"/>
  <c r="F287" i="34"/>
  <c r="G291" i="34"/>
  <c r="H286" i="34"/>
  <c r="M286" i="34"/>
  <c r="G290" i="34"/>
  <c r="D290" i="34"/>
  <c r="D291" i="34"/>
  <c r="L286" i="34"/>
  <c r="J283" i="34" l="1"/>
  <c r="I284" i="34"/>
  <c r="H284" i="34" s="1"/>
  <c r="I286" i="34"/>
  <c r="L291" i="34"/>
  <c r="M291" i="34"/>
  <c r="H291" i="34"/>
  <c r="D292" i="34"/>
  <c r="G292" i="34"/>
  <c r="K283" i="34" l="1"/>
  <c r="K284" i="34" s="1"/>
  <c r="J284" i="34"/>
  <c r="I291" i="34"/>
  <c r="I287" i="34"/>
  <c r="H287" i="34" s="1"/>
  <c r="J286" i="34"/>
  <c r="G293" i="34"/>
  <c r="M292" i="34"/>
  <c r="L292" i="34"/>
  <c r="D293" i="34"/>
  <c r="H292" i="34"/>
  <c r="J291" i="34" l="1"/>
  <c r="I292" i="34"/>
  <c r="J292" i="34" s="1"/>
  <c r="K292" i="34" s="1"/>
  <c r="J287" i="34"/>
  <c r="K286" i="34"/>
  <c r="K287" i="34" s="1"/>
  <c r="G294" i="34"/>
  <c r="M293" i="34"/>
  <c r="L293" i="34"/>
  <c r="H293" i="34"/>
  <c r="D294" i="34"/>
  <c r="K291" i="34" l="1"/>
  <c r="I293" i="34"/>
  <c r="G295" i="34"/>
  <c r="H294" i="34"/>
  <c r="L294" i="34"/>
  <c r="M294" i="34"/>
  <c r="D295" i="34"/>
  <c r="J293" i="34" l="1"/>
  <c r="I294" i="34"/>
  <c r="J294" i="34" s="1"/>
  <c r="K294" i="34" s="1"/>
  <c r="D298" i="34"/>
  <c r="M295" i="34"/>
  <c r="L295" i="34"/>
  <c r="H295" i="34"/>
  <c r="G298" i="34"/>
  <c r="K293" i="34" l="1"/>
  <c r="I295" i="34"/>
  <c r="J295" i="34" s="1"/>
  <c r="K295" i="34" s="1"/>
  <c r="K298" i="34"/>
  <c r="K299" i="34" s="1"/>
  <c r="M298" i="34"/>
  <c r="D301" i="34"/>
  <c r="G301" i="34"/>
  <c r="J296" i="34" l="1"/>
  <c r="O4" i="34" s="1"/>
  <c r="K296" i="34"/>
  <c r="N4" i="34" s="1"/>
  <c r="I296" i="34"/>
  <c r="H296" i="34" s="1"/>
  <c r="F4" i="34" s="1"/>
  <c r="K301" i="34"/>
  <c r="K302" i="34" s="1"/>
  <c r="D305" i="34"/>
  <c r="D304" i="34"/>
  <c r="M301" i="34"/>
  <c r="L304" i="34"/>
  <c r="G305" i="34"/>
  <c r="H304" i="34"/>
  <c r="M304" i="34"/>
  <c r="G304" i="34"/>
  <c r="L4" i="34" l="1"/>
  <c r="R4" i="34"/>
  <c r="M4" i="34"/>
  <c r="S4" i="34"/>
  <c r="I304" i="34"/>
  <c r="J304" i="34" s="1"/>
  <c r="K304" i="34" s="1"/>
  <c r="F306" i="34"/>
  <c r="L305" i="34"/>
  <c r="H305" i="34"/>
  <c r="D308" i="34"/>
  <c r="M305" i="34"/>
  <c r="G308" i="34"/>
  <c r="I305" i="34" l="1"/>
  <c r="J305" i="34" s="1"/>
  <c r="K305" i="34" s="1"/>
  <c r="K306" i="34" s="1"/>
  <c r="F309" i="34"/>
  <c r="M308" i="34"/>
  <c r="L308" i="34"/>
  <c r="G311" i="34"/>
  <c r="D311" i="34"/>
  <c r="H308" i="34"/>
  <c r="J306" i="34" l="1"/>
  <c r="I306" i="34"/>
  <c r="H306" i="34" s="1"/>
  <c r="I308" i="34"/>
  <c r="H311" i="34"/>
  <c r="M311" i="34"/>
  <c r="G312" i="34"/>
  <c r="D312" i="34"/>
  <c r="L311" i="34"/>
  <c r="I311" i="34" l="1"/>
  <c r="J311" i="34" s="1"/>
  <c r="K311" i="34" s="1"/>
  <c r="I309" i="34"/>
  <c r="H309" i="34" s="1"/>
  <c r="J308" i="34"/>
  <c r="M312" i="34"/>
  <c r="L312" i="34"/>
  <c r="D313" i="34"/>
  <c r="H312" i="34"/>
  <c r="G313" i="34"/>
  <c r="I312" i="34" l="1"/>
  <c r="J312" i="34" s="1"/>
  <c r="K312" i="34" s="1"/>
  <c r="J309" i="34"/>
  <c r="K308" i="34"/>
  <c r="K309" i="34" s="1"/>
  <c r="L313" i="34"/>
  <c r="M313" i="34"/>
  <c r="D314" i="34"/>
  <c r="H313" i="34"/>
  <c r="G314" i="34"/>
  <c r="I313" i="34" l="1"/>
  <c r="J313" i="34" s="1"/>
  <c r="K313" i="34" s="1"/>
  <c r="M314" i="34"/>
  <c r="D315" i="34"/>
  <c r="H314" i="34"/>
  <c r="L314" i="34"/>
  <c r="G315" i="34"/>
  <c r="I314" i="34" l="1"/>
  <c r="J314" i="34" s="1"/>
  <c r="K314" i="34" s="1"/>
  <c r="D316" i="34"/>
  <c r="M315" i="34"/>
  <c r="H315" i="34"/>
  <c r="L315" i="34"/>
  <c r="G316" i="34"/>
  <c r="I315" i="34" l="1"/>
  <c r="J315" i="34" s="1"/>
  <c r="K315" i="34" s="1"/>
  <c r="M316" i="34"/>
  <c r="G317" i="34"/>
  <c r="L316" i="34"/>
  <c r="H316" i="34"/>
  <c r="D317" i="34"/>
  <c r="I316" i="34" l="1"/>
  <c r="J316" i="34" s="1"/>
  <c r="K316" i="34" s="1"/>
  <c r="M317" i="34"/>
  <c r="G318" i="34"/>
  <c r="L317" i="34"/>
  <c r="H317" i="34"/>
  <c r="D318" i="34"/>
  <c r="I317" i="34" l="1"/>
  <c r="J317" i="34" s="1"/>
  <c r="K317" i="34" s="1"/>
  <c r="G319" i="34"/>
  <c r="M318" i="34"/>
  <c r="L318" i="34"/>
  <c r="H318" i="34"/>
  <c r="D319" i="34"/>
  <c r="I318" i="34" l="1"/>
  <c r="J318" i="34" s="1"/>
  <c r="K318" i="34" s="1"/>
  <c r="L319" i="34"/>
  <c r="D320" i="34"/>
  <c r="G320" i="34"/>
  <c r="H319" i="34"/>
  <c r="M319" i="34"/>
  <c r="I319" i="34" l="1"/>
  <c r="J319" i="34" s="1"/>
  <c r="K319" i="34" s="1"/>
  <c r="D321" i="34"/>
  <c r="L320" i="34"/>
  <c r="G321" i="34"/>
  <c r="H320" i="34"/>
  <c r="M320" i="34"/>
  <c r="I320" i="34" l="1"/>
  <c r="J320" i="34" s="1"/>
  <c r="K320" i="34" s="1"/>
  <c r="M321" i="34"/>
  <c r="H321" i="34"/>
  <c r="G322" i="34"/>
  <c r="L321" i="34"/>
  <c r="D322" i="34"/>
  <c r="I321" i="34" l="1"/>
  <c r="J321" i="34" s="1"/>
  <c r="K321" i="34" s="1"/>
  <c r="G323" i="34"/>
  <c r="M322" i="34"/>
  <c r="H322" i="34"/>
  <c r="L322" i="34"/>
  <c r="D323" i="34"/>
  <c r="I322" i="34" l="1"/>
  <c r="J322" i="34" s="1"/>
  <c r="K322" i="34" s="1"/>
  <c r="F324" i="34"/>
  <c r="L323" i="34"/>
  <c r="M323" i="34"/>
  <c r="H323" i="34"/>
  <c r="G326" i="34"/>
  <c r="D326" i="34"/>
  <c r="I323" i="34" l="1"/>
  <c r="L326" i="34"/>
  <c r="G327" i="34"/>
  <c r="H326" i="34"/>
  <c r="M326" i="34"/>
  <c r="D327" i="34"/>
  <c r="J323" i="34" l="1"/>
  <c r="I324" i="34"/>
  <c r="H324" i="34" s="1"/>
  <c r="I326" i="34"/>
  <c r="J326" i="34" s="1"/>
  <c r="K326" i="34" s="1"/>
  <c r="L327" i="34"/>
  <c r="M327" i="34"/>
  <c r="G328" i="34"/>
  <c r="D328" i="34"/>
  <c r="H327" i="34"/>
  <c r="K323" i="34" l="1"/>
  <c r="K324" i="34" s="1"/>
  <c r="J324" i="34"/>
  <c r="I327" i="34"/>
  <c r="J327" i="34" s="1"/>
  <c r="K327" i="34" s="1"/>
  <c r="D329" i="34"/>
  <c r="G329" i="34"/>
  <c r="L328" i="34"/>
  <c r="M328" i="34"/>
  <c r="H328" i="34"/>
  <c r="I328" i="34" l="1"/>
  <c r="J328" i="34" s="1"/>
  <c r="K328" i="34" s="1"/>
  <c r="D330" i="34"/>
  <c r="L329" i="34"/>
  <c r="H329" i="34"/>
  <c r="M329" i="34"/>
  <c r="G330" i="34"/>
  <c r="I329" i="34" l="1"/>
  <c r="J329" i="34" s="1"/>
  <c r="K329" i="34" s="1"/>
  <c r="D331" i="34"/>
  <c r="L330" i="34"/>
  <c r="G331" i="34"/>
  <c r="H330" i="34"/>
  <c r="M330" i="34"/>
  <c r="I330" i="34" l="1"/>
  <c r="J330" i="34" s="1"/>
  <c r="K330" i="34" s="1"/>
  <c r="D332" i="34"/>
  <c r="L331" i="34"/>
  <c r="H331" i="34"/>
  <c r="G332" i="34"/>
  <c r="M331" i="34"/>
  <c r="I331" i="34" l="1"/>
  <c r="J331" i="34" s="1"/>
  <c r="K331" i="34" s="1"/>
  <c r="D333" i="34"/>
  <c r="G333" i="34"/>
  <c r="M332" i="34"/>
  <c r="L332" i="34"/>
  <c r="H332" i="34"/>
  <c r="I332" i="34" l="1"/>
  <c r="J332" i="34" s="1"/>
  <c r="K332" i="34" s="1"/>
  <c r="M333" i="34"/>
  <c r="G334" i="34"/>
  <c r="H333" i="34"/>
  <c r="L333" i="34"/>
  <c r="D334" i="34"/>
  <c r="I333" i="34" l="1"/>
  <c r="J333" i="34" s="1"/>
  <c r="K333" i="34" s="1"/>
  <c r="M334" i="34"/>
  <c r="D335" i="34"/>
  <c r="L334" i="34"/>
  <c r="H334" i="34"/>
  <c r="G335" i="34"/>
  <c r="I334" i="34" l="1"/>
  <c r="J334" i="34" s="1"/>
  <c r="K334" i="34" s="1"/>
  <c r="M335" i="34"/>
  <c r="L335" i="34"/>
  <c r="G336" i="34"/>
  <c r="H335" i="34"/>
  <c r="D336" i="34"/>
  <c r="I335" i="34" l="1"/>
  <c r="J335" i="34" s="1"/>
  <c r="K335" i="34" s="1"/>
  <c r="F337" i="34"/>
  <c r="H336" i="34"/>
  <c r="L336" i="34"/>
  <c r="G339" i="34"/>
  <c r="D339" i="34"/>
  <c r="M336" i="34"/>
  <c r="I336" i="34" l="1"/>
  <c r="K339" i="34"/>
  <c r="K340" i="34" s="1"/>
  <c r="M339" i="34"/>
  <c r="D342" i="34"/>
  <c r="G342" i="34"/>
  <c r="J336" i="34" l="1"/>
  <c r="I337" i="34"/>
  <c r="H337" i="34" s="1"/>
  <c r="K342" i="34"/>
  <c r="L343" i="34"/>
  <c r="D344" i="34"/>
  <c r="G344" i="34"/>
  <c r="H343" i="34"/>
  <c r="M342" i="34"/>
  <c r="G343" i="34"/>
  <c r="M343" i="34"/>
  <c r="D343" i="34"/>
  <c r="K336" i="34" l="1"/>
  <c r="K337" i="34" s="1"/>
  <c r="J337" i="34"/>
  <c r="I343" i="34"/>
  <c r="M344" i="34"/>
  <c r="H344" i="34"/>
  <c r="D345" i="34"/>
  <c r="G345" i="34"/>
  <c r="L344" i="34"/>
  <c r="J343" i="34" l="1"/>
  <c r="I344" i="34"/>
  <c r="J344" i="34" s="1"/>
  <c r="K344" i="34" s="1"/>
  <c r="H345" i="34"/>
  <c r="L345" i="34"/>
  <c r="M345" i="34"/>
  <c r="D348" i="34"/>
  <c r="G348" i="34"/>
  <c r="K343" i="34" l="1"/>
  <c r="I345" i="34"/>
  <c r="J345" i="34" s="1"/>
  <c r="K345" i="34" s="1"/>
  <c r="L348" i="34"/>
  <c r="H348" i="34"/>
  <c r="M348" i="34"/>
  <c r="G349" i="34"/>
  <c r="D349" i="34"/>
  <c r="J346" i="34" l="1"/>
  <c r="O26" i="34" s="1"/>
  <c r="K346" i="34"/>
  <c r="I346" i="34"/>
  <c r="H346" i="34" s="1"/>
  <c r="F26" i="34" s="1"/>
  <c r="I348" i="34"/>
  <c r="J348" i="34" s="1"/>
  <c r="K348" i="34" s="1"/>
  <c r="F350" i="34"/>
  <c r="H349" i="34"/>
  <c r="G352" i="34"/>
  <c r="M349" i="34"/>
  <c r="D352" i="34"/>
  <c r="L349" i="34"/>
  <c r="L26" i="34" l="1"/>
  <c r="N26" i="34"/>
  <c r="R26" i="34" s="1"/>
  <c r="S26" i="34"/>
  <c r="M26" i="34"/>
  <c r="J350" i="34"/>
  <c r="I350" i="34"/>
  <c r="H350" i="34" s="1"/>
  <c r="I349" i="34"/>
  <c r="J349" i="34" s="1"/>
  <c r="K349" i="34" s="1"/>
  <c r="K350" i="34" s="1"/>
  <c r="M352" i="34"/>
  <c r="G353" i="34"/>
  <c r="L352" i="34"/>
  <c r="H352" i="34"/>
  <c r="D353" i="34"/>
  <c r="I352" i="34" l="1"/>
  <c r="J352" i="34" s="1"/>
  <c r="K352" i="34" s="1"/>
  <c r="F354" i="34"/>
  <c r="D357" i="34"/>
  <c r="G357" i="34"/>
  <c r="D356" i="34"/>
  <c r="L353" i="34"/>
  <c r="H353" i="34"/>
  <c r="G356" i="34"/>
  <c r="M353" i="34"/>
  <c r="I353" i="34" l="1"/>
  <c r="J353" i="34" s="1"/>
  <c r="K353" i="34" s="1"/>
  <c r="K354" i="34" s="1"/>
  <c r="D358" i="34"/>
  <c r="H357" i="34"/>
  <c r="L357" i="34"/>
  <c r="M357" i="34"/>
  <c r="G358" i="34"/>
  <c r="J354" i="34" l="1"/>
  <c r="I354" i="34"/>
  <c r="H354" i="34" s="1"/>
  <c r="I357" i="34"/>
  <c r="J357" i="34" s="1"/>
  <c r="G362" i="34"/>
  <c r="H358" i="34"/>
  <c r="M358" i="34"/>
  <c r="D362" i="34"/>
  <c r="L358" i="34"/>
  <c r="K357" i="34" l="1"/>
  <c r="I358" i="34"/>
  <c r="M362" i="34"/>
  <c r="H362" i="34"/>
  <c r="G363" i="34"/>
  <c r="D363" i="34"/>
  <c r="L362" i="34"/>
  <c r="J358" i="34" l="1"/>
  <c r="I359" i="34"/>
  <c r="I362" i="34"/>
  <c r="J362" i="34" s="1"/>
  <c r="K362" i="34" s="1"/>
  <c r="F364" i="34"/>
  <c r="D366" i="34"/>
  <c r="L363" i="34"/>
  <c r="G366" i="34"/>
  <c r="M363" i="34"/>
  <c r="H363" i="34"/>
  <c r="K358" i="34" l="1"/>
  <c r="K359" i="34" s="1"/>
  <c r="N9" i="34" s="1"/>
  <c r="J359" i="34"/>
  <c r="O9" i="34" s="1"/>
  <c r="I364" i="34"/>
  <c r="H364" i="34" s="1"/>
  <c r="I363" i="34"/>
  <c r="J363" i="34" s="1"/>
  <c r="K363" i="34" s="1"/>
  <c r="K364" i="34" s="1"/>
  <c r="K366" i="34"/>
  <c r="K367" i="34" s="1"/>
  <c r="M366" i="34"/>
  <c r="D369" i="34"/>
  <c r="G369" i="34"/>
  <c r="M9" i="34" l="1"/>
  <c r="S9" i="34"/>
  <c r="J364" i="34"/>
  <c r="R9" i="34"/>
  <c r="L9" i="34"/>
  <c r="F370" i="34"/>
  <c r="M369" i="34"/>
  <c r="D372" i="34"/>
  <c r="G372" i="34"/>
  <c r="H369" i="34"/>
  <c r="L369" i="34"/>
  <c r="I369" i="34" l="1"/>
  <c r="K372" i="34"/>
  <c r="G373" i="34"/>
  <c r="D373" i="34"/>
  <c r="M372" i="34"/>
  <c r="J369" i="34" l="1"/>
  <c r="I370" i="34"/>
  <c r="H370" i="34" s="1"/>
  <c r="G377" i="34"/>
  <c r="G376" i="34"/>
  <c r="L373" i="34"/>
  <c r="M373" i="34"/>
  <c r="D376" i="34"/>
  <c r="H373" i="34"/>
  <c r="D377" i="34"/>
  <c r="I373" i="34" l="1"/>
  <c r="J370" i="34"/>
  <c r="K369" i="34"/>
  <c r="K370" i="34" s="1"/>
  <c r="L377" i="34"/>
  <c r="M377" i="34"/>
  <c r="G378" i="34"/>
  <c r="D378" i="34"/>
  <c r="J373" i="34" l="1"/>
  <c r="I374" i="34"/>
  <c r="H374" i="34" s="1"/>
  <c r="F12" i="34" s="1"/>
  <c r="J377" i="34"/>
  <c r="G379" i="34"/>
  <c r="D379" i="34"/>
  <c r="M378" i="34"/>
  <c r="L378" i="34"/>
  <c r="K377" i="34" l="1"/>
  <c r="N12" i="34"/>
  <c r="L12" i="34"/>
  <c r="K373" i="34"/>
  <c r="K374" i="34" s="1"/>
  <c r="J374" i="34"/>
  <c r="O12" i="34" s="1"/>
  <c r="J378" i="34"/>
  <c r="K378" i="34" s="1"/>
  <c r="G380" i="34"/>
  <c r="D380" i="34"/>
  <c r="M379" i="34"/>
  <c r="H379" i="34"/>
  <c r="L379" i="34"/>
  <c r="S12" i="34" l="1"/>
  <c r="M12" i="34"/>
  <c r="R12" i="34"/>
  <c r="I379" i="34"/>
  <c r="M380" i="34"/>
  <c r="D381" i="34"/>
  <c r="G381" i="34"/>
  <c r="L380" i="34"/>
  <c r="H380" i="34"/>
  <c r="J379" i="34" l="1"/>
  <c r="I380" i="34"/>
  <c r="J380" i="34" s="1"/>
  <c r="K380" i="34" s="1"/>
  <c r="L381" i="34"/>
  <c r="H381" i="34"/>
  <c r="G384" i="34"/>
  <c r="D384" i="34"/>
  <c r="M381" i="34"/>
  <c r="K379" i="34" l="1"/>
  <c r="I381" i="34"/>
  <c r="H384" i="34"/>
  <c r="G385" i="34"/>
  <c r="D385" i="34"/>
  <c r="L384" i="34"/>
  <c r="M384" i="34"/>
  <c r="J381" i="34" l="1"/>
  <c r="I382" i="34"/>
  <c r="H382" i="34" s="1"/>
  <c r="F13" i="34" s="1"/>
  <c r="I384" i="34"/>
  <c r="J384" i="34" s="1"/>
  <c r="K384" i="34" s="1"/>
  <c r="L385" i="34"/>
  <c r="D386" i="34"/>
  <c r="H385" i="34"/>
  <c r="M385" i="34"/>
  <c r="G386" i="34"/>
  <c r="K381" i="34" l="1"/>
  <c r="K382" i="34" s="1"/>
  <c r="N13" i="34" s="1"/>
  <c r="J382" i="34"/>
  <c r="O13" i="34" s="1"/>
  <c r="I385" i="34"/>
  <c r="J385" i="34" s="1"/>
  <c r="K385" i="34" s="1"/>
  <c r="M386" i="34"/>
  <c r="L386" i="34"/>
  <c r="G387" i="34"/>
  <c r="D387" i="34"/>
  <c r="H386" i="34"/>
  <c r="M13" i="34" l="1"/>
  <c r="S13" i="34"/>
  <c r="S32" i="34" s="1"/>
  <c r="R13" i="34"/>
  <c r="R32" i="34" s="1"/>
  <c r="L13" i="34"/>
  <c r="N32" i="34"/>
  <c r="R33" i="34" s="1"/>
  <c r="I386" i="34"/>
  <c r="J386" i="34" s="1"/>
  <c r="K386" i="34" s="1"/>
  <c r="M387" i="34"/>
  <c r="H387" i="34"/>
  <c r="G388" i="34"/>
  <c r="L387" i="34"/>
  <c r="D388" i="34"/>
  <c r="I387" i="34" l="1"/>
  <c r="J387" i="34" s="1"/>
  <c r="K387" i="34" s="1"/>
  <c r="L388" i="34"/>
  <c r="G389" i="34"/>
  <c r="D389" i="34"/>
  <c r="M388" i="34"/>
  <c r="H388" i="34"/>
  <c r="I388" i="34" l="1"/>
  <c r="J388" i="34" s="1"/>
  <c r="K388" i="34" s="1"/>
  <c r="D390" i="34"/>
  <c r="M389" i="34"/>
  <c r="H389" i="34"/>
  <c r="L389" i="34"/>
  <c r="G390" i="34"/>
  <c r="I389" i="34" l="1"/>
  <c r="J389" i="34" s="1"/>
  <c r="K389" i="34" s="1"/>
  <c r="D391" i="34"/>
  <c r="M390" i="34"/>
  <c r="H390" i="34"/>
  <c r="L390" i="34"/>
  <c r="G391" i="34"/>
  <c r="I390" i="34" l="1"/>
  <c r="J390" i="34" s="1"/>
  <c r="K390" i="34" s="1"/>
  <c r="L391" i="34"/>
  <c r="D392" i="34"/>
  <c r="H391" i="34"/>
  <c r="M391" i="34"/>
  <c r="G392" i="34"/>
  <c r="I391" i="34" l="1"/>
  <c r="J391" i="34" s="1"/>
  <c r="K391" i="34" s="1"/>
  <c r="L392" i="34"/>
  <c r="D393" i="34"/>
  <c r="H392" i="34"/>
  <c r="M392" i="34"/>
  <c r="G393" i="34"/>
  <c r="I392" i="34" l="1"/>
  <c r="J392" i="34" s="1"/>
  <c r="K392" i="34" s="1"/>
  <c r="M393" i="34"/>
  <c r="G394" i="34"/>
  <c r="H393" i="34"/>
  <c r="L393" i="34"/>
  <c r="D394" i="34"/>
  <c r="I393" i="34" l="1"/>
  <c r="J393" i="34" s="1"/>
  <c r="K393" i="34" s="1"/>
  <c r="D395" i="34"/>
  <c r="L394" i="34"/>
  <c r="H394" i="34"/>
  <c r="M394" i="34"/>
  <c r="G395" i="34"/>
  <c r="I394" i="34" l="1"/>
  <c r="J394" i="34" s="1"/>
  <c r="K394" i="34" s="1"/>
  <c r="D396" i="34"/>
  <c r="L395" i="34"/>
  <c r="H395" i="34"/>
  <c r="M395" i="34"/>
  <c r="G396" i="34"/>
  <c r="I395" i="34" l="1"/>
  <c r="J395" i="34" s="1"/>
  <c r="K395" i="34" s="1"/>
  <c r="G397" i="34"/>
  <c r="L396" i="34"/>
  <c r="M396" i="34"/>
  <c r="H396" i="34"/>
  <c r="D397" i="34"/>
  <c r="I396" i="34" l="1"/>
  <c r="J396" i="34" s="1"/>
  <c r="K396" i="34" s="1"/>
  <c r="D398" i="34"/>
  <c r="M397" i="34"/>
  <c r="H397" i="34"/>
  <c r="L397" i="34"/>
  <c r="G398" i="34"/>
  <c r="I397" i="34" l="1"/>
  <c r="J397" i="34" s="1"/>
  <c r="K397" i="34" s="1"/>
  <c r="F399" i="34"/>
  <c r="H398" i="34"/>
  <c r="M398" i="34"/>
  <c r="L398" i="34"/>
  <c r="G401" i="34"/>
  <c r="D401" i="34"/>
  <c r="I398" i="34" l="1"/>
  <c r="I401" i="34"/>
  <c r="J401" i="34"/>
  <c r="J402" i="34" s="1"/>
  <c r="F402" i="34"/>
  <c r="I402" i="34"/>
  <c r="H402" i="34" s="1"/>
  <c r="L401" i="34"/>
  <c r="M401" i="34"/>
  <c r="D404" i="34"/>
  <c r="G404" i="34"/>
  <c r="J398" i="34" l="1"/>
  <c r="I399" i="34"/>
  <c r="H399" i="34" s="1"/>
  <c r="K401" i="34"/>
  <c r="K402" i="34" s="1"/>
  <c r="I404" i="34"/>
  <c r="J404" i="34"/>
  <c r="M404" i="34"/>
  <c r="L404" i="34"/>
  <c r="D405" i="34"/>
  <c r="G405" i="34"/>
  <c r="K398" i="34" l="1"/>
  <c r="K399" i="34" s="1"/>
  <c r="J399" i="34"/>
  <c r="K404" i="34"/>
  <c r="I405" i="34"/>
  <c r="J405" i="34"/>
  <c r="J406" i="34" s="1"/>
  <c r="F406" i="34"/>
  <c r="I406" i="34"/>
  <c r="H406" i="34" s="1"/>
  <c r="D408" i="34"/>
  <c r="G408" i="34"/>
  <c r="L405" i="34"/>
  <c r="M405" i="34"/>
  <c r="K405" i="34" l="1"/>
  <c r="K406" i="34" s="1"/>
  <c r="I408" i="34"/>
  <c r="J408" i="34"/>
  <c r="D409" i="34"/>
  <c r="L408" i="34"/>
  <c r="M408" i="34"/>
  <c r="G409" i="34"/>
  <c r="K408" i="34" l="1"/>
  <c r="I409" i="34"/>
  <c r="J409" i="34"/>
  <c r="F410" i="34"/>
  <c r="I410" i="34"/>
  <c r="H410" i="34" s="1"/>
  <c r="J410" i="34"/>
  <c r="G412" i="34"/>
  <c r="D412" i="34"/>
  <c r="L409" i="34"/>
  <c r="M409" i="34"/>
  <c r="K409" i="34" l="1"/>
  <c r="K410" i="34" s="1"/>
  <c r="I412" i="34"/>
  <c r="J412" i="34"/>
  <c r="M412" i="34"/>
  <c r="L412" i="34"/>
  <c r="D413" i="34"/>
  <c r="G413" i="34"/>
  <c r="K412" i="34" l="1"/>
  <c r="I413" i="34"/>
  <c r="J413" i="34"/>
  <c r="L413" i="34"/>
  <c r="G414" i="34"/>
  <c r="D414" i="34"/>
  <c r="M413" i="34"/>
  <c r="K413" i="34" l="1"/>
  <c r="I414" i="34"/>
  <c r="J414" i="34"/>
  <c r="M414" i="34"/>
  <c r="G415" i="34"/>
  <c r="D415" i="34"/>
  <c r="L414" i="34"/>
  <c r="K414" i="34" l="1"/>
  <c r="I415" i="34"/>
  <c r="J415" i="34"/>
  <c r="F416" i="34"/>
  <c r="I416" i="34"/>
  <c r="H416" i="34" s="1"/>
  <c r="J416" i="34"/>
  <c r="M415" i="34"/>
  <c r="D418" i="34"/>
  <c r="G418" i="34"/>
  <c r="L415" i="34"/>
  <c r="K415" i="34" l="1"/>
  <c r="K416" i="34" s="1"/>
  <c r="I418" i="34"/>
  <c r="J418" i="34"/>
  <c r="J419" i="34" s="1"/>
  <c r="F419" i="34"/>
  <c r="I419" i="34"/>
  <c r="H419" i="34" s="1"/>
  <c r="G421" i="34"/>
  <c r="M418" i="34"/>
  <c r="D421" i="34"/>
  <c r="L418" i="34"/>
  <c r="K418" i="34" l="1"/>
  <c r="K419" i="34" s="1"/>
  <c r="I421" i="34"/>
  <c r="J421" i="34"/>
  <c r="J422" i="34" s="1"/>
  <c r="F422" i="34"/>
  <c r="I422" i="34"/>
  <c r="H422" i="34" s="1"/>
  <c r="G424" i="34"/>
  <c r="L421" i="34"/>
  <c r="D424" i="34"/>
  <c r="M421" i="34"/>
  <c r="K421" i="34" l="1"/>
  <c r="K422" i="34" s="1"/>
  <c r="I424" i="34"/>
  <c r="J424" i="34"/>
  <c r="L424" i="34"/>
  <c r="G425" i="34"/>
  <c r="M424" i="34"/>
  <c r="D425" i="34"/>
  <c r="K424" i="34" l="1"/>
  <c r="I425" i="34"/>
  <c r="J425" i="34"/>
  <c r="F426" i="34"/>
  <c r="I426" i="34"/>
  <c r="H426" i="34" s="1"/>
  <c r="J426" i="34"/>
  <c r="G428" i="34"/>
  <c r="D428" i="34"/>
  <c r="L425" i="34"/>
  <c r="M425" i="34"/>
  <c r="K425" i="34" l="1"/>
  <c r="K426" i="34" s="1"/>
  <c r="I428" i="34"/>
  <c r="J428" i="34"/>
  <c r="G429" i="34"/>
  <c r="D429" i="34"/>
  <c r="L428" i="34"/>
  <c r="M428" i="34"/>
  <c r="K428" i="34" l="1"/>
  <c r="I429" i="34"/>
  <c r="J429" i="34"/>
  <c r="L429" i="34"/>
  <c r="M429" i="34"/>
  <c r="G430" i="34"/>
  <c r="D430" i="34"/>
  <c r="K429" i="34" l="1"/>
  <c r="I430" i="34"/>
  <c r="J430" i="34"/>
  <c r="L430" i="34"/>
  <c r="M430" i="34"/>
  <c r="D431" i="34"/>
  <c r="G431" i="34"/>
  <c r="K430" i="34" l="1"/>
  <c r="I431" i="34"/>
  <c r="J431" i="34"/>
  <c r="L431" i="34"/>
  <c r="M431" i="34"/>
  <c r="G432" i="34"/>
  <c r="D432" i="34"/>
  <c r="K431" i="34" l="1"/>
  <c r="I432" i="34"/>
  <c r="J432" i="34"/>
  <c r="F433" i="34"/>
  <c r="I433" i="34"/>
  <c r="H433" i="34" s="1"/>
  <c r="J433" i="34"/>
  <c r="G435" i="34"/>
  <c r="L432" i="34"/>
  <c r="D435" i="34"/>
  <c r="M432" i="34"/>
  <c r="K432" i="34" l="1"/>
  <c r="K433" i="34" s="1"/>
  <c r="I435" i="34"/>
  <c r="J435" i="34" s="1"/>
  <c r="F436" i="34"/>
  <c r="I436" i="34"/>
  <c r="H436" i="34" s="1"/>
  <c r="L435" i="34"/>
  <c r="G438" i="34"/>
  <c r="D438" i="34"/>
  <c r="M435" i="34"/>
  <c r="J436" i="34" l="1"/>
  <c r="K435" i="34"/>
  <c r="K436" i="34" s="1"/>
  <c r="I438" i="34"/>
  <c r="I439" i="34" s="1"/>
  <c r="H439" i="34" s="1"/>
  <c r="J438" i="34"/>
  <c r="J439" i="34" s="1"/>
  <c r="F439" i="34"/>
  <c r="M438" i="34"/>
  <c r="D441" i="34"/>
  <c r="G441" i="34"/>
  <c r="L438" i="34"/>
  <c r="K438" i="34" l="1"/>
  <c r="K439" i="34" s="1"/>
  <c r="I441" i="34"/>
  <c r="J441" i="34"/>
  <c r="J442" i="34" s="1"/>
  <c r="F442" i="34"/>
  <c r="I442" i="34"/>
  <c r="H442" i="34" s="1"/>
  <c r="D444" i="34"/>
  <c r="L441" i="34"/>
  <c r="G444" i="34"/>
  <c r="M441" i="34"/>
  <c r="K441" i="34" l="1"/>
  <c r="K442" i="34" s="1"/>
  <c r="I444" i="34"/>
  <c r="J444" i="34"/>
  <c r="F445" i="34"/>
  <c r="I445" i="34"/>
  <c r="H445" i="34" s="1"/>
  <c r="J445" i="34"/>
  <c r="G447" i="34"/>
  <c r="D447" i="34"/>
  <c r="L444" i="34"/>
  <c r="M444" i="34"/>
  <c r="K444" i="34" l="1"/>
  <c r="K445" i="34" s="1"/>
  <c r="I447" i="34"/>
  <c r="J447" i="34" s="1"/>
  <c r="F448" i="34"/>
  <c r="D450" i="34"/>
  <c r="L447" i="34"/>
  <c r="G450" i="34"/>
  <c r="M447" i="34"/>
  <c r="K447" i="34" l="1"/>
  <c r="K448" i="34" s="1"/>
  <c r="J448" i="34"/>
  <c r="I448" i="34"/>
  <c r="H448" i="34" s="1"/>
  <c r="I450" i="34"/>
  <c r="J450" i="34"/>
  <c r="M450" i="34"/>
  <c r="L450" i="34"/>
  <c r="D451" i="34"/>
  <c r="G451" i="34"/>
  <c r="K450" i="34" l="1"/>
  <c r="I451" i="34"/>
  <c r="J451" i="34"/>
  <c r="L451" i="34"/>
  <c r="G452" i="34"/>
  <c r="D452" i="34"/>
  <c r="M451" i="34"/>
  <c r="K451" i="34" l="1"/>
  <c r="I452" i="34"/>
  <c r="J452" i="34"/>
  <c r="J453" i="34" s="1"/>
  <c r="F453" i="34"/>
  <c r="I453" i="34"/>
  <c r="H453" i="34" s="1"/>
  <c r="L452" i="34"/>
  <c r="D455" i="34"/>
  <c r="G455" i="34"/>
  <c r="M452" i="34"/>
  <c r="K452" i="34" l="1"/>
  <c r="K453" i="34" s="1"/>
  <c r="I455" i="34"/>
  <c r="J455" i="34" s="1"/>
  <c r="F456" i="34"/>
  <c r="I456" i="34"/>
  <c r="H456" i="34" s="1"/>
  <c r="G458" i="34"/>
  <c r="D458" i="34"/>
  <c r="L455" i="34"/>
  <c r="M455" i="34"/>
  <c r="J456" i="34" l="1"/>
  <c r="K455" i="34"/>
  <c r="K456" i="34" s="1"/>
  <c r="I458" i="34"/>
  <c r="I459" i="34" s="1"/>
  <c r="H459" i="34" s="1"/>
  <c r="J458" i="34"/>
  <c r="J459" i="34" s="1"/>
  <c r="F459" i="34"/>
  <c r="M458" i="34"/>
  <c r="L458" i="34"/>
  <c r="K458" i="34" l="1"/>
  <c r="K459" i="34" s="1"/>
  <c r="F44" i="71"/>
  <c r="E4" i="71" s="1"/>
  <c r="F62" i="71"/>
  <c r="E5" i="71" s="1"/>
  <c r="F50" i="71"/>
  <c r="E6" i="71"/>
  <c r="F65" i="71"/>
  <c r="E7" i="71"/>
  <c r="F56" i="71"/>
  <c r="E8" i="71" s="1"/>
  <c r="F59" i="71"/>
  <c r="E9" i="71" s="1"/>
  <c r="F47" i="71"/>
  <c r="E10" i="71" s="1"/>
  <c r="F35" i="71"/>
  <c r="E11" i="71" s="1"/>
  <c r="F41" i="71"/>
  <c r="E12" i="71"/>
  <c r="F53" i="71"/>
  <c r="E13" i="71"/>
  <c r="F38" i="71"/>
  <c r="E14" i="71"/>
  <c r="I43" i="71"/>
  <c r="I44" i="71"/>
  <c r="H44" i="71" s="1"/>
  <c r="F4" i="71" s="1"/>
  <c r="J43" i="71"/>
  <c r="N4" i="71"/>
  <c r="J4" i="71"/>
  <c r="G11" i="71"/>
  <c r="G8" i="71"/>
  <c r="P1" i="71"/>
  <c r="G12" i="71"/>
  <c r="G14" i="71"/>
  <c r="K1" i="71"/>
  <c r="G9" i="71"/>
  <c r="H4" i="71"/>
  <c r="G4" i="71"/>
  <c r="L43" i="71"/>
  <c r="I1" i="71"/>
  <c r="G1" i="71"/>
  <c r="G10" i="71"/>
  <c r="S4" i="71"/>
  <c r="G7" i="71"/>
  <c r="G6" i="71"/>
  <c r="G13" i="71"/>
  <c r="G5" i="71"/>
  <c r="E1" i="71"/>
  <c r="O13" i="71" l="1"/>
  <c r="O11" i="71"/>
  <c r="O6" i="71"/>
  <c r="O8" i="71"/>
  <c r="O14" i="71"/>
  <c r="O12" i="71"/>
  <c r="O7" i="71"/>
  <c r="O5" i="71"/>
  <c r="O4" i="71"/>
  <c r="P4" i="71" s="1"/>
  <c r="R4" i="71" s="1"/>
  <c r="I4" i="71"/>
  <c r="L4" i="71"/>
  <c r="O10" i="71"/>
  <c r="O15" i="71"/>
  <c r="O9" i="71"/>
  <c r="K43" i="71"/>
  <c r="K44" i="71" s="1"/>
  <c r="M4" i="71" s="1"/>
  <c r="V4" i="71"/>
  <c r="U4" i="71"/>
  <c r="W4" i="71"/>
  <c r="X4" i="71"/>
  <c r="T4" i="71" l="1"/>
  <c r="O16" i="71"/>
  <c r="D4" i="71" s="1"/>
  <c r="Q4" i="71"/>
  <c r="K4" i="71"/>
  <c r="I61" i="71"/>
  <c r="I62" i="71"/>
  <c r="H62" i="71" s="1"/>
  <c r="F5" i="71" s="1"/>
  <c r="J61" i="71"/>
  <c r="L5" i="71"/>
  <c r="N5" i="71"/>
  <c r="P5" i="71"/>
  <c r="J5" i="71"/>
  <c r="H5" i="71"/>
  <c r="S5" i="71"/>
  <c r="L61" i="71"/>
  <c r="D5" i="71" l="1"/>
  <c r="I5" i="71"/>
  <c r="R5" i="71"/>
  <c r="K61" i="71"/>
  <c r="K62" i="71" s="1"/>
  <c r="M5" i="71" s="1"/>
  <c r="T5" i="71"/>
  <c r="U5" i="71"/>
  <c r="X5" i="71"/>
  <c r="W5" i="71"/>
  <c r="V5" i="71"/>
  <c r="Q5" i="71" l="1"/>
  <c r="K5" i="71"/>
  <c r="D6" i="71"/>
  <c r="I49" i="71"/>
  <c r="I50" i="71"/>
  <c r="H50" i="71" s="1"/>
  <c r="F6" i="71" s="1"/>
  <c r="K6" i="71"/>
  <c r="P6" i="71"/>
  <c r="M6" i="71"/>
  <c r="Q6" i="71" s="1"/>
  <c r="L49" i="71"/>
  <c r="H6" i="71"/>
  <c r="S6" i="71"/>
  <c r="J6" i="71"/>
  <c r="I6" i="71" l="1"/>
  <c r="J49" i="71"/>
  <c r="J50" i="71" s="1"/>
  <c r="N6" i="71" s="1"/>
  <c r="L6" i="71" s="1"/>
  <c r="T6" i="71"/>
  <c r="W6" i="71"/>
  <c r="X6" i="71"/>
  <c r="V6" i="71"/>
  <c r="U6" i="71"/>
  <c r="R6" i="71" l="1"/>
  <c r="D7" i="71"/>
  <c r="I64" i="71"/>
  <c r="I65" i="71"/>
  <c r="H65" i="71"/>
  <c r="F7" i="71" s="1"/>
  <c r="J64" i="71"/>
  <c r="L7" i="71"/>
  <c r="N7" i="71"/>
  <c r="P7" i="71"/>
  <c r="S7" i="71"/>
  <c r="H7" i="71"/>
  <c r="J7" i="71"/>
  <c r="L64" i="71"/>
  <c r="I7" i="71" l="1"/>
  <c r="R7" i="71"/>
  <c r="K64" i="71"/>
  <c r="K65" i="71" s="1"/>
  <c r="M7" i="71" s="1"/>
  <c r="T7" i="71"/>
  <c r="V7" i="71"/>
  <c r="U7" i="71"/>
  <c r="X7" i="71"/>
  <c r="W7" i="71"/>
  <c r="Q7" i="71" l="1"/>
  <c r="K7" i="71"/>
  <c r="D8" i="71"/>
  <c r="I55" i="71"/>
  <c r="I56" i="71"/>
  <c r="H56" i="71"/>
  <c r="F8" i="71" s="1"/>
  <c r="J55" i="71"/>
  <c r="L8" i="71"/>
  <c r="N8" i="71"/>
  <c r="P8" i="71"/>
  <c r="J8" i="71"/>
  <c r="S8" i="71"/>
  <c r="L55" i="71"/>
  <c r="H8" i="71"/>
  <c r="I8" i="71" l="1"/>
  <c r="R8" i="71"/>
  <c r="K55" i="71"/>
  <c r="K56" i="71" s="1"/>
  <c r="M8" i="71" s="1"/>
  <c r="T8" i="71"/>
  <c r="V8" i="71"/>
  <c r="X8" i="71"/>
  <c r="U8" i="71"/>
  <c r="W8" i="71"/>
  <c r="Q8" i="71" l="1"/>
  <c r="K8" i="71"/>
  <c r="D9" i="71"/>
  <c r="I58" i="71"/>
  <c r="I59" i="71" s="1"/>
  <c r="H59" i="71" s="1"/>
  <c r="F9" i="71" s="1"/>
  <c r="K9" i="71"/>
  <c r="P9" i="71"/>
  <c r="M9" i="71"/>
  <c r="Q9" i="71" s="1"/>
  <c r="L58" i="71"/>
  <c r="S9" i="71"/>
  <c r="J9" i="71"/>
  <c r="H9" i="71"/>
  <c r="I9" i="71" l="1"/>
  <c r="J58" i="71"/>
  <c r="J59" i="71" s="1"/>
  <c r="N9" i="71" s="1"/>
  <c r="L9" i="71" s="1"/>
  <c r="T9" i="71"/>
  <c r="W9" i="71"/>
  <c r="U9" i="71"/>
  <c r="V9" i="71"/>
  <c r="X9" i="71"/>
  <c r="R9" i="71" l="1"/>
  <c r="D10" i="71"/>
  <c r="I46" i="71"/>
  <c r="I47" i="71" s="1"/>
  <c r="H47" i="71" s="1"/>
  <c r="F10" i="71" s="1"/>
  <c r="K10" i="71"/>
  <c r="P10" i="71"/>
  <c r="M10" i="71"/>
  <c r="Q10" i="71" s="1"/>
  <c r="L46" i="71"/>
  <c r="J10" i="71"/>
  <c r="S10" i="71"/>
  <c r="H10" i="71"/>
  <c r="I10" i="71" l="1"/>
  <c r="J46" i="71"/>
  <c r="J47" i="71" s="1"/>
  <c r="N10" i="71" s="1"/>
  <c r="L10" i="71" s="1"/>
  <c r="T10" i="71"/>
  <c r="U10" i="71"/>
  <c r="V10" i="71"/>
  <c r="W10" i="71"/>
  <c r="X10" i="71"/>
  <c r="R10" i="71" l="1"/>
  <c r="D11" i="71"/>
  <c r="I34" i="71"/>
  <c r="I35" i="71" s="1"/>
  <c r="H35" i="71" s="1"/>
  <c r="F11" i="71" s="1"/>
  <c r="K11" i="71"/>
  <c r="P11" i="71"/>
  <c r="M11" i="71"/>
  <c r="Q11" i="71" s="1"/>
  <c r="L34" i="71"/>
  <c r="S11" i="71"/>
  <c r="H11" i="71"/>
  <c r="J11" i="71"/>
  <c r="I11" i="71" l="1"/>
  <c r="J34" i="71"/>
  <c r="J35" i="71" s="1"/>
  <c r="N11" i="71" s="1"/>
  <c r="L11" i="71" s="1"/>
  <c r="T11" i="71"/>
  <c r="U11" i="71"/>
  <c r="X11" i="71"/>
  <c r="W11" i="71"/>
  <c r="V11" i="71"/>
  <c r="R11" i="71" l="1"/>
  <c r="D12" i="71"/>
  <c r="I40" i="71"/>
  <c r="I41" i="71"/>
  <c r="H41" i="71" s="1"/>
  <c r="F12" i="71" s="1"/>
  <c r="K12" i="71"/>
  <c r="P12" i="71"/>
  <c r="M12" i="71"/>
  <c r="Q12" i="71" s="1"/>
  <c r="J12" i="71"/>
  <c r="L40" i="71"/>
  <c r="S12" i="71"/>
  <c r="H12" i="71"/>
  <c r="I12" i="71" l="1"/>
  <c r="J40" i="71"/>
  <c r="J41" i="71" s="1"/>
  <c r="N12" i="71" s="1"/>
  <c r="L12" i="71" s="1"/>
  <c r="T12" i="71"/>
  <c r="W12" i="71"/>
  <c r="V12" i="71"/>
  <c r="X12" i="71"/>
  <c r="U12" i="71"/>
  <c r="R12" i="71" l="1"/>
  <c r="D13" i="71"/>
  <c r="I52" i="71"/>
  <c r="I53" i="71" s="1"/>
  <c r="H53" i="71" s="1"/>
  <c r="F13" i="71" s="1"/>
  <c r="K13" i="71"/>
  <c r="P13" i="71"/>
  <c r="M13" i="71"/>
  <c r="Q13" i="71" s="1"/>
  <c r="L52" i="71"/>
  <c r="S13" i="71"/>
  <c r="J13" i="71"/>
  <c r="H13" i="71"/>
  <c r="I13" i="71" l="1"/>
  <c r="J52" i="71"/>
  <c r="J53" i="71" s="1"/>
  <c r="N13" i="71" s="1"/>
  <c r="L13" i="71" s="1"/>
  <c r="T13" i="71"/>
  <c r="U13" i="71"/>
  <c r="V13" i="71"/>
  <c r="X13" i="71"/>
  <c r="W13" i="71"/>
  <c r="R13" i="71" l="1"/>
  <c r="D14" i="71"/>
  <c r="I37" i="71"/>
  <c r="I38" i="71"/>
  <c r="H38" i="71"/>
  <c r="F14" i="71" s="1"/>
  <c r="J37" i="71"/>
  <c r="L14" i="71"/>
  <c r="N14" i="71"/>
  <c r="P14" i="71"/>
  <c r="J14" i="71"/>
  <c r="H14" i="71"/>
  <c r="L37" i="71"/>
  <c r="S14" i="71"/>
  <c r="I14" i="71" l="1"/>
  <c r="R14" i="71"/>
  <c r="K37" i="71"/>
  <c r="K38" i="71" s="1"/>
  <c r="M14" i="71" s="1"/>
  <c r="T14" i="71"/>
  <c r="V14" i="71"/>
  <c r="U14" i="71"/>
  <c r="W14" i="71"/>
  <c r="X14" i="71"/>
  <c r="Q14" i="71" l="1"/>
  <c r="Q16" i="71" s="1"/>
  <c r="K14" i="71"/>
  <c r="D15" i="71"/>
  <c r="D16" i="71" s="1"/>
  <c r="P15" i="71"/>
  <c r="T15" i="71" s="1"/>
  <c r="T16" i="71" s="1"/>
  <c r="I16" i="71"/>
  <c r="M16" i="71"/>
  <c r="Q17" i="71" s="1"/>
  <c r="N16" i="71"/>
  <c r="R16" i="71"/>
  <c r="S16" i="71"/>
  <c r="E22" i="71"/>
  <c r="B22" i="71"/>
  <c r="P16" i="71" l="1"/>
  <c r="R17" i="71" s="1"/>
  <c r="H22" i="71"/>
  <c r="I22" i="71"/>
  <c r="J22" i="71"/>
  <c r="M22" i="71"/>
  <c r="N22" i="71"/>
  <c r="R22" i="71"/>
  <c r="O22" i="71"/>
  <c r="E23" i="71"/>
  <c r="P22" i="71" l="1"/>
  <c r="H23" i="71"/>
  <c r="I23" i="71"/>
  <c r="J23" i="71"/>
  <c r="M23" i="71"/>
  <c r="N23" i="71"/>
  <c r="N24" i="71"/>
  <c r="O23" i="71"/>
  <c r="R23" i="71"/>
  <c r="D31" i="71"/>
  <c r="G31" i="71"/>
  <c r="P23" i="71" l="1"/>
  <c r="P24" i="71" s="1"/>
  <c r="I31" i="71"/>
  <c r="F32" i="71"/>
  <c r="I32" i="71"/>
  <c r="H32" i="71" s="1"/>
  <c r="L31" i="71"/>
  <c r="M31" i="71"/>
  <c r="D34" i="71"/>
  <c r="G34" i="71"/>
  <c r="J31" i="71" l="1"/>
  <c r="K34" i="71"/>
  <c r="K35" i="71" s="1"/>
  <c r="G37" i="71"/>
  <c r="M34" i="71"/>
  <c r="D37" i="71"/>
  <c r="J32" i="71" l="1"/>
  <c r="K31" i="71"/>
  <c r="K32" i="71" s="1"/>
  <c r="J38" i="71"/>
  <c r="K40" i="71"/>
  <c r="K41" i="71" s="1"/>
  <c r="J44" i="71"/>
  <c r="K46" i="71"/>
  <c r="K47" i="71" s="1"/>
  <c r="K49" i="71"/>
  <c r="K50" i="71" s="1"/>
  <c r="K52" i="71"/>
  <c r="K53" i="71" s="1"/>
  <c r="J56" i="71"/>
  <c r="K58" i="71"/>
  <c r="K59" i="71" s="1"/>
  <c r="J62" i="71"/>
  <c r="J65" i="71"/>
  <c r="M52" i="71"/>
  <c r="D61" i="71"/>
  <c r="M49" i="71"/>
  <c r="M40" i="71"/>
  <c r="D55" i="71"/>
  <c r="G55" i="71"/>
  <c r="G43" i="71"/>
  <c r="D49" i="71"/>
  <c r="M64" i="71"/>
  <c r="D52" i="71"/>
  <c r="M61" i="71"/>
  <c r="D46" i="71"/>
  <c r="D43" i="71"/>
  <c r="G58" i="71"/>
  <c r="G52" i="71"/>
  <c r="G46" i="71"/>
  <c r="G61" i="71"/>
  <c r="D58" i="71"/>
  <c r="G40" i="71"/>
  <c r="M55" i="71"/>
  <c r="G49" i="71"/>
  <c r="M37" i="71"/>
  <c r="G64" i="71"/>
  <c r="M43" i="71"/>
  <c r="M46" i="71"/>
  <c r="M58" i="71"/>
  <c r="D40" i="71"/>
  <c r="D64" i="71"/>
  <c r="F7" i="106" l="1"/>
  <c r="E7" i="106"/>
  <c r="F5" i="106"/>
  <c r="E5" i="106"/>
  <c r="F32" i="106"/>
  <c r="I31" i="106"/>
  <c r="M56" i="64"/>
  <c r="J56" i="64"/>
  <c r="I56" i="64"/>
  <c r="H56" i="64"/>
  <c r="M55" i="64"/>
  <c r="J55" i="64"/>
  <c r="I55" i="64"/>
  <c r="H55" i="64"/>
  <c r="V5" i="106"/>
  <c r="W5" i="106"/>
  <c r="H5" i="106"/>
  <c r="G31" i="106"/>
  <c r="E56" i="64"/>
  <c r="M31" i="106"/>
  <c r="K5" i="106"/>
  <c r="P1" i="64"/>
  <c r="G1" i="64"/>
  <c r="D31" i="106"/>
  <c r="B55" i="64"/>
  <c r="E55" i="64"/>
  <c r="K1" i="64"/>
  <c r="L31" i="106"/>
  <c r="F2" i="64"/>
  <c r="O56" i="64"/>
  <c r="U5" i="106"/>
  <c r="O55" i="64"/>
  <c r="B56" i="64"/>
  <c r="J5" i="106"/>
  <c r="X5" i="106"/>
  <c r="R56" i="64"/>
  <c r="I1" i="64"/>
  <c r="T5" i="106"/>
  <c r="G5" i="106"/>
  <c r="R55" i="64"/>
  <c r="L5" i="106" l="1"/>
  <c r="I5" i="106"/>
  <c r="P5" i="106"/>
  <c r="N5" i="106"/>
  <c r="J31" i="106"/>
  <c r="I32" i="106"/>
  <c r="H32" i="106" s="1"/>
  <c r="N56" i="64"/>
  <c r="P56" i="64" s="1"/>
  <c r="N55" i="64"/>
  <c r="P55" i="64" s="1"/>
  <c r="F167" i="64"/>
  <c r="E4" i="64"/>
  <c r="H2" i="64"/>
  <c r="G4" i="64"/>
  <c r="R5" i="106" l="1"/>
  <c r="K31" i="106"/>
  <c r="K32" i="106" s="1"/>
  <c r="J32" i="106"/>
  <c r="O7" i="106" s="1"/>
  <c r="P4" i="64"/>
  <c r="Q4" i="64" s="1"/>
  <c r="F90" i="64"/>
  <c r="F93" i="64"/>
  <c r="E5" i="64" s="1"/>
  <c r="F122" i="64"/>
  <c r="F124" i="64"/>
  <c r="E6" i="64" s="1"/>
  <c r="F80" i="64"/>
  <c r="F82" i="64"/>
  <c r="E7" i="64" s="1"/>
  <c r="F104" i="64"/>
  <c r="E8" i="64"/>
  <c r="F78" i="64"/>
  <c r="E9" i="64"/>
  <c r="F95" i="64"/>
  <c r="F101" i="64"/>
  <c r="E10" i="64" s="1"/>
  <c r="F66" i="64"/>
  <c r="E11" i="64"/>
  <c r="F84" i="64"/>
  <c r="F88" i="64"/>
  <c r="E12" i="64" s="1"/>
  <c r="F119" i="64"/>
  <c r="E13" i="64"/>
  <c r="F70" i="64"/>
  <c r="E14" i="64"/>
  <c r="F161" i="64"/>
  <c r="E15" i="64"/>
  <c r="F164" i="64"/>
  <c r="E17" i="64" s="1"/>
  <c r="F154" i="64"/>
  <c r="G16" i="64"/>
  <c r="G9" i="64"/>
  <c r="G5" i="64"/>
  <c r="G14" i="64"/>
  <c r="G11" i="64"/>
  <c r="G18" i="64"/>
  <c r="G15" i="64"/>
  <c r="H166" i="64"/>
  <c r="G12" i="64"/>
  <c r="H4" i="64"/>
  <c r="G13" i="64"/>
  <c r="G6" i="64"/>
  <c r="G10" i="64"/>
  <c r="G17" i="64"/>
  <c r="G7" i="64"/>
  <c r="G8" i="64"/>
  <c r="P15" i="64" l="1"/>
  <c r="Q15" i="64" s="1"/>
  <c r="P11" i="64"/>
  <c r="Q11" i="64" s="1"/>
  <c r="P9" i="64"/>
  <c r="Q9" i="64" s="1"/>
  <c r="P7" i="64"/>
  <c r="Q7" i="64" s="1"/>
  <c r="P5" i="64"/>
  <c r="Q5" i="64" s="1"/>
  <c r="P18" i="64"/>
  <c r="Q18" i="64" s="1"/>
  <c r="P14" i="64"/>
  <c r="Q14" i="64" s="1"/>
  <c r="P12" i="64"/>
  <c r="Q12" i="64" s="1"/>
  <c r="P10" i="64"/>
  <c r="Q10" i="64" s="1"/>
  <c r="P8" i="64"/>
  <c r="Q8" i="64" s="1"/>
  <c r="P6" i="64"/>
  <c r="Q6" i="64" s="1"/>
  <c r="P13" i="64"/>
  <c r="Q13" i="64" s="1"/>
  <c r="P17" i="64"/>
  <c r="Q17" i="64" s="1"/>
  <c r="P16" i="64"/>
  <c r="Q16" i="64" s="1"/>
  <c r="I166" i="64"/>
  <c r="I167" i="64" s="1"/>
  <c r="H167" i="64" s="1"/>
  <c r="F4" i="64" s="1"/>
  <c r="I4" i="64"/>
  <c r="M166" i="64"/>
  <c r="L166" i="64"/>
  <c r="J4" i="64"/>
  <c r="T4" i="64"/>
  <c r="K4" i="64"/>
  <c r="Q20" i="64" l="1"/>
  <c r="D4" i="64" s="1"/>
  <c r="J166" i="64"/>
  <c r="U4" i="64"/>
  <c r="W4" i="64"/>
  <c r="AB4" i="64"/>
  <c r="AA4" i="64"/>
  <c r="Y4" i="64"/>
  <c r="V4" i="64"/>
  <c r="Z4" i="64"/>
  <c r="AC4" i="64"/>
  <c r="X4" i="64"/>
  <c r="K166" i="64" l="1"/>
  <c r="K167" i="64" s="1"/>
  <c r="N4" i="64" s="1"/>
  <c r="J167" i="64"/>
  <c r="O4" i="64" s="1"/>
  <c r="D5" i="64"/>
  <c r="H5" i="64"/>
  <c r="H90" i="64"/>
  <c r="I90" i="64" l="1"/>
  <c r="M4" i="64"/>
  <c r="S4" i="64"/>
  <c r="R4" i="64"/>
  <c r="L4" i="64"/>
  <c r="I5" i="64"/>
  <c r="L90" i="64"/>
  <c r="K5" i="64"/>
  <c r="J5" i="64"/>
  <c r="T5" i="64"/>
  <c r="J90" i="64" l="1"/>
  <c r="U5" i="64"/>
  <c r="Y5" i="64"/>
  <c r="Z5" i="64"/>
  <c r="W5" i="64"/>
  <c r="V5" i="64"/>
  <c r="AC5" i="64"/>
  <c r="AA5" i="64"/>
  <c r="X5" i="64"/>
  <c r="AB5" i="64"/>
  <c r="D6" i="64" l="1"/>
  <c r="I121" i="64"/>
  <c r="H122" i="64"/>
  <c r="H6" i="64"/>
  <c r="I122" i="64" l="1"/>
  <c r="I6" i="64"/>
  <c r="T6" i="64"/>
  <c r="K6" i="64"/>
  <c r="L121" i="64"/>
  <c r="J6" i="64"/>
  <c r="J121" i="64" l="1"/>
  <c r="U6" i="64"/>
  <c r="AC6" i="64"/>
  <c r="AB6" i="64"/>
  <c r="Z6" i="64"/>
  <c r="V6" i="64"/>
  <c r="X6" i="64"/>
  <c r="W6" i="64"/>
  <c r="AA6" i="64"/>
  <c r="Y6" i="64"/>
  <c r="D7" i="64" l="1"/>
  <c r="H80" i="64"/>
  <c r="H7" i="64"/>
  <c r="I80" i="64" l="1"/>
  <c r="I7" i="64"/>
  <c r="K7" i="64"/>
  <c r="J7" i="64"/>
  <c r="T7" i="64"/>
  <c r="L80" i="64"/>
  <c r="J80" i="64" l="1"/>
  <c r="U7" i="64"/>
  <c r="Y7" i="64"/>
  <c r="V7" i="64"/>
  <c r="W7" i="64"/>
  <c r="AB7" i="64"/>
  <c r="Z7" i="64"/>
  <c r="AA7" i="64"/>
  <c r="X7" i="64"/>
  <c r="AC7" i="64"/>
  <c r="D8" i="64" l="1"/>
  <c r="I103" i="64"/>
  <c r="I104" i="64"/>
  <c r="H104" i="64" s="1"/>
  <c r="F8" i="64" s="1"/>
  <c r="J103" i="64"/>
  <c r="J104" i="64"/>
  <c r="O8" i="64" s="1"/>
  <c r="T8" i="64"/>
  <c r="J8" i="64"/>
  <c r="H8" i="64"/>
  <c r="L103" i="64"/>
  <c r="K8" i="64"/>
  <c r="I8" i="64" l="1"/>
  <c r="K103" i="64"/>
  <c r="K104" i="64" s="1"/>
  <c r="N8" i="64" s="1"/>
  <c r="M8" i="64"/>
  <c r="S8" i="64"/>
  <c r="U8" i="64"/>
  <c r="Z8" i="64"/>
  <c r="AB8" i="64"/>
  <c r="AC8" i="64"/>
  <c r="AA8" i="64"/>
  <c r="Y8" i="64"/>
  <c r="W8" i="64"/>
  <c r="V8" i="64"/>
  <c r="X8" i="64"/>
  <c r="R8" i="64" l="1"/>
  <c r="L8" i="64"/>
  <c r="D9" i="64"/>
  <c r="H9" i="64"/>
  <c r="H75" i="64"/>
  <c r="I75" i="64" l="1"/>
  <c r="I9" i="64"/>
  <c r="K9" i="64"/>
  <c r="J9" i="64"/>
  <c r="L75" i="64"/>
  <c r="T9" i="64"/>
  <c r="J75" i="64" l="1"/>
  <c r="U9" i="64"/>
  <c r="W9" i="64"/>
  <c r="AB9" i="64"/>
  <c r="Y9" i="64"/>
  <c r="X9" i="64"/>
  <c r="V9" i="64"/>
  <c r="AA9" i="64"/>
  <c r="AC9" i="64"/>
  <c r="Z9" i="64"/>
  <c r="D10" i="64" l="1"/>
  <c r="H95" i="64"/>
  <c r="H10" i="64"/>
  <c r="I95" i="64" l="1"/>
  <c r="I10" i="64"/>
  <c r="K10" i="64"/>
  <c r="J10" i="64"/>
  <c r="L95" i="64"/>
  <c r="T10" i="64"/>
  <c r="J95" i="64" l="1"/>
  <c r="U10" i="64"/>
  <c r="X10" i="64"/>
  <c r="AC10" i="64"/>
  <c r="W10" i="64"/>
  <c r="Z10" i="64"/>
  <c r="AB10" i="64"/>
  <c r="V10" i="64"/>
  <c r="AA10" i="64"/>
  <c r="Y10" i="64"/>
  <c r="D11" i="64" l="1"/>
  <c r="H64" i="64"/>
  <c r="H11" i="64"/>
  <c r="I64" i="64" l="1"/>
  <c r="I11" i="64"/>
  <c r="M64" i="64"/>
  <c r="L64" i="64"/>
  <c r="T11" i="64"/>
  <c r="K11" i="64"/>
  <c r="J11" i="64"/>
  <c r="J64" i="64" l="1"/>
  <c r="U11" i="64"/>
  <c r="W11" i="64"/>
  <c r="AA11" i="64"/>
  <c r="X11" i="64"/>
  <c r="AC11" i="64"/>
  <c r="Y11" i="64"/>
  <c r="AB11" i="64"/>
  <c r="V11" i="64"/>
  <c r="Z11" i="64"/>
  <c r="K64" i="64" l="1"/>
  <c r="D12" i="64"/>
  <c r="H12" i="64"/>
  <c r="H84" i="64"/>
  <c r="I84" i="64" l="1"/>
  <c r="I12" i="64"/>
  <c r="L84" i="64"/>
  <c r="J12" i="64"/>
  <c r="K12" i="64"/>
  <c r="T12" i="64"/>
  <c r="J84" i="64" l="1"/>
  <c r="U12" i="64"/>
  <c r="AA12" i="64"/>
  <c r="AC12" i="64"/>
  <c r="Y12" i="64"/>
  <c r="Z12" i="64"/>
  <c r="X12" i="64"/>
  <c r="AB12" i="64"/>
  <c r="W12" i="64"/>
  <c r="V12" i="64"/>
  <c r="D13" i="64" l="1"/>
  <c r="H118" i="64"/>
  <c r="H13" i="64"/>
  <c r="I118" i="64" l="1"/>
  <c r="I119" i="64" s="1"/>
  <c r="H119" i="64" s="1"/>
  <c r="F13" i="64" s="1"/>
  <c r="L13" i="64" s="1"/>
  <c r="I13" i="64"/>
  <c r="L118" i="64"/>
  <c r="J13" i="64"/>
  <c r="K13" i="64"/>
  <c r="T13" i="64"/>
  <c r="N13" i="64" l="1"/>
  <c r="R13" i="64" s="1"/>
  <c r="J118" i="64"/>
  <c r="J119" i="64" s="1"/>
  <c r="O13" i="64" s="1"/>
  <c r="U13" i="64"/>
  <c r="Z13" i="64"/>
  <c r="W13" i="64"/>
  <c r="AC13" i="64"/>
  <c r="AA13" i="64"/>
  <c r="AB13" i="64"/>
  <c r="V13" i="64"/>
  <c r="Y13" i="64"/>
  <c r="X13" i="64"/>
  <c r="S13" i="64" l="1"/>
  <c r="M13" i="64"/>
  <c r="D14" i="64"/>
  <c r="I68" i="64"/>
  <c r="I69" i="64"/>
  <c r="I70" i="64"/>
  <c r="H70" i="64" s="1"/>
  <c r="F14" i="64" s="1"/>
  <c r="L14" i="64"/>
  <c r="N14" i="64"/>
  <c r="R14" i="64" s="1"/>
  <c r="L68" i="64"/>
  <c r="J14" i="64"/>
  <c r="K14" i="64"/>
  <c r="H14" i="64"/>
  <c r="T14" i="64"/>
  <c r="I14" i="64" l="1"/>
  <c r="J68" i="64"/>
  <c r="U14" i="64"/>
  <c r="B15" i="64"/>
  <c r="AC14" i="64"/>
  <c r="Y14" i="64"/>
  <c r="AB14" i="64"/>
  <c r="V14" i="64"/>
  <c r="AA14" i="64"/>
  <c r="W14" i="64"/>
  <c r="Z14" i="64"/>
  <c r="X14" i="64"/>
  <c r="D15" i="64" l="1"/>
  <c r="I160" i="64"/>
  <c r="J160" i="64" s="1"/>
  <c r="J161" i="64" s="1"/>
  <c r="H161" i="64" s="1"/>
  <c r="F15" i="64" s="1"/>
  <c r="M15" i="64"/>
  <c r="O15" i="64"/>
  <c r="S15" i="64" s="1"/>
  <c r="X15" i="64"/>
  <c r="U15" i="64"/>
  <c r="K15" i="64"/>
  <c r="Y15" i="64"/>
  <c r="B16" i="64"/>
  <c r="Z15" i="64"/>
  <c r="W15" i="64"/>
  <c r="AA15" i="64"/>
  <c r="V15" i="64"/>
  <c r="T15" i="64"/>
  <c r="L160" i="64"/>
  <c r="K160" i="64" l="1"/>
  <c r="K161" i="64" s="1"/>
  <c r="N15" i="64" s="1"/>
  <c r="D16" i="64"/>
  <c r="I156" i="64"/>
  <c r="J156" i="64" s="1"/>
  <c r="J158" i="64" s="1"/>
  <c r="H158" i="64" s="1"/>
  <c r="F16" i="64" s="1"/>
  <c r="I157" i="64"/>
  <c r="J157" i="64"/>
  <c r="F158" i="64"/>
  <c r="K16" i="64"/>
  <c r="L15" i="64" l="1"/>
  <c r="R15" i="64"/>
  <c r="E158" i="64"/>
  <c r="M16" i="64"/>
  <c r="O16" i="64"/>
  <c r="S16" i="64"/>
  <c r="L156" i="64"/>
  <c r="Y16" i="64"/>
  <c r="T16" i="64"/>
  <c r="AA16" i="64"/>
  <c r="V16" i="64"/>
  <c r="B17" i="64"/>
  <c r="W16" i="64"/>
  <c r="U16" i="64"/>
  <c r="X16" i="64"/>
  <c r="Z16" i="64"/>
  <c r="K156" i="64" l="1"/>
  <c r="D17" i="64"/>
  <c r="I163" i="64"/>
  <c r="J163" i="64" s="1"/>
  <c r="J164" i="64" s="1"/>
  <c r="H164" i="64" s="1"/>
  <c r="F17" i="64" s="1"/>
  <c r="K17" i="64"/>
  <c r="M17" i="64" l="1"/>
  <c r="O17" i="64"/>
  <c r="S17" i="64"/>
  <c r="V17" i="64"/>
  <c r="T17" i="64"/>
  <c r="Y17" i="64"/>
  <c r="B18" i="64"/>
  <c r="AA17" i="64"/>
  <c r="U17" i="64"/>
  <c r="X17" i="64"/>
  <c r="Z17" i="64"/>
  <c r="W17" i="64"/>
  <c r="L163" i="64"/>
  <c r="K163" i="64" l="1"/>
  <c r="K164" i="64" s="1"/>
  <c r="N17" i="64" s="1"/>
  <c r="D18" i="64"/>
  <c r="F135" i="64"/>
  <c r="I135" i="64" s="1"/>
  <c r="J135" i="64" s="1"/>
  <c r="I136" i="64"/>
  <c r="J136" i="64" s="1"/>
  <c r="I137" i="64"/>
  <c r="J137" i="64" s="1"/>
  <c r="F138" i="64"/>
  <c r="K18" i="64"/>
  <c r="J138" i="64" l="1"/>
  <c r="H138" i="64" s="1"/>
  <c r="F18" i="64" s="1"/>
  <c r="M18" i="64" s="1"/>
  <c r="R17" i="64"/>
  <c r="L17" i="64"/>
  <c r="E138" i="64"/>
  <c r="O18" i="64"/>
  <c r="S18" i="64"/>
  <c r="Y18" i="64"/>
  <c r="AA18" i="64"/>
  <c r="V18" i="64"/>
  <c r="X18" i="64"/>
  <c r="Z18" i="64"/>
  <c r="L135" i="64"/>
  <c r="U18" i="64"/>
  <c r="T18" i="64"/>
  <c r="W18" i="64"/>
  <c r="K135" i="64" l="1"/>
  <c r="I149" i="64"/>
  <c r="J149" i="64"/>
  <c r="I150" i="64"/>
  <c r="J150" i="64"/>
  <c r="J151" i="64"/>
  <c r="F151" i="64"/>
  <c r="H151" i="64" l="1"/>
  <c r="E151" i="64"/>
  <c r="L149" i="64"/>
  <c r="K149" i="64" l="1"/>
  <c r="I153" i="64"/>
  <c r="J153" i="64"/>
  <c r="J154" i="64" s="1"/>
  <c r="H154" i="64" s="1"/>
  <c r="L153" i="64"/>
  <c r="K153" i="64" l="1"/>
  <c r="K154" i="64" s="1"/>
  <c r="D19" i="64"/>
  <c r="D20" i="64" s="1"/>
  <c r="U19" i="64"/>
  <c r="I20" i="64"/>
  <c r="P20" i="64"/>
  <c r="T20" i="64"/>
  <c r="U20" i="64"/>
  <c r="E26" i="64"/>
  <c r="H26" i="64" l="1"/>
  <c r="I26" i="64"/>
  <c r="J26" i="64"/>
  <c r="M26" i="64"/>
  <c r="N26" i="64"/>
  <c r="O26" i="64"/>
  <c r="R26" i="64"/>
  <c r="E27" i="64"/>
  <c r="P26" i="64" l="1"/>
  <c r="H27" i="64"/>
  <c r="I27" i="64"/>
  <c r="J27" i="64"/>
  <c r="M27" i="64"/>
  <c r="N27" i="64"/>
  <c r="R27" i="64"/>
  <c r="E28" i="64"/>
  <c r="O27" i="64"/>
  <c r="P27" i="64" l="1"/>
  <c r="H28" i="64"/>
  <c r="I28" i="64"/>
  <c r="J28" i="64"/>
  <c r="M28" i="64"/>
  <c r="N28" i="64"/>
  <c r="R28" i="64"/>
  <c r="O28" i="64"/>
  <c r="E29" i="64"/>
  <c r="P28" i="64" l="1"/>
  <c r="H29" i="64"/>
  <c r="I29" i="64"/>
  <c r="J29" i="64"/>
  <c r="M29" i="64"/>
  <c r="N29" i="64"/>
  <c r="R29" i="64"/>
  <c r="E30" i="64"/>
  <c r="O29" i="64"/>
  <c r="P29" i="64" l="1"/>
  <c r="H30" i="64"/>
  <c r="I30" i="64"/>
  <c r="N30" i="64" s="1"/>
  <c r="J30" i="64"/>
  <c r="M30" i="64"/>
  <c r="R30" i="64"/>
  <c r="B31" i="64"/>
  <c r="O30" i="64"/>
  <c r="E31" i="64"/>
  <c r="P30" i="64" l="1"/>
  <c r="H31" i="64"/>
  <c r="I31" i="64"/>
  <c r="J31" i="64"/>
  <c r="M31" i="64"/>
  <c r="R31" i="64"/>
  <c r="O31" i="64"/>
  <c r="N31" i="64" l="1"/>
  <c r="P31" i="64" s="1"/>
  <c r="H32" i="64"/>
  <c r="I32" i="64"/>
  <c r="J32" i="64"/>
  <c r="M32" i="64"/>
  <c r="B32" i="64"/>
  <c r="O32" i="64"/>
  <c r="R32" i="64"/>
  <c r="E32" i="64"/>
  <c r="N32" i="64" l="1"/>
  <c r="P32" i="64" s="1"/>
  <c r="H33" i="64"/>
  <c r="I33" i="64"/>
  <c r="J33" i="64"/>
  <c r="M33" i="64"/>
  <c r="O33" i="64"/>
  <c r="E33" i="64"/>
  <c r="B33" i="64"/>
  <c r="R33" i="64"/>
  <c r="N33" i="64" l="1"/>
  <c r="P33" i="64" s="1"/>
  <c r="P34" i="64"/>
  <c r="H36" i="64"/>
  <c r="I36" i="64"/>
  <c r="J36" i="64"/>
  <c r="M36" i="64"/>
  <c r="N36" i="64"/>
  <c r="R36" i="64"/>
  <c r="E37" i="64"/>
  <c r="O36" i="64"/>
  <c r="E36" i="64"/>
  <c r="P36" i="64" l="1"/>
  <c r="H37" i="64"/>
  <c r="I37" i="64"/>
  <c r="J37" i="64"/>
  <c r="M37" i="64"/>
  <c r="N37" i="64"/>
  <c r="R37" i="64"/>
  <c r="E38" i="64"/>
  <c r="B38" i="64"/>
  <c r="O37" i="64"/>
  <c r="P37" i="64" l="1"/>
  <c r="H38" i="64"/>
  <c r="I38" i="64"/>
  <c r="J38" i="64"/>
  <c r="M38" i="64"/>
  <c r="R38" i="64"/>
  <c r="O38" i="64"/>
  <c r="N38" i="64" l="1"/>
  <c r="P38" i="64" s="1"/>
  <c r="E39" i="64"/>
  <c r="H39" i="64" l="1"/>
  <c r="I39" i="64"/>
  <c r="J39" i="64"/>
  <c r="M39" i="64"/>
  <c r="N39" i="64"/>
  <c r="R39" i="64"/>
  <c r="O39" i="64"/>
  <c r="E40" i="64"/>
  <c r="P39" i="64" l="1"/>
  <c r="H40" i="64"/>
  <c r="I40" i="64"/>
  <c r="J40" i="64"/>
  <c r="M40" i="64"/>
  <c r="N40" i="64"/>
  <c r="E41" i="64"/>
  <c r="R40" i="64"/>
  <c r="O40" i="64"/>
  <c r="P40" i="64" l="1"/>
  <c r="H41" i="64"/>
  <c r="I41" i="64"/>
  <c r="J41" i="64"/>
  <c r="M41" i="64"/>
  <c r="N41" i="64"/>
  <c r="P41" i="64"/>
  <c r="H42" i="64"/>
  <c r="I42" i="64"/>
  <c r="J42" i="64"/>
  <c r="M42" i="64"/>
  <c r="R41" i="64"/>
  <c r="R42" i="64"/>
  <c r="O41" i="64"/>
  <c r="B42" i="64"/>
  <c r="E42" i="64"/>
  <c r="O42" i="64"/>
  <c r="N42" i="64" l="1"/>
  <c r="P42" i="64" s="1"/>
  <c r="H43" i="64"/>
  <c r="I43" i="64"/>
  <c r="J43" i="64"/>
  <c r="M43" i="64"/>
  <c r="O43" i="64"/>
  <c r="R43" i="64"/>
  <c r="E43" i="64"/>
  <c r="B43" i="64"/>
  <c r="N43" i="64" l="1"/>
  <c r="P43" i="64" s="1"/>
  <c r="H44" i="64"/>
  <c r="I44" i="64"/>
  <c r="J44" i="64"/>
  <c r="M44" i="64"/>
  <c r="R44" i="64"/>
  <c r="B44" i="64"/>
  <c r="O44" i="64"/>
  <c r="E44" i="64"/>
  <c r="N44" i="64" l="1"/>
  <c r="P44" i="64" s="1"/>
  <c r="H45" i="64"/>
  <c r="I45" i="64"/>
  <c r="J45" i="64"/>
  <c r="M45" i="64"/>
  <c r="E45" i="64"/>
  <c r="B45" i="64"/>
  <c r="R45" i="64"/>
  <c r="O45" i="64"/>
  <c r="N45" i="64" l="1"/>
  <c r="P45" i="64" s="1"/>
  <c r="H46" i="64"/>
  <c r="I46" i="64"/>
  <c r="J46" i="64"/>
  <c r="M46" i="64"/>
  <c r="B46" i="64"/>
  <c r="O46" i="64"/>
  <c r="E46" i="64"/>
  <c r="R46" i="64"/>
  <c r="N46" i="64" l="1"/>
  <c r="P46" i="64" s="1"/>
  <c r="H47" i="64"/>
  <c r="I47" i="64"/>
  <c r="J47" i="64"/>
  <c r="M47" i="64"/>
  <c r="R47" i="64"/>
  <c r="B47" i="64"/>
  <c r="O47" i="64"/>
  <c r="E47" i="64"/>
  <c r="N47" i="64" l="1"/>
  <c r="P47" i="64" s="1"/>
  <c r="H48" i="64"/>
  <c r="I48" i="64"/>
  <c r="J48" i="64"/>
  <c r="M48" i="64"/>
  <c r="R48" i="64"/>
  <c r="O48" i="64"/>
  <c r="E48" i="64"/>
  <c r="B48" i="64"/>
  <c r="N48" i="64" l="1"/>
  <c r="P48" i="64" s="1"/>
  <c r="H49" i="64"/>
  <c r="I49" i="64"/>
  <c r="J49" i="64"/>
  <c r="M49" i="64"/>
  <c r="B49" i="64"/>
  <c r="O49" i="64"/>
  <c r="R49" i="64"/>
  <c r="E49" i="64"/>
  <c r="N49" i="64" l="1"/>
  <c r="P49" i="64" s="1"/>
  <c r="H50" i="64"/>
  <c r="I50" i="64"/>
  <c r="J50" i="64"/>
  <c r="M50" i="64"/>
  <c r="R50" i="64"/>
  <c r="E50" i="64"/>
  <c r="O50" i="64"/>
  <c r="B50" i="64"/>
  <c r="N50" i="64" l="1"/>
  <c r="P50" i="64" s="1"/>
  <c r="H51" i="64"/>
  <c r="I51" i="64"/>
  <c r="J51" i="64"/>
  <c r="M51" i="64"/>
  <c r="R51" i="64"/>
  <c r="E51" i="64"/>
  <c r="B51" i="64"/>
  <c r="O51" i="64"/>
  <c r="N51" i="64" l="1"/>
  <c r="P51" i="64" s="1"/>
  <c r="H52" i="64"/>
  <c r="I52" i="64"/>
  <c r="J52" i="64"/>
  <c r="M52" i="64"/>
  <c r="O52" i="64"/>
  <c r="B52" i="64"/>
  <c r="R52" i="64"/>
  <c r="E52" i="64"/>
  <c r="N52" i="64" l="1"/>
  <c r="P52" i="64" s="1"/>
  <c r="H53" i="64"/>
  <c r="I53" i="64"/>
  <c r="J53" i="64"/>
  <c r="M53" i="64"/>
  <c r="R53" i="64"/>
  <c r="E53" i="64"/>
  <c r="B53" i="64"/>
  <c r="O53" i="64"/>
  <c r="N53" i="64" l="1"/>
  <c r="P53" i="64" s="1"/>
  <c r="H54" i="64"/>
  <c r="I54" i="64"/>
  <c r="J54" i="64"/>
  <c r="M54" i="64"/>
  <c r="N54" i="64"/>
  <c r="D64" i="64"/>
  <c r="O54" i="64"/>
  <c r="E54" i="64"/>
  <c r="D65" i="64"/>
  <c r="R54" i="64"/>
  <c r="G64" i="64"/>
  <c r="G65" i="64"/>
  <c r="P54" i="64" l="1"/>
  <c r="P57" i="64" s="1"/>
  <c r="D68" i="64"/>
  <c r="M65" i="64"/>
  <c r="H65" i="64"/>
  <c r="L65" i="64"/>
  <c r="G68" i="64"/>
  <c r="I65" i="64" l="1"/>
  <c r="K68" i="64"/>
  <c r="G69" i="64"/>
  <c r="D69" i="64"/>
  <c r="M68" i="64"/>
  <c r="J65" i="64" l="1"/>
  <c r="I66" i="64"/>
  <c r="H66" i="64" s="1"/>
  <c r="F11" i="64" s="1"/>
  <c r="G72" i="64"/>
  <c r="L69" i="64"/>
  <c r="D72" i="64"/>
  <c r="M69" i="64"/>
  <c r="K65" i="64" l="1"/>
  <c r="K66" i="64" s="1"/>
  <c r="N11" i="64" s="1"/>
  <c r="J66" i="64"/>
  <c r="O11" i="64" s="1"/>
  <c r="J69" i="64"/>
  <c r="I72" i="64"/>
  <c r="F73" i="64"/>
  <c r="I73" i="64"/>
  <c r="H73" i="64" s="1"/>
  <c r="L72" i="64"/>
  <c r="G75" i="64"/>
  <c r="M72" i="64"/>
  <c r="D75" i="64"/>
  <c r="K69" i="64" l="1"/>
  <c r="K70" i="64" s="1"/>
  <c r="J70" i="64"/>
  <c r="O14" i="64" s="1"/>
  <c r="M11" i="64"/>
  <c r="S11" i="64"/>
  <c r="L11" i="64"/>
  <c r="R11" i="64"/>
  <c r="J72" i="64"/>
  <c r="K75" i="64"/>
  <c r="M75" i="64"/>
  <c r="G76" i="64"/>
  <c r="D76" i="64"/>
  <c r="M14" i="64" l="1"/>
  <c r="S14" i="64"/>
  <c r="J73" i="64"/>
  <c r="K72" i="64"/>
  <c r="K73" i="64" s="1"/>
  <c r="H76" i="64"/>
  <c r="D77" i="64"/>
  <c r="M76" i="64"/>
  <c r="G77" i="64"/>
  <c r="L76" i="64"/>
  <c r="I76" i="64" l="1"/>
  <c r="M77" i="64"/>
  <c r="H77" i="64"/>
  <c r="L77" i="64"/>
  <c r="D80" i="64"/>
  <c r="G80" i="64"/>
  <c r="J76" i="64" l="1"/>
  <c r="I78" i="64"/>
  <c r="H78" i="64" s="1"/>
  <c r="F9" i="64" s="1"/>
  <c r="I77" i="64"/>
  <c r="J77" i="64" s="1"/>
  <c r="K77" i="64" s="1"/>
  <c r="K80" i="64"/>
  <c r="M80" i="64"/>
  <c r="D81" i="64"/>
  <c r="G81" i="64"/>
  <c r="L9" i="64" l="1"/>
  <c r="N9" i="64"/>
  <c r="R9" i="64" s="1"/>
  <c r="K76" i="64"/>
  <c r="K78" i="64" s="1"/>
  <c r="J78" i="64"/>
  <c r="O9" i="64" s="1"/>
  <c r="L81" i="64"/>
  <c r="G84" i="64"/>
  <c r="D84" i="64"/>
  <c r="H81" i="64"/>
  <c r="M81" i="64"/>
  <c r="M9" i="64" l="1"/>
  <c r="S9" i="64"/>
  <c r="I81" i="64"/>
  <c r="K84" i="64"/>
  <c r="M84" i="64"/>
  <c r="D86" i="64"/>
  <c r="M85" i="64"/>
  <c r="L85" i="64"/>
  <c r="H85" i="64"/>
  <c r="G86" i="64"/>
  <c r="D85" i="64"/>
  <c r="G85" i="64"/>
  <c r="J81" i="64" l="1"/>
  <c r="I82" i="64"/>
  <c r="H82" i="64" s="1"/>
  <c r="F7" i="64" s="1"/>
  <c r="I85" i="64"/>
  <c r="M86" i="64"/>
  <c r="D87" i="64"/>
  <c r="L86" i="64"/>
  <c r="H86" i="64"/>
  <c r="G87" i="64"/>
  <c r="L7" i="64" l="1"/>
  <c r="N7" i="64"/>
  <c r="R7" i="64" s="1"/>
  <c r="J85" i="64"/>
  <c r="K81" i="64"/>
  <c r="K82" i="64" s="1"/>
  <c r="J82" i="64"/>
  <c r="O7" i="64" s="1"/>
  <c r="I86" i="64"/>
  <c r="J86" i="64" s="1"/>
  <c r="K86" i="64" s="1"/>
  <c r="H87" i="64"/>
  <c r="L87" i="64"/>
  <c r="M87" i="64"/>
  <c r="D90" i="64"/>
  <c r="G90" i="64"/>
  <c r="K85" i="64" l="1"/>
  <c r="M7" i="64"/>
  <c r="S7" i="64"/>
  <c r="I87" i="64"/>
  <c r="J87" i="64" s="1"/>
  <c r="K87" i="64" s="1"/>
  <c r="K90" i="64"/>
  <c r="D92" i="64"/>
  <c r="M90" i="64"/>
  <c r="H91" i="64"/>
  <c r="G91" i="64"/>
  <c r="L91" i="64"/>
  <c r="G92" i="64"/>
  <c r="M91" i="64"/>
  <c r="D91" i="64"/>
  <c r="J88" i="64" l="1"/>
  <c r="O12" i="64" s="1"/>
  <c r="I88" i="64"/>
  <c r="H88" i="64" s="1"/>
  <c r="F12" i="64" s="1"/>
  <c r="K88" i="64"/>
  <c r="I91" i="64"/>
  <c r="H92" i="64"/>
  <c r="G95" i="64"/>
  <c r="M92" i="64"/>
  <c r="L92" i="64"/>
  <c r="D95" i="64"/>
  <c r="N12" i="64" l="1"/>
  <c r="R12" i="64" s="1"/>
  <c r="L12" i="64"/>
  <c r="J91" i="64"/>
  <c r="M12" i="64"/>
  <c r="S12" i="64"/>
  <c r="I92" i="64"/>
  <c r="J92" i="64" s="1"/>
  <c r="K92" i="64" s="1"/>
  <c r="K95" i="64"/>
  <c r="L96" i="64"/>
  <c r="M96" i="64"/>
  <c r="D96" i="64"/>
  <c r="M95" i="64"/>
  <c r="D97" i="64"/>
  <c r="G97" i="64"/>
  <c r="G96" i="64"/>
  <c r="H96" i="64"/>
  <c r="K91" i="64" l="1"/>
  <c r="K93" i="64" s="1"/>
  <c r="J93" i="64"/>
  <c r="O5" i="64" s="1"/>
  <c r="I93" i="64"/>
  <c r="H93" i="64" s="1"/>
  <c r="F5" i="64" s="1"/>
  <c r="I96" i="64"/>
  <c r="H97" i="64"/>
  <c r="L97" i="64"/>
  <c r="M97" i="64"/>
  <c r="G98" i="64"/>
  <c r="D98" i="64"/>
  <c r="J96" i="64" l="1"/>
  <c r="L5" i="64"/>
  <c r="N5" i="64"/>
  <c r="M5" i="64"/>
  <c r="S5" i="64"/>
  <c r="I97" i="64"/>
  <c r="J97" i="64" s="1"/>
  <c r="K97" i="64" s="1"/>
  <c r="L98" i="64"/>
  <c r="H98" i="64"/>
  <c r="M98" i="64"/>
  <c r="D99" i="64"/>
  <c r="G99" i="64"/>
  <c r="R5" i="64" l="1"/>
  <c r="K96" i="64"/>
  <c r="I98" i="64"/>
  <c r="J98" i="64" s="1"/>
  <c r="K98" i="64" s="1"/>
  <c r="M99" i="64"/>
  <c r="H99" i="64"/>
  <c r="L99" i="64"/>
  <c r="D100" i="64"/>
  <c r="G100" i="64"/>
  <c r="I99" i="64" l="1"/>
  <c r="J99" i="64" s="1"/>
  <c r="K99" i="64" s="1"/>
  <c r="G103" i="64"/>
  <c r="L100" i="64"/>
  <c r="M100" i="64"/>
  <c r="H100" i="64"/>
  <c r="D103" i="64"/>
  <c r="I100" i="64" l="1"/>
  <c r="D106" i="64"/>
  <c r="M103" i="64"/>
  <c r="J100" i="64" l="1"/>
  <c r="I101" i="64"/>
  <c r="H101" i="64" s="1"/>
  <c r="F10" i="64" s="1"/>
  <c r="F106" i="64"/>
  <c r="M106" i="64"/>
  <c r="G106" i="64"/>
  <c r="H106" i="64"/>
  <c r="L106" i="64"/>
  <c r="D107" i="64"/>
  <c r="G107" i="64"/>
  <c r="L10" i="64" l="1"/>
  <c r="N10" i="64"/>
  <c r="R10" i="64" s="1"/>
  <c r="K100" i="64"/>
  <c r="K101" i="64" s="1"/>
  <c r="J101" i="64"/>
  <c r="O10" i="64" s="1"/>
  <c r="I106" i="64"/>
  <c r="J106" i="64" s="1"/>
  <c r="K106" i="64" s="1"/>
  <c r="L107" i="64"/>
  <c r="H107" i="64"/>
  <c r="D108" i="64"/>
  <c r="M107" i="64"/>
  <c r="G108" i="64"/>
  <c r="S10" i="64" l="1"/>
  <c r="M10" i="64"/>
  <c r="I107" i="64"/>
  <c r="J107" i="64" s="1"/>
  <c r="K107" i="64" s="1"/>
  <c r="D109" i="64"/>
  <c r="H108" i="64"/>
  <c r="M108" i="64"/>
  <c r="L108" i="64"/>
  <c r="G109" i="64"/>
  <c r="I108" i="64" l="1"/>
  <c r="J108" i="64" s="1"/>
  <c r="K108" i="64" s="1"/>
  <c r="F110" i="64"/>
  <c r="D112" i="64"/>
  <c r="M109" i="64"/>
  <c r="L109" i="64"/>
  <c r="H109" i="64"/>
  <c r="I109" i="64" l="1"/>
  <c r="F112" i="64"/>
  <c r="H112" i="64"/>
  <c r="D113" i="64"/>
  <c r="L112" i="64"/>
  <c r="M112" i="64"/>
  <c r="G112" i="64"/>
  <c r="G113" i="64"/>
  <c r="J109" i="64" l="1"/>
  <c r="I110" i="64"/>
  <c r="H110" i="64" s="1"/>
  <c r="I112" i="64"/>
  <c r="J112" i="64" s="1"/>
  <c r="K112" i="64" s="1"/>
  <c r="H113" i="64"/>
  <c r="D114" i="64"/>
  <c r="L113" i="64"/>
  <c r="G114" i="64"/>
  <c r="M113" i="64"/>
  <c r="K109" i="64" l="1"/>
  <c r="K110" i="64" s="1"/>
  <c r="J110" i="64"/>
  <c r="I113" i="64"/>
  <c r="J113" i="64" s="1"/>
  <c r="K113" i="64" s="1"/>
  <c r="D115" i="64"/>
  <c r="L114" i="64"/>
  <c r="M114" i="64"/>
  <c r="H114" i="64"/>
  <c r="G115" i="64"/>
  <c r="I114" i="64" l="1"/>
  <c r="J114" i="64" s="1"/>
  <c r="K114" i="64" s="1"/>
  <c r="F116" i="64"/>
  <c r="D116" i="64" s="1"/>
  <c r="G118" i="64"/>
  <c r="M115" i="64"/>
  <c r="L115" i="64"/>
  <c r="H115" i="64"/>
  <c r="D118" i="64"/>
  <c r="I115" i="64" l="1"/>
  <c r="J115" i="64" s="1"/>
  <c r="K115" i="64" s="1"/>
  <c r="I116" i="64"/>
  <c r="H116" i="64" s="1"/>
  <c r="K116" i="64"/>
  <c r="J116" i="64"/>
  <c r="K118" i="64"/>
  <c r="K119" i="64" s="1"/>
  <c r="K121" i="64"/>
  <c r="D121" i="64"/>
  <c r="D122" i="64"/>
  <c r="M118" i="64"/>
  <c r="M121" i="64"/>
  <c r="G122" i="64"/>
  <c r="G123" i="64"/>
  <c r="L122" i="64"/>
  <c r="M122" i="64"/>
  <c r="G121" i="64"/>
  <c r="D123" i="64"/>
  <c r="J122" i="64" l="1"/>
  <c r="M123" i="64"/>
  <c r="H123" i="64"/>
  <c r="L123" i="64"/>
  <c r="D126" i="64"/>
  <c r="K122" i="64" l="1"/>
  <c r="I123" i="64"/>
  <c r="F126" i="64"/>
  <c r="G126" i="64"/>
  <c r="J123" i="64" l="1"/>
  <c r="I124" i="64"/>
  <c r="H124" i="64" s="1"/>
  <c r="F6" i="64" s="1"/>
  <c r="I126" i="64"/>
  <c r="J126" i="64" s="1"/>
  <c r="D127" i="64"/>
  <c r="L126" i="64"/>
  <c r="M126" i="64"/>
  <c r="G127" i="64"/>
  <c r="L6" i="64" l="1"/>
  <c r="N6" i="64"/>
  <c r="K123" i="64"/>
  <c r="K124" i="64" s="1"/>
  <c r="J124" i="64"/>
  <c r="O6" i="64" s="1"/>
  <c r="K126" i="64"/>
  <c r="I127" i="64"/>
  <c r="I128" i="64" s="1"/>
  <c r="H128" i="64" s="1"/>
  <c r="F128" i="64"/>
  <c r="D130" i="64"/>
  <c r="L127" i="64"/>
  <c r="M127" i="64"/>
  <c r="J127" i="64" l="1"/>
  <c r="J128" i="64" s="1"/>
  <c r="M6" i="64"/>
  <c r="M20" i="64" s="1"/>
  <c r="S6" i="64"/>
  <c r="S20" i="64" s="1"/>
  <c r="O20" i="64"/>
  <c r="S21" i="64" s="1"/>
  <c r="R6" i="64"/>
  <c r="K127" i="64"/>
  <c r="K128" i="64" s="1"/>
  <c r="F130" i="64"/>
  <c r="G130" i="64"/>
  <c r="I130" i="64" l="1"/>
  <c r="J130" i="64"/>
  <c r="L130" i="64"/>
  <c r="M130" i="64"/>
  <c r="D131" i="64"/>
  <c r="G131" i="64"/>
  <c r="K130" i="64" l="1"/>
  <c r="I131" i="64"/>
  <c r="J131" i="64" s="1"/>
  <c r="L131" i="64"/>
  <c r="G132" i="64"/>
  <c r="M131" i="64"/>
  <c r="D132" i="64"/>
  <c r="K131" i="64" l="1"/>
  <c r="I132" i="64"/>
  <c r="J132" i="64" s="1"/>
  <c r="J133" i="64" s="1"/>
  <c r="H133" i="64" s="1"/>
  <c r="F133" i="64"/>
  <c r="I133" i="64"/>
  <c r="M132" i="64"/>
  <c r="L132" i="64"/>
  <c r="D135" i="64"/>
  <c r="G135" i="64"/>
  <c r="K132" i="64" l="1"/>
  <c r="K133" i="64" s="1"/>
  <c r="M136" i="64"/>
  <c r="M135" i="64"/>
  <c r="L136" i="64"/>
  <c r="D137" i="64"/>
  <c r="D136" i="64"/>
  <c r="G136" i="64"/>
  <c r="G137" i="64"/>
  <c r="K136" i="64" l="1"/>
  <c r="I138" i="64"/>
  <c r="L137" i="64"/>
  <c r="M137" i="64"/>
  <c r="D140" i="64"/>
  <c r="K137" i="64" l="1"/>
  <c r="K138" i="64" s="1"/>
  <c r="N18" i="64" s="1"/>
  <c r="F140" i="64"/>
  <c r="G140" i="64"/>
  <c r="R18" i="64" l="1"/>
  <c r="L18" i="64"/>
  <c r="I140" i="64"/>
  <c r="J140" i="64" s="1"/>
  <c r="G141" i="64"/>
  <c r="M140" i="64"/>
  <c r="L140" i="64"/>
  <c r="D141" i="64"/>
  <c r="K140" i="64" l="1"/>
  <c r="I141" i="64"/>
  <c r="J141" i="64"/>
  <c r="D142" i="64"/>
  <c r="L141" i="64"/>
  <c r="M141" i="64"/>
  <c r="G142" i="64"/>
  <c r="K141" i="64" l="1"/>
  <c r="I142" i="64"/>
  <c r="J142" i="64" s="1"/>
  <c r="J143" i="64" s="1"/>
  <c r="H143" i="64" s="1"/>
  <c r="F143" i="64"/>
  <c r="I143" i="64"/>
  <c r="M142" i="64"/>
  <c r="L142" i="64"/>
  <c r="D145" i="64"/>
  <c r="K142" i="64" l="1"/>
  <c r="K143" i="64" s="1"/>
  <c r="F145" i="64"/>
  <c r="I145" i="64"/>
  <c r="J145" i="64"/>
  <c r="D146" i="64"/>
  <c r="M145" i="64"/>
  <c r="G146" i="64"/>
  <c r="G145" i="64"/>
  <c r="L145" i="64"/>
  <c r="K145" i="64" l="1"/>
  <c r="I146" i="64"/>
  <c r="J146" i="64" s="1"/>
  <c r="F147" i="64"/>
  <c r="I147" i="64"/>
  <c r="M146" i="64"/>
  <c r="L146" i="64"/>
  <c r="D149" i="64"/>
  <c r="G149" i="64"/>
  <c r="K146" i="64" l="1"/>
  <c r="K147" i="64" s="1"/>
  <c r="J147" i="64"/>
  <c r="H147" i="64" s="1"/>
  <c r="I151" i="64"/>
  <c r="D150" i="64"/>
  <c r="D153" i="64"/>
  <c r="G150" i="64"/>
  <c r="M149" i="64"/>
  <c r="L150" i="64"/>
  <c r="M150" i="64"/>
  <c r="G153" i="64"/>
  <c r="K150" i="64" l="1"/>
  <c r="K151" i="64" s="1"/>
  <c r="I154" i="64"/>
  <c r="D156" i="64"/>
  <c r="G157" i="64"/>
  <c r="D157" i="64"/>
  <c r="M156" i="64"/>
  <c r="G156" i="64"/>
  <c r="M153" i="64"/>
  <c r="I158" i="64" l="1"/>
  <c r="L157" i="64"/>
  <c r="M157" i="64"/>
  <c r="G160" i="64"/>
  <c r="D160" i="64"/>
  <c r="K157" i="64" l="1"/>
  <c r="K158" i="64" s="1"/>
  <c r="N16" i="64" s="1"/>
  <c r="I161" i="64"/>
  <c r="M160" i="64"/>
  <c r="D163" i="64"/>
  <c r="G163" i="64"/>
  <c r="L16" i="64" l="1"/>
  <c r="L20" i="64" s="1"/>
  <c r="R16" i="64"/>
  <c r="R20" i="64" s="1"/>
  <c r="N20" i="64"/>
  <c r="I164" i="64"/>
  <c r="M163" i="64"/>
  <c r="G166" i="64"/>
  <c r="D166" i="64"/>
  <c r="F56" i="101" l="1"/>
  <c r="F46" i="101"/>
  <c r="E4" i="101" s="1"/>
  <c r="F31" i="101"/>
  <c r="E5" i="101"/>
  <c r="F27" i="101"/>
  <c r="E6" i="101" s="1"/>
  <c r="F42" i="101"/>
  <c r="E7" i="101" s="1"/>
  <c r="F52" i="101"/>
  <c r="E8" i="101"/>
  <c r="F38" i="101"/>
  <c r="E9" i="101" s="1"/>
  <c r="F49" i="101"/>
  <c r="E10" i="101" s="1"/>
  <c r="F35" i="101"/>
  <c r="E11" i="101" s="1"/>
  <c r="I54" i="101"/>
  <c r="J54" i="101" s="1"/>
  <c r="I55" i="101"/>
  <c r="J55" i="101" s="1"/>
  <c r="Q4" i="101"/>
  <c r="P1" i="101"/>
  <c r="Q7" i="101"/>
  <c r="G5" i="101"/>
  <c r="R7" i="101"/>
  <c r="G8" i="101"/>
  <c r="R6" i="101"/>
  <c r="Q10" i="101"/>
  <c r="G1" i="101"/>
  <c r="Q11" i="101"/>
  <c r="G10" i="101"/>
  <c r="G7" i="101"/>
  <c r="R10" i="101"/>
  <c r="R4" i="101"/>
  <c r="I1" i="101"/>
  <c r="L54" i="101"/>
  <c r="G4" i="101"/>
  <c r="G6" i="101"/>
  <c r="G11" i="101"/>
  <c r="Q8" i="101"/>
  <c r="G9" i="101"/>
  <c r="R11" i="101"/>
  <c r="F2" i="101"/>
  <c r="Q5" i="101"/>
  <c r="H2" i="101"/>
  <c r="Q6" i="101"/>
  <c r="R8" i="101"/>
  <c r="K1" i="101"/>
  <c r="R5" i="101"/>
  <c r="Q9" i="101"/>
  <c r="R9" i="101"/>
  <c r="M4" i="101" l="1"/>
  <c r="N4" i="101" s="1"/>
  <c r="M8" i="101"/>
  <c r="N8" i="101" s="1"/>
  <c r="M9" i="101"/>
  <c r="N9" i="101" s="1"/>
  <c r="M6" i="101"/>
  <c r="N6" i="101" s="1"/>
  <c r="M10" i="101"/>
  <c r="N10" i="101" s="1"/>
  <c r="M5" i="101"/>
  <c r="N5" i="101" s="1"/>
  <c r="M11" i="101"/>
  <c r="N11" i="101" s="1"/>
  <c r="M7" i="101"/>
  <c r="N7" i="101" s="1"/>
  <c r="J56" i="101"/>
  <c r="H56" i="101" s="1"/>
  <c r="K54" i="101"/>
  <c r="K56" i="101" s="1"/>
  <c r="L55" i="101"/>
  <c r="B4" i="101"/>
  <c r="K55" i="101" l="1"/>
  <c r="N13" i="101"/>
  <c r="D4" i="101" s="1"/>
  <c r="I44" i="101"/>
  <c r="J44" i="101"/>
  <c r="I45" i="101"/>
  <c r="J45" i="101" s="1"/>
  <c r="J46" i="101" s="1"/>
  <c r="H46" i="101" s="1"/>
  <c r="F4" i="101" s="1"/>
  <c r="L44" i="101"/>
  <c r="H4" i="101"/>
  <c r="K44" i="101" l="1"/>
  <c r="J4" i="101"/>
  <c r="L4" i="101"/>
  <c r="P4" i="101" s="1"/>
  <c r="T4" i="101"/>
  <c r="B5" i="101"/>
  <c r="S4" i="101"/>
  <c r="L45" i="101"/>
  <c r="K45" i="101" l="1"/>
  <c r="K46" i="101" s="1"/>
  <c r="K4" i="101" s="1"/>
  <c r="I4" i="101" s="1"/>
  <c r="D5" i="101"/>
  <c r="I29" i="101"/>
  <c r="J29" i="101" s="1"/>
  <c r="I30" i="101"/>
  <c r="J30" i="101" s="1"/>
  <c r="H5" i="101"/>
  <c r="L29" i="101"/>
  <c r="O4" i="101" l="1"/>
  <c r="J31" i="101"/>
  <c r="H31" i="101" s="1"/>
  <c r="F5" i="101" s="1"/>
  <c r="K29" i="101"/>
  <c r="K31" i="101" s="1"/>
  <c r="K5" i="101" s="1"/>
  <c r="J5" i="101"/>
  <c r="L5" i="101"/>
  <c r="P5" i="101"/>
  <c r="L30" i="101"/>
  <c r="B6" i="101"/>
  <c r="T5" i="101"/>
  <c r="S5" i="101"/>
  <c r="K30" i="101" l="1"/>
  <c r="O5" i="101"/>
  <c r="I5" i="101"/>
  <c r="D6" i="101"/>
  <c r="I26" i="101"/>
  <c r="J26" i="101" s="1"/>
  <c r="J27" i="101" s="1"/>
  <c r="H27" i="101" s="1"/>
  <c r="F6" i="101" s="1"/>
  <c r="L26" i="101"/>
  <c r="H6" i="101"/>
  <c r="K26" i="101" l="1"/>
  <c r="K27" i="101" s="1"/>
  <c r="K6" i="101" s="1"/>
  <c r="J6" i="101"/>
  <c r="L6" i="101"/>
  <c r="P6" i="101"/>
  <c r="T6" i="101"/>
  <c r="B7" i="101"/>
  <c r="S6" i="101"/>
  <c r="I6" i="101" l="1"/>
  <c r="O6" i="101"/>
  <c r="D7" i="101"/>
  <c r="I40" i="101"/>
  <c r="J40" i="101"/>
  <c r="I41" i="101"/>
  <c r="J41" i="101" s="1"/>
  <c r="J42" i="101" s="1"/>
  <c r="H42" i="101" s="1"/>
  <c r="F7" i="101" s="1"/>
  <c r="J7" i="101"/>
  <c r="L7" i="101"/>
  <c r="P7" i="101"/>
  <c r="H7" i="101"/>
  <c r="L40" i="101"/>
  <c r="L41" i="101"/>
  <c r="S7" i="101"/>
  <c r="B8" i="101"/>
  <c r="T7" i="101"/>
  <c r="K40" i="101" l="1"/>
  <c r="K42" i="101" s="1"/>
  <c r="K7" i="101" s="1"/>
  <c r="I7" i="101" s="1"/>
  <c r="K41" i="101"/>
  <c r="D8" i="101"/>
  <c r="I51" i="101"/>
  <c r="J51" i="101" s="1"/>
  <c r="J52" i="101" s="1"/>
  <c r="H52" i="101" s="1"/>
  <c r="F8" i="101" s="1"/>
  <c r="J8" i="101"/>
  <c r="L8" i="101"/>
  <c r="P8" i="101" s="1"/>
  <c r="S8" i="101"/>
  <c r="L51" i="101"/>
  <c r="B9" i="101"/>
  <c r="H8" i="101"/>
  <c r="T8" i="101"/>
  <c r="O7" i="101" l="1"/>
  <c r="K51" i="101"/>
  <c r="K52" i="101" s="1"/>
  <c r="K8" i="101" s="1"/>
  <c r="I8" i="101" s="1"/>
  <c r="D9" i="101"/>
  <c r="I37" i="101"/>
  <c r="J37" i="101" s="1"/>
  <c r="J38" i="101" s="1"/>
  <c r="H38" i="101" s="1"/>
  <c r="F9" i="101" s="1"/>
  <c r="J9" i="101"/>
  <c r="L9" i="101"/>
  <c r="P9" i="101" s="1"/>
  <c r="H9" i="101"/>
  <c r="S9" i="101"/>
  <c r="T9" i="101"/>
  <c r="L37" i="101"/>
  <c r="B10" i="101"/>
  <c r="O8" i="101" l="1"/>
  <c r="K37" i="101"/>
  <c r="K38" i="101" s="1"/>
  <c r="K9" i="101" s="1"/>
  <c r="I9" i="101" s="1"/>
  <c r="D10" i="101"/>
  <c r="I48" i="101"/>
  <c r="J48" i="101"/>
  <c r="J49" i="101"/>
  <c r="H49" i="101" s="1"/>
  <c r="F10" i="101" s="1"/>
  <c r="J10" i="101"/>
  <c r="L10" i="101"/>
  <c r="P10" i="101"/>
  <c r="H10" i="101"/>
  <c r="L48" i="101"/>
  <c r="S10" i="101"/>
  <c r="T10" i="101"/>
  <c r="B11" i="101"/>
  <c r="O9" i="101" l="1"/>
  <c r="K48" i="101"/>
  <c r="K49" i="101" s="1"/>
  <c r="K10" i="101" s="1"/>
  <c r="I10" i="101" s="1"/>
  <c r="D11" i="101"/>
  <c r="I33" i="101"/>
  <c r="J33" i="101" s="1"/>
  <c r="I34" i="101"/>
  <c r="J34" i="101" s="1"/>
  <c r="H11" i="101"/>
  <c r="L33" i="101"/>
  <c r="O10" i="101" l="1"/>
  <c r="J35" i="101"/>
  <c r="H35" i="101" s="1"/>
  <c r="F11" i="101" s="1"/>
  <c r="K33" i="101"/>
  <c r="K35" i="101" s="1"/>
  <c r="K11" i="101" s="1"/>
  <c r="J11" i="101"/>
  <c r="J13" i="101" s="1"/>
  <c r="L11" i="101"/>
  <c r="P11" i="101" s="1"/>
  <c r="L34" i="101"/>
  <c r="T11" i="101"/>
  <c r="S11" i="101"/>
  <c r="K34" i="101" l="1"/>
  <c r="I11" i="101"/>
  <c r="I13" i="101" s="1"/>
  <c r="O11" i="101"/>
  <c r="O13" i="101" s="1"/>
  <c r="D12" i="101"/>
  <c r="D13" i="101" s="1"/>
  <c r="R12" i="101"/>
  <c r="R13" i="101" s="1"/>
  <c r="N14" i="101" s="1"/>
  <c r="M13" i="101"/>
  <c r="K13" i="101"/>
  <c r="L13" i="101"/>
  <c r="P13" i="101"/>
  <c r="Q13" i="101"/>
  <c r="B18" i="101"/>
  <c r="E18" i="101"/>
  <c r="M14" i="101" l="1"/>
  <c r="H18" i="101"/>
  <c r="I18" i="101"/>
  <c r="J18" i="101"/>
  <c r="N18" i="101" s="1"/>
  <c r="M18" i="101"/>
  <c r="P18" i="101"/>
  <c r="P19" i="101"/>
  <c r="I27" i="101"/>
  <c r="I31" i="101"/>
  <c r="I35" i="101"/>
  <c r="I38" i="101"/>
  <c r="I42" i="101"/>
  <c r="I46" i="101"/>
  <c r="I49" i="101"/>
  <c r="I52" i="101"/>
  <c r="I56" i="101"/>
  <c r="F5" i="96"/>
  <c r="E5" i="96"/>
  <c r="F6" i="96"/>
  <c r="E6" i="96"/>
  <c r="F59" i="96"/>
  <c r="I58" i="96"/>
  <c r="I59" i="96" s="1"/>
  <c r="H59" i="96" s="1"/>
  <c r="M48" i="101"/>
  <c r="G1" i="96"/>
  <c r="M58" i="96"/>
  <c r="G58" i="96"/>
  <c r="D26" i="101"/>
  <c r="L58" i="96"/>
  <c r="Z6" i="96"/>
  <c r="H6" i="96"/>
  <c r="U13" i="96"/>
  <c r="E1" i="96"/>
  <c r="G44" i="101"/>
  <c r="J4" i="96"/>
  <c r="M33" i="101"/>
  <c r="D44" i="101"/>
  <c r="K1" i="96"/>
  <c r="D30" i="101"/>
  <c r="G10" i="96"/>
  <c r="U10" i="96"/>
  <c r="U9" i="96"/>
  <c r="M45" i="101"/>
  <c r="G41" i="101"/>
  <c r="X6" i="96"/>
  <c r="G12" i="96"/>
  <c r="AB5" i="96"/>
  <c r="K6" i="96"/>
  <c r="D33" i="101"/>
  <c r="AA6" i="96"/>
  <c r="D45" i="101"/>
  <c r="G40" i="101"/>
  <c r="D34" i="101"/>
  <c r="R18" i="101"/>
  <c r="D41" i="101"/>
  <c r="M34" i="101"/>
  <c r="D37" i="101"/>
  <c r="D51" i="101"/>
  <c r="G30" i="101"/>
  <c r="M40" i="101"/>
  <c r="D29" i="101"/>
  <c r="G51" i="101"/>
  <c r="M51" i="101"/>
  <c r="D40" i="101"/>
  <c r="D55" i="101"/>
  <c r="W6" i="96"/>
  <c r="G9" i="96"/>
  <c r="G33" i="101"/>
  <c r="V6" i="96"/>
  <c r="G54" i="101"/>
  <c r="AC6" i="96"/>
  <c r="G6" i="96"/>
  <c r="M54" i="101"/>
  <c r="G45" i="101"/>
  <c r="T6" i="96"/>
  <c r="AB6" i="96"/>
  <c r="G55" i="101"/>
  <c r="G26" i="101"/>
  <c r="G37" i="101"/>
  <c r="G29" i="101"/>
  <c r="D54" i="101"/>
  <c r="M29" i="101"/>
  <c r="G48" i="101"/>
  <c r="Y6" i="96"/>
  <c r="I1" i="96"/>
  <c r="O18" i="101"/>
  <c r="U12" i="96"/>
  <c r="U7" i="96"/>
  <c r="P1" i="96"/>
  <c r="M41" i="101"/>
  <c r="M44" i="101"/>
  <c r="M37" i="101"/>
  <c r="J5" i="96"/>
  <c r="D58" i="96"/>
  <c r="G34" i="101"/>
  <c r="M30" i="101"/>
  <c r="U8" i="96"/>
  <c r="U11" i="96"/>
  <c r="G8" i="96"/>
  <c r="G7" i="96"/>
  <c r="AC5" i="96"/>
  <c r="AB4" i="96"/>
  <c r="D48" i="101"/>
  <c r="J6" i="96"/>
  <c r="G13" i="96"/>
  <c r="M55" i="101"/>
  <c r="AC4" i="96"/>
  <c r="M26" i="101"/>
  <c r="G11" i="96"/>
  <c r="L6" i="96" l="1"/>
  <c r="I6" i="96"/>
  <c r="P6" i="96"/>
  <c r="N6" i="96"/>
  <c r="J58" i="96"/>
  <c r="F53" i="96"/>
  <c r="E4" i="96" s="1"/>
  <c r="G4" i="96"/>
  <c r="Q6" i="96" l="1"/>
  <c r="R6" i="96"/>
  <c r="J59" i="96"/>
  <c r="O5" i="96" s="1"/>
  <c r="K58" i="96"/>
  <c r="K59" i="96" s="1"/>
  <c r="P4" i="96"/>
  <c r="Q4" i="96" s="1"/>
  <c r="F56" i="96"/>
  <c r="G5" i="96"/>
  <c r="U6" i="96" l="1"/>
  <c r="P5" i="96"/>
  <c r="Q5" i="96" s="1"/>
  <c r="F42" i="96"/>
  <c r="E7" i="96"/>
  <c r="P7" i="96"/>
  <c r="Q7" i="96" s="1"/>
  <c r="F35" i="96"/>
  <c r="E8" i="96"/>
  <c r="P8" i="96"/>
  <c r="Q8" i="96" s="1"/>
  <c r="F50" i="96"/>
  <c r="E9" i="96" s="1"/>
  <c r="P9" i="96"/>
  <c r="Q9" i="96" s="1"/>
  <c r="F45" i="96"/>
  <c r="E10" i="96"/>
  <c r="P10" i="96"/>
  <c r="Q10" i="96" s="1"/>
  <c r="F29" i="96"/>
  <c r="E11" i="96"/>
  <c r="P11" i="96"/>
  <c r="Q11" i="96" s="1"/>
  <c r="F32" i="96"/>
  <c r="E12" i="96"/>
  <c r="P12" i="96"/>
  <c r="Q12" i="96" s="1"/>
  <c r="F38" i="96"/>
  <c r="E13" i="96" s="1"/>
  <c r="P13" i="96"/>
  <c r="Q13" i="96" s="1"/>
  <c r="I52" i="96"/>
  <c r="I53" i="96" s="1"/>
  <c r="H53" i="96" s="1"/>
  <c r="F4" i="96" s="1"/>
  <c r="H4" i="96"/>
  <c r="Q15" i="96" l="1"/>
  <c r="I4" i="96"/>
  <c r="K4" i="96"/>
  <c r="D4" i="96" l="1"/>
  <c r="D6" i="96"/>
  <c r="J52" i="96"/>
  <c r="M4" i="96"/>
  <c r="O4" i="96"/>
  <c r="S4" i="96" s="1"/>
  <c r="L52" i="96"/>
  <c r="T4" i="96"/>
  <c r="K52" i="96" l="1"/>
  <c r="K53" i="96" s="1"/>
  <c r="N4" i="96" s="1"/>
  <c r="U4" i="96"/>
  <c r="X4" i="96"/>
  <c r="Y4" i="96"/>
  <c r="Z4" i="96"/>
  <c r="V4" i="96"/>
  <c r="AA4" i="96"/>
  <c r="W4" i="96"/>
  <c r="R4" i="96" l="1"/>
  <c r="L4" i="96"/>
  <c r="D5" i="96"/>
  <c r="I55" i="96"/>
  <c r="I56" i="96"/>
  <c r="H56" i="96" s="1"/>
  <c r="H5" i="96"/>
  <c r="I5" i="96" l="1"/>
  <c r="L5" i="96"/>
  <c r="N5" i="96"/>
  <c r="R5" i="96" s="1"/>
  <c r="L55" i="96"/>
  <c r="T5" i="96"/>
  <c r="K5" i="96"/>
  <c r="J55" i="96" l="1"/>
  <c r="J56" i="96" s="1"/>
  <c r="U5" i="96"/>
  <c r="Y5" i="96"/>
  <c r="AA5" i="96"/>
  <c r="Z5" i="96"/>
  <c r="V5" i="96"/>
  <c r="W5" i="96"/>
  <c r="B7" i="96"/>
  <c r="X5" i="96"/>
  <c r="S5" i="96" l="1"/>
  <c r="O6" i="96"/>
  <c r="D7" i="96"/>
  <c r="I41" i="96"/>
  <c r="I42" i="96"/>
  <c r="H42" i="96" s="1"/>
  <c r="F7" i="96" s="1"/>
  <c r="K7" i="96"/>
  <c r="M5" i="96" l="1"/>
  <c r="S6" i="96"/>
  <c r="M6" i="96"/>
  <c r="J41" i="96"/>
  <c r="M7" i="96"/>
  <c r="O7" i="96"/>
  <c r="S7" i="96" s="1"/>
  <c r="L41" i="96"/>
  <c r="V7" i="96"/>
  <c r="B8" i="96"/>
  <c r="T7" i="96"/>
  <c r="AA7" i="96"/>
  <c r="X7" i="96"/>
  <c r="W7" i="96"/>
  <c r="Z7" i="96"/>
  <c r="Y7" i="96"/>
  <c r="K41" i="96" l="1"/>
  <c r="K42" i="96" s="1"/>
  <c r="N7" i="96" s="1"/>
  <c r="D8" i="96"/>
  <c r="I34" i="96"/>
  <c r="I35" i="96"/>
  <c r="H35" i="96"/>
  <c r="F8" i="96" s="1"/>
  <c r="K8" i="96"/>
  <c r="R7" i="96" l="1"/>
  <c r="L7" i="96"/>
  <c r="J34" i="96"/>
  <c r="M8" i="96"/>
  <c r="O8" i="96"/>
  <c r="S8" i="96"/>
  <c r="Z8" i="96"/>
  <c r="V8" i="96"/>
  <c r="X8" i="96"/>
  <c r="B9" i="96"/>
  <c r="AA8" i="96"/>
  <c r="T8" i="96"/>
  <c r="W8" i="96"/>
  <c r="L34" i="96"/>
  <c r="Y8" i="96"/>
  <c r="K34" i="96" l="1"/>
  <c r="K35" i="96" s="1"/>
  <c r="N8" i="96" s="1"/>
  <c r="D9" i="96"/>
  <c r="I47" i="96"/>
  <c r="I48" i="96"/>
  <c r="I49" i="96"/>
  <c r="I50" i="96" s="1"/>
  <c r="H50" i="96" s="1"/>
  <c r="F9" i="96" s="1"/>
  <c r="K9" i="96"/>
  <c r="R8" i="96" l="1"/>
  <c r="L8" i="96"/>
  <c r="J47" i="96"/>
  <c r="M9" i="96"/>
  <c r="O9" i="96"/>
  <c r="S9" i="96"/>
  <c r="AA9" i="96"/>
  <c r="Y9" i="96"/>
  <c r="W9" i="96"/>
  <c r="Z9" i="96"/>
  <c r="B10" i="96"/>
  <c r="T9" i="96"/>
  <c r="V9" i="96"/>
  <c r="L47" i="96"/>
  <c r="X9" i="96"/>
  <c r="K47" i="96" l="1"/>
  <c r="D10" i="96"/>
  <c r="I44" i="96"/>
  <c r="I45" i="96"/>
  <c r="H45" i="96"/>
  <c r="F10" i="96" s="1"/>
  <c r="K10" i="96"/>
  <c r="J44" i="96" l="1"/>
  <c r="M10" i="96"/>
  <c r="O10" i="96"/>
  <c r="S10" i="96"/>
  <c r="Y10" i="96"/>
  <c r="B11" i="96"/>
  <c r="Z10" i="96"/>
  <c r="V10" i="96"/>
  <c r="AA10" i="96"/>
  <c r="W10" i="96"/>
  <c r="L44" i="96"/>
  <c r="T10" i="96"/>
  <c r="X10" i="96"/>
  <c r="K44" i="96" l="1"/>
  <c r="K45" i="96" s="1"/>
  <c r="N10" i="96" s="1"/>
  <c r="D11" i="96"/>
  <c r="I28" i="96"/>
  <c r="I29" i="96" s="1"/>
  <c r="H29" i="96" s="1"/>
  <c r="F11" i="96" s="1"/>
  <c r="K11" i="96"/>
  <c r="R10" i="96" l="1"/>
  <c r="L10" i="96"/>
  <c r="J28" i="96"/>
  <c r="M11" i="96"/>
  <c r="O11" i="96"/>
  <c r="S11" i="96"/>
  <c r="V11" i="96"/>
  <c r="T11" i="96"/>
  <c r="L28" i="96"/>
  <c r="Y11" i="96"/>
  <c r="W11" i="96"/>
  <c r="X11" i="96"/>
  <c r="AA11" i="96"/>
  <c r="B12" i="96"/>
  <c r="Z11" i="96"/>
  <c r="K28" i="96" l="1"/>
  <c r="K29" i="96" s="1"/>
  <c r="N11" i="96" s="1"/>
  <c r="D12" i="96"/>
  <c r="I31" i="96"/>
  <c r="I32" i="96" s="1"/>
  <c r="H32" i="96" s="1"/>
  <c r="F12" i="96" s="1"/>
  <c r="K12" i="96"/>
  <c r="R11" i="96" l="1"/>
  <c r="L11" i="96"/>
  <c r="J31" i="96"/>
  <c r="M12" i="96"/>
  <c r="O12" i="96"/>
  <c r="S12" i="96"/>
  <c r="B13" i="96"/>
  <c r="L31" i="96"/>
  <c r="X12" i="96"/>
  <c r="AA12" i="96"/>
  <c r="Z12" i="96"/>
  <c r="W12" i="96"/>
  <c r="V12" i="96"/>
  <c r="T12" i="96"/>
  <c r="Y12" i="96"/>
  <c r="K31" i="96" l="1"/>
  <c r="K32" i="96" s="1"/>
  <c r="N12" i="96" s="1"/>
  <c r="D13" i="96"/>
  <c r="I37" i="96"/>
  <c r="I38" i="96" s="1"/>
  <c r="H38" i="96" s="1"/>
  <c r="F13" i="96" s="1"/>
  <c r="K13" i="96"/>
  <c r="R12" i="96" l="1"/>
  <c r="L12" i="96"/>
  <c r="J37" i="96"/>
  <c r="M13" i="96"/>
  <c r="M15" i="96" s="1"/>
  <c r="O13" i="96"/>
  <c r="S13" i="96"/>
  <c r="Y13" i="96"/>
  <c r="T13" i="96"/>
  <c r="Z13" i="96"/>
  <c r="V13" i="96"/>
  <c r="W13" i="96"/>
  <c r="X13" i="96"/>
  <c r="AA13" i="96"/>
  <c r="L37" i="96"/>
  <c r="K37" i="96" l="1"/>
  <c r="K38" i="96" s="1"/>
  <c r="N13" i="96" s="1"/>
  <c r="D14" i="96"/>
  <c r="D15" i="96" s="1"/>
  <c r="U14" i="96"/>
  <c r="U15" i="96" s="1"/>
  <c r="O15" i="96"/>
  <c r="P15" i="96"/>
  <c r="S15" i="96"/>
  <c r="T15" i="96"/>
  <c r="I16" i="96"/>
  <c r="E21" i="96"/>
  <c r="B21" i="96"/>
  <c r="R13" i="96" l="1"/>
  <c r="L13" i="96"/>
  <c r="H21" i="96"/>
  <c r="I21" i="96"/>
  <c r="J21" i="96"/>
  <c r="M21" i="96"/>
  <c r="N21" i="96"/>
  <c r="P21" i="96"/>
  <c r="H22" i="96"/>
  <c r="I22" i="96"/>
  <c r="J22" i="96"/>
  <c r="M22" i="96"/>
  <c r="N22" i="96"/>
  <c r="P22" i="96"/>
  <c r="P23" i="96"/>
  <c r="J29" i="96"/>
  <c r="J32" i="96"/>
  <c r="J35" i="96"/>
  <c r="J38" i="96"/>
  <c r="J42" i="96"/>
  <c r="J45" i="96"/>
  <c r="J48" i="96"/>
  <c r="M37" i="96"/>
  <c r="D31" i="96"/>
  <c r="G49" i="96"/>
  <c r="M47" i="96"/>
  <c r="G41" i="96"/>
  <c r="O22" i="96"/>
  <c r="G37" i="96"/>
  <c r="D37" i="96"/>
  <c r="E22" i="96"/>
  <c r="M31" i="96"/>
  <c r="M48" i="96"/>
  <c r="G31" i="96"/>
  <c r="D41" i="96"/>
  <c r="L48" i="96"/>
  <c r="M41" i="96"/>
  <c r="D48" i="96"/>
  <c r="D28" i="96"/>
  <c r="G47" i="96"/>
  <c r="G48" i="96"/>
  <c r="M34" i="96"/>
  <c r="G44" i="96"/>
  <c r="D47" i="96"/>
  <c r="M28" i="96"/>
  <c r="D34" i="96"/>
  <c r="B22" i="96"/>
  <c r="D49" i="96"/>
  <c r="G34" i="96"/>
  <c r="R21" i="96"/>
  <c r="M44" i="96"/>
  <c r="R22" i="96"/>
  <c r="G28" i="96"/>
  <c r="O21" i="96"/>
  <c r="D44" i="96"/>
  <c r="K48" i="96" l="1"/>
  <c r="J49" i="96"/>
  <c r="J50" i="96" s="1"/>
  <c r="L49" i="96"/>
  <c r="D52" i="96"/>
  <c r="M49" i="96"/>
  <c r="G52" i="96"/>
  <c r="K49" i="96" l="1"/>
  <c r="K50" i="96" s="1"/>
  <c r="N9" i="96" s="1"/>
  <c r="J53" i="96"/>
  <c r="M52" i="96"/>
  <c r="D55" i="96"/>
  <c r="G55" i="96"/>
  <c r="L9" i="96" l="1"/>
  <c r="L15" i="96" s="1"/>
  <c r="R9" i="96"/>
  <c r="R15" i="96" s="1"/>
  <c r="N15" i="96"/>
  <c r="K55" i="96"/>
  <c r="K56" i="96" s="1"/>
  <c r="C4" i="80"/>
  <c r="F26" i="80"/>
  <c r="E4" i="80"/>
  <c r="F29" i="80"/>
  <c r="E5" i="80" s="1"/>
  <c r="C5" i="80"/>
  <c r="F32" i="80"/>
  <c r="E6" i="80" s="1"/>
  <c r="C6" i="80"/>
  <c r="F35" i="80"/>
  <c r="E7" i="80"/>
  <c r="C7" i="80"/>
  <c r="F38" i="80"/>
  <c r="E8" i="80"/>
  <c r="C8" i="80"/>
  <c r="I25" i="80"/>
  <c r="I26" i="80"/>
  <c r="H26" i="80" s="1"/>
  <c r="F4" i="80" s="1"/>
  <c r="J25" i="80"/>
  <c r="L4" i="80"/>
  <c r="K1" i="80"/>
  <c r="G4" i="80"/>
  <c r="V4" i="80"/>
  <c r="G5" i="80"/>
  <c r="X4" i="80"/>
  <c r="G7" i="80"/>
  <c r="R4" i="80"/>
  <c r="M55" i="96"/>
  <c r="H4" i="80"/>
  <c r="G8" i="80"/>
  <c r="S4" i="80"/>
  <c r="B4" i="80"/>
  <c r="U4" i="80"/>
  <c r="I1" i="80"/>
  <c r="G6" i="80"/>
  <c r="B5" i="80"/>
  <c r="G1" i="80"/>
  <c r="W4" i="80"/>
  <c r="L25" i="80"/>
  <c r="P1" i="80"/>
  <c r="T4" i="80"/>
  <c r="N6" i="80" l="1"/>
  <c r="M4" i="80"/>
  <c r="N4" i="80"/>
  <c r="J4" i="80"/>
  <c r="N7" i="80"/>
  <c r="N5" i="80"/>
  <c r="N8" i="80"/>
  <c r="K25" i="80"/>
  <c r="K26" i="80" s="1"/>
  <c r="K4" i="80" s="1"/>
  <c r="I28" i="80"/>
  <c r="I29" i="80"/>
  <c r="H29" i="80"/>
  <c r="F5" i="80" s="1"/>
  <c r="H5" i="80"/>
  <c r="N10" i="80" l="1"/>
  <c r="D4" i="80" s="1"/>
  <c r="P4" i="80"/>
  <c r="Q4" i="80" s="1"/>
  <c r="O4" i="80"/>
  <c r="I4" i="80"/>
  <c r="M5" i="80"/>
  <c r="J28" i="80"/>
  <c r="J5" i="80"/>
  <c r="L5" i="80"/>
  <c r="P5" i="80"/>
  <c r="Q5" i="80" s="1"/>
  <c r="V5" i="80"/>
  <c r="X5" i="80"/>
  <c r="T5" i="80"/>
  <c r="R5" i="80"/>
  <c r="B6" i="80"/>
  <c r="L28" i="80"/>
  <c r="S5" i="80"/>
  <c r="W5" i="80"/>
  <c r="U5" i="80"/>
  <c r="D5" i="80" l="1"/>
  <c r="K28" i="80"/>
  <c r="K29" i="80" s="1"/>
  <c r="K5" i="80" s="1"/>
  <c r="O5" i="80" s="1"/>
  <c r="D6" i="80"/>
  <c r="I31" i="80"/>
  <c r="I32" i="80" s="1"/>
  <c r="H32" i="80" s="1"/>
  <c r="F6" i="80" s="1"/>
  <c r="H6" i="80"/>
  <c r="I5" i="80" l="1"/>
  <c r="M6" i="80"/>
  <c r="J31" i="80"/>
  <c r="J6" i="80"/>
  <c r="L6" i="80"/>
  <c r="P6" i="80"/>
  <c r="Q6" i="80" s="1"/>
  <c r="X6" i="80"/>
  <c r="S6" i="80"/>
  <c r="R6" i="80"/>
  <c r="U6" i="80"/>
  <c r="W6" i="80"/>
  <c r="L31" i="80"/>
  <c r="T6" i="80"/>
  <c r="B7" i="80"/>
  <c r="V6" i="80"/>
  <c r="K31" i="80" l="1"/>
  <c r="K32" i="80" s="1"/>
  <c r="K6" i="80" s="1"/>
  <c r="D7" i="80"/>
  <c r="I34" i="80"/>
  <c r="I35" i="80" s="1"/>
  <c r="H35" i="80" s="1"/>
  <c r="F7" i="80" s="1"/>
  <c r="H7" i="80"/>
  <c r="O6" i="80" l="1"/>
  <c r="I6" i="80"/>
  <c r="M7" i="80"/>
  <c r="J34" i="80"/>
  <c r="J7" i="80"/>
  <c r="L7" i="80"/>
  <c r="P7" i="80"/>
  <c r="Q7" i="80"/>
  <c r="L34" i="80"/>
  <c r="X7" i="80"/>
  <c r="R7" i="80"/>
  <c r="V7" i="80"/>
  <c r="U7" i="80"/>
  <c r="B8" i="80"/>
  <c r="S7" i="80"/>
  <c r="T7" i="80"/>
  <c r="W7" i="80"/>
  <c r="K34" i="80" l="1"/>
  <c r="K35" i="80" s="1"/>
  <c r="K7" i="80" s="1"/>
  <c r="O7" i="80" s="1"/>
  <c r="D8" i="80"/>
  <c r="I37" i="80"/>
  <c r="I38" i="80"/>
  <c r="H38" i="80"/>
  <c r="F8" i="80" s="1"/>
  <c r="H8" i="80"/>
  <c r="I7" i="80" l="1"/>
  <c r="M8" i="80"/>
  <c r="J37" i="80"/>
  <c r="J8" i="80"/>
  <c r="L8" i="80"/>
  <c r="P8" i="80"/>
  <c r="Q8" i="80" s="1"/>
  <c r="V8" i="80"/>
  <c r="T8" i="80"/>
  <c r="L37" i="80"/>
  <c r="S8" i="80"/>
  <c r="U8" i="80"/>
  <c r="W8" i="80"/>
  <c r="R8" i="80"/>
  <c r="X8" i="80"/>
  <c r="K37" i="80" l="1"/>
  <c r="K38" i="80" s="1"/>
  <c r="K8" i="80" s="1"/>
  <c r="D9" i="80"/>
  <c r="D10" i="80"/>
  <c r="K10" i="80"/>
  <c r="L10" i="80"/>
  <c r="M10" i="80"/>
  <c r="P10" i="80"/>
  <c r="P11" i="80"/>
  <c r="E16" i="80"/>
  <c r="O8" i="80" l="1"/>
  <c r="I8" i="80"/>
  <c r="H16" i="80"/>
  <c r="I16" i="80"/>
  <c r="J16" i="80"/>
  <c r="M16" i="80"/>
  <c r="N16" i="80"/>
  <c r="P16" i="80"/>
  <c r="P17" i="80"/>
  <c r="J26" i="80"/>
  <c r="J29" i="80"/>
  <c r="J32" i="80"/>
  <c r="J35" i="80"/>
  <c r="J38" i="80"/>
  <c r="G37" i="80"/>
  <c r="D25" i="80"/>
  <c r="G28" i="80"/>
  <c r="M31" i="80"/>
  <c r="O16" i="80"/>
  <c r="R16" i="80"/>
  <c r="M34" i="80"/>
  <c r="M37" i="80"/>
  <c r="G34" i="80"/>
  <c r="U22" i="61"/>
  <c r="D37" i="80"/>
  <c r="G31" i="80"/>
  <c r="D28" i="80"/>
  <c r="D31" i="80"/>
  <c r="U21" i="61"/>
  <c r="D34" i="80"/>
  <c r="M28" i="80"/>
  <c r="G25" i="80"/>
  <c r="M25" i="80"/>
  <c r="F75" i="61" l="1"/>
  <c r="E4" i="61" s="1"/>
  <c r="F141" i="61"/>
  <c r="E5" i="61"/>
  <c r="F129" i="61"/>
  <c r="E8" i="61" s="1"/>
  <c r="F89" i="61"/>
  <c r="E19" i="61"/>
  <c r="F166" i="61"/>
  <c r="E15" i="61"/>
  <c r="F96" i="61"/>
  <c r="E10" i="61"/>
  <c r="F125" i="61"/>
  <c r="E16" i="61"/>
  <c r="F103" i="61"/>
  <c r="F104" i="61"/>
  <c r="E14" i="61"/>
  <c r="F135" i="61"/>
  <c r="F136" i="61"/>
  <c r="E7" i="61"/>
  <c r="F84" i="61"/>
  <c r="E6" i="61"/>
  <c r="F169" i="61"/>
  <c r="E11" i="61"/>
  <c r="F172" i="61"/>
  <c r="E9" i="61"/>
  <c r="F78" i="61"/>
  <c r="E18" i="61"/>
  <c r="F100" i="61"/>
  <c r="E13" i="61"/>
  <c r="C13" i="61"/>
  <c r="F81" i="61"/>
  <c r="E12" i="61" s="1"/>
  <c r="F151" i="61"/>
  <c r="F152" i="61"/>
  <c r="E20" i="61" s="1"/>
  <c r="F112" i="61"/>
  <c r="E17" i="61" s="1"/>
  <c r="F178" i="61"/>
  <c r="E21" i="61" s="1"/>
  <c r="F181" i="61"/>
  <c r="E22" i="61"/>
  <c r="I74" i="61"/>
  <c r="I75" i="61" s="1"/>
  <c r="H75" i="61" s="1"/>
  <c r="F4" i="61" s="1"/>
  <c r="G10" i="61"/>
  <c r="G18" i="61"/>
  <c r="G14" i="61"/>
  <c r="G7" i="61"/>
  <c r="P1" i="61"/>
  <c r="E1" i="61"/>
  <c r="I1" i="61"/>
  <c r="G1" i="61"/>
  <c r="G8" i="61"/>
  <c r="G5" i="61"/>
  <c r="K1" i="61"/>
  <c r="G4" i="61"/>
  <c r="G12" i="61"/>
  <c r="G19" i="61"/>
  <c r="G22" i="61"/>
  <c r="G17" i="61"/>
  <c r="H4" i="61"/>
  <c r="G20" i="61"/>
  <c r="G21" i="61"/>
  <c r="G15" i="61"/>
  <c r="G13" i="61"/>
  <c r="G6" i="61"/>
  <c r="G9" i="61"/>
  <c r="G11" i="61"/>
  <c r="G16" i="61"/>
  <c r="P14" i="61" l="1"/>
  <c r="Q14" i="61" s="1"/>
  <c r="P10" i="61"/>
  <c r="Q10" i="61" s="1"/>
  <c r="P19" i="61"/>
  <c r="Q19" i="61" s="1"/>
  <c r="P5" i="61"/>
  <c r="Q5" i="61" s="1"/>
  <c r="P18" i="61"/>
  <c r="Q18" i="61" s="1"/>
  <c r="P17" i="61"/>
  <c r="Q17" i="61" s="1"/>
  <c r="P11" i="61"/>
  <c r="Q11" i="61" s="1"/>
  <c r="P7" i="61"/>
  <c r="Q7" i="61" s="1"/>
  <c r="P20" i="61"/>
  <c r="Q20" i="61" s="1"/>
  <c r="P9" i="61"/>
  <c r="Q9" i="61" s="1"/>
  <c r="P21" i="61"/>
  <c r="Q21" i="61" s="1"/>
  <c r="P12" i="61"/>
  <c r="Q12" i="61" s="1"/>
  <c r="P22" i="61"/>
  <c r="Q22" i="61" s="1"/>
  <c r="P4" i="61"/>
  <c r="Q4" i="61" s="1"/>
  <c r="P6" i="61"/>
  <c r="Q6" i="61" s="1"/>
  <c r="P13" i="61"/>
  <c r="Q13" i="61" s="1"/>
  <c r="P16" i="61"/>
  <c r="Q16" i="61" s="1"/>
  <c r="P15" i="61"/>
  <c r="Q15" i="61" s="1"/>
  <c r="P8" i="61"/>
  <c r="Q8" i="61" s="1"/>
  <c r="I4" i="61"/>
  <c r="J74" i="61"/>
  <c r="M4" i="61"/>
  <c r="O4" i="61"/>
  <c r="K4" i="61"/>
  <c r="T4" i="61"/>
  <c r="J4" i="61"/>
  <c r="L74" i="61"/>
  <c r="Q24" i="61" l="1"/>
  <c r="D4" i="61" s="1"/>
  <c r="S4" i="61"/>
  <c r="K74" i="61"/>
  <c r="K75" i="61" s="1"/>
  <c r="N4" i="61" s="1"/>
  <c r="U4" i="61"/>
  <c r="Y4" i="61"/>
  <c r="X4" i="61"/>
  <c r="W4" i="61"/>
  <c r="V4" i="61"/>
  <c r="R4" i="61" l="1"/>
  <c r="L4" i="61"/>
  <c r="D5" i="61"/>
  <c r="I138" i="61"/>
  <c r="I139" i="61"/>
  <c r="I140" i="61"/>
  <c r="I141" i="61"/>
  <c r="H141" i="61" s="1"/>
  <c r="F5" i="61" s="1"/>
  <c r="H5" i="61"/>
  <c r="I5" i="61" l="1"/>
  <c r="J138" i="61"/>
  <c r="M5" i="61"/>
  <c r="O5" i="61"/>
  <c r="S5" i="61" s="1"/>
  <c r="L138" i="61"/>
  <c r="T5" i="61"/>
  <c r="J5" i="61"/>
  <c r="K5" i="61"/>
  <c r="K138" i="61" l="1"/>
  <c r="U5" i="61"/>
  <c r="V5" i="61"/>
  <c r="X5" i="61"/>
  <c r="Y5" i="61"/>
  <c r="W5" i="61"/>
  <c r="D8" i="61" l="1"/>
  <c r="H127" i="61"/>
  <c r="H8" i="61"/>
  <c r="I127" i="61" l="1"/>
  <c r="I8" i="61"/>
  <c r="K8" i="61"/>
  <c r="J8" i="61"/>
  <c r="O8" i="61" l="1"/>
  <c r="M8" i="61" s="1"/>
  <c r="S8" i="61"/>
  <c r="U8" i="61"/>
  <c r="D19" i="61"/>
  <c r="I86" i="61"/>
  <c r="I87" i="61"/>
  <c r="I88" i="61"/>
  <c r="I89" i="61" s="1"/>
  <c r="H89" i="61" s="1"/>
  <c r="F19" i="61" s="1"/>
  <c r="X8" i="61"/>
  <c r="H19" i="61"/>
  <c r="T8" i="61"/>
  <c r="W8" i="61"/>
  <c r="V8" i="61"/>
  <c r="Y8" i="61"/>
  <c r="I19" i="61" l="1"/>
  <c r="L19" i="61"/>
  <c r="N19" i="61"/>
  <c r="R19" i="61" s="1"/>
  <c r="L86" i="61"/>
  <c r="J19" i="61"/>
  <c r="K19" i="61"/>
  <c r="T19" i="61"/>
  <c r="J86" i="61" l="1"/>
  <c r="U19" i="61"/>
  <c r="W19" i="61"/>
  <c r="Y19" i="61"/>
  <c r="V19" i="61"/>
  <c r="X19" i="61"/>
  <c r="D15" i="61" l="1"/>
  <c r="I160" i="61"/>
  <c r="J160" i="61"/>
  <c r="H161" i="61"/>
  <c r="H15" i="61"/>
  <c r="I161" i="61" l="1"/>
  <c r="J161" i="61" s="1"/>
  <c r="I15" i="61"/>
  <c r="T15" i="61"/>
  <c r="K15" i="61"/>
  <c r="L160" i="61"/>
  <c r="J15" i="61"/>
  <c r="K160" i="61" l="1"/>
  <c r="U15" i="61"/>
  <c r="V15" i="61"/>
  <c r="Y15" i="61"/>
  <c r="X15" i="61"/>
  <c r="W15" i="61"/>
  <c r="D10" i="61" l="1"/>
  <c r="I95" i="61"/>
  <c r="I96" i="61"/>
  <c r="H96" i="61" s="1"/>
  <c r="F10" i="61" s="1"/>
  <c r="K10" i="61"/>
  <c r="H10" i="61"/>
  <c r="T10" i="61"/>
  <c r="L95" i="61"/>
  <c r="M95" i="61"/>
  <c r="J10" i="61"/>
  <c r="I10" i="61" l="1"/>
  <c r="J95" i="61"/>
  <c r="U10" i="61"/>
  <c r="V10" i="61"/>
  <c r="X10" i="61"/>
  <c r="W10" i="61"/>
  <c r="Y10" i="61"/>
  <c r="K95" i="61" l="1"/>
  <c r="K96" i="61" s="1"/>
  <c r="N10" i="61" s="1"/>
  <c r="J96" i="61"/>
  <c r="O10" i="61" s="1"/>
  <c r="D16" i="61"/>
  <c r="H16" i="61"/>
  <c r="H121" i="61"/>
  <c r="I121" i="61" l="1"/>
  <c r="M10" i="61"/>
  <c r="S10" i="61"/>
  <c r="R10" i="61"/>
  <c r="L10" i="61"/>
  <c r="I16" i="61"/>
  <c r="T16" i="61"/>
  <c r="J16" i="61"/>
  <c r="M121" i="61"/>
  <c r="L121" i="61"/>
  <c r="K16" i="61"/>
  <c r="J121" i="61" l="1"/>
  <c r="U16" i="61"/>
  <c r="X16" i="61"/>
  <c r="Y16" i="61"/>
  <c r="W16" i="61"/>
  <c r="V16" i="61"/>
  <c r="K121" i="61" l="1"/>
  <c r="D14" i="61"/>
  <c r="H102" i="61"/>
  <c r="H14" i="61"/>
  <c r="I102" i="61" l="1"/>
  <c r="I14" i="61"/>
  <c r="J14" i="61"/>
  <c r="K14" i="61"/>
  <c r="O14" i="61" l="1"/>
  <c r="M14" i="61"/>
  <c r="S14" i="61"/>
  <c r="U14" i="61"/>
  <c r="D7" i="61"/>
  <c r="H131" i="61"/>
  <c r="X14" i="61"/>
  <c r="W14" i="61"/>
  <c r="Y14" i="61"/>
  <c r="T14" i="61"/>
  <c r="V14" i="61"/>
  <c r="H7" i="61"/>
  <c r="I131" i="61" l="1"/>
  <c r="I7" i="61"/>
  <c r="K7" i="61"/>
  <c r="J7" i="61"/>
  <c r="O7" i="61" l="1"/>
  <c r="M7" i="61"/>
  <c r="S7" i="61"/>
  <c r="U7" i="61"/>
  <c r="D6" i="61"/>
  <c r="I83" i="61"/>
  <c r="I84" i="61"/>
  <c r="H84" i="61" s="1"/>
  <c r="F6" i="61" s="1"/>
  <c r="L6" i="61"/>
  <c r="N6" i="61"/>
  <c r="R6" i="61"/>
  <c r="J6" i="61"/>
  <c r="T7" i="61"/>
  <c r="X7" i="61"/>
  <c r="H6" i="61"/>
  <c r="W7" i="61"/>
  <c r="Y7" i="61"/>
  <c r="K6" i="61"/>
  <c r="V7" i="61"/>
  <c r="T6" i="61"/>
  <c r="L83" i="61"/>
  <c r="I6" i="61" l="1"/>
  <c r="J83" i="61"/>
  <c r="J84" i="61" s="1"/>
  <c r="O6" i="61" s="1"/>
  <c r="U6" i="61"/>
  <c r="W6" i="61"/>
  <c r="X6" i="61"/>
  <c r="V6" i="61"/>
  <c r="Y6" i="61"/>
  <c r="S6" i="61" l="1"/>
  <c r="M6" i="61"/>
  <c r="D11" i="61"/>
  <c r="I168" i="61"/>
  <c r="I169" i="61" s="1"/>
  <c r="H169" i="61" s="1"/>
  <c r="F11" i="61" s="1"/>
  <c r="J168" i="61"/>
  <c r="M11" i="61"/>
  <c r="O11" i="61"/>
  <c r="S11" i="61" s="1"/>
  <c r="T11" i="61"/>
  <c r="J11" i="61"/>
  <c r="K11" i="61"/>
  <c r="L168" i="61"/>
  <c r="H11" i="61"/>
  <c r="I11" i="61" l="1"/>
  <c r="K168" i="61"/>
  <c r="K169" i="61" s="1"/>
  <c r="N11" i="61" s="1"/>
  <c r="U11" i="61"/>
  <c r="V11" i="61"/>
  <c r="Y11" i="61"/>
  <c r="X11" i="61"/>
  <c r="W11" i="61"/>
  <c r="R11" i="61" l="1"/>
  <c r="L11" i="61"/>
  <c r="D9" i="61"/>
  <c r="H9" i="61"/>
  <c r="H171" i="61"/>
  <c r="I171" i="61" l="1"/>
  <c r="I172" i="61" s="1"/>
  <c r="H172" i="61" s="1"/>
  <c r="F9" i="61" s="1"/>
  <c r="L9" i="61" s="1"/>
  <c r="I9" i="61"/>
  <c r="O9" i="61"/>
  <c r="M9" i="61"/>
  <c r="S9" i="61"/>
  <c r="U9" i="61"/>
  <c r="D18" i="61"/>
  <c r="I77" i="61"/>
  <c r="I78" i="61"/>
  <c r="H78" i="61" s="1"/>
  <c r="F18" i="61" s="1"/>
  <c r="L18" i="61"/>
  <c r="N18" i="61"/>
  <c r="R18" i="61" s="1"/>
  <c r="K9" i="61"/>
  <c r="L77" i="61"/>
  <c r="J9" i="61"/>
  <c r="H18" i="61"/>
  <c r="J18" i="61"/>
  <c r="K18" i="61"/>
  <c r="X9" i="61"/>
  <c r="T9" i="61"/>
  <c r="V9" i="61"/>
  <c r="T18" i="61"/>
  <c r="Y9" i="61"/>
  <c r="W9" i="61"/>
  <c r="N9" i="61" l="1"/>
  <c r="R9" i="61" s="1"/>
  <c r="I18" i="61"/>
  <c r="J77" i="61"/>
  <c r="J78" i="61" s="1"/>
  <c r="O18" i="61" s="1"/>
  <c r="U18" i="61"/>
  <c r="W18" i="61"/>
  <c r="X18" i="61"/>
  <c r="Y18" i="61"/>
  <c r="V18" i="61"/>
  <c r="S18" i="61" l="1"/>
  <c r="M18" i="61"/>
  <c r="D13" i="61"/>
  <c r="I98" i="61"/>
  <c r="I99" i="61"/>
  <c r="I100" i="61"/>
  <c r="H100" i="61" s="1"/>
  <c r="F13" i="61" s="1"/>
  <c r="L13" i="61"/>
  <c r="N13" i="61"/>
  <c r="R13" i="61"/>
  <c r="L98" i="61"/>
  <c r="J13" i="61"/>
  <c r="H13" i="61"/>
  <c r="K13" i="61"/>
  <c r="T13" i="61"/>
  <c r="I13" i="61" l="1"/>
  <c r="J98" i="61"/>
  <c r="U13" i="61"/>
  <c r="X13" i="61"/>
  <c r="W13" i="61"/>
  <c r="V13" i="61"/>
  <c r="Y13" i="61"/>
  <c r="D12" i="61" l="1"/>
  <c r="I80" i="61"/>
  <c r="I81" i="61" s="1"/>
  <c r="H81" i="61" s="1"/>
  <c r="F12" i="61" s="1"/>
  <c r="L12" i="61"/>
  <c r="N12" i="61"/>
  <c r="R12" i="61"/>
  <c r="T12" i="61"/>
  <c r="J12" i="61"/>
  <c r="K12" i="61"/>
  <c r="L80" i="61"/>
  <c r="H12" i="61"/>
  <c r="I12" i="61" l="1"/>
  <c r="J80" i="61"/>
  <c r="J81" i="61" s="1"/>
  <c r="O12" i="61" s="1"/>
  <c r="U12" i="61"/>
  <c r="X12" i="61"/>
  <c r="Y12" i="61"/>
  <c r="W12" i="61"/>
  <c r="V12" i="61"/>
  <c r="S12" i="61" l="1"/>
  <c r="M12" i="61"/>
  <c r="D20" i="61"/>
  <c r="H152" i="61"/>
  <c r="F20" i="61" s="1"/>
  <c r="M20" i="61"/>
  <c r="O20" i="61"/>
  <c r="S20" i="61"/>
  <c r="J20" i="61"/>
  <c r="H20" i="61"/>
  <c r="T20" i="61"/>
  <c r="K20" i="61"/>
  <c r="L143" i="61"/>
  <c r="H143" i="61"/>
  <c r="I20" i="61" l="1"/>
  <c r="I143" i="61"/>
  <c r="J143" i="61" s="1"/>
  <c r="K143" i="61" s="1"/>
  <c r="U20" i="61"/>
  <c r="Y20" i="61"/>
  <c r="W20" i="61"/>
  <c r="X20" i="61"/>
  <c r="V20" i="61"/>
  <c r="D17" i="61" l="1"/>
  <c r="H106" i="61"/>
  <c r="H17" i="61"/>
  <c r="I106" i="61" l="1"/>
  <c r="I17" i="61"/>
  <c r="K17" i="61"/>
  <c r="J17" i="61"/>
  <c r="O17" i="61" l="1"/>
  <c r="M17" i="61"/>
  <c r="S17" i="61"/>
  <c r="U17" i="61"/>
  <c r="D21" i="61"/>
  <c r="Y17" i="61"/>
  <c r="T17" i="61"/>
  <c r="K21" i="61"/>
  <c r="H175" i="61"/>
  <c r="W17" i="61"/>
  <c r="B21" i="61"/>
  <c r="X17" i="61"/>
  <c r="V17" i="61"/>
  <c r="I175" i="61" l="1"/>
  <c r="J175" i="61" s="1"/>
  <c r="V21" i="61"/>
  <c r="L175" i="61"/>
  <c r="W21" i="61"/>
  <c r="B22" i="61"/>
  <c r="T21" i="61"/>
  <c r="K175" i="61" l="1"/>
  <c r="D22" i="61"/>
  <c r="I180" i="61"/>
  <c r="J180" i="61" s="1"/>
  <c r="J181" i="61" s="1"/>
  <c r="H181" i="61" s="1"/>
  <c r="F22" i="61" s="1"/>
  <c r="K22" i="61"/>
  <c r="M22" i="61" l="1"/>
  <c r="O22" i="61"/>
  <c r="S22" i="61"/>
  <c r="V22" i="61"/>
  <c r="T22" i="61"/>
  <c r="L180" i="61"/>
  <c r="W22" i="61"/>
  <c r="K180" i="61" l="1"/>
  <c r="K181" i="61" s="1"/>
  <c r="N22" i="61" s="1"/>
  <c r="D23" i="61"/>
  <c r="D24" i="61" s="1"/>
  <c r="U23" i="61"/>
  <c r="U24" i="61" s="1"/>
  <c r="Q25" i="61" s="1"/>
  <c r="I24" i="61"/>
  <c r="P24" i="61"/>
  <c r="J30" i="61"/>
  <c r="I30" i="61"/>
  <c r="N30" i="61"/>
  <c r="T24" i="61"/>
  <c r="S25" i="61"/>
  <c r="R30" i="61"/>
  <c r="E30" i="61"/>
  <c r="P30" i="61" l="1"/>
  <c r="R22" i="61"/>
  <c r="L22" i="61"/>
  <c r="H30" i="61"/>
  <c r="M30" i="61"/>
  <c r="O30" i="61"/>
  <c r="E31" i="61"/>
  <c r="H31" i="61" l="1"/>
  <c r="I31" i="61"/>
  <c r="J31" i="61"/>
  <c r="M31" i="61"/>
  <c r="N31" i="61"/>
  <c r="R31" i="61"/>
  <c r="O31" i="61"/>
  <c r="E32" i="61"/>
  <c r="P31" i="61" l="1"/>
  <c r="H32" i="61"/>
  <c r="I32" i="61"/>
  <c r="J32" i="61"/>
  <c r="M32" i="61"/>
  <c r="N32" i="61"/>
  <c r="O32" i="61"/>
  <c r="P32" i="61" l="1"/>
  <c r="H33" i="61"/>
  <c r="I33" i="61"/>
  <c r="J33" i="61"/>
  <c r="M33" i="61"/>
  <c r="N33" i="61"/>
  <c r="R33" i="61"/>
  <c r="E34" i="61"/>
  <c r="E33" i="61"/>
  <c r="R32" i="61"/>
  <c r="O33" i="61"/>
  <c r="P33" i="61" l="1"/>
  <c r="H34" i="61"/>
  <c r="I34" i="61"/>
  <c r="N34" i="61" s="1"/>
  <c r="J34" i="61"/>
  <c r="M34" i="61"/>
  <c r="R34" i="61"/>
  <c r="O34" i="61"/>
  <c r="E35" i="61"/>
  <c r="P34" i="61" l="1"/>
  <c r="H35" i="61"/>
  <c r="I35" i="61"/>
  <c r="J35" i="61"/>
  <c r="M35" i="61"/>
  <c r="N35" i="61"/>
  <c r="P35" i="61"/>
  <c r="H36" i="61"/>
  <c r="I36" i="61"/>
  <c r="J36" i="61"/>
  <c r="N36" i="61" s="1"/>
  <c r="M36" i="61"/>
  <c r="E36" i="61"/>
  <c r="R36" i="61"/>
  <c r="R35" i="61"/>
  <c r="O36" i="61"/>
  <c r="E37" i="61"/>
  <c r="O35" i="61"/>
  <c r="P36" i="61" l="1"/>
  <c r="H37" i="61"/>
  <c r="I37" i="61"/>
  <c r="J37" i="61"/>
  <c r="M37" i="61"/>
  <c r="N37" i="61"/>
  <c r="O37" i="61"/>
  <c r="B38" i="61"/>
  <c r="R37" i="61"/>
  <c r="E38" i="61"/>
  <c r="P37" i="61" l="1"/>
  <c r="H38" i="61"/>
  <c r="I38" i="61"/>
  <c r="J38" i="61"/>
  <c r="M38" i="61"/>
  <c r="R38" i="61"/>
  <c r="O38" i="61"/>
  <c r="N38" i="61" l="1"/>
  <c r="P38" i="61" s="1"/>
  <c r="H39" i="61"/>
  <c r="I39" i="61"/>
  <c r="J39" i="61"/>
  <c r="M39" i="61"/>
  <c r="R39" i="61"/>
  <c r="O39" i="61"/>
  <c r="B39" i="61"/>
  <c r="E39" i="61"/>
  <c r="N39" i="61" l="1"/>
  <c r="P39" i="61" s="1"/>
  <c r="H40" i="61"/>
  <c r="I40" i="61"/>
  <c r="J40" i="61"/>
  <c r="M40" i="61"/>
  <c r="N40" i="61"/>
  <c r="E41" i="61"/>
  <c r="R40" i="61"/>
  <c r="E40" i="61"/>
  <c r="O40" i="61"/>
  <c r="P40" i="61" l="1"/>
  <c r="H41" i="61"/>
  <c r="I41" i="61"/>
  <c r="J41" i="61"/>
  <c r="N41" i="61" s="1"/>
  <c r="M41" i="61"/>
  <c r="P41" i="61"/>
  <c r="H42" i="61"/>
  <c r="I42" i="61"/>
  <c r="J42" i="61"/>
  <c r="M42" i="61"/>
  <c r="N42" i="61"/>
  <c r="R41" i="61"/>
  <c r="E43" i="61"/>
  <c r="O42" i="61"/>
  <c r="O41" i="61"/>
  <c r="E42" i="61"/>
  <c r="R42" i="61"/>
  <c r="P42" i="61" l="1"/>
  <c r="H43" i="61"/>
  <c r="I43" i="61"/>
  <c r="J43" i="61"/>
  <c r="M43" i="61"/>
  <c r="N43" i="61"/>
  <c r="R43" i="61"/>
  <c r="O43" i="61"/>
  <c r="E44" i="61"/>
  <c r="P43" i="61" l="1"/>
  <c r="P45" i="61" s="1"/>
  <c r="H44" i="61"/>
  <c r="I44" i="61"/>
  <c r="J44" i="61"/>
  <c r="M44" i="61"/>
  <c r="N44" i="61"/>
  <c r="O44" i="61"/>
  <c r="P44" i="61" l="1"/>
  <c r="H49" i="61"/>
  <c r="I49" i="61"/>
  <c r="J49" i="61"/>
  <c r="M49" i="61"/>
  <c r="N49" i="61"/>
  <c r="O49" i="61"/>
  <c r="R44" i="61"/>
  <c r="E49" i="61"/>
  <c r="R49" i="61"/>
  <c r="E50" i="61"/>
  <c r="P49" i="61" l="1"/>
  <c r="H50" i="61"/>
  <c r="I50" i="61"/>
  <c r="J50" i="61"/>
  <c r="M50" i="61"/>
  <c r="N50" i="61"/>
  <c r="R50" i="61"/>
  <c r="E51" i="61"/>
  <c r="O50" i="61"/>
  <c r="P50" i="61" l="1"/>
  <c r="H51" i="61"/>
  <c r="I51" i="61"/>
  <c r="J51" i="61"/>
  <c r="M51" i="61"/>
  <c r="N51" i="61"/>
  <c r="R51" i="61"/>
  <c r="E52" i="61"/>
  <c r="O51" i="61"/>
  <c r="P51" i="61" l="1"/>
  <c r="H52" i="61"/>
  <c r="I52" i="61"/>
  <c r="J52" i="61"/>
  <c r="M52" i="61"/>
  <c r="N52" i="61"/>
  <c r="O52" i="61"/>
  <c r="R52" i="61"/>
  <c r="E53" i="61"/>
  <c r="P52" i="61" l="1"/>
  <c r="H53" i="61"/>
  <c r="I53" i="61"/>
  <c r="J53" i="61"/>
  <c r="N53" i="61" s="1"/>
  <c r="M53" i="61"/>
  <c r="B54" i="61"/>
  <c r="E54" i="61"/>
  <c r="R53" i="61"/>
  <c r="O53" i="61"/>
  <c r="P53" i="61" l="1"/>
  <c r="H54" i="61"/>
  <c r="I54" i="61"/>
  <c r="J54" i="61"/>
  <c r="M54" i="61"/>
  <c r="R54" i="61"/>
  <c r="O54" i="61"/>
  <c r="N54" i="61" l="1"/>
  <c r="P54" i="61" s="1"/>
  <c r="H55" i="61"/>
  <c r="I55" i="61"/>
  <c r="J55" i="61"/>
  <c r="M55" i="61"/>
  <c r="R55" i="61"/>
  <c r="O55" i="61"/>
  <c r="E55" i="61"/>
  <c r="B55" i="61"/>
  <c r="N55" i="61" l="1"/>
  <c r="P55" i="61" s="1"/>
  <c r="H56" i="61"/>
  <c r="I56" i="61"/>
  <c r="J56" i="61"/>
  <c r="M56" i="61"/>
  <c r="R56" i="61"/>
  <c r="B56" i="61"/>
  <c r="E56" i="61"/>
  <c r="O56" i="61"/>
  <c r="N56" i="61" l="1"/>
  <c r="P56" i="61" s="1"/>
  <c r="H57" i="61"/>
  <c r="I57" i="61"/>
  <c r="J57" i="61"/>
  <c r="M57" i="61"/>
  <c r="R57" i="61"/>
  <c r="O57" i="61"/>
  <c r="B57" i="61"/>
  <c r="E57" i="61"/>
  <c r="N57" i="61" l="1"/>
  <c r="P57" i="61" s="1"/>
  <c r="H58" i="61"/>
  <c r="I58" i="61"/>
  <c r="N58" i="61" s="1"/>
  <c r="J58" i="61"/>
  <c r="M58" i="61"/>
  <c r="R58" i="61"/>
  <c r="O58" i="61"/>
  <c r="E59" i="61"/>
  <c r="B59" i="61"/>
  <c r="E58" i="61"/>
  <c r="P58" i="61" l="1"/>
  <c r="H59" i="61"/>
  <c r="I59" i="61"/>
  <c r="J59" i="61"/>
  <c r="M59" i="61"/>
  <c r="R59" i="61"/>
  <c r="O59" i="61"/>
  <c r="N59" i="61" l="1"/>
  <c r="P59" i="61" s="1"/>
  <c r="H60" i="61"/>
  <c r="I60" i="61"/>
  <c r="J60" i="61"/>
  <c r="M60" i="61"/>
  <c r="R60" i="61"/>
  <c r="O60" i="61"/>
  <c r="B60" i="61"/>
  <c r="E60" i="61"/>
  <c r="N60" i="61" l="1"/>
  <c r="P60" i="61" s="1"/>
  <c r="H61" i="61"/>
  <c r="I61" i="61"/>
  <c r="J61" i="61"/>
  <c r="M61" i="61"/>
  <c r="R61" i="61"/>
  <c r="E61" i="61"/>
  <c r="B61" i="61"/>
  <c r="O61" i="61"/>
  <c r="N61" i="61" l="1"/>
  <c r="P61" i="61" s="1"/>
  <c r="H62" i="61"/>
  <c r="I62" i="61"/>
  <c r="J62" i="61"/>
  <c r="N62" i="61" s="1"/>
  <c r="M62" i="61"/>
  <c r="E63" i="61"/>
  <c r="R62" i="61"/>
  <c r="E62" i="61"/>
  <c r="O62" i="61"/>
  <c r="B63" i="61"/>
  <c r="P62" i="61" l="1"/>
  <c r="H63" i="61"/>
  <c r="I63" i="61"/>
  <c r="J63" i="61"/>
  <c r="M63" i="61"/>
  <c r="O63" i="61"/>
  <c r="R63" i="61"/>
  <c r="N63" i="61" l="1"/>
  <c r="P63" i="61" s="1"/>
  <c r="H64" i="61"/>
  <c r="I64" i="61"/>
  <c r="J64" i="61"/>
  <c r="M64" i="61"/>
  <c r="R64" i="61"/>
  <c r="O64" i="61"/>
  <c r="E64" i="61"/>
  <c r="N64" i="61" l="1"/>
  <c r="P64" i="61" s="1"/>
  <c r="P65" i="61"/>
  <c r="J75" i="61"/>
  <c r="K77" i="61"/>
  <c r="K78" i="61" s="1"/>
  <c r="K80" i="61"/>
  <c r="K81" i="61" s="1"/>
  <c r="K83" i="61"/>
  <c r="K84" i="61" s="1"/>
  <c r="K86" i="61"/>
  <c r="G80" i="61"/>
  <c r="D86" i="61"/>
  <c r="M77" i="61"/>
  <c r="M80" i="61"/>
  <c r="D87" i="61"/>
  <c r="L87" i="61"/>
  <c r="M74" i="61"/>
  <c r="M87" i="61"/>
  <c r="G86" i="61"/>
  <c r="G87" i="61"/>
  <c r="D74" i="61"/>
  <c r="D83" i="61"/>
  <c r="G77" i="61"/>
  <c r="D77" i="61"/>
  <c r="G88" i="61"/>
  <c r="M83" i="61"/>
  <c r="D80" i="61"/>
  <c r="G74" i="61"/>
  <c r="G83" i="61"/>
  <c r="D88" i="61"/>
  <c r="M86" i="61"/>
  <c r="J87" i="61" l="1"/>
  <c r="I91" i="61"/>
  <c r="J91" i="61" s="1"/>
  <c r="L91" i="61"/>
  <c r="G92" i="61"/>
  <c r="M91" i="61"/>
  <c r="G91" i="61"/>
  <c r="D91" i="61"/>
  <c r="D92" i="61"/>
  <c r="K87" i="61" l="1"/>
  <c r="K91" i="61"/>
  <c r="I92" i="61"/>
  <c r="J92" i="61"/>
  <c r="F93" i="61"/>
  <c r="I93" i="61"/>
  <c r="H93" i="61" s="1"/>
  <c r="J93" i="61"/>
  <c r="D98" i="61"/>
  <c r="L92" i="61"/>
  <c r="G98" i="61"/>
  <c r="G95" i="61"/>
  <c r="D95" i="61"/>
  <c r="M92" i="61"/>
  <c r="K92" i="61" l="1"/>
  <c r="K93" i="61" s="1"/>
  <c r="K98" i="61"/>
  <c r="M99" i="61"/>
  <c r="D102" i="61"/>
  <c r="M98" i="61"/>
  <c r="G102" i="61"/>
  <c r="L99" i="61"/>
  <c r="G99" i="61"/>
  <c r="D99" i="61"/>
  <c r="J99" i="61" l="1"/>
  <c r="L102" i="61"/>
  <c r="D103" i="61"/>
  <c r="G103" i="61"/>
  <c r="M102" i="61"/>
  <c r="K99" i="61" l="1"/>
  <c r="K100" i="61" s="1"/>
  <c r="J100" i="61"/>
  <c r="O13" i="61" s="1"/>
  <c r="J102" i="61"/>
  <c r="K102" i="61" s="1"/>
  <c r="L103" i="61"/>
  <c r="H103" i="61"/>
  <c r="D106" i="61"/>
  <c r="G106" i="61"/>
  <c r="M103" i="61"/>
  <c r="S13" i="61" l="1"/>
  <c r="M13" i="61"/>
  <c r="I103" i="61"/>
  <c r="M106" i="61"/>
  <c r="L106" i="61"/>
  <c r="G107" i="61"/>
  <c r="D107" i="61"/>
  <c r="J103" i="61" l="1"/>
  <c r="K103" i="61" s="1"/>
  <c r="K104" i="61" s="1"/>
  <c r="I104" i="61"/>
  <c r="H104" i="61" s="1"/>
  <c r="F14" i="61" s="1"/>
  <c r="J106" i="61"/>
  <c r="K106" i="61" s="1"/>
  <c r="M107" i="61"/>
  <c r="G108" i="61"/>
  <c r="D108" i="61"/>
  <c r="H107" i="61"/>
  <c r="L107" i="61"/>
  <c r="N14" i="61" l="1"/>
  <c r="R14" i="61" s="1"/>
  <c r="L14" i="61"/>
  <c r="I107" i="61"/>
  <c r="H108" i="61"/>
  <c r="D109" i="61"/>
  <c r="G109" i="61"/>
  <c r="M108" i="61"/>
  <c r="L108" i="61"/>
  <c r="J107" i="61" l="1"/>
  <c r="K107" i="61" s="1"/>
  <c r="I108" i="61"/>
  <c r="J108" i="61" s="1"/>
  <c r="K108" i="61" s="1"/>
  <c r="H109" i="61"/>
  <c r="L109" i="61"/>
  <c r="M109" i="61"/>
  <c r="D110" i="61"/>
  <c r="G110" i="61"/>
  <c r="I109" i="61" l="1"/>
  <c r="J109" i="61" s="1"/>
  <c r="K109" i="61" s="1"/>
  <c r="G111" i="61"/>
  <c r="M110" i="61"/>
  <c r="L110" i="61"/>
  <c r="H110" i="61"/>
  <c r="D111" i="61"/>
  <c r="I110" i="61" l="1"/>
  <c r="J110" i="61" s="1"/>
  <c r="K110" i="61" s="1"/>
  <c r="G114" i="61"/>
  <c r="L111" i="61"/>
  <c r="M111" i="61"/>
  <c r="H111" i="61"/>
  <c r="D114" i="61"/>
  <c r="I111" i="61" l="1"/>
  <c r="J111" i="61" s="1"/>
  <c r="K111" i="61" s="1"/>
  <c r="K112" i="61" s="1"/>
  <c r="D115" i="61"/>
  <c r="H114" i="61"/>
  <c r="M114" i="61"/>
  <c r="L114" i="61"/>
  <c r="I112" i="61" l="1"/>
  <c r="H112" i="61" s="1"/>
  <c r="F17" i="61" s="1"/>
  <c r="I114" i="61"/>
  <c r="J114" i="61" s="1"/>
  <c r="K114" i="61" s="1"/>
  <c r="F115" i="61"/>
  <c r="G115" i="61"/>
  <c r="L17" i="61" l="1"/>
  <c r="N17" i="61"/>
  <c r="R17" i="61" s="1"/>
  <c r="F116" i="61"/>
  <c r="G118" i="61"/>
  <c r="D118" i="61"/>
  <c r="M115" i="61"/>
  <c r="H115" i="61"/>
  <c r="L115" i="61"/>
  <c r="I115" i="61" l="1"/>
  <c r="F119" i="61"/>
  <c r="L118" i="61"/>
  <c r="D122" i="61"/>
  <c r="G121" i="61"/>
  <c r="G122" i="61"/>
  <c r="M118" i="61"/>
  <c r="D121" i="61"/>
  <c r="J115" i="61" l="1"/>
  <c r="K115" i="61" s="1"/>
  <c r="K116" i="61" s="1"/>
  <c r="I116" i="61"/>
  <c r="H116" i="61" s="1"/>
  <c r="H118" i="61"/>
  <c r="I118" i="61" s="1"/>
  <c r="M122" i="61"/>
  <c r="D123" i="61"/>
  <c r="G123" i="61"/>
  <c r="H122" i="61"/>
  <c r="L122" i="61"/>
  <c r="I122" i="61" l="1"/>
  <c r="I119" i="61"/>
  <c r="H119" i="61" s="1"/>
  <c r="J118" i="61"/>
  <c r="M123" i="61"/>
  <c r="G124" i="61"/>
  <c r="H123" i="61"/>
  <c r="L123" i="61"/>
  <c r="D124" i="61"/>
  <c r="J122" i="61" l="1"/>
  <c r="I123" i="61"/>
  <c r="J123" i="61" s="1"/>
  <c r="K123" i="61" s="1"/>
  <c r="J119" i="61"/>
  <c r="K118" i="61"/>
  <c r="K119" i="61" s="1"/>
  <c r="L124" i="61"/>
  <c r="H124" i="61"/>
  <c r="M124" i="61"/>
  <c r="G127" i="61"/>
  <c r="D127" i="61"/>
  <c r="K122" i="61" l="1"/>
  <c r="I124" i="61"/>
  <c r="G128" i="61"/>
  <c r="D128" i="61"/>
  <c r="L127" i="61"/>
  <c r="M127" i="61"/>
  <c r="J124" i="61" l="1"/>
  <c r="I125" i="61"/>
  <c r="H125" i="61" s="1"/>
  <c r="F16" i="61" s="1"/>
  <c r="J127" i="61"/>
  <c r="K127" i="61" s="1"/>
  <c r="D131" i="61"/>
  <c r="L128" i="61"/>
  <c r="H128" i="61"/>
  <c r="G131" i="61"/>
  <c r="M128" i="61"/>
  <c r="K124" i="61" l="1"/>
  <c r="K125" i="61" s="1"/>
  <c r="N16" i="61" s="1"/>
  <c r="J125" i="61"/>
  <c r="O16" i="61" s="1"/>
  <c r="I128" i="61"/>
  <c r="L131" i="61"/>
  <c r="D132" i="61"/>
  <c r="M131" i="61"/>
  <c r="G132" i="61"/>
  <c r="M16" i="61" l="1"/>
  <c r="S16" i="61"/>
  <c r="R16" i="61"/>
  <c r="L16" i="61"/>
  <c r="J128" i="61"/>
  <c r="K128" i="61" s="1"/>
  <c r="K129" i="61" s="1"/>
  <c r="I129" i="61"/>
  <c r="H129" i="61" s="1"/>
  <c r="F8" i="61" s="1"/>
  <c r="J131" i="61"/>
  <c r="K131" i="61" s="1"/>
  <c r="M132" i="61"/>
  <c r="D133" i="61"/>
  <c r="G133" i="61"/>
  <c r="L132" i="61"/>
  <c r="H132" i="61"/>
  <c r="L8" i="61" l="1"/>
  <c r="N8" i="61"/>
  <c r="R8" i="61" s="1"/>
  <c r="I132" i="61"/>
  <c r="H133" i="61"/>
  <c r="D134" i="61"/>
  <c r="M133" i="61"/>
  <c r="G134" i="61"/>
  <c r="L133" i="61"/>
  <c r="J132" i="61" l="1"/>
  <c r="K132" i="61" s="1"/>
  <c r="I133" i="61"/>
  <c r="J133" i="61" s="1"/>
  <c r="K133" i="61" s="1"/>
  <c r="H134" i="61"/>
  <c r="L134" i="61"/>
  <c r="M134" i="61"/>
  <c r="D135" i="61"/>
  <c r="G135" i="61"/>
  <c r="I134" i="61" l="1"/>
  <c r="H135" i="61"/>
  <c r="D138" i="61"/>
  <c r="M135" i="61"/>
  <c r="L135" i="61"/>
  <c r="G138" i="61"/>
  <c r="J134" i="61" l="1"/>
  <c r="K134" i="61" s="1"/>
  <c r="I135" i="61"/>
  <c r="J135" i="61" s="1"/>
  <c r="K135" i="61" s="1"/>
  <c r="M138" i="61"/>
  <c r="D139" i="61"/>
  <c r="G139" i="61"/>
  <c r="I136" i="61" l="1"/>
  <c r="H136" i="61" s="1"/>
  <c r="F7" i="61" s="1"/>
  <c r="K136" i="61"/>
  <c r="J139" i="61"/>
  <c r="L139" i="61"/>
  <c r="M139" i="61"/>
  <c r="D140" i="61"/>
  <c r="G140" i="61"/>
  <c r="L7" i="61" l="1"/>
  <c r="N7" i="61"/>
  <c r="R7" i="61" s="1"/>
  <c r="K139" i="61"/>
  <c r="J140" i="61"/>
  <c r="J141" i="61"/>
  <c r="D143" i="61"/>
  <c r="M140" i="61"/>
  <c r="L140" i="61"/>
  <c r="G143" i="61"/>
  <c r="K140" i="61" l="1"/>
  <c r="K141" i="61" s="1"/>
  <c r="N5" i="61" s="1"/>
  <c r="M144" i="61"/>
  <c r="H144" i="61"/>
  <c r="G144" i="61"/>
  <c r="D145" i="61"/>
  <c r="L144" i="61"/>
  <c r="M143" i="61"/>
  <c r="D144" i="61"/>
  <c r="G145" i="61"/>
  <c r="R5" i="61" l="1"/>
  <c r="L5" i="61"/>
  <c r="I144" i="61"/>
  <c r="J144" i="61" s="1"/>
  <c r="K144" i="61" s="1"/>
  <c r="H145" i="61"/>
  <c r="M145" i="61"/>
  <c r="D146" i="61"/>
  <c r="G146" i="61"/>
  <c r="L145" i="61"/>
  <c r="I145" i="61" l="1"/>
  <c r="J145" i="61" s="1"/>
  <c r="K145" i="61" s="1"/>
  <c r="G147" i="61"/>
  <c r="M146" i="61"/>
  <c r="L146" i="61"/>
  <c r="H146" i="61"/>
  <c r="D147" i="61"/>
  <c r="I146" i="61" l="1"/>
  <c r="J146" i="61" s="1"/>
  <c r="K146" i="61" s="1"/>
  <c r="D148" i="61"/>
  <c r="L147" i="61"/>
  <c r="M147" i="61"/>
  <c r="H147" i="61"/>
  <c r="G148" i="61"/>
  <c r="I147" i="61" l="1"/>
  <c r="J147" i="61" s="1"/>
  <c r="K147" i="61" s="1"/>
  <c r="L148" i="61"/>
  <c r="H148" i="61"/>
  <c r="D149" i="61"/>
  <c r="M148" i="61"/>
  <c r="G149" i="61"/>
  <c r="I148" i="61" l="1"/>
  <c r="J148" i="61" s="1"/>
  <c r="K148" i="61" s="1"/>
  <c r="G150" i="61"/>
  <c r="H149" i="61"/>
  <c r="M149" i="61"/>
  <c r="L149" i="61"/>
  <c r="D150" i="61"/>
  <c r="I149" i="61" l="1"/>
  <c r="J149" i="61" s="1"/>
  <c r="K149" i="61" s="1"/>
  <c r="M150" i="61"/>
  <c r="G151" i="61"/>
  <c r="L150" i="61"/>
  <c r="H150" i="61"/>
  <c r="D151" i="61"/>
  <c r="I150" i="61" l="1"/>
  <c r="J150" i="61" s="1"/>
  <c r="K150" i="61" s="1"/>
  <c r="D154" i="61"/>
  <c r="M151" i="61"/>
  <c r="L151" i="61"/>
  <c r="H151" i="61"/>
  <c r="G154" i="61"/>
  <c r="I151" i="61" l="1"/>
  <c r="I154" i="61"/>
  <c r="I155" i="61" s="1"/>
  <c r="H155" i="61" s="1"/>
  <c r="F155" i="61"/>
  <c r="M154" i="61"/>
  <c r="L154" i="61"/>
  <c r="G157" i="61"/>
  <c r="D157" i="61"/>
  <c r="J151" i="61" l="1"/>
  <c r="K151" i="61" s="1"/>
  <c r="K152" i="61" s="1"/>
  <c r="N20" i="61" s="1"/>
  <c r="I152" i="61"/>
  <c r="J154" i="61"/>
  <c r="F158" i="61"/>
  <c r="M157" i="61"/>
  <c r="D160" i="61"/>
  <c r="L157" i="61"/>
  <c r="G160" i="61"/>
  <c r="H157" i="61"/>
  <c r="R20" i="61" l="1"/>
  <c r="L20" i="61"/>
  <c r="I157" i="61"/>
  <c r="J155" i="61"/>
  <c r="K154" i="61"/>
  <c r="K155" i="61" s="1"/>
  <c r="D161" i="61"/>
  <c r="M160" i="61"/>
  <c r="G161" i="61"/>
  <c r="I158" i="61" l="1"/>
  <c r="H158" i="61" s="1"/>
  <c r="J157" i="61"/>
  <c r="K157" i="61" s="1"/>
  <c r="K158" i="61" s="1"/>
  <c r="D162" i="61"/>
  <c r="L161" i="61"/>
  <c r="M161" i="61"/>
  <c r="G162" i="61"/>
  <c r="K161" i="61" l="1"/>
  <c r="H162" i="61"/>
  <c r="D163" i="61"/>
  <c r="L162" i="61"/>
  <c r="M162" i="61"/>
  <c r="G163" i="61"/>
  <c r="I162" i="61" l="1"/>
  <c r="J162" i="61" s="1"/>
  <c r="M163" i="61"/>
  <c r="D164" i="61"/>
  <c r="G164" i="61"/>
  <c r="H163" i="61"/>
  <c r="L163" i="61"/>
  <c r="K162" i="61" l="1"/>
  <c r="I163" i="61"/>
  <c r="J163" i="61" s="1"/>
  <c r="K163" i="61" s="1"/>
  <c r="D165" i="61"/>
  <c r="L164" i="61"/>
  <c r="M164" i="61"/>
  <c r="H164" i="61"/>
  <c r="G165" i="61"/>
  <c r="I164" i="61" l="1"/>
  <c r="J164" i="61" s="1"/>
  <c r="K164" i="61" s="1"/>
  <c r="D168" i="61"/>
  <c r="H165" i="61"/>
  <c r="M165" i="61"/>
  <c r="L165" i="61"/>
  <c r="G168" i="61"/>
  <c r="I165" i="61" l="1"/>
  <c r="J165" i="61" s="1"/>
  <c r="K165" i="61" s="1"/>
  <c r="K166" i="61" s="1"/>
  <c r="N15" i="61" s="1"/>
  <c r="J169" i="61"/>
  <c r="M171" i="61"/>
  <c r="M168" i="61"/>
  <c r="G175" i="61"/>
  <c r="D175" i="61"/>
  <c r="G171" i="61"/>
  <c r="L171" i="61"/>
  <c r="D171" i="61"/>
  <c r="L15" i="61" l="1"/>
  <c r="R15" i="61"/>
  <c r="J166" i="61"/>
  <c r="H166" i="61" s="1"/>
  <c r="F15" i="61" s="1"/>
  <c r="I166" i="61"/>
  <c r="J171" i="61"/>
  <c r="K171" i="61" s="1"/>
  <c r="K172" i="61" s="1"/>
  <c r="L176" i="61"/>
  <c r="D176" i="61"/>
  <c r="M175" i="61"/>
  <c r="G176" i="61"/>
  <c r="D177" i="61"/>
  <c r="H176" i="61"/>
  <c r="G177" i="61"/>
  <c r="M176" i="61"/>
  <c r="O15" i="61" l="1"/>
  <c r="S15" i="61" s="1"/>
  <c r="M15" i="61"/>
  <c r="I176" i="61"/>
  <c r="J176" i="61" s="1"/>
  <c r="H177" i="61"/>
  <c r="L177" i="61"/>
  <c r="M177" i="61"/>
  <c r="D180" i="61"/>
  <c r="G180" i="61"/>
  <c r="K176" i="61" l="1"/>
  <c r="I177" i="61"/>
  <c r="I181" i="61"/>
  <c r="M180" i="61"/>
  <c r="J177" i="61" l="1"/>
  <c r="I178" i="61"/>
  <c r="K177" i="61" l="1"/>
  <c r="K178" i="61" s="1"/>
  <c r="N21" i="61" s="1"/>
  <c r="J178" i="61"/>
  <c r="H178" i="61" s="1"/>
  <c r="F21" i="61" s="1"/>
  <c r="L88" i="61"/>
  <c r="M88" i="61"/>
  <c r="M21" i="61" l="1"/>
  <c r="O21" i="61"/>
  <c r="S21" i="61" s="1"/>
  <c r="L21" i="61"/>
  <c r="L24" i="61" s="1"/>
  <c r="R21" i="61"/>
  <c r="R24" i="61" s="1"/>
  <c r="J88" i="61"/>
  <c r="K88" i="61" l="1"/>
  <c r="K89" i="61" s="1"/>
  <c r="J89" i="61"/>
  <c r="O19" i="61" s="1"/>
  <c r="O24" i="61" l="1"/>
  <c r="S19" i="61"/>
  <c r="S24" i="61" s="1"/>
  <c r="M19" i="61"/>
  <c r="M24" i="61" s="1"/>
  <c r="F51" i="104" l="1"/>
  <c r="E4" i="104"/>
  <c r="G1" i="104"/>
  <c r="H2" i="104"/>
  <c r="K1" i="104"/>
  <c r="B4" i="104"/>
  <c r="G4" i="104"/>
  <c r="F2" i="104"/>
  <c r="P1" i="104"/>
  <c r="I1" i="104"/>
  <c r="M4" i="104" l="1"/>
  <c r="N4" i="104" s="1"/>
  <c r="F45" i="104"/>
  <c r="E5" i="104" s="1"/>
  <c r="F36" i="104"/>
  <c r="E6" i="104"/>
  <c r="F33" i="104"/>
  <c r="E7" i="104" s="1"/>
  <c r="F48" i="104"/>
  <c r="E8" i="104"/>
  <c r="F54" i="104"/>
  <c r="E9" i="104" s="1"/>
  <c r="F30" i="104"/>
  <c r="E10" i="104" s="1"/>
  <c r="F39" i="104"/>
  <c r="E11" i="104" s="1"/>
  <c r="F42" i="104"/>
  <c r="E12" i="104"/>
  <c r="F60" i="104"/>
  <c r="E13" i="104"/>
  <c r="F57" i="104"/>
  <c r="E14" i="104"/>
  <c r="N15" i="104"/>
  <c r="I50" i="104"/>
  <c r="J50" i="104" s="1"/>
  <c r="J51" i="104" s="1"/>
  <c r="H51" i="104" s="1"/>
  <c r="F4" i="104" s="1"/>
  <c r="J4" i="104"/>
  <c r="I44" i="104"/>
  <c r="J44" i="104"/>
  <c r="J45" i="104" s="1"/>
  <c r="L4" i="104" s="1"/>
  <c r="Q4" i="104"/>
  <c r="S4" i="104"/>
  <c r="G7" i="104"/>
  <c r="B5" i="104"/>
  <c r="R4" i="104"/>
  <c r="U4" i="104"/>
  <c r="G5" i="104"/>
  <c r="H4" i="104"/>
  <c r="G13" i="104"/>
  <c r="G14" i="104"/>
  <c r="G6" i="104"/>
  <c r="V4" i="104"/>
  <c r="G11" i="104"/>
  <c r="G10" i="104"/>
  <c r="T4" i="104"/>
  <c r="G12" i="104"/>
  <c r="W4" i="104"/>
  <c r="X4" i="104"/>
  <c r="G9" i="104"/>
  <c r="G8" i="104"/>
  <c r="L50" i="104"/>
  <c r="P4" i="104" l="1"/>
  <c r="M10" i="104"/>
  <c r="N10" i="104" s="1"/>
  <c r="M14" i="104"/>
  <c r="N14" i="104" s="1"/>
  <c r="M12" i="104"/>
  <c r="N12" i="104" s="1"/>
  <c r="M5" i="104"/>
  <c r="N5" i="104" s="1"/>
  <c r="M11" i="104"/>
  <c r="N11" i="104" s="1"/>
  <c r="M6" i="104"/>
  <c r="N6" i="104" s="1"/>
  <c r="M7" i="104"/>
  <c r="N7" i="104" s="1"/>
  <c r="M13" i="104"/>
  <c r="N13" i="104" s="1"/>
  <c r="M8" i="104"/>
  <c r="N8" i="104" s="1"/>
  <c r="M9" i="104"/>
  <c r="N9" i="104" s="1"/>
  <c r="K50" i="104"/>
  <c r="K51" i="104" s="1"/>
  <c r="K4" i="104" s="1"/>
  <c r="H45" i="104"/>
  <c r="F5" i="104"/>
  <c r="H5" i="104"/>
  <c r="N16" i="104" l="1"/>
  <c r="D4" i="104" s="1"/>
  <c r="O4" i="104"/>
  <c r="I4" i="104"/>
  <c r="J5" i="104"/>
  <c r="L5" i="104"/>
  <c r="P5" i="104" s="1"/>
  <c r="X5" i="104"/>
  <c r="R5" i="104"/>
  <c r="T5" i="104"/>
  <c r="W5" i="104"/>
  <c r="V5" i="104"/>
  <c r="B6" i="104"/>
  <c r="S5" i="104"/>
  <c r="Q5" i="104"/>
  <c r="L44" i="104"/>
  <c r="U5" i="104"/>
  <c r="D5" i="104" l="1"/>
  <c r="K44" i="104"/>
  <c r="K45" i="104" s="1"/>
  <c r="K5" i="104" s="1"/>
  <c r="D6" i="104"/>
  <c r="I35" i="104"/>
  <c r="J35" i="104"/>
  <c r="J36" i="104"/>
  <c r="H36" i="104" s="1"/>
  <c r="F6" i="104" s="1"/>
  <c r="H6" i="104"/>
  <c r="O5" i="104" l="1"/>
  <c r="I5" i="104"/>
  <c r="J6" i="104"/>
  <c r="L6" i="104"/>
  <c r="P6" i="104"/>
  <c r="X6" i="104"/>
  <c r="Q6" i="104"/>
  <c r="S6" i="104"/>
  <c r="W6" i="104"/>
  <c r="B7" i="104"/>
  <c r="U6" i="104"/>
  <c r="L35" i="104"/>
  <c r="V6" i="104"/>
  <c r="R6" i="104"/>
  <c r="T6" i="104"/>
  <c r="K35" i="104" l="1"/>
  <c r="K36" i="104" s="1"/>
  <c r="K6" i="104" s="1"/>
  <c r="D7" i="104"/>
  <c r="I32" i="104"/>
  <c r="J32" i="104"/>
  <c r="J33" i="104"/>
  <c r="H33" i="104" s="1"/>
  <c r="F7" i="104" s="1"/>
  <c r="H7" i="104"/>
  <c r="O6" i="104" l="1"/>
  <c r="I6" i="104"/>
  <c r="J7" i="104"/>
  <c r="L7" i="104"/>
  <c r="P7" i="104"/>
  <c r="R7" i="104"/>
  <c r="T7" i="104"/>
  <c r="S7" i="104"/>
  <c r="L32" i="104"/>
  <c r="U7" i="104"/>
  <c r="V7" i="104"/>
  <c r="B8" i="104"/>
  <c r="Q7" i="104"/>
  <c r="X7" i="104"/>
  <c r="W7" i="104"/>
  <c r="K32" i="104" l="1"/>
  <c r="K33" i="104" s="1"/>
  <c r="K7" i="104" s="1"/>
  <c r="D8" i="104"/>
  <c r="I47" i="104"/>
  <c r="J47" i="104" s="1"/>
  <c r="J48" i="104" s="1"/>
  <c r="H48" i="104" s="1"/>
  <c r="F8" i="104" s="1"/>
  <c r="H8" i="104"/>
  <c r="O7" i="104" l="1"/>
  <c r="I7" i="104"/>
  <c r="J8" i="104"/>
  <c r="L8" i="104"/>
  <c r="P8" i="104"/>
  <c r="T8" i="104"/>
  <c r="S8" i="104"/>
  <c r="Q8" i="104"/>
  <c r="L47" i="104"/>
  <c r="U8" i="104"/>
  <c r="B9" i="104"/>
  <c r="V8" i="104"/>
  <c r="X8" i="104"/>
  <c r="W8" i="104"/>
  <c r="R8" i="104"/>
  <c r="K47" i="104" l="1"/>
  <c r="K48" i="104" s="1"/>
  <c r="K8" i="104" s="1"/>
  <c r="D9" i="104"/>
  <c r="I53" i="104"/>
  <c r="J53" i="104" s="1"/>
  <c r="J54" i="104" s="1"/>
  <c r="H54" i="104" s="1"/>
  <c r="F9" i="104" s="1"/>
  <c r="H9" i="104"/>
  <c r="O8" i="104" l="1"/>
  <c r="I8" i="104"/>
  <c r="J9" i="104"/>
  <c r="L9" i="104"/>
  <c r="P9" i="104"/>
  <c r="B10" i="104"/>
  <c r="L53" i="104"/>
  <c r="Q9" i="104"/>
  <c r="V9" i="104"/>
  <c r="W9" i="104"/>
  <c r="U9" i="104"/>
  <c r="S9" i="104"/>
  <c r="R9" i="104"/>
  <c r="T9" i="104"/>
  <c r="X9" i="104"/>
  <c r="K53" i="104" l="1"/>
  <c r="K54" i="104" s="1"/>
  <c r="K9" i="104" s="1"/>
  <c r="D10" i="104"/>
  <c r="I29" i="104"/>
  <c r="J29" i="104" s="1"/>
  <c r="J30" i="104" s="1"/>
  <c r="H30" i="104" s="1"/>
  <c r="F10" i="104" s="1"/>
  <c r="H10" i="104"/>
  <c r="O9" i="104" l="1"/>
  <c r="I9" i="104"/>
  <c r="J10" i="104"/>
  <c r="L10" i="104"/>
  <c r="P10" i="104"/>
  <c r="X10" i="104"/>
  <c r="U10" i="104"/>
  <c r="L29" i="104"/>
  <c r="W10" i="104"/>
  <c r="S10" i="104"/>
  <c r="T10" i="104"/>
  <c r="B11" i="104"/>
  <c r="Q10" i="104"/>
  <c r="R10" i="104"/>
  <c r="V10" i="104"/>
  <c r="K29" i="104" l="1"/>
  <c r="K30" i="104" s="1"/>
  <c r="K10" i="104" s="1"/>
  <c r="D11" i="104"/>
  <c r="I38" i="104"/>
  <c r="J38" i="104" s="1"/>
  <c r="J39" i="104" s="1"/>
  <c r="H39" i="104" s="1"/>
  <c r="F11" i="104" s="1"/>
  <c r="H11" i="104"/>
  <c r="O10" i="104" l="1"/>
  <c r="I10" i="104"/>
  <c r="J11" i="104"/>
  <c r="L11" i="104"/>
  <c r="P11" i="104"/>
  <c r="L38" i="104"/>
  <c r="S11" i="104"/>
  <c r="U11" i="104"/>
  <c r="T11" i="104"/>
  <c r="V11" i="104"/>
  <c r="X11" i="104"/>
  <c r="B12" i="104"/>
  <c r="R11" i="104"/>
  <c r="W11" i="104"/>
  <c r="Q11" i="104"/>
  <c r="K38" i="104" l="1"/>
  <c r="K39" i="104" s="1"/>
  <c r="K11" i="104" s="1"/>
  <c r="D12" i="104"/>
  <c r="I41" i="104"/>
  <c r="J41" i="104"/>
  <c r="J42" i="104"/>
  <c r="H42" i="104" s="1"/>
  <c r="F12" i="104" s="1"/>
  <c r="H12" i="104"/>
  <c r="O11" i="104" l="1"/>
  <c r="I11" i="104"/>
  <c r="J12" i="104"/>
  <c r="L12" i="104"/>
  <c r="P12" i="104"/>
  <c r="S12" i="104"/>
  <c r="L41" i="104"/>
  <c r="W12" i="104"/>
  <c r="X12" i="104"/>
  <c r="U12" i="104"/>
  <c r="R12" i="104"/>
  <c r="V12" i="104"/>
  <c r="T12" i="104"/>
  <c r="Q12" i="104"/>
  <c r="B13" i="104"/>
  <c r="K41" i="104" l="1"/>
  <c r="K42" i="104" s="1"/>
  <c r="K12" i="104" s="1"/>
  <c r="D13" i="104"/>
  <c r="I59" i="104"/>
  <c r="J59" i="104"/>
  <c r="J60" i="104"/>
  <c r="H60" i="104"/>
  <c r="F13" i="104" s="1"/>
  <c r="H13" i="104"/>
  <c r="I12" i="104" l="1"/>
  <c r="O12" i="104"/>
  <c r="J13" i="104"/>
  <c r="L13" i="104"/>
  <c r="P13" i="104"/>
  <c r="L59" i="104"/>
  <c r="T13" i="104"/>
  <c r="X13" i="104"/>
  <c r="Q13" i="104"/>
  <c r="V13" i="104"/>
  <c r="U13" i="104"/>
  <c r="S13" i="104"/>
  <c r="W13" i="104"/>
  <c r="B14" i="104"/>
  <c r="R13" i="104"/>
  <c r="K59" i="104" l="1"/>
  <c r="K60" i="104" s="1"/>
  <c r="K13" i="104" s="1"/>
  <c r="D14" i="104"/>
  <c r="I56" i="104"/>
  <c r="J56" i="104"/>
  <c r="J57" i="104"/>
  <c r="H57" i="104" s="1"/>
  <c r="F14" i="104" s="1"/>
  <c r="H14" i="104"/>
  <c r="O13" i="104" l="1"/>
  <c r="I13" i="104"/>
  <c r="J14" i="104"/>
  <c r="L14" i="104"/>
  <c r="P14" i="104"/>
  <c r="L56" i="104"/>
  <c r="S14" i="104"/>
  <c r="R14" i="104"/>
  <c r="W14" i="104"/>
  <c r="V14" i="104"/>
  <c r="Q14" i="104"/>
  <c r="U14" i="104"/>
  <c r="T14" i="104"/>
  <c r="X14" i="104"/>
  <c r="K56" i="104" l="1"/>
  <c r="K57" i="104" s="1"/>
  <c r="K14" i="104" s="1"/>
  <c r="D15" i="104"/>
  <c r="D16" i="104" s="1"/>
  <c r="R15" i="104"/>
  <c r="R16" i="104" s="1"/>
  <c r="K16" i="104"/>
  <c r="L16" i="104"/>
  <c r="P17" i="104" s="1"/>
  <c r="M16" i="104"/>
  <c r="O17" i="104" s="1"/>
  <c r="P16" i="104"/>
  <c r="Q16" i="104"/>
  <c r="P22" i="104"/>
  <c r="D29" i="104"/>
  <c r="G29" i="104"/>
  <c r="O14" i="104" l="1"/>
  <c r="O16" i="104" s="1"/>
  <c r="I14" i="104"/>
  <c r="I30" i="104"/>
  <c r="I33" i="104"/>
  <c r="I36" i="104"/>
  <c r="I39" i="104"/>
  <c r="I42" i="104"/>
  <c r="I45" i="104"/>
  <c r="I48" i="104"/>
  <c r="I51" i="104"/>
  <c r="I54" i="104"/>
  <c r="I57" i="104"/>
  <c r="I60" i="104"/>
  <c r="I62" i="104"/>
  <c r="D53" i="104"/>
  <c r="M59" i="104"/>
  <c r="D56" i="104"/>
  <c r="M53" i="104"/>
  <c r="D63" i="104"/>
  <c r="D35" i="104"/>
  <c r="G62" i="104"/>
  <c r="D62" i="104"/>
  <c r="D41" i="104"/>
  <c r="M62" i="104"/>
  <c r="M56" i="104"/>
  <c r="G35" i="104"/>
  <c r="M38" i="104"/>
  <c r="M32" i="104"/>
  <c r="D38" i="104"/>
  <c r="M35" i="104"/>
  <c r="L62" i="104"/>
  <c r="M44" i="104"/>
  <c r="G47" i="104"/>
  <c r="G32" i="104"/>
  <c r="M47" i="104"/>
  <c r="D32" i="104"/>
  <c r="G50" i="104"/>
  <c r="M50" i="104"/>
  <c r="G56" i="104"/>
  <c r="G44" i="104"/>
  <c r="M29" i="104"/>
  <c r="D47" i="104"/>
  <c r="G38" i="104"/>
  <c r="G63" i="104"/>
  <c r="G59" i="104"/>
  <c r="D59" i="104"/>
  <c r="G41" i="104"/>
  <c r="D50" i="104"/>
  <c r="G53" i="104"/>
  <c r="D44" i="104"/>
  <c r="M41" i="104"/>
  <c r="J62" i="104" l="1"/>
  <c r="K62" i="104" s="1"/>
  <c r="I63" i="104"/>
  <c r="G64" i="104"/>
  <c r="L63" i="104"/>
  <c r="M63" i="104"/>
  <c r="D64" i="104"/>
  <c r="J63" i="104" l="1"/>
  <c r="K63" i="104" s="1"/>
  <c r="I64" i="104"/>
  <c r="D65" i="104"/>
  <c r="G65" i="104"/>
  <c r="L64" i="104"/>
  <c r="M64" i="104"/>
  <c r="J64" i="104" l="1"/>
  <c r="K64" i="104" s="1"/>
  <c r="I65" i="104"/>
  <c r="G66" i="104"/>
  <c r="L65" i="104"/>
  <c r="M65" i="104"/>
  <c r="D66" i="104"/>
  <c r="J65" i="104" l="1"/>
  <c r="K65" i="104" s="1"/>
  <c r="I66" i="104"/>
  <c r="F67" i="104"/>
  <c r="I67" i="104"/>
  <c r="H67" i="104" s="1"/>
  <c r="G69" i="104"/>
  <c r="D69" i="104"/>
  <c r="M66" i="104"/>
  <c r="L66" i="104"/>
  <c r="J66" i="104" l="1"/>
  <c r="I69" i="104"/>
  <c r="M69" i="104"/>
  <c r="L69" i="104"/>
  <c r="G70" i="104"/>
  <c r="D70" i="104"/>
  <c r="K66" i="104" l="1"/>
  <c r="K67" i="104" s="1"/>
  <c r="J67" i="104"/>
  <c r="J69" i="104"/>
  <c r="K69" i="104" s="1"/>
  <c r="I70" i="104"/>
  <c r="L70" i="104"/>
  <c r="G71" i="104"/>
  <c r="D71" i="104"/>
  <c r="M70" i="104"/>
  <c r="J70" i="104" l="1"/>
  <c r="K70" i="104" s="1"/>
  <c r="I71" i="104"/>
  <c r="G72" i="104"/>
  <c r="L71" i="104"/>
  <c r="M71" i="104"/>
  <c r="D72" i="104"/>
  <c r="J71" i="104" l="1"/>
  <c r="K71" i="104" s="1"/>
  <c r="I72" i="104"/>
  <c r="D73" i="104"/>
  <c r="G73" i="104"/>
  <c r="L72" i="104"/>
  <c r="M72" i="104"/>
  <c r="J72" i="104" l="1"/>
  <c r="K72" i="104" s="1"/>
  <c r="I73" i="104"/>
  <c r="G74" i="104"/>
  <c r="M73" i="104"/>
  <c r="L73" i="104"/>
  <c r="D74" i="104"/>
  <c r="J73" i="104" l="1"/>
  <c r="K73" i="104" s="1"/>
  <c r="I74" i="104"/>
  <c r="M74" i="104"/>
  <c r="L74" i="104"/>
  <c r="D75" i="104"/>
  <c r="G75" i="104"/>
  <c r="J74" i="104" l="1"/>
  <c r="K74" i="104" s="1"/>
  <c r="I75" i="104"/>
  <c r="F76" i="104"/>
  <c r="I76" i="104"/>
  <c r="H76" i="104" s="1"/>
  <c r="M75" i="104"/>
  <c r="L75" i="104"/>
  <c r="J75" i="104" l="1"/>
  <c r="K75" i="104" s="1"/>
  <c r="K76" i="104" s="1"/>
  <c r="J76" i="104" l="1"/>
  <c r="P1" i="85"/>
  <c r="E1" i="85"/>
  <c r="J2" i="85"/>
  <c r="I1" i="85"/>
  <c r="K1" i="85"/>
  <c r="G1" i="85"/>
  <c r="F51" i="85" l="1"/>
  <c r="E4" i="85"/>
  <c r="G4" i="85"/>
  <c r="P4" i="85" l="1"/>
  <c r="Q4" i="85" s="1"/>
  <c r="F77" i="85"/>
  <c r="E5" i="85"/>
  <c r="G5" i="85"/>
  <c r="P5" i="85" l="1"/>
  <c r="Q5" i="85" s="1"/>
  <c r="F86" i="85"/>
  <c r="E6" i="85" s="1"/>
  <c r="G6" i="85"/>
  <c r="P6" i="85" l="1"/>
  <c r="Q6" i="85" s="1"/>
  <c r="F36" i="85"/>
  <c r="E7" i="85" s="1"/>
  <c r="G7" i="85"/>
  <c r="P7" i="85" l="1"/>
  <c r="Q7" i="85" s="1"/>
  <c r="F45" i="85"/>
  <c r="E8" i="85"/>
  <c r="F39" i="85"/>
  <c r="E9" i="85"/>
  <c r="F80" i="85"/>
  <c r="E10" i="85"/>
  <c r="F48" i="85"/>
  <c r="E11" i="85"/>
  <c r="F54" i="85"/>
  <c r="E12" i="85"/>
  <c r="F57" i="85"/>
  <c r="E13" i="85" s="1"/>
  <c r="F60" i="85"/>
  <c r="E14" i="85" s="1"/>
  <c r="F63" i="85"/>
  <c r="E15" i="85"/>
  <c r="F66" i="85"/>
  <c r="E16" i="85"/>
  <c r="F71" i="85"/>
  <c r="E17" i="85" s="1"/>
  <c r="F74" i="85"/>
  <c r="E18" i="85" s="1"/>
  <c r="F83" i="85"/>
  <c r="E19" i="85"/>
  <c r="I50" i="85"/>
  <c r="I51" i="85"/>
  <c r="H51" i="85"/>
  <c r="F4" i="85"/>
  <c r="L4" i="85"/>
  <c r="O4" i="85"/>
  <c r="M4" i="85"/>
  <c r="J50" i="85"/>
  <c r="S4" i="85"/>
  <c r="U4" i="85"/>
  <c r="I76" i="85"/>
  <c r="I77" i="85"/>
  <c r="H77" i="85"/>
  <c r="F5" i="85"/>
  <c r="L5" i="85"/>
  <c r="N5" i="85"/>
  <c r="R5" i="85"/>
  <c r="G15" i="85"/>
  <c r="G13" i="85"/>
  <c r="K4" i="85"/>
  <c r="L50" i="85"/>
  <c r="K5" i="85"/>
  <c r="W4" i="85"/>
  <c r="X4" i="85"/>
  <c r="J4" i="85"/>
  <c r="Y4" i="85"/>
  <c r="G11" i="85"/>
  <c r="V4" i="85"/>
  <c r="G18" i="85"/>
  <c r="G14" i="85"/>
  <c r="H4" i="85"/>
  <c r="G17" i="85"/>
  <c r="T4" i="85"/>
  <c r="H5" i="85"/>
  <c r="L76" i="85"/>
  <c r="G8" i="85"/>
  <c r="G9" i="85"/>
  <c r="G19" i="85"/>
  <c r="G12" i="85"/>
  <c r="J5" i="85"/>
  <c r="G16" i="85"/>
  <c r="G10" i="85"/>
  <c r="T5" i="85"/>
  <c r="J76" i="85" l="1"/>
  <c r="J77" i="85" s="1"/>
  <c r="O5" i="85" s="1"/>
  <c r="S5" i="85" s="1"/>
  <c r="K50" i="85"/>
  <c r="K51" i="85" s="1"/>
  <c r="N4" i="85" s="1"/>
  <c r="R4" i="85" s="1"/>
  <c r="Q18" i="85"/>
  <c r="P11" i="85"/>
  <c r="Q11" i="85" s="1"/>
  <c r="Q13" i="85"/>
  <c r="Q15" i="85"/>
  <c r="Q17" i="85"/>
  <c r="Q19" i="85"/>
  <c r="Q12" i="85"/>
  <c r="P10" i="85"/>
  <c r="Q10" i="85" s="1"/>
  <c r="P8" i="85"/>
  <c r="Q8" i="85" s="1"/>
  <c r="P9" i="85"/>
  <c r="Q9" i="85" s="1"/>
  <c r="I4" i="85"/>
  <c r="Q16" i="85"/>
  <c r="Q14" i="85"/>
  <c r="I5" i="85"/>
  <c r="M5" i="85"/>
  <c r="U5" i="85"/>
  <c r="I85" i="85"/>
  <c r="I86" i="85" s="1"/>
  <c r="H86" i="85" s="1"/>
  <c r="F6" i="85" s="1"/>
  <c r="Y5" i="85"/>
  <c r="W5" i="85"/>
  <c r="L85" i="85"/>
  <c r="M85" i="85"/>
  <c r="J6" i="85"/>
  <c r="T6" i="85"/>
  <c r="X5" i="85"/>
  <c r="V5" i="85"/>
  <c r="K6" i="85"/>
  <c r="H6" i="85"/>
  <c r="J85" i="85" l="1"/>
  <c r="I6" i="85"/>
  <c r="Q21" i="85"/>
  <c r="U6" i="85"/>
  <c r="I35" i="85"/>
  <c r="I36" i="85" s="1"/>
  <c r="H36" i="85" s="1"/>
  <c r="F7" i="85" s="1"/>
  <c r="J35" i="85"/>
  <c r="M7" i="85"/>
  <c r="O7" i="85"/>
  <c r="S7" i="85"/>
  <c r="J7" i="85"/>
  <c r="V6" i="85"/>
  <c r="X6" i="85"/>
  <c r="Y6" i="85"/>
  <c r="K7" i="85"/>
  <c r="H7" i="85"/>
  <c r="T7" i="85"/>
  <c r="L35" i="85"/>
  <c r="W6" i="85"/>
  <c r="K35" i="85" l="1"/>
  <c r="K36" i="85" s="1"/>
  <c r="N7" i="85" s="1"/>
  <c r="L7" i="85" s="1"/>
  <c r="J86" i="85"/>
  <c r="O6" i="85" s="1"/>
  <c r="K85" i="85"/>
  <c r="K86" i="85" s="1"/>
  <c r="N6" i="85" s="1"/>
  <c r="D4" i="85"/>
  <c r="D6" i="85"/>
  <c r="D5" i="85"/>
  <c r="D7" i="85"/>
  <c r="I7" i="85"/>
  <c r="U7" i="85"/>
  <c r="D8" i="85"/>
  <c r="I44" i="85"/>
  <c r="I45" i="85" s="1"/>
  <c r="H45" i="85" s="1"/>
  <c r="F8" i="85" s="1"/>
  <c r="J44" i="85"/>
  <c r="M8" i="85"/>
  <c r="O8" i="85"/>
  <c r="S8" i="85" s="1"/>
  <c r="T8" i="85"/>
  <c r="V7" i="85"/>
  <c r="H8" i="85"/>
  <c r="W7" i="85"/>
  <c r="X7" i="85"/>
  <c r="Y7" i="85"/>
  <c r="K8" i="85"/>
  <c r="L44" i="85"/>
  <c r="J8" i="85"/>
  <c r="R7" i="85" l="1"/>
  <c r="K44" i="85"/>
  <c r="K45" i="85" s="1"/>
  <c r="N8" i="85" s="1"/>
  <c r="R8" i="85" s="1"/>
  <c r="L6" i="85"/>
  <c r="R6" i="85"/>
  <c r="S6" i="85"/>
  <c r="M6" i="85"/>
  <c r="I8" i="85"/>
  <c r="L8" i="85"/>
  <c r="U8" i="85"/>
  <c r="D9" i="85"/>
  <c r="I38" i="85"/>
  <c r="I39" i="85" s="1"/>
  <c r="H39" i="85" s="1"/>
  <c r="F9" i="85" s="1"/>
  <c r="L9" i="85"/>
  <c r="K9" i="85"/>
  <c r="H9" i="85"/>
  <c r="L38" i="85"/>
  <c r="Y8" i="85"/>
  <c r="T9" i="85"/>
  <c r="J9" i="85"/>
  <c r="V8" i="85"/>
  <c r="W8" i="85"/>
  <c r="X8" i="85"/>
  <c r="J38" i="85" l="1"/>
  <c r="J39" i="85" s="1"/>
  <c r="O9" i="85" s="1"/>
  <c r="S9" i="85" s="1"/>
  <c r="I9" i="85"/>
  <c r="U9" i="85"/>
  <c r="D10" i="85"/>
  <c r="I79" i="85"/>
  <c r="I80" i="85"/>
  <c r="H80" i="85"/>
  <c r="F10" i="85" s="1"/>
  <c r="L10" i="85"/>
  <c r="N10" i="85"/>
  <c r="R10" i="85"/>
  <c r="T10" i="85"/>
  <c r="V9" i="85"/>
  <c r="K10" i="85"/>
  <c r="L79" i="85"/>
  <c r="X9" i="85"/>
  <c r="Y9" i="85"/>
  <c r="J10" i="85"/>
  <c r="H10" i="85"/>
  <c r="W9" i="85"/>
  <c r="M9" i="85" l="1"/>
  <c r="K38" i="85"/>
  <c r="K39" i="85" s="1"/>
  <c r="N9" i="85" s="1"/>
  <c r="R9" i="85" s="1"/>
  <c r="J79" i="85"/>
  <c r="J80" i="85" s="1"/>
  <c r="O10" i="85" s="1"/>
  <c r="M10" i="85" s="1"/>
  <c r="I10" i="85"/>
  <c r="U10" i="85"/>
  <c r="D11" i="85"/>
  <c r="I47" i="85"/>
  <c r="I48" i="85"/>
  <c r="H48" i="85" s="1"/>
  <c r="F11" i="85" s="1"/>
  <c r="L11" i="85"/>
  <c r="N11" i="85"/>
  <c r="R11" i="85" s="1"/>
  <c r="U11" i="85"/>
  <c r="Y10" i="85"/>
  <c r="L47" i="85"/>
  <c r="K11" i="85"/>
  <c r="Y11" i="85"/>
  <c r="X11" i="85"/>
  <c r="W10" i="85"/>
  <c r="J11" i="85"/>
  <c r="H11" i="85"/>
  <c r="V10" i="85"/>
  <c r="W11" i="85"/>
  <c r="V11" i="85"/>
  <c r="X10" i="85"/>
  <c r="B12" i="85"/>
  <c r="S10" i="85" l="1"/>
  <c r="J47" i="85"/>
  <c r="J48" i="85" s="1"/>
  <c r="O11" i="85" s="1"/>
  <c r="M11" i="85" s="1"/>
  <c r="I11" i="85"/>
  <c r="D12" i="85"/>
  <c r="I53" i="85"/>
  <c r="I54" i="85"/>
  <c r="H54" i="85" s="1"/>
  <c r="F12" i="85" s="1"/>
  <c r="P12" i="85"/>
  <c r="J53" i="85"/>
  <c r="M12" i="85"/>
  <c r="O12" i="85"/>
  <c r="S12" i="85"/>
  <c r="B13" i="85"/>
  <c r="K12" i="85"/>
  <c r="T12" i="85"/>
  <c r="V12" i="85"/>
  <c r="U12" i="85"/>
  <c r="W12" i="85"/>
  <c r="L53" i="85"/>
  <c r="S11" i="85" l="1"/>
  <c r="K53" i="85"/>
  <c r="K54" i="85" s="1"/>
  <c r="N12" i="85" s="1"/>
  <c r="L12" i="85" s="1"/>
  <c r="D13" i="85"/>
  <c r="I56" i="85"/>
  <c r="I57" i="85" s="1"/>
  <c r="H57" i="85" s="1"/>
  <c r="F13" i="85" s="1"/>
  <c r="P13" i="85"/>
  <c r="J56" i="85"/>
  <c r="M13" i="85"/>
  <c r="O13" i="85"/>
  <c r="S13" i="85" s="1"/>
  <c r="V13" i="85"/>
  <c r="W13" i="85"/>
  <c r="U13" i="85"/>
  <c r="B14" i="85"/>
  <c r="T13" i="85"/>
  <c r="K13" i="85"/>
  <c r="L56" i="85"/>
  <c r="R12" i="85" l="1"/>
  <c r="K56" i="85"/>
  <c r="K57" i="85" s="1"/>
  <c r="N13" i="85" s="1"/>
  <c r="L13" i="85" s="1"/>
  <c r="D14" i="85"/>
  <c r="I59" i="85"/>
  <c r="I60" i="85"/>
  <c r="H60" i="85"/>
  <c r="F14" i="85"/>
  <c r="P14" i="85"/>
  <c r="J59" i="85"/>
  <c r="M14" i="85"/>
  <c r="O14" i="85"/>
  <c r="S14" i="85" s="1"/>
  <c r="W14" i="85"/>
  <c r="K14" i="85"/>
  <c r="T14" i="85"/>
  <c r="U14" i="85"/>
  <c r="B15" i="85"/>
  <c r="L59" i="85"/>
  <c r="V14" i="85"/>
  <c r="R13" i="85" l="1"/>
  <c r="K59" i="85"/>
  <c r="K60" i="85" s="1"/>
  <c r="N14" i="85" s="1"/>
  <c r="L14" i="85" s="1"/>
  <c r="D15" i="85"/>
  <c r="I62" i="85"/>
  <c r="I63" i="85"/>
  <c r="H63" i="85" s="1"/>
  <c r="F15" i="85" s="1"/>
  <c r="P15" i="85"/>
  <c r="J62" i="85"/>
  <c r="M15" i="85"/>
  <c r="O15" i="85"/>
  <c r="S15" i="85"/>
  <c r="V15" i="85"/>
  <c r="U15" i="85"/>
  <c r="K15" i="85"/>
  <c r="W15" i="85"/>
  <c r="B16" i="85"/>
  <c r="L62" i="85"/>
  <c r="T15" i="85"/>
  <c r="R14" i="85" l="1"/>
  <c r="K62" i="85"/>
  <c r="K63" i="85" s="1"/>
  <c r="N15" i="85" s="1"/>
  <c r="L15" i="85" s="1"/>
  <c r="D16" i="85"/>
  <c r="I65" i="85"/>
  <c r="I66" i="85" s="1"/>
  <c r="H66" i="85" s="1"/>
  <c r="F16" i="85" s="1"/>
  <c r="P16" i="85"/>
  <c r="J65" i="85"/>
  <c r="M16" i="85"/>
  <c r="O16" i="85"/>
  <c r="S16" i="85"/>
  <c r="L65" i="85"/>
  <c r="V16" i="85"/>
  <c r="T16" i="85"/>
  <c r="B17" i="85"/>
  <c r="W16" i="85"/>
  <c r="U16" i="85"/>
  <c r="K16" i="85"/>
  <c r="R15" i="85" l="1"/>
  <c r="K65" i="85"/>
  <c r="K66" i="85" s="1"/>
  <c r="N16" i="85" s="1"/>
  <c r="R16" i="85" s="1"/>
  <c r="D17" i="85"/>
  <c r="I68" i="85"/>
  <c r="I69" i="85"/>
  <c r="I70" i="85"/>
  <c r="I71" i="85"/>
  <c r="H71" i="85" s="1"/>
  <c r="F17" i="85" s="1"/>
  <c r="P17" i="85"/>
  <c r="J68" i="85"/>
  <c r="M17" i="85"/>
  <c r="O17" i="85"/>
  <c r="S17" i="85"/>
  <c r="B18" i="85"/>
  <c r="K17" i="85"/>
  <c r="T17" i="85"/>
  <c r="W17" i="85"/>
  <c r="U17" i="85"/>
  <c r="L68" i="85"/>
  <c r="V17" i="85"/>
  <c r="L16" i="85" l="1"/>
  <c r="K68" i="85"/>
  <c r="D18" i="85"/>
  <c r="I73" i="85"/>
  <c r="I74" i="85"/>
  <c r="H74" i="85"/>
  <c r="F18" i="85"/>
  <c r="P18" i="85"/>
  <c r="J73" i="85"/>
  <c r="M18" i="85"/>
  <c r="O18" i="85"/>
  <c r="S18" i="85"/>
  <c r="U18" i="85"/>
  <c r="V18" i="85"/>
  <c r="L73" i="85"/>
  <c r="W18" i="85"/>
  <c r="T18" i="85"/>
  <c r="B19" i="85"/>
  <c r="K18" i="85"/>
  <c r="K73" i="85" l="1"/>
  <c r="K74" i="85" s="1"/>
  <c r="N18" i="85" s="1"/>
  <c r="R18" i="85" s="1"/>
  <c r="D19" i="85"/>
  <c r="I82" i="85"/>
  <c r="I83" i="85"/>
  <c r="H83" i="85" s="1"/>
  <c r="F19" i="85" s="1"/>
  <c r="P19" i="85"/>
  <c r="J82" i="85"/>
  <c r="M19" i="85"/>
  <c r="O19" i="85"/>
  <c r="S19" i="85"/>
  <c r="L82" i="85"/>
  <c r="K19" i="85"/>
  <c r="T19" i="85"/>
  <c r="V19" i="85"/>
  <c r="U19" i="85"/>
  <c r="W19" i="85"/>
  <c r="L18" i="85" l="1"/>
  <c r="K82" i="85"/>
  <c r="K83" i="85" s="1"/>
  <c r="N19" i="85" s="1"/>
  <c r="L19" i="85" s="1"/>
  <c r="D20" i="85"/>
  <c r="D21" i="85" s="1"/>
  <c r="U20" i="85"/>
  <c r="I21" i="85"/>
  <c r="M21" i="85"/>
  <c r="O21" i="85"/>
  <c r="P21" i="85"/>
  <c r="S21" i="85"/>
  <c r="T21" i="85"/>
  <c r="U21" i="85"/>
  <c r="H27" i="85"/>
  <c r="I27" i="85"/>
  <c r="J27" i="85"/>
  <c r="M27" i="85"/>
  <c r="N27" i="85"/>
  <c r="P27" i="85"/>
  <c r="P28" i="85"/>
  <c r="R32" i="85"/>
  <c r="R33" i="85"/>
  <c r="R34" i="85"/>
  <c r="J36" i="85"/>
  <c r="I41" i="85"/>
  <c r="J41" i="85"/>
  <c r="F42" i="85"/>
  <c r="I42" i="85"/>
  <c r="H42" i="85" s="1"/>
  <c r="J42" i="85"/>
  <c r="J45" i="85"/>
  <c r="K47" i="85"/>
  <c r="K48" i="85"/>
  <c r="J51" i="85"/>
  <c r="J54" i="85"/>
  <c r="J57" i="85"/>
  <c r="J60" i="85"/>
  <c r="J63" i="85"/>
  <c r="J66" i="85"/>
  <c r="J69" i="85"/>
  <c r="D59" i="85"/>
  <c r="M68" i="85"/>
  <c r="D53" i="85"/>
  <c r="G41" i="85"/>
  <c r="D65" i="85"/>
  <c r="G62" i="85"/>
  <c r="D35" i="85"/>
  <c r="G53" i="85"/>
  <c r="D68" i="85"/>
  <c r="M41" i="85"/>
  <c r="M44" i="85"/>
  <c r="G38" i="85"/>
  <c r="D62" i="85"/>
  <c r="G56" i="85"/>
  <c r="M35" i="85"/>
  <c r="G69" i="85"/>
  <c r="M59" i="85"/>
  <c r="G68" i="85"/>
  <c r="L69" i="85"/>
  <c r="M50" i="85"/>
  <c r="M38" i="85"/>
  <c r="D38" i="85"/>
  <c r="M62" i="85"/>
  <c r="G70" i="85"/>
  <c r="G65" i="85"/>
  <c r="G35" i="85"/>
  <c r="R27" i="85"/>
  <c r="M65" i="85"/>
  <c r="M47" i="85"/>
  <c r="D69" i="85"/>
  <c r="G47" i="85"/>
  <c r="M53" i="85"/>
  <c r="G59" i="85"/>
  <c r="D56" i="85"/>
  <c r="D70" i="85"/>
  <c r="D44" i="85"/>
  <c r="G50" i="85"/>
  <c r="G44" i="85"/>
  <c r="M69" i="85"/>
  <c r="L41" i="85"/>
  <c r="D47" i="85"/>
  <c r="M56" i="85"/>
  <c r="D50" i="85"/>
  <c r="E27" i="85"/>
  <c r="O27" i="85"/>
  <c r="D41" i="85"/>
  <c r="R19" i="85" l="1"/>
  <c r="K69" i="85"/>
  <c r="K41" i="85"/>
  <c r="K42" i="85" s="1"/>
  <c r="J70" i="85"/>
  <c r="M70" i="85"/>
  <c r="L70" i="85"/>
  <c r="K70" i="85" l="1"/>
  <c r="K71" i="85" s="1"/>
  <c r="N17" i="85" s="1"/>
  <c r="L17" i="85" s="1"/>
  <c r="L21" i="85" s="1"/>
  <c r="N21" i="85"/>
  <c r="J71" i="85"/>
  <c r="J74" i="85"/>
  <c r="K76" i="85"/>
  <c r="K77" i="85" s="1"/>
  <c r="K79" i="85"/>
  <c r="K80" i="85" s="1"/>
  <c r="J83" i="85"/>
  <c r="M76" i="85"/>
  <c r="M73" i="85"/>
  <c r="D85" i="85"/>
  <c r="D76" i="85"/>
  <c r="G85" i="85"/>
  <c r="M79" i="85"/>
  <c r="M82" i="85"/>
  <c r="G82" i="85"/>
  <c r="G73" i="85"/>
  <c r="D79" i="85"/>
  <c r="D73" i="85"/>
  <c r="G76" i="85"/>
  <c r="G79" i="85"/>
  <c r="D82" i="85"/>
  <c r="R17" i="85" l="1"/>
  <c r="R21" i="85" s="1"/>
  <c r="F47" i="97"/>
  <c r="E4" i="97"/>
  <c r="F41" i="97"/>
  <c r="E5" i="97"/>
  <c r="F54" i="97"/>
  <c r="E6" i="97"/>
  <c r="F51" i="97"/>
  <c r="E7" i="97"/>
  <c r="F37" i="97"/>
  <c r="E8" i="97"/>
  <c r="F44" i="97"/>
  <c r="E12" i="97"/>
  <c r="F57" i="97"/>
  <c r="E14" i="97"/>
  <c r="F60" i="97"/>
  <c r="E15" i="97"/>
  <c r="F63" i="97"/>
  <c r="E16" i="97"/>
  <c r="I46" i="97"/>
  <c r="I47" i="97" s="1"/>
  <c r="H47" i="97" s="1"/>
  <c r="F4" i="97" s="1"/>
  <c r="J46" i="97"/>
  <c r="O4" i="97"/>
  <c r="G1" i="97"/>
  <c r="H4" i="97"/>
  <c r="K1" i="97"/>
  <c r="L46" i="97"/>
  <c r="G11" i="97"/>
  <c r="G12" i="97"/>
  <c r="K4" i="97"/>
  <c r="T4" i="97"/>
  <c r="G10" i="97"/>
  <c r="G9" i="97"/>
  <c r="G8" i="97"/>
  <c r="I1" i="97"/>
  <c r="G13" i="97"/>
  <c r="J4" i="97"/>
  <c r="G14" i="97"/>
  <c r="G16" i="97"/>
  <c r="G5" i="97"/>
  <c r="G15" i="97"/>
  <c r="G7" i="97"/>
  <c r="G4" i="97"/>
  <c r="G6" i="97"/>
  <c r="P1" i="97"/>
  <c r="K46" i="97" l="1"/>
  <c r="K47" i="97" s="1"/>
  <c r="N4" i="97" s="1"/>
  <c r="P16" i="97"/>
  <c r="Q16" i="97" s="1"/>
  <c r="P14" i="97"/>
  <c r="Q14" i="97" s="1"/>
  <c r="P6" i="97"/>
  <c r="Q6" i="97" s="1"/>
  <c r="I4" i="97"/>
  <c r="P11" i="97"/>
  <c r="Q11" i="97" s="1"/>
  <c r="P13" i="97"/>
  <c r="Q13" i="97" s="1"/>
  <c r="P9" i="97"/>
  <c r="Q9" i="97" s="1"/>
  <c r="P8" i="97"/>
  <c r="Q8" i="97" s="1"/>
  <c r="M4" i="97"/>
  <c r="P4" i="97"/>
  <c r="Q4" i="97" s="1"/>
  <c r="U4" i="97" s="1"/>
  <c r="P15" i="97"/>
  <c r="Q15" i="97" s="1"/>
  <c r="P10" i="97"/>
  <c r="Q10" i="97" s="1"/>
  <c r="P12" i="97"/>
  <c r="Q12" i="97" s="1"/>
  <c r="P7" i="97"/>
  <c r="Q7" i="97" s="1"/>
  <c r="P5" i="97"/>
  <c r="Q5" i="97" s="1"/>
  <c r="I39" i="97"/>
  <c r="I40" i="97"/>
  <c r="I41" i="97"/>
  <c r="H41" i="97" s="1"/>
  <c r="F5" i="97" s="1"/>
  <c r="J39" i="97"/>
  <c r="J40" i="97"/>
  <c r="M5" i="97"/>
  <c r="O5" i="97"/>
  <c r="K5" i="97"/>
  <c r="X4" i="97"/>
  <c r="AB4" i="97"/>
  <c r="H5" i="97"/>
  <c r="L40" i="97"/>
  <c r="J5" i="97"/>
  <c r="Y4" i="97"/>
  <c r="L39" i="97"/>
  <c r="T5" i="97"/>
  <c r="W4" i="97"/>
  <c r="Z4" i="97"/>
  <c r="V4" i="97"/>
  <c r="AA4" i="97"/>
  <c r="K40" i="97" l="1"/>
  <c r="K39" i="97"/>
  <c r="K41" i="97" s="1"/>
  <c r="N5" i="97" s="1"/>
  <c r="L5" i="97" s="1"/>
  <c r="L4" i="97"/>
  <c r="R4" i="97"/>
  <c r="I5" i="97"/>
  <c r="S5" i="97"/>
  <c r="Q18" i="97"/>
  <c r="D4" i="97" s="1"/>
  <c r="S4" i="97"/>
  <c r="U5" i="97"/>
  <c r="I53" i="97"/>
  <c r="I54" i="97" s="1"/>
  <c r="H54" i="97" s="1"/>
  <c r="F6" i="97" s="1"/>
  <c r="J53" i="97"/>
  <c r="M6" i="97"/>
  <c r="O6" i="97"/>
  <c r="S6" i="97"/>
  <c r="Y5" i="97"/>
  <c r="X5" i="97"/>
  <c r="W5" i="97"/>
  <c r="V5" i="97"/>
  <c r="Z5" i="97"/>
  <c r="K6" i="97"/>
  <c r="AB5" i="97"/>
  <c r="AA5" i="97"/>
  <c r="T6" i="97"/>
  <c r="J6" i="97"/>
  <c r="L53" i="97"/>
  <c r="H6" i="97"/>
  <c r="R5" i="97" l="1"/>
  <c r="K53" i="97"/>
  <c r="K54" i="97" s="1"/>
  <c r="N6" i="97" s="1"/>
  <c r="L6" i="97" s="1"/>
  <c r="I6" i="97"/>
  <c r="D6" i="97"/>
  <c r="D5" i="97"/>
  <c r="R6" i="97"/>
  <c r="U6" i="97"/>
  <c r="D7" i="97"/>
  <c r="I49" i="97"/>
  <c r="I50" i="97"/>
  <c r="I51" i="97"/>
  <c r="H51" i="97" s="1"/>
  <c r="F7" i="97" s="1"/>
  <c r="L7" i="97"/>
  <c r="N7" i="97"/>
  <c r="R7" i="97" s="1"/>
  <c r="T7" i="97"/>
  <c r="W6" i="97"/>
  <c r="H7" i="97"/>
  <c r="X6" i="97"/>
  <c r="AB6" i="97"/>
  <c r="AA6" i="97"/>
  <c r="Z6" i="97"/>
  <c r="K7" i="97"/>
  <c r="L49" i="97"/>
  <c r="V6" i="97"/>
  <c r="L50" i="97"/>
  <c r="Y6" i="97"/>
  <c r="J7" i="97"/>
  <c r="J50" i="97" l="1"/>
  <c r="J49" i="97"/>
  <c r="J51" i="97" s="1"/>
  <c r="O7" i="97" s="1"/>
  <c r="S7" i="97" s="1"/>
  <c r="I7" i="97"/>
  <c r="U7" i="97"/>
  <c r="D8" i="97"/>
  <c r="I36" i="97"/>
  <c r="I37" i="97"/>
  <c r="H37" i="97" s="1"/>
  <c r="F8" i="97" s="1"/>
  <c r="L8" i="97"/>
  <c r="N8" i="97"/>
  <c r="R8" i="97" s="1"/>
  <c r="AB7" i="97"/>
  <c r="Z7" i="97"/>
  <c r="W7" i="97"/>
  <c r="K8" i="97"/>
  <c r="H8" i="97"/>
  <c r="J8" i="97"/>
  <c r="V7" i="97"/>
  <c r="T8" i="97"/>
  <c r="L36" i="97"/>
  <c r="Y7" i="97"/>
  <c r="X7" i="97"/>
  <c r="AA7" i="97"/>
  <c r="M7" i="97" l="1"/>
  <c r="J36" i="97"/>
  <c r="J37" i="97" s="1"/>
  <c r="O8" i="97" s="1"/>
  <c r="M8" i="97" s="1"/>
  <c r="I8" i="97"/>
  <c r="U8" i="97"/>
  <c r="D9" i="97"/>
  <c r="L9" i="97"/>
  <c r="N9" i="97"/>
  <c r="O9" i="97" s="1"/>
  <c r="R9" i="97"/>
  <c r="K9" i="97"/>
  <c r="AB8" i="97"/>
  <c r="V8" i="97"/>
  <c r="X8" i="97"/>
  <c r="W8" i="97"/>
  <c r="J9" i="97"/>
  <c r="Y8" i="97"/>
  <c r="Z8" i="97"/>
  <c r="T9" i="97"/>
  <c r="AA8" i="97"/>
  <c r="H9" i="97"/>
  <c r="S8" i="97" l="1"/>
  <c r="I9" i="97"/>
  <c r="S9" i="97"/>
  <c r="M9" i="97"/>
  <c r="U9" i="97"/>
  <c r="D10" i="97"/>
  <c r="L10" i="97"/>
  <c r="N10" i="97"/>
  <c r="O10" i="97"/>
  <c r="M10" i="97" s="1"/>
  <c r="R10" i="97"/>
  <c r="U10" i="97"/>
  <c r="D11" i="97"/>
  <c r="L11" i="97"/>
  <c r="N11" i="97"/>
  <c r="O11" i="97"/>
  <c r="S11" i="97" s="1"/>
  <c r="R11" i="97"/>
  <c r="X9" i="97"/>
  <c r="Z9" i="97"/>
  <c r="Y9" i="97"/>
  <c r="AB10" i="97"/>
  <c r="H10" i="97"/>
  <c r="K10" i="97"/>
  <c r="J11" i="97"/>
  <c r="V9" i="97"/>
  <c r="H11" i="97"/>
  <c r="T10" i="97"/>
  <c r="W9" i="97"/>
  <c r="X10" i="97"/>
  <c r="W10" i="97"/>
  <c r="V10" i="97"/>
  <c r="K11" i="97"/>
  <c r="AB9" i="97"/>
  <c r="AA9" i="97"/>
  <c r="T11" i="97"/>
  <c r="Z10" i="97"/>
  <c r="J10" i="97"/>
  <c r="AA10" i="97"/>
  <c r="Y10" i="97"/>
  <c r="I11" i="97" l="1"/>
  <c r="I10" i="97"/>
  <c r="S10" i="97"/>
  <c r="M11" i="97"/>
  <c r="U11" i="97"/>
  <c r="D12" i="97"/>
  <c r="I43" i="97"/>
  <c r="I44" i="97"/>
  <c r="H44" i="97"/>
  <c r="F12" i="97"/>
  <c r="L12" i="97"/>
  <c r="N12" i="97"/>
  <c r="R12" i="97"/>
  <c r="L43" i="97"/>
  <c r="W11" i="97"/>
  <c r="X11" i="97"/>
  <c r="AB11" i="97"/>
  <c r="H12" i="97"/>
  <c r="AA11" i="97"/>
  <c r="V11" i="97"/>
  <c r="T12" i="97"/>
  <c r="Y11" i="97"/>
  <c r="Z11" i="97"/>
  <c r="J12" i="97"/>
  <c r="K12" i="97"/>
  <c r="J43" i="97" l="1"/>
  <c r="J44" i="97" s="1"/>
  <c r="O12" i="97" s="1"/>
  <c r="M12" i="97" s="1"/>
  <c r="I12" i="97"/>
  <c r="U12" i="97"/>
  <c r="D13" i="97"/>
  <c r="L13" i="97"/>
  <c r="N13" i="97"/>
  <c r="O13" i="97"/>
  <c r="M13" i="97" s="1"/>
  <c r="R13" i="97"/>
  <c r="Z12" i="97"/>
  <c r="T13" i="97"/>
  <c r="W12" i="97"/>
  <c r="J13" i="97"/>
  <c r="H13" i="97"/>
  <c r="K13" i="97"/>
  <c r="X12" i="97"/>
  <c r="AA12" i="97"/>
  <c r="Y12" i="97"/>
  <c r="AB12" i="97"/>
  <c r="V12" i="97"/>
  <c r="S12" i="97" l="1"/>
  <c r="I13" i="97"/>
  <c r="S13" i="97"/>
  <c r="U13" i="97"/>
  <c r="D14" i="97"/>
  <c r="I56" i="97"/>
  <c r="I57" i="97"/>
  <c r="H57" i="97"/>
  <c r="F14" i="97"/>
  <c r="L14" i="97"/>
  <c r="N14" i="97"/>
  <c r="R14" i="97"/>
  <c r="L56" i="97"/>
  <c r="AA13" i="97"/>
  <c r="T14" i="97"/>
  <c r="AB13" i="97"/>
  <c r="Z13" i="97"/>
  <c r="V13" i="97"/>
  <c r="W13" i="97"/>
  <c r="Y13" i="97"/>
  <c r="H14" i="97"/>
  <c r="J14" i="97"/>
  <c r="K14" i="97"/>
  <c r="X13" i="97"/>
  <c r="J56" i="97" l="1"/>
  <c r="J57" i="97" s="1"/>
  <c r="O14" i="97" s="1"/>
  <c r="M14" i="97" s="1"/>
  <c r="I14" i="97"/>
  <c r="U14" i="97"/>
  <c r="D15" i="97"/>
  <c r="I59" i="97"/>
  <c r="J59" i="97" s="1"/>
  <c r="J60" i="97" s="1"/>
  <c r="H60" i="97" s="1"/>
  <c r="F15" i="97" s="1"/>
  <c r="M15" i="97"/>
  <c r="O15" i="97"/>
  <c r="S15" i="97" s="1"/>
  <c r="W14" i="97"/>
  <c r="Z15" i="97"/>
  <c r="K15" i="97"/>
  <c r="AB15" i="97"/>
  <c r="X15" i="97"/>
  <c r="Z14" i="97"/>
  <c r="L59" i="97"/>
  <c r="X14" i="97"/>
  <c r="U15" i="97"/>
  <c r="AA15" i="97"/>
  <c r="Y14" i="97"/>
  <c r="AB14" i="97"/>
  <c r="Y15" i="97"/>
  <c r="B16" i="97"/>
  <c r="V14" i="97"/>
  <c r="AA14" i="97"/>
  <c r="B15" i="97"/>
  <c r="T15" i="97"/>
  <c r="S14" i="97" l="1"/>
  <c r="K59" i="97"/>
  <c r="K60" i="97" s="1"/>
  <c r="N15" i="97" s="1"/>
  <c r="R15" i="97" s="1"/>
  <c r="D16" i="97"/>
  <c r="I62" i="97"/>
  <c r="J62" i="97" s="1"/>
  <c r="J63" i="97" s="1"/>
  <c r="H63" i="97" s="1"/>
  <c r="F16" i="97" s="1"/>
  <c r="M16" i="97"/>
  <c r="O16" i="97"/>
  <c r="S16" i="97"/>
  <c r="Z16" i="97"/>
  <c r="AA16" i="97"/>
  <c r="X16" i="97"/>
  <c r="L62" i="97"/>
  <c r="T16" i="97"/>
  <c r="Y16" i="97"/>
  <c r="K16" i="97"/>
  <c r="U16" i="97"/>
  <c r="AB16" i="97"/>
  <c r="L15" i="97" l="1"/>
  <c r="K62" i="97"/>
  <c r="K63" i="97" s="1"/>
  <c r="N16" i="97" s="1"/>
  <c r="R16" i="97" s="1"/>
  <c r="D17" i="97"/>
  <c r="D18" i="97" s="1"/>
  <c r="N17" i="97"/>
  <c r="O17" i="97" s="1"/>
  <c r="I18" i="97"/>
  <c r="M18" i="97"/>
  <c r="N18" i="97"/>
  <c r="P18" i="97"/>
  <c r="R18" i="97"/>
  <c r="T18" i="97"/>
  <c r="E23" i="97"/>
  <c r="L16" i="97" l="1"/>
  <c r="L18" i="97" s="1"/>
  <c r="R19" i="97"/>
  <c r="O18" i="97"/>
  <c r="S19" i="97" s="1"/>
  <c r="S17" i="97"/>
  <c r="S18" i="97" s="1"/>
  <c r="H23" i="97"/>
  <c r="I23" i="97"/>
  <c r="J23" i="97"/>
  <c r="M23" i="97"/>
  <c r="N23" i="97"/>
  <c r="H24" i="97"/>
  <c r="I24" i="97"/>
  <c r="J24" i="97"/>
  <c r="N24" i="97" s="1"/>
  <c r="M24" i="97"/>
  <c r="H25" i="97"/>
  <c r="I25" i="97"/>
  <c r="J25" i="97"/>
  <c r="N25" i="97" s="1"/>
  <c r="M25" i="97"/>
  <c r="H26" i="97"/>
  <c r="I26" i="97"/>
  <c r="H27" i="97"/>
  <c r="I27" i="97"/>
  <c r="H28" i="97"/>
  <c r="I28" i="97"/>
  <c r="K36" i="97"/>
  <c r="K37" i="97" s="1"/>
  <c r="J41" i="97"/>
  <c r="K43" i="97"/>
  <c r="K44" i="97" s="1"/>
  <c r="J47" i="97"/>
  <c r="K49" i="97"/>
  <c r="K51" i="97" s="1"/>
  <c r="K50" i="97"/>
  <c r="J54" i="97"/>
  <c r="K56" i="97"/>
  <c r="K57" i="97" s="1"/>
  <c r="I60" i="97"/>
  <c r="I63" i="97"/>
  <c r="E28" i="97"/>
  <c r="M56" i="97"/>
  <c r="E27" i="97"/>
  <c r="R27" i="97"/>
  <c r="R24" i="97"/>
  <c r="M46" i="97"/>
  <c r="M49" i="97"/>
  <c r="D39" i="97"/>
  <c r="G59" i="97"/>
  <c r="D46" i="97"/>
  <c r="D59" i="97"/>
  <c r="D56" i="97"/>
  <c r="D49" i="97"/>
  <c r="R28" i="97"/>
  <c r="M59" i="97"/>
  <c r="M53" i="97"/>
  <c r="O24" i="97"/>
  <c r="O26" i="97"/>
  <c r="G56" i="97"/>
  <c r="R26" i="97"/>
  <c r="G43" i="97"/>
  <c r="G62" i="97"/>
  <c r="M50" i="97"/>
  <c r="G46" i="97"/>
  <c r="R23" i="97"/>
  <c r="G53" i="97"/>
  <c r="E26" i="97"/>
  <c r="M40" i="97"/>
  <c r="G49" i="97"/>
  <c r="D40" i="97"/>
  <c r="E24" i="97"/>
  <c r="L26" i="97"/>
  <c r="D36" i="97"/>
  <c r="R25" i="97"/>
  <c r="L27" i="97"/>
  <c r="D62" i="97"/>
  <c r="G36" i="97"/>
  <c r="E25" i="97"/>
  <c r="D53" i="97"/>
  <c r="G40" i="97"/>
  <c r="D43" i="97"/>
  <c r="O28" i="97"/>
  <c r="D50" i="97"/>
  <c r="M43" i="97"/>
  <c r="L28" i="97"/>
  <c r="G39" i="97"/>
  <c r="G50" i="97"/>
  <c r="M39" i="97"/>
  <c r="M62" i="97"/>
  <c r="O25" i="97"/>
  <c r="O23" i="97"/>
  <c r="M36" i="97"/>
  <c r="O27" i="97"/>
  <c r="J28" i="97" l="1"/>
  <c r="N28" i="97" s="1"/>
  <c r="P28" i="97" s="1"/>
  <c r="M28" i="97"/>
  <c r="P24" i="97"/>
  <c r="P25" i="97"/>
  <c r="J27" i="97"/>
  <c r="N27" i="97" s="1"/>
  <c r="P27" i="97" s="1"/>
  <c r="M27" i="97"/>
  <c r="J26" i="97"/>
  <c r="N26" i="97" s="1"/>
  <c r="M26" i="97"/>
  <c r="P23" i="97"/>
  <c r="P29" i="97" s="1"/>
  <c r="F22" i="106"/>
  <c r="E4" i="106" s="1"/>
  <c r="F29" i="106"/>
  <c r="E6" i="106" s="1"/>
  <c r="F25" i="106"/>
  <c r="I20" i="106"/>
  <c r="J20" i="106"/>
  <c r="I21" i="106"/>
  <c r="I22" i="106"/>
  <c r="H22" i="106" s="1"/>
  <c r="F4" i="106" s="1"/>
  <c r="L20" i="106"/>
  <c r="G1" i="106"/>
  <c r="H4" i="106"/>
  <c r="G7" i="106"/>
  <c r="I1" i="106"/>
  <c r="K1" i="106"/>
  <c r="G4" i="106"/>
  <c r="P1" i="106"/>
  <c r="G6" i="106"/>
  <c r="N29" i="97" l="1"/>
  <c r="P26" i="97"/>
  <c r="Q5" i="106"/>
  <c r="P4" i="106"/>
  <c r="P7" i="106"/>
  <c r="P6" i="106"/>
  <c r="K20" i="106"/>
  <c r="I4" i="106"/>
  <c r="K4" i="106"/>
  <c r="J4" i="106"/>
  <c r="M4" i="106" l="1"/>
  <c r="O4" i="106"/>
  <c r="Q4" i="106"/>
  <c r="S4" i="106" s="1"/>
  <c r="I27" i="106"/>
  <c r="I28" i="106"/>
  <c r="I29" i="106"/>
  <c r="H29" i="106" s="1"/>
  <c r="F6" i="106" s="1"/>
  <c r="L6" i="106"/>
  <c r="Q6" i="106"/>
  <c r="N6" i="106"/>
  <c r="R6" i="106" s="1"/>
  <c r="W4" i="106"/>
  <c r="J6" i="106"/>
  <c r="X6" i="106"/>
  <c r="H6" i="106"/>
  <c r="V4" i="106"/>
  <c r="W6" i="106"/>
  <c r="U4" i="106"/>
  <c r="T4" i="106"/>
  <c r="K6" i="106"/>
  <c r="V6" i="106"/>
  <c r="X4" i="106"/>
  <c r="U6" i="106"/>
  <c r="L27" i="106"/>
  <c r="T6" i="106"/>
  <c r="I6" i="106" l="1"/>
  <c r="J27" i="106"/>
  <c r="I24" i="106"/>
  <c r="I25" i="106"/>
  <c r="H25" i="106" s="1"/>
  <c r="H7" i="106"/>
  <c r="I7" i="106" l="1"/>
  <c r="L7" i="106"/>
  <c r="Q7" i="106"/>
  <c r="N7" i="106"/>
  <c r="R7" i="106" s="1"/>
  <c r="K7" i="106"/>
  <c r="L24" i="106"/>
  <c r="T7" i="106"/>
  <c r="X7" i="106"/>
  <c r="W7" i="106"/>
  <c r="U7" i="106"/>
  <c r="V7" i="106"/>
  <c r="J7" i="106"/>
  <c r="J24" i="106" l="1"/>
  <c r="J25" i="106" s="1"/>
  <c r="O9" i="106"/>
  <c r="N15" i="106"/>
  <c r="P15" i="106"/>
  <c r="G20" i="106"/>
  <c r="D20" i="106"/>
  <c r="O5" i="106" l="1"/>
  <c r="S7" i="106"/>
  <c r="M7" i="106"/>
  <c r="J21" i="106"/>
  <c r="J22" i="106"/>
  <c r="G21" i="106"/>
  <c r="M21" i="106"/>
  <c r="L21" i="106"/>
  <c r="G24" i="106"/>
  <c r="M20" i="106"/>
  <c r="D21" i="106"/>
  <c r="D24" i="106"/>
  <c r="M5" i="106" l="1"/>
  <c r="S5" i="106"/>
  <c r="K21" i="106"/>
  <c r="K22" i="106" s="1"/>
  <c r="N4" i="106" s="1"/>
  <c r="K24" i="106"/>
  <c r="K25" i="106" s="1"/>
  <c r="G27" i="106"/>
  <c r="D27" i="106"/>
  <c r="M24" i="106"/>
  <c r="R4" i="106" l="1"/>
  <c r="R9" i="106" s="1"/>
  <c r="L4" i="106"/>
  <c r="K27" i="106"/>
  <c r="M27" i="106"/>
  <c r="D28" i="106"/>
  <c r="G28" i="106"/>
  <c r="P9" i="106" l="1"/>
  <c r="Q8" i="106"/>
  <c r="Q9" i="106" s="1"/>
  <c r="M28" i="106"/>
  <c r="L28" i="106"/>
  <c r="D8" i="106" l="1"/>
  <c r="D5" i="106"/>
  <c r="D4" i="106"/>
  <c r="D6" i="106"/>
  <c r="D7" i="106"/>
  <c r="J28" i="106"/>
  <c r="L9" i="106" l="1"/>
  <c r="K28" i="106"/>
  <c r="K29" i="106" s="1"/>
  <c r="J29" i="106"/>
  <c r="O6" i="106" s="1"/>
  <c r="T9" i="106"/>
  <c r="D9" i="106"/>
  <c r="I9" i="106"/>
  <c r="S6" i="106" l="1"/>
  <c r="S9" i="106" s="1"/>
  <c r="M6" i="106"/>
  <c r="M9" i="106" s="1"/>
  <c r="U10" i="92"/>
  <c r="K1" i="47"/>
  <c r="I1" i="47"/>
  <c r="U9" i="92"/>
  <c r="U11" i="92"/>
  <c r="G1" i="47"/>
  <c r="P1" i="47"/>
  <c r="F49" i="47" l="1"/>
  <c r="E4" i="47" s="1"/>
  <c r="F56" i="47"/>
  <c r="E5" i="47"/>
  <c r="F85" i="47"/>
  <c r="E6" i="47" s="1"/>
  <c r="F53" i="47"/>
  <c r="E7" i="47" s="1"/>
  <c r="F82" i="47"/>
  <c r="E8" i="47"/>
  <c r="F79" i="47"/>
  <c r="E9" i="47"/>
  <c r="F60" i="47"/>
  <c r="E10" i="47"/>
  <c r="F88" i="47"/>
  <c r="E11" i="47"/>
  <c r="P12" i="47"/>
  <c r="I48" i="47"/>
  <c r="I49" i="47"/>
  <c r="H49" i="47" s="1"/>
  <c r="F4" i="47" s="1"/>
  <c r="G9" i="47"/>
  <c r="G11" i="47"/>
  <c r="G10" i="47"/>
  <c r="G6" i="47"/>
  <c r="G7" i="47"/>
  <c r="G5" i="47"/>
  <c r="H4" i="47"/>
  <c r="G4" i="47"/>
  <c r="G8" i="47"/>
  <c r="P7" i="47" l="1"/>
  <c r="P8" i="47"/>
  <c r="P9" i="47"/>
  <c r="P11" i="47"/>
  <c r="P4" i="47"/>
  <c r="Q4" i="47" s="1"/>
  <c r="S4" i="47" s="1"/>
  <c r="P10" i="47"/>
  <c r="P5" i="47"/>
  <c r="P6" i="47"/>
  <c r="I4" i="47"/>
  <c r="J48" i="47"/>
  <c r="M4" i="47"/>
  <c r="O4" i="47"/>
  <c r="J4" i="47"/>
  <c r="X4" i="47"/>
  <c r="M48" i="47"/>
  <c r="K4" i="47"/>
  <c r="U4" i="47"/>
  <c r="T4" i="47"/>
  <c r="V4" i="47"/>
  <c r="W4" i="47"/>
  <c r="K48" i="47" l="1"/>
  <c r="K49" i="47" s="1"/>
  <c r="N4" i="47" s="1"/>
  <c r="R4" i="47" s="1"/>
  <c r="P13" i="47"/>
  <c r="D4" i="47" s="1"/>
  <c r="Q5" i="47"/>
  <c r="U5" i="47"/>
  <c r="W5" i="47"/>
  <c r="L55" i="47"/>
  <c r="V5" i="47"/>
  <c r="J5" i="47"/>
  <c r="K5" i="47"/>
  <c r="X5" i="47"/>
  <c r="T5" i="47"/>
  <c r="H55" i="47"/>
  <c r="H5" i="47"/>
  <c r="L4" i="47" l="1"/>
  <c r="I55" i="47"/>
  <c r="D5" i="47"/>
  <c r="I5" i="47"/>
  <c r="D6" i="47"/>
  <c r="I84" i="47"/>
  <c r="I85" i="47" s="1"/>
  <c r="H85" i="47" s="1"/>
  <c r="F6" i="47" s="1"/>
  <c r="L6" i="47"/>
  <c r="Q6" i="47"/>
  <c r="N6" i="47"/>
  <c r="R6" i="47"/>
  <c r="K6" i="47"/>
  <c r="T6" i="47"/>
  <c r="H6" i="47"/>
  <c r="V6" i="47"/>
  <c r="W6" i="47"/>
  <c r="X6" i="47"/>
  <c r="U6" i="47"/>
  <c r="L84" i="47"/>
  <c r="J6" i="47"/>
  <c r="J84" i="47" l="1"/>
  <c r="J85" i="47" s="1"/>
  <c r="O6" i="47" s="1"/>
  <c r="M6" i="47" s="1"/>
  <c r="I56" i="47"/>
  <c r="H56" i="47" s="1"/>
  <c r="F5" i="47" s="1"/>
  <c r="J55" i="47"/>
  <c r="J56" i="47" s="1"/>
  <c r="O5" i="47" s="1"/>
  <c r="I6" i="47"/>
  <c r="D7" i="47"/>
  <c r="I51" i="47"/>
  <c r="I52" i="47"/>
  <c r="I53" i="47"/>
  <c r="H53" i="47" s="1"/>
  <c r="F7" i="47" s="1"/>
  <c r="Q7" i="47"/>
  <c r="J7" i="47"/>
  <c r="M52" i="47"/>
  <c r="X7" i="47"/>
  <c r="U7" i="47"/>
  <c r="V7" i="47"/>
  <c r="W7" i="47"/>
  <c r="L51" i="47"/>
  <c r="T7" i="47"/>
  <c r="M51" i="47"/>
  <c r="K7" i="47"/>
  <c r="H7" i="47"/>
  <c r="L52" i="47"/>
  <c r="S6" i="47" l="1"/>
  <c r="J52" i="47"/>
  <c r="K52" i="47" s="1"/>
  <c r="J51" i="47"/>
  <c r="M5" i="47"/>
  <c r="S5" i="47"/>
  <c r="L5" i="47"/>
  <c r="N5" i="47"/>
  <c r="R5" i="47" s="1"/>
  <c r="I7" i="47"/>
  <c r="D8" i="47"/>
  <c r="I81" i="47"/>
  <c r="I82" i="47"/>
  <c r="H82" i="47" s="1"/>
  <c r="F8" i="47" s="1"/>
  <c r="L8" i="47"/>
  <c r="Q8" i="47"/>
  <c r="N8" i="47"/>
  <c r="R8" i="47"/>
  <c r="X8" i="47"/>
  <c r="T8" i="47"/>
  <c r="K8" i="47"/>
  <c r="J8" i="47"/>
  <c r="L81" i="47"/>
  <c r="W8" i="47"/>
  <c r="H8" i="47"/>
  <c r="U8" i="47"/>
  <c r="V8" i="47"/>
  <c r="J81" i="47" l="1"/>
  <c r="J82" i="47" s="1"/>
  <c r="O8" i="47" s="1"/>
  <c r="S8" i="47" s="1"/>
  <c r="J53" i="47"/>
  <c r="O7" i="47" s="1"/>
  <c r="K51" i="47"/>
  <c r="K53" i="47" s="1"/>
  <c r="N7" i="47" s="1"/>
  <c r="I8" i="47"/>
  <c r="D9" i="47"/>
  <c r="I74" i="47"/>
  <c r="I79" i="47" s="1"/>
  <c r="H79" i="47" s="1"/>
  <c r="F9" i="47" s="1"/>
  <c r="I75" i="47"/>
  <c r="I76" i="47"/>
  <c r="I77" i="47"/>
  <c r="I78" i="47"/>
  <c r="L9" i="47"/>
  <c r="Q9" i="47"/>
  <c r="N9" i="47"/>
  <c r="R9" i="47"/>
  <c r="L75" i="47"/>
  <c r="L76" i="47"/>
  <c r="T9" i="47"/>
  <c r="V9" i="47"/>
  <c r="L78" i="47"/>
  <c r="J9" i="47"/>
  <c r="X9" i="47"/>
  <c r="H9" i="47"/>
  <c r="U9" i="47"/>
  <c r="W9" i="47"/>
  <c r="K9" i="47"/>
  <c r="L77" i="47"/>
  <c r="L74" i="47"/>
  <c r="M8" i="47" l="1"/>
  <c r="J78" i="47"/>
  <c r="J74" i="47"/>
  <c r="J79" i="47" s="1"/>
  <c r="O9" i="47" s="1"/>
  <c r="M9" i="47" s="1"/>
  <c r="J76" i="47"/>
  <c r="J77" i="47"/>
  <c r="J75" i="47"/>
  <c r="R7" i="47"/>
  <c r="L7" i="47"/>
  <c r="M7" i="47"/>
  <c r="S7" i="47"/>
  <c r="I9" i="47"/>
  <c r="D10" i="47"/>
  <c r="I58" i="47"/>
  <c r="I59" i="47"/>
  <c r="I60" i="47"/>
  <c r="H60" i="47" s="1"/>
  <c r="F10" i="47" s="1"/>
  <c r="L10" i="47"/>
  <c r="Q10" i="47"/>
  <c r="N10" i="47"/>
  <c r="R10" i="47"/>
  <c r="B11" i="47"/>
  <c r="H10" i="47"/>
  <c r="L58" i="47"/>
  <c r="K10" i="47"/>
  <c r="V10" i="47"/>
  <c r="L59" i="47"/>
  <c r="U10" i="47"/>
  <c r="J10" i="47"/>
  <c r="W10" i="47"/>
  <c r="X10" i="47"/>
  <c r="T10" i="47"/>
  <c r="S9" i="47" l="1"/>
  <c r="J58" i="47"/>
  <c r="J60" i="47" s="1"/>
  <c r="O10" i="47" s="1"/>
  <c r="M10" i="47" s="1"/>
  <c r="J59" i="47"/>
  <c r="I10" i="47"/>
  <c r="D11" i="47"/>
  <c r="I87" i="47"/>
  <c r="I88" i="47" s="1"/>
  <c r="H88" i="47" s="1"/>
  <c r="F11" i="47" s="1"/>
  <c r="J87" i="47"/>
  <c r="M11" i="47"/>
  <c r="O11" i="47"/>
  <c r="Q11" i="47"/>
  <c r="S11" i="47" s="1"/>
  <c r="Y11" i="47"/>
  <c r="L87" i="47"/>
  <c r="X11" i="47"/>
  <c r="T11" i="47"/>
  <c r="K11" i="47"/>
  <c r="U11" i="47"/>
  <c r="S10" i="47" l="1"/>
  <c r="K87" i="47"/>
  <c r="K88" i="47" s="1"/>
  <c r="N11" i="47" s="1"/>
  <c r="L11" i="47" s="1"/>
  <c r="D12" i="47"/>
  <c r="D13" i="47" s="1"/>
  <c r="Q12" i="47"/>
  <c r="Q13" i="47" s="1"/>
  <c r="I13" i="47"/>
  <c r="O13" i="47"/>
  <c r="T13" i="47"/>
  <c r="R14" i="47"/>
  <c r="H19" i="47"/>
  <c r="I19" i="47"/>
  <c r="J19" i="47"/>
  <c r="N19" i="47" s="1"/>
  <c r="M19" i="47"/>
  <c r="H20" i="47"/>
  <c r="I20" i="47"/>
  <c r="J20" i="47"/>
  <c r="M20" i="47"/>
  <c r="N20" i="47"/>
  <c r="H21" i="47"/>
  <c r="I21" i="47"/>
  <c r="J21" i="47"/>
  <c r="N21" i="47" s="1"/>
  <c r="M21" i="47"/>
  <c r="P21" i="47"/>
  <c r="H22" i="47"/>
  <c r="I22" i="47"/>
  <c r="J22" i="47"/>
  <c r="N22" i="47" s="1"/>
  <c r="M22" i="47"/>
  <c r="H28" i="47"/>
  <c r="I28" i="47"/>
  <c r="J28" i="47"/>
  <c r="N28" i="47" s="1"/>
  <c r="M28" i="47"/>
  <c r="H29" i="47"/>
  <c r="I29" i="47"/>
  <c r="H30" i="47"/>
  <c r="I30" i="47"/>
  <c r="J30" i="47"/>
  <c r="M30" i="47"/>
  <c r="N30" i="47"/>
  <c r="H31" i="47"/>
  <c r="I31" i="47"/>
  <c r="J31" i="47"/>
  <c r="M31" i="47"/>
  <c r="N31" i="47"/>
  <c r="I41" i="47"/>
  <c r="F42" i="47"/>
  <c r="I42" i="47"/>
  <c r="H42" i="47"/>
  <c r="I44" i="47"/>
  <c r="J44" i="47"/>
  <c r="I45" i="47"/>
  <c r="J45" i="47"/>
  <c r="F46" i="47"/>
  <c r="I46" i="47"/>
  <c r="H46" i="47"/>
  <c r="J46" i="47"/>
  <c r="J49" i="47"/>
  <c r="K55" i="47"/>
  <c r="K56" i="47" s="1"/>
  <c r="K58" i="47"/>
  <c r="K60" i="47" s="1"/>
  <c r="K59" i="47"/>
  <c r="I62" i="47"/>
  <c r="F63" i="47"/>
  <c r="I63" i="47"/>
  <c r="H63" i="47" s="1"/>
  <c r="I65" i="47"/>
  <c r="F66" i="47"/>
  <c r="I66" i="47"/>
  <c r="H66" i="47" s="1"/>
  <c r="I68" i="47"/>
  <c r="F69" i="47"/>
  <c r="I69" i="47"/>
  <c r="H69" i="47" s="1"/>
  <c r="I71" i="47"/>
  <c r="F72" i="47"/>
  <c r="I72" i="47"/>
  <c r="H72" i="47"/>
  <c r="K74" i="47"/>
  <c r="K79" i="47" s="1"/>
  <c r="K75" i="47"/>
  <c r="K76" i="47"/>
  <c r="K77" i="47"/>
  <c r="K78" i="47"/>
  <c r="K81" i="47"/>
  <c r="K82" i="47" s="1"/>
  <c r="K84" i="47"/>
  <c r="K85" i="47" s="1"/>
  <c r="J88" i="47"/>
  <c r="F58" i="78"/>
  <c r="E4" i="78" s="1"/>
  <c r="F52" i="78"/>
  <c r="E5" i="78" s="1"/>
  <c r="F31" i="78"/>
  <c r="E6" i="78"/>
  <c r="C6" i="78"/>
  <c r="F34" i="78"/>
  <c r="E7" i="78"/>
  <c r="C7" i="78"/>
  <c r="F61" i="78"/>
  <c r="E8" i="78"/>
  <c r="F40" i="78"/>
  <c r="E9" i="78" s="1"/>
  <c r="C9" i="78"/>
  <c r="F43" i="78"/>
  <c r="E10" i="78"/>
  <c r="C10" i="78"/>
  <c r="F46" i="78"/>
  <c r="E11" i="78"/>
  <c r="C11" i="78"/>
  <c r="F49" i="78"/>
  <c r="E12" i="78" s="1"/>
  <c r="C12" i="78"/>
  <c r="E13" i="78"/>
  <c r="C13" i="78"/>
  <c r="I57" i="78"/>
  <c r="I58" i="78"/>
  <c r="H58" i="78"/>
  <c r="F4" i="78"/>
  <c r="M4" i="78"/>
  <c r="G5" i="78"/>
  <c r="R20" i="47"/>
  <c r="D71" i="47"/>
  <c r="M84" i="47"/>
  <c r="G7" i="78"/>
  <c r="M68" i="47"/>
  <c r="L29" i="47"/>
  <c r="D65" i="47"/>
  <c r="G1" i="78"/>
  <c r="D55" i="47"/>
  <c r="O22" i="47"/>
  <c r="D84" i="47"/>
  <c r="G59" i="47"/>
  <c r="G68" i="47"/>
  <c r="E28" i="47"/>
  <c r="M44" i="47"/>
  <c r="L44" i="47"/>
  <c r="R19" i="47"/>
  <c r="G51" i="47"/>
  <c r="J4" i="78"/>
  <c r="G65" i="47"/>
  <c r="M74" i="47"/>
  <c r="P1" i="78"/>
  <c r="O19" i="47"/>
  <c r="D59" i="47"/>
  <c r="G10" i="78"/>
  <c r="R21" i="47"/>
  <c r="M81" i="47"/>
  <c r="G71" i="47"/>
  <c r="T4" i="78"/>
  <c r="R31" i="47"/>
  <c r="O29" i="47"/>
  <c r="D75" i="47"/>
  <c r="G6" i="78"/>
  <c r="D58" i="47"/>
  <c r="L68" i="47"/>
  <c r="G41" i="47"/>
  <c r="D76" i="47"/>
  <c r="E19" i="47"/>
  <c r="G45" i="47"/>
  <c r="D74" i="47"/>
  <c r="V4" i="78"/>
  <c r="G9" i="78"/>
  <c r="O30" i="47"/>
  <c r="G62" i="47"/>
  <c r="D78" i="47"/>
  <c r="G12" i="78"/>
  <c r="R28" i="47"/>
  <c r="L41" i="47"/>
  <c r="R29" i="47"/>
  <c r="L45" i="47"/>
  <c r="G58" i="47"/>
  <c r="U4" i="78"/>
  <c r="M75" i="47"/>
  <c r="M65" i="47"/>
  <c r="M76" i="47"/>
  <c r="H4" i="78"/>
  <c r="O31" i="47"/>
  <c r="G44" i="47"/>
  <c r="W4" i="78"/>
  <c r="E29" i="47"/>
  <c r="M78" i="47"/>
  <c r="M41" i="47"/>
  <c r="G13" i="78"/>
  <c r="E22" i="47"/>
  <c r="G76" i="47"/>
  <c r="L71" i="47"/>
  <c r="G77" i="47"/>
  <c r="O28" i="47"/>
  <c r="G8" i="78"/>
  <c r="O20" i="47"/>
  <c r="R22" i="47"/>
  <c r="G84" i="47"/>
  <c r="D52" i="47"/>
  <c r="G74" i="47"/>
  <c r="M55" i="47"/>
  <c r="E31" i="47"/>
  <c r="M45" i="47"/>
  <c r="D44" i="47"/>
  <c r="D45" i="47"/>
  <c r="M58" i="47"/>
  <c r="I1" i="78"/>
  <c r="R30" i="47"/>
  <c r="L57" i="78"/>
  <c r="D81" i="47"/>
  <c r="K1" i="78"/>
  <c r="L62" i="47"/>
  <c r="D68" i="47"/>
  <c r="G75" i="47"/>
  <c r="G81" i="47"/>
  <c r="D41" i="47"/>
  <c r="M62" i="47"/>
  <c r="M71" i="47"/>
  <c r="L48" i="47"/>
  <c r="E20" i="47"/>
  <c r="O21" i="47"/>
  <c r="G55" i="47"/>
  <c r="B22" i="47"/>
  <c r="G87" i="47"/>
  <c r="G11" i="78"/>
  <c r="D51" i="47"/>
  <c r="L65" i="47"/>
  <c r="D87" i="47"/>
  <c r="G4" i="78"/>
  <c r="G52" i="47"/>
  <c r="E21" i="47"/>
  <c r="M87" i="47"/>
  <c r="D77" i="47"/>
  <c r="M59" i="47"/>
  <c r="G78" i="47"/>
  <c r="G48" i="47"/>
  <c r="D62" i="47"/>
  <c r="D48" i="47"/>
  <c r="M77" i="47"/>
  <c r="S4" i="78"/>
  <c r="E30" i="47"/>
  <c r="R11" i="47" l="1"/>
  <c r="R13" i="47" s="1"/>
  <c r="P30" i="47"/>
  <c r="J41" i="47"/>
  <c r="P22" i="47"/>
  <c r="K45" i="47"/>
  <c r="P28" i="47"/>
  <c r="P32" i="47" s="1"/>
  <c r="P19" i="47"/>
  <c r="P23" i="47" s="1"/>
  <c r="J71" i="47"/>
  <c r="J68" i="47"/>
  <c r="J29" i="47"/>
  <c r="N29" i="47" s="1"/>
  <c r="P29" i="47" s="1"/>
  <c r="M29" i="47"/>
  <c r="J65" i="47"/>
  <c r="J62" i="47"/>
  <c r="K44" i="47"/>
  <c r="K46" i="47" s="1"/>
  <c r="P31" i="47"/>
  <c r="P20" i="47"/>
  <c r="P13" i="78"/>
  <c r="P12" i="78"/>
  <c r="O5" i="78"/>
  <c r="P5" i="78" s="1"/>
  <c r="P10" i="78"/>
  <c r="P8" i="78"/>
  <c r="P6" i="78"/>
  <c r="O4" i="78"/>
  <c r="P4" i="78" s="1"/>
  <c r="K4" i="78"/>
  <c r="P11" i="78"/>
  <c r="I4" i="78"/>
  <c r="P9" i="78"/>
  <c r="P7" i="78"/>
  <c r="J57" i="78"/>
  <c r="J58" i="78" s="1"/>
  <c r="N4" i="78" s="1"/>
  <c r="I51" i="78"/>
  <c r="I52" i="78" s="1"/>
  <c r="H52" i="78" s="1"/>
  <c r="F5" i="78" s="1"/>
  <c r="H5" i="78"/>
  <c r="K68" i="47" l="1"/>
  <c r="K69" i="47" s="1"/>
  <c r="J69" i="47"/>
  <c r="K71" i="47"/>
  <c r="K72" i="47" s="1"/>
  <c r="J72" i="47"/>
  <c r="K65" i="47"/>
  <c r="K66" i="47" s="1"/>
  <c r="J66" i="47"/>
  <c r="K41" i="47"/>
  <c r="K42" i="47" s="1"/>
  <c r="J42" i="47"/>
  <c r="K62" i="47"/>
  <c r="K63" i="47" s="1"/>
  <c r="J63" i="47"/>
  <c r="P15" i="78"/>
  <c r="D4" i="78" s="1"/>
  <c r="Q4" i="78"/>
  <c r="R4" i="78"/>
  <c r="L4" i="78"/>
  <c r="I5" i="78"/>
  <c r="K5" i="78"/>
  <c r="M5" i="78"/>
  <c r="Q5" i="78"/>
  <c r="W5" i="78"/>
  <c r="T5" i="78"/>
  <c r="L51" i="78"/>
  <c r="V5" i="78"/>
  <c r="B6" i="78"/>
  <c r="J5" i="78"/>
  <c r="S5" i="78"/>
  <c r="U5" i="78"/>
  <c r="D5" i="78" l="1"/>
  <c r="J51" i="78"/>
  <c r="J52" i="78" s="1"/>
  <c r="N5" i="78" s="1"/>
  <c r="D6" i="78"/>
  <c r="I30" i="78"/>
  <c r="I31" i="78" s="1"/>
  <c r="H31" i="78" s="1"/>
  <c r="F6" i="78" s="1"/>
  <c r="J6" i="78"/>
  <c r="L5" i="78" l="1"/>
  <c r="R5" i="78"/>
  <c r="O6" i="78"/>
  <c r="J30" i="78"/>
  <c r="L6" i="78"/>
  <c r="N6" i="78"/>
  <c r="R6" i="78"/>
  <c r="T6" i="78"/>
  <c r="L30" i="78"/>
  <c r="U6" i="78"/>
  <c r="B7" i="78"/>
  <c r="S6" i="78"/>
  <c r="K30" i="78" l="1"/>
  <c r="K31" i="78" s="1"/>
  <c r="M6" i="78" s="1"/>
  <c r="D7" i="78"/>
  <c r="I33" i="78"/>
  <c r="I34" i="78"/>
  <c r="H34" i="78" s="1"/>
  <c r="F7" i="78" s="1"/>
  <c r="J7" i="78"/>
  <c r="K6" i="78" l="1"/>
  <c r="Q6" i="78"/>
  <c r="O7" i="78"/>
  <c r="J33" i="78"/>
  <c r="L7" i="78"/>
  <c r="N7" i="78"/>
  <c r="R7" i="78"/>
  <c r="S7" i="78"/>
  <c r="U7" i="78"/>
  <c r="L33" i="78"/>
  <c r="B8" i="78"/>
  <c r="T7" i="78"/>
  <c r="K33" i="78" l="1"/>
  <c r="K34" i="78" s="1"/>
  <c r="M7" i="78" s="1"/>
  <c r="K7" i="78" s="1"/>
  <c r="D8" i="78"/>
  <c r="I60" i="78"/>
  <c r="I61" i="78" s="1"/>
  <c r="H61" i="78" s="1"/>
  <c r="F8" i="78" s="1"/>
  <c r="J8" i="78"/>
  <c r="Q7" i="78" l="1"/>
  <c r="O8" i="78"/>
  <c r="J60" i="78"/>
  <c r="L8" i="78"/>
  <c r="N8" i="78"/>
  <c r="R8" i="78"/>
  <c r="B9" i="78"/>
  <c r="L60" i="78"/>
  <c r="U8" i="78"/>
  <c r="S8" i="78"/>
  <c r="T8" i="78"/>
  <c r="K60" i="78" l="1"/>
  <c r="K61" i="78" s="1"/>
  <c r="M8" i="78" s="1"/>
  <c r="D9" i="78"/>
  <c r="I39" i="78"/>
  <c r="I40" i="78" s="1"/>
  <c r="H40" i="78" s="1"/>
  <c r="F9" i="78" s="1"/>
  <c r="J9" i="78"/>
  <c r="Q8" i="78" l="1"/>
  <c r="K8" i="78"/>
  <c r="O9" i="78"/>
  <c r="J39" i="78"/>
  <c r="L9" i="78"/>
  <c r="N9" i="78"/>
  <c r="R9" i="78" s="1"/>
  <c r="S9" i="78"/>
  <c r="B10" i="78"/>
  <c r="U9" i="78"/>
  <c r="T9" i="78"/>
  <c r="L39" i="78"/>
  <c r="K39" i="78" l="1"/>
  <c r="K40" i="78" s="1"/>
  <c r="M9" i="78" s="1"/>
  <c r="Q9" i="78" s="1"/>
  <c r="D10" i="78"/>
  <c r="I42" i="78"/>
  <c r="I43" i="78"/>
  <c r="H43" i="78"/>
  <c r="F10" i="78"/>
  <c r="J10" i="78"/>
  <c r="K9" i="78" l="1"/>
  <c r="O10" i="78"/>
  <c r="J42" i="78"/>
  <c r="L10" i="78"/>
  <c r="N10" i="78"/>
  <c r="R10" i="78" s="1"/>
  <c r="U10" i="78"/>
  <c r="L42" i="78"/>
  <c r="S10" i="78"/>
  <c r="B11" i="78"/>
  <c r="T10" i="78"/>
  <c r="K42" i="78" l="1"/>
  <c r="K43" i="78" s="1"/>
  <c r="M10" i="78" s="1"/>
  <c r="K10" i="78" s="1"/>
  <c r="D11" i="78"/>
  <c r="F11" i="78"/>
  <c r="J11" i="78"/>
  <c r="Q10" i="78" l="1"/>
  <c r="O11" i="78"/>
  <c r="I45" i="78"/>
  <c r="J45" i="78"/>
  <c r="L11" i="78"/>
  <c r="N11" i="78"/>
  <c r="R11" i="78"/>
  <c r="T11" i="78"/>
  <c r="B12" i="78"/>
  <c r="L45" i="78"/>
  <c r="U11" i="78"/>
  <c r="S11" i="78"/>
  <c r="K45" i="78" l="1"/>
  <c r="K46" i="78" s="1"/>
  <c r="M11" i="78" s="1"/>
  <c r="D12" i="78"/>
  <c r="I48" i="78"/>
  <c r="I49" i="78"/>
  <c r="H49" i="78" s="1"/>
  <c r="F12" i="78" s="1"/>
  <c r="J12" i="78"/>
  <c r="Q11" i="78" l="1"/>
  <c r="K11" i="78"/>
  <c r="O12" i="78"/>
  <c r="J48" i="78"/>
  <c r="L12" i="78"/>
  <c r="N12" i="78"/>
  <c r="R12" i="78"/>
  <c r="S12" i="78"/>
  <c r="U12" i="78"/>
  <c r="L48" i="78"/>
  <c r="B13" i="78"/>
  <c r="T12" i="78"/>
  <c r="K48" i="78" l="1"/>
  <c r="K49" i="78" s="1"/>
  <c r="M12" i="78" s="1"/>
  <c r="D13" i="78"/>
  <c r="F13" i="78"/>
  <c r="J13" i="78"/>
  <c r="K12" i="78" l="1"/>
  <c r="Q12" i="78"/>
  <c r="O13" i="78"/>
  <c r="I54" i="78"/>
  <c r="J54" i="78"/>
  <c r="L13" i="78"/>
  <c r="N13" i="78"/>
  <c r="R13" i="78" s="1"/>
  <c r="T13" i="78"/>
  <c r="S13" i="78"/>
  <c r="L54" i="78"/>
  <c r="U13" i="78"/>
  <c r="K54" i="78" l="1"/>
  <c r="M13" i="78" s="1"/>
  <c r="K13" i="78" s="1"/>
  <c r="D14" i="78"/>
  <c r="D15" i="78" s="1"/>
  <c r="N14" i="78"/>
  <c r="M14" i="78" s="1"/>
  <c r="M15" i="78" s="1"/>
  <c r="O14" i="78"/>
  <c r="O15" i="78" s="1"/>
  <c r="I15" i="78"/>
  <c r="R15" i="78"/>
  <c r="S15" i="78"/>
  <c r="R16" i="78"/>
  <c r="C21" i="78"/>
  <c r="E21" i="78"/>
  <c r="B21" i="78"/>
  <c r="Q16" i="78" l="1"/>
  <c r="Q13" i="78"/>
  <c r="Q15" i="78" s="1"/>
  <c r="H21" i="78"/>
  <c r="I21" i="78"/>
  <c r="J21" i="78"/>
  <c r="M21" i="78"/>
  <c r="N21" i="78"/>
  <c r="P21" i="78"/>
  <c r="P22" i="78"/>
  <c r="J31" i="78"/>
  <c r="J34" i="78"/>
  <c r="I36" i="78"/>
  <c r="J36" i="78"/>
  <c r="J37" i="78" s="1"/>
  <c r="F37" i="78"/>
  <c r="I37" i="78"/>
  <c r="H37" i="78"/>
  <c r="D30" i="78"/>
  <c r="O21" i="78"/>
  <c r="L36" i="78"/>
  <c r="D36" i="78"/>
  <c r="M33" i="78"/>
  <c r="G36" i="78"/>
  <c r="M36" i="78"/>
  <c r="M30" i="78"/>
  <c r="G33" i="78"/>
  <c r="G30" i="78"/>
  <c r="D33" i="78"/>
  <c r="D39" i="78"/>
  <c r="G39" i="78"/>
  <c r="K36" i="78" l="1"/>
  <c r="K37" i="78" s="1"/>
  <c r="J40" i="78"/>
  <c r="J43" i="78"/>
  <c r="I46" i="78"/>
  <c r="J46" i="78"/>
  <c r="J49" i="78"/>
  <c r="K51" i="78"/>
  <c r="K52" i="78" s="1"/>
  <c r="F55" i="78"/>
  <c r="I55" i="78"/>
  <c r="H55" i="78"/>
  <c r="J55" i="78"/>
  <c r="K55" i="78"/>
  <c r="K57" i="78"/>
  <c r="K58" i="78" s="1"/>
  <c r="J61" i="78"/>
  <c r="G45" i="78"/>
  <c r="M54" i="78"/>
  <c r="M39" i="78"/>
  <c r="D48" i="78"/>
  <c r="G60" i="78"/>
  <c r="D51" i="78"/>
  <c r="D54" i="78"/>
  <c r="M45" i="78"/>
  <c r="G42" i="78"/>
  <c r="P1" i="92"/>
  <c r="D60" i="78"/>
  <c r="G51" i="78"/>
  <c r="D42" i="78"/>
  <c r="I1" i="92"/>
  <c r="G1" i="92"/>
  <c r="K1" i="92"/>
  <c r="D45" i="78"/>
  <c r="G57" i="78"/>
  <c r="G54" i="78"/>
  <c r="M42" i="78"/>
  <c r="G48" i="78"/>
  <c r="D57" i="78"/>
  <c r="M51" i="78"/>
  <c r="M57" i="78"/>
  <c r="M60" i="78"/>
  <c r="M48" i="78"/>
  <c r="E1" i="92"/>
  <c r="F43" i="92" l="1"/>
  <c r="E4" i="92" s="1"/>
  <c r="G4" i="92"/>
  <c r="P4" i="92" l="1"/>
  <c r="Q4" i="92" s="1"/>
  <c r="G8" i="92"/>
  <c r="P8" i="92" l="1"/>
  <c r="Q8" i="92" s="1"/>
  <c r="F46" i="92"/>
  <c r="E6" i="92"/>
  <c r="G6" i="92"/>
  <c r="P6" i="92" l="1"/>
  <c r="Q6" i="92" s="1"/>
  <c r="F26" i="92"/>
  <c r="E7" i="92"/>
  <c r="G7" i="92"/>
  <c r="P7" i="92" l="1"/>
  <c r="Q7" i="92" s="1"/>
  <c r="F32" i="92"/>
  <c r="E5" i="92"/>
  <c r="F29" i="92"/>
  <c r="E9" i="92"/>
  <c r="F40" i="92"/>
  <c r="E10" i="92"/>
  <c r="F49" i="92"/>
  <c r="E11" i="92"/>
  <c r="L42" i="92"/>
  <c r="G11" i="92"/>
  <c r="G9" i="92"/>
  <c r="G5" i="92"/>
  <c r="G10" i="92"/>
  <c r="J4" i="92"/>
  <c r="H42" i="92"/>
  <c r="M42" i="92"/>
  <c r="K4" i="92"/>
  <c r="H4" i="92"/>
  <c r="T4" i="92"/>
  <c r="I42" i="92" l="1"/>
  <c r="I4" i="92"/>
  <c r="P9" i="92"/>
  <c r="Q9" i="92" s="1"/>
  <c r="P11" i="92"/>
  <c r="Q11" i="92" s="1"/>
  <c r="P10" i="92"/>
  <c r="Q10" i="92" s="1"/>
  <c r="P5" i="92"/>
  <c r="Q5" i="92" s="1"/>
  <c r="U4" i="92"/>
  <c r="I34" i="92"/>
  <c r="I35" i="92"/>
  <c r="I36" i="92"/>
  <c r="I37" i="92"/>
  <c r="F37" i="92"/>
  <c r="H37" i="92"/>
  <c r="F8" i="92"/>
  <c r="L8" i="92"/>
  <c r="E37" i="92"/>
  <c r="N8" i="92"/>
  <c r="R8" i="92" s="1"/>
  <c r="V4" i="92"/>
  <c r="L34" i="92"/>
  <c r="T8" i="92"/>
  <c r="L35" i="92"/>
  <c r="W4" i="92"/>
  <c r="Z4" i="92"/>
  <c r="K8" i="92"/>
  <c r="J8" i="92"/>
  <c r="H8" i="92"/>
  <c r="AA4" i="92"/>
  <c r="AB4" i="92"/>
  <c r="AC4" i="92"/>
  <c r="X4" i="92"/>
  <c r="Y4" i="92"/>
  <c r="L36" i="92"/>
  <c r="J35" i="92" l="1"/>
  <c r="J36" i="92"/>
  <c r="J34" i="92"/>
  <c r="J37" i="92" s="1"/>
  <c r="O8" i="92" s="1"/>
  <c r="S8" i="92" s="1"/>
  <c r="I43" i="92"/>
  <c r="H43" i="92" s="1"/>
  <c r="F4" i="92" s="1"/>
  <c r="J42" i="92"/>
  <c r="I8" i="92"/>
  <c r="Q13" i="92"/>
  <c r="D4" i="92" s="1"/>
  <c r="M8" i="92"/>
  <c r="U8" i="92"/>
  <c r="I45" i="92"/>
  <c r="I46" i="92"/>
  <c r="H46" i="92"/>
  <c r="F6" i="92"/>
  <c r="L6" i="92"/>
  <c r="N6" i="92"/>
  <c r="R6" i="92"/>
  <c r="H6" i="92"/>
  <c r="L45" i="92"/>
  <c r="Z8" i="92"/>
  <c r="AA8" i="92"/>
  <c r="AB8" i="92"/>
  <c r="T6" i="92"/>
  <c r="K6" i="92"/>
  <c r="X8" i="92"/>
  <c r="W8" i="92"/>
  <c r="AC8" i="92"/>
  <c r="V8" i="92"/>
  <c r="Y8" i="92"/>
  <c r="J6" i="92"/>
  <c r="J45" i="92" l="1"/>
  <c r="J46" i="92" s="1"/>
  <c r="O6" i="92" s="1"/>
  <c r="M6" i="92" s="1"/>
  <c r="K42" i="92"/>
  <c r="K43" i="92" s="1"/>
  <c r="N4" i="92" s="1"/>
  <c r="J43" i="92"/>
  <c r="O4" i="92" s="1"/>
  <c r="I6" i="92"/>
  <c r="D6" i="92"/>
  <c r="D8" i="92"/>
  <c r="U6" i="92"/>
  <c r="D7" i="92"/>
  <c r="I25" i="92"/>
  <c r="I26" i="92"/>
  <c r="H26" i="92"/>
  <c r="F7" i="92" s="1"/>
  <c r="L7" i="92"/>
  <c r="N7" i="92"/>
  <c r="R7" i="92"/>
  <c r="AC6" i="92"/>
  <c r="J7" i="92"/>
  <c r="X6" i="92"/>
  <c r="K7" i="92"/>
  <c r="H7" i="92"/>
  <c r="L25" i="92"/>
  <c r="Z6" i="92"/>
  <c r="AB6" i="92"/>
  <c r="AA6" i="92"/>
  <c r="Y6" i="92"/>
  <c r="T7" i="92"/>
  <c r="V6" i="92"/>
  <c r="W6" i="92"/>
  <c r="S6" i="92" l="1"/>
  <c r="J25" i="92"/>
  <c r="J26" i="92" s="1"/>
  <c r="O7" i="92" s="1"/>
  <c r="S7" i="92" s="1"/>
  <c r="S4" i="92"/>
  <c r="M4" i="92"/>
  <c r="L4" i="92"/>
  <c r="R4" i="92"/>
  <c r="I7" i="92"/>
  <c r="M7" i="92"/>
  <c r="U7" i="92"/>
  <c r="D5" i="92"/>
  <c r="I31" i="92"/>
  <c r="I32" i="92" s="1"/>
  <c r="H32" i="92" s="1"/>
  <c r="F5" i="92" s="1"/>
  <c r="L5" i="92"/>
  <c r="N5" i="92"/>
  <c r="R5" i="92" s="1"/>
  <c r="AC7" i="92"/>
  <c r="W7" i="92"/>
  <c r="K5" i="92"/>
  <c r="H5" i="92"/>
  <c r="AA7" i="92"/>
  <c r="J5" i="92"/>
  <c r="Y7" i="92"/>
  <c r="V7" i="92"/>
  <c r="Z7" i="92"/>
  <c r="X7" i="92"/>
  <c r="L31" i="92"/>
  <c r="AB7" i="92"/>
  <c r="T5" i="92"/>
  <c r="J31" i="92" l="1"/>
  <c r="J32" i="92" s="1"/>
  <c r="O5" i="92" s="1"/>
  <c r="M5" i="92" s="1"/>
  <c r="I5" i="92"/>
  <c r="U5" i="92"/>
  <c r="D9" i="92"/>
  <c r="I28" i="92"/>
  <c r="I29" i="92"/>
  <c r="H29" i="92" s="1"/>
  <c r="F9" i="92" s="1"/>
  <c r="J28" i="92"/>
  <c r="M9" i="92"/>
  <c r="O9" i="92"/>
  <c r="S9" i="92"/>
  <c r="K9" i="92"/>
  <c r="Y5" i="92"/>
  <c r="L28" i="92"/>
  <c r="AB5" i="92"/>
  <c r="Y9" i="92"/>
  <c r="W5" i="92"/>
  <c r="V5" i="92"/>
  <c r="T9" i="92"/>
  <c r="Z5" i="92"/>
  <c r="B9" i="92"/>
  <c r="AA9" i="92"/>
  <c r="AC9" i="92"/>
  <c r="B10" i="92"/>
  <c r="AA5" i="92"/>
  <c r="AB9" i="92"/>
  <c r="AC5" i="92"/>
  <c r="X5" i="92"/>
  <c r="Z9" i="92"/>
  <c r="X9" i="92"/>
  <c r="S5" i="92" l="1"/>
  <c r="K28" i="92"/>
  <c r="K29" i="92" s="1"/>
  <c r="N9" i="92" s="1"/>
  <c r="L9" i="92" s="1"/>
  <c r="D10" i="92"/>
  <c r="I39" i="92"/>
  <c r="I40" i="92"/>
  <c r="H40" i="92"/>
  <c r="F10" i="92" s="1"/>
  <c r="J39" i="92"/>
  <c r="M10" i="92"/>
  <c r="O10" i="92"/>
  <c r="S10" i="92"/>
  <c r="K10" i="92"/>
  <c r="L39" i="92"/>
  <c r="X10" i="92"/>
  <c r="Z10" i="92"/>
  <c r="B11" i="92"/>
  <c r="T10" i="92"/>
  <c r="AB10" i="92"/>
  <c r="AA10" i="92"/>
  <c r="AC10" i="92"/>
  <c r="Y10" i="92"/>
  <c r="R9" i="92" l="1"/>
  <c r="K39" i="92"/>
  <c r="K40" i="92" s="1"/>
  <c r="N10" i="92" s="1"/>
  <c r="R10" i="92" s="1"/>
  <c r="D11" i="92"/>
  <c r="I48" i="92"/>
  <c r="I49" i="92"/>
  <c r="H49" i="92"/>
  <c r="F11" i="92" s="1"/>
  <c r="J48" i="92"/>
  <c r="M11" i="92"/>
  <c r="O11" i="92"/>
  <c r="S11" i="92"/>
  <c r="Y11" i="92"/>
  <c r="AC11" i="92"/>
  <c r="AA11" i="92"/>
  <c r="K11" i="92"/>
  <c r="L48" i="92"/>
  <c r="Z11" i="92"/>
  <c r="X11" i="92"/>
  <c r="AB11" i="92"/>
  <c r="T11" i="92"/>
  <c r="L10" i="92" l="1"/>
  <c r="K48" i="92"/>
  <c r="K49" i="92" s="1"/>
  <c r="N11" i="92" s="1"/>
  <c r="L11" i="92" s="1"/>
  <c r="L13" i="92" s="1"/>
  <c r="D12" i="92"/>
  <c r="D13" i="92" s="1"/>
  <c r="U12" i="92"/>
  <c r="I13" i="92"/>
  <c r="M13" i="92"/>
  <c r="N13" i="92"/>
  <c r="O13" i="92"/>
  <c r="P13" i="92"/>
  <c r="R13" i="92"/>
  <c r="S13" i="92"/>
  <c r="T13" i="92"/>
  <c r="U13" i="92"/>
  <c r="H19" i="92"/>
  <c r="I19" i="92"/>
  <c r="J19" i="92"/>
  <c r="N19" i="92" s="1"/>
  <c r="M19" i="92"/>
  <c r="K25" i="92"/>
  <c r="K26" i="92" s="1"/>
  <c r="J29" i="92"/>
  <c r="K31" i="92"/>
  <c r="K32" i="92"/>
  <c r="K34" i="92"/>
  <c r="K37" i="92" s="1"/>
  <c r="K35" i="92"/>
  <c r="K36" i="92"/>
  <c r="J40" i="92"/>
  <c r="K45" i="92"/>
  <c r="K46" i="92" s="1"/>
  <c r="J49" i="92"/>
  <c r="G45" i="92"/>
  <c r="D31" i="92"/>
  <c r="E19" i="92"/>
  <c r="D39" i="92"/>
  <c r="G39" i="92"/>
  <c r="M39" i="92"/>
  <c r="G35" i="92"/>
  <c r="D48" i="92"/>
  <c r="M28" i="92"/>
  <c r="G42" i="92"/>
  <c r="G31" i="92"/>
  <c r="G48" i="92"/>
  <c r="D36" i="92"/>
  <c r="D45" i="92"/>
  <c r="M25" i="92"/>
  <c r="M35" i="92"/>
  <c r="M34" i="92"/>
  <c r="O19" i="92"/>
  <c r="M48" i="92"/>
  <c r="G36" i="92"/>
  <c r="D34" i="92"/>
  <c r="D25" i="92"/>
  <c r="G34" i="92"/>
  <c r="M45" i="92"/>
  <c r="D35" i="92"/>
  <c r="M36" i="92"/>
  <c r="R19" i="92"/>
  <c r="D42" i="92"/>
  <c r="D28" i="92"/>
  <c r="G25" i="92"/>
  <c r="M31" i="92"/>
  <c r="G28" i="92"/>
  <c r="R11" i="92" l="1"/>
  <c r="P19" i="92"/>
  <c r="F32" i="45"/>
  <c r="E5" i="45" s="1"/>
  <c r="F48" i="45"/>
  <c r="E6" i="45" s="1"/>
  <c r="F52" i="45"/>
  <c r="E7" i="45" s="1"/>
  <c r="F55" i="45"/>
  <c r="E10" i="45" s="1"/>
  <c r="F35" i="45"/>
  <c r="E11" i="45"/>
  <c r="M43" i="45"/>
  <c r="G9" i="45"/>
  <c r="K1" i="45"/>
  <c r="G7" i="45"/>
  <c r="I1" i="45"/>
  <c r="H43" i="45"/>
  <c r="K4" i="45"/>
  <c r="G4" i="45"/>
  <c r="X4" i="45"/>
  <c r="V4" i="45"/>
  <c r="H4" i="45"/>
  <c r="G11" i="45"/>
  <c r="L43" i="45"/>
  <c r="P1" i="45"/>
  <c r="U4" i="45"/>
  <c r="J4" i="45"/>
  <c r="T4" i="45"/>
  <c r="G5" i="45"/>
  <c r="G10" i="45"/>
  <c r="W4" i="45"/>
  <c r="G8" i="45"/>
  <c r="G1" i="45"/>
  <c r="G6" i="45"/>
  <c r="I4" i="45" l="1"/>
  <c r="P6" i="45"/>
  <c r="Q6" i="45" s="1"/>
  <c r="P4" i="45"/>
  <c r="Q4" i="45" s="1"/>
  <c r="P9" i="45"/>
  <c r="Q9" i="45" s="1"/>
  <c r="Q10" i="45"/>
  <c r="Q7" i="45"/>
  <c r="Q11" i="45"/>
  <c r="Q8" i="45"/>
  <c r="Q5" i="45"/>
  <c r="I43" i="45"/>
  <c r="J43" i="45" s="1"/>
  <c r="I30" i="45"/>
  <c r="I31" i="45"/>
  <c r="I32" i="45" s="1"/>
  <c r="H32" i="45" s="1"/>
  <c r="F5" i="45" s="1"/>
  <c r="H5" i="45"/>
  <c r="Q13" i="45" l="1"/>
  <c r="D4" i="45" s="1"/>
  <c r="K43" i="45"/>
  <c r="K44" i="45" s="1"/>
  <c r="N4" i="45" s="1"/>
  <c r="J44" i="45"/>
  <c r="O4" i="45" s="1"/>
  <c r="I5" i="45"/>
  <c r="K5" i="45"/>
  <c r="J5" i="45"/>
  <c r="D5" i="45" l="1"/>
  <c r="S4" i="45"/>
  <c r="M4" i="45"/>
  <c r="L4" i="45"/>
  <c r="R4" i="45"/>
  <c r="P5" i="45"/>
  <c r="J30" i="45"/>
  <c r="M5" i="45"/>
  <c r="O5" i="45"/>
  <c r="S5" i="45"/>
  <c r="U5" i="45"/>
  <c r="X5" i="45"/>
  <c r="V5" i="45"/>
  <c r="L30" i="45"/>
  <c r="W5" i="45"/>
  <c r="T5" i="45"/>
  <c r="K30" i="45" l="1"/>
  <c r="D6" i="45"/>
  <c r="I46" i="45"/>
  <c r="H47" i="45"/>
  <c r="H6" i="45"/>
  <c r="I47" i="45" l="1"/>
  <c r="I48" i="45" s="1"/>
  <c r="H48" i="45" s="1"/>
  <c r="F6" i="45" s="1"/>
  <c r="I6" i="45"/>
  <c r="M46" i="45"/>
  <c r="T6" i="45"/>
  <c r="K6" i="45"/>
  <c r="X6" i="45"/>
  <c r="L46" i="45"/>
  <c r="W6" i="45"/>
  <c r="U6" i="45"/>
  <c r="V6" i="45"/>
  <c r="J6" i="45"/>
  <c r="J46" i="45" l="1"/>
  <c r="D7" i="45"/>
  <c r="I50" i="45"/>
  <c r="H51" i="45"/>
  <c r="H7" i="45"/>
  <c r="I51" i="45" l="1"/>
  <c r="I52" i="45" s="1"/>
  <c r="H52" i="45" s="1"/>
  <c r="F7" i="45" s="1"/>
  <c r="K46" i="45"/>
  <c r="I7" i="45"/>
  <c r="K7" i="45"/>
  <c r="J7" i="45"/>
  <c r="P7" i="45" l="1"/>
  <c r="J50" i="45"/>
  <c r="M7" i="45"/>
  <c r="O7" i="45"/>
  <c r="S7" i="45" s="1"/>
  <c r="L50" i="45"/>
  <c r="X7" i="45"/>
  <c r="T7" i="45"/>
  <c r="W7" i="45"/>
  <c r="V7" i="45"/>
  <c r="U7" i="45"/>
  <c r="K50" i="45" l="1"/>
  <c r="D8" i="45"/>
  <c r="H8" i="45"/>
  <c r="I8" i="45" l="1"/>
  <c r="P8" i="45"/>
  <c r="F38" i="45"/>
  <c r="D38" i="45" s="1"/>
  <c r="M8" i="45"/>
  <c r="O8" i="45"/>
  <c r="S8" i="45"/>
  <c r="J8" i="45"/>
  <c r="L37" i="45"/>
  <c r="V8" i="45"/>
  <c r="U8" i="45"/>
  <c r="T8" i="45"/>
  <c r="K8" i="45"/>
  <c r="H37" i="45"/>
  <c r="W8" i="45"/>
  <c r="X8" i="45"/>
  <c r="I37" i="45" l="1"/>
  <c r="J37" i="45" s="1"/>
  <c r="K37" i="45" s="1"/>
  <c r="K38" i="45" s="1"/>
  <c r="N8" i="45" s="1"/>
  <c r="D9" i="45"/>
  <c r="H9" i="45"/>
  <c r="L8" i="45" l="1"/>
  <c r="R8" i="45"/>
  <c r="I9" i="45"/>
  <c r="L9" i="45"/>
  <c r="N9" i="45"/>
  <c r="R9" i="45"/>
  <c r="T9" i="45"/>
  <c r="U9" i="45"/>
  <c r="H40" i="45"/>
  <c r="K9" i="45"/>
  <c r="W9" i="45"/>
  <c r="V9" i="45"/>
  <c r="L40" i="45"/>
  <c r="X9" i="45"/>
  <c r="J9" i="45"/>
  <c r="I40" i="45" l="1"/>
  <c r="J40" i="45" s="1"/>
  <c r="J41" i="45" s="1"/>
  <c r="O9" i="45" s="1"/>
  <c r="D10" i="45"/>
  <c r="I54" i="45"/>
  <c r="I55" i="45"/>
  <c r="H55" i="45" s="1"/>
  <c r="F10" i="45" s="1"/>
  <c r="H10" i="45"/>
  <c r="M9" i="45" l="1"/>
  <c r="S9" i="45"/>
  <c r="I10" i="45"/>
  <c r="P10" i="45"/>
  <c r="J54" i="45"/>
  <c r="M10" i="45"/>
  <c r="O10" i="45"/>
  <c r="S10" i="45"/>
  <c r="L54" i="45"/>
  <c r="J10" i="45"/>
  <c r="U10" i="45"/>
  <c r="X10" i="45"/>
  <c r="T10" i="45"/>
  <c r="W10" i="45"/>
  <c r="K10" i="45"/>
  <c r="V10" i="45"/>
  <c r="K54" i="45" l="1"/>
  <c r="K55" i="45" s="1"/>
  <c r="N10" i="45" s="1"/>
  <c r="D11" i="45"/>
  <c r="I34" i="45"/>
  <c r="I35" i="45"/>
  <c r="H35" i="45" s="1"/>
  <c r="F11" i="45" s="1"/>
  <c r="H11" i="45"/>
  <c r="R10" i="45" l="1"/>
  <c r="L10" i="45"/>
  <c r="I11" i="45"/>
  <c r="P11" i="45"/>
  <c r="J34" i="45"/>
  <c r="M11" i="45"/>
  <c r="O11" i="45"/>
  <c r="S11" i="45"/>
  <c r="L34" i="45"/>
  <c r="U11" i="45"/>
  <c r="V11" i="45"/>
  <c r="T11" i="45"/>
  <c r="K11" i="45"/>
  <c r="W11" i="45"/>
  <c r="J11" i="45"/>
  <c r="X11" i="45"/>
  <c r="K34" i="45" l="1"/>
  <c r="K35" i="45" s="1"/>
  <c r="N11" i="45" s="1"/>
  <c r="D12" i="45"/>
  <c r="D13" i="45" s="1"/>
  <c r="I13" i="45"/>
  <c r="P13" i="45"/>
  <c r="T13" i="45"/>
  <c r="E19" i="45"/>
  <c r="R11" i="45" l="1"/>
  <c r="L11" i="45"/>
  <c r="H19" i="45"/>
  <c r="I19" i="45"/>
  <c r="J19" i="45"/>
  <c r="M19" i="45"/>
  <c r="N19" i="45"/>
  <c r="R19" i="45"/>
  <c r="O19" i="45"/>
  <c r="E20" i="45"/>
  <c r="P19" i="45" l="1"/>
  <c r="H20" i="45"/>
  <c r="I20" i="45"/>
  <c r="N20" i="45" s="1"/>
  <c r="J20" i="45"/>
  <c r="M20" i="45"/>
  <c r="R20" i="45"/>
  <c r="O20" i="45"/>
  <c r="E21" i="45"/>
  <c r="P20" i="45" l="1"/>
  <c r="H21" i="45"/>
  <c r="I21" i="45"/>
  <c r="J21" i="45"/>
  <c r="N21" i="45" s="1"/>
  <c r="M21" i="45"/>
  <c r="N22" i="45"/>
  <c r="O21" i="45"/>
  <c r="D30" i="45"/>
  <c r="R21" i="45"/>
  <c r="G30" i="45"/>
  <c r="P21" i="45" l="1"/>
  <c r="P22" i="45" s="1"/>
  <c r="J31" i="45"/>
  <c r="J32" i="45"/>
  <c r="D34" i="45"/>
  <c r="D31" i="45"/>
  <c r="M30" i="45"/>
  <c r="M31" i="45"/>
  <c r="G31" i="45"/>
  <c r="L31" i="45"/>
  <c r="G34" i="45"/>
  <c r="K31" i="45" l="1"/>
  <c r="K32" i="45" s="1"/>
  <c r="N5" i="45" s="1"/>
  <c r="J35" i="45"/>
  <c r="M34" i="45"/>
  <c r="D37" i="45"/>
  <c r="G37" i="45"/>
  <c r="R5" i="45" l="1"/>
  <c r="L5" i="45"/>
  <c r="I38" i="45"/>
  <c r="J38" i="45"/>
  <c r="M37" i="45"/>
  <c r="G40" i="45"/>
  <c r="D40" i="45"/>
  <c r="K40" i="45" l="1"/>
  <c r="K41" i="45" s="1"/>
  <c r="F41" i="45"/>
  <c r="I41" i="45"/>
  <c r="H41" i="45" s="1"/>
  <c r="F44" i="45"/>
  <c r="I44" i="45"/>
  <c r="D43" i="45"/>
  <c r="G46" i="45"/>
  <c r="D47" i="45"/>
  <c r="D46" i="45"/>
  <c r="M40" i="45"/>
  <c r="D50" i="45"/>
  <c r="M47" i="45"/>
  <c r="G47" i="45"/>
  <c r="L47" i="45"/>
  <c r="G43" i="45"/>
  <c r="G50" i="45"/>
  <c r="J47" i="45" l="1"/>
  <c r="M50" i="45"/>
  <c r="D51" i="45"/>
  <c r="G51" i="45"/>
  <c r="K47" i="45" l="1"/>
  <c r="K48" i="45" s="1"/>
  <c r="N6" i="45" s="1"/>
  <c r="J48" i="45"/>
  <c r="O6" i="45" s="1"/>
  <c r="J51" i="45"/>
  <c r="J52" i="45" s="1"/>
  <c r="D54" i="45"/>
  <c r="G54" i="45"/>
  <c r="M51" i="45"/>
  <c r="L51" i="45"/>
  <c r="S6" i="45" l="1"/>
  <c r="S13" i="45" s="1"/>
  <c r="M6" i="45"/>
  <c r="O13" i="45"/>
  <c r="M13" i="45" s="1"/>
  <c r="L6" i="45"/>
  <c r="R6" i="45"/>
  <c r="K51" i="45"/>
  <c r="K52" i="45" s="1"/>
  <c r="N7" i="45" s="1"/>
  <c r="J55" i="45"/>
  <c r="M54" i="45"/>
  <c r="L7" i="45" l="1"/>
  <c r="R7" i="45"/>
  <c r="R13" i="45" s="1"/>
  <c r="N13" i="45"/>
  <c r="L13" i="45" s="1"/>
  <c r="G9" i="77" l="1"/>
  <c r="G11" i="77" s="1"/>
  <c r="F11" i="77" s="1"/>
  <c r="G10" i="77"/>
  <c r="E11" i="77"/>
  <c r="S3" i="66"/>
  <c r="T3" i="66"/>
  <c r="Q3" i="66"/>
  <c r="S98" i="66"/>
  <c r="Q98" i="66"/>
  <c r="T98" i="66"/>
  <c r="A2" i="72"/>
  <c r="B2" i="72"/>
  <c r="C2" i="72"/>
  <c r="D2" i="72"/>
  <c r="E2" i="72"/>
  <c r="F2" i="72"/>
  <c r="G2" i="72"/>
  <c r="H2" i="72"/>
  <c r="I2" i="72"/>
  <c r="J2" i="72"/>
  <c r="K2" i="72"/>
  <c r="L2" i="72"/>
  <c r="M2" i="72"/>
  <c r="N2" i="72"/>
  <c r="O2" i="72"/>
  <c r="P2" i="72"/>
  <c r="Q2" i="72"/>
  <c r="R2" i="72"/>
  <c r="S2" i="72"/>
  <c r="T2" i="72"/>
  <c r="U2" i="72"/>
  <c r="V2" i="72"/>
  <c r="W2" i="72"/>
  <c r="X2" i="72"/>
  <c r="Y2" i="72"/>
  <c r="Z2" i="72"/>
  <c r="AA2" i="72"/>
  <c r="A3" i="72"/>
  <c r="B3" i="72"/>
  <c r="C3" i="72"/>
  <c r="D3" i="72"/>
  <c r="E3" i="72"/>
  <c r="F3" i="72"/>
  <c r="G3" i="72"/>
  <c r="H3" i="72"/>
  <c r="I3" i="72"/>
  <c r="J3" i="72"/>
  <c r="K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4" i="72"/>
  <c r="B4" i="72"/>
  <c r="C4" i="72"/>
  <c r="D4" i="72"/>
  <c r="E4" i="72"/>
  <c r="F4" i="72"/>
  <c r="G4" i="72"/>
  <c r="H4" i="72"/>
  <c r="I4" i="72"/>
  <c r="J4" i="72"/>
  <c r="K4" i="72"/>
  <c r="L4" i="72"/>
  <c r="M4" i="72"/>
  <c r="N4" i="72"/>
  <c r="O4" i="72"/>
  <c r="P4" i="72"/>
  <c r="Q4" i="72"/>
  <c r="R4" i="72"/>
  <c r="S4" i="72"/>
  <c r="T4" i="72"/>
  <c r="U4" i="72"/>
  <c r="V4" i="72"/>
  <c r="W4" i="72"/>
  <c r="X4" i="72"/>
  <c r="Y4" i="72"/>
  <c r="Z4" i="72"/>
  <c r="AA4" i="72"/>
  <c r="A5" i="72"/>
  <c r="B5" i="72"/>
  <c r="C5" i="72"/>
  <c r="D5" i="72"/>
  <c r="E5" i="72"/>
  <c r="F5" i="72"/>
  <c r="G5" i="72"/>
  <c r="H5" i="72"/>
  <c r="I5" i="72"/>
  <c r="J5" i="72"/>
  <c r="K5" i="72"/>
  <c r="L5" i="72"/>
  <c r="M5" i="72"/>
  <c r="N5" i="72"/>
  <c r="O5" i="72"/>
  <c r="P5" i="72"/>
  <c r="Q5" i="72"/>
  <c r="R5" i="72"/>
  <c r="S5" i="72"/>
  <c r="T5" i="72"/>
  <c r="U5" i="72"/>
  <c r="V5" i="72"/>
  <c r="W5" i="72"/>
  <c r="X5" i="72"/>
  <c r="Y5" i="72"/>
  <c r="Z5" i="72"/>
  <c r="AA5" i="72"/>
  <c r="A6" i="72"/>
  <c r="B6" i="72"/>
  <c r="C6" i="72"/>
  <c r="D6" i="72"/>
  <c r="E6" i="72"/>
  <c r="F6" i="72"/>
  <c r="G6" i="72"/>
  <c r="H6" i="72"/>
  <c r="I6" i="72"/>
  <c r="J6" i="72"/>
  <c r="K6" i="72"/>
  <c r="L6" i="72"/>
  <c r="M6" i="72"/>
  <c r="N6" i="72"/>
  <c r="O6" i="72"/>
  <c r="P6" i="72"/>
  <c r="Q6" i="72"/>
  <c r="R6" i="72"/>
  <c r="S6" i="72"/>
  <c r="T6" i="72"/>
  <c r="U6" i="72"/>
  <c r="V6" i="72"/>
  <c r="W6" i="72"/>
  <c r="X6" i="72"/>
  <c r="Y6" i="72"/>
  <c r="Z6" i="72"/>
  <c r="AA6" i="72"/>
  <c r="A7" i="72"/>
  <c r="B7" i="72"/>
  <c r="C7" i="72"/>
  <c r="D7" i="72"/>
  <c r="E7" i="72"/>
  <c r="F7" i="72"/>
  <c r="G7" i="72"/>
  <c r="H7" i="72"/>
  <c r="I7" i="72"/>
  <c r="J7" i="72"/>
  <c r="K7" i="72"/>
  <c r="L7" i="72"/>
  <c r="M7" i="72"/>
  <c r="N7" i="72"/>
  <c r="O7" i="72"/>
  <c r="P7" i="72"/>
  <c r="Q7" i="72"/>
  <c r="R7" i="72"/>
  <c r="S7" i="72"/>
  <c r="T7" i="72"/>
  <c r="U7" i="72"/>
  <c r="V7" i="72"/>
  <c r="W7" i="72"/>
  <c r="X7" i="72"/>
  <c r="Y7" i="72"/>
  <c r="Z7" i="72"/>
  <c r="AA7" i="72"/>
  <c r="A8" i="72"/>
  <c r="B8" i="72"/>
  <c r="C8" i="72"/>
  <c r="D8" i="72"/>
  <c r="E8" i="72"/>
  <c r="F8" i="72"/>
  <c r="G8" i="72"/>
  <c r="H8" i="72"/>
  <c r="I8" i="72"/>
  <c r="J8" i="72"/>
  <c r="K8" i="72"/>
  <c r="L8" i="72"/>
  <c r="M8" i="72"/>
  <c r="N8" i="72"/>
  <c r="O8" i="72"/>
  <c r="P8" i="72"/>
  <c r="Q8" i="72"/>
  <c r="R8" i="72"/>
  <c r="S8" i="72"/>
  <c r="T8" i="72"/>
  <c r="U8" i="72"/>
  <c r="V8" i="72"/>
  <c r="W8" i="72"/>
  <c r="X8" i="72"/>
  <c r="Y8" i="72"/>
  <c r="Z8" i="72"/>
  <c r="AA8" i="72"/>
  <c r="A9" i="72"/>
  <c r="B9" i="72"/>
  <c r="C9" i="72"/>
  <c r="D9" i="72"/>
  <c r="E9" i="72"/>
  <c r="F9" i="72"/>
  <c r="G9" i="72"/>
  <c r="H9" i="72"/>
  <c r="I9" i="72"/>
  <c r="J9" i="72"/>
  <c r="K9" i="72"/>
  <c r="L9" i="72"/>
  <c r="M9" i="72"/>
  <c r="N9" i="72"/>
  <c r="O9" i="72"/>
  <c r="P9" i="72"/>
  <c r="Q9" i="72"/>
  <c r="R9" i="72"/>
  <c r="S9" i="72"/>
  <c r="T9" i="72"/>
  <c r="U9" i="72"/>
  <c r="V9" i="72"/>
  <c r="W9" i="72"/>
  <c r="X9" i="72"/>
  <c r="Y9" i="72"/>
  <c r="Z9" i="72"/>
  <c r="AA9" i="72"/>
  <c r="A10" i="72"/>
  <c r="B10" i="72"/>
  <c r="C10" i="72"/>
  <c r="D10" i="72"/>
  <c r="E10" i="72"/>
  <c r="F10" i="72"/>
  <c r="G10" i="72"/>
  <c r="H10" i="72"/>
  <c r="I10" i="72"/>
  <c r="J10" i="72"/>
  <c r="K10" i="72"/>
  <c r="L10" i="72"/>
  <c r="M10" i="72"/>
  <c r="N10" i="72"/>
  <c r="O10" i="72"/>
  <c r="P10" i="72"/>
  <c r="Q10" i="72"/>
  <c r="R10" i="72"/>
  <c r="S10" i="72"/>
  <c r="T10" i="72"/>
  <c r="U10" i="72"/>
  <c r="V10" i="72"/>
  <c r="W10" i="72"/>
  <c r="X10" i="72"/>
  <c r="Y10" i="72"/>
  <c r="Z10" i="72"/>
  <c r="AA10" i="72"/>
  <c r="A11" i="72"/>
  <c r="B11" i="72"/>
  <c r="C11" i="72"/>
  <c r="D11" i="72"/>
  <c r="E11" i="72"/>
  <c r="F11" i="72"/>
  <c r="G11" i="72"/>
  <c r="H11" i="72"/>
  <c r="I11" i="72"/>
  <c r="J11" i="72"/>
  <c r="K11" i="72"/>
  <c r="L11" i="72"/>
  <c r="M11" i="72"/>
  <c r="N11" i="72"/>
  <c r="O11" i="72"/>
  <c r="P11" i="72"/>
  <c r="Q11" i="72"/>
  <c r="R11" i="72"/>
  <c r="S11" i="72"/>
  <c r="T11" i="72"/>
  <c r="U11" i="72"/>
  <c r="V11" i="72"/>
  <c r="W11" i="72"/>
  <c r="X11" i="72"/>
  <c r="Y11" i="72"/>
  <c r="Z11" i="72"/>
  <c r="AA11" i="72"/>
  <c r="A12" i="72"/>
  <c r="B12" i="72"/>
  <c r="C12" i="72"/>
  <c r="D12" i="72"/>
  <c r="E12" i="72"/>
  <c r="F12" i="72"/>
  <c r="G12" i="72"/>
  <c r="H12" i="72"/>
  <c r="I12" i="72"/>
  <c r="J12" i="72"/>
  <c r="K12" i="72"/>
  <c r="L12" i="72"/>
  <c r="M12" i="72"/>
  <c r="N12" i="72"/>
  <c r="O12" i="72"/>
  <c r="P12" i="72"/>
  <c r="Q12" i="72"/>
  <c r="R12" i="72"/>
  <c r="S12" i="72"/>
  <c r="T12" i="72"/>
  <c r="U12" i="72"/>
  <c r="V12" i="72"/>
  <c r="W12" i="72"/>
  <c r="X12" i="72"/>
  <c r="Y12" i="72"/>
  <c r="Z12" i="72"/>
  <c r="AA12" i="72"/>
  <c r="A13" i="72"/>
  <c r="B13" i="72"/>
  <c r="C13" i="72"/>
  <c r="D13" i="72"/>
  <c r="E13" i="72"/>
  <c r="F13" i="72"/>
  <c r="G13" i="72"/>
  <c r="H13" i="72"/>
  <c r="I13" i="72"/>
  <c r="J13" i="72"/>
  <c r="K13" i="72"/>
  <c r="L13" i="72"/>
  <c r="M13" i="72"/>
  <c r="N13" i="72"/>
  <c r="O13" i="72"/>
  <c r="P13" i="72"/>
  <c r="Q13" i="72"/>
  <c r="R13" i="72"/>
  <c r="S13" i="72"/>
  <c r="T13" i="72"/>
  <c r="U13" i="72"/>
  <c r="V13" i="72"/>
  <c r="W13" i="72"/>
  <c r="X13" i="72"/>
  <c r="Y13" i="72"/>
  <c r="Z13" i="72"/>
  <c r="AA13" i="72"/>
  <c r="A14" i="72"/>
  <c r="B14" i="72"/>
  <c r="C14" i="72"/>
  <c r="D14" i="72"/>
  <c r="E14" i="72"/>
  <c r="F14" i="72"/>
  <c r="G14" i="72"/>
  <c r="H14" i="72"/>
  <c r="I14" i="72"/>
  <c r="J14" i="72"/>
  <c r="K14" i="72"/>
  <c r="L14" i="72"/>
  <c r="M14" i="72"/>
  <c r="N14" i="72"/>
  <c r="O14" i="72"/>
  <c r="P14" i="72"/>
  <c r="Q14" i="72"/>
  <c r="R14" i="72"/>
  <c r="S14" i="72"/>
  <c r="T14" i="72"/>
  <c r="U14" i="72"/>
  <c r="V14" i="72"/>
  <c r="W14" i="72"/>
  <c r="X14" i="72"/>
  <c r="Y14" i="72"/>
  <c r="Z14" i="72"/>
  <c r="AA14" i="72"/>
  <c r="A15" i="72"/>
  <c r="B15" i="72"/>
  <c r="C15" i="72"/>
  <c r="D15" i="72"/>
  <c r="E15" i="72"/>
  <c r="F15" i="72"/>
  <c r="G15" i="72"/>
  <c r="H15" i="72"/>
  <c r="I15" i="72"/>
  <c r="J15" i="72"/>
  <c r="K15" i="72"/>
  <c r="L15" i="72"/>
  <c r="M15" i="72"/>
  <c r="N15" i="72"/>
  <c r="O15" i="72"/>
  <c r="P15" i="72"/>
  <c r="Q15" i="72"/>
  <c r="R15" i="72"/>
  <c r="S15" i="72"/>
  <c r="T15" i="72"/>
  <c r="U15" i="72"/>
  <c r="V15" i="72"/>
  <c r="W15" i="72"/>
  <c r="X15" i="72"/>
  <c r="Y15" i="72"/>
  <c r="Z15" i="72"/>
  <c r="AA15" i="72"/>
  <c r="A16" i="72"/>
  <c r="B16" i="72"/>
  <c r="C16" i="72"/>
  <c r="D16" i="72"/>
  <c r="E16" i="72"/>
  <c r="F16" i="72"/>
  <c r="G16" i="72"/>
  <c r="H16" i="72"/>
  <c r="I16" i="72"/>
  <c r="J16" i="72"/>
  <c r="K16" i="72"/>
  <c r="L16" i="72"/>
  <c r="M16" i="72"/>
  <c r="N16" i="72"/>
  <c r="O16" i="72"/>
  <c r="P16" i="72"/>
  <c r="Q16" i="72"/>
  <c r="R16" i="72"/>
  <c r="S16" i="72"/>
  <c r="T16" i="72"/>
  <c r="U16" i="72"/>
  <c r="V16" i="72"/>
  <c r="W16" i="72"/>
  <c r="X16" i="72"/>
  <c r="Y16" i="72"/>
  <c r="Z16" i="72"/>
  <c r="AA16" i="72"/>
  <c r="A17" i="72"/>
  <c r="B17" i="72"/>
  <c r="C17" i="72"/>
  <c r="D17" i="72"/>
  <c r="E17" i="72"/>
  <c r="F17" i="72"/>
  <c r="G17" i="72"/>
  <c r="H17" i="72"/>
  <c r="I17" i="72"/>
  <c r="J17" i="72"/>
  <c r="K17" i="72"/>
  <c r="L17" i="72"/>
  <c r="M17" i="72"/>
  <c r="N17" i="72"/>
  <c r="O17" i="72"/>
  <c r="P17" i="72"/>
  <c r="Q17" i="72"/>
  <c r="R17" i="72"/>
  <c r="S17" i="72"/>
  <c r="T17" i="72"/>
  <c r="U17" i="72"/>
  <c r="V17" i="72"/>
  <c r="W17" i="72"/>
  <c r="X17" i="72"/>
  <c r="Y17" i="72"/>
  <c r="Z17" i="72"/>
  <c r="AA17" i="72"/>
  <c r="A18" i="72"/>
  <c r="B18" i="72"/>
  <c r="C18" i="72"/>
  <c r="D18" i="72"/>
  <c r="E18" i="72"/>
  <c r="F18" i="72"/>
  <c r="G18" i="72"/>
  <c r="H18" i="72"/>
  <c r="I18" i="72"/>
  <c r="J18" i="72"/>
  <c r="K18" i="72"/>
  <c r="L18" i="72"/>
  <c r="M18" i="72"/>
  <c r="N18" i="72"/>
  <c r="O18" i="72"/>
  <c r="P18" i="72"/>
  <c r="Q18" i="72"/>
  <c r="R18" i="72"/>
  <c r="S18" i="72"/>
  <c r="T18" i="72"/>
  <c r="U18" i="72"/>
  <c r="V18" i="72"/>
  <c r="W18" i="72"/>
  <c r="X18" i="72"/>
  <c r="Y18" i="72"/>
  <c r="Z18" i="72"/>
  <c r="AA18" i="72"/>
  <c r="A19" i="72"/>
  <c r="B19" i="72"/>
  <c r="C19" i="72"/>
  <c r="D19" i="72"/>
  <c r="E19" i="72"/>
  <c r="F19" i="72"/>
  <c r="G19" i="72"/>
  <c r="H19" i="72"/>
  <c r="I19" i="72"/>
  <c r="J19" i="72"/>
  <c r="K19" i="72"/>
  <c r="L19" i="72"/>
  <c r="M19" i="72"/>
  <c r="N19" i="72"/>
  <c r="O19" i="72"/>
  <c r="P19" i="72"/>
  <c r="Q19" i="72"/>
  <c r="R19" i="72"/>
  <c r="S19" i="72"/>
  <c r="T19" i="72"/>
  <c r="U19" i="72"/>
  <c r="V19" i="72"/>
  <c r="W19" i="72"/>
  <c r="X19" i="72"/>
  <c r="Y19" i="72"/>
  <c r="Z19" i="72"/>
  <c r="AA19" i="72"/>
  <c r="A20" i="72"/>
  <c r="B20" i="72"/>
  <c r="C20" i="72"/>
  <c r="D20" i="72"/>
  <c r="E20" i="72"/>
  <c r="F20" i="72"/>
  <c r="G20" i="72"/>
  <c r="H20" i="72"/>
  <c r="I20" i="72"/>
  <c r="J20" i="72"/>
  <c r="K20" i="72"/>
  <c r="L20" i="72"/>
  <c r="M20" i="72"/>
  <c r="N20" i="72"/>
  <c r="O20" i="72"/>
  <c r="P20" i="72"/>
  <c r="Q20" i="72"/>
  <c r="R20" i="72"/>
  <c r="S20" i="72"/>
  <c r="T20" i="72"/>
  <c r="U20" i="72"/>
  <c r="V20" i="72"/>
  <c r="W20" i="72"/>
  <c r="X20" i="72"/>
  <c r="Y20" i="72"/>
  <c r="Z20" i="72"/>
  <c r="AA20" i="72"/>
  <c r="A21" i="72"/>
  <c r="B21" i="72"/>
  <c r="C21" i="72"/>
  <c r="D21" i="72"/>
  <c r="E21" i="72"/>
  <c r="F21" i="72"/>
  <c r="G21" i="72"/>
  <c r="H21" i="72"/>
  <c r="I21" i="72"/>
  <c r="J21" i="72"/>
  <c r="K21" i="72"/>
  <c r="L21" i="72"/>
  <c r="M21" i="72"/>
  <c r="N21" i="72"/>
  <c r="O21" i="72"/>
  <c r="P21" i="72"/>
  <c r="Q21" i="72"/>
  <c r="R21" i="72"/>
  <c r="S21" i="72"/>
  <c r="T21" i="72"/>
  <c r="U21" i="72"/>
  <c r="V21" i="72"/>
  <c r="W21" i="72"/>
  <c r="X21" i="72"/>
  <c r="Y21" i="72"/>
  <c r="Z21" i="72"/>
  <c r="AA21" i="72"/>
  <c r="A22" i="72"/>
  <c r="B22" i="72"/>
  <c r="C22" i="72"/>
  <c r="D22" i="72"/>
  <c r="E22" i="72"/>
  <c r="F22" i="72"/>
  <c r="G22" i="72"/>
  <c r="H22" i="72"/>
  <c r="I22" i="72"/>
  <c r="J22" i="72"/>
  <c r="K22" i="72"/>
  <c r="L22" i="72"/>
  <c r="M22" i="72"/>
  <c r="N22" i="72"/>
  <c r="O22" i="72"/>
  <c r="P22" i="72"/>
  <c r="Q22" i="72"/>
  <c r="R22" i="72"/>
  <c r="S22" i="72"/>
  <c r="T22" i="72"/>
  <c r="U22" i="72"/>
  <c r="V22" i="72"/>
  <c r="W22" i="72"/>
  <c r="X22" i="72"/>
  <c r="Y22" i="72"/>
  <c r="Z22" i="72"/>
  <c r="AA22" i="72"/>
  <c r="A23" i="72"/>
  <c r="B23" i="72"/>
  <c r="C23" i="72"/>
  <c r="D23" i="72"/>
  <c r="E23" i="72"/>
  <c r="F23" i="72"/>
  <c r="G23" i="72"/>
  <c r="H23" i="72"/>
  <c r="I23" i="72"/>
  <c r="J23" i="72"/>
  <c r="K23" i="72"/>
  <c r="L23" i="72"/>
  <c r="M23" i="72"/>
  <c r="N23" i="72"/>
  <c r="O23" i="72"/>
  <c r="P23" i="72"/>
  <c r="Q23" i="72"/>
  <c r="R23" i="72"/>
  <c r="S23" i="72"/>
  <c r="T23" i="72"/>
  <c r="U23" i="72"/>
  <c r="V23" i="72"/>
  <c r="W23" i="72"/>
  <c r="X23" i="72"/>
  <c r="Y23" i="72"/>
  <c r="Z23" i="72"/>
  <c r="AA23" i="72"/>
  <c r="A24" i="72"/>
  <c r="B24" i="72"/>
  <c r="C24" i="72"/>
  <c r="D24" i="72"/>
  <c r="E24" i="72"/>
  <c r="F24" i="72"/>
  <c r="G24" i="72"/>
  <c r="H24" i="72"/>
  <c r="I24" i="72"/>
  <c r="J24" i="72"/>
  <c r="K24" i="72"/>
  <c r="L24" i="72"/>
  <c r="M24" i="72"/>
  <c r="N24" i="72"/>
  <c r="O24" i="72"/>
  <c r="P24" i="72"/>
  <c r="Q24" i="72"/>
  <c r="R24" i="72"/>
  <c r="S24" i="72"/>
  <c r="T24" i="72"/>
  <c r="U24" i="72"/>
  <c r="V24" i="72"/>
  <c r="W24" i="72"/>
  <c r="X24" i="72"/>
  <c r="Y24" i="72"/>
  <c r="Z24" i="72"/>
  <c r="AA24" i="72"/>
  <c r="A25" i="72"/>
  <c r="B25" i="72"/>
  <c r="C25" i="72"/>
  <c r="D25" i="72"/>
  <c r="E25" i="72"/>
  <c r="F25" i="72"/>
  <c r="G25" i="72"/>
  <c r="H25" i="72"/>
  <c r="I25" i="72"/>
  <c r="J25" i="72"/>
  <c r="K25" i="72"/>
  <c r="L25" i="72"/>
  <c r="M25" i="72"/>
  <c r="N25" i="72"/>
  <c r="O25" i="72"/>
  <c r="P25" i="72"/>
  <c r="Q25" i="72"/>
  <c r="R25" i="72"/>
  <c r="S25" i="72"/>
  <c r="T25" i="72"/>
  <c r="U25" i="72"/>
  <c r="V25" i="72"/>
  <c r="W25" i="72"/>
  <c r="X25" i="72"/>
  <c r="Y25" i="72"/>
  <c r="Z25" i="72"/>
  <c r="AA25" i="72"/>
  <c r="A26" i="72"/>
  <c r="B26" i="72"/>
  <c r="C26" i="72"/>
  <c r="D26" i="72"/>
  <c r="E26" i="72"/>
  <c r="F26" i="72"/>
  <c r="G26" i="72"/>
  <c r="H26" i="72"/>
  <c r="I26" i="72"/>
  <c r="J26" i="72"/>
  <c r="K26" i="72"/>
  <c r="L26" i="72"/>
  <c r="M26" i="72"/>
  <c r="N26" i="72"/>
  <c r="O26" i="72"/>
  <c r="P26" i="72"/>
  <c r="Q26" i="72"/>
  <c r="R26" i="72"/>
  <c r="S26" i="72"/>
  <c r="T26" i="72"/>
  <c r="U26" i="72"/>
  <c r="V26" i="72"/>
  <c r="W26" i="72"/>
  <c r="X26" i="72"/>
  <c r="Y26" i="72"/>
  <c r="Z26" i="72"/>
  <c r="AA26" i="72"/>
  <c r="A27" i="72"/>
  <c r="B27" i="72"/>
  <c r="C27" i="72"/>
  <c r="W27" i="72"/>
  <c r="X27" i="72"/>
  <c r="Y27" i="72"/>
  <c r="Z27" i="72"/>
  <c r="A28" i="72"/>
  <c r="B28" i="72"/>
  <c r="C28" i="72"/>
  <c r="W28" i="72"/>
  <c r="X28" i="72"/>
  <c r="Y28" i="72"/>
  <c r="Z28" i="72"/>
  <c r="A29" i="72"/>
  <c r="B29" i="72"/>
  <c r="C29" i="72"/>
  <c r="W29" i="72"/>
  <c r="X29" i="72"/>
  <c r="Y29" i="72"/>
  <c r="Z29" i="72"/>
  <c r="A30" i="72"/>
  <c r="B30" i="72"/>
  <c r="C30" i="72"/>
  <c r="D30" i="72"/>
  <c r="E30" i="72"/>
  <c r="F30" i="72"/>
  <c r="G30" i="72"/>
  <c r="H30" i="72"/>
  <c r="I30" i="72"/>
  <c r="J30" i="72"/>
  <c r="K30" i="72"/>
  <c r="L30" i="72"/>
  <c r="M30" i="72"/>
  <c r="N30" i="72"/>
  <c r="O30" i="72"/>
  <c r="P30" i="72"/>
  <c r="Q30" i="72"/>
  <c r="R30" i="72"/>
  <c r="S30" i="72"/>
  <c r="T30" i="72"/>
  <c r="U30" i="72"/>
  <c r="V30" i="72"/>
  <c r="W30" i="72"/>
  <c r="X30" i="72"/>
  <c r="Y30" i="72"/>
  <c r="Z30" i="72"/>
  <c r="AA30" i="72"/>
  <c r="A31" i="72"/>
  <c r="B31" i="72"/>
  <c r="C31" i="72"/>
  <c r="W31" i="72"/>
  <c r="X31" i="72"/>
  <c r="Y31" i="72"/>
  <c r="Z31" i="72"/>
  <c r="A32" i="72"/>
  <c r="B32" i="72"/>
  <c r="C32" i="72"/>
  <c r="W32" i="72"/>
  <c r="X32" i="72"/>
  <c r="Y32" i="72"/>
  <c r="Z32" i="72"/>
  <c r="A33" i="72"/>
  <c r="B33" i="72"/>
  <c r="C33" i="72"/>
  <c r="W33" i="72"/>
  <c r="X33" i="72"/>
  <c r="Y33" i="72"/>
  <c r="Z33" i="72"/>
  <c r="A34" i="72"/>
  <c r="B34" i="72"/>
  <c r="C34" i="72"/>
  <c r="W34" i="72"/>
  <c r="X34" i="72"/>
  <c r="Y34" i="72"/>
  <c r="Z34" i="72"/>
  <c r="A35" i="72"/>
  <c r="B35" i="72"/>
  <c r="C35" i="72"/>
  <c r="W35" i="72"/>
  <c r="X35" i="72"/>
  <c r="Y35" i="72"/>
  <c r="Z35" i="72"/>
  <c r="A36" i="72"/>
  <c r="B36" i="72"/>
  <c r="C36" i="72"/>
  <c r="W36" i="72"/>
  <c r="X36" i="72"/>
  <c r="Y36" i="72"/>
  <c r="Z36" i="72"/>
  <c r="A37" i="72"/>
  <c r="B37" i="72"/>
  <c r="C37" i="72"/>
  <c r="D37" i="72"/>
  <c r="E37" i="72"/>
  <c r="F37" i="72"/>
  <c r="G37" i="72"/>
  <c r="H37" i="72"/>
  <c r="I37" i="72"/>
  <c r="J37" i="72"/>
  <c r="K37" i="72"/>
  <c r="L37" i="72"/>
  <c r="M37" i="72"/>
  <c r="N37" i="72"/>
  <c r="O37" i="72"/>
  <c r="P37" i="72"/>
  <c r="Q37" i="72"/>
  <c r="R37" i="72"/>
  <c r="S37" i="72"/>
  <c r="T37" i="72"/>
  <c r="U37" i="72"/>
  <c r="V37" i="72"/>
  <c r="W37" i="72"/>
  <c r="X37" i="72"/>
  <c r="Y37" i="72"/>
  <c r="Z37" i="72"/>
  <c r="AA37" i="72"/>
  <c r="A38" i="72"/>
  <c r="B38" i="72"/>
  <c r="C38" i="72"/>
  <c r="W38" i="72"/>
  <c r="X38" i="72"/>
  <c r="Y38" i="72"/>
  <c r="Z38" i="72"/>
  <c r="A39" i="72"/>
  <c r="B39" i="72"/>
  <c r="C39" i="72"/>
  <c r="W39" i="72"/>
  <c r="X39" i="72"/>
  <c r="Y39" i="72"/>
  <c r="Z39" i="72"/>
  <c r="A40" i="72"/>
  <c r="B40" i="72"/>
  <c r="C40" i="72"/>
  <c r="D40" i="72"/>
  <c r="E40" i="72"/>
  <c r="F40" i="72"/>
  <c r="G40" i="72"/>
  <c r="H40" i="72"/>
  <c r="I40" i="72"/>
  <c r="J40" i="72"/>
  <c r="K40" i="72"/>
  <c r="L40" i="72"/>
  <c r="M40" i="72"/>
  <c r="N40" i="72"/>
  <c r="O40" i="72"/>
  <c r="P40" i="72"/>
  <c r="Q40" i="72"/>
  <c r="R40" i="72"/>
  <c r="S40" i="72"/>
  <c r="T40" i="72"/>
  <c r="U40" i="72"/>
  <c r="V40" i="72"/>
  <c r="W40" i="72"/>
  <c r="X40" i="72"/>
  <c r="Y40" i="72"/>
  <c r="Z40" i="72"/>
  <c r="AA40" i="72"/>
  <c r="A41" i="72"/>
  <c r="B41" i="72"/>
  <c r="C41" i="72"/>
  <c r="W41" i="72"/>
  <c r="X41" i="72"/>
  <c r="Y41" i="72"/>
  <c r="Z41" i="72"/>
  <c r="A42" i="72"/>
  <c r="B42" i="72"/>
  <c r="W42" i="72"/>
  <c r="X42" i="72"/>
  <c r="Y42" i="72"/>
  <c r="Z42" i="72"/>
  <c r="A43" i="72"/>
  <c r="B43" i="72"/>
  <c r="C43" i="72"/>
  <c r="W43" i="72"/>
  <c r="X43" i="72"/>
  <c r="Y43" i="72"/>
  <c r="Z43" i="72"/>
  <c r="A44" i="72"/>
  <c r="B44" i="72"/>
  <c r="C44" i="72"/>
  <c r="W44" i="72"/>
  <c r="X44" i="72"/>
  <c r="Y44" i="72"/>
  <c r="Z44" i="72"/>
  <c r="A45" i="72"/>
  <c r="B45" i="72"/>
  <c r="C45" i="72"/>
  <c r="W45" i="72"/>
  <c r="X45" i="72"/>
  <c r="Y45" i="72"/>
  <c r="Z45" i="72"/>
  <c r="A46" i="72"/>
  <c r="B46" i="72"/>
  <c r="C46" i="72"/>
  <c r="D46" i="72"/>
  <c r="E46" i="72"/>
  <c r="F46" i="72"/>
  <c r="G46" i="72"/>
  <c r="H46" i="72"/>
  <c r="I46" i="72"/>
  <c r="J46" i="72"/>
  <c r="K46" i="72"/>
  <c r="L46" i="72"/>
  <c r="M46" i="72"/>
  <c r="N46" i="72"/>
  <c r="O46" i="72"/>
  <c r="P46" i="72"/>
  <c r="Q46" i="72"/>
  <c r="R46" i="72"/>
  <c r="S46" i="72"/>
  <c r="T46" i="72"/>
  <c r="U46" i="72"/>
  <c r="V46" i="72"/>
  <c r="W46" i="72"/>
  <c r="X46" i="72"/>
  <c r="Y46" i="72"/>
  <c r="Z46" i="72"/>
  <c r="AA46" i="72"/>
  <c r="A47" i="72"/>
  <c r="B47" i="72"/>
  <c r="C47" i="72"/>
  <c r="D47" i="72"/>
  <c r="E47" i="72"/>
  <c r="F47" i="72"/>
  <c r="G47" i="72"/>
  <c r="H47" i="72"/>
  <c r="I47" i="72"/>
  <c r="J47" i="72"/>
  <c r="K47" i="72"/>
  <c r="L47" i="72"/>
  <c r="M47" i="72"/>
  <c r="N47" i="72"/>
  <c r="O47" i="72"/>
  <c r="P47" i="72"/>
  <c r="Q47" i="72"/>
  <c r="R47" i="72"/>
  <c r="S47" i="72"/>
  <c r="T47" i="72"/>
  <c r="U47" i="72"/>
  <c r="V47" i="72"/>
  <c r="W47" i="72"/>
  <c r="X47" i="72"/>
  <c r="Y47" i="72"/>
  <c r="Z47" i="72"/>
  <c r="AA47" i="72"/>
  <c r="A48" i="72"/>
  <c r="B48" i="72"/>
  <c r="C48" i="72"/>
  <c r="D48" i="72"/>
  <c r="E48" i="72"/>
  <c r="F48" i="72"/>
  <c r="G48" i="72"/>
  <c r="H48" i="72"/>
  <c r="I48" i="72"/>
  <c r="J48" i="72"/>
  <c r="K48" i="72"/>
  <c r="L48" i="72"/>
  <c r="M48" i="72"/>
  <c r="N48" i="72"/>
  <c r="O48" i="72"/>
  <c r="P48" i="72"/>
  <c r="Q48" i="72"/>
  <c r="R48" i="72"/>
  <c r="S48" i="72"/>
  <c r="T48" i="72"/>
  <c r="U48" i="72"/>
  <c r="V48" i="72"/>
  <c r="W48" i="72"/>
  <c r="X48" i="72"/>
  <c r="Y48" i="72"/>
  <c r="Z48" i="72"/>
  <c r="AA48" i="72"/>
  <c r="A49" i="72"/>
  <c r="B49" i="72"/>
  <c r="C49" i="72"/>
  <c r="D49" i="72"/>
  <c r="E49" i="72"/>
  <c r="F49" i="72"/>
  <c r="G49" i="72"/>
  <c r="H49" i="72"/>
  <c r="I49" i="72"/>
  <c r="J49" i="72"/>
  <c r="K49" i="72"/>
  <c r="L49" i="72"/>
  <c r="M49" i="72"/>
  <c r="N49" i="72"/>
  <c r="O49" i="72"/>
  <c r="P49" i="72"/>
  <c r="Q49" i="72"/>
  <c r="R49" i="72"/>
  <c r="S49" i="72"/>
  <c r="T49" i="72"/>
  <c r="U49" i="72"/>
  <c r="V49" i="72"/>
  <c r="W49" i="72"/>
  <c r="X49" i="72"/>
  <c r="Y49" i="72"/>
  <c r="Z49" i="72"/>
  <c r="AA49" i="72"/>
  <c r="A50" i="72"/>
  <c r="B50" i="72"/>
  <c r="C50" i="72"/>
  <c r="D50" i="72"/>
  <c r="E50" i="72"/>
  <c r="F50" i="72"/>
  <c r="G50" i="72"/>
  <c r="H50" i="72"/>
  <c r="I50" i="72"/>
  <c r="J50" i="72"/>
  <c r="K50" i="72"/>
  <c r="L50" i="72"/>
  <c r="M50" i="72"/>
  <c r="N50" i="72"/>
  <c r="O50" i="72"/>
  <c r="P50" i="72"/>
  <c r="Q50" i="72"/>
  <c r="R50" i="72"/>
  <c r="S50" i="72"/>
  <c r="T50" i="72"/>
  <c r="U50" i="72"/>
  <c r="V50" i="72"/>
  <c r="W50" i="72"/>
  <c r="X50" i="72"/>
  <c r="Y50" i="72"/>
  <c r="Z50" i="72"/>
  <c r="AA50" i="72"/>
  <c r="A51" i="72"/>
  <c r="B51" i="72"/>
  <c r="C51" i="72"/>
  <c r="D51" i="72"/>
  <c r="E51" i="72"/>
  <c r="F51" i="72"/>
  <c r="G51" i="72"/>
  <c r="H51" i="72"/>
  <c r="I51" i="72"/>
  <c r="J51" i="72"/>
  <c r="K51" i="72"/>
  <c r="L51" i="72"/>
  <c r="M51" i="72"/>
  <c r="N51" i="72"/>
  <c r="O51" i="72"/>
  <c r="P51" i="72"/>
  <c r="Q51" i="72"/>
  <c r="R51" i="72"/>
  <c r="S51" i="72"/>
  <c r="T51" i="72"/>
  <c r="U51" i="72"/>
  <c r="V51" i="72"/>
  <c r="W51" i="72"/>
  <c r="X51" i="72"/>
  <c r="Y51" i="72"/>
  <c r="Z51" i="72"/>
  <c r="AA51" i="72"/>
  <c r="A52" i="72"/>
  <c r="C52" i="72"/>
  <c r="H52" i="72"/>
  <c r="I52" i="72"/>
  <c r="W52" i="72"/>
  <c r="X52" i="72"/>
  <c r="Y52" i="72"/>
  <c r="Z52" i="72"/>
  <c r="AA52" i="72"/>
  <c r="A53" i="72"/>
  <c r="B53" i="72"/>
  <c r="C53" i="72"/>
  <c r="D53" i="72"/>
  <c r="E53" i="72"/>
  <c r="F53" i="72"/>
  <c r="G53" i="72"/>
  <c r="H53" i="72"/>
  <c r="I53" i="72"/>
  <c r="J53" i="72"/>
  <c r="K53" i="72"/>
  <c r="L53" i="72"/>
  <c r="M53" i="72"/>
  <c r="N53" i="72"/>
  <c r="O53" i="72"/>
  <c r="P53" i="72"/>
  <c r="Q53" i="72"/>
  <c r="R53" i="72"/>
  <c r="S53" i="72"/>
  <c r="T53" i="72"/>
  <c r="U53" i="72"/>
  <c r="V53" i="72"/>
  <c r="W53" i="72"/>
  <c r="X53" i="72"/>
  <c r="Y53" i="72"/>
  <c r="Z53" i="72"/>
  <c r="AA53" i="72"/>
  <c r="A54" i="72"/>
  <c r="B54" i="72"/>
  <c r="C54" i="72"/>
  <c r="D54" i="72"/>
  <c r="E54" i="72"/>
  <c r="F54" i="72"/>
  <c r="G54" i="72"/>
  <c r="H54" i="72"/>
  <c r="I54" i="72"/>
  <c r="J54" i="72"/>
  <c r="K54" i="72"/>
  <c r="L54" i="72"/>
  <c r="M54" i="72"/>
  <c r="N54" i="72"/>
  <c r="O54" i="72"/>
  <c r="P54" i="72"/>
  <c r="Q54" i="72"/>
  <c r="R54" i="72"/>
  <c r="S54" i="72"/>
  <c r="T54" i="72"/>
  <c r="U54" i="72"/>
  <c r="V54" i="72"/>
  <c r="W54" i="72"/>
  <c r="X54" i="72"/>
  <c r="Y54" i="72"/>
  <c r="Z54" i="72"/>
  <c r="AA54" i="72"/>
  <c r="A55" i="72"/>
  <c r="B55" i="72"/>
  <c r="C55" i="72"/>
  <c r="D55" i="72"/>
  <c r="E55" i="72"/>
  <c r="F55" i="72"/>
  <c r="G55" i="72"/>
  <c r="H55" i="72"/>
  <c r="I55" i="72"/>
  <c r="J55" i="72"/>
  <c r="K55" i="72"/>
  <c r="L55" i="72"/>
  <c r="M55" i="72"/>
  <c r="N55" i="72"/>
  <c r="O55" i="72"/>
  <c r="P55" i="72"/>
  <c r="Q55" i="72"/>
  <c r="R55" i="72"/>
  <c r="S55" i="72"/>
  <c r="T55" i="72"/>
  <c r="U55" i="72"/>
  <c r="V55" i="72"/>
  <c r="W55" i="72"/>
  <c r="X55" i="72"/>
  <c r="Y55" i="72"/>
  <c r="Z55" i="72"/>
  <c r="AA55" i="72"/>
  <c r="A56" i="72"/>
  <c r="B56" i="72"/>
  <c r="C56" i="72"/>
  <c r="D56" i="72"/>
  <c r="E56" i="72"/>
  <c r="F56" i="72"/>
  <c r="G56" i="72"/>
  <c r="H56" i="72"/>
  <c r="I56" i="72"/>
  <c r="J56" i="72"/>
  <c r="K56" i="72"/>
  <c r="L56" i="72"/>
  <c r="M56" i="72"/>
  <c r="N56" i="72"/>
  <c r="O56" i="72"/>
  <c r="P56" i="72"/>
  <c r="Q56" i="72"/>
  <c r="R56" i="72"/>
  <c r="S56" i="72"/>
  <c r="T56" i="72"/>
  <c r="U56" i="72"/>
  <c r="V56" i="72"/>
  <c r="W56" i="72"/>
  <c r="X56" i="72"/>
  <c r="Y56" i="72"/>
  <c r="Z56" i="72"/>
  <c r="AA56" i="72"/>
  <c r="A57" i="72"/>
  <c r="B57" i="72"/>
  <c r="C57" i="72"/>
  <c r="U57" i="72"/>
  <c r="V57" i="72"/>
  <c r="W57" i="72"/>
  <c r="X57" i="72"/>
  <c r="AA57" i="72"/>
  <c r="A58" i="72"/>
  <c r="B58" i="72"/>
  <c r="C58" i="72"/>
  <c r="U58" i="72"/>
  <c r="V58" i="72"/>
  <c r="W58" i="72"/>
  <c r="X58" i="72"/>
  <c r="AA58" i="72"/>
  <c r="A59" i="72"/>
  <c r="B59" i="72"/>
  <c r="C59" i="72"/>
  <c r="U59" i="72"/>
  <c r="V59" i="72"/>
  <c r="W59" i="72"/>
  <c r="X59" i="72"/>
  <c r="AA59" i="72"/>
  <c r="A60" i="72"/>
  <c r="B60" i="72"/>
  <c r="C60" i="72"/>
  <c r="U60" i="72"/>
  <c r="V60" i="72"/>
  <c r="W60" i="72"/>
  <c r="X60" i="72"/>
  <c r="AA60" i="72"/>
  <c r="A61" i="72"/>
  <c r="B61" i="72"/>
  <c r="C61" i="72"/>
  <c r="U61" i="72"/>
  <c r="V61" i="72"/>
  <c r="W61" i="72"/>
  <c r="X61" i="72"/>
  <c r="AA61" i="72"/>
  <c r="A62" i="72"/>
  <c r="B62" i="72"/>
  <c r="C62" i="72"/>
  <c r="U62" i="72"/>
  <c r="V62" i="72"/>
  <c r="W62" i="72"/>
  <c r="X62" i="72"/>
  <c r="AA62" i="72"/>
  <c r="A63" i="72"/>
  <c r="B63" i="72"/>
  <c r="C63" i="72"/>
  <c r="U63" i="72"/>
  <c r="V63" i="72"/>
  <c r="W63" i="72"/>
  <c r="X63" i="72"/>
  <c r="AA63" i="72"/>
  <c r="A64" i="72"/>
  <c r="B64" i="72"/>
  <c r="C64" i="72"/>
  <c r="U64" i="72"/>
  <c r="V64" i="72"/>
  <c r="W64" i="72"/>
  <c r="X64" i="72"/>
  <c r="AA64" i="72"/>
  <c r="A65" i="72"/>
  <c r="B65" i="72"/>
  <c r="C65" i="72"/>
  <c r="U65" i="72"/>
  <c r="V65" i="72"/>
  <c r="W65" i="72"/>
  <c r="X65" i="72"/>
  <c r="AA65" i="72"/>
  <c r="A66" i="72"/>
  <c r="B66" i="72"/>
  <c r="C66" i="72"/>
  <c r="U66" i="72"/>
  <c r="V66" i="72"/>
  <c r="W66" i="72"/>
  <c r="X66" i="72"/>
  <c r="AA66" i="72"/>
  <c r="A67" i="72"/>
  <c r="B67" i="72"/>
  <c r="C67" i="72"/>
  <c r="U67" i="72"/>
  <c r="V67" i="72"/>
  <c r="W67" i="72"/>
  <c r="X67" i="72"/>
  <c r="AA67" i="72"/>
  <c r="A68" i="72"/>
  <c r="B68" i="72"/>
  <c r="C68" i="72"/>
  <c r="U68" i="72"/>
  <c r="V68" i="72"/>
  <c r="W68" i="72"/>
  <c r="X68" i="72"/>
  <c r="AA68" i="72"/>
  <c r="A69" i="72"/>
  <c r="B69" i="72"/>
  <c r="C69" i="72"/>
  <c r="D69" i="72"/>
  <c r="E69" i="72"/>
  <c r="F69" i="72"/>
  <c r="G69" i="72"/>
  <c r="H69" i="72"/>
  <c r="I69" i="72"/>
  <c r="J69" i="72"/>
  <c r="K69" i="72"/>
  <c r="L69" i="72"/>
  <c r="M69" i="72"/>
  <c r="N69" i="72"/>
  <c r="O69" i="72"/>
  <c r="P69" i="72"/>
  <c r="Q69" i="72"/>
  <c r="R69" i="72"/>
  <c r="S69" i="72"/>
  <c r="T69" i="72"/>
  <c r="U69" i="72"/>
  <c r="V69" i="72"/>
  <c r="W69" i="72"/>
  <c r="X69" i="72"/>
  <c r="Y69" i="72"/>
  <c r="Z69" i="72"/>
  <c r="AA69" i="72"/>
  <c r="A70" i="72"/>
  <c r="B70" i="72"/>
  <c r="C70" i="72"/>
  <c r="U70" i="72"/>
  <c r="V70" i="72"/>
  <c r="W70" i="72"/>
  <c r="X70" i="72"/>
  <c r="AA70" i="72"/>
  <c r="A71" i="72"/>
  <c r="B71" i="72"/>
  <c r="C71" i="72"/>
  <c r="U71" i="72"/>
  <c r="V71" i="72"/>
  <c r="W71" i="72"/>
  <c r="X71" i="72"/>
  <c r="AA71" i="72"/>
  <c r="A72" i="72"/>
  <c r="B72" i="72"/>
  <c r="C72" i="72"/>
  <c r="D72" i="72"/>
  <c r="E72" i="72"/>
  <c r="F72" i="72"/>
  <c r="G72" i="72"/>
  <c r="H72" i="72"/>
  <c r="I72" i="72"/>
  <c r="J72" i="72"/>
  <c r="K72" i="72"/>
  <c r="L72" i="72"/>
  <c r="M72" i="72"/>
  <c r="N72" i="72"/>
  <c r="O72" i="72"/>
  <c r="P72" i="72"/>
  <c r="Q72" i="72"/>
  <c r="R72" i="72"/>
  <c r="S72" i="72"/>
  <c r="T72" i="72"/>
  <c r="U72" i="72"/>
  <c r="V72" i="72"/>
  <c r="W72" i="72"/>
  <c r="X72" i="72"/>
  <c r="Y72" i="72"/>
  <c r="Z72" i="72"/>
  <c r="AA72" i="72"/>
  <c r="A73" i="72"/>
  <c r="B73" i="72"/>
  <c r="C73" i="72"/>
  <c r="U73" i="72"/>
  <c r="V73" i="72"/>
  <c r="W73" i="72"/>
  <c r="X73" i="72"/>
  <c r="AA73" i="72"/>
  <c r="A74" i="72"/>
  <c r="B74" i="72"/>
  <c r="C74" i="72"/>
  <c r="U74" i="72"/>
  <c r="V74" i="72"/>
  <c r="W74" i="72"/>
  <c r="X74" i="72"/>
  <c r="AA74" i="72"/>
  <c r="A75" i="72"/>
  <c r="B75" i="72"/>
  <c r="C75" i="72"/>
  <c r="U75" i="72"/>
  <c r="V75" i="72"/>
  <c r="W75" i="72"/>
  <c r="X75" i="72"/>
  <c r="AA75" i="72"/>
  <c r="A76" i="72"/>
  <c r="B76" i="72"/>
  <c r="C76" i="72"/>
  <c r="U76" i="72"/>
  <c r="V76" i="72"/>
  <c r="W76" i="72"/>
  <c r="X76" i="72"/>
  <c r="AA76" i="72"/>
  <c r="A77" i="72"/>
  <c r="B77" i="72"/>
  <c r="C77" i="72"/>
  <c r="Q77" i="72"/>
  <c r="U77" i="72"/>
  <c r="V77" i="72"/>
  <c r="W77" i="72"/>
  <c r="X77" i="72"/>
  <c r="AA77" i="72"/>
  <c r="A78" i="72"/>
  <c r="B78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O78" i="72"/>
  <c r="P78" i="72"/>
  <c r="Q78" i="72"/>
  <c r="R78" i="72"/>
  <c r="S78" i="72"/>
  <c r="T78" i="72"/>
  <c r="U78" i="72"/>
  <c r="V78" i="72"/>
  <c r="W78" i="72"/>
  <c r="X78" i="72"/>
  <c r="Y78" i="72"/>
  <c r="Z78" i="72"/>
  <c r="AA78" i="72"/>
  <c r="A79" i="72"/>
  <c r="B79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O79" i="72"/>
  <c r="P79" i="72"/>
  <c r="Q79" i="72"/>
  <c r="R79" i="72"/>
  <c r="S79" i="72"/>
  <c r="T79" i="72"/>
  <c r="U79" i="72"/>
  <c r="V79" i="72"/>
  <c r="W79" i="72"/>
  <c r="X79" i="72"/>
  <c r="Y79" i="72"/>
  <c r="Z79" i="72"/>
  <c r="AA79" i="72"/>
  <c r="A80" i="72"/>
  <c r="B80" i="72"/>
  <c r="C80" i="72"/>
  <c r="D80" i="72"/>
  <c r="E80" i="72"/>
  <c r="F80" i="72"/>
  <c r="G80" i="72"/>
  <c r="H80" i="72"/>
  <c r="I80" i="72"/>
  <c r="J80" i="72"/>
  <c r="K80" i="72"/>
  <c r="L80" i="72"/>
  <c r="M80" i="72"/>
  <c r="N80" i="72"/>
  <c r="O80" i="72"/>
  <c r="P80" i="72"/>
  <c r="Q80" i="72"/>
  <c r="R80" i="72"/>
  <c r="S80" i="72"/>
  <c r="T80" i="72"/>
  <c r="U80" i="72"/>
  <c r="V80" i="72"/>
  <c r="W80" i="72"/>
  <c r="X80" i="72"/>
  <c r="Y80" i="72"/>
  <c r="Z80" i="72"/>
  <c r="AA80" i="72"/>
  <c r="A81" i="72"/>
  <c r="B81" i="72"/>
  <c r="C81" i="72"/>
  <c r="D81" i="72"/>
  <c r="E81" i="72"/>
  <c r="F81" i="72"/>
  <c r="G81" i="72"/>
  <c r="H81" i="72"/>
  <c r="I81" i="72"/>
  <c r="J81" i="72"/>
  <c r="K81" i="72"/>
  <c r="L81" i="72"/>
  <c r="M81" i="72"/>
  <c r="N81" i="72"/>
  <c r="O81" i="72"/>
  <c r="P81" i="72"/>
  <c r="Q81" i="72"/>
  <c r="R81" i="72"/>
  <c r="S81" i="72"/>
  <c r="T81" i="72"/>
  <c r="U81" i="72"/>
  <c r="V81" i="72"/>
  <c r="W81" i="72"/>
  <c r="X81" i="72"/>
  <c r="Y81" i="72"/>
  <c r="Z81" i="72"/>
  <c r="AA81" i="72"/>
  <c r="A82" i="72"/>
  <c r="B82" i="72"/>
  <c r="C82" i="72"/>
  <c r="A83" i="72"/>
  <c r="B83" i="72"/>
  <c r="C83" i="72"/>
  <c r="D83" i="72"/>
  <c r="E83" i="72"/>
  <c r="F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84" i="72"/>
  <c r="B84" i="72"/>
  <c r="C84" i="72"/>
  <c r="A85" i="72"/>
  <c r="B85" i="72"/>
  <c r="C85" i="72"/>
  <c r="A86" i="72"/>
  <c r="B86" i="72"/>
  <c r="C86" i="72"/>
  <c r="A87" i="72"/>
  <c r="B87" i="72"/>
  <c r="C87" i="72"/>
  <c r="A88" i="72"/>
  <c r="B88" i="72"/>
  <c r="C88" i="72"/>
  <c r="A89" i="72"/>
  <c r="B89" i="72"/>
  <c r="C89" i="72"/>
  <c r="A90" i="72"/>
  <c r="B90" i="72"/>
  <c r="C90" i="72"/>
  <c r="A91" i="72"/>
  <c r="B91" i="72"/>
  <c r="C91" i="72"/>
  <c r="A92" i="72"/>
  <c r="B92" i="72"/>
  <c r="C92" i="72"/>
  <c r="A93" i="72"/>
  <c r="B93" i="72"/>
  <c r="C93" i="72"/>
  <c r="A94" i="72"/>
  <c r="B94" i="72"/>
  <c r="C94" i="72"/>
  <c r="A95" i="72"/>
  <c r="B95" i="72"/>
  <c r="C95" i="72"/>
  <c r="A96" i="72"/>
  <c r="B96" i="72"/>
  <c r="C96" i="72"/>
  <c r="D96" i="72"/>
  <c r="A97" i="72"/>
  <c r="C97" i="72"/>
  <c r="X97" i="72"/>
  <c r="Y97" i="72"/>
  <c r="Z97" i="72"/>
  <c r="AA97" i="72"/>
  <c r="A98" i="72"/>
  <c r="B98" i="72"/>
  <c r="C98" i="72"/>
  <c r="S98" i="72"/>
  <c r="T98" i="72"/>
  <c r="U98" i="72"/>
  <c r="V98" i="72"/>
  <c r="W98" i="72"/>
  <c r="A99" i="72"/>
  <c r="B99" i="72"/>
  <c r="C99" i="72"/>
  <c r="S99" i="72"/>
  <c r="T99" i="72"/>
  <c r="U99" i="72"/>
  <c r="V99" i="72"/>
  <c r="W99" i="72"/>
  <c r="A100" i="72"/>
  <c r="B100" i="72"/>
  <c r="C100" i="72"/>
  <c r="S100" i="72"/>
  <c r="T100" i="72"/>
  <c r="U100" i="72"/>
  <c r="V100" i="72"/>
  <c r="W100" i="72"/>
  <c r="A101" i="72"/>
  <c r="B101" i="72"/>
  <c r="C101" i="72"/>
  <c r="S101" i="72"/>
  <c r="T101" i="72"/>
  <c r="U101" i="72"/>
  <c r="V101" i="72"/>
  <c r="W101" i="72"/>
  <c r="A102" i="72"/>
  <c r="B102" i="72"/>
  <c r="C102" i="72"/>
  <c r="S102" i="72"/>
  <c r="T102" i="72"/>
  <c r="U102" i="72"/>
  <c r="V102" i="72"/>
  <c r="W102" i="72"/>
  <c r="A103" i="72"/>
  <c r="B103" i="72"/>
  <c r="C103" i="72"/>
  <c r="S103" i="72"/>
  <c r="T103" i="72"/>
  <c r="U103" i="72"/>
  <c r="V103" i="72"/>
  <c r="W103" i="72"/>
  <c r="A104" i="72"/>
  <c r="B104" i="72"/>
  <c r="C104" i="72"/>
  <c r="S104" i="72"/>
  <c r="T104" i="72"/>
  <c r="U104" i="72"/>
  <c r="V104" i="72"/>
  <c r="W104" i="72"/>
  <c r="A105" i="72"/>
  <c r="B105" i="72"/>
  <c r="C105" i="72"/>
  <c r="S105" i="72"/>
  <c r="T105" i="72"/>
  <c r="U105" i="72"/>
  <c r="V105" i="72"/>
  <c r="W105" i="72"/>
  <c r="A106" i="72"/>
  <c r="B106" i="72"/>
  <c r="C106" i="72"/>
  <c r="D106" i="72"/>
  <c r="E106" i="72"/>
  <c r="F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A107" i="72"/>
  <c r="B107" i="72"/>
  <c r="C107" i="72"/>
  <c r="S107" i="72"/>
  <c r="T107" i="72"/>
  <c r="U107" i="72"/>
  <c r="V107" i="72"/>
  <c r="W107" i="72"/>
  <c r="A108" i="72"/>
  <c r="B108" i="72"/>
  <c r="C108" i="72"/>
  <c r="S108" i="72"/>
  <c r="T108" i="72"/>
  <c r="U108" i="72"/>
  <c r="V108" i="72"/>
  <c r="W108" i="72"/>
  <c r="A109" i="72"/>
  <c r="B109" i="72"/>
  <c r="C109" i="72"/>
  <c r="S109" i="72"/>
  <c r="T109" i="72"/>
  <c r="U109" i="72"/>
  <c r="V109" i="72"/>
  <c r="W109" i="72"/>
  <c r="A110" i="72"/>
  <c r="B110" i="72"/>
  <c r="C110" i="72"/>
  <c r="S110" i="72"/>
  <c r="T110" i="72"/>
  <c r="U110" i="72"/>
  <c r="V110" i="72"/>
  <c r="W110" i="72"/>
  <c r="A111" i="72"/>
  <c r="B111" i="72"/>
  <c r="C111" i="72"/>
  <c r="S111" i="72"/>
  <c r="T111" i="72"/>
  <c r="U111" i="72"/>
  <c r="V111" i="72"/>
  <c r="W111" i="72"/>
  <c r="A112" i="72"/>
  <c r="B112" i="72"/>
  <c r="C112" i="72"/>
  <c r="S112" i="72"/>
  <c r="T112" i="72"/>
  <c r="U112" i="72"/>
  <c r="V112" i="72"/>
  <c r="W112" i="72"/>
  <c r="A113" i="72"/>
  <c r="B113" i="72"/>
  <c r="C113" i="72"/>
  <c r="D113" i="72"/>
  <c r="E113" i="72"/>
  <c r="F113" i="72"/>
  <c r="G113" i="72"/>
  <c r="H113" i="72"/>
  <c r="I113" i="72"/>
  <c r="J113" i="72"/>
  <c r="K113" i="72"/>
  <c r="L113" i="72"/>
  <c r="M113" i="72"/>
  <c r="N113" i="72"/>
  <c r="O113" i="72"/>
  <c r="P113" i="72"/>
  <c r="Q113" i="72"/>
  <c r="R113" i="72"/>
  <c r="S113" i="72"/>
  <c r="T113" i="72"/>
  <c r="U113" i="72"/>
  <c r="V113" i="72"/>
  <c r="W113" i="72"/>
  <c r="X113" i="72"/>
  <c r="Y113" i="72"/>
  <c r="A114" i="72"/>
  <c r="B114" i="72"/>
  <c r="C114" i="72"/>
  <c r="S114" i="72"/>
  <c r="T114" i="72"/>
  <c r="U114" i="72"/>
  <c r="V114" i="72"/>
  <c r="W114" i="72"/>
  <c r="A115" i="72"/>
  <c r="B115" i="72"/>
  <c r="C115" i="72"/>
  <c r="E115" i="72"/>
  <c r="S115" i="72"/>
  <c r="T115" i="72"/>
  <c r="U115" i="72"/>
  <c r="V115" i="72"/>
  <c r="W115" i="72"/>
  <c r="A116" i="72"/>
  <c r="B116" i="72"/>
  <c r="C116" i="72"/>
  <c r="D116" i="72"/>
  <c r="E116" i="72"/>
  <c r="F116" i="72"/>
  <c r="G116" i="72"/>
  <c r="H116" i="72"/>
  <c r="I116" i="72"/>
  <c r="J116" i="72"/>
  <c r="K116" i="72"/>
  <c r="L116" i="72"/>
  <c r="M116" i="72"/>
  <c r="N116" i="72"/>
  <c r="O116" i="72"/>
  <c r="P116" i="72"/>
  <c r="Q116" i="72"/>
  <c r="R116" i="72"/>
  <c r="S116" i="72"/>
  <c r="T116" i="72"/>
  <c r="U116" i="72"/>
  <c r="V116" i="72"/>
  <c r="W116" i="72"/>
  <c r="X116" i="72"/>
  <c r="Y116" i="72"/>
  <c r="A117" i="72"/>
  <c r="B117" i="72"/>
  <c r="C117" i="72"/>
  <c r="S117" i="72"/>
  <c r="T117" i="72"/>
  <c r="U117" i="72"/>
  <c r="V117" i="72"/>
  <c r="W117" i="72"/>
  <c r="A118" i="72"/>
  <c r="B118" i="72"/>
  <c r="C118" i="72"/>
  <c r="S118" i="72"/>
  <c r="T118" i="72"/>
  <c r="U118" i="72"/>
  <c r="V118" i="72"/>
  <c r="W118" i="72"/>
  <c r="A119" i="72"/>
  <c r="B119" i="72"/>
  <c r="C119" i="72"/>
  <c r="S119" i="72"/>
  <c r="T119" i="72"/>
  <c r="U119" i="72"/>
  <c r="V119" i="72"/>
  <c r="W119" i="72"/>
  <c r="A120" i="72"/>
  <c r="B120" i="72"/>
  <c r="C120" i="72"/>
  <c r="D120" i="72"/>
  <c r="E120" i="72"/>
  <c r="F120" i="72"/>
  <c r="G120" i="72"/>
  <c r="H120" i="72"/>
  <c r="I120" i="72"/>
  <c r="J120" i="72"/>
  <c r="K120" i="72"/>
  <c r="L120" i="72"/>
  <c r="M120" i="72"/>
  <c r="N120" i="72"/>
  <c r="O120" i="72"/>
  <c r="P120" i="72"/>
  <c r="Q120" i="72"/>
  <c r="R120" i="72"/>
  <c r="S120" i="72"/>
  <c r="T120" i="72"/>
  <c r="U120" i="72"/>
  <c r="V120" i="72"/>
  <c r="W120" i="72"/>
  <c r="X120" i="72"/>
  <c r="Y120" i="72"/>
  <c r="A121" i="72"/>
  <c r="B121" i="72"/>
  <c r="C121" i="72"/>
  <c r="S121" i="72"/>
  <c r="T121" i="72"/>
  <c r="U121" i="72"/>
  <c r="V121" i="72"/>
  <c r="W121" i="72"/>
  <c r="A122" i="72"/>
  <c r="B122" i="72"/>
  <c r="C122" i="72"/>
  <c r="S122" i="72"/>
  <c r="T122" i="72"/>
  <c r="U122" i="72"/>
  <c r="V122" i="72"/>
  <c r="W122" i="72"/>
  <c r="A123" i="72"/>
  <c r="B123" i="72"/>
  <c r="C123" i="72"/>
  <c r="S123" i="72"/>
  <c r="T123" i="72"/>
  <c r="U123" i="72"/>
  <c r="V123" i="72"/>
  <c r="W123" i="72"/>
  <c r="A124" i="72"/>
  <c r="B124" i="72"/>
  <c r="C124" i="72"/>
  <c r="S124" i="72"/>
  <c r="T124" i="72"/>
  <c r="U124" i="72"/>
  <c r="V124" i="72"/>
  <c r="W124" i="72"/>
  <c r="A125" i="72"/>
  <c r="B125" i="72"/>
  <c r="C125" i="72"/>
  <c r="S125" i="72"/>
  <c r="T125" i="72"/>
  <c r="U125" i="72"/>
  <c r="V125" i="72"/>
  <c r="W125" i="72"/>
  <c r="A126" i="72"/>
  <c r="B126" i="72"/>
  <c r="C126" i="72"/>
  <c r="S126" i="72"/>
  <c r="T126" i="72"/>
  <c r="U126" i="72"/>
  <c r="V126" i="72"/>
  <c r="W126" i="72"/>
  <c r="A127" i="72"/>
  <c r="B127" i="72"/>
  <c r="C127" i="72"/>
  <c r="S127" i="72"/>
  <c r="T127" i="72"/>
  <c r="U127" i="72"/>
  <c r="V127" i="72"/>
  <c r="W127" i="72"/>
  <c r="A128" i="72"/>
  <c r="B128" i="72"/>
  <c r="C128" i="72"/>
  <c r="D128" i="72"/>
  <c r="E128" i="72"/>
  <c r="F128" i="72"/>
  <c r="G128" i="72"/>
  <c r="H128" i="72"/>
  <c r="I128" i="72"/>
  <c r="J128" i="72"/>
  <c r="K128" i="72"/>
  <c r="L128" i="72"/>
  <c r="M128" i="72"/>
  <c r="N128" i="72"/>
  <c r="O128" i="72"/>
  <c r="P128" i="72"/>
  <c r="Q128" i="72"/>
  <c r="R128" i="72"/>
  <c r="S128" i="72"/>
  <c r="T128" i="72"/>
  <c r="U128" i="72"/>
  <c r="V128" i="72"/>
  <c r="W128" i="72"/>
  <c r="X128" i="72"/>
  <c r="Y128" i="72"/>
  <c r="A129" i="72"/>
  <c r="B129" i="72"/>
  <c r="C129" i="72"/>
  <c r="E129" i="72"/>
  <c r="S129" i="72"/>
  <c r="T129" i="72"/>
  <c r="U129" i="72"/>
  <c r="V129" i="72"/>
  <c r="W129" i="72"/>
  <c r="A130" i="72"/>
  <c r="B130" i="72"/>
  <c r="C130" i="72"/>
  <c r="E130" i="72"/>
  <c r="S130" i="72"/>
  <c r="T130" i="72"/>
  <c r="U130" i="72"/>
  <c r="V130" i="72"/>
  <c r="W130" i="72"/>
  <c r="A131" i="72"/>
  <c r="B131" i="72"/>
  <c r="C131" i="72"/>
  <c r="E131" i="72"/>
  <c r="S131" i="72"/>
  <c r="T131" i="72"/>
  <c r="U131" i="72"/>
  <c r="V131" i="72"/>
  <c r="W131" i="72"/>
  <c r="A132" i="72"/>
  <c r="B132" i="72"/>
  <c r="C132" i="72"/>
  <c r="S132" i="72"/>
  <c r="T132" i="72"/>
  <c r="U132" i="72"/>
  <c r="V132" i="72"/>
  <c r="W132" i="72"/>
  <c r="A133" i="72"/>
  <c r="B133" i="72"/>
  <c r="C133" i="72"/>
  <c r="S133" i="72"/>
  <c r="T133" i="72"/>
  <c r="U133" i="72"/>
  <c r="V133" i="72"/>
  <c r="W133" i="72"/>
  <c r="A134" i="72"/>
  <c r="B134" i="72"/>
  <c r="C134" i="72"/>
  <c r="S134" i="72"/>
  <c r="T134" i="72"/>
  <c r="U134" i="72"/>
  <c r="V134" i="72"/>
  <c r="W134" i="72"/>
  <c r="A135" i="72"/>
  <c r="B135" i="72"/>
  <c r="C135" i="72"/>
  <c r="S135" i="72"/>
  <c r="T135" i="72"/>
  <c r="U135" i="72"/>
  <c r="V135" i="72"/>
  <c r="W135" i="72"/>
  <c r="A136" i="72"/>
  <c r="B136" i="72"/>
  <c r="C136" i="72"/>
  <c r="S136" i="72"/>
  <c r="T136" i="72"/>
  <c r="U136" i="72"/>
  <c r="V136" i="72"/>
  <c r="W136" i="72"/>
  <c r="A137" i="72"/>
  <c r="B137" i="72"/>
  <c r="C137" i="72"/>
  <c r="S137" i="72"/>
  <c r="T137" i="72"/>
  <c r="U137" i="72"/>
  <c r="V137" i="72"/>
  <c r="W137" i="72"/>
  <c r="A138" i="72"/>
  <c r="B138" i="72"/>
  <c r="C138" i="72"/>
  <c r="S138" i="72"/>
  <c r="T138" i="72"/>
  <c r="U138" i="72"/>
  <c r="V138" i="72"/>
  <c r="W138" i="72"/>
  <c r="A139" i="72"/>
  <c r="B139" i="72"/>
  <c r="C139" i="72"/>
  <c r="S139" i="72"/>
  <c r="T139" i="72"/>
  <c r="U139" i="72"/>
  <c r="V139" i="72"/>
  <c r="W139" i="72"/>
  <c r="A140" i="72"/>
  <c r="B140" i="72"/>
  <c r="C140" i="72"/>
  <c r="S140" i="72"/>
  <c r="T140" i="72"/>
  <c r="U140" i="72"/>
  <c r="V140" i="72"/>
  <c r="W140" i="72"/>
  <c r="A141" i="72"/>
  <c r="C141" i="72"/>
  <c r="S141" i="72"/>
  <c r="T141" i="72"/>
  <c r="U141" i="72"/>
  <c r="V141" i="72"/>
  <c r="W141" i="72"/>
  <c r="X141" i="72"/>
  <c r="Y141" i="72"/>
  <c r="A142" i="72"/>
  <c r="C142" i="72"/>
  <c r="S142" i="72"/>
  <c r="T142" i="72"/>
  <c r="U142" i="72"/>
  <c r="V142" i="72"/>
  <c r="W142" i="72"/>
  <c r="X142" i="72"/>
  <c r="Y142" i="72"/>
  <c r="A143" i="72"/>
  <c r="C143" i="72"/>
  <c r="S143" i="72"/>
  <c r="T143" i="72"/>
  <c r="U143" i="72"/>
  <c r="V143" i="72"/>
  <c r="W143" i="72"/>
  <c r="X143" i="72"/>
  <c r="Y143" i="72"/>
  <c r="A144" i="72"/>
  <c r="C144" i="72"/>
  <c r="S144" i="72"/>
  <c r="T144" i="72"/>
  <c r="U144" i="72"/>
  <c r="V144" i="72"/>
  <c r="W144" i="72"/>
  <c r="X144" i="72"/>
  <c r="Y144" i="72"/>
  <c r="A145" i="72"/>
  <c r="C145" i="72"/>
  <c r="S145" i="72"/>
  <c r="T145" i="72"/>
  <c r="U145" i="72"/>
  <c r="V145" i="72"/>
  <c r="W145" i="72"/>
  <c r="Y145" i="72"/>
  <c r="A146" i="72"/>
  <c r="B146" i="72"/>
  <c r="C146" i="72"/>
  <c r="D146" i="72"/>
  <c r="E146" i="72"/>
  <c r="F146" i="72"/>
  <c r="G146" i="72"/>
  <c r="H146" i="72"/>
  <c r="I146" i="72"/>
  <c r="J146" i="72"/>
  <c r="K146" i="72"/>
  <c r="L146" i="72"/>
  <c r="M146" i="72"/>
  <c r="N146" i="72"/>
  <c r="O146" i="72"/>
  <c r="P146" i="72"/>
  <c r="Q146" i="72"/>
  <c r="R146" i="72"/>
  <c r="S146" i="72"/>
  <c r="T146" i="72"/>
  <c r="U146" i="72"/>
  <c r="V146" i="72"/>
  <c r="W146" i="72"/>
  <c r="X146" i="72"/>
  <c r="Y146" i="72"/>
  <c r="A147" i="72"/>
  <c r="B147" i="72"/>
  <c r="C147" i="72"/>
  <c r="D147" i="72"/>
  <c r="E147" i="72"/>
  <c r="F147" i="72"/>
  <c r="G147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A148" i="72"/>
  <c r="B148" i="72"/>
  <c r="C148" i="72"/>
  <c r="D148" i="72"/>
  <c r="E148" i="72"/>
  <c r="F148" i="72"/>
  <c r="G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A149" i="72"/>
  <c r="B149" i="72"/>
  <c r="C149" i="72"/>
  <c r="D149" i="72"/>
  <c r="E149" i="72"/>
  <c r="F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A150" i="72"/>
  <c r="B150" i="72"/>
  <c r="C150" i="72"/>
  <c r="D150" i="72"/>
  <c r="E150" i="72"/>
  <c r="F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A151" i="72"/>
  <c r="B151" i="72"/>
  <c r="C151" i="72"/>
  <c r="D151" i="72"/>
  <c r="E151" i="72"/>
  <c r="F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A152" i="72"/>
  <c r="C152" i="72"/>
  <c r="S152" i="72"/>
  <c r="T152" i="72"/>
  <c r="U152" i="72"/>
  <c r="V152" i="72"/>
  <c r="W152" i="72"/>
  <c r="X152" i="72"/>
  <c r="Y152" i="72"/>
  <c r="A153" i="72"/>
  <c r="C153" i="72"/>
  <c r="S153" i="72"/>
  <c r="T153" i="72"/>
  <c r="U153" i="72"/>
  <c r="V153" i="72"/>
  <c r="W153" i="72"/>
  <c r="X153" i="72"/>
  <c r="Y153" i="72"/>
  <c r="A154" i="72"/>
  <c r="B154" i="72"/>
  <c r="C154" i="72"/>
  <c r="D154" i="72"/>
  <c r="E154" i="72"/>
  <c r="F154" i="72"/>
  <c r="G154" i="72"/>
  <c r="H154" i="72"/>
  <c r="I154" i="72"/>
  <c r="J154" i="72"/>
  <c r="K154" i="72"/>
  <c r="L154" i="72"/>
  <c r="M154" i="72"/>
  <c r="N154" i="72"/>
  <c r="O154" i="72"/>
  <c r="P154" i="72"/>
  <c r="Q154" i="72"/>
  <c r="R154" i="72"/>
  <c r="S154" i="72"/>
  <c r="T154" i="72"/>
  <c r="U154" i="72"/>
  <c r="V154" i="72"/>
  <c r="W154" i="72"/>
  <c r="X154" i="72"/>
  <c r="Y154" i="72"/>
  <c r="A155" i="72"/>
  <c r="B155" i="72"/>
  <c r="C155" i="72"/>
  <c r="D155" i="72"/>
  <c r="E155" i="72"/>
  <c r="F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A156" i="72"/>
  <c r="C156" i="72"/>
  <c r="S156" i="72"/>
  <c r="T156" i="72"/>
  <c r="U156" i="72"/>
  <c r="V156" i="72"/>
  <c r="W156" i="72"/>
  <c r="X156" i="72"/>
  <c r="Y156" i="72"/>
  <c r="A157" i="72"/>
  <c r="C157" i="72"/>
  <c r="S157" i="72"/>
  <c r="T157" i="72"/>
  <c r="U157" i="72"/>
  <c r="V157" i="72"/>
  <c r="W157" i="72"/>
  <c r="X157" i="72"/>
  <c r="Y157" i="72"/>
  <c r="A158" i="72"/>
  <c r="C158" i="72"/>
  <c r="S158" i="72"/>
  <c r="T158" i="72"/>
  <c r="U158" i="72"/>
  <c r="V158" i="72"/>
  <c r="W158" i="72"/>
  <c r="X158" i="72"/>
  <c r="Y158" i="72"/>
  <c r="A159" i="72"/>
  <c r="C159" i="72"/>
  <c r="S159" i="72"/>
  <c r="T159" i="72"/>
  <c r="U159" i="72"/>
  <c r="V159" i="72"/>
  <c r="W159" i="72"/>
  <c r="X159" i="72"/>
  <c r="Y159" i="72"/>
  <c r="A160" i="72"/>
  <c r="C160" i="72"/>
  <c r="S160" i="72"/>
  <c r="T160" i="72"/>
  <c r="U160" i="72"/>
  <c r="V160" i="72"/>
  <c r="W160" i="72"/>
  <c r="X160" i="72"/>
  <c r="Y160" i="72"/>
  <c r="A161" i="72"/>
  <c r="C161" i="72"/>
  <c r="E161" i="72"/>
  <c r="S161" i="72"/>
  <c r="T161" i="72"/>
  <c r="U161" i="72"/>
  <c r="V161" i="72"/>
  <c r="W161" i="72"/>
  <c r="X161" i="72"/>
  <c r="Y161" i="72"/>
  <c r="A162" i="72"/>
  <c r="C162" i="72"/>
  <c r="S162" i="72"/>
  <c r="T162" i="72"/>
  <c r="U162" i="72"/>
  <c r="V162" i="72"/>
  <c r="W162" i="72"/>
  <c r="X162" i="72"/>
  <c r="Y162" i="72"/>
  <c r="A163" i="72"/>
  <c r="C163" i="72"/>
  <c r="S163" i="72"/>
  <c r="T163" i="72"/>
  <c r="U163" i="72"/>
  <c r="V163" i="72"/>
  <c r="W163" i="72"/>
  <c r="X163" i="72"/>
  <c r="Y163" i="72"/>
  <c r="A164" i="72"/>
  <c r="B164" i="72"/>
  <c r="C164" i="72"/>
  <c r="D164" i="72"/>
  <c r="E164" i="72"/>
  <c r="F164" i="72"/>
  <c r="G164" i="72"/>
  <c r="H164" i="72"/>
  <c r="I164" i="72"/>
  <c r="J164" i="72"/>
  <c r="K164" i="72"/>
  <c r="L164" i="72"/>
  <c r="M164" i="72"/>
  <c r="N164" i="72"/>
  <c r="O164" i="72"/>
  <c r="P164" i="72"/>
  <c r="Q164" i="72"/>
  <c r="R164" i="72"/>
  <c r="S164" i="72"/>
  <c r="T164" i="72"/>
  <c r="U164" i="72"/>
  <c r="V164" i="72"/>
  <c r="W164" i="72"/>
  <c r="X164" i="72"/>
  <c r="Y164" i="72"/>
  <c r="A165" i="72"/>
  <c r="C165" i="72"/>
  <c r="S165" i="72"/>
  <c r="T165" i="72"/>
  <c r="U165" i="72"/>
  <c r="V165" i="72"/>
  <c r="W165" i="72"/>
  <c r="X165" i="72"/>
  <c r="Y165" i="72"/>
  <c r="A166" i="72"/>
  <c r="C166" i="72"/>
  <c r="E166" i="72"/>
  <c r="S166" i="72"/>
  <c r="T166" i="72"/>
  <c r="U166" i="72"/>
  <c r="V166" i="72"/>
  <c r="W166" i="72"/>
  <c r="X166" i="72"/>
  <c r="Y166" i="72"/>
  <c r="A167" i="72"/>
  <c r="B167" i="72"/>
  <c r="C167" i="72"/>
  <c r="D167" i="72"/>
  <c r="E167" i="72"/>
  <c r="F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A168" i="72"/>
  <c r="B168" i="72"/>
  <c r="C168" i="72"/>
  <c r="D168" i="72"/>
  <c r="E168" i="72"/>
  <c r="F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A169" i="72"/>
  <c r="B169" i="72"/>
  <c r="C169" i="72"/>
  <c r="D169" i="72"/>
  <c r="E169" i="72"/>
  <c r="F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A170" i="72"/>
  <c r="B170" i="72"/>
  <c r="C170" i="72"/>
  <c r="D170" i="72"/>
  <c r="E170" i="72"/>
  <c r="F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A171" i="72"/>
  <c r="B171" i="72"/>
  <c r="C171" i="72"/>
  <c r="D171" i="72"/>
  <c r="E171" i="72"/>
  <c r="F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A172" i="72"/>
  <c r="B172" i="72"/>
  <c r="C172" i="72"/>
  <c r="D172" i="72"/>
  <c r="E172" i="72"/>
  <c r="F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A173" i="72"/>
  <c r="B173" i="72"/>
  <c r="C173" i="72"/>
  <c r="D173" i="72"/>
  <c r="E173" i="72"/>
  <c r="F173" i="72"/>
  <c r="G173" i="72"/>
  <c r="H173" i="72"/>
  <c r="I173" i="72"/>
  <c r="J173" i="72"/>
  <c r="K173" i="72"/>
  <c r="L173" i="72"/>
  <c r="M173" i="72"/>
  <c r="N173" i="72"/>
  <c r="O173" i="72"/>
  <c r="P173" i="72"/>
  <c r="Q173" i="72"/>
  <c r="R173" i="72"/>
  <c r="S173" i="72"/>
  <c r="T173" i="72"/>
  <c r="U173" i="72"/>
  <c r="V173" i="72"/>
  <c r="W173" i="72"/>
  <c r="X173" i="72"/>
  <c r="Y173" i="72"/>
  <c r="A174" i="72"/>
  <c r="B174" i="72"/>
  <c r="C174" i="72"/>
  <c r="D174" i="72"/>
  <c r="E174" i="72"/>
  <c r="F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A175" i="72"/>
  <c r="B175" i="72"/>
  <c r="C175" i="72"/>
  <c r="D175" i="72"/>
  <c r="E175" i="72"/>
  <c r="F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A176" i="72"/>
  <c r="C176" i="72"/>
  <c r="Y176" i="72"/>
  <c r="A177" i="72"/>
  <c r="C177" i="72"/>
  <c r="Y177" i="72"/>
  <c r="A178" i="72"/>
  <c r="C178" i="72"/>
  <c r="Y178" i="72"/>
  <c r="A179" i="72"/>
  <c r="C179" i="72"/>
  <c r="Y179" i="72"/>
  <c r="A180" i="72"/>
  <c r="B180" i="72"/>
  <c r="C180" i="72"/>
  <c r="D180" i="72"/>
  <c r="E180" i="72"/>
  <c r="F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A181" i="72"/>
  <c r="B181" i="72"/>
  <c r="C181" i="72"/>
  <c r="D181" i="72"/>
  <c r="E181" i="72"/>
  <c r="F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A182" i="72"/>
  <c r="B182" i="72"/>
  <c r="C182" i="72"/>
  <c r="D182" i="72"/>
  <c r="E182" i="72"/>
  <c r="F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A183" i="72"/>
  <c r="C183" i="72"/>
  <c r="Y183" i="72"/>
  <c r="A184" i="72"/>
  <c r="B184" i="72"/>
  <c r="C184" i="72"/>
  <c r="E184" i="72"/>
  <c r="F184" i="72"/>
  <c r="R184" i="72"/>
  <c r="U184" i="72"/>
  <c r="V184" i="72"/>
  <c r="W184" i="72"/>
  <c r="X184" i="72"/>
  <c r="A185" i="72"/>
  <c r="B185" i="72"/>
  <c r="C185" i="72"/>
  <c r="R185" i="72"/>
  <c r="U185" i="72"/>
  <c r="V185" i="72"/>
  <c r="W185" i="72"/>
  <c r="X185" i="72"/>
  <c r="A186" i="72"/>
  <c r="B186" i="72"/>
  <c r="C186" i="72"/>
  <c r="R186" i="72"/>
  <c r="U186" i="72"/>
  <c r="V186" i="72"/>
  <c r="W186" i="72"/>
  <c r="X186" i="72"/>
  <c r="A187" i="72"/>
  <c r="B187" i="72"/>
  <c r="C187" i="72"/>
  <c r="R187" i="72"/>
  <c r="U187" i="72"/>
  <c r="V187" i="72"/>
  <c r="W187" i="72"/>
  <c r="X187" i="72"/>
  <c r="A188" i="72"/>
  <c r="B188" i="72"/>
  <c r="C188" i="72"/>
  <c r="E188" i="72"/>
  <c r="F188" i="72"/>
  <c r="R188" i="72"/>
  <c r="U188" i="72"/>
  <c r="V188" i="72"/>
  <c r="W188" i="72"/>
  <c r="X188" i="72"/>
  <c r="A189" i="72"/>
  <c r="B189" i="72"/>
  <c r="C189" i="72"/>
  <c r="E189" i="72"/>
  <c r="F189" i="72"/>
  <c r="R189" i="72"/>
  <c r="U189" i="72"/>
  <c r="V189" i="72"/>
  <c r="W189" i="72"/>
  <c r="X189" i="72"/>
  <c r="A190" i="72"/>
  <c r="B190" i="72"/>
  <c r="C190" i="72"/>
  <c r="R190" i="72"/>
  <c r="U190" i="72"/>
  <c r="V190" i="72"/>
  <c r="W190" i="72"/>
  <c r="X190" i="72"/>
  <c r="A191" i="72"/>
  <c r="B191" i="72"/>
  <c r="C191" i="72"/>
  <c r="R191" i="72"/>
  <c r="U191" i="72"/>
  <c r="V191" i="72"/>
  <c r="W191" i="72"/>
  <c r="X191" i="72"/>
  <c r="A192" i="72"/>
  <c r="B192" i="72"/>
  <c r="C192" i="72"/>
  <c r="AB192" i="72"/>
  <c r="A193" i="72"/>
  <c r="B193" i="72"/>
  <c r="C193" i="72"/>
  <c r="AA193" i="72"/>
  <c r="AB193" i="72"/>
  <c r="A194" i="72"/>
  <c r="B194" i="72"/>
  <c r="C194" i="72"/>
  <c r="AB194" i="72"/>
  <c r="A195" i="72"/>
  <c r="B195" i="72"/>
  <c r="C195" i="72"/>
  <c r="D195" i="72"/>
  <c r="E195" i="72"/>
  <c r="F195" i="72"/>
  <c r="G195" i="72"/>
  <c r="H195" i="72"/>
  <c r="I195" i="72"/>
  <c r="J195" i="72"/>
  <c r="K195" i="72"/>
  <c r="L195" i="72"/>
  <c r="M195" i="72"/>
  <c r="N195" i="72"/>
  <c r="O195" i="72"/>
  <c r="P195" i="72"/>
  <c r="Q195" i="72"/>
  <c r="R195" i="72"/>
  <c r="S195" i="72"/>
  <c r="T195" i="72"/>
  <c r="U195" i="72"/>
  <c r="V195" i="72"/>
  <c r="W195" i="72"/>
  <c r="X195" i="72"/>
  <c r="Y195" i="72"/>
  <c r="Z195" i="72"/>
  <c r="AA195" i="72"/>
  <c r="AB195" i="72"/>
  <c r="A196" i="72"/>
  <c r="B196" i="72"/>
  <c r="C196" i="72"/>
  <c r="AB196" i="72"/>
  <c r="A197" i="72"/>
  <c r="B197" i="72"/>
  <c r="C197" i="72"/>
  <c r="AB197" i="72"/>
  <c r="A198" i="72"/>
  <c r="B198" i="72"/>
  <c r="C198" i="72"/>
  <c r="AB198" i="72"/>
  <c r="A199" i="72"/>
  <c r="B199" i="72"/>
  <c r="C199" i="72"/>
  <c r="AB199" i="72"/>
  <c r="A200" i="72"/>
  <c r="B200" i="72"/>
  <c r="C200" i="72"/>
  <c r="AB200" i="72"/>
  <c r="A201" i="72"/>
  <c r="B201" i="72"/>
  <c r="C201" i="72"/>
  <c r="D201" i="72"/>
  <c r="E201" i="72"/>
  <c r="F201" i="72"/>
  <c r="G201" i="72"/>
  <c r="H201" i="72"/>
  <c r="I201" i="72"/>
  <c r="J201" i="72"/>
  <c r="K201" i="72"/>
  <c r="L201" i="72"/>
  <c r="M201" i="72"/>
  <c r="N201" i="72"/>
  <c r="O201" i="72"/>
  <c r="P201" i="72"/>
  <c r="Q201" i="72"/>
  <c r="R201" i="72"/>
  <c r="S201" i="72"/>
  <c r="T201" i="72"/>
  <c r="U201" i="72"/>
  <c r="V201" i="72"/>
  <c r="W201" i="72"/>
  <c r="X201" i="72"/>
  <c r="Y201" i="72"/>
  <c r="Z201" i="72"/>
  <c r="AA201" i="72"/>
  <c r="AB201" i="72"/>
  <c r="A202" i="72"/>
  <c r="B202" i="72"/>
  <c r="C202" i="72"/>
  <c r="D202" i="72"/>
  <c r="E202" i="72"/>
  <c r="F202" i="72"/>
  <c r="G202" i="72"/>
  <c r="H202" i="72"/>
  <c r="I202" i="72"/>
  <c r="J202" i="72"/>
  <c r="K202" i="72"/>
  <c r="L202" i="72"/>
  <c r="M202" i="72"/>
  <c r="N202" i="72"/>
  <c r="O202" i="72"/>
  <c r="P202" i="72"/>
  <c r="Q202" i="72"/>
  <c r="R202" i="72"/>
  <c r="S202" i="72"/>
  <c r="T202" i="72"/>
  <c r="U202" i="72"/>
  <c r="V202" i="72"/>
  <c r="W202" i="72"/>
  <c r="X202" i="72"/>
  <c r="Y202" i="72"/>
  <c r="Z202" i="72"/>
  <c r="AA202" i="72"/>
  <c r="AB202" i="72"/>
  <c r="A203" i="72"/>
  <c r="B203" i="72"/>
  <c r="C203" i="72"/>
  <c r="AB203" i="72"/>
  <c r="A204" i="72"/>
  <c r="B204" i="72"/>
  <c r="C204" i="72"/>
  <c r="AB204" i="72"/>
  <c r="A205" i="72"/>
  <c r="B205" i="72"/>
  <c r="C205" i="72"/>
  <c r="D205" i="72"/>
  <c r="E205" i="72"/>
  <c r="F205" i="72"/>
  <c r="G205" i="72"/>
  <c r="H205" i="72"/>
  <c r="I205" i="72"/>
  <c r="J205" i="72"/>
  <c r="K205" i="72"/>
  <c r="L205" i="72"/>
  <c r="M205" i="72"/>
  <c r="N205" i="72"/>
  <c r="O205" i="72"/>
  <c r="P205" i="72"/>
  <c r="Q205" i="72"/>
  <c r="R205" i="72"/>
  <c r="S205" i="72"/>
  <c r="T205" i="72"/>
  <c r="U205" i="72"/>
  <c r="V205" i="72"/>
  <c r="W205" i="72"/>
  <c r="X205" i="72"/>
  <c r="Y205" i="72"/>
  <c r="Z205" i="72"/>
  <c r="AA205" i="72"/>
  <c r="AB205" i="72"/>
  <c r="A206" i="72"/>
  <c r="C206" i="72"/>
  <c r="E206" i="72"/>
  <c r="Y206" i="72"/>
  <c r="Z206" i="72"/>
  <c r="AA206" i="72"/>
  <c r="AB206" i="72"/>
  <c r="A207" i="72"/>
  <c r="B207" i="72"/>
  <c r="C207" i="72"/>
  <c r="D207" i="72"/>
  <c r="E207" i="72"/>
  <c r="F207" i="72"/>
  <c r="G207" i="72"/>
  <c r="H207" i="72"/>
  <c r="I207" i="72"/>
  <c r="J207" i="72"/>
  <c r="K207" i="72"/>
  <c r="L207" i="72"/>
  <c r="M207" i="72"/>
  <c r="N207" i="72"/>
  <c r="O207" i="72"/>
  <c r="P207" i="72"/>
  <c r="Q207" i="72"/>
  <c r="R207" i="72"/>
  <c r="S207" i="72"/>
  <c r="T207" i="72"/>
  <c r="U207" i="72"/>
  <c r="V207" i="72"/>
  <c r="W207" i="72"/>
  <c r="X207" i="72"/>
  <c r="Y207" i="72"/>
  <c r="Z207" i="72"/>
  <c r="AA207" i="72"/>
  <c r="AB207" i="72"/>
  <c r="A208" i="72"/>
  <c r="B208" i="72"/>
  <c r="C208" i="72"/>
  <c r="D208" i="72"/>
  <c r="E208" i="72"/>
  <c r="F208" i="72"/>
  <c r="G208" i="72"/>
  <c r="H208" i="72"/>
  <c r="I208" i="72"/>
  <c r="J208" i="72"/>
  <c r="K208" i="72"/>
  <c r="L208" i="72"/>
  <c r="M208" i="72"/>
  <c r="N208" i="72"/>
  <c r="O208" i="72"/>
  <c r="P208" i="72"/>
  <c r="Q208" i="72"/>
  <c r="R208" i="72"/>
  <c r="S208" i="72"/>
  <c r="T208" i="72"/>
  <c r="U208" i="72"/>
  <c r="V208" i="72"/>
  <c r="W208" i="72"/>
  <c r="X208" i="72"/>
  <c r="Y208" i="72"/>
  <c r="Z208" i="72"/>
  <c r="AA208" i="72"/>
  <c r="AB208" i="72"/>
  <c r="A209" i="72"/>
  <c r="C209" i="72"/>
  <c r="E209" i="72"/>
  <c r="Y209" i="72"/>
  <c r="Z209" i="72"/>
  <c r="AA209" i="72"/>
  <c r="AB209" i="72"/>
  <c r="A210" i="72"/>
  <c r="B210" i="72"/>
  <c r="C210" i="72"/>
  <c r="D210" i="72"/>
  <c r="E210" i="72"/>
  <c r="F210" i="72"/>
  <c r="G210" i="72"/>
  <c r="H210" i="72"/>
  <c r="I210" i="72"/>
  <c r="J210" i="72"/>
  <c r="K210" i="72"/>
  <c r="L210" i="72"/>
  <c r="M210" i="72"/>
  <c r="N210" i="72"/>
  <c r="O210" i="72"/>
  <c r="P210" i="72"/>
  <c r="Q210" i="72"/>
  <c r="R210" i="72"/>
  <c r="S210" i="72"/>
  <c r="T210" i="72"/>
  <c r="U210" i="72"/>
  <c r="V210" i="72"/>
  <c r="W210" i="72"/>
  <c r="X210" i="72"/>
  <c r="Y210" i="72"/>
  <c r="Z210" i="72"/>
  <c r="AA210" i="72"/>
  <c r="AB210" i="72"/>
  <c r="A211" i="72"/>
  <c r="B211" i="72"/>
  <c r="C211" i="72"/>
  <c r="D211" i="72"/>
  <c r="E211" i="72"/>
  <c r="F211" i="72"/>
  <c r="G211" i="72"/>
  <c r="H211" i="72"/>
  <c r="I211" i="72"/>
  <c r="J211" i="72"/>
  <c r="K211" i="72"/>
  <c r="L211" i="72"/>
  <c r="M211" i="72"/>
  <c r="N211" i="72"/>
  <c r="O211" i="72"/>
  <c r="P211" i="72"/>
  <c r="Q211" i="72"/>
  <c r="R211" i="72"/>
  <c r="S211" i="72"/>
  <c r="T211" i="72"/>
  <c r="U211" i="72"/>
  <c r="V211" i="72"/>
  <c r="W211" i="72"/>
  <c r="X211" i="72"/>
  <c r="Y211" i="72"/>
  <c r="Z211" i="72"/>
  <c r="AA211" i="72"/>
  <c r="AB211" i="72"/>
  <c r="A212" i="72"/>
  <c r="B212" i="72"/>
  <c r="C212" i="72"/>
  <c r="D212" i="72"/>
  <c r="E212" i="72"/>
  <c r="F212" i="72"/>
  <c r="G212" i="72"/>
  <c r="H212" i="72"/>
  <c r="I212" i="72"/>
  <c r="J212" i="72"/>
  <c r="K212" i="72"/>
  <c r="L212" i="72"/>
  <c r="M212" i="72"/>
  <c r="N212" i="72"/>
  <c r="O212" i="72"/>
  <c r="P212" i="72"/>
  <c r="Q212" i="72"/>
  <c r="R212" i="72"/>
  <c r="S212" i="72"/>
  <c r="T212" i="72"/>
  <c r="U212" i="72"/>
  <c r="V212" i="72"/>
  <c r="W212" i="72"/>
  <c r="X212" i="72"/>
  <c r="Y212" i="72"/>
  <c r="Z212" i="72"/>
  <c r="AA212" i="72"/>
  <c r="AB212" i="72"/>
  <c r="A213" i="72"/>
  <c r="B213" i="72"/>
  <c r="C213" i="72"/>
  <c r="D213" i="72"/>
  <c r="E213" i="72"/>
  <c r="F213" i="72"/>
  <c r="G213" i="72"/>
  <c r="H213" i="72"/>
  <c r="I213" i="72"/>
  <c r="J213" i="72"/>
  <c r="K213" i="72"/>
  <c r="L213" i="72"/>
  <c r="M213" i="72"/>
  <c r="N213" i="72"/>
  <c r="O213" i="72"/>
  <c r="P213" i="72"/>
  <c r="Q213" i="72"/>
  <c r="R213" i="72"/>
  <c r="S213" i="72"/>
  <c r="T213" i="72"/>
  <c r="U213" i="72"/>
  <c r="V213" i="72"/>
  <c r="W213" i="72"/>
  <c r="X213" i="72"/>
  <c r="Y213" i="72"/>
  <c r="A214" i="72"/>
  <c r="B214" i="72"/>
  <c r="C214" i="72"/>
  <c r="D214" i="72"/>
  <c r="E214" i="72"/>
  <c r="F214" i="72"/>
  <c r="G214" i="72"/>
  <c r="H214" i="72"/>
  <c r="I214" i="72"/>
  <c r="J214" i="72"/>
  <c r="K214" i="72"/>
  <c r="L214" i="72"/>
  <c r="M214" i="72"/>
  <c r="N214" i="72"/>
  <c r="O214" i="72"/>
  <c r="P214" i="72"/>
  <c r="Q214" i="72"/>
  <c r="R214" i="72"/>
  <c r="S214" i="72"/>
  <c r="T214" i="72"/>
  <c r="U214" i="72"/>
  <c r="V214" i="72"/>
  <c r="W214" i="72"/>
  <c r="X214" i="72"/>
  <c r="Y214" i="72"/>
  <c r="A215" i="72"/>
  <c r="B215" i="72"/>
  <c r="C215" i="72"/>
  <c r="U215" i="72"/>
  <c r="V215" i="72"/>
  <c r="W215" i="72"/>
  <c r="A216" i="72"/>
  <c r="B216" i="72"/>
  <c r="C216" i="72"/>
  <c r="U216" i="72"/>
  <c r="V216" i="72"/>
  <c r="W216" i="72"/>
  <c r="A217" i="72"/>
  <c r="B217" i="72"/>
  <c r="C217" i="72"/>
  <c r="U217" i="72"/>
  <c r="V217" i="72"/>
  <c r="W217" i="72"/>
  <c r="A218" i="72"/>
  <c r="B218" i="72"/>
  <c r="C218" i="72"/>
  <c r="U218" i="72"/>
  <c r="V218" i="72"/>
  <c r="W218" i="72"/>
  <c r="A219" i="72"/>
  <c r="B219" i="72"/>
  <c r="C219" i="72"/>
  <c r="D219" i="72"/>
  <c r="E219" i="72"/>
  <c r="F219" i="72"/>
  <c r="G219" i="72"/>
  <c r="H219" i="72"/>
  <c r="I219" i="72"/>
  <c r="J219" i="72"/>
  <c r="K219" i="72"/>
  <c r="L219" i="72"/>
  <c r="M219" i="72"/>
  <c r="N219" i="72"/>
  <c r="O219" i="72"/>
  <c r="P219" i="72"/>
  <c r="Q219" i="72"/>
  <c r="R219" i="72"/>
  <c r="S219" i="72"/>
  <c r="T219" i="72"/>
  <c r="U219" i="72"/>
  <c r="V219" i="72"/>
  <c r="W219" i="72"/>
  <c r="X219" i="72"/>
  <c r="Y219" i="72"/>
  <c r="A220" i="72"/>
  <c r="B220" i="72"/>
  <c r="C220" i="72"/>
  <c r="D220" i="72"/>
  <c r="E220" i="72"/>
  <c r="F220" i="72"/>
  <c r="G220" i="72"/>
  <c r="H220" i="72"/>
  <c r="I220" i="72"/>
  <c r="J220" i="72"/>
  <c r="K220" i="72"/>
  <c r="L220" i="72"/>
  <c r="M220" i="72"/>
  <c r="N220" i="72"/>
  <c r="O220" i="72"/>
  <c r="P220" i="72"/>
  <c r="Q220" i="72"/>
  <c r="R220" i="72"/>
  <c r="S220" i="72"/>
  <c r="T220" i="72"/>
  <c r="U220" i="72"/>
  <c r="V220" i="72"/>
  <c r="W220" i="72"/>
  <c r="X220" i="72"/>
  <c r="Y220" i="72"/>
  <c r="A221" i="72"/>
  <c r="B221" i="72"/>
  <c r="C221" i="72"/>
  <c r="U221" i="72"/>
  <c r="V221" i="72"/>
  <c r="W221" i="72"/>
  <c r="A222" i="72"/>
  <c r="B222" i="72"/>
  <c r="C222" i="72"/>
  <c r="U222" i="72"/>
  <c r="V222" i="72"/>
  <c r="W222" i="72"/>
  <c r="A223" i="72"/>
  <c r="B223" i="72"/>
  <c r="C223" i="72"/>
  <c r="U223" i="72"/>
  <c r="V223" i="72"/>
  <c r="W223" i="72"/>
  <c r="A224" i="72"/>
  <c r="B224" i="72"/>
  <c r="C224" i="72"/>
  <c r="D224" i="72"/>
  <c r="E224" i="72"/>
  <c r="F224" i="72"/>
  <c r="G224" i="72"/>
  <c r="H224" i="72"/>
  <c r="I224" i="72"/>
  <c r="J224" i="72"/>
  <c r="K224" i="72"/>
  <c r="L224" i="72"/>
  <c r="M224" i="72"/>
  <c r="N224" i="72"/>
  <c r="O224" i="72"/>
  <c r="P224" i="72"/>
  <c r="Q224" i="72"/>
  <c r="R224" i="72"/>
  <c r="S224" i="72"/>
  <c r="T224" i="72"/>
  <c r="U224" i="72"/>
  <c r="V224" i="72"/>
  <c r="W224" i="72"/>
  <c r="X224" i="72"/>
  <c r="Y224" i="72"/>
  <c r="A225" i="72"/>
  <c r="B225" i="72"/>
  <c r="C225" i="72"/>
  <c r="U225" i="72"/>
  <c r="V225" i="72"/>
  <c r="W225" i="72"/>
  <c r="A226" i="72"/>
  <c r="B226" i="72"/>
  <c r="C226" i="72"/>
  <c r="D226" i="72"/>
  <c r="E226" i="72"/>
  <c r="F226" i="72"/>
  <c r="G226" i="72"/>
  <c r="H226" i="72"/>
  <c r="I226" i="72"/>
  <c r="J226" i="72"/>
  <c r="K226" i="72"/>
  <c r="L226" i="72"/>
  <c r="M226" i="72"/>
  <c r="N226" i="72"/>
  <c r="O226" i="72"/>
  <c r="P226" i="72"/>
  <c r="Q226" i="72"/>
  <c r="R226" i="72"/>
  <c r="S226" i="72"/>
  <c r="T226" i="72"/>
  <c r="U226" i="72"/>
  <c r="V226" i="72"/>
  <c r="W226" i="72"/>
  <c r="X226" i="72"/>
  <c r="Y226" i="72"/>
  <c r="A227" i="72"/>
  <c r="B227" i="72"/>
  <c r="C227" i="72"/>
  <c r="D227" i="72"/>
  <c r="E227" i="72"/>
  <c r="F227" i="72"/>
  <c r="G227" i="72"/>
  <c r="H227" i="72"/>
  <c r="I227" i="72"/>
  <c r="J227" i="72"/>
  <c r="K227" i="72"/>
  <c r="L227" i="72"/>
  <c r="M227" i="72"/>
  <c r="N227" i="72"/>
  <c r="O227" i="72"/>
  <c r="P227" i="72"/>
  <c r="Q227" i="72"/>
  <c r="R227" i="72"/>
  <c r="S227" i="72"/>
  <c r="T227" i="72"/>
  <c r="U227" i="72"/>
  <c r="V227" i="72"/>
  <c r="W227" i="72"/>
  <c r="X227" i="72"/>
  <c r="Y227" i="72"/>
  <c r="A228" i="72"/>
  <c r="C228" i="72"/>
  <c r="E228" i="72"/>
  <c r="U228" i="72"/>
  <c r="V228" i="72"/>
  <c r="W228" i="72"/>
  <c r="X228" i="72"/>
  <c r="Y228" i="72"/>
  <c r="A229" i="72"/>
  <c r="B229" i="72"/>
  <c r="C229" i="72"/>
  <c r="D229" i="72"/>
  <c r="E229" i="72"/>
  <c r="F229" i="72"/>
  <c r="G229" i="72"/>
  <c r="H229" i="72"/>
  <c r="I229" i="72"/>
  <c r="J229" i="72"/>
  <c r="K229" i="72"/>
  <c r="L229" i="72"/>
  <c r="M229" i="72"/>
  <c r="N229" i="72"/>
  <c r="O229" i="72"/>
  <c r="P229" i="72"/>
  <c r="Q229" i="72"/>
  <c r="R229" i="72"/>
  <c r="S229" i="72"/>
  <c r="T229" i="72"/>
  <c r="U229" i="72"/>
  <c r="V229" i="72"/>
  <c r="W229" i="72"/>
  <c r="X229" i="72"/>
  <c r="Y229" i="72"/>
  <c r="A230" i="72"/>
  <c r="C230" i="72"/>
  <c r="U230" i="72"/>
  <c r="V230" i="72"/>
  <c r="W230" i="72"/>
  <c r="X230" i="72"/>
  <c r="Y230" i="72"/>
  <c r="A231" i="72"/>
  <c r="C231" i="72"/>
  <c r="U231" i="72"/>
  <c r="V231" i="72"/>
  <c r="W231" i="72"/>
  <c r="X231" i="72"/>
  <c r="Y231" i="72"/>
  <c r="A232" i="72"/>
  <c r="B232" i="72"/>
  <c r="C232" i="72"/>
  <c r="D232" i="72"/>
  <c r="E232" i="72"/>
  <c r="F232" i="72"/>
  <c r="G232" i="72"/>
  <c r="H232" i="72"/>
  <c r="I232" i="72"/>
  <c r="J232" i="72"/>
  <c r="K232" i="72"/>
  <c r="L232" i="72"/>
  <c r="M232" i="72"/>
  <c r="N232" i="72"/>
  <c r="O232" i="72"/>
  <c r="P232" i="72"/>
  <c r="Q232" i="72"/>
  <c r="R232" i="72"/>
  <c r="S232" i="72"/>
  <c r="T232" i="72"/>
  <c r="U232" i="72"/>
  <c r="V232" i="72"/>
  <c r="W232" i="72"/>
  <c r="X232" i="72"/>
  <c r="Y232" i="72"/>
  <c r="A233" i="72"/>
  <c r="B233" i="72"/>
  <c r="C233" i="72"/>
  <c r="D233" i="72"/>
  <c r="E233" i="72"/>
  <c r="F233" i="72"/>
  <c r="G233" i="72"/>
  <c r="H233" i="72"/>
  <c r="I233" i="72"/>
  <c r="J233" i="72"/>
  <c r="K233" i="72"/>
  <c r="L233" i="72"/>
  <c r="M233" i="72"/>
  <c r="N233" i="72"/>
  <c r="O233" i="72"/>
  <c r="P233" i="72"/>
  <c r="Q233" i="72"/>
  <c r="R233" i="72"/>
  <c r="S233" i="72"/>
  <c r="T233" i="72"/>
  <c r="U233" i="72"/>
  <c r="V233" i="72"/>
  <c r="W233" i="72"/>
  <c r="X233" i="72"/>
  <c r="Y233" i="72"/>
  <c r="A234" i="72"/>
  <c r="C234" i="72"/>
  <c r="U234" i="72"/>
  <c r="V234" i="72"/>
  <c r="W234" i="72"/>
  <c r="X234" i="72"/>
  <c r="Y234" i="72"/>
  <c r="A235" i="72"/>
  <c r="B235" i="72"/>
  <c r="C235" i="72"/>
  <c r="D235" i="72"/>
  <c r="E235" i="72"/>
  <c r="F235" i="72"/>
  <c r="G235" i="72"/>
  <c r="H235" i="72"/>
  <c r="I235" i="72"/>
  <c r="J235" i="72"/>
  <c r="K235" i="72"/>
  <c r="L235" i="72"/>
  <c r="M235" i="72"/>
  <c r="N235" i="72"/>
  <c r="O235" i="72"/>
  <c r="P235" i="72"/>
  <c r="Q235" i="72"/>
  <c r="R235" i="72"/>
  <c r="S235" i="72"/>
  <c r="T235" i="72"/>
  <c r="U235" i="72"/>
  <c r="V235" i="72"/>
  <c r="W235" i="72"/>
  <c r="X235" i="72"/>
  <c r="Y235" i="72"/>
  <c r="A236" i="72"/>
  <c r="B236" i="72"/>
  <c r="C236" i="72"/>
  <c r="D236" i="72"/>
  <c r="E236" i="72"/>
  <c r="F236" i="72"/>
  <c r="G236" i="72"/>
  <c r="H236" i="72"/>
  <c r="I236" i="72"/>
  <c r="J236" i="72"/>
  <c r="K236" i="72"/>
  <c r="L236" i="72"/>
  <c r="M236" i="72"/>
  <c r="N236" i="72"/>
  <c r="O236" i="72"/>
  <c r="P236" i="72"/>
  <c r="Q236" i="72"/>
  <c r="R236" i="72"/>
  <c r="S236" i="72"/>
  <c r="T236" i="72"/>
  <c r="U236" i="72"/>
  <c r="V236" i="72"/>
  <c r="W236" i="72"/>
  <c r="X236" i="72"/>
  <c r="Y236" i="72"/>
  <c r="A237" i="72"/>
  <c r="C237" i="72"/>
  <c r="U237" i="72"/>
  <c r="V237" i="72"/>
  <c r="W237" i="72"/>
  <c r="X237" i="72"/>
  <c r="Y237" i="72"/>
  <c r="A238" i="72"/>
  <c r="B238" i="72"/>
  <c r="C238" i="72"/>
  <c r="D238" i="72"/>
  <c r="E238" i="72"/>
  <c r="F238" i="72"/>
  <c r="G238" i="72"/>
  <c r="H238" i="72"/>
  <c r="I238" i="72"/>
  <c r="J238" i="72"/>
  <c r="K238" i="72"/>
  <c r="L238" i="72"/>
  <c r="M238" i="72"/>
  <c r="N238" i="72"/>
  <c r="O238" i="72"/>
  <c r="P238" i="72"/>
  <c r="Q238" i="72"/>
  <c r="R238" i="72"/>
  <c r="S238" i="72"/>
  <c r="T238" i="72"/>
  <c r="U238" i="72"/>
  <c r="V238" i="72"/>
  <c r="W238" i="72"/>
  <c r="X238" i="72"/>
  <c r="Y238" i="72"/>
  <c r="A239" i="72"/>
  <c r="B239" i="72"/>
  <c r="C239" i="72"/>
  <c r="D239" i="72"/>
  <c r="E239" i="72"/>
  <c r="F239" i="72"/>
  <c r="G239" i="72"/>
  <c r="H239" i="72"/>
  <c r="I239" i="72"/>
  <c r="J239" i="72"/>
  <c r="K239" i="72"/>
  <c r="L239" i="72"/>
  <c r="M239" i="72"/>
  <c r="N239" i="72"/>
  <c r="O239" i="72"/>
  <c r="P239" i="72"/>
  <c r="Q239" i="72"/>
  <c r="R239" i="72"/>
  <c r="S239" i="72"/>
  <c r="T239" i="72"/>
  <c r="U239" i="72"/>
  <c r="V239" i="72"/>
  <c r="W239" i="72"/>
  <c r="X239" i="72"/>
  <c r="Y239" i="72"/>
  <c r="A240" i="72"/>
  <c r="B240" i="72"/>
  <c r="C240" i="72"/>
  <c r="D240" i="72"/>
  <c r="E240" i="72"/>
  <c r="F240" i="72"/>
  <c r="G240" i="72"/>
  <c r="H240" i="72"/>
  <c r="I240" i="72"/>
  <c r="J240" i="72"/>
  <c r="K240" i="72"/>
  <c r="L240" i="72"/>
  <c r="M240" i="72"/>
  <c r="N240" i="72"/>
  <c r="O240" i="72"/>
  <c r="P240" i="72"/>
  <c r="Q240" i="72"/>
  <c r="R240" i="72"/>
  <c r="S240" i="72"/>
  <c r="T240" i="72"/>
  <c r="U240" i="72"/>
  <c r="V240" i="72"/>
  <c r="W240" i="72"/>
  <c r="X240" i="72"/>
  <c r="Y240" i="72"/>
  <c r="Z240" i="72"/>
  <c r="A241" i="72"/>
  <c r="B241" i="72"/>
  <c r="C241" i="72"/>
  <c r="D241" i="72"/>
  <c r="E241" i="72"/>
  <c r="F241" i="72"/>
  <c r="G241" i="72"/>
  <c r="H241" i="72"/>
  <c r="I241" i="72"/>
  <c r="J241" i="72"/>
  <c r="K241" i="72"/>
  <c r="L241" i="72"/>
  <c r="M241" i="72"/>
  <c r="N241" i="72"/>
  <c r="O241" i="72"/>
  <c r="P241" i="72"/>
  <c r="Q241" i="72"/>
  <c r="R241" i="72"/>
  <c r="S241" i="72"/>
  <c r="T241" i="72"/>
  <c r="U241" i="72"/>
  <c r="V241" i="72"/>
  <c r="W241" i="72"/>
  <c r="X241" i="72"/>
  <c r="Y241" i="72"/>
  <c r="Z241" i="72"/>
  <c r="A242" i="72"/>
  <c r="B242" i="72"/>
  <c r="C242" i="72"/>
  <c r="D242" i="72"/>
  <c r="E242" i="72"/>
  <c r="F242" i="72"/>
  <c r="G242" i="72"/>
  <c r="H242" i="72"/>
  <c r="I242" i="72"/>
  <c r="J242" i="72"/>
  <c r="K242" i="72"/>
  <c r="L242" i="72"/>
  <c r="M242" i="72"/>
  <c r="N242" i="72"/>
  <c r="O242" i="72"/>
  <c r="P242" i="72"/>
  <c r="Q242" i="72"/>
  <c r="R242" i="72"/>
  <c r="S242" i="72"/>
  <c r="T242" i="72"/>
  <c r="U242" i="72"/>
  <c r="V242" i="72"/>
  <c r="W242" i="72"/>
  <c r="X242" i="72"/>
  <c r="Y242" i="72"/>
  <c r="Z242" i="72"/>
  <c r="A243" i="72"/>
  <c r="B243" i="72"/>
  <c r="C243" i="72"/>
  <c r="D243" i="72"/>
  <c r="E243" i="72"/>
  <c r="F243" i="72"/>
  <c r="G243" i="72"/>
  <c r="H243" i="72"/>
  <c r="I243" i="72"/>
  <c r="J243" i="72"/>
  <c r="K243" i="72"/>
  <c r="L243" i="72"/>
  <c r="M243" i="72"/>
  <c r="N243" i="72"/>
  <c r="O243" i="72"/>
  <c r="P243" i="72"/>
  <c r="Q243" i="72"/>
  <c r="R243" i="72"/>
  <c r="S243" i="72"/>
  <c r="T243" i="72"/>
  <c r="U243" i="72"/>
  <c r="V243" i="72"/>
  <c r="W243" i="72"/>
  <c r="X243" i="72"/>
  <c r="Y243" i="72"/>
  <c r="Z243" i="72"/>
  <c r="A244" i="72"/>
  <c r="B244" i="72"/>
  <c r="C244" i="72"/>
  <c r="D244" i="72"/>
  <c r="E244" i="72"/>
  <c r="F244" i="72"/>
  <c r="G244" i="72"/>
  <c r="H244" i="72"/>
  <c r="I244" i="72"/>
  <c r="J244" i="72"/>
  <c r="K244" i="72"/>
  <c r="L244" i="72"/>
  <c r="M244" i="72"/>
  <c r="N244" i="72"/>
  <c r="O244" i="72"/>
  <c r="P244" i="72"/>
  <c r="Q244" i="72"/>
  <c r="R244" i="72"/>
  <c r="S244" i="72"/>
  <c r="T244" i="72"/>
  <c r="U244" i="72"/>
  <c r="V244" i="72"/>
  <c r="W244" i="72"/>
  <c r="X244" i="72"/>
  <c r="Y244" i="72"/>
  <c r="Z244" i="72"/>
  <c r="A245" i="72"/>
  <c r="B245" i="72"/>
  <c r="C245" i="72"/>
  <c r="R245" i="72"/>
  <c r="U245" i="72"/>
  <c r="V245" i="72"/>
  <c r="W245" i="72"/>
  <c r="X245" i="72"/>
  <c r="AA245" i="72"/>
  <c r="AB245" i="72"/>
  <c r="AC245" i="72"/>
  <c r="A246" i="72"/>
  <c r="B246" i="72"/>
  <c r="C246" i="72"/>
  <c r="R246" i="72"/>
  <c r="U246" i="72"/>
  <c r="V246" i="72"/>
  <c r="W246" i="72"/>
  <c r="X246" i="72"/>
  <c r="AA246" i="72"/>
  <c r="AB246" i="72"/>
  <c r="AC246" i="72"/>
  <c r="A247" i="72"/>
  <c r="B247" i="72"/>
  <c r="C247" i="72"/>
  <c r="R247" i="72"/>
  <c r="U247" i="72"/>
  <c r="V247" i="72"/>
  <c r="W247" i="72"/>
  <c r="X247" i="72"/>
  <c r="AA247" i="72"/>
  <c r="AB247" i="72"/>
  <c r="AC247" i="72"/>
  <c r="A248" i="72"/>
  <c r="B248" i="72"/>
  <c r="C248" i="72"/>
  <c r="R248" i="72"/>
  <c r="U248" i="72"/>
  <c r="V248" i="72"/>
  <c r="W248" i="72"/>
  <c r="X248" i="72"/>
  <c r="AA248" i="72"/>
  <c r="AB248" i="72"/>
  <c r="AC248" i="72"/>
  <c r="A249" i="72"/>
  <c r="B249" i="72"/>
  <c r="C249" i="72"/>
  <c r="R249" i="72"/>
  <c r="U249" i="72"/>
  <c r="V249" i="72"/>
  <c r="W249" i="72"/>
  <c r="X249" i="72"/>
  <c r="AA249" i="72"/>
  <c r="AB249" i="72"/>
  <c r="AC249" i="72"/>
  <c r="A250" i="72"/>
  <c r="B250" i="72"/>
  <c r="C250" i="72"/>
  <c r="R250" i="72"/>
  <c r="U250" i="72"/>
  <c r="V250" i="72"/>
  <c r="W250" i="72"/>
  <c r="X250" i="72"/>
  <c r="AA250" i="72"/>
  <c r="AB250" i="72"/>
  <c r="AC250" i="72"/>
  <c r="A251" i="72"/>
  <c r="B251" i="72"/>
  <c r="C251" i="72"/>
  <c r="R251" i="72"/>
  <c r="U251" i="72"/>
  <c r="V251" i="72"/>
  <c r="W251" i="72"/>
  <c r="X251" i="72"/>
  <c r="AA251" i="72"/>
  <c r="AB251" i="72"/>
  <c r="AC251" i="72"/>
  <c r="A252" i="72"/>
  <c r="B252" i="72"/>
  <c r="C252" i="72"/>
  <c r="R252" i="72"/>
  <c r="U252" i="72"/>
  <c r="V252" i="72"/>
  <c r="W252" i="72"/>
  <c r="X252" i="72"/>
  <c r="AA252" i="72"/>
  <c r="AB252" i="72"/>
  <c r="AC252" i="72"/>
  <c r="A253" i="72"/>
  <c r="B253" i="72"/>
  <c r="C253" i="72"/>
  <c r="R253" i="72"/>
  <c r="U253" i="72"/>
  <c r="V253" i="72"/>
  <c r="W253" i="72"/>
  <c r="X253" i="72"/>
  <c r="AA253" i="72"/>
  <c r="AB253" i="72"/>
  <c r="AC253" i="72"/>
  <c r="A254" i="72"/>
  <c r="B254" i="72"/>
  <c r="C254" i="72"/>
  <c r="R254" i="72"/>
  <c r="U254" i="72"/>
  <c r="V254" i="72"/>
  <c r="W254" i="72"/>
  <c r="X254" i="72"/>
  <c r="AA254" i="72"/>
  <c r="AB254" i="72"/>
  <c r="AC254" i="72"/>
  <c r="A255" i="72"/>
  <c r="B255" i="72"/>
  <c r="C255" i="72"/>
  <c r="R255" i="72"/>
  <c r="U255" i="72"/>
  <c r="V255" i="72"/>
  <c r="W255" i="72"/>
  <c r="X255" i="72"/>
  <c r="AA255" i="72"/>
  <c r="AB255" i="72"/>
  <c r="AC255" i="72"/>
  <c r="A256" i="72"/>
  <c r="B256" i="72"/>
  <c r="C256" i="72"/>
  <c r="R256" i="72"/>
  <c r="U256" i="72"/>
  <c r="V256" i="72"/>
  <c r="W256" i="72"/>
  <c r="X256" i="72"/>
  <c r="AA256" i="72"/>
  <c r="AB256" i="72"/>
  <c r="AC256" i="72"/>
  <c r="A257" i="72"/>
  <c r="B257" i="72"/>
  <c r="C257" i="72"/>
  <c r="R257" i="72"/>
  <c r="U257" i="72"/>
  <c r="V257" i="72"/>
  <c r="W257" i="72"/>
  <c r="X257" i="72"/>
  <c r="AA257" i="72"/>
  <c r="AB257" i="72"/>
  <c r="AC257" i="72"/>
  <c r="A258" i="72"/>
  <c r="B258" i="72"/>
  <c r="C258" i="72"/>
  <c r="R258" i="72"/>
  <c r="U258" i="72"/>
  <c r="V258" i="72"/>
  <c r="W258" i="72"/>
  <c r="X258" i="72"/>
  <c r="AA258" i="72"/>
  <c r="AB258" i="72"/>
  <c r="AC258" i="72"/>
  <c r="A259" i="72"/>
  <c r="B259" i="72"/>
  <c r="C259" i="72"/>
  <c r="R259" i="72"/>
  <c r="U259" i="72"/>
  <c r="V259" i="72"/>
  <c r="W259" i="72"/>
  <c r="X259" i="72"/>
  <c r="AA259" i="72"/>
  <c r="AB259" i="72"/>
  <c r="AC259" i="72"/>
  <c r="A260" i="72"/>
  <c r="B260" i="72"/>
  <c r="C260" i="72"/>
  <c r="R260" i="72"/>
  <c r="U260" i="72"/>
  <c r="V260" i="72"/>
  <c r="W260" i="72"/>
  <c r="X260" i="72"/>
  <c r="AA260" i="72"/>
  <c r="AB260" i="72"/>
  <c r="AC260" i="72"/>
  <c r="A261" i="72"/>
  <c r="B261" i="72"/>
  <c r="C261" i="72"/>
  <c r="D261" i="72"/>
  <c r="E261" i="72"/>
  <c r="F261" i="72"/>
  <c r="G261" i="72"/>
  <c r="H261" i="72"/>
  <c r="I261" i="72"/>
  <c r="J261" i="72"/>
  <c r="K261" i="72"/>
  <c r="L261" i="72"/>
  <c r="M261" i="72"/>
  <c r="N261" i="72"/>
  <c r="O261" i="72"/>
  <c r="P261" i="72"/>
  <c r="Q261" i="72"/>
  <c r="R261" i="72"/>
  <c r="S261" i="72"/>
  <c r="T261" i="72"/>
  <c r="U261" i="72"/>
  <c r="V261" i="72"/>
  <c r="W261" i="72"/>
  <c r="X261" i="72"/>
  <c r="Y261" i="72"/>
  <c r="Z261" i="72"/>
  <c r="AA261" i="72"/>
  <c r="AB261" i="72"/>
  <c r="AC261" i="72"/>
  <c r="A262" i="72"/>
  <c r="B262" i="72"/>
  <c r="C262" i="72"/>
  <c r="R262" i="72"/>
  <c r="U262" i="72"/>
  <c r="V262" i="72"/>
  <c r="W262" i="72"/>
  <c r="X262" i="72"/>
  <c r="AA262" i="72"/>
  <c r="AB262" i="72"/>
  <c r="AC262" i="72"/>
  <c r="A263" i="72"/>
  <c r="B263" i="72"/>
  <c r="C263" i="72"/>
  <c r="R263" i="72"/>
  <c r="U263" i="72"/>
  <c r="V263" i="72"/>
  <c r="W263" i="72"/>
  <c r="X263" i="72"/>
  <c r="AA263" i="72"/>
  <c r="AB263" i="72"/>
  <c r="AC263" i="72"/>
  <c r="A264" i="72"/>
  <c r="B264" i="72"/>
  <c r="C264" i="72"/>
  <c r="E264" i="72"/>
  <c r="R264" i="72"/>
  <c r="U264" i="72"/>
  <c r="V264" i="72"/>
  <c r="W264" i="72"/>
  <c r="X264" i="72"/>
  <c r="AA264" i="72"/>
  <c r="AB264" i="72"/>
  <c r="AC264" i="72"/>
  <c r="A265" i="72"/>
  <c r="B265" i="72"/>
  <c r="C265" i="72"/>
  <c r="R265" i="72"/>
  <c r="U265" i="72"/>
  <c r="V265" i="72"/>
  <c r="W265" i="72"/>
  <c r="X265" i="72"/>
  <c r="AA265" i="72"/>
  <c r="AB265" i="72"/>
  <c r="AC265" i="72"/>
  <c r="A266" i="72"/>
  <c r="B266" i="72"/>
  <c r="C266" i="72"/>
  <c r="R266" i="72"/>
  <c r="U266" i="72"/>
  <c r="V266" i="72"/>
  <c r="W266" i="72"/>
  <c r="X266" i="72"/>
  <c r="AA266" i="72"/>
  <c r="AB266" i="72"/>
  <c r="AC266" i="72"/>
  <c r="A267" i="72"/>
  <c r="B267" i="72"/>
  <c r="C267" i="72"/>
  <c r="R267" i="72"/>
  <c r="U267" i="72"/>
  <c r="V267" i="72"/>
  <c r="W267" i="72"/>
  <c r="X267" i="72"/>
  <c r="AA267" i="72"/>
  <c r="AB267" i="72"/>
  <c r="AC267" i="72"/>
  <c r="A268" i="72"/>
  <c r="B268" i="72"/>
  <c r="C268" i="72"/>
  <c r="R268" i="72"/>
  <c r="U268" i="72"/>
  <c r="V268" i="72"/>
  <c r="W268" i="72"/>
  <c r="X268" i="72"/>
  <c r="AA268" i="72"/>
  <c r="AB268" i="72"/>
  <c r="AC268" i="72"/>
  <c r="A269" i="72"/>
  <c r="B269" i="72"/>
  <c r="C269" i="72"/>
  <c r="E269" i="72"/>
  <c r="R269" i="72"/>
  <c r="U269" i="72"/>
  <c r="V269" i="72"/>
  <c r="W269" i="72"/>
  <c r="X269" i="72"/>
  <c r="AA269" i="72"/>
  <c r="AB269" i="72"/>
  <c r="AC269" i="72"/>
  <c r="A270" i="72"/>
  <c r="B270" i="72"/>
  <c r="C270" i="72"/>
  <c r="R270" i="72"/>
  <c r="U270" i="72"/>
  <c r="V270" i="72"/>
  <c r="W270" i="72"/>
  <c r="X270" i="72"/>
  <c r="AA270" i="72"/>
  <c r="AB270" i="72"/>
  <c r="AC270" i="72"/>
  <c r="A271" i="72"/>
  <c r="B271" i="72"/>
  <c r="C271" i="72"/>
  <c r="D271" i="72"/>
  <c r="E271" i="72"/>
  <c r="F271" i="72"/>
  <c r="G271" i="72"/>
  <c r="H271" i="72"/>
  <c r="I271" i="72"/>
  <c r="J271" i="72"/>
  <c r="K271" i="72"/>
  <c r="L271" i="72"/>
  <c r="M271" i="72"/>
  <c r="N271" i="72"/>
  <c r="O271" i="72"/>
  <c r="P271" i="72"/>
  <c r="Q271" i="72"/>
  <c r="R271" i="72"/>
  <c r="S271" i="72"/>
  <c r="T271" i="72"/>
  <c r="U271" i="72"/>
  <c r="V271" i="72"/>
  <c r="W271" i="72"/>
  <c r="X271" i="72"/>
  <c r="Y271" i="72"/>
  <c r="Z271" i="72"/>
  <c r="AA271" i="72"/>
  <c r="AB271" i="72"/>
  <c r="AC271" i="72"/>
  <c r="A272" i="72"/>
  <c r="B272" i="72"/>
  <c r="C272" i="72"/>
  <c r="D272" i="72"/>
  <c r="E272" i="72"/>
  <c r="F272" i="72"/>
  <c r="G272" i="72"/>
  <c r="H272" i="72"/>
  <c r="I272" i="72"/>
  <c r="J272" i="72"/>
  <c r="K272" i="72"/>
  <c r="L272" i="72"/>
  <c r="M272" i="72"/>
  <c r="N272" i="72"/>
  <c r="O272" i="72"/>
  <c r="P272" i="72"/>
  <c r="Q272" i="72"/>
  <c r="R272" i="72"/>
  <c r="S272" i="72"/>
  <c r="T272" i="72"/>
  <c r="U272" i="72"/>
  <c r="V272" i="72"/>
  <c r="W272" i="72"/>
  <c r="X272" i="72"/>
  <c r="Y272" i="72"/>
  <c r="Z272" i="72"/>
  <c r="AA272" i="72"/>
  <c r="AB272" i="72"/>
  <c r="AC272" i="72"/>
  <c r="A273" i="72"/>
  <c r="B273" i="72"/>
  <c r="C273" i="72"/>
  <c r="R273" i="72"/>
  <c r="U273" i="72"/>
  <c r="V273" i="72"/>
  <c r="W273" i="72"/>
  <c r="X273" i="72"/>
  <c r="A274" i="72"/>
  <c r="B274" i="72"/>
  <c r="C274" i="72"/>
  <c r="R274" i="72"/>
  <c r="U274" i="72"/>
  <c r="V274" i="72"/>
  <c r="W274" i="72"/>
  <c r="X274" i="72"/>
  <c r="A275" i="72"/>
  <c r="B275" i="72"/>
  <c r="C275" i="72"/>
  <c r="R275" i="72"/>
  <c r="U275" i="72"/>
  <c r="V275" i="72"/>
  <c r="W275" i="72"/>
  <c r="X275" i="72"/>
  <c r="A276" i="72"/>
  <c r="B276" i="72"/>
  <c r="C276" i="72"/>
  <c r="R276" i="72"/>
  <c r="U276" i="72"/>
  <c r="V276" i="72"/>
  <c r="W276" i="72"/>
  <c r="X276" i="72"/>
  <c r="A277" i="72"/>
  <c r="B277" i="72"/>
  <c r="C277" i="72"/>
  <c r="R277" i="72"/>
  <c r="U277" i="72"/>
  <c r="V277" i="72"/>
  <c r="W277" i="72"/>
  <c r="X277" i="72"/>
  <c r="A278" i="72"/>
  <c r="B278" i="72"/>
  <c r="C278" i="72"/>
  <c r="R278" i="72"/>
  <c r="U278" i="72"/>
  <c r="V278" i="72"/>
  <c r="W278" i="72"/>
  <c r="X278" i="72"/>
  <c r="A279" i="72"/>
  <c r="B279" i="72"/>
  <c r="C279" i="72"/>
  <c r="R279" i="72"/>
  <c r="U279" i="72"/>
  <c r="V279" i="72"/>
  <c r="W279" i="72"/>
  <c r="X279" i="72"/>
  <c r="A280" i="72"/>
  <c r="B280" i="72"/>
  <c r="C280" i="72"/>
  <c r="R280" i="72"/>
  <c r="U280" i="72"/>
  <c r="V280" i="72"/>
  <c r="W280" i="72"/>
  <c r="X280" i="72"/>
  <c r="A281" i="72"/>
  <c r="B281" i="72"/>
  <c r="C281" i="72"/>
  <c r="R281" i="72"/>
  <c r="U281" i="72"/>
  <c r="V281" i="72"/>
  <c r="W281" i="72"/>
  <c r="X281" i="72"/>
  <c r="A282" i="72"/>
  <c r="B282" i="72"/>
  <c r="C282" i="72"/>
  <c r="R282" i="72"/>
  <c r="U282" i="72"/>
  <c r="V282" i="72"/>
  <c r="W282" i="72"/>
  <c r="X282" i="72"/>
  <c r="A283" i="72"/>
  <c r="B283" i="72"/>
  <c r="C283" i="72"/>
  <c r="R283" i="72"/>
  <c r="U283" i="72"/>
  <c r="V283" i="72"/>
  <c r="W283" i="72"/>
  <c r="X283" i="72"/>
  <c r="A284" i="72"/>
  <c r="B284" i="72"/>
  <c r="C284" i="72"/>
  <c r="D284" i="72"/>
  <c r="E284" i="72"/>
  <c r="F284" i="72"/>
  <c r="G284" i="72"/>
  <c r="H284" i="72"/>
  <c r="I284" i="72"/>
  <c r="J284" i="72"/>
  <c r="K284" i="72"/>
  <c r="L284" i="72"/>
  <c r="M284" i="72"/>
  <c r="N284" i="72"/>
  <c r="O284" i="72"/>
  <c r="P284" i="72"/>
  <c r="Q284" i="72"/>
  <c r="R284" i="72"/>
  <c r="S284" i="72"/>
  <c r="T284" i="72"/>
  <c r="U284" i="72"/>
  <c r="V284" i="72"/>
  <c r="W284" i="72"/>
  <c r="X284" i="72"/>
  <c r="Y284" i="72"/>
  <c r="Z284" i="72"/>
  <c r="A285" i="72"/>
  <c r="B285" i="72"/>
  <c r="C285" i="72"/>
  <c r="R285" i="72"/>
  <c r="U285" i="72"/>
  <c r="V285" i="72"/>
  <c r="W285" i="72"/>
  <c r="X285" i="72"/>
  <c r="A286" i="72"/>
  <c r="B286" i="72"/>
  <c r="C286" i="72"/>
  <c r="R286" i="72"/>
  <c r="U286" i="72"/>
  <c r="V286" i="72"/>
  <c r="W286" i="72"/>
  <c r="X286" i="72"/>
  <c r="A287" i="72"/>
  <c r="B287" i="72"/>
  <c r="C287" i="72"/>
  <c r="D287" i="72"/>
  <c r="E287" i="72"/>
  <c r="F287" i="72"/>
  <c r="G287" i="72"/>
  <c r="H287" i="72"/>
  <c r="I287" i="72"/>
  <c r="J287" i="72"/>
  <c r="K287" i="72"/>
  <c r="L287" i="72"/>
  <c r="M287" i="72"/>
  <c r="N287" i="72"/>
  <c r="O287" i="72"/>
  <c r="P287" i="72"/>
  <c r="Q287" i="72"/>
  <c r="R287" i="72"/>
  <c r="S287" i="72"/>
  <c r="T287" i="72"/>
  <c r="U287" i="72"/>
  <c r="V287" i="72"/>
  <c r="W287" i="72"/>
  <c r="X287" i="72"/>
  <c r="Y287" i="72"/>
  <c r="Z287" i="72"/>
  <c r="A288" i="72"/>
  <c r="B288" i="72"/>
  <c r="C288" i="72"/>
  <c r="R288" i="72"/>
  <c r="U288" i="72"/>
  <c r="V288" i="72"/>
  <c r="W288" i="72"/>
  <c r="X288" i="72"/>
  <c r="A289" i="72"/>
  <c r="B289" i="72"/>
  <c r="C289" i="72"/>
  <c r="D289" i="72"/>
  <c r="E289" i="72"/>
  <c r="F289" i="72"/>
  <c r="G289" i="72"/>
  <c r="H289" i="72"/>
  <c r="I289" i="72"/>
  <c r="J289" i="72"/>
  <c r="K289" i="72"/>
  <c r="L289" i="72"/>
  <c r="M289" i="72"/>
  <c r="N289" i="72"/>
  <c r="O289" i="72"/>
  <c r="P289" i="72"/>
  <c r="Q289" i="72"/>
  <c r="R289" i="72"/>
  <c r="S289" i="72"/>
  <c r="T289" i="72"/>
  <c r="U289" i="72"/>
  <c r="V289" i="72"/>
  <c r="W289" i="72"/>
  <c r="X289" i="72"/>
  <c r="Y289" i="72"/>
  <c r="Z289" i="72"/>
  <c r="A290" i="72"/>
  <c r="B290" i="72"/>
  <c r="C290" i="72"/>
  <c r="D290" i="72"/>
  <c r="E290" i="72"/>
  <c r="F290" i="72"/>
  <c r="G290" i="72"/>
  <c r="H290" i="72"/>
  <c r="I290" i="72"/>
  <c r="J290" i="72"/>
  <c r="K290" i="72"/>
  <c r="L290" i="72"/>
  <c r="M290" i="72"/>
  <c r="N290" i="72"/>
  <c r="O290" i="72"/>
  <c r="P290" i="72"/>
  <c r="Q290" i="72"/>
  <c r="R290" i="72"/>
  <c r="S290" i="72"/>
  <c r="T290" i="72"/>
  <c r="U290" i="72"/>
  <c r="V290" i="72"/>
  <c r="W290" i="72"/>
  <c r="X290" i="72"/>
  <c r="Y290" i="72"/>
  <c r="Z290" i="72"/>
  <c r="AA290" i="72"/>
  <c r="AB290" i="72"/>
  <c r="A291" i="72"/>
  <c r="B291" i="72"/>
  <c r="C291" i="72"/>
  <c r="D291" i="72"/>
  <c r="E291" i="72"/>
  <c r="F291" i="72"/>
  <c r="G291" i="72"/>
  <c r="H291" i="72"/>
  <c r="I291" i="72"/>
  <c r="J291" i="72"/>
  <c r="K291" i="72"/>
  <c r="L291" i="72"/>
  <c r="M291" i="72"/>
  <c r="N291" i="72"/>
  <c r="O291" i="72"/>
  <c r="P291" i="72"/>
  <c r="Q291" i="72"/>
  <c r="R291" i="72"/>
  <c r="S291" i="72"/>
  <c r="T291" i="72"/>
  <c r="U291" i="72"/>
  <c r="V291" i="72"/>
  <c r="W291" i="72"/>
  <c r="X291" i="72"/>
  <c r="Y291" i="72"/>
  <c r="Z291" i="72"/>
  <c r="AA291" i="72"/>
  <c r="AB291" i="72"/>
  <c r="A292" i="72"/>
  <c r="B292" i="72"/>
  <c r="C292" i="72"/>
  <c r="D292" i="72"/>
  <c r="E292" i="72"/>
  <c r="F292" i="72"/>
  <c r="G292" i="72"/>
  <c r="H292" i="72"/>
  <c r="I292" i="72"/>
  <c r="J292" i="72"/>
  <c r="K292" i="72"/>
  <c r="L292" i="72"/>
  <c r="M292" i="72"/>
  <c r="N292" i="72"/>
  <c r="O292" i="72"/>
  <c r="P292" i="72"/>
  <c r="Q292" i="72"/>
  <c r="R292" i="72"/>
  <c r="S292" i="72"/>
  <c r="T292" i="72"/>
  <c r="U292" i="72"/>
  <c r="V292" i="72"/>
  <c r="W292" i="72"/>
  <c r="X292" i="72"/>
  <c r="Y292" i="72"/>
  <c r="Z292" i="72"/>
  <c r="AA292" i="72"/>
  <c r="AB292" i="72"/>
  <c r="A293" i="72"/>
  <c r="B293" i="72"/>
  <c r="C293" i="72"/>
  <c r="D293" i="72"/>
  <c r="E293" i="72"/>
  <c r="F293" i="72"/>
  <c r="G293" i="72"/>
  <c r="H293" i="72"/>
  <c r="I293" i="72"/>
  <c r="J293" i="72"/>
  <c r="K293" i="72"/>
  <c r="L293" i="72"/>
  <c r="M293" i="72"/>
  <c r="N293" i="72"/>
  <c r="O293" i="72"/>
  <c r="P293" i="72"/>
  <c r="Q293" i="72"/>
  <c r="R293" i="72"/>
  <c r="S293" i="72"/>
  <c r="T293" i="72"/>
  <c r="U293" i="72"/>
  <c r="V293" i="72"/>
  <c r="W293" i="72"/>
  <c r="X293" i="72"/>
  <c r="Y293" i="72"/>
  <c r="Z293" i="72"/>
  <c r="AA293" i="72"/>
  <c r="AB293" i="72"/>
  <c r="A294" i="72"/>
  <c r="B294" i="72"/>
  <c r="C294" i="72"/>
  <c r="U294" i="72"/>
  <c r="V294" i="72"/>
  <c r="W294" i="72"/>
  <c r="X294" i="72"/>
  <c r="AA294" i="72"/>
  <c r="AB294" i="72"/>
  <c r="A295" i="72"/>
  <c r="B295" i="72"/>
  <c r="C295" i="72"/>
  <c r="U295" i="72"/>
  <c r="V295" i="72"/>
  <c r="W295" i="72"/>
  <c r="X295" i="72"/>
  <c r="AA295" i="72"/>
  <c r="AB295" i="72"/>
  <c r="A296" i="72"/>
  <c r="B296" i="72"/>
  <c r="C296" i="72"/>
  <c r="U296" i="72"/>
  <c r="V296" i="72"/>
  <c r="W296" i="72"/>
  <c r="X296" i="72"/>
  <c r="AA296" i="72"/>
  <c r="AB296" i="72"/>
  <c r="A297" i="72"/>
  <c r="B297" i="72"/>
  <c r="C297" i="72"/>
  <c r="D297" i="72"/>
  <c r="E297" i="72"/>
  <c r="F297" i="72"/>
  <c r="G297" i="72"/>
  <c r="H297" i="72"/>
  <c r="I297" i="72"/>
  <c r="J297" i="72"/>
  <c r="K297" i="72"/>
  <c r="L297" i="72"/>
  <c r="M297" i="72"/>
  <c r="N297" i="72"/>
  <c r="O297" i="72"/>
  <c r="P297" i="72"/>
  <c r="Q297" i="72"/>
  <c r="R297" i="72"/>
  <c r="S297" i="72"/>
  <c r="T297" i="72"/>
  <c r="U297" i="72"/>
  <c r="V297" i="72"/>
  <c r="W297" i="72"/>
  <c r="X297" i="72"/>
  <c r="Y297" i="72"/>
  <c r="Z297" i="72"/>
  <c r="AA297" i="72"/>
  <c r="AB297" i="72"/>
  <c r="A298" i="72"/>
  <c r="B298" i="72"/>
  <c r="C298" i="72"/>
  <c r="U298" i="72"/>
  <c r="V298" i="72"/>
  <c r="W298" i="72"/>
  <c r="X298" i="72"/>
  <c r="AA298" i="72"/>
  <c r="AB298" i="72"/>
  <c r="A299" i="72"/>
  <c r="B299" i="72"/>
  <c r="C299" i="72"/>
  <c r="U299" i="72"/>
  <c r="V299" i="72"/>
  <c r="W299" i="72"/>
  <c r="X299" i="72"/>
  <c r="AA299" i="72"/>
  <c r="AB299" i="72"/>
  <c r="A300" i="72"/>
  <c r="B300" i="72"/>
  <c r="C300" i="72"/>
  <c r="U300" i="72"/>
  <c r="V300" i="72"/>
  <c r="W300" i="72"/>
  <c r="X300" i="72"/>
  <c r="AA300" i="72"/>
  <c r="AB300" i="72"/>
  <c r="A301" i="72"/>
  <c r="B301" i="72"/>
  <c r="C301" i="72"/>
  <c r="D301" i="72"/>
  <c r="E301" i="72"/>
  <c r="F301" i="72"/>
  <c r="G301" i="72"/>
  <c r="H301" i="72"/>
  <c r="I301" i="72"/>
  <c r="J301" i="72"/>
  <c r="K301" i="72"/>
  <c r="L301" i="72"/>
  <c r="M301" i="72"/>
  <c r="N301" i="72"/>
  <c r="O301" i="72"/>
  <c r="P301" i="72"/>
  <c r="Q301" i="72"/>
  <c r="R301" i="72"/>
  <c r="S301" i="72"/>
  <c r="T301" i="72"/>
  <c r="U301" i="72"/>
  <c r="V301" i="72"/>
  <c r="W301" i="72"/>
  <c r="X301" i="72"/>
  <c r="Y301" i="72"/>
  <c r="Z301" i="72"/>
  <c r="AA301" i="72"/>
  <c r="AB301" i="72"/>
  <c r="A302" i="72"/>
  <c r="C302" i="72"/>
  <c r="U302" i="72"/>
  <c r="V302" i="72"/>
  <c r="W302" i="72"/>
  <c r="X302" i="72"/>
  <c r="Y302" i="72"/>
  <c r="Z302" i="72"/>
  <c r="AA302" i="72"/>
  <c r="AB302" i="72"/>
  <c r="A303" i="72"/>
  <c r="B303" i="72"/>
  <c r="C303" i="72"/>
  <c r="D303" i="72"/>
  <c r="E303" i="72"/>
  <c r="F303" i="72"/>
  <c r="G303" i="72"/>
  <c r="H303" i="72"/>
  <c r="I303" i="72"/>
  <c r="J303" i="72"/>
  <c r="K303" i="72"/>
  <c r="L303" i="72"/>
  <c r="M303" i="72"/>
  <c r="N303" i="72"/>
  <c r="O303" i="72"/>
  <c r="P303" i="72"/>
  <c r="Q303" i="72"/>
  <c r="R303" i="72"/>
  <c r="S303" i="72"/>
  <c r="T303" i="72"/>
  <c r="U303" i="72"/>
  <c r="V303" i="72"/>
  <c r="W303" i="72"/>
  <c r="X303" i="72"/>
  <c r="Y303" i="72"/>
  <c r="Z303" i="72"/>
  <c r="AA303" i="72"/>
  <c r="AB303" i="72"/>
  <c r="A304" i="72"/>
  <c r="C304" i="72"/>
  <c r="U304" i="72"/>
  <c r="V304" i="72"/>
  <c r="W304" i="72"/>
  <c r="X304" i="72"/>
  <c r="Y304" i="72"/>
  <c r="Z304" i="72"/>
  <c r="AA304" i="72"/>
  <c r="AB304" i="72"/>
  <c r="A305" i="72"/>
  <c r="B305" i="72"/>
  <c r="C305" i="72"/>
  <c r="D305" i="72"/>
  <c r="E305" i="72"/>
  <c r="F305" i="72"/>
  <c r="G305" i="72"/>
  <c r="H305" i="72"/>
  <c r="I305" i="72"/>
  <c r="J305" i="72"/>
  <c r="K305" i="72"/>
  <c r="L305" i="72"/>
  <c r="M305" i="72"/>
  <c r="N305" i="72"/>
  <c r="O305" i="72"/>
  <c r="P305" i="72"/>
  <c r="Q305" i="72"/>
  <c r="R305" i="72"/>
  <c r="S305" i="72"/>
  <c r="T305" i="72"/>
  <c r="U305" i="72"/>
  <c r="V305" i="72"/>
  <c r="W305" i="72"/>
  <c r="X305" i="72"/>
  <c r="Y305" i="72"/>
  <c r="Z305" i="72"/>
  <c r="AA305" i="72"/>
  <c r="AB305" i="72"/>
  <c r="A306" i="72"/>
  <c r="B306" i="72"/>
  <c r="C306" i="72"/>
  <c r="D306" i="72"/>
  <c r="E306" i="72"/>
  <c r="F306" i="72"/>
  <c r="G306" i="72"/>
  <c r="H306" i="72"/>
  <c r="I306" i="72"/>
  <c r="J306" i="72"/>
  <c r="K306" i="72"/>
  <c r="L306" i="72"/>
  <c r="M306" i="72"/>
  <c r="N306" i="72"/>
  <c r="O306" i="72"/>
  <c r="P306" i="72"/>
  <c r="Q306" i="72"/>
  <c r="R306" i="72"/>
  <c r="S306" i="72"/>
  <c r="T306" i="72"/>
  <c r="U306" i="72"/>
  <c r="V306" i="72"/>
  <c r="W306" i="72"/>
  <c r="X306" i="72"/>
  <c r="Y306" i="72"/>
  <c r="Z306" i="72"/>
  <c r="AA306" i="72"/>
  <c r="AB306" i="72"/>
  <c r="A307" i="72"/>
  <c r="B307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O307" i="72"/>
  <c r="P307" i="72"/>
  <c r="Q307" i="72"/>
  <c r="R307" i="72"/>
  <c r="S307" i="72"/>
  <c r="T307" i="72"/>
  <c r="U307" i="72"/>
  <c r="V307" i="72"/>
  <c r="W307" i="72"/>
  <c r="X307" i="72"/>
  <c r="Y307" i="72"/>
  <c r="Z307" i="72"/>
  <c r="AA307" i="72"/>
  <c r="AB307" i="72"/>
  <c r="A308" i="72"/>
  <c r="B308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O308" i="72"/>
  <c r="P308" i="72"/>
  <c r="Q308" i="72"/>
  <c r="R308" i="72"/>
  <c r="S308" i="72"/>
  <c r="T308" i="72"/>
  <c r="U308" i="72"/>
  <c r="V308" i="72"/>
  <c r="W308" i="72"/>
  <c r="X308" i="72"/>
  <c r="Y308" i="72"/>
  <c r="Z308" i="72"/>
  <c r="AA308" i="72"/>
  <c r="AB308" i="72"/>
  <c r="A309" i="72"/>
  <c r="C309" i="72"/>
  <c r="U309" i="72"/>
  <c r="V309" i="72"/>
  <c r="W309" i="72"/>
  <c r="X309" i="72"/>
  <c r="Y309" i="72"/>
  <c r="Z309" i="72"/>
  <c r="AA309" i="72"/>
  <c r="AB309" i="72"/>
  <c r="A310" i="72"/>
  <c r="B310" i="72"/>
  <c r="C310" i="72"/>
  <c r="R310" i="72"/>
  <c r="U310" i="72"/>
  <c r="V310" i="72"/>
  <c r="W310" i="72"/>
  <c r="X310" i="72"/>
  <c r="A311" i="72"/>
  <c r="B311" i="72"/>
  <c r="C311" i="72"/>
  <c r="R311" i="72"/>
  <c r="U311" i="72"/>
  <c r="V311" i="72"/>
  <c r="W311" i="72"/>
  <c r="X311" i="72"/>
  <c r="A312" i="72"/>
  <c r="B312" i="72"/>
  <c r="C312" i="72"/>
  <c r="R312" i="72"/>
  <c r="U312" i="72"/>
  <c r="V312" i="72"/>
  <c r="W312" i="72"/>
  <c r="X312" i="72"/>
  <c r="A313" i="72"/>
  <c r="B313" i="72"/>
  <c r="C313" i="72"/>
  <c r="R313" i="72"/>
  <c r="U313" i="72"/>
  <c r="V313" i="72"/>
  <c r="W313" i="72"/>
  <c r="X313" i="72"/>
  <c r="A314" i="72"/>
  <c r="B314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O314" i="72"/>
  <c r="P314" i="72"/>
  <c r="Q314" i="72"/>
  <c r="R314" i="72"/>
  <c r="S314" i="72"/>
  <c r="T314" i="72"/>
  <c r="U314" i="72"/>
  <c r="V314" i="72"/>
  <c r="W314" i="72"/>
  <c r="X314" i="72"/>
  <c r="Y314" i="72"/>
  <c r="Z314" i="72"/>
  <c r="A315" i="72"/>
  <c r="B315" i="72"/>
  <c r="C315" i="72"/>
  <c r="R315" i="72"/>
  <c r="U315" i="72"/>
  <c r="V315" i="72"/>
  <c r="W315" i="72"/>
  <c r="X315" i="72"/>
  <c r="A316" i="72"/>
  <c r="B316" i="72"/>
  <c r="C316" i="72"/>
  <c r="R316" i="72"/>
  <c r="U316" i="72"/>
  <c r="V316" i="72"/>
  <c r="W316" i="72"/>
  <c r="X316" i="72"/>
  <c r="A317" i="72"/>
  <c r="B317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O317" i="72"/>
  <c r="P317" i="72"/>
  <c r="Q317" i="72"/>
  <c r="R317" i="72"/>
  <c r="S317" i="72"/>
  <c r="T317" i="72"/>
  <c r="U317" i="72"/>
  <c r="V317" i="72"/>
  <c r="W317" i="72"/>
  <c r="X317" i="72"/>
  <c r="Y317" i="72"/>
  <c r="Z317" i="72"/>
  <c r="A318" i="72"/>
  <c r="B318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O318" i="72"/>
  <c r="P318" i="72"/>
  <c r="Q318" i="72"/>
  <c r="R318" i="72"/>
  <c r="S318" i="72"/>
  <c r="T318" i="72"/>
  <c r="U318" i="72"/>
  <c r="V318" i="72"/>
  <c r="W318" i="72"/>
  <c r="X318" i="72"/>
  <c r="Y318" i="72"/>
  <c r="Z318" i="72"/>
  <c r="A319" i="72"/>
  <c r="B319" i="72"/>
  <c r="C319" i="72"/>
  <c r="U319" i="72"/>
  <c r="V319" i="72"/>
  <c r="W319" i="72"/>
  <c r="X319" i="72"/>
  <c r="AA319" i="72"/>
  <c r="A320" i="72"/>
  <c r="B320" i="72"/>
  <c r="C320" i="72"/>
  <c r="U320" i="72"/>
  <c r="V320" i="72"/>
  <c r="W320" i="72"/>
  <c r="X320" i="72"/>
  <c r="AA320" i="72"/>
  <c r="A321" i="72"/>
  <c r="B321" i="72"/>
  <c r="C321" i="72"/>
  <c r="U321" i="72"/>
  <c r="V321" i="72"/>
  <c r="W321" i="72"/>
  <c r="X321" i="72"/>
  <c r="AA321" i="72"/>
  <c r="A322" i="72"/>
  <c r="B322" i="72"/>
  <c r="C322" i="72"/>
  <c r="U322" i="72"/>
  <c r="V322" i="72"/>
  <c r="W322" i="72"/>
  <c r="X322" i="72"/>
  <c r="AA322" i="72"/>
  <c r="A323" i="72"/>
  <c r="B323" i="72"/>
  <c r="C323" i="72"/>
  <c r="U323" i="72"/>
  <c r="V323" i="72"/>
  <c r="W323" i="72"/>
  <c r="X323" i="72"/>
  <c r="AA323" i="72"/>
  <c r="A324" i="72"/>
  <c r="B324" i="72"/>
  <c r="C324" i="72"/>
  <c r="U324" i="72"/>
  <c r="V324" i="72"/>
  <c r="W324" i="72"/>
  <c r="X324" i="72"/>
  <c r="AA324" i="72"/>
  <c r="A325" i="72"/>
  <c r="B325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O325" i="72"/>
  <c r="P325" i="72"/>
  <c r="Q325" i="72"/>
  <c r="R325" i="72"/>
  <c r="S325" i="72"/>
  <c r="T325" i="72"/>
  <c r="U325" i="72"/>
  <c r="V325" i="72"/>
  <c r="W325" i="72"/>
  <c r="X325" i="72"/>
  <c r="Y325" i="72"/>
  <c r="Z325" i="72"/>
  <c r="AA325" i="72"/>
  <c r="F38" i="67"/>
  <c r="E4" i="67"/>
  <c r="E176" i="72" s="1"/>
  <c r="F43" i="67"/>
  <c r="E5" i="67"/>
  <c r="E177" i="72" s="1"/>
  <c r="F46" i="67"/>
  <c r="E6" i="67"/>
  <c r="E178" i="72" s="1"/>
  <c r="F49" i="67"/>
  <c r="E7" i="67"/>
  <c r="E179" i="72" s="1"/>
  <c r="F63" i="67"/>
  <c r="E8" i="67"/>
  <c r="E183" i="72" s="1"/>
  <c r="I37" i="67"/>
  <c r="J37" i="67" s="1"/>
  <c r="F105" i="66"/>
  <c r="J18" i="66"/>
  <c r="N19" i="66"/>
  <c r="G156" i="66"/>
  <c r="C136" i="66"/>
  <c r="F10" i="66"/>
  <c r="L24" i="66"/>
  <c r="O90" i="66"/>
  <c r="L146" i="66"/>
  <c r="K141" i="66"/>
  <c r="T69" i="66"/>
  <c r="N77" i="66"/>
  <c r="F36" i="66"/>
  <c r="T60" i="66"/>
  <c r="N156" i="66"/>
  <c r="K81" i="66"/>
  <c r="I134" i="66"/>
  <c r="T43" i="66"/>
  <c r="K75" i="66"/>
  <c r="E64" i="66"/>
  <c r="A24" i="66"/>
  <c r="F113" i="66"/>
  <c r="K124" i="66"/>
  <c r="J42" i="66"/>
  <c r="H135" i="66"/>
  <c r="H139" i="66"/>
  <c r="I23" i="66"/>
  <c r="D143" i="66"/>
  <c r="D65" i="66"/>
  <c r="I139" i="66"/>
  <c r="L144" i="66"/>
  <c r="P110" i="66"/>
  <c r="G63" i="66"/>
  <c r="L64" i="66"/>
  <c r="S91" i="66"/>
  <c r="I154" i="66"/>
  <c r="W4" i="67"/>
  <c r="P85" i="66"/>
  <c r="M90" i="66"/>
  <c r="N76" i="66"/>
  <c r="M109" i="66"/>
  <c r="I83" i="66"/>
  <c r="A116" i="66"/>
  <c r="J97" i="66"/>
  <c r="K57" i="66"/>
  <c r="A91" i="66"/>
  <c r="T90" i="66"/>
  <c r="K145" i="66"/>
  <c r="F64" i="66"/>
  <c r="D27" i="66"/>
  <c r="F14" i="66"/>
  <c r="G29" i="66"/>
  <c r="C41" i="66"/>
  <c r="D89" i="66"/>
  <c r="D83" i="66"/>
  <c r="K94" i="66"/>
  <c r="T81" i="66"/>
  <c r="I33" i="66"/>
  <c r="I143" i="66"/>
  <c r="I76" i="66"/>
  <c r="L18" i="66"/>
  <c r="M127" i="66"/>
  <c r="E59" i="66"/>
  <c r="G12" i="66"/>
  <c r="O63" i="66"/>
  <c r="A101" i="66"/>
  <c r="M21" i="66"/>
  <c r="I92" i="66"/>
  <c r="D124" i="66"/>
  <c r="O147" i="66"/>
  <c r="H5" i="66"/>
  <c r="S66" i="66"/>
  <c r="S62" i="66"/>
  <c r="T89" i="66"/>
  <c r="P138" i="66"/>
  <c r="T115" i="66"/>
  <c r="K62" i="66"/>
  <c r="A99" i="66"/>
  <c r="C82" i="66"/>
  <c r="N12" i="66"/>
  <c r="H104" i="66"/>
  <c r="N6" i="66"/>
  <c r="A84" i="66"/>
  <c r="M138" i="66"/>
  <c r="P155" i="66"/>
  <c r="C68" i="66"/>
  <c r="S153" i="66"/>
  <c r="L119" i="66"/>
  <c r="P12" i="66"/>
  <c r="I40" i="66"/>
  <c r="F94" i="66"/>
  <c r="J54" i="66"/>
  <c r="P87" i="66"/>
  <c r="L134" i="66"/>
  <c r="A73" i="66"/>
  <c r="Q83" i="66"/>
  <c r="M44" i="66"/>
  <c r="J56" i="66"/>
  <c r="A157" i="66"/>
  <c r="Q53" i="66"/>
  <c r="C106" i="66"/>
  <c r="H10" i="66"/>
  <c r="J34" i="66"/>
  <c r="Q128" i="66"/>
  <c r="P72" i="66"/>
  <c r="O150" i="66"/>
  <c r="I17" i="66"/>
  <c r="Q38" i="66"/>
  <c r="A48" i="66"/>
  <c r="C150" i="66"/>
  <c r="C137" i="66"/>
  <c r="Q86" i="66"/>
  <c r="D17" i="66"/>
  <c r="C55" i="66"/>
  <c r="D105" i="66"/>
  <c r="L39" i="66"/>
  <c r="E70" i="66"/>
  <c r="Q42" i="66"/>
  <c r="M92" i="66"/>
  <c r="D112" i="66"/>
  <c r="K73" i="66"/>
  <c r="E108" i="66"/>
  <c r="K133" i="66"/>
  <c r="G30" i="66"/>
  <c r="N30" i="66"/>
  <c r="H89" i="66"/>
  <c r="K13" i="66"/>
  <c r="Q122" i="66"/>
  <c r="E22" i="66"/>
  <c r="M128" i="66"/>
  <c r="C80" i="66"/>
  <c r="C40" i="66"/>
  <c r="M29" i="66"/>
  <c r="O107" i="66"/>
  <c r="F12" i="66"/>
  <c r="D132" i="66"/>
  <c r="S93" i="66"/>
  <c r="L99" i="66"/>
  <c r="S123" i="66"/>
  <c r="M130" i="66"/>
  <c r="J41" i="66"/>
  <c r="T147" i="66"/>
  <c r="D73" i="66"/>
  <c r="Q81" i="66"/>
  <c r="P19" i="66"/>
  <c r="K125" i="66"/>
  <c r="K82" i="66"/>
  <c r="D70" i="66"/>
  <c r="P17" i="66"/>
  <c r="M28" i="66"/>
  <c r="Q96" i="66"/>
  <c r="T155" i="66"/>
  <c r="C73" i="66"/>
  <c r="T123" i="66"/>
  <c r="O118" i="66"/>
  <c r="O142" i="66"/>
  <c r="N29" i="66"/>
  <c r="K63" i="66"/>
  <c r="G22" i="66"/>
  <c r="N49" i="66"/>
  <c r="T152" i="66"/>
  <c r="C48" i="66"/>
  <c r="A126" i="66"/>
  <c r="H125" i="66"/>
  <c r="I128" i="66"/>
  <c r="P103" i="66"/>
  <c r="O103" i="66"/>
  <c r="I26" i="66"/>
  <c r="D41" i="66"/>
  <c r="I66" i="66"/>
  <c r="A55" i="66"/>
  <c r="K31" i="66"/>
  <c r="E67" i="66"/>
  <c r="Q47" i="66"/>
  <c r="K153" i="66"/>
  <c r="L148" i="66"/>
  <c r="H47" i="66"/>
  <c r="I37" i="66"/>
  <c r="F5" i="66"/>
  <c r="C14" i="66"/>
  <c r="N37" i="66"/>
  <c r="M76" i="66"/>
  <c r="P62" i="66"/>
  <c r="N94" i="66"/>
  <c r="E124" i="66"/>
  <c r="I18" i="66"/>
  <c r="A120" i="66"/>
  <c r="L67" i="66"/>
  <c r="L63" i="66"/>
  <c r="A64" i="66"/>
  <c r="G71" i="66"/>
  <c r="D52" i="66"/>
  <c r="G148" i="66"/>
  <c r="F131" i="66"/>
  <c r="P53" i="66"/>
  <c r="D138" i="66"/>
  <c r="S94" i="66"/>
  <c r="A152" i="66"/>
  <c r="S12" i="66"/>
  <c r="S154" i="66"/>
  <c r="Q65" i="66"/>
  <c r="O56" i="66"/>
  <c r="J140" i="66"/>
  <c r="G19" i="66"/>
  <c r="I63" i="66"/>
  <c r="O97" i="66"/>
  <c r="K95" i="66"/>
  <c r="E62" i="66"/>
  <c r="J8" i="66"/>
  <c r="Q84" i="66"/>
  <c r="P76" i="66"/>
  <c r="Q41" i="66"/>
  <c r="S28" i="66"/>
  <c r="K139" i="66"/>
  <c r="O101" i="66"/>
  <c r="L100" i="66"/>
  <c r="I137" i="66"/>
  <c r="J107" i="66"/>
  <c r="A4" i="66"/>
  <c r="O60" i="66"/>
  <c r="K100" i="66"/>
  <c r="N125" i="66"/>
  <c r="T27" i="66"/>
  <c r="D64" i="66"/>
  <c r="S118" i="66"/>
  <c r="G55" i="66"/>
  <c r="H155" i="66"/>
  <c r="D26" i="66"/>
  <c r="S15" i="66"/>
  <c r="I79" i="66"/>
  <c r="F135" i="66"/>
  <c r="J138" i="66"/>
  <c r="Q50" i="66"/>
  <c r="D149" i="66"/>
  <c r="O149" i="66"/>
  <c r="D36" i="66"/>
  <c r="M131" i="66"/>
  <c r="E138" i="66"/>
  <c r="N87" i="66"/>
  <c r="S11" i="66"/>
  <c r="M67" i="66"/>
  <c r="T86" i="66"/>
  <c r="H51" i="66"/>
  <c r="I80" i="66"/>
  <c r="L56" i="66"/>
  <c r="K43" i="66"/>
  <c r="K111" i="66"/>
  <c r="E97" i="66"/>
  <c r="M11" i="66"/>
  <c r="O69" i="66"/>
  <c r="N133" i="66"/>
  <c r="O44" i="66"/>
  <c r="T10" i="66"/>
  <c r="J75" i="66"/>
  <c r="D72" i="66"/>
  <c r="P56" i="66"/>
  <c r="I53" i="66"/>
  <c r="E7" i="66"/>
  <c r="O109" i="66"/>
  <c r="P129" i="66"/>
  <c r="L70" i="66"/>
  <c r="T118" i="66"/>
  <c r="D62" i="66"/>
  <c r="T74" i="66"/>
  <c r="F118" i="66"/>
  <c r="I99" i="66"/>
  <c r="J62" i="66"/>
  <c r="D20" i="66"/>
  <c r="O30" i="66"/>
  <c r="A138" i="66"/>
  <c r="L82" i="66"/>
  <c r="H20" i="66"/>
  <c r="K59" i="66"/>
  <c r="E103" i="66"/>
  <c r="M14" i="66"/>
  <c r="M17" i="66"/>
  <c r="A90" i="66"/>
  <c r="F28" i="66"/>
  <c r="C93" i="66"/>
  <c r="H100" i="66"/>
  <c r="O38" i="66"/>
  <c r="O22" i="66"/>
  <c r="M41" i="66"/>
  <c r="E123" i="66"/>
  <c r="S152" i="66"/>
  <c r="C50" i="66"/>
  <c r="L109" i="66"/>
  <c r="L69" i="66"/>
  <c r="N18" i="66"/>
  <c r="G7" i="66"/>
  <c r="M62" i="66"/>
  <c r="A7" i="66"/>
  <c r="N10" i="66"/>
  <c r="A66" i="66"/>
  <c r="E57" i="66"/>
  <c r="G21" i="66"/>
  <c r="J50" i="66"/>
  <c r="E71" i="66"/>
  <c r="O72" i="66"/>
  <c r="C67" i="66"/>
  <c r="L138" i="66"/>
  <c r="N67" i="66"/>
  <c r="T64" i="66"/>
  <c r="C53" i="66"/>
  <c r="Q10" i="66"/>
  <c r="P122" i="66"/>
  <c r="S70" i="66"/>
  <c r="D12" i="66"/>
  <c r="T46" i="66"/>
  <c r="F133" i="66"/>
  <c r="K60" i="66"/>
  <c r="T4" i="67"/>
  <c r="T30" i="66"/>
  <c r="L25" i="66"/>
  <c r="E82" i="66"/>
  <c r="C153" i="66"/>
  <c r="P74" i="66"/>
  <c r="Q119" i="66"/>
  <c r="A124" i="66"/>
  <c r="C13" i="66"/>
  <c r="A54" i="66"/>
  <c r="D47" i="66"/>
  <c r="S125" i="66"/>
  <c r="H14" i="66"/>
  <c r="D76" i="66"/>
  <c r="I10" i="66"/>
  <c r="S37" i="66"/>
  <c r="I103" i="66"/>
  <c r="K61" i="66"/>
  <c r="K70" i="66"/>
  <c r="L123" i="66"/>
  <c r="T26" i="66"/>
  <c r="S67" i="66"/>
  <c r="S32" i="66"/>
  <c r="J90" i="66"/>
  <c r="K41" i="66"/>
  <c r="Q32" i="66"/>
  <c r="D145" i="66"/>
  <c r="N118" i="66"/>
  <c r="E15" i="66"/>
  <c r="P78" i="66"/>
  <c r="F78" i="66"/>
  <c r="M95" i="66"/>
  <c r="E142" i="66"/>
  <c r="P45" i="66"/>
  <c r="H92" i="66"/>
  <c r="C74" i="66"/>
  <c r="P130" i="66"/>
  <c r="O27" i="66"/>
  <c r="Q61" i="66"/>
  <c r="S44" i="66"/>
  <c r="M83" i="66"/>
  <c r="C69" i="66"/>
  <c r="Q133" i="66"/>
  <c r="F142" i="66"/>
  <c r="G80" i="66"/>
  <c r="K122" i="66"/>
  <c r="Q126" i="66"/>
  <c r="M37" i="66"/>
  <c r="I112" i="66"/>
  <c r="K85" i="66"/>
  <c r="Q93" i="66"/>
  <c r="C62" i="66"/>
  <c r="L125" i="66"/>
  <c r="P14" i="66"/>
  <c r="H33" i="66"/>
  <c r="M110" i="66"/>
  <c r="E141" i="66"/>
  <c r="C128" i="66"/>
  <c r="L12" i="66"/>
  <c r="J110" i="66"/>
  <c r="F52" i="66"/>
  <c r="F147" i="66"/>
  <c r="F65" i="66"/>
  <c r="N17" i="66"/>
  <c r="I96" i="66"/>
  <c r="P8" i="66"/>
  <c r="L112" i="66"/>
  <c r="S105" i="66"/>
  <c r="H156" i="66"/>
  <c r="O100" i="66"/>
  <c r="O139" i="66"/>
  <c r="E28" i="66"/>
  <c r="S108" i="66"/>
  <c r="S64" i="66"/>
  <c r="M107" i="66"/>
  <c r="O153" i="66"/>
  <c r="P100" i="66"/>
  <c r="C19" i="66"/>
  <c r="H44" i="66"/>
  <c r="N59" i="66"/>
  <c r="M54" i="66"/>
  <c r="M72" i="66"/>
  <c r="I43" i="66"/>
  <c r="S87" i="66"/>
  <c r="K131" i="66"/>
  <c r="M22" i="66"/>
  <c r="D139" i="66"/>
  <c r="M46" i="66"/>
  <c r="T96" i="66"/>
  <c r="P114" i="66"/>
  <c r="Q159" i="66"/>
  <c r="Q48" i="66"/>
  <c r="P71" i="66"/>
  <c r="P37" i="66"/>
  <c r="I73" i="66"/>
  <c r="N89" i="66"/>
  <c r="K22" i="66"/>
  <c r="M80" i="66"/>
  <c r="N45" i="66"/>
  <c r="S77" i="66"/>
  <c r="E95" i="66"/>
  <c r="G101" i="66"/>
  <c r="T128" i="66"/>
  <c r="I148" i="66"/>
  <c r="A87" i="66"/>
  <c r="D102" i="66"/>
  <c r="J31" i="66"/>
  <c r="T109" i="66"/>
  <c r="D93" i="66"/>
  <c r="P148" i="66"/>
  <c r="P46" i="66"/>
  <c r="P39" i="66"/>
  <c r="T159" i="66"/>
  <c r="L19" i="66"/>
  <c r="H22" i="66"/>
  <c r="G24" i="66"/>
  <c r="G33" i="66"/>
  <c r="N35" i="66"/>
  <c r="T14" i="66"/>
  <c r="C135" i="66"/>
  <c r="F125" i="66"/>
  <c r="I6" i="66"/>
  <c r="S73" i="66"/>
  <c r="O137" i="66"/>
  <c r="F5" i="77"/>
  <c r="T73" i="66"/>
  <c r="T59" i="66"/>
  <c r="E9" i="66"/>
  <c r="D99" i="66"/>
  <c r="O17" i="66"/>
  <c r="S116" i="66"/>
  <c r="E145" i="66"/>
  <c r="K92" i="66"/>
  <c r="F50" i="66"/>
  <c r="F49" i="66"/>
  <c r="F20" i="66"/>
  <c r="E130" i="66"/>
  <c r="F42" i="66"/>
  <c r="I68" i="66"/>
  <c r="E31" i="66"/>
  <c r="T55" i="66"/>
  <c r="J25" i="66"/>
  <c r="C116" i="66"/>
  <c r="L121" i="66"/>
  <c r="M89" i="66"/>
  <c r="H110" i="66"/>
  <c r="M113" i="66"/>
  <c r="C138" i="66"/>
  <c r="I71" i="66"/>
  <c r="E24" i="66"/>
  <c r="P32" i="66"/>
  <c r="Q141" i="66"/>
  <c r="G139" i="66"/>
  <c r="C32" i="66"/>
  <c r="E36" i="66"/>
  <c r="T54" i="66"/>
  <c r="G105" i="66"/>
  <c r="A114" i="66"/>
  <c r="J33" i="66"/>
  <c r="T66" i="66"/>
  <c r="L127" i="66"/>
  <c r="G70" i="66"/>
  <c r="T150" i="66"/>
  <c r="S4" i="67"/>
  <c r="I133" i="66"/>
  <c r="G154" i="66"/>
  <c r="G28" i="66"/>
  <c r="A76" i="66"/>
  <c r="O52" i="66"/>
  <c r="J81" i="66"/>
  <c r="G61" i="66"/>
  <c r="A103" i="66"/>
  <c r="Q5" i="66"/>
  <c r="K12" i="66"/>
  <c r="G143" i="66"/>
  <c r="K128" i="66"/>
  <c r="O130" i="66"/>
  <c r="I141" i="66"/>
  <c r="G95" i="66"/>
  <c r="S120" i="66"/>
  <c r="J39" i="66"/>
  <c r="F27" i="66"/>
  <c r="O93" i="66"/>
  <c r="N129" i="66"/>
  <c r="H54" i="66"/>
  <c r="Q33" i="66"/>
  <c r="T103" i="66"/>
  <c r="I127" i="66"/>
  <c r="O50" i="66"/>
  <c r="T5" i="66"/>
  <c r="E13" i="66"/>
  <c r="Q4" i="66"/>
  <c r="F16" i="66"/>
  <c r="M125" i="66"/>
  <c r="H88" i="66"/>
  <c r="P112" i="66"/>
  <c r="K123" i="66"/>
  <c r="O125" i="66"/>
  <c r="M123" i="66"/>
  <c r="T156" i="66"/>
  <c r="G149" i="66"/>
  <c r="I46" i="66"/>
  <c r="C57" i="66"/>
  <c r="M99" i="66"/>
  <c r="I14" i="66"/>
  <c r="L118" i="66"/>
  <c r="J124" i="66"/>
  <c r="N14" i="66"/>
  <c r="K24" i="66"/>
  <c r="K83" i="66"/>
  <c r="N127" i="66"/>
  <c r="I74" i="66"/>
  <c r="H145" i="66"/>
  <c r="P152" i="66"/>
  <c r="C65" i="66"/>
  <c r="K28" i="66"/>
  <c r="H115" i="66"/>
  <c r="F137" i="66"/>
  <c r="F116" i="66"/>
  <c r="E74" i="66"/>
  <c r="S102" i="66"/>
  <c r="H138" i="66"/>
  <c r="A156" i="66"/>
  <c r="A142" i="66"/>
  <c r="O104" i="66"/>
  <c r="G42" i="66"/>
  <c r="N97" i="66"/>
  <c r="E156" i="66"/>
  <c r="F154" i="66"/>
  <c r="S119" i="66"/>
  <c r="H4" i="67"/>
  <c r="G27" i="66"/>
  <c r="F119" i="66"/>
  <c r="D35" i="66"/>
  <c r="M132" i="66"/>
  <c r="K35" i="66"/>
  <c r="K126" i="66"/>
  <c r="Q13" i="66"/>
  <c r="D120" i="66"/>
  <c r="O13" i="66"/>
  <c r="E126" i="66"/>
  <c r="Q19" i="66"/>
  <c r="H127" i="66"/>
  <c r="T28" i="66"/>
  <c r="A29" i="66"/>
  <c r="Q138" i="66"/>
  <c r="D71" i="66"/>
  <c r="E78" i="66"/>
  <c r="F4" i="77"/>
  <c r="G32" i="66"/>
  <c r="M153" i="66"/>
  <c r="T77" i="66"/>
  <c r="H70" i="66"/>
  <c r="S60" i="66"/>
  <c r="H80" i="66"/>
  <c r="C49" i="66"/>
  <c r="L13" i="66"/>
  <c r="T84" i="66"/>
  <c r="L88" i="66"/>
  <c r="D7" i="66"/>
  <c r="H27" i="66"/>
  <c r="L37" i="67"/>
  <c r="L44" i="66"/>
  <c r="M96" i="66"/>
  <c r="T15" i="66"/>
  <c r="Q77" i="66"/>
  <c r="U4" i="67"/>
  <c r="N81" i="66"/>
  <c r="I115" i="66"/>
  <c r="Q17" i="66"/>
  <c r="J63" i="66"/>
  <c r="J94" i="66"/>
  <c r="G17" i="66"/>
  <c r="Q87" i="66"/>
  <c r="L37" i="66"/>
  <c r="L53" i="66"/>
  <c r="S43" i="66"/>
  <c r="Q70" i="66"/>
  <c r="A20" i="66"/>
  <c r="J70" i="66"/>
  <c r="Q132" i="66"/>
  <c r="C22" i="66"/>
  <c r="I65" i="66"/>
  <c r="S31" i="66"/>
  <c r="O66" i="66"/>
  <c r="J102" i="66"/>
  <c r="A18" i="66"/>
  <c r="F44" i="66"/>
  <c r="H140" i="66"/>
  <c r="C21" i="66"/>
  <c r="O59" i="66"/>
  <c r="O16" i="66"/>
  <c r="N102" i="66"/>
  <c r="A105" i="66"/>
  <c r="L108" i="66"/>
  <c r="C96" i="66"/>
  <c r="C148" i="66"/>
  <c r="N40" i="66"/>
  <c r="I108" i="66"/>
  <c r="K32" i="66"/>
  <c r="P41" i="66"/>
  <c r="E107" i="66"/>
  <c r="C126" i="66"/>
  <c r="F11" i="66"/>
  <c r="O74" i="66"/>
  <c r="N128" i="66"/>
  <c r="J92" i="66"/>
  <c r="N8" i="66"/>
  <c r="A28" i="66"/>
  <c r="J142" i="66"/>
  <c r="I7" i="66"/>
  <c r="S140" i="66"/>
  <c r="T126" i="66"/>
  <c r="I88" i="66"/>
  <c r="T132" i="66"/>
  <c r="E136" i="66"/>
  <c r="S23" i="66"/>
  <c r="I11" i="66"/>
  <c r="S68" i="66"/>
  <c r="M34" i="66"/>
  <c r="E10" i="66"/>
  <c r="I21" i="66"/>
  <c r="D129" i="66"/>
  <c r="C155" i="66"/>
  <c r="M66" i="66"/>
  <c r="O120" i="66"/>
  <c r="H79" i="66"/>
  <c r="M57" i="66"/>
  <c r="C90" i="66"/>
  <c r="F127" i="66"/>
  <c r="H12" i="66"/>
  <c r="S49" i="66"/>
  <c r="M27" i="66"/>
  <c r="J22" i="66"/>
  <c r="D38" i="66"/>
  <c r="N88" i="66"/>
  <c r="H141" i="66"/>
  <c r="P11" i="66"/>
  <c r="N7" i="66"/>
  <c r="O113" i="66"/>
  <c r="F60" i="66"/>
  <c r="P124" i="66"/>
  <c r="S75" i="66"/>
  <c r="F83" i="66"/>
  <c r="J145" i="66"/>
  <c r="S48" i="66"/>
  <c r="E44" i="66"/>
  <c r="A51" i="66"/>
  <c r="T48" i="66"/>
  <c r="T79" i="66"/>
  <c r="D126" i="66"/>
  <c r="O24" i="66"/>
  <c r="D131" i="66"/>
  <c r="T145" i="66"/>
  <c r="K55" i="66"/>
  <c r="K116" i="66"/>
  <c r="E41" i="66"/>
  <c r="G129" i="66"/>
  <c r="M88" i="66"/>
  <c r="N131" i="66"/>
  <c r="G102" i="66"/>
  <c r="H93" i="66"/>
  <c r="F51" i="66"/>
  <c r="S17" i="66"/>
  <c r="J156" i="66"/>
  <c r="S148" i="66"/>
  <c r="L38" i="66"/>
  <c r="D49" i="66"/>
  <c r="E45" i="66"/>
  <c r="G122" i="66"/>
  <c r="K16" i="66"/>
  <c r="O132" i="66"/>
  <c r="L10" i="66"/>
  <c r="J157" i="66"/>
  <c r="E14" i="66"/>
  <c r="H95" i="66"/>
  <c r="D154" i="66"/>
  <c r="G8" i="66"/>
  <c r="J99" i="66"/>
  <c r="J37" i="66"/>
  <c r="G74" i="66"/>
  <c r="C88" i="66"/>
  <c r="N71" i="66"/>
  <c r="L97" i="66"/>
  <c r="D135" i="66"/>
  <c r="J65" i="66"/>
  <c r="S107" i="66"/>
  <c r="E85" i="66"/>
  <c r="S104" i="66"/>
  <c r="S58" i="66"/>
  <c r="E6" i="66"/>
  <c r="O99" i="66"/>
  <c r="C146" i="66"/>
  <c r="E46" i="66"/>
  <c r="E49" i="66"/>
  <c r="S90" i="66"/>
  <c r="I126" i="66"/>
  <c r="H75" i="66"/>
  <c r="T125" i="66"/>
  <c r="E93" i="66"/>
  <c r="A42" i="66"/>
  <c r="C45" i="66"/>
  <c r="I34" i="66"/>
  <c r="A41" i="66"/>
  <c r="A11" i="66"/>
  <c r="P73" i="66"/>
  <c r="H74" i="66"/>
  <c r="J127" i="66"/>
  <c r="F110" i="66"/>
  <c r="T57" i="66"/>
  <c r="J125" i="66"/>
  <c r="G72" i="66"/>
  <c r="I93" i="66"/>
  <c r="P120" i="66"/>
  <c r="J74" i="66"/>
  <c r="T107" i="66"/>
  <c r="L140" i="66"/>
  <c r="M122" i="66"/>
  <c r="O122" i="66"/>
  <c r="E110" i="66"/>
  <c r="L22" i="66"/>
  <c r="H65" i="66"/>
  <c r="F55" i="66"/>
  <c r="N142" i="66"/>
  <c r="L149" i="66"/>
  <c r="N22" i="66"/>
  <c r="A95" i="66"/>
  <c r="I124" i="66"/>
  <c r="G106" i="66"/>
  <c r="D78" i="66"/>
  <c r="F120" i="66"/>
  <c r="A35" i="66"/>
  <c r="M32" i="66"/>
  <c r="I125" i="66"/>
  <c r="Q54" i="66"/>
  <c r="T4" i="66"/>
  <c r="Q37" i="66"/>
  <c r="H46" i="66"/>
  <c r="Q56" i="66"/>
  <c r="G90" i="66"/>
  <c r="O49" i="66"/>
  <c r="P48" i="66"/>
  <c r="O18" i="66"/>
  <c r="L61" i="66"/>
  <c r="F35" i="66"/>
  <c r="N60" i="66"/>
  <c r="D37" i="66"/>
  <c r="J126" i="66"/>
  <c r="H109" i="66"/>
  <c r="Q97" i="66"/>
  <c r="J93" i="66"/>
  <c r="S52" i="66"/>
  <c r="K134" i="66"/>
  <c r="O26" i="66"/>
  <c r="A70" i="66"/>
  <c r="O33" i="66"/>
  <c r="L75" i="66"/>
  <c r="L26" i="66"/>
  <c r="G38" i="66"/>
  <c r="I107" i="66"/>
  <c r="A5" i="66"/>
  <c r="E81" i="66"/>
  <c r="S16" i="66"/>
  <c r="M40" i="66"/>
  <c r="D122" i="66"/>
  <c r="J119" i="66"/>
  <c r="H81" i="66"/>
  <c r="H132" i="66"/>
  <c r="I110" i="66"/>
  <c r="F54" i="66"/>
  <c r="E72" i="66"/>
  <c r="G144" i="66"/>
  <c r="K79" i="66"/>
  <c r="A121" i="66"/>
  <c r="J91" i="66"/>
  <c r="C130" i="66"/>
  <c r="O84" i="66"/>
  <c r="D81" i="66"/>
  <c r="I84" i="66"/>
  <c r="L150" i="66"/>
  <c r="J118" i="66"/>
  <c r="S14" i="66"/>
  <c r="T21" i="66"/>
  <c r="N107" i="66"/>
  <c r="H97" i="66"/>
  <c r="D77" i="66"/>
  <c r="I61" i="66"/>
  <c r="I52" i="66"/>
  <c r="O135" i="66"/>
  <c r="F34" i="66"/>
  <c r="F29" i="66"/>
  <c r="A52" i="66"/>
  <c r="O143" i="66"/>
  <c r="O4" i="66"/>
  <c r="H99" i="66"/>
  <c r="J40" i="66"/>
  <c r="P143" i="66"/>
  <c r="H45" i="66"/>
  <c r="L45" i="66"/>
  <c r="N48" i="66"/>
  <c r="F66" i="66"/>
  <c r="H28" i="66"/>
  <c r="K120" i="66"/>
  <c r="O77" i="66"/>
  <c r="T105" i="66"/>
  <c r="H123" i="66"/>
  <c r="D147" i="66"/>
  <c r="S84" i="66"/>
  <c r="Q94" i="66"/>
  <c r="P145" i="66"/>
  <c r="I56" i="66"/>
  <c r="A111" i="66"/>
  <c r="Q118" i="66"/>
  <c r="C87" i="66"/>
  <c r="O12" i="66"/>
  <c r="F107" i="66"/>
  <c r="H82" i="66"/>
  <c r="F7" i="66"/>
  <c r="I4" i="66"/>
  <c r="A107" i="66"/>
  <c r="N83" i="66"/>
  <c r="P79" i="66"/>
  <c r="C89" i="66"/>
  <c r="T36" i="66"/>
  <c r="J104" i="66"/>
  <c r="O111" i="66"/>
  <c r="L111" i="66"/>
  <c r="K107" i="66"/>
  <c r="C4" i="66"/>
  <c r="O141" i="66"/>
  <c r="P24" i="66"/>
  <c r="D127" i="66"/>
  <c r="L76" i="66"/>
  <c r="C12" i="66"/>
  <c r="C108" i="66"/>
  <c r="M118" i="66"/>
  <c r="T29" i="66"/>
  <c r="C37" i="66"/>
  <c r="H39" i="66"/>
  <c r="F41" i="66"/>
  <c r="Q34" i="66"/>
  <c r="A68" i="66"/>
  <c r="D150" i="66"/>
  <c r="F140" i="66"/>
  <c r="J36" i="66"/>
  <c r="K93" i="66"/>
  <c r="S57" i="66"/>
  <c r="F37" i="66"/>
  <c r="C31" i="66"/>
  <c r="O31" i="66"/>
  <c r="L92" i="66"/>
  <c r="J48" i="66"/>
  <c r="I131" i="66"/>
  <c r="P5" i="66"/>
  <c r="S76" i="66"/>
  <c r="K1" i="67"/>
  <c r="G13" i="66"/>
  <c r="F71" i="66"/>
  <c r="P65" i="66"/>
  <c r="E48" i="66"/>
  <c r="G153" i="66"/>
  <c r="M119" i="66"/>
  <c r="G151" i="66"/>
  <c r="E114" i="66"/>
  <c r="C51" i="66"/>
  <c r="O8" i="66"/>
  <c r="H15" i="66"/>
  <c r="P111" i="66"/>
  <c r="E58" i="66"/>
  <c r="N80" i="66"/>
  <c r="P38" i="66"/>
  <c r="F92" i="66"/>
  <c r="F132" i="66"/>
  <c r="M60" i="66"/>
  <c r="L130" i="66"/>
  <c r="K80" i="66"/>
  <c r="S19" i="66"/>
  <c r="O91" i="66"/>
  <c r="Q120" i="66"/>
  <c r="A147" i="66"/>
  <c r="H23" i="66"/>
  <c r="F155" i="66"/>
  <c r="T157" i="66"/>
  <c r="F138" i="66"/>
  <c r="J55" i="66"/>
  <c r="T41" i="66"/>
  <c r="P101" i="66"/>
  <c r="M84" i="66"/>
  <c r="P156" i="66"/>
  <c r="N23" i="66"/>
  <c r="M61" i="66"/>
  <c r="H72" i="66"/>
  <c r="H35" i="66"/>
  <c r="J15" i="66"/>
  <c r="M25" i="66"/>
  <c r="D92" i="66"/>
  <c r="H87" i="66"/>
  <c r="J137" i="66"/>
  <c r="K151" i="66"/>
  <c r="M111" i="66"/>
  <c r="C139" i="66"/>
  <c r="I89" i="66"/>
  <c r="T82" i="66"/>
  <c r="I28" i="66"/>
  <c r="H21" i="66"/>
  <c r="A130" i="66"/>
  <c r="A128" i="66"/>
  <c r="D148" i="66"/>
  <c r="L136" i="66"/>
  <c r="P104" i="66"/>
  <c r="M33" i="66"/>
  <c r="N143" i="66"/>
  <c r="J146" i="66"/>
  <c r="L73" i="66"/>
  <c r="K90" i="66"/>
  <c r="J122" i="66"/>
  <c r="H131" i="66"/>
  <c r="E132" i="66"/>
  <c r="T131" i="66"/>
  <c r="M15" i="66"/>
  <c r="J82" i="66"/>
  <c r="N114" i="66"/>
  <c r="S103" i="66"/>
  <c r="N27" i="66"/>
  <c r="D107" i="66"/>
  <c r="T121" i="66"/>
  <c r="Q155" i="66"/>
  <c r="Q78" i="66"/>
  <c r="G64" i="66"/>
  <c r="S112" i="66"/>
  <c r="C95" i="66"/>
  <c r="S26" i="66"/>
  <c r="D91" i="66"/>
  <c r="I121" i="66"/>
  <c r="G145" i="66"/>
  <c r="G128" i="66"/>
  <c r="L78" i="66"/>
  <c r="H40" i="66"/>
  <c r="H69" i="66"/>
  <c r="I100" i="66"/>
  <c r="G86" i="66"/>
  <c r="H126" i="66"/>
  <c r="E116" i="66"/>
  <c r="O92" i="66"/>
  <c r="C72" i="66"/>
  <c r="D156" i="66"/>
  <c r="N50" i="66"/>
  <c r="G59" i="66"/>
  <c r="I47" i="66"/>
  <c r="M100" i="66"/>
  <c r="K15" i="66"/>
  <c r="L94" i="66"/>
  <c r="G66" i="66"/>
  <c r="F121" i="66"/>
  <c r="S138" i="66"/>
  <c r="N154" i="66"/>
  <c r="O106" i="66"/>
  <c r="D53" i="66"/>
  <c r="S89" i="66"/>
  <c r="S34" i="66"/>
  <c r="T119" i="66"/>
  <c r="K152" i="66"/>
  <c r="T12" i="66"/>
  <c r="M39" i="66"/>
  <c r="O85" i="66"/>
  <c r="H122" i="66"/>
  <c r="N110" i="66"/>
  <c r="C91" i="66"/>
  <c r="N32" i="66"/>
  <c r="P115" i="66"/>
  <c r="F24" i="66"/>
  <c r="H8" i="66"/>
  <c r="N65" i="66"/>
  <c r="C105" i="66"/>
  <c r="S38" i="66"/>
  <c r="D58" i="66"/>
  <c r="C156" i="66"/>
  <c r="I152" i="66"/>
  <c r="P77" i="66"/>
  <c r="L42" i="66"/>
  <c r="H150" i="66"/>
  <c r="P113" i="66"/>
  <c r="G136" i="66"/>
  <c r="M149" i="66"/>
  <c r="M18" i="66"/>
  <c r="E16" i="66"/>
  <c r="N147" i="66"/>
  <c r="D10" i="66"/>
  <c r="K127" i="66"/>
  <c r="I94" i="66"/>
  <c r="O127" i="66"/>
  <c r="O76" i="66"/>
  <c r="D44" i="66"/>
  <c r="L4" i="66"/>
  <c r="F23" i="66"/>
  <c r="K30" i="66"/>
  <c r="Q67" i="66"/>
  <c r="O5" i="66"/>
  <c r="L30" i="66"/>
  <c r="O11" i="66"/>
  <c r="G8" i="67"/>
  <c r="G68" i="66"/>
  <c r="D59" i="66"/>
  <c r="I55" i="66"/>
  <c r="E42" i="66"/>
  <c r="P123" i="66"/>
  <c r="A115" i="66"/>
  <c r="D69" i="66"/>
  <c r="L54" i="66"/>
  <c r="O32" i="66"/>
  <c r="D141" i="66"/>
  <c r="M143" i="66"/>
  <c r="Q15" i="66"/>
  <c r="D130" i="66"/>
  <c r="Q69" i="66"/>
  <c r="T56" i="66"/>
  <c r="D32" i="66"/>
  <c r="I69" i="66"/>
  <c r="S35" i="66"/>
  <c r="F106" i="66"/>
  <c r="S39" i="66"/>
  <c r="O89" i="66"/>
  <c r="Q82" i="66"/>
  <c r="L51" i="66"/>
  <c r="Q123" i="66"/>
  <c r="P84" i="66"/>
  <c r="Q9" i="66"/>
  <c r="S41" i="66"/>
  <c r="Q92" i="66"/>
  <c r="L102" i="66"/>
  <c r="E139" i="66"/>
  <c r="P119" i="66"/>
  <c r="M82" i="66"/>
  <c r="C4" i="77"/>
  <c r="C70" i="66"/>
  <c r="T16" i="66"/>
  <c r="F90" i="66"/>
  <c r="F67" i="66"/>
  <c r="Q6" i="66"/>
  <c r="K91" i="66"/>
  <c r="Q144" i="66"/>
  <c r="I118" i="66"/>
  <c r="Q149" i="66"/>
  <c r="J88" i="66"/>
  <c r="Q111" i="66"/>
  <c r="G141" i="66"/>
  <c r="K105" i="66"/>
  <c r="K66" i="66"/>
  <c r="H4" i="66"/>
  <c r="Q148" i="66"/>
  <c r="K86" i="66"/>
  <c r="G47" i="66"/>
  <c r="D5" i="66"/>
  <c r="M56" i="66"/>
  <c r="L33" i="66"/>
  <c r="N78" i="66"/>
  <c r="I105" i="66"/>
  <c r="L8" i="66"/>
  <c r="P36" i="66"/>
  <c r="C79" i="66"/>
  <c r="T130" i="66"/>
  <c r="T13" i="66"/>
  <c r="I132" i="66"/>
  <c r="G112" i="66"/>
  <c r="I135" i="66"/>
  <c r="N57" i="66"/>
  <c r="C112" i="66"/>
  <c r="G45" i="66"/>
  <c r="I8" i="66"/>
  <c r="P30" i="66"/>
  <c r="N120" i="66"/>
  <c r="C109" i="66"/>
  <c r="F109" i="66"/>
  <c r="H62" i="66"/>
  <c r="H101" i="66"/>
  <c r="I67" i="66"/>
  <c r="F8" i="66"/>
  <c r="P86" i="66"/>
  <c r="M77" i="66"/>
  <c r="Q62" i="66"/>
  <c r="F141" i="66"/>
  <c r="I120" i="66"/>
  <c r="F102" i="66"/>
  <c r="I9" i="66"/>
  <c r="J10" i="66"/>
  <c r="T51" i="66"/>
  <c r="I22" i="66"/>
  <c r="I41" i="66"/>
  <c r="E157" i="66"/>
  <c r="O15" i="66"/>
  <c r="G1" i="77"/>
  <c r="C97" i="66"/>
  <c r="L7" i="66"/>
  <c r="N47" i="66"/>
  <c r="D137" i="66"/>
  <c r="G137" i="66"/>
  <c r="E79" i="66"/>
  <c r="E154" i="66"/>
  <c r="S53" i="66"/>
  <c r="H152" i="66"/>
  <c r="N64" i="66"/>
  <c r="S20" i="66"/>
  <c r="D55" i="66"/>
  <c r="N150" i="66"/>
  <c r="I30" i="66"/>
  <c r="I45" i="66"/>
  <c r="M5" i="66"/>
  <c r="S114" i="66"/>
  <c r="E63" i="66"/>
  <c r="A110" i="66"/>
  <c r="O71" i="66"/>
  <c r="O37" i="66"/>
  <c r="X4" i="67"/>
  <c r="G62" i="66"/>
  <c r="K37" i="66"/>
  <c r="P25" i="66"/>
  <c r="P29" i="66"/>
  <c r="M151" i="66"/>
  <c r="S158" i="66"/>
  <c r="H113" i="66"/>
  <c r="J130" i="66"/>
  <c r="N72" i="66"/>
  <c r="N100" i="66"/>
  <c r="A6" i="66"/>
  <c r="A144" i="66"/>
  <c r="S65" i="66"/>
  <c r="E148" i="66"/>
  <c r="Q125" i="66"/>
  <c r="G138" i="66"/>
  <c r="A19" i="66"/>
  <c r="Q24" i="66"/>
  <c r="T72" i="66"/>
  <c r="I24" i="66"/>
  <c r="T76" i="66"/>
  <c r="S21" i="66"/>
  <c r="D136" i="66"/>
  <c r="K40" i="66"/>
  <c r="E43" i="66"/>
  <c r="I129" i="66"/>
  <c r="A13" i="66"/>
  <c r="N115" i="66"/>
  <c r="C76" i="66"/>
  <c r="A78" i="66"/>
  <c r="K33" i="66"/>
  <c r="J139" i="66"/>
  <c r="Q4" i="67"/>
  <c r="C38" i="66"/>
  <c r="N70" i="66"/>
  <c r="D13" i="66"/>
  <c r="A5" i="77"/>
  <c r="L141" i="66"/>
  <c r="K156" i="66"/>
  <c r="L114" i="66"/>
  <c r="K104" i="66"/>
  <c r="G134" i="66"/>
  <c r="T110" i="66"/>
  <c r="J123" i="66"/>
  <c r="L83" i="66"/>
  <c r="N86" i="66"/>
  <c r="Q104" i="66"/>
  <c r="D144" i="66"/>
  <c r="A146" i="66"/>
  <c r="A47" i="66"/>
  <c r="M120" i="66"/>
  <c r="I130" i="66"/>
  <c r="H78" i="66"/>
  <c r="A10" i="66"/>
  <c r="C25" i="66"/>
  <c r="L124" i="66"/>
  <c r="N69" i="66"/>
  <c r="I113" i="66"/>
  <c r="S83" i="66"/>
  <c r="C151" i="66"/>
  <c r="S97" i="66"/>
  <c r="E144" i="66"/>
  <c r="J51" i="66"/>
  <c r="H85" i="66"/>
  <c r="I95" i="66"/>
  <c r="F99" i="66"/>
  <c r="P52" i="66"/>
  <c r="P18" i="66"/>
  <c r="H7" i="66"/>
  <c r="S130" i="66"/>
  <c r="F56" i="66"/>
  <c r="K4" i="66"/>
  <c r="S36" i="66"/>
  <c r="A82" i="66"/>
  <c r="L156" i="66"/>
  <c r="P59" i="66"/>
  <c r="P135" i="66"/>
  <c r="I42" i="66"/>
  <c r="S133" i="66"/>
  <c r="A46" i="66"/>
  <c r="D153" i="66"/>
  <c r="E18" i="66"/>
  <c r="L131" i="66"/>
  <c r="S92" i="66"/>
  <c r="A140" i="66"/>
  <c r="F62" i="66"/>
  <c r="T71" i="66"/>
  <c r="G103" i="66"/>
  <c r="M42" i="66"/>
  <c r="A22" i="66"/>
  <c r="T6" i="66"/>
  <c r="A85" i="66"/>
  <c r="S146" i="66"/>
  <c r="J86" i="66"/>
  <c r="O43" i="66"/>
  <c r="Q11" i="66"/>
  <c r="A43" i="66"/>
  <c r="F123" i="66"/>
  <c r="E61" i="66"/>
  <c r="O19" i="66"/>
  <c r="K38" i="66"/>
  <c r="Q151" i="66"/>
  <c r="S124" i="66"/>
  <c r="Q59" i="66"/>
  <c r="H24" i="66"/>
  <c r="Q147" i="66"/>
  <c r="A135" i="66"/>
  <c r="Q21" i="66"/>
  <c r="T102" i="66"/>
  <c r="Q130" i="66"/>
  <c r="E118" i="66"/>
  <c r="J11" i="66"/>
  <c r="Q150" i="66"/>
  <c r="I138" i="66"/>
  <c r="T136" i="66"/>
  <c r="S128" i="66"/>
  <c r="H103" i="66"/>
  <c r="Q7" i="66"/>
  <c r="N113" i="66"/>
  <c r="Q74" i="66"/>
  <c r="O148" i="66"/>
  <c r="Q142" i="66"/>
  <c r="O83" i="66"/>
  <c r="Q129" i="66"/>
  <c r="E153" i="66"/>
  <c r="J121" i="66"/>
  <c r="G88" i="66"/>
  <c r="E25" i="66"/>
  <c r="O36" i="66"/>
  <c r="P80" i="66"/>
  <c r="C145" i="66"/>
  <c r="E32" i="66"/>
  <c r="G133" i="66"/>
  <c r="Q112" i="66"/>
  <c r="H32" i="66"/>
  <c r="Q154" i="66"/>
  <c r="P83" i="66"/>
  <c r="A4" i="77"/>
  <c r="O87" i="66"/>
  <c r="Q127" i="66"/>
  <c r="P89" i="66"/>
  <c r="T141" i="66"/>
  <c r="N15" i="66"/>
  <c r="O28" i="66"/>
  <c r="E33" i="66"/>
  <c r="O41" i="66"/>
  <c r="G115" i="66"/>
  <c r="L110" i="66"/>
  <c r="I144" i="66"/>
  <c r="D121" i="66"/>
  <c r="S5" i="66"/>
  <c r="I136" i="66"/>
  <c r="K50" i="66"/>
  <c r="T52" i="66"/>
  <c r="T19" i="66"/>
  <c r="M139" i="66"/>
  <c r="I104" i="66"/>
  <c r="E109" i="66"/>
  <c r="J23" i="66"/>
  <c r="N103" i="66"/>
  <c r="T144" i="66"/>
  <c r="M81" i="66"/>
  <c r="D60" i="66"/>
  <c r="S27" i="66"/>
  <c r="G104" i="66"/>
  <c r="N134" i="66"/>
  <c r="A134" i="66"/>
  <c r="E51" i="66"/>
  <c r="A118" i="66"/>
  <c r="F84" i="66"/>
  <c r="P21" i="66"/>
  <c r="P102" i="66"/>
  <c r="M112" i="66"/>
  <c r="G26" i="66"/>
  <c r="T33" i="66"/>
  <c r="P69" i="66"/>
  <c r="E66" i="66"/>
  <c r="H25" i="66"/>
  <c r="K110" i="66"/>
  <c r="C110" i="66"/>
  <c r="C6" i="66"/>
  <c r="J80" i="66"/>
  <c r="S13" i="66"/>
  <c r="D43" i="66"/>
  <c r="Q26" i="66"/>
  <c r="J149" i="66"/>
  <c r="C125" i="66"/>
  <c r="S45" i="66"/>
  <c r="T113" i="66"/>
  <c r="M53" i="66"/>
  <c r="T45" i="66"/>
  <c r="K18" i="66"/>
  <c r="Q63" i="66"/>
  <c r="Q14" i="66"/>
  <c r="Q134" i="66"/>
  <c r="Q106" i="66"/>
  <c r="H136" i="66"/>
  <c r="I101" i="66"/>
  <c r="P61" i="66"/>
  <c r="T8" i="66"/>
  <c r="I145" i="66"/>
  <c r="K84" i="66"/>
  <c r="T154" i="66"/>
  <c r="P35" i="66"/>
  <c r="H112" i="66"/>
  <c r="O96" i="66"/>
  <c r="E134" i="66"/>
  <c r="G108" i="66"/>
  <c r="O134" i="66"/>
  <c r="H134" i="66"/>
  <c r="A17" i="66"/>
  <c r="C9" i="66"/>
  <c r="F80" i="66"/>
  <c r="F76" i="66"/>
  <c r="P131" i="66"/>
  <c r="C100" i="66"/>
  <c r="G125" i="66"/>
  <c r="C77" i="66"/>
  <c r="D88" i="66"/>
  <c r="L68" i="66"/>
  <c r="M20" i="66"/>
  <c r="G152" i="66"/>
  <c r="S134" i="66"/>
  <c r="A74" i="66"/>
  <c r="S142" i="66"/>
  <c r="M31" i="66"/>
  <c r="E21" i="66"/>
  <c r="E39" i="66"/>
  <c r="D33" i="66"/>
  <c r="A71" i="66"/>
  <c r="O68" i="66"/>
  <c r="E100" i="66"/>
  <c r="O102" i="66"/>
  <c r="G76" i="66"/>
  <c r="S6" i="66"/>
  <c r="S18" i="66"/>
  <c r="A112" i="66"/>
  <c r="G67" i="66"/>
  <c r="S72" i="66"/>
  <c r="G132" i="66"/>
  <c r="J154" i="66"/>
  <c r="J113" i="66"/>
  <c r="T153" i="66"/>
  <c r="H147" i="66"/>
  <c r="C134" i="66"/>
  <c r="T18" i="66"/>
  <c r="P109" i="66"/>
  <c r="Q102" i="66"/>
  <c r="E151" i="66"/>
  <c r="E89" i="66"/>
  <c r="N5" i="66"/>
  <c r="E75" i="66"/>
  <c r="A104" i="66"/>
  <c r="F150" i="66"/>
  <c r="F130" i="66"/>
  <c r="I111" i="66"/>
  <c r="O67" i="66"/>
  <c r="T148" i="66"/>
  <c r="J147" i="66"/>
  <c r="I59" i="66"/>
  <c r="J68" i="66"/>
  <c r="D23" i="66"/>
  <c r="G123" i="66"/>
  <c r="A39" i="66"/>
  <c r="G96" i="66"/>
  <c r="K112" i="66"/>
  <c r="A102" i="66"/>
  <c r="O155" i="66"/>
  <c r="A36" i="66"/>
  <c r="A79" i="66"/>
  <c r="E121" i="66"/>
  <c r="S85" i="66"/>
  <c r="J71" i="66"/>
  <c r="N53" i="66"/>
  <c r="J150" i="66"/>
  <c r="I58" i="66"/>
  <c r="A132" i="66"/>
  <c r="G157" i="66"/>
  <c r="J135" i="66"/>
  <c r="D104" i="66"/>
  <c r="C44" i="66"/>
  <c r="P99" i="66"/>
  <c r="N155" i="66"/>
  <c r="N99" i="66"/>
  <c r="C5" i="77"/>
  <c r="P15" i="66"/>
  <c r="Q116" i="66"/>
  <c r="A143" i="66"/>
  <c r="Q22" i="66"/>
  <c r="I32" i="66"/>
  <c r="Q71" i="66"/>
  <c r="O61" i="66"/>
  <c r="J136" i="66"/>
  <c r="L21" i="66"/>
  <c r="A155" i="66"/>
  <c r="H36" i="66"/>
  <c r="K137" i="66"/>
  <c r="F13" i="66"/>
  <c r="N151" i="66"/>
  <c r="P20" i="66"/>
  <c r="A139" i="66"/>
  <c r="N24" i="66"/>
  <c r="G5" i="67"/>
  <c r="J9" i="66"/>
  <c r="M36" i="66"/>
  <c r="M38" i="66"/>
  <c r="O128" i="66"/>
  <c r="T9" i="66"/>
  <c r="D142" i="66"/>
  <c r="K130" i="66"/>
  <c r="E83" i="66"/>
  <c r="J100" i="66"/>
  <c r="C85" i="66"/>
  <c r="L135" i="66"/>
  <c r="L154" i="66"/>
  <c r="S137" i="66"/>
  <c r="E146" i="66"/>
  <c r="D101" i="66"/>
  <c r="P40" i="66"/>
  <c r="G46" i="66"/>
  <c r="G40" i="66"/>
  <c r="G99" i="66"/>
  <c r="G107" i="66"/>
  <c r="E125" i="66"/>
  <c r="I142" i="66"/>
  <c r="C92" i="66"/>
  <c r="J116" i="66"/>
  <c r="N36" i="66"/>
  <c r="K147" i="66"/>
  <c r="O81" i="66"/>
  <c r="G140" i="66"/>
  <c r="I151" i="66"/>
  <c r="K146" i="66"/>
  <c r="M16" i="66"/>
  <c r="S109" i="66"/>
  <c r="H130" i="66"/>
  <c r="H49" i="66"/>
  <c r="N153" i="66"/>
  <c r="K44" i="66"/>
  <c r="C5" i="66"/>
  <c r="M87" i="66"/>
  <c r="E113" i="66"/>
  <c r="L145" i="66"/>
  <c r="S111" i="66"/>
  <c r="P13" i="66"/>
  <c r="A81" i="66"/>
  <c r="M116" i="66"/>
  <c r="D28" i="66"/>
  <c r="A16" i="66"/>
  <c r="M70" i="66"/>
  <c r="H68" i="66"/>
  <c r="O86" i="66"/>
  <c r="T67" i="66"/>
  <c r="F126" i="66"/>
  <c r="Q28" i="66"/>
  <c r="F146" i="66"/>
  <c r="G75" i="66"/>
  <c r="P127" i="66"/>
  <c r="G94" i="66"/>
  <c r="T61" i="66"/>
  <c r="T35" i="66"/>
  <c r="C124" i="66"/>
  <c r="N9" i="66"/>
  <c r="F30" i="66"/>
  <c r="L32" i="66"/>
  <c r="M55" i="66"/>
  <c r="D66" i="66"/>
  <c r="L105" i="66"/>
  <c r="J46" i="66"/>
  <c r="D151" i="66"/>
  <c r="E47" i="66"/>
  <c r="H91" i="66"/>
  <c r="G89" i="66"/>
  <c r="P136" i="66"/>
  <c r="L101" i="66"/>
  <c r="G36" i="66"/>
  <c r="N146" i="66"/>
  <c r="N121" i="66"/>
  <c r="K52" i="66"/>
  <c r="K132" i="66"/>
  <c r="L47" i="66"/>
  <c r="E155" i="66"/>
  <c r="N82" i="66"/>
  <c r="Q146" i="66"/>
  <c r="D87" i="66"/>
  <c r="D24" i="66"/>
  <c r="T70" i="66"/>
  <c r="F9" i="66"/>
  <c r="G1" i="67"/>
  <c r="K138" i="66"/>
  <c r="H102" i="66"/>
  <c r="F88" i="66"/>
  <c r="P90" i="66"/>
  <c r="D54" i="66"/>
  <c r="M144" i="66"/>
  <c r="Q80" i="66"/>
  <c r="M136" i="66"/>
  <c r="P96" i="66"/>
  <c r="G49" i="66"/>
  <c r="A131" i="66"/>
  <c r="D157" i="66"/>
  <c r="S79" i="66"/>
  <c r="L57" i="66"/>
  <c r="M45" i="66"/>
  <c r="M10" i="66"/>
  <c r="A21" i="66"/>
  <c r="I19" i="66"/>
  <c r="A63" i="66"/>
  <c r="C18" i="66"/>
  <c r="H13" i="66"/>
  <c r="N105" i="66"/>
  <c r="K71" i="66"/>
  <c r="S139" i="66"/>
  <c r="F63" i="66"/>
  <c r="L89" i="66"/>
  <c r="J114" i="66"/>
  <c r="K87" i="66"/>
  <c r="Q114" i="66"/>
  <c r="G11" i="66"/>
  <c r="J84" i="66"/>
  <c r="C36" i="66"/>
  <c r="E143" i="66"/>
  <c r="M86" i="66"/>
  <c r="P149" i="66"/>
  <c r="D85" i="66"/>
  <c r="Q90" i="66"/>
  <c r="Q31" i="66"/>
  <c r="T20" i="66"/>
  <c r="N106" i="66"/>
  <c r="J53" i="66"/>
  <c r="H26" i="66"/>
  <c r="K149" i="66"/>
  <c r="H146" i="66"/>
  <c r="P4" i="66"/>
  <c r="M101" i="66"/>
  <c r="T97" i="66"/>
  <c r="Q68" i="66"/>
  <c r="S156" i="66"/>
  <c r="J105" i="66"/>
  <c r="T23" i="66"/>
  <c r="A49" i="66"/>
  <c r="N149" i="66"/>
  <c r="G116" i="66"/>
  <c r="S113" i="66"/>
  <c r="F100" i="66"/>
  <c r="S80" i="66"/>
  <c r="K47" i="66"/>
  <c r="M68" i="66"/>
  <c r="H116" i="66"/>
  <c r="H137" i="66"/>
  <c r="P22" i="66"/>
  <c r="I64" i="66"/>
  <c r="Q44" i="66"/>
  <c r="O51" i="66"/>
  <c r="E68" i="66"/>
  <c r="Q73" i="66"/>
  <c r="Q39" i="66"/>
  <c r="L85" i="66"/>
  <c r="E152" i="66"/>
  <c r="A53" i="66"/>
  <c r="N130" i="66"/>
  <c r="C131" i="66"/>
  <c r="N136" i="66"/>
  <c r="K136" i="66"/>
  <c r="T65" i="66"/>
  <c r="C8" i="66"/>
  <c r="L59" i="66"/>
  <c r="Q60" i="66"/>
  <c r="C154" i="66"/>
  <c r="S42" i="66"/>
  <c r="G119" i="66"/>
  <c r="T75" i="66"/>
  <c r="D134" i="66"/>
  <c r="N137" i="66"/>
  <c r="M13" i="66"/>
  <c r="O14" i="66"/>
  <c r="A67" i="66"/>
  <c r="I38" i="66"/>
  <c r="P128" i="66"/>
  <c r="F6" i="66"/>
  <c r="O65" i="66"/>
  <c r="G10" i="66"/>
  <c r="I78" i="66"/>
  <c r="K101" i="66"/>
  <c r="H118" i="66"/>
  <c r="T87" i="66"/>
  <c r="J19" i="66"/>
  <c r="N144" i="66"/>
  <c r="F87" i="66"/>
  <c r="L29" i="66"/>
  <c r="F19" i="66"/>
  <c r="L139" i="66"/>
  <c r="A26" i="66"/>
  <c r="F122" i="66"/>
  <c r="J69" i="66"/>
  <c r="O146" i="66"/>
  <c r="J14" i="66"/>
  <c r="E4" i="77"/>
  <c r="A97" i="66"/>
  <c r="Q20" i="66"/>
  <c r="K148" i="66"/>
  <c r="G85" i="66"/>
  <c r="H71" i="66"/>
  <c r="K29" i="66"/>
  <c r="H119" i="66"/>
  <c r="S121" i="66"/>
  <c r="C147" i="66"/>
  <c r="E50" i="66"/>
  <c r="L90" i="66"/>
  <c r="C78" i="66"/>
  <c r="I5" i="66"/>
  <c r="I51" i="66"/>
  <c r="L142" i="66"/>
  <c r="G69" i="66"/>
  <c r="J43" i="66"/>
  <c r="Q46" i="66"/>
  <c r="J6" i="66"/>
  <c r="Q124" i="66"/>
  <c r="G126" i="66"/>
  <c r="J5" i="66"/>
  <c r="K69" i="66"/>
  <c r="J111" i="66"/>
  <c r="N51" i="66"/>
  <c r="J152" i="66"/>
  <c r="O70" i="66"/>
  <c r="E34" i="66"/>
  <c r="C133" i="66"/>
  <c r="I90" i="66"/>
  <c r="A34" i="66"/>
  <c r="K143" i="66"/>
  <c r="K51" i="66"/>
  <c r="C107" i="66"/>
  <c r="G51" i="66"/>
  <c r="T62" i="66"/>
  <c r="G9" i="66"/>
  <c r="D30" i="66"/>
  <c r="D140" i="66"/>
  <c r="F59" i="66"/>
  <c r="J79" i="66"/>
  <c r="K96" i="66"/>
  <c r="N122" i="66"/>
  <c r="F75" i="66"/>
  <c r="K64" i="66"/>
  <c r="P82" i="66"/>
  <c r="P151" i="66"/>
  <c r="H77" i="66"/>
  <c r="H43" i="66"/>
  <c r="S141" i="66"/>
  <c r="O133" i="66"/>
  <c r="C123" i="66"/>
  <c r="A15" i="66"/>
  <c r="M71" i="66"/>
  <c r="S131" i="66"/>
  <c r="K114" i="66"/>
  <c r="L126" i="66"/>
  <c r="K99" i="66"/>
  <c r="H67" i="66"/>
  <c r="H149" i="66"/>
  <c r="Q88" i="66"/>
  <c r="S127" i="66"/>
  <c r="G131" i="66"/>
  <c r="A137" i="66"/>
  <c r="G82" i="66"/>
  <c r="G4" i="67"/>
  <c r="M12" i="66"/>
  <c r="C140" i="66"/>
  <c r="Q49" i="66"/>
  <c r="Q107" i="66"/>
  <c r="Q57" i="66"/>
  <c r="Q29" i="66"/>
  <c r="Q137" i="66"/>
  <c r="K5" i="66"/>
  <c r="M19" i="66"/>
  <c r="O39" i="66"/>
  <c r="L86" i="66"/>
  <c r="P63" i="66"/>
  <c r="I114" i="66"/>
  <c r="T58" i="66"/>
  <c r="C104" i="66"/>
  <c r="P75" i="66"/>
  <c r="A109" i="66"/>
  <c r="K48" i="66"/>
  <c r="M124" i="66"/>
  <c r="H37" i="66"/>
  <c r="C83" i="66"/>
  <c r="A92" i="66"/>
  <c r="S61" i="66"/>
  <c r="O119" i="66"/>
  <c r="P142" i="66"/>
  <c r="S7" i="66"/>
  <c r="H124" i="66"/>
  <c r="P133" i="66"/>
  <c r="E76" i="66"/>
  <c r="E104" i="66"/>
  <c r="I140" i="66"/>
  <c r="E135" i="66"/>
  <c r="J101" i="66"/>
  <c r="A89" i="66"/>
  <c r="Q58" i="66"/>
  <c r="T25" i="66"/>
  <c r="J153" i="66"/>
  <c r="D39" i="66"/>
  <c r="K157" i="66"/>
  <c r="O20" i="66"/>
  <c r="J47" i="66"/>
  <c r="L41" i="66"/>
  <c r="C28" i="66"/>
  <c r="Q95" i="66"/>
  <c r="Q52" i="66"/>
  <c r="Q8" i="66"/>
  <c r="Q115" i="66"/>
  <c r="Q103" i="66"/>
  <c r="T78" i="66"/>
  <c r="K14" i="66"/>
  <c r="S10" i="66"/>
  <c r="P6" i="66"/>
  <c r="J73" i="66"/>
  <c r="H64" i="66"/>
  <c r="L80" i="66"/>
  <c r="F129" i="66"/>
  <c r="M78" i="66"/>
  <c r="A108" i="66"/>
  <c r="P134" i="66"/>
  <c r="M85" i="66"/>
  <c r="C35" i="66"/>
  <c r="H142" i="66"/>
  <c r="S59" i="66"/>
  <c r="L128" i="66"/>
  <c r="A113" i="66"/>
  <c r="D25" i="66"/>
  <c r="D75" i="66"/>
  <c r="M114" i="66"/>
  <c r="C122" i="66"/>
  <c r="N84" i="66"/>
  <c r="M35" i="66"/>
  <c r="M58" i="66"/>
  <c r="N93" i="66"/>
  <c r="Q12" i="66"/>
  <c r="N141" i="66"/>
  <c r="T158" i="66"/>
  <c r="T39" i="66"/>
  <c r="F153" i="66"/>
  <c r="H73" i="66"/>
  <c r="S88" i="66"/>
  <c r="N91" i="66"/>
  <c r="H153" i="66"/>
  <c r="K103" i="66"/>
  <c r="P91" i="66"/>
  <c r="I48" i="66"/>
  <c r="L6" i="66"/>
  <c r="G50" i="66"/>
  <c r="N157" i="66"/>
  <c r="L28" i="66"/>
  <c r="N119" i="66"/>
  <c r="O105" i="66"/>
  <c r="C143" i="66"/>
  <c r="C75" i="66"/>
  <c r="S9" i="66"/>
  <c r="P108" i="66"/>
  <c r="E105" i="66"/>
  <c r="I77" i="66"/>
  <c r="M150" i="66"/>
  <c r="O53" i="66"/>
  <c r="K26" i="66"/>
  <c r="Q113" i="66"/>
  <c r="T138" i="66"/>
  <c r="M91" i="66"/>
  <c r="O57" i="66"/>
  <c r="P28" i="66"/>
  <c r="A145" i="66"/>
  <c r="L16" i="66"/>
  <c r="F136" i="66"/>
  <c r="N111" i="66"/>
  <c r="N31" i="66"/>
  <c r="S54" i="66"/>
  <c r="N25" i="66"/>
  <c r="K72" i="66"/>
  <c r="D34" i="66"/>
  <c r="N145" i="66"/>
  <c r="A50" i="66"/>
  <c r="M105" i="66"/>
  <c r="O35" i="66"/>
  <c r="I116" i="66"/>
  <c r="Q89" i="66"/>
  <c r="H52" i="66"/>
  <c r="A69" i="66"/>
  <c r="S46" i="66"/>
  <c r="Q79" i="66"/>
  <c r="H48" i="66"/>
  <c r="C15" i="66"/>
  <c r="D100" i="66"/>
  <c r="L96" i="66"/>
  <c r="J120" i="66"/>
  <c r="M9" i="66"/>
  <c r="N108" i="66"/>
  <c r="S136" i="66"/>
  <c r="D123" i="66"/>
  <c r="F69" i="66"/>
  <c r="K119" i="66"/>
  <c r="Q117" i="66"/>
  <c r="N38" i="66"/>
  <c r="T7" i="66"/>
  <c r="H19" i="66"/>
  <c r="C94" i="66"/>
  <c r="L40" i="66"/>
  <c r="D97" i="66"/>
  <c r="L9" i="66"/>
  <c r="J28" i="66"/>
  <c r="P154" i="66"/>
  <c r="L15" i="66"/>
  <c r="Q143" i="66"/>
  <c r="O45" i="66"/>
  <c r="S78" i="66"/>
  <c r="J144" i="66"/>
  <c r="T94" i="66"/>
  <c r="D19" i="66"/>
  <c r="E30" i="66"/>
  <c r="P16" i="66"/>
  <c r="Q36" i="66"/>
  <c r="E38" i="66"/>
  <c r="K77" i="66"/>
  <c r="G84" i="66"/>
  <c r="J61" i="66"/>
  <c r="M146" i="66"/>
  <c r="F58" i="66"/>
  <c r="G114" i="66"/>
  <c r="S155" i="66"/>
  <c r="T112" i="66"/>
  <c r="J148" i="66"/>
  <c r="E69" i="66"/>
  <c r="F72" i="66"/>
  <c r="J151" i="66"/>
  <c r="E101" i="66"/>
  <c r="O94" i="66"/>
  <c r="E133" i="66"/>
  <c r="L157" i="66"/>
  <c r="S129" i="66"/>
  <c r="H38" i="66"/>
  <c r="F96" i="66"/>
  <c r="D21" i="66"/>
  <c r="T117" i="66"/>
  <c r="P105" i="66"/>
  <c r="L27" i="66"/>
  <c r="J109" i="66"/>
  <c r="H30" i="66"/>
  <c r="T134" i="66"/>
  <c r="E77" i="66"/>
  <c r="T122" i="66"/>
  <c r="K27" i="66"/>
  <c r="O73" i="66"/>
  <c r="P9" i="66"/>
  <c r="N95" i="66"/>
  <c r="G127" i="66"/>
  <c r="O131" i="66"/>
  <c r="K54" i="66"/>
  <c r="E65" i="66"/>
  <c r="G73" i="66"/>
  <c r="C103" i="66"/>
  <c r="J72" i="66"/>
  <c r="J49" i="66"/>
  <c r="N62" i="66"/>
  <c r="E37" i="66"/>
  <c r="A153" i="66"/>
  <c r="C26" i="66"/>
  <c r="C27" i="66"/>
  <c r="P27" i="66"/>
  <c r="S126" i="66"/>
  <c r="I72" i="66"/>
  <c r="I109" i="66"/>
  <c r="N109" i="66"/>
  <c r="J27" i="66"/>
  <c r="O42" i="66"/>
  <c r="M148" i="66"/>
  <c r="M152" i="66"/>
  <c r="T63" i="66"/>
  <c r="J132" i="66"/>
  <c r="D108" i="66"/>
  <c r="F108" i="66"/>
  <c r="L116" i="66"/>
  <c r="F115" i="66"/>
  <c r="K25" i="66"/>
  <c r="K155" i="66"/>
  <c r="N104" i="66"/>
  <c r="H133" i="66"/>
  <c r="C61" i="66"/>
  <c r="S81" i="66"/>
  <c r="H148" i="66"/>
  <c r="L46" i="66"/>
  <c r="Q109" i="66"/>
  <c r="G100" i="66"/>
  <c r="C30" i="66"/>
  <c r="O10" i="66"/>
  <c r="F57" i="66"/>
  <c r="J38" i="66"/>
  <c r="J95" i="66"/>
  <c r="N34" i="66"/>
  <c r="H114" i="66"/>
  <c r="Q158" i="66"/>
  <c r="Q18" i="66"/>
  <c r="J133" i="66"/>
  <c r="O47" i="66"/>
  <c r="A59" i="66"/>
  <c r="A77" i="66"/>
  <c r="S74" i="66"/>
  <c r="O114" i="66"/>
  <c r="D118" i="66"/>
  <c r="E5" i="77"/>
  <c r="E149" i="66"/>
  <c r="J17" i="66"/>
  <c r="E140" i="66"/>
  <c r="I119" i="66"/>
  <c r="E99" i="66"/>
  <c r="J103" i="66"/>
  <c r="P92" i="66"/>
  <c r="D51" i="66"/>
  <c r="H83" i="66"/>
  <c r="O23" i="66"/>
  <c r="F128" i="66"/>
  <c r="P139" i="66"/>
  <c r="J87" i="66"/>
  <c r="N96" i="66"/>
  <c r="H9" i="66"/>
  <c r="I20" i="66"/>
  <c r="M65" i="66"/>
  <c r="J59" i="66"/>
  <c r="L36" i="66"/>
  <c r="F91" i="66"/>
  <c r="N90" i="66"/>
  <c r="K115" i="66"/>
  <c r="A119" i="66"/>
  <c r="C42" i="66"/>
  <c r="M137" i="66"/>
  <c r="F104" i="66"/>
  <c r="L81" i="66"/>
  <c r="S63" i="66"/>
  <c r="J32" i="66"/>
  <c r="T95" i="66"/>
  <c r="L107" i="66"/>
  <c r="I97" i="66"/>
  <c r="F70" i="66"/>
  <c r="D113" i="66"/>
  <c r="M43" i="66"/>
  <c r="S30" i="66"/>
  <c r="J78" i="66"/>
  <c r="A122" i="66"/>
  <c r="Q91" i="66"/>
  <c r="K68" i="66"/>
  <c r="M63" i="66"/>
  <c r="P7" i="66"/>
  <c r="K144" i="66"/>
  <c r="M64" i="66"/>
  <c r="T124" i="66"/>
  <c r="F103" i="66"/>
  <c r="L143" i="66"/>
  <c r="F86" i="66"/>
  <c r="C119" i="66"/>
  <c r="L155" i="66"/>
  <c r="E54" i="66"/>
  <c r="G14" i="66"/>
  <c r="H18" i="66"/>
  <c r="K36" i="66"/>
  <c r="M69" i="66"/>
  <c r="S82" i="66"/>
  <c r="S95" i="66"/>
  <c r="D155" i="66"/>
  <c r="S149" i="66"/>
  <c r="Q27" i="66"/>
  <c r="L104" i="66"/>
  <c r="K23" i="66"/>
  <c r="F139" i="66"/>
  <c r="N11" i="66"/>
  <c r="C17" i="66"/>
  <c r="C29" i="66"/>
  <c r="G147" i="66"/>
  <c r="L48" i="66"/>
  <c r="L17" i="66"/>
  <c r="C111" i="66"/>
  <c r="E60" i="66"/>
  <c r="T42" i="66"/>
  <c r="T44" i="66"/>
  <c r="P1" i="67"/>
  <c r="A44" i="66"/>
  <c r="P44" i="66"/>
  <c r="C39" i="66"/>
  <c r="D8" i="66"/>
  <c r="C114" i="66"/>
  <c r="G41" i="66"/>
  <c r="L65" i="66"/>
  <c r="G31" i="66"/>
  <c r="L5" i="66"/>
  <c r="P64" i="66"/>
  <c r="O129" i="66"/>
  <c r="N43" i="66"/>
  <c r="F61" i="66"/>
  <c r="O140" i="66"/>
  <c r="E23" i="66"/>
  <c r="L137" i="66"/>
  <c r="C129" i="66"/>
  <c r="E29" i="66"/>
  <c r="D119" i="66"/>
  <c r="P26" i="66"/>
  <c r="J77" i="66"/>
  <c r="F151" i="66"/>
  <c r="H6" i="66"/>
  <c r="K135" i="66"/>
  <c r="D111" i="66"/>
  <c r="D31" i="66"/>
  <c r="G23" i="66"/>
  <c r="D110" i="66"/>
  <c r="H105" i="66"/>
  <c r="H63" i="66"/>
  <c r="L11" i="66"/>
  <c r="A12" i="66"/>
  <c r="H84" i="66"/>
  <c r="C34" i="66"/>
  <c r="D22" i="66"/>
  <c r="K102" i="66"/>
  <c r="C20" i="66"/>
  <c r="K121" i="66"/>
  <c r="G7" i="67"/>
  <c r="D16" i="66"/>
  <c r="E147" i="66"/>
  <c r="G78" i="66"/>
  <c r="K150" i="66"/>
  <c r="H120" i="66"/>
  <c r="J12" i="66"/>
  <c r="A80" i="66"/>
  <c r="A57" i="66"/>
  <c r="G87" i="66"/>
  <c r="K67" i="66"/>
  <c r="N139" i="66"/>
  <c r="J66" i="66"/>
  <c r="C7" i="66"/>
  <c r="S117" i="66"/>
  <c r="O21" i="66"/>
  <c r="G65" i="66"/>
  <c r="P125" i="66"/>
  <c r="F68" i="66"/>
  <c r="G57" i="66"/>
  <c r="Q35" i="66"/>
  <c r="M97" i="66"/>
  <c r="C113" i="66"/>
  <c r="N75" i="66"/>
  <c r="Q64" i="66"/>
  <c r="D29" i="66"/>
  <c r="Q45" i="66"/>
  <c r="O88" i="66"/>
  <c r="K7" i="66"/>
  <c r="T142" i="66"/>
  <c r="G77" i="66"/>
  <c r="L71" i="66"/>
  <c r="O156" i="66"/>
  <c r="A27" i="66"/>
  <c r="P67" i="66"/>
  <c r="N54" i="66"/>
  <c r="P132" i="66"/>
  <c r="Q136" i="66"/>
  <c r="E73" i="66"/>
  <c r="I57" i="66"/>
  <c r="N16" i="66"/>
  <c r="F26" i="66"/>
  <c r="J60" i="66"/>
  <c r="P33" i="66"/>
  <c r="J85" i="66"/>
  <c r="S8" i="66"/>
  <c r="P55" i="66"/>
  <c r="D106" i="66"/>
  <c r="J29" i="66"/>
  <c r="H16" i="66"/>
  <c r="F4" i="66"/>
  <c r="P153" i="66"/>
  <c r="E119" i="66"/>
  <c r="K106" i="66"/>
  <c r="T139" i="66"/>
  <c r="O29" i="66"/>
  <c r="O62" i="66"/>
  <c r="I85" i="66"/>
  <c r="N79" i="66"/>
  <c r="T116" i="66"/>
  <c r="F149" i="66"/>
  <c r="T37" i="66"/>
  <c r="O78" i="66"/>
  <c r="C121" i="66"/>
  <c r="E80" i="66"/>
  <c r="P60" i="66"/>
  <c r="L58" i="66"/>
  <c r="E131" i="66"/>
  <c r="T143" i="66"/>
  <c r="M147" i="66"/>
  <c r="D86" i="66"/>
  <c r="K129" i="66"/>
  <c r="C52" i="66"/>
  <c r="M7" i="66"/>
  <c r="D133" i="66"/>
  <c r="H106" i="66"/>
  <c r="D125" i="66"/>
  <c r="T34" i="66"/>
  <c r="L20" i="66"/>
  <c r="M49" i="66"/>
  <c r="J58" i="66"/>
  <c r="M102" i="66"/>
  <c r="O7" i="66"/>
  <c r="Q105" i="66"/>
  <c r="M73" i="66"/>
  <c r="J16" i="66"/>
  <c r="K53" i="66"/>
  <c r="F101" i="66"/>
  <c r="A151" i="66"/>
  <c r="O54" i="66"/>
  <c r="J67" i="66"/>
  <c r="L79" i="66"/>
  <c r="G118" i="66"/>
  <c r="C60" i="66"/>
  <c r="A133" i="66"/>
  <c r="O144" i="66"/>
  <c r="G124" i="66"/>
  <c r="A148" i="66"/>
  <c r="D61" i="66"/>
  <c r="O34" i="66"/>
  <c r="O25" i="66"/>
  <c r="I60" i="66"/>
  <c r="H86" i="66"/>
  <c r="G79" i="66"/>
  <c r="G109" i="66"/>
  <c r="E102" i="66"/>
  <c r="G60" i="66"/>
  <c r="C58" i="66"/>
  <c r="C24" i="66"/>
  <c r="G113" i="66"/>
  <c r="S86" i="66"/>
  <c r="O80" i="66"/>
  <c r="I44" i="66"/>
  <c r="G43" i="66"/>
  <c r="E115" i="66"/>
  <c r="H90" i="66"/>
  <c r="F89" i="66"/>
  <c r="I16" i="66"/>
  <c r="G20" i="66"/>
  <c r="Q145" i="66"/>
  <c r="T38" i="66"/>
  <c r="M140" i="66"/>
  <c r="E17" i="66"/>
  <c r="M133" i="66"/>
  <c r="K8" i="66"/>
  <c r="Q66" i="66"/>
  <c r="F93" i="66"/>
  <c r="L122" i="66"/>
  <c r="C43" i="66"/>
  <c r="D84" i="66"/>
  <c r="T149" i="66"/>
  <c r="M135" i="66"/>
  <c r="H17" i="66"/>
  <c r="E94" i="66"/>
  <c r="D6" i="66"/>
  <c r="F134" i="66"/>
  <c r="I106" i="66"/>
  <c r="C132" i="66"/>
  <c r="A9" i="66"/>
  <c r="J155" i="66"/>
  <c r="L72" i="66"/>
  <c r="C63" i="66"/>
  <c r="H34" i="66"/>
  <c r="F39" i="66"/>
  <c r="P51" i="66"/>
  <c r="T80" i="66"/>
  <c r="S122" i="66"/>
  <c r="L152" i="66"/>
  <c r="D67" i="66"/>
  <c r="H94" i="66"/>
  <c r="L133" i="66"/>
  <c r="H29" i="66"/>
  <c r="I87" i="66"/>
  <c r="F31" i="66"/>
  <c r="L151" i="66"/>
  <c r="E96" i="66"/>
  <c r="C66" i="66"/>
  <c r="P10" i="66"/>
  <c r="Q153" i="66"/>
  <c r="A32" i="66"/>
  <c r="C86" i="66"/>
  <c r="E106" i="66"/>
  <c r="J83" i="66"/>
  <c r="C149" i="66"/>
  <c r="S143" i="66"/>
  <c r="C46" i="66"/>
  <c r="O124" i="66"/>
  <c r="N116" i="66"/>
  <c r="R4" i="67"/>
  <c r="J30" i="66"/>
  <c r="F145" i="66"/>
  <c r="J131" i="66"/>
  <c r="D95" i="66"/>
  <c r="I147" i="66"/>
  <c r="F95" i="66"/>
  <c r="T92" i="66"/>
  <c r="M121" i="66"/>
  <c r="N92" i="66"/>
  <c r="N138" i="66"/>
  <c r="S151" i="66"/>
  <c r="J134" i="66"/>
  <c r="T53" i="66"/>
  <c r="K11" i="66"/>
  <c r="E91" i="66"/>
  <c r="O40" i="66"/>
  <c r="J108" i="66"/>
  <c r="D56" i="66"/>
  <c r="C144" i="66"/>
  <c r="I12" i="66"/>
  <c r="M157" i="66"/>
  <c r="S40" i="66"/>
  <c r="A149" i="66"/>
  <c r="P81" i="66"/>
  <c r="I155" i="66"/>
  <c r="C115" i="66"/>
  <c r="L14" i="66"/>
  <c r="E137" i="66"/>
  <c r="F48" i="66"/>
  <c r="D74" i="66"/>
  <c r="P118" i="66"/>
  <c r="M30" i="66"/>
  <c r="P88" i="66"/>
  <c r="H50" i="66"/>
  <c r="C99" i="66"/>
  <c r="Q139" i="66"/>
  <c r="F97" i="66"/>
  <c r="G18" i="66"/>
  <c r="F53" i="66"/>
  <c r="A65" i="66"/>
  <c r="F15" i="66"/>
  <c r="O6" i="66"/>
  <c r="G121" i="66"/>
  <c r="J115" i="66"/>
  <c r="M154" i="66"/>
  <c r="O116" i="66"/>
  <c r="N4" i="66"/>
  <c r="G15" i="66"/>
  <c r="S47" i="66"/>
  <c r="D128" i="66"/>
  <c r="O115" i="66"/>
  <c r="J129" i="66"/>
  <c r="L74" i="66"/>
  <c r="O145" i="66"/>
  <c r="P47" i="66"/>
  <c r="A150" i="66"/>
  <c r="O138" i="66"/>
  <c r="G37" i="66"/>
  <c r="M126" i="66"/>
  <c r="G130" i="66"/>
  <c r="O64" i="66"/>
  <c r="D46" i="66"/>
  <c r="F21" i="66"/>
  <c r="D14" i="66"/>
  <c r="P95" i="66"/>
  <c r="P144" i="66"/>
  <c r="I39" i="66"/>
  <c r="T120" i="66"/>
  <c r="M8" i="66"/>
  <c r="G5" i="66"/>
  <c r="K10" i="66"/>
  <c r="T93" i="66"/>
  <c r="J141" i="66"/>
  <c r="G81" i="66"/>
  <c r="O157" i="66"/>
  <c r="M145" i="66"/>
  <c r="T49" i="66"/>
  <c r="E8" i="66"/>
  <c r="F32" i="66"/>
  <c r="A129" i="66"/>
  <c r="G58" i="66"/>
  <c r="A136" i="66"/>
  <c r="A45" i="66"/>
  <c r="J112" i="66"/>
  <c r="K74" i="66"/>
  <c r="G34" i="66"/>
  <c r="D80" i="66"/>
  <c r="M141" i="66"/>
  <c r="I102" i="66"/>
  <c r="P126" i="66"/>
  <c r="H58" i="66"/>
  <c r="D18" i="66"/>
  <c r="K108" i="66"/>
  <c r="L91" i="66"/>
  <c r="N126" i="66"/>
  <c r="L147" i="66"/>
  <c r="K109" i="66"/>
  <c r="Q121" i="66"/>
  <c r="O121" i="66"/>
  <c r="C71" i="66"/>
  <c r="M51" i="66"/>
  <c r="J45" i="66"/>
  <c r="F124" i="66"/>
  <c r="K17" i="66"/>
  <c r="C33" i="66"/>
  <c r="E4" i="66"/>
  <c r="M74" i="66"/>
  <c r="P31" i="66"/>
  <c r="J7" i="66"/>
  <c r="K34" i="66"/>
  <c r="L115" i="66"/>
  <c r="E56" i="66"/>
  <c r="H55" i="66"/>
  <c r="E20" i="66"/>
  <c r="P70" i="66"/>
  <c r="O152" i="66"/>
  <c r="C47" i="66"/>
  <c r="Q156" i="66"/>
  <c r="J143" i="66"/>
  <c r="A75" i="66"/>
  <c r="H144" i="66"/>
  <c r="K9" i="66"/>
  <c r="H157" i="66"/>
  <c r="Q75" i="66"/>
  <c r="F33" i="66"/>
  <c r="I27" i="66"/>
  <c r="K6" i="66"/>
  <c r="P97" i="66"/>
  <c r="K42" i="66"/>
  <c r="E111" i="66"/>
  <c r="B4" i="67"/>
  <c r="D103" i="66"/>
  <c r="L106" i="66"/>
  <c r="A30" i="66"/>
  <c r="M94" i="66"/>
  <c r="L34" i="66"/>
  <c r="J20" i="66"/>
  <c r="F46" i="66"/>
  <c r="I146" i="66"/>
  <c r="F47" i="66"/>
  <c r="A61" i="66"/>
  <c r="Q135" i="66"/>
  <c r="N13" i="66"/>
  <c r="H111" i="66"/>
  <c r="K20" i="66"/>
  <c r="L93" i="66"/>
  <c r="K39" i="66"/>
  <c r="L43" i="66"/>
  <c r="D68" i="66"/>
  <c r="F45" i="66"/>
  <c r="N101" i="66"/>
  <c r="T140" i="66"/>
  <c r="D4" i="66"/>
  <c r="I82" i="66"/>
  <c r="N44" i="66"/>
  <c r="O55" i="66"/>
  <c r="M24" i="66"/>
  <c r="C141" i="66"/>
  <c r="N148" i="66"/>
  <c r="D45" i="66"/>
  <c r="E90" i="66"/>
  <c r="F79" i="66"/>
  <c r="F43" i="66"/>
  <c r="H56" i="66"/>
  <c r="O154" i="66"/>
  <c r="A40" i="66"/>
  <c r="Q131" i="66"/>
  <c r="G16" i="66"/>
  <c r="N41" i="66"/>
  <c r="P68" i="66"/>
  <c r="E11" i="66"/>
  <c r="M47" i="66"/>
  <c r="K142" i="66"/>
  <c r="S69" i="66"/>
  <c r="G150" i="66"/>
  <c r="F143" i="66"/>
  <c r="C142" i="66"/>
  <c r="D63" i="66"/>
  <c r="J106" i="66"/>
  <c r="I1" i="67"/>
  <c r="E120" i="66"/>
  <c r="O112" i="66"/>
  <c r="T114" i="66"/>
  <c r="N20" i="66"/>
  <c r="M59" i="66"/>
  <c r="O48" i="66"/>
  <c r="A123" i="66"/>
  <c r="M106" i="66"/>
  <c r="C127" i="66"/>
  <c r="K21" i="66"/>
  <c r="M156" i="66"/>
  <c r="N68" i="66"/>
  <c r="K45" i="66"/>
  <c r="L62" i="66"/>
  <c r="L120" i="66"/>
  <c r="C120" i="66"/>
  <c r="A127" i="66"/>
  <c r="T50" i="66"/>
  <c r="S106" i="66"/>
  <c r="M79" i="66"/>
  <c r="P58" i="66"/>
  <c r="M6" i="66"/>
  <c r="F73" i="66"/>
  <c r="M103" i="66"/>
  <c r="N56" i="66"/>
  <c r="F77" i="66"/>
  <c r="G39" i="66"/>
  <c r="Q55" i="66"/>
  <c r="Q51" i="66"/>
  <c r="L129" i="66"/>
  <c r="D114" i="66"/>
  <c r="J52" i="66"/>
  <c r="A56" i="66"/>
  <c r="G25" i="66"/>
  <c r="M4" i="66"/>
  <c r="G146" i="66"/>
  <c r="T146" i="66"/>
  <c r="O82" i="66"/>
  <c r="C64" i="66"/>
  <c r="P34" i="66"/>
  <c r="L95" i="66"/>
  <c r="H121" i="66"/>
  <c r="S22" i="66"/>
  <c r="E12" i="66"/>
  <c r="L77" i="66"/>
  <c r="S132" i="66"/>
  <c r="F148" i="66"/>
  <c r="K58" i="66"/>
  <c r="P93" i="66"/>
  <c r="E150" i="66"/>
  <c r="L50" i="66"/>
  <c r="H41" i="66"/>
  <c r="D82" i="66"/>
  <c r="F85" i="66"/>
  <c r="E26" i="66"/>
  <c r="S50" i="66"/>
  <c r="Q72" i="66"/>
  <c r="P107" i="66"/>
  <c r="T104" i="66"/>
  <c r="G97" i="66"/>
  <c r="N66" i="66"/>
  <c r="I81" i="66"/>
  <c r="P147" i="66"/>
  <c r="S96" i="66"/>
  <c r="H66" i="66"/>
  <c r="E19" i="66"/>
  <c r="H60" i="66"/>
  <c r="T129" i="66"/>
  <c r="I153" i="66"/>
  <c r="D50" i="66"/>
  <c r="N33" i="66"/>
  <c r="K76" i="66"/>
  <c r="N124" i="66"/>
  <c r="D9" i="66"/>
  <c r="L35" i="66"/>
  <c r="A125" i="66"/>
  <c r="Q16" i="66"/>
  <c r="A31" i="66"/>
  <c r="N152" i="66"/>
  <c r="T88" i="66"/>
  <c r="J57" i="66"/>
  <c r="J89" i="66"/>
  <c r="N123" i="66"/>
  <c r="P54" i="66"/>
  <c r="E53" i="66"/>
  <c r="T68" i="66"/>
  <c r="L52" i="66"/>
  <c r="C59" i="66"/>
  <c r="I75" i="66"/>
  <c r="S71" i="66"/>
  <c r="Q140" i="66"/>
  <c r="P94" i="66"/>
  <c r="N132" i="66"/>
  <c r="H31" i="66"/>
  <c r="L153" i="66"/>
  <c r="K46" i="66"/>
  <c r="D57" i="66"/>
  <c r="K78" i="66"/>
  <c r="P50" i="66"/>
  <c r="L49" i="66"/>
  <c r="D109" i="66"/>
  <c r="E87" i="66"/>
  <c r="N42" i="66"/>
  <c r="P157" i="66"/>
  <c r="I35" i="66"/>
  <c r="I150" i="66"/>
  <c r="K140" i="66"/>
  <c r="P116" i="66"/>
  <c r="T106" i="66"/>
  <c r="N63" i="66"/>
  <c r="P43" i="66"/>
  <c r="Q152" i="66"/>
  <c r="G92" i="66"/>
  <c r="M108" i="66"/>
  <c r="H154" i="66"/>
  <c r="T17" i="66"/>
  <c r="N46" i="66"/>
  <c r="F112" i="66"/>
  <c r="S147" i="66"/>
  <c r="F82" i="66"/>
  <c r="D11" i="66"/>
  <c r="A86" i="66"/>
  <c r="E5" i="66"/>
  <c r="L132" i="66"/>
  <c r="D115" i="66"/>
  <c r="J35" i="66"/>
  <c r="N135" i="66"/>
  <c r="N140" i="66"/>
  <c r="D146" i="66"/>
  <c r="A100" i="66"/>
  <c r="N73" i="66"/>
  <c r="H143" i="66"/>
  <c r="N52" i="66"/>
  <c r="S33" i="66"/>
  <c r="C11" i="66"/>
  <c r="T83" i="66"/>
  <c r="K19" i="66"/>
  <c r="I49" i="66"/>
  <c r="K89" i="66"/>
  <c r="Q76" i="66"/>
  <c r="T135" i="66"/>
  <c r="K65" i="66"/>
  <c r="D96" i="66"/>
  <c r="S115" i="66"/>
  <c r="I149" i="66"/>
  <c r="T91" i="66"/>
  <c r="T11" i="66"/>
  <c r="G135" i="66"/>
  <c r="O75" i="66"/>
  <c r="O110" i="66"/>
  <c r="G56" i="66"/>
  <c r="N85" i="66"/>
  <c r="P42" i="66"/>
  <c r="A38" i="66"/>
  <c r="I50" i="66"/>
  <c r="I15" i="66"/>
  <c r="G6" i="67"/>
  <c r="S157" i="66"/>
  <c r="H151" i="66"/>
  <c r="E92" i="66"/>
  <c r="J44" i="66"/>
  <c r="M23" i="66"/>
  <c r="A14" i="66"/>
  <c r="G44" i="66"/>
  <c r="D90" i="66"/>
  <c r="P140" i="66"/>
  <c r="N26" i="66"/>
  <c r="A88" i="66"/>
  <c r="L103" i="66"/>
  <c r="L60" i="66"/>
  <c r="F144" i="66"/>
  <c r="C84" i="66"/>
  <c r="A96" i="66"/>
  <c r="Q110" i="66"/>
  <c r="F152" i="66"/>
  <c r="S25" i="66"/>
  <c r="N61" i="66"/>
  <c r="E88" i="66"/>
  <c r="N28" i="66"/>
  <c r="E122" i="66"/>
  <c r="S55" i="66"/>
  <c r="N112" i="66"/>
  <c r="F17" i="66"/>
  <c r="Q30" i="66"/>
  <c r="Q157" i="66"/>
  <c r="M52" i="66"/>
  <c r="T40" i="66"/>
  <c r="H59" i="66"/>
  <c r="H108" i="66"/>
  <c r="Q40" i="66"/>
  <c r="N55" i="66"/>
  <c r="M134" i="66"/>
  <c r="T108" i="66"/>
  <c r="L31" i="66"/>
  <c r="T137" i="66"/>
  <c r="I13" i="66"/>
  <c r="A58" i="66"/>
  <c r="A37" i="66"/>
  <c r="H96" i="66"/>
  <c r="G35" i="66"/>
  <c r="G48" i="66"/>
  <c r="O9" i="66"/>
  <c r="K118" i="66"/>
  <c r="G83" i="66"/>
  <c r="J13" i="66"/>
  <c r="F111" i="66"/>
  <c r="T151" i="66"/>
  <c r="C56" i="66"/>
  <c r="G93" i="66"/>
  <c r="G91" i="66"/>
  <c r="M129" i="66"/>
  <c r="F40" i="66"/>
  <c r="H61" i="66"/>
  <c r="H76" i="66"/>
  <c r="I156" i="66"/>
  <c r="M26" i="66"/>
  <c r="N58" i="66"/>
  <c r="P150" i="66"/>
  <c r="I25" i="66"/>
  <c r="I122" i="66"/>
  <c r="A72" i="66"/>
  <c r="C54" i="66"/>
  <c r="I91" i="66"/>
  <c r="C23" i="66"/>
  <c r="S150" i="66"/>
  <c r="P146" i="66"/>
  <c r="D40" i="66"/>
  <c r="E52" i="66"/>
  <c r="D48" i="66"/>
  <c r="C16" i="66"/>
  <c r="C81" i="66"/>
  <c r="A141" i="66"/>
  <c r="T22" i="66"/>
  <c r="E127" i="66"/>
  <c r="F114" i="66"/>
  <c r="H129" i="66"/>
  <c r="D15" i="66"/>
  <c r="K49" i="66"/>
  <c r="J21" i="66"/>
  <c r="M142" i="66"/>
  <c r="A23" i="66"/>
  <c r="I86" i="66"/>
  <c r="F25" i="66"/>
  <c r="E27" i="66"/>
  <c r="T127" i="66"/>
  <c r="H128" i="66"/>
  <c r="E40" i="66"/>
  <c r="H107" i="66"/>
  <c r="H57" i="66"/>
  <c r="E35" i="66"/>
  <c r="Q108" i="66"/>
  <c r="K56" i="66"/>
  <c r="D116" i="66"/>
  <c r="P106" i="66"/>
  <c r="G4" i="66"/>
  <c r="T133" i="66"/>
  <c r="K113" i="66"/>
  <c r="E128" i="66"/>
  <c r="M104" i="66"/>
  <c r="C152" i="66"/>
  <c r="O58" i="66"/>
  <c r="T24" i="66"/>
  <c r="J26" i="66"/>
  <c r="E55" i="66"/>
  <c r="L84" i="66"/>
  <c r="O136" i="66"/>
  <c r="I36" i="66"/>
  <c r="P121" i="66"/>
  <c r="I62" i="66"/>
  <c r="C118" i="66"/>
  <c r="L87" i="66"/>
  <c r="T85" i="66"/>
  <c r="F22" i="66"/>
  <c r="E129" i="66"/>
  <c r="I29" i="66"/>
  <c r="L113" i="66"/>
  <c r="C10" i="66"/>
  <c r="S29" i="66"/>
  <c r="A93" i="66"/>
  <c r="J24" i="66"/>
  <c r="T31" i="66"/>
  <c r="O95" i="66"/>
  <c r="K88" i="66"/>
  <c r="F74" i="66"/>
  <c r="J128" i="66"/>
  <c r="A33" i="66"/>
  <c r="G52" i="66"/>
  <c r="I123" i="66"/>
  <c r="S51" i="66"/>
  <c r="M155" i="66"/>
  <c r="C102" i="66"/>
  <c r="O126" i="66"/>
  <c r="J96" i="66"/>
  <c r="V4" i="67"/>
  <c r="P23" i="66"/>
  <c r="I31" i="66"/>
  <c r="D152" i="66"/>
  <c r="P137" i="66"/>
  <c r="P49" i="66"/>
  <c r="L66" i="66"/>
  <c r="G120" i="66"/>
  <c r="D79" i="66"/>
  <c r="S145" i="66"/>
  <c r="L55" i="66"/>
  <c r="M115" i="66"/>
  <c r="G6" i="66"/>
  <c r="M50" i="66"/>
  <c r="P66" i="66"/>
  <c r="A83" i="66"/>
  <c r="Q85" i="66"/>
  <c r="A94" i="66"/>
  <c r="E84" i="66"/>
  <c r="M93" i="66"/>
  <c r="H11" i="66"/>
  <c r="H53" i="66"/>
  <c r="P141" i="66"/>
  <c r="O123" i="66"/>
  <c r="G111" i="66"/>
  <c r="O79" i="66"/>
  <c r="O46" i="66"/>
  <c r="G155" i="66"/>
  <c r="L23" i="66"/>
  <c r="S56" i="66"/>
  <c r="G110" i="66"/>
  <c r="S24" i="66"/>
  <c r="P57" i="66"/>
  <c r="H42" i="66"/>
  <c r="I70" i="66"/>
  <c r="I54" i="66"/>
  <c r="T32" i="66"/>
  <c r="F18" i="66"/>
  <c r="N21" i="66"/>
  <c r="D42" i="66"/>
  <c r="G54" i="66"/>
  <c r="M48" i="66"/>
  <c r="J64" i="66"/>
  <c r="N74" i="66"/>
  <c r="S135" i="66"/>
  <c r="C101" i="66"/>
  <c r="T111" i="66"/>
  <c r="M75" i="66"/>
  <c r="F156" i="66"/>
  <c r="Q25" i="66"/>
  <c r="N39" i="66"/>
  <c r="S110" i="66"/>
  <c r="K154" i="66"/>
  <c r="S159" i="66"/>
  <c r="A62" i="66"/>
  <c r="S4" i="66"/>
  <c r="F38" i="66"/>
  <c r="G142" i="66"/>
  <c r="A154" i="66"/>
  <c r="F81" i="66"/>
  <c r="D94" i="66"/>
  <c r="J76" i="66"/>
  <c r="O108" i="66"/>
  <c r="E112" i="66"/>
  <c r="A25" i="66"/>
  <c r="A8" i="66"/>
  <c r="A106" i="66"/>
  <c r="S144" i="66"/>
  <c r="Q23" i="66"/>
  <c r="T47" i="66"/>
  <c r="G53" i="66"/>
  <c r="J4" i="66"/>
  <c r="I157" i="66"/>
  <c r="O151" i="66"/>
  <c r="A60" i="66"/>
  <c r="K97" i="66"/>
  <c r="F157" i="66"/>
  <c r="C157" i="66"/>
  <c r="Q43" i="66"/>
  <c r="E86" i="66"/>
  <c r="G4" i="77" l="1"/>
  <c r="G5" i="77"/>
  <c r="X176" i="72"/>
  <c r="W176" i="72"/>
  <c r="V176" i="72"/>
  <c r="U176" i="72"/>
  <c r="T176" i="72"/>
  <c r="S176" i="72"/>
  <c r="R176" i="72"/>
  <c r="Q176" i="72"/>
  <c r="G179" i="72"/>
  <c r="G177" i="72"/>
  <c r="H176" i="72"/>
  <c r="G183" i="72"/>
  <c r="G178" i="72"/>
  <c r="G176" i="72"/>
  <c r="M4" i="67"/>
  <c r="B176" i="72"/>
  <c r="J38" i="67"/>
  <c r="K37" i="67"/>
  <c r="K38" i="67" s="1"/>
  <c r="K4" i="67" s="1"/>
  <c r="K176" i="72" s="1"/>
  <c r="N8" i="67"/>
  <c r="N183" i="72" s="1"/>
  <c r="N6" i="67"/>
  <c r="N178" i="72" s="1"/>
  <c r="N4" i="67"/>
  <c r="N7" i="67"/>
  <c r="N179" i="72" s="1"/>
  <c r="N5" i="67"/>
  <c r="N177" i="72" s="1"/>
  <c r="I40" i="67"/>
  <c r="J40" i="67"/>
  <c r="I41" i="67"/>
  <c r="J41" i="67"/>
  <c r="J43" i="67" s="1"/>
  <c r="I42" i="67"/>
  <c r="J42" i="67"/>
  <c r="M5" i="67"/>
  <c r="M177" i="72" s="1"/>
  <c r="L42" i="67"/>
  <c r="V5" i="67"/>
  <c r="H5" i="67"/>
  <c r="X5" i="67"/>
  <c r="Q5" i="67"/>
  <c r="U5" i="67"/>
  <c r="L40" i="67"/>
  <c r="L41" i="67"/>
  <c r="S5" i="67"/>
  <c r="R5" i="67"/>
  <c r="W5" i="67"/>
  <c r="T5" i="67"/>
  <c r="B5" i="67"/>
  <c r="G6" i="77" l="1"/>
  <c r="X177" i="72"/>
  <c r="W177" i="72"/>
  <c r="V177" i="72"/>
  <c r="U177" i="72"/>
  <c r="T177" i="72"/>
  <c r="S177" i="72"/>
  <c r="R177" i="72"/>
  <c r="Q177" i="72"/>
  <c r="B177" i="72"/>
  <c r="H177" i="72"/>
  <c r="K42" i="67"/>
  <c r="H43" i="67"/>
  <c r="F5" i="67" s="1"/>
  <c r="F177" i="72" s="1"/>
  <c r="L5" i="67"/>
  <c r="K40" i="67"/>
  <c r="N176" i="72"/>
  <c r="N10" i="67"/>
  <c r="D4" i="67" s="1"/>
  <c r="D176" i="72" s="1"/>
  <c r="K41" i="67"/>
  <c r="M176" i="72"/>
  <c r="I4" i="67"/>
  <c r="I176" i="72" s="1"/>
  <c r="O4" i="67"/>
  <c r="O176" i="72" s="1"/>
  <c r="H38" i="67"/>
  <c r="F4" i="67" s="1"/>
  <c r="F176" i="72" s="1"/>
  <c r="L4" i="67"/>
  <c r="L176" i="72" s="1"/>
  <c r="I45" i="67"/>
  <c r="J45" i="67" s="1"/>
  <c r="M6" i="67"/>
  <c r="M178" i="72" s="1"/>
  <c r="R6" i="67"/>
  <c r="U6" i="67"/>
  <c r="H6" i="67"/>
  <c r="S6" i="67"/>
  <c r="L45" i="67"/>
  <c r="T6" i="67"/>
  <c r="Q6" i="67"/>
  <c r="B6" i="67"/>
  <c r="X6" i="67"/>
  <c r="V6" i="67"/>
  <c r="W6" i="67"/>
  <c r="D5" i="67" l="1"/>
  <c r="D177" i="72" s="1"/>
  <c r="D6" i="67"/>
  <c r="D178" i="72" s="1"/>
  <c r="X178" i="72"/>
  <c r="W178" i="72"/>
  <c r="V178" i="72"/>
  <c r="U178" i="72"/>
  <c r="T178" i="72"/>
  <c r="S178" i="72"/>
  <c r="R178" i="72"/>
  <c r="Q178" i="72"/>
  <c r="H178" i="72"/>
  <c r="B178" i="72"/>
  <c r="J46" i="67"/>
  <c r="K45" i="67"/>
  <c r="K46" i="67" s="1"/>
  <c r="K6" i="67" s="1"/>
  <c r="K43" i="67"/>
  <c r="K5" i="67" s="1"/>
  <c r="L177" i="72"/>
  <c r="J5" i="67"/>
  <c r="J177" i="72" s="1"/>
  <c r="P4" i="67"/>
  <c r="P176" i="72" s="1"/>
  <c r="P5" i="67"/>
  <c r="P177" i="72" s="1"/>
  <c r="J4" i="67"/>
  <c r="J176" i="72" s="1"/>
  <c r="D7" i="67"/>
  <c r="D179" i="72" s="1"/>
  <c r="I48" i="67"/>
  <c r="J48" i="67" s="1"/>
  <c r="M7" i="67"/>
  <c r="M179" i="72" s="1"/>
  <c r="V7" i="67"/>
  <c r="W7" i="67"/>
  <c r="L48" i="67"/>
  <c r="X7" i="67"/>
  <c r="T7" i="67"/>
  <c r="B7" i="67"/>
  <c r="S7" i="67"/>
  <c r="H7" i="67"/>
  <c r="U7" i="67"/>
  <c r="R7" i="67"/>
  <c r="Q7" i="67"/>
  <c r="X179" i="72" l="1"/>
  <c r="W179" i="72"/>
  <c r="V179" i="72"/>
  <c r="U179" i="72"/>
  <c r="T179" i="72"/>
  <c r="S179" i="72"/>
  <c r="R179" i="72"/>
  <c r="Q179" i="72"/>
  <c r="B179" i="72"/>
  <c r="H179" i="72"/>
  <c r="J49" i="67"/>
  <c r="K48" i="67"/>
  <c r="K49" i="67" s="1"/>
  <c r="K7" i="67" s="1"/>
  <c r="K179" i="72" s="1"/>
  <c r="K178" i="72"/>
  <c r="I6" i="67"/>
  <c r="I178" i="72" s="1"/>
  <c r="O6" i="67"/>
  <c r="O178" i="72" s="1"/>
  <c r="K177" i="72"/>
  <c r="O5" i="67"/>
  <c r="O177" i="72" s="1"/>
  <c r="I5" i="67"/>
  <c r="I177" i="72" s="1"/>
  <c r="H46" i="67"/>
  <c r="F6" i="67" s="1"/>
  <c r="F178" i="72" s="1"/>
  <c r="L6" i="67"/>
  <c r="D8" i="67"/>
  <c r="D183" i="72" s="1"/>
  <c r="I62" i="67"/>
  <c r="J62" i="67"/>
  <c r="J63" i="67"/>
  <c r="H63" i="67" s="1"/>
  <c r="F8" i="67" s="1"/>
  <c r="F183" i="72" s="1"/>
  <c r="M8" i="67"/>
  <c r="M183" i="72" s="1"/>
  <c r="U8" i="67"/>
  <c r="S8" i="67"/>
  <c r="R8" i="67"/>
  <c r="H8" i="67"/>
  <c r="V8" i="67"/>
  <c r="Q8" i="67"/>
  <c r="T8" i="67"/>
  <c r="L62" i="67"/>
  <c r="W8" i="67"/>
  <c r="B8" i="67"/>
  <c r="X8" i="67"/>
  <c r="I7" i="67" l="1"/>
  <c r="I179" i="72" s="1"/>
  <c r="O7" i="67"/>
  <c r="O179" i="72" s="1"/>
  <c r="X183" i="72"/>
  <c r="W183" i="72"/>
  <c r="V183" i="72"/>
  <c r="U183" i="72"/>
  <c r="T183" i="72"/>
  <c r="S183" i="72"/>
  <c r="R183" i="72"/>
  <c r="Q183" i="72"/>
  <c r="B183" i="72"/>
  <c r="H183" i="72"/>
  <c r="K62" i="67"/>
  <c r="K63" i="67" s="1"/>
  <c r="K8" i="67" s="1"/>
  <c r="K183" i="72" s="1"/>
  <c r="L178" i="72"/>
  <c r="J6" i="67"/>
  <c r="J178" i="72" s="1"/>
  <c r="P6" i="67"/>
  <c r="P178" i="72" s="1"/>
  <c r="L8" i="67"/>
  <c r="L7" i="67"/>
  <c r="H49" i="67"/>
  <c r="F7" i="67" s="1"/>
  <c r="F179" i="72" s="1"/>
  <c r="D9" i="67"/>
  <c r="D10" i="67" s="1"/>
  <c r="L10" i="67"/>
  <c r="M10" i="67"/>
  <c r="O10" i="67"/>
  <c r="R10" i="67"/>
  <c r="P11" i="67"/>
  <c r="Q11" i="67"/>
  <c r="B16" i="67"/>
  <c r="E16" i="67"/>
  <c r="I8" i="67" l="1"/>
  <c r="I183" i="72" s="1"/>
  <c r="L183" i="72"/>
  <c r="J8" i="67"/>
  <c r="J183" i="72" s="1"/>
  <c r="P8" i="67"/>
  <c r="P183" i="72" s="1"/>
  <c r="K10" i="67"/>
  <c r="O11" i="67" s="1"/>
  <c r="L179" i="72"/>
  <c r="J7" i="67"/>
  <c r="J179" i="72" s="1"/>
  <c r="P7" i="67"/>
  <c r="O8" i="67"/>
  <c r="O183" i="72" s="1"/>
  <c r="H16" i="67"/>
  <c r="I16" i="67"/>
  <c r="J16" i="67"/>
  <c r="M16" i="67"/>
  <c r="E17" i="67"/>
  <c r="B17" i="67"/>
  <c r="O16" i="67"/>
  <c r="R16" i="67"/>
  <c r="N16" i="67" l="1"/>
  <c r="P16" i="67" s="1"/>
  <c r="P179" i="72"/>
  <c r="P10" i="67"/>
  <c r="H17" i="67"/>
  <c r="I17" i="67"/>
  <c r="J17" i="67"/>
  <c r="M17" i="67"/>
  <c r="B18" i="67"/>
  <c r="R17" i="67"/>
  <c r="O17" i="67"/>
  <c r="E18" i="67"/>
  <c r="N17" i="67" l="1"/>
  <c r="P17" i="67" s="1"/>
  <c r="H18" i="67"/>
  <c r="I18" i="67"/>
  <c r="J18" i="67"/>
  <c r="M18" i="67"/>
  <c r="E19" i="67"/>
  <c r="O18" i="67"/>
  <c r="R18" i="67"/>
  <c r="B19" i="67"/>
  <c r="N18" i="67" l="1"/>
  <c r="P18" i="67" s="1"/>
  <c r="H19" i="67"/>
  <c r="I19" i="67"/>
  <c r="J19" i="67"/>
  <c r="M19" i="67"/>
  <c r="E20" i="67"/>
  <c r="O19" i="67"/>
  <c r="B20" i="67"/>
  <c r="R19" i="67"/>
  <c r="N19" i="67" l="1"/>
  <c r="P19" i="67" s="1"/>
  <c r="H20" i="67"/>
  <c r="I20" i="67"/>
  <c r="J20" i="67"/>
  <c r="M20" i="67"/>
  <c r="E21" i="67"/>
  <c r="O20" i="67"/>
  <c r="R20" i="67"/>
  <c r="B21" i="67"/>
  <c r="N20" i="67" l="1"/>
  <c r="P20" i="67" s="1"/>
  <c r="H21" i="67"/>
  <c r="I21" i="67"/>
  <c r="J21" i="67"/>
  <c r="M21" i="67"/>
  <c r="I29" i="67"/>
  <c r="J29" i="67"/>
  <c r="F30" i="67"/>
  <c r="I30" i="67"/>
  <c r="I32" i="67"/>
  <c r="J32" i="67"/>
  <c r="I33" i="67"/>
  <c r="J33" i="67"/>
  <c r="I34" i="67"/>
  <c r="J34" i="67" s="1"/>
  <c r="F35" i="67"/>
  <c r="I35" i="67"/>
  <c r="I38" i="67"/>
  <c r="I43" i="67"/>
  <c r="I46" i="67"/>
  <c r="I49" i="67"/>
  <c r="I51" i="67"/>
  <c r="I53" i="67" s="1"/>
  <c r="J51" i="67"/>
  <c r="I52" i="67"/>
  <c r="J52" i="67"/>
  <c r="F53" i="67"/>
  <c r="J53" i="67"/>
  <c r="H53" i="67"/>
  <c r="I55" i="67"/>
  <c r="I57" i="67" s="1"/>
  <c r="J55" i="67"/>
  <c r="J57" i="67" s="1"/>
  <c r="H57" i="67" s="1"/>
  <c r="I56" i="67"/>
  <c r="J56" i="67"/>
  <c r="F57" i="67"/>
  <c r="I59" i="67"/>
  <c r="J59" i="67" s="1"/>
  <c r="F60" i="67"/>
  <c r="I60" i="67"/>
  <c r="I63" i="67"/>
  <c r="G29" i="67"/>
  <c r="L34" i="67"/>
  <c r="D41" i="67"/>
  <c r="L56" i="67"/>
  <c r="D48" i="67"/>
  <c r="M45" i="67"/>
  <c r="L33" i="67"/>
  <c r="M29" i="67"/>
  <c r="G41" i="67"/>
  <c r="M42" i="67"/>
  <c r="D34" i="67"/>
  <c r="D45" i="67"/>
  <c r="G52" i="67"/>
  <c r="D59" i="67"/>
  <c r="D32" i="67"/>
  <c r="G45" i="67"/>
  <c r="G56" i="67"/>
  <c r="L55" i="67"/>
  <c r="M48" i="67"/>
  <c r="G59" i="67"/>
  <c r="M34" i="67"/>
  <c r="M37" i="67"/>
  <c r="R21" i="67"/>
  <c r="O21" i="67"/>
  <c r="D37" i="67"/>
  <c r="G33" i="67"/>
  <c r="D33" i="67"/>
  <c r="M55" i="67"/>
  <c r="G32" i="67"/>
  <c r="D55" i="67"/>
  <c r="M51" i="67"/>
  <c r="D62" i="67"/>
  <c r="M62" i="67"/>
  <c r="L29" i="67"/>
  <c r="G40" i="67"/>
  <c r="D29" i="67"/>
  <c r="M33" i="67"/>
  <c r="D51" i="67"/>
  <c r="G42" i="67"/>
  <c r="M59" i="67"/>
  <c r="G48" i="67"/>
  <c r="L52" i="67"/>
  <c r="L59" i="67"/>
  <c r="L32" i="67"/>
  <c r="L51" i="67"/>
  <c r="M32" i="67"/>
  <c r="G51" i="67"/>
  <c r="M56" i="67"/>
  <c r="D40" i="67"/>
  <c r="G34" i="67"/>
  <c r="G62" i="67"/>
  <c r="D56" i="67"/>
  <c r="G55" i="67"/>
  <c r="D42" i="67"/>
  <c r="G37" i="67"/>
  <c r="D52" i="67"/>
  <c r="M40" i="67"/>
  <c r="M41" i="67"/>
  <c r="M52" i="67"/>
  <c r="K51" i="67" l="1"/>
  <c r="K32" i="67"/>
  <c r="K55" i="67"/>
  <c r="N21" i="67"/>
  <c r="K56" i="67"/>
  <c r="K34" i="67"/>
  <c r="J35" i="67"/>
  <c r="H35" i="67" s="1"/>
  <c r="K52" i="67"/>
  <c r="K29" i="67"/>
  <c r="K30" i="67" s="1"/>
  <c r="K33" i="67"/>
  <c r="K59" i="67"/>
  <c r="K60" i="67" s="1"/>
  <c r="J60" i="67"/>
  <c r="H60" i="67" s="1"/>
  <c r="J30" i="67"/>
  <c r="H30" i="67" s="1"/>
  <c r="P21" i="67" l="1"/>
  <c r="P22" i="67" s="1"/>
  <c r="N22" i="67"/>
  <c r="K57" i="67"/>
  <c r="K35" i="67"/>
  <c r="K53" i="67"/>
  <c r="H184" i="72" l="1"/>
  <c r="G184" i="72"/>
  <c r="Y184" i="72" l="1"/>
  <c r="T184" i="72"/>
  <c r="S184" i="72"/>
  <c r="Q184" i="72"/>
  <c r="M184" i="72"/>
  <c r="E185" i="72"/>
  <c r="G185" i="72" l="1"/>
  <c r="Z184" i="72"/>
  <c r="N184" i="72"/>
  <c r="P184" i="72"/>
  <c r="J184" i="72"/>
  <c r="L184" i="72"/>
  <c r="N185" i="72"/>
  <c r="F185" i="72"/>
  <c r="K184" i="72" l="1"/>
  <c r="O184" i="72"/>
  <c r="I184" i="72"/>
  <c r="H185" i="72" l="1"/>
  <c r="M185" i="72"/>
  <c r="J185" i="72"/>
  <c r="L185" i="72"/>
  <c r="P185" i="72"/>
  <c r="Z185" i="72" l="1"/>
  <c r="Y185" i="72"/>
  <c r="T185" i="72"/>
  <c r="S185" i="72"/>
  <c r="Q185" i="72"/>
  <c r="K185" i="72"/>
  <c r="H186" i="72" l="1"/>
  <c r="G186" i="72"/>
  <c r="F186" i="72"/>
  <c r="E186" i="72"/>
  <c r="O185" i="72"/>
  <c r="I185" i="72"/>
  <c r="Y186" i="72" l="1"/>
  <c r="T186" i="72"/>
  <c r="Q186" i="72"/>
  <c r="S186" i="72"/>
  <c r="M186" i="72"/>
  <c r="E187" i="72"/>
  <c r="G187" i="72" l="1"/>
  <c r="Z186" i="72"/>
  <c r="L186" i="72"/>
  <c r="N186" i="72"/>
  <c r="J186" i="72"/>
  <c r="P186" i="72"/>
  <c r="N187" i="72"/>
  <c r="F187" i="72" l="1"/>
  <c r="K186" i="72"/>
  <c r="I186" i="72"/>
  <c r="O186" i="72"/>
  <c r="H187" i="72" l="1"/>
  <c r="M187" i="72"/>
  <c r="J187" i="72"/>
  <c r="L187" i="72"/>
  <c r="G188" i="72" l="1"/>
  <c r="Z187" i="72"/>
  <c r="Y187" i="72"/>
  <c r="T187" i="72"/>
  <c r="S187" i="72"/>
  <c r="Q187" i="72"/>
  <c r="K187" i="72"/>
  <c r="P187" i="72"/>
  <c r="N188" i="72" l="1"/>
  <c r="O187" i="72"/>
  <c r="I187" i="72"/>
  <c r="H188" i="72" l="1"/>
  <c r="M188" i="72"/>
  <c r="J188" i="72"/>
  <c r="L188" i="72"/>
  <c r="P188" i="72"/>
  <c r="Z188" i="72" l="1"/>
  <c r="Y188" i="72"/>
  <c r="T188" i="72"/>
  <c r="S188" i="72"/>
  <c r="Q188" i="72"/>
  <c r="K189" i="72"/>
  <c r="E190" i="72"/>
  <c r="G190" i="72" l="1"/>
  <c r="Q189" i="72"/>
  <c r="L189" i="72"/>
  <c r="G189" i="72"/>
  <c r="I189" i="72"/>
  <c r="Z189" i="72"/>
  <c r="H189" i="72"/>
  <c r="S189" i="72"/>
  <c r="Y189" i="72"/>
  <c r="T189" i="72"/>
  <c r="K188" i="72"/>
  <c r="I188" i="72"/>
  <c r="O188" i="72"/>
  <c r="N190" i="72"/>
  <c r="F190" i="72"/>
  <c r="M189" i="72" l="1"/>
  <c r="O189" i="72"/>
  <c r="H190" i="72" l="1"/>
  <c r="N189" i="72"/>
  <c r="P189" i="72"/>
  <c r="J189" i="72"/>
  <c r="M190" i="72"/>
  <c r="J190" i="72"/>
  <c r="L190" i="72"/>
  <c r="P190" i="72"/>
  <c r="Z190" i="72" l="1"/>
  <c r="Y190" i="72"/>
  <c r="T190" i="72"/>
  <c r="S190" i="72"/>
  <c r="Q190" i="72"/>
  <c r="K190" i="72"/>
  <c r="E191" i="72"/>
  <c r="G191" i="72" l="1"/>
  <c r="O190" i="72"/>
  <c r="I190" i="72"/>
  <c r="F191" i="72"/>
  <c r="N191" i="72" l="1"/>
  <c r="D190" i="72" l="1"/>
  <c r="D189" i="72"/>
  <c r="D188" i="72"/>
  <c r="D184" i="72"/>
  <c r="D187" i="72"/>
  <c r="D185" i="72"/>
  <c r="D186" i="72"/>
  <c r="D191" i="72"/>
  <c r="H191" i="72"/>
  <c r="M191" i="72"/>
  <c r="J191" i="72"/>
  <c r="L191" i="72"/>
  <c r="P191" i="72"/>
  <c r="Z191" i="72" l="1"/>
  <c r="Y191" i="72"/>
  <c r="T191" i="72"/>
  <c r="S191" i="72"/>
  <c r="Q191" i="72"/>
  <c r="O191" i="72"/>
  <c r="K191" i="72" l="1"/>
  <c r="I191" i="72"/>
  <c r="E319" i="72" l="1"/>
  <c r="G319" i="72" l="1"/>
  <c r="M319" i="72"/>
  <c r="F319" i="72"/>
  <c r="J319" i="72" l="1"/>
  <c r="L319" i="72"/>
  <c r="N319" i="72"/>
  <c r="Y319" i="72" l="1"/>
  <c r="T319" i="72"/>
  <c r="S319" i="72"/>
  <c r="Q319" i="72"/>
  <c r="H319" i="72"/>
  <c r="P319" i="72"/>
  <c r="R319" i="72"/>
  <c r="E320" i="72"/>
  <c r="F320" i="72"/>
  <c r="H320" i="72" l="1"/>
  <c r="G320" i="72"/>
  <c r="Z319" i="72"/>
  <c r="K319" i="72"/>
  <c r="I319" i="72"/>
  <c r="O319" i="72"/>
  <c r="J320" i="72"/>
  <c r="L320" i="72"/>
  <c r="Q320" i="72" l="1"/>
  <c r="K320" i="72"/>
  <c r="M320" i="72"/>
  <c r="R320" i="72"/>
  <c r="Z320" i="72" l="1"/>
  <c r="Y320" i="72"/>
  <c r="T320" i="72"/>
  <c r="S320" i="72"/>
  <c r="N320" i="72"/>
  <c r="P320" i="72"/>
  <c r="O320" i="72"/>
  <c r="I320" i="72"/>
  <c r="E321" i="72"/>
  <c r="Y321" i="72" l="1"/>
  <c r="L321" i="72"/>
  <c r="Q321" i="72"/>
  <c r="H321" i="72"/>
  <c r="G321" i="72"/>
  <c r="I321" i="72"/>
  <c r="T321" i="72"/>
  <c r="S321" i="72"/>
  <c r="F321" i="72"/>
  <c r="K321" i="72"/>
  <c r="Z321" i="72" l="1"/>
  <c r="M321" i="72"/>
  <c r="O321" i="72"/>
  <c r="N321" i="72" l="1"/>
  <c r="R321" i="72"/>
  <c r="J321" i="72"/>
  <c r="P321" i="72"/>
  <c r="E322" i="72" l="1"/>
  <c r="F322" i="72"/>
  <c r="Y322" i="72" l="1"/>
  <c r="S322" i="72"/>
  <c r="G322" i="72"/>
  <c r="I322" i="72"/>
  <c r="Q322" i="72"/>
  <c r="L322" i="72"/>
  <c r="T322" i="72"/>
  <c r="H322" i="72"/>
  <c r="K322" i="72"/>
  <c r="E323" i="72"/>
  <c r="G323" i="72" l="1"/>
  <c r="Z322" i="72"/>
  <c r="M322" i="72"/>
  <c r="O322" i="72"/>
  <c r="M323" i="72"/>
  <c r="F323" i="72"/>
  <c r="N322" i="72" l="1"/>
  <c r="R322" i="72"/>
  <c r="J322" i="72"/>
  <c r="P322" i="72"/>
  <c r="H323" i="72" l="1"/>
  <c r="I323" i="72"/>
  <c r="N323" i="72"/>
  <c r="K323" i="72"/>
  <c r="Q323" i="72" l="1"/>
  <c r="J323" i="72"/>
  <c r="O323" i="72"/>
  <c r="R323" i="72"/>
  <c r="Z323" i="72" l="1"/>
  <c r="Y323" i="72"/>
  <c r="T323" i="72"/>
  <c r="S323" i="72"/>
  <c r="L323" i="72"/>
  <c r="P323" i="72"/>
  <c r="E324" i="72"/>
  <c r="F324" i="72"/>
  <c r="Y324" i="72" l="1"/>
  <c r="S324" i="72"/>
  <c r="T324" i="72"/>
  <c r="Q324" i="72"/>
  <c r="H324" i="72"/>
  <c r="G324" i="72"/>
  <c r="I324" i="72"/>
  <c r="L324" i="72"/>
  <c r="K324" i="72"/>
  <c r="Z324" i="72" l="1"/>
  <c r="M324" i="72"/>
  <c r="O324" i="72"/>
  <c r="N324" i="72" l="1"/>
  <c r="J324" i="72"/>
  <c r="P324" i="72"/>
  <c r="R324" i="72"/>
  <c r="D323" i="72" l="1"/>
  <c r="D322" i="72"/>
  <c r="D320" i="72"/>
  <c r="D324" i="72"/>
  <c r="D321" i="72"/>
  <c r="D319" i="72" l="1"/>
  <c r="E310" i="72" l="1"/>
  <c r="G310" i="72" l="1"/>
  <c r="M310" i="72"/>
  <c r="F310" i="72"/>
  <c r="J310" i="72" l="1"/>
  <c r="L310" i="72"/>
  <c r="N310" i="72"/>
  <c r="T310" i="72" l="1"/>
  <c r="S310" i="72"/>
  <c r="Q310" i="72"/>
  <c r="H310" i="72"/>
  <c r="P310" i="72"/>
  <c r="Z310" i="72" l="1"/>
  <c r="Y310" i="72"/>
  <c r="K310" i="72"/>
  <c r="O310" i="72"/>
  <c r="I310" i="72"/>
  <c r="E311" i="72"/>
  <c r="G311" i="72" l="1"/>
  <c r="M311" i="72" l="1"/>
  <c r="F311" i="72"/>
  <c r="H311" i="72" l="1"/>
  <c r="I311" i="72"/>
  <c r="N311" i="72"/>
  <c r="K311" i="72"/>
  <c r="O311" i="72" l="1"/>
  <c r="Z311" i="72"/>
  <c r="Y311" i="72"/>
  <c r="T311" i="72"/>
  <c r="S311" i="72"/>
  <c r="Q311" i="72"/>
  <c r="E312" i="72"/>
  <c r="F312" i="72"/>
  <c r="Y312" i="72" l="1"/>
  <c r="S312" i="72"/>
  <c r="L312" i="72"/>
  <c r="T312" i="72"/>
  <c r="Q312" i="72"/>
  <c r="H312" i="72"/>
  <c r="G312" i="72"/>
  <c r="I312" i="72"/>
  <c r="L311" i="72"/>
  <c r="P311" i="72"/>
  <c r="J311" i="72"/>
  <c r="K312" i="72"/>
  <c r="F313" i="72"/>
  <c r="H313" i="72" l="1"/>
  <c r="Z312" i="72"/>
  <c r="G313" i="72"/>
  <c r="E313" i="72"/>
  <c r="N313" i="72"/>
  <c r="M312" i="72"/>
  <c r="O312" i="72"/>
  <c r="Q313" i="72" l="1"/>
  <c r="M313" i="72"/>
  <c r="N312" i="72"/>
  <c r="J312" i="72"/>
  <c r="P312" i="72"/>
  <c r="Y313" i="72" l="1"/>
  <c r="S313" i="72"/>
  <c r="T313" i="72"/>
  <c r="E315" i="72"/>
  <c r="F315" i="72"/>
  <c r="Y315" i="72" l="1"/>
  <c r="L315" i="72"/>
  <c r="Z313" i="72"/>
  <c r="H315" i="72"/>
  <c r="T315" i="72"/>
  <c r="S315" i="72"/>
  <c r="Q315" i="72"/>
  <c r="G315" i="72"/>
  <c r="I315" i="72"/>
  <c r="L313" i="72"/>
  <c r="P313" i="72"/>
  <c r="J313" i="72"/>
  <c r="K315" i="72"/>
  <c r="K313" i="72"/>
  <c r="I313" i="72"/>
  <c r="O313" i="72"/>
  <c r="E316" i="72"/>
  <c r="F316" i="72"/>
  <c r="H316" i="72" l="1"/>
  <c r="G316" i="72"/>
  <c r="N316" i="72"/>
  <c r="Z315" i="72"/>
  <c r="M315" i="72"/>
  <c r="O315" i="72"/>
  <c r="I316" i="72"/>
  <c r="K316" i="72"/>
  <c r="O316" i="72"/>
  <c r="Q316" i="72" l="1"/>
  <c r="M316" i="72"/>
  <c r="N315" i="72"/>
  <c r="J315" i="72"/>
  <c r="P315" i="72"/>
  <c r="Y316" i="72" l="1"/>
  <c r="S316" i="72"/>
  <c r="T316" i="72"/>
  <c r="L316" i="72"/>
  <c r="J316" i="72"/>
  <c r="P316" i="72"/>
  <c r="Z316" i="72" l="1"/>
  <c r="D311" i="72" l="1"/>
  <c r="D312" i="72"/>
  <c r="D313" i="72"/>
  <c r="D315" i="72"/>
  <c r="D316" i="72"/>
  <c r="D310" i="72" l="1"/>
  <c r="F41" i="83" l="1"/>
  <c r="E4" i="83" s="1"/>
  <c r="I40" i="83"/>
  <c r="I41" i="83" s="1"/>
  <c r="H41" i="83" s="1"/>
  <c r="F4" i="83" s="1"/>
  <c r="H4" i="83"/>
  <c r="G4" i="83"/>
  <c r="R4" i="83"/>
  <c r="E1" i="83"/>
  <c r="L40" i="83"/>
  <c r="I1" i="83"/>
  <c r="G1" i="83"/>
  <c r="P1" i="83"/>
  <c r="K1" i="83"/>
  <c r="I4" i="83" l="1"/>
  <c r="K4" i="83"/>
  <c r="M4" i="83"/>
  <c r="J40" i="83"/>
  <c r="J41" i="83" s="1"/>
  <c r="L4" i="83" s="1"/>
  <c r="V4" i="83"/>
  <c r="U4" i="83"/>
  <c r="T4" i="83"/>
  <c r="Y4" i="83"/>
  <c r="X4" i="83"/>
  <c r="S4" i="83"/>
  <c r="W4" i="83"/>
  <c r="N4" i="83" l="1"/>
  <c r="O4" i="83"/>
  <c r="AA4" i="83"/>
  <c r="Z4" i="83"/>
  <c r="P4" i="83" l="1"/>
  <c r="Q4" i="83" s="1"/>
  <c r="J4" i="83"/>
  <c r="F47" i="83"/>
  <c r="E5" i="83"/>
  <c r="H5" i="83"/>
  <c r="G5" i="83"/>
  <c r="H46" i="83"/>
  <c r="L46" i="83"/>
  <c r="R5" i="83"/>
  <c r="M5" i="83" l="1"/>
  <c r="N5" i="83" s="1"/>
  <c r="I46" i="83"/>
  <c r="U5" i="83"/>
  <c r="X5" i="83"/>
  <c r="S5" i="83"/>
  <c r="AA5" i="83"/>
  <c r="V5" i="83"/>
  <c r="W5" i="83"/>
  <c r="Z5" i="83"/>
  <c r="T5" i="83"/>
  <c r="Y5" i="83"/>
  <c r="J46" i="83" l="1"/>
  <c r="J47" i="83" s="1"/>
  <c r="L5" i="83" s="1"/>
  <c r="I47" i="83"/>
  <c r="H47" i="83" s="1"/>
  <c r="F5" i="83" s="1"/>
  <c r="F50" i="83"/>
  <c r="E6" i="83" s="1"/>
  <c r="G6" i="83"/>
  <c r="B6" i="83"/>
  <c r="I5" i="83" l="1"/>
  <c r="K5" i="83"/>
  <c r="O5" i="83" s="1"/>
  <c r="P5" i="83"/>
  <c r="Q5" i="83" s="1"/>
  <c r="J5" i="83"/>
  <c r="N6" i="83"/>
  <c r="M6" i="83"/>
  <c r="H49" i="83"/>
  <c r="L49" i="83"/>
  <c r="H6" i="83"/>
  <c r="R6" i="83"/>
  <c r="N8" i="83" l="1"/>
  <c r="I49" i="83"/>
  <c r="U6" i="83"/>
  <c r="W6" i="83"/>
  <c r="X6" i="83"/>
  <c r="S6" i="83"/>
  <c r="T6" i="83"/>
  <c r="V6" i="83"/>
  <c r="D4" i="83" l="1"/>
  <c r="D5" i="83"/>
  <c r="D6" i="83"/>
  <c r="I50" i="83"/>
  <c r="H50" i="83" s="1"/>
  <c r="F6" i="83" s="1"/>
  <c r="J6" i="83" s="1"/>
  <c r="J49" i="83"/>
  <c r="D7" i="83"/>
  <c r="K8" i="83"/>
  <c r="L8" i="83"/>
  <c r="P9" i="83" s="1"/>
  <c r="M8" i="83"/>
  <c r="O8" i="83"/>
  <c r="P8" i="83"/>
  <c r="Q8" i="83"/>
  <c r="H14" i="83"/>
  <c r="I14" i="83"/>
  <c r="J14" i="83"/>
  <c r="N14" i="83" s="1"/>
  <c r="M14" i="83"/>
  <c r="H15" i="83"/>
  <c r="I15" i="83"/>
  <c r="N15" i="83" s="1"/>
  <c r="J15" i="83"/>
  <c r="M15" i="83"/>
  <c r="E15" i="83"/>
  <c r="O15" i="83"/>
  <c r="R15" i="83"/>
  <c r="O14" i="83"/>
  <c r="E14" i="83"/>
  <c r="E16" i="83"/>
  <c r="R14" i="83"/>
  <c r="O9" i="83" l="1"/>
  <c r="D8" i="83"/>
  <c r="P14" i="83"/>
  <c r="P15" i="83"/>
  <c r="J50" i="83"/>
  <c r="L6" i="83" s="1"/>
  <c r="P6" i="83" s="1"/>
  <c r="Q6" i="83" s="1"/>
  <c r="K49" i="83"/>
  <c r="K50" i="83" s="1"/>
  <c r="K6" i="83" s="1"/>
  <c r="H16" i="83"/>
  <c r="I16" i="83"/>
  <c r="J16" i="83"/>
  <c r="M16" i="83"/>
  <c r="N16" i="83"/>
  <c r="O16" i="83"/>
  <c r="E17" i="83"/>
  <c r="B17" i="83"/>
  <c r="R16" i="83"/>
  <c r="P16" i="83" l="1"/>
  <c r="O6" i="83"/>
  <c r="I6" i="83"/>
  <c r="H17" i="83"/>
  <c r="I17" i="83"/>
  <c r="J17" i="83"/>
  <c r="M17" i="83"/>
  <c r="R17" i="83"/>
  <c r="B18" i="83"/>
  <c r="E18" i="83"/>
  <c r="O17" i="83"/>
  <c r="N17" i="83" l="1"/>
  <c r="P17" i="83" s="1"/>
  <c r="H18" i="83"/>
  <c r="I18" i="83"/>
  <c r="J18" i="83"/>
  <c r="M18" i="83"/>
  <c r="B19" i="83"/>
  <c r="O18" i="83"/>
  <c r="E19" i="83"/>
  <c r="R18" i="83"/>
  <c r="N18" i="83" l="1"/>
  <c r="P18" i="83" s="1"/>
  <c r="H19" i="83"/>
  <c r="I19" i="83"/>
  <c r="J19" i="83"/>
  <c r="M19" i="83"/>
  <c r="B20" i="83"/>
  <c r="E20" i="83"/>
  <c r="O19" i="83"/>
  <c r="R19" i="83"/>
  <c r="N19" i="83" l="1"/>
  <c r="P19" i="83" s="1"/>
  <c r="H20" i="83"/>
  <c r="I20" i="83"/>
  <c r="J20" i="83"/>
  <c r="M20" i="83"/>
  <c r="N21" i="83"/>
  <c r="P21" i="83"/>
  <c r="I28" i="83"/>
  <c r="J28" i="83"/>
  <c r="F29" i="83"/>
  <c r="I29" i="83"/>
  <c r="H29" i="83"/>
  <c r="I31" i="83"/>
  <c r="J31" i="83"/>
  <c r="J32" i="83" s="1"/>
  <c r="F32" i="83"/>
  <c r="I32" i="83"/>
  <c r="H32" i="83" s="1"/>
  <c r="I34" i="83"/>
  <c r="I35" i="83" s="1"/>
  <c r="H35" i="83" s="1"/>
  <c r="J34" i="83"/>
  <c r="F35" i="83"/>
  <c r="M31" i="83"/>
  <c r="L28" i="83"/>
  <c r="D34" i="83"/>
  <c r="M28" i="83"/>
  <c r="O20" i="83"/>
  <c r="L34" i="83"/>
  <c r="D28" i="83"/>
  <c r="D31" i="83"/>
  <c r="R20" i="83"/>
  <c r="M34" i="83"/>
  <c r="L31" i="83"/>
  <c r="G28" i="83"/>
  <c r="D37" i="83"/>
  <c r="G34" i="83"/>
  <c r="G31" i="83"/>
  <c r="N20" i="83" l="1"/>
  <c r="P20" i="83" s="1"/>
  <c r="K31" i="83"/>
  <c r="K32" i="83" s="1"/>
  <c r="K34" i="83"/>
  <c r="K35" i="83" s="1"/>
  <c r="K28" i="83"/>
  <c r="K29" i="83" s="1"/>
  <c r="J35" i="83"/>
  <c r="J29" i="83"/>
  <c r="I37" i="83"/>
  <c r="F38" i="83"/>
  <c r="L37" i="83"/>
  <c r="M37" i="83"/>
  <c r="G37" i="83"/>
  <c r="D40" i="83"/>
  <c r="J37" i="83" l="1"/>
  <c r="I38" i="83"/>
  <c r="H38" i="83" s="1"/>
  <c r="K40" i="83"/>
  <c r="K41" i="83" s="1"/>
  <c r="M40" i="83"/>
  <c r="G40" i="83"/>
  <c r="D43" i="83"/>
  <c r="K37" i="83" l="1"/>
  <c r="K38" i="83" s="1"/>
  <c r="J38" i="83"/>
  <c r="I43" i="83"/>
  <c r="I44" i="83" s="1"/>
  <c r="H44" i="83" s="1"/>
  <c r="F44" i="83"/>
  <c r="D46" i="83"/>
  <c r="L43" i="83"/>
  <c r="M43" i="83"/>
  <c r="G43" i="83"/>
  <c r="J43" i="83" l="1"/>
  <c r="K46" i="83"/>
  <c r="K47" i="83" s="1"/>
  <c r="M49" i="83"/>
  <c r="D49" i="83"/>
  <c r="G49" i="83"/>
  <c r="G46" i="83"/>
  <c r="M46" i="83"/>
  <c r="K43" i="83" l="1"/>
  <c r="K44" i="83" s="1"/>
  <c r="J44" i="83"/>
  <c r="E294" i="72"/>
  <c r="G294" i="72" l="1"/>
  <c r="N294" i="72"/>
  <c r="F294" i="72"/>
  <c r="M294" i="72" l="1"/>
  <c r="L294" i="72"/>
  <c r="J294" i="72"/>
  <c r="R294" i="72"/>
  <c r="Y294" i="72" l="1"/>
  <c r="T294" i="72"/>
  <c r="S294" i="72"/>
  <c r="K294" i="72"/>
  <c r="H294" i="72"/>
  <c r="Q294" i="72"/>
  <c r="P294" i="72"/>
  <c r="F295" i="72"/>
  <c r="E295" i="72"/>
  <c r="H295" i="72" l="1"/>
  <c r="G295" i="72"/>
  <c r="Z294" i="72"/>
  <c r="I294" i="72"/>
  <c r="O294" i="72"/>
  <c r="M295" i="72"/>
  <c r="L295" i="72"/>
  <c r="J295" i="72" l="1"/>
  <c r="Q295" i="72"/>
  <c r="K295" i="72"/>
  <c r="N295" i="72"/>
  <c r="P295" i="72"/>
  <c r="R295" i="72"/>
  <c r="O295" i="72" l="1"/>
  <c r="I295" i="72"/>
  <c r="Z295" i="72"/>
  <c r="Y295" i="72"/>
  <c r="T295" i="72"/>
  <c r="S295" i="72"/>
  <c r="E296" i="72" l="1"/>
  <c r="Y296" i="72" l="1"/>
  <c r="S296" i="72"/>
  <c r="G296" i="72"/>
  <c r="T296" i="72"/>
  <c r="H296" i="72"/>
  <c r="Q296" i="72"/>
  <c r="F296" i="72"/>
  <c r="Z296" i="72" l="1"/>
  <c r="K296" i="72"/>
  <c r="L296" i="72"/>
  <c r="N296" i="72"/>
  <c r="R296" i="72"/>
  <c r="M296" i="72"/>
  <c r="O296" i="72"/>
  <c r="I296" i="72"/>
  <c r="P296" i="72" l="1"/>
  <c r="J296" i="72"/>
  <c r="E298" i="72" l="1"/>
  <c r="G298" i="72" l="1"/>
  <c r="N298" i="72"/>
  <c r="F298" i="72"/>
  <c r="H298" i="72" l="1"/>
  <c r="M298" i="72"/>
  <c r="K298" i="72"/>
  <c r="I298" i="72" l="1"/>
  <c r="O298" i="72"/>
  <c r="Q298" i="72"/>
  <c r="R298" i="72"/>
  <c r="Z298" i="72" l="1"/>
  <c r="Y298" i="72"/>
  <c r="T298" i="72"/>
  <c r="S298" i="72"/>
  <c r="L298" i="72"/>
  <c r="P298" i="72"/>
  <c r="J298" i="72"/>
  <c r="F299" i="72"/>
  <c r="H299" i="72" l="1"/>
  <c r="G299" i="72"/>
  <c r="E299" i="72"/>
  <c r="P299" i="72"/>
  <c r="M299" i="72"/>
  <c r="L299" i="72"/>
  <c r="Q299" i="72" l="1"/>
  <c r="K299" i="72"/>
  <c r="J299" i="72"/>
  <c r="N299" i="72"/>
  <c r="R299" i="72"/>
  <c r="I299" i="72" l="1"/>
  <c r="Z299" i="72"/>
  <c r="Y299" i="72"/>
  <c r="T299" i="72"/>
  <c r="S299" i="72"/>
  <c r="O299" i="72"/>
  <c r="E300" i="72" l="1"/>
  <c r="G300" i="72" l="1"/>
  <c r="N300" i="72"/>
  <c r="F300" i="72"/>
  <c r="H300" i="72" l="1"/>
  <c r="M300" i="72"/>
  <c r="K300" i="72"/>
  <c r="O300" i="72" l="1"/>
  <c r="I300" i="72"/>
  <c r="Q300" i="72"/>
  <c r="R300" i="72"/>
  <c r="Z300" i="72" l="1"/>
  <c r="Y300" i="72"/>
  <c r="T300" i="72"/>
  <c r="S300" i="72"/>
  <c r="L300" i="72"/>
  <c r="J300" i="72"/>
  <c r="P300" i="72"/>
  <c r="F302" i="72" l="1"/>
  <c r="Q302" i="72" l="1"/>
  <c r="H302" i="72"/>
  <c r="G302" i="72"/>
  <c r="B302" i="72"/>
  <c r="E302" i="72"/>
  <c r="L302" i="72"/>
  <c r="K302" i="72"/>
  <c r="E304" i="72"/>
  <c r="T304" i="72" l="1"/>
  <c r="S304" i="72"/>
  <c r="R304" i="72"/>
  <c r="Q304" i="72"/>
  <c r="G304" i="72"/>
  <c r="H304" i="72"/>
  <c r="B304" i="72"/>
  <c r="R302" i="72"/>
  <c r="T302" i="72"/>
  <c r="S302" i="72"/>
  <c r="F304" i="72"/>
  <c r="L304" i="72"/>
  <c r="K304" i="72"/>
  <c r="N302" i="72"/>
  <c r="P302" i="72"/>
  <c r="J302" i="72"/>
  <c r="M302" i="72"/>
  <c r="O302" i="72"/>
  <c r="I302" i="72"/>
  <c r="N304" i="72" l="1"/>
  <c r="P304" i="72"/>
  <c r="J304" i="72"/>
  <c r="M304" i="72"/>
  <c r="I304" i="72"/>
  <c r="O304" i="72"/>
  <c r="E309" i="72"/>
  <c r="F309" i="72"/>
  <c r="T309" i="72" l="1"/>
  <c r="S309" i="72"/>
  <c r="R309" i="72"/>
  <c r="Q309" i="72"/>
  <c r="H309" i="72"/>
  <c r="G309" i="72"/>
  <c r="B309" i="72"/>
  <c r="K309" i="72"/>
  <c r="L309" i="72"/>
  <c r="M309" i="72" l="1"/>
  <c r="I309" i="72"/>
  <c r="O309" i="72"/>
  <c r="N309" i="72"/>
  <c r="J309" i="72"/>
  <c r="P309" i="72"/>
  <c r="D309" i="72" l="1"/>
  <c r="D295" i="72"/>
  <c r="D296" i="72"/>
  <c r="D298" i="72"/>
  <c r="D299" i="72"/>
  <c r="D300" i="72"/>
  <c r="D302" i="72"/>
  <c r="D304" i="72"/>
  <c r="D294" i="72" l="1"/>
  <c r="E273" i="72" l="1"/>
  <c r="G273" i="72" l="1"/>
  <c r="M273" i="72"/>
  <c r="F273" i="72"/>
  <c r="N273" i="72" l="1"/>
  <c r="J273" i="72"/>
  <c r="L273" i="72"/>
  <c r="P273" i="72"/>
  <c r="Y273" i="72" l="1"/>
  <c r="T273" i="72"/>
  <c r="S273" i="72"/>
  <c r="Q273" i="72"/>
  <c r="H273" i="72"/>
  <c r="F274" i="72"/>
  <c r="H274" i="72" l="1"/>
  <c r="Z273" i="72"/>
  <c r="G274" i="72"/>
  <c r="E274" i="72"/>
  <c r="K273" i="72"/>
  <c r="I273" i="72"/>
  <c r="O273" i="72"/>
  <c r="J274" i="72"/>
  <c r="L274" i="72"/>
  <c r="Q274" i="72" l="1"/>
  <c r="K274" i="72"/>
  <c r="M274" i="72"/>
  <c r="I274" i="72" l="1"/>
  <c r="O274" i="72"/>
  <c r="Z274" i="72"/>
  <c r="Y274" i="72"/>
  <c r="S274" i="72"/>
  <c r="T274" i="72"/>
  <c r="N274" i="72"/>
  <c r="P274" i="72"/>
  <c r="H275" i="72" l="1"/>
  <c r="G275" i="72"/>
  <c r="E275" i="72"/>
  <c r="F275" i="72"/>
  <c r="J275" i="72"/>
  <c r="L275" i="72"/>
  <c r="Q275" i="72" l="1"/>
  <c r="K275" i="72"/>
  <c r="M275" i="72"/>
  <c r="O275" i="72" l="1"/>
  <c r="I275" i="72"/>
  <c r="Z275" i="72"/>
  <c r="Y275" i="72"/>
  <c r="S275" i="72"/>
  <c r="T275" i="72"/>
  <c r="N275" i="72"/>
  <c r="P275" i="72"/>
  <c r="F276" i="72"/>
  <c r="H276" i="72" l="1"/>
  <c r="G276" i="72"/>
  <c r="E276" i="72"/>
  <c r="Q276" i="72" l="1"/>
  <c r="M276" i="72"/>
  <c r="Z276" i="72" l="1"/>
  <c r="Y276" i="72"/>
  <c r="S276" i="72"/>
  <c r="T276" i="72"/>
  <c r="N276" i="72"/>
  <c r="J276" i="72"/>
  <c r="P276" i="72"/>
  <c r="L276" i="72"/>
  <c r="E277" i="72"/>
  <c r="Y277" i="72" l="1"/>
  <c r="H277" i="72"/>
  <c r="S277" i="72"/>
  <c r="G277" i="72"/>
  <c r="I277" i="72"/>
  <c r="Q277" i="72"/>
  <c r="T277" i="72"/>
  <c r="L277" i="72"/>
  <c r="F277" i="72"/>
  <c r="K277" i="72"/>
  <c r="K276" i="72"/>
  <c r="O276" i="72"/>
  <c r="I276" i="72"/>
  <c r="E278" i="72"/>
  <c r="F279" i="72"/>
  <c r="H279" i="72" l="1"/>
  <c r="Q278" i="72"/>
  <c r="H278" i="72"/>
  <c r="Z278" i="72"/>
  <c r="G278" i="72"/>
  <c r="I278" i="72"/>
  <c r="Z277" i="72"/>
  <c r="G279" i="72"/>
  <c r="T278" i="72"/>
  <c r="Y278" i="72"/>
  <c r="S278" i="72"/>
  <c r="F278" i="72"/>
  <c r="K278" i="72"/>
  <c r="E279" i="72"/>
  <c r="L278" i="72"/>
  <c r="M277" i="72"/>
  <c r="O277" i="72"/>
  <c r="Q279" i="72" l="1"/>
  <c r="N277" i="72"/>
  <c r="P277" i="72"/>
  <c r="J277" i="72"/>
  <c r="M279" i="72"/>
  <c r="M278" i="72"/>
  <c r="O278" i="72"/>
  <c r="Z279" i="72" l="1"/>
  <c r="Y279" i="72"/>
  <c r="T279" i="72"/>
  <c r="S279" i="72"/>
  <c r="N278" i="72"/>
  <c r="P278" i="72"/>
  <c r="J278" i="72"/>
  <c r="L279" i="72"/>
  <c r="N279" i="72"/>
  <c r="E280" i="72"/>
  <c r="J279" i="72" l="1"/>
  <c r="G280" i="72"/>
  <c r="P279" i="72"/>
  <c r="K279" i="72"/>
  <c r="O279" i="72"/>
  <c r="I279" i="72"/>
  <c r="M280" i="72"/>
  <c r="F280" i="72" l="1"/>
  <c r="H280" i="72" l="1"/>
  <c r="N280" i="72"/>
  <c r="J280" i="72"/>
  <c r="L280" i="72"/>
  <c r="P280" i="72"/>
  <c r="Z280" i="72" l="1"/>
  <c r="Y280" i="72"/>
  <c r="T280" i="72"/>
  <c r="S280" i="72"/>
  <c r="Q280" i="72"/>
  <c r="F281" i="72"/>
  <c r="Y281" i="72" l="1"/>
  <c r="S281" i="72"/>
  <c r="Q281" i="72"/>
  <c r="L281" i="72"/>
  <c r="H281" i="72"/>
  <c r="G281" i="72"/>
  <c r="I281" i="72"/>
  <c r="T281" i="72"/>
  <c r="E281" i="72"/>
  <c r="K281" i="72"/>
  <c r="E282" i="72"/>
  <c r="G282" i="72" l="1"/>
  <c r="Z281" i="72"/>
  <c r="K280" i="72"/>
  <c r="I280" i="72"/>
  <c r="O280" i="72"/>
  <c r="M281" i="72"/>
  <c r="O281" i="72"/>
  <c r="M282" i="72"/>
  <c r="F282" i="72"/>
  <c r="N281" i="72" l="1"/>
  <c r="J281" i="72"/>
  <c r="P281" i="72"/>
  <c r="H282" i="72" l="1"/>
  <c r="N282" i="72"/>
  <c r="J282" i="72"/>
  <c r="L282" i="72"/>
  <c r="P282" i="72"/>
  <c r="Z282" i="72" l="1"/>
  <c r="Y282" i="72"/>
  <c r="T282" i="72"/>
  <c r="S282" i="72"/>
  <c r="Q282" i="72"/>
  <c r="E283" i="72"/>
  <c r="G283" i="72" l="1"/>
  <c r="K282" i="72"/>
  <c r="I282" i="72"/>
  <c r="O282" i="72"/>
  <c r="M283" i="72"/>
  <c r="F283" i="72"/>
  <c r="H283" i="72" l="1"/>
  <c r="N283" i="72"/>
  <c r="J283" i="72"/>
  <c r="L283" i="72"/>
  <c r="P283" i="72"/>
  <c r="Z283" i="72" l="1"/>
  <c r="Y283" i="72"/>
  <c r="T283" i="72"/>
  <c r="S283" i="72"/>
  <c r="Q283" i="72"/>
  <c r="E285" i="72"/>
  <c r="G285" i="72" l="1"/>
  <c r="K283" i="72"/>
  <c r="I283" i="72"/>
  <c r="O283" i="72"/>
  <c r="M285" i="72"/>
  <c r="F285" i="72" l="1"/>
  <c r="H285" i="72" l="1"/>
  <c r="N285" i="72"/>
  <c r="I285" i="72"/>
  <c r="L285" i="72"/>
  <c r="K285" i="72"/>
  <c r="O285" i="72"/>
  <c r="Z285" i="72" l="1"/>
  <c r="Y285" i="72"/>
  <c r="T285" i="72"/>
  <c r="S285" i="72"/>
  <c r="Q285" i="72"/>
  <c r="J285" i="72"/>
  <c r="P285" i="72"/>
  <c r="E286" i="72"/>
  <c r="G286" i="72" l="1"/>
  <c r="M286" i="72"/>
  <c r="F286" i="72"/>
  <c r="H286" i="72" l="1"/>
  <c r="N286" i="72"/>
  <c r="J286" i="72"/>
  <c r="L286" i="72"/>
  <c r="P286" i="72"/>
  <c r="Z286" i="72" l="1"/>
  <c r="Y286" i="72"/>
  <c r="T286" i="72"/>
  <c r="S286" i="72"/>
  <c r="Q286" i="72"/>
  <c r="E288" i="72"/>
  <c r="G288" i="72" l="1"/>
  <c r="K286" i="72"/>
  <c r="I286" i="72"/>
  <c r="O286" i="72"/>
  <c r="M288" i="72"/>
  <c r="F288" i="72"/>
  <c r="H288" i="72" l="1"/>
  <c r="N288" i="72"/>
  <c r="I288" i="72"/>
  <c r="K288" i="72"/>
  <c r="O288" i="72"/>
  <c r="Z288" i="72" l="1"/>
  <c r="Y288" i="72"/>
  <c r="T288" i="72"/>
  <c r="S288" i="72"/>
  <c r="Q288" i="72"/>
  <c r="L288" i="72" l="1"/>
  <c r="J288" i="72"/>
  <c r="P288" i="72"/>
  <c r="D280" i="72" l="1"/>
  <c r="D288" i="72"/>
  <c r="D281" i="72"/>
  <c r="D277" i="72"/>
  <c r="D274" i="72"/>
  <c r="D282" i="72"/>
  <c r="D275" i="72"/>
  <c r="D283" i="72"/>
  <c r="D276" i="72"/>
  <c r="D285" i="72"/>
  <c r="D286" i="72"/>
  <c r="D278" i="72"/>
  <c r="D279" i="72"/>
  <c r="D273" i="72" l="1"/>
  <c r="F23" i="87" l="1"/>
  <c r="E4" i="87"/>
  <c r="I22" i="87"/>
  <c r="J22" i="87" s="1"/>
  <c r="K1" i="87"/>
  <c r="G1" i="87"/>
  <c r="Q4" i="87"/>
  <c r="L22" i="87"/>
  <c r="I1" i="87"/>
  <c r="R4" i="87"/>
  <c r="G4" i="87"/>
  <c r="P1" i="87"/>
  <c r="B4" i="87"/>
  <c r="S4" i="87"/>
  <c r="H4" i="87"/>
  <c r="M4" i="87" l="1"/>
  <c r="N4" i="87"/>
  <c r="J4" i="87" s="1"/>
  <c r="K22" i="87"/>
  <c r="K23" i="87" s="1"/>
  <c r="K4" i="87" s="1"/>
  <c r="I23" i="87"/>
  <c r="H23" i="87" s="1"/>
  <c r="F4" i="87" s="1"/>
  <c r="L4" i="87" s="1"/>
  <c r="F29" i="87"/>
  <c r="E5" i="87" s="1"/>
  <c r="G5" i="87"/>
  <c r="B5" i="87"/>
  <c r="P4" i="87" l="1"/>
  <c r="O4" i="87"/>
  <c r="I4" i="87"/>
  <c r="N5" i="87"/>
  <c r="I28" i="87"/>
  <c r="J28" i="87" s="1"/>
  <c r="I29" i="87"/>
  <c r="H29" i="87" s="1"/>
  <c r="F5" i="87" s="1"/>
  <c r="L5" i="87" s="1"/>
  <c r="M5" i="87"/>
  <c r="L28" i="87"/>
  <c r="S5" i="87"/>
  <c r="R5" i="87"/>
  <c r="Q5" i="87"/>
  <c r="H5" i="87"/>
  <c r="K28" i="87" l="1"/>
  <c r="K29" i="87" s="1"/>
  <c r="K5" i="87" s="1"/>
  <c r="J5" i="87"/>
  <c r="P5" i="87"/>
  <c r="F32" i="87"/>
  <c r="E6" i="87"/>
  <c r="B6" i="87"/>
  <c r="G6" i="87"/>
  <c r="O5" i="87" l="1"/>
  <c r="I5" i="87"/>
  <c r="N6" i="87"/>
  <c r="N8" i="87" s="1"/>
  <c r="I31" i="87"/>
  <c r="J31" i="87" s="1"/>
  <c r="M6" i="87"/>
  <c r="L31" i="87"/>
  <c r="S6" i="87"/>
  <c r="Q6" i="87"/>
  <c r="H6" i="87"/>
  <c r="R6" i="87"/>
  <c r="D4" i="87" l="1"/>
  <c r="D5" i="87"/>
  <c r="K31" i="87"/>
  <c r="K32" i="87" s="1"/>
  <c r="K6" i="87" s="1"/>
  <c r="O6" i="87" s="1"/>
  <c r="J6" i="87"/>
  <c r="P6" i="87"/>
  <c r="P8" i="87" s="1"/>
  <c r="I6" i="87"/>
  <c r="I32" i="87"/>
  <c r="H32" i="87" s="1"/>
  <c r="F6" i="87" s="1"/>
  <c r="L6" i="87" s="1"/>
  <c r="D6" i="87"/>
  <c r="D7" i="87"/>
  <c r="K8" i="87"/>
  <c r="L8" i="87"/>
  <c r="P9" i="87" s="1"/>
  <c r="M8" i="87"/>
  <c r="O9" i="87" s="1"/>
  <c r="O8" i="87"/>
  <c r="H14" i="87"/>
  <c r="I14" i="87"/>
  <c r="J14" i="87"/>
  <c r="N14" i="87" s="1"/>
  <c r="M14" i="87"/>
  <c r="J23" i="87"/>
  <c r="I25" i="87"/>
  <c r="J25" i="87"/>
  <c r="J26" i="87" s="1"/>
  <c r="F26" i="87"/>
  <c r="I26" i="87"/>
  <c r="H26" i="87" s="1"/>
  <c r="J29" i="87"/>
  <c r="J32" i="87"/>
  <c r="L25" i="87"/>
  <c r="D28" i="87"/>
  <c r="G31" i="87"/>
  <c r="G22" i="87"/>
  <c r="G25" i="87"/>
  <c r="O14" i="87"/>
  <c r="M28" i="87"/>
  <c r="M25" i="87"/>
  <c r="E14" i="87"/>
  <c r="M22" i="87"/>
  <c r="D25" i="87"/>
  <c r="D22" i="87"/>
  <c r="M31" i="87"/>
  <c r="D31" i="87"/>
  <c r="G28" i="87"/>
  <c r="D8" i="87" l="1"/>
  <c r="Q8" i="87"/>
  <c r="K25" i="87"/>
  <c r="K26" i="87" s="1"/>
  <c r="P14" i="87"/>
  <c r="P15" i="87" s="1"/>
  <c r="N15" i="87"/>
  <c r="C4" i="88" l="1"/>
  <c r="F36" i="88"/>
  <c r="E4" i="88"/>
  <c r="I35" i="88"/>
  <c r="J35" i="88" s="1"/>
  <c r="I36" i="88"/>
  <c r="H36" i="88" s="1"/>
  <c r="F4" i="88" s="1"/>
  <c r="U4" i="88"/>
  <c r="R4" i="88"/>
  <c r="S4" i="88"/>
  <c r="T4" i="88"/>
  <c r="G4" i="88"/>
  <c r="V4" i="88"/>
  <c r="W4" i="88"/>
  <c r="G1" i="88"/>
  <c r="B4" i="88"/>
  <c r="H4" i="88"/>
  <c r="K1" i="88"/>
  <c r="L35" i="88"/>
  <c r="E1" i="88"/>
  <c r="I1" i="88"/>
  <c r="X4" i="88"/>
  <c r="P1" i="88"/>
  <c r="M4" i="88" l="1"/>
  <c r="N4" i="88"/>
  <c r="J4" i="88" s="1"/>
  <c r="K35" i="88"/>
  <c r="K36" i="88" s="1"/>
  <c r="K4" i="88" s="1"/>
  <c r="J36" i="88"/>
  <c r="L4" i="88" s="1"/>
  <c r="F42" i="88"/>
  <c r="E5" i="88"/>
  <c r="B5" i="88"/>
  <c r="G5" i="88"/>
  <c r="O4" i="88" l="1"/>
  <c r="P4" i="88"/>
  <c r="Q4" i="88" s="1"/>
  <c r="I4" i="88"/>
  <c r="N5" i="88"/>
  <c r="I41" i="88"/>
  <c r="J41" i="88" s="1"/>
  <c r="I42" i="88"/>
  <c r="H42" i="88" s="1"/>
  <c r="F5" i="88" s="1"/>
  <c r="M5" i="88"/>
  <c r="R5" i="88"/>
  <c r="L41" i="88"/>
  <c r="H5" i="88"/>
  <c r="J42" i="88" l="1"/>
  <c r="L5" i="88" s="1"/>
  <c r="K41" i="88"/>
  <c r="K42" i="88" s="1"/>
  <c r="K5" i="88" s="1"/>
  <c r="J5" i="88"/>
  <c r="P5" i="88"/>
  <c r="Q5" i="88" s="1"/>
  <c r="U5" i="88"/>
  <c r="W5" i="88"/>
  <c r="X5" i="88"/>
  <c r="S5" i="88"/>
  <c r="V5" i="88"/>
  <c r="T5" i="88"/>
  <c r="O5" i="88" l="1"/>
  <c r="I5" i="88"/>
  <c r="N6" i="88"/>
  <c r="K7" i="88"/>
  <c r="L7" i="88"/>
  <c r="M7" i="88"/>
  <c r="O8" i="88" s="1"/>
  <c r="O7" i="88"/>
  <c r="P7" i="88"/>
  <c r="Q7" i="88"/>
  <c r="H13" i="88"/>
  <c r="I13" i="88"/>
  <c r="J13" i="88"/>
  <c r="M13" i="88"/>
  <c r="N13" i="88"/>
  <c r="B14" i="88"/>
  <c r="R13" i="88"/>
  <c r="E13" i="88"/>
  <c r="O13" i="88"/>
  <c r="E14" i="88"/>
  <c r="B13" i="88"/>
  <c r="N7" i="88" l="1"/>
  <c r="P13" i="88"/>
  <c r="H14" i="88"/>
  <c r="I14" i="88"/>
  <c r="J14" i="88"/>
  <c r="M14" i="88"/>
  <c r="R14" i="88"/>
  <c r="E15" i="88"/>
  <c r="B15" i="88"/>
  <c r="O14" i="88"/>
  <c r="D4" i="88" l="1"/>
  <c r="D5" i="88"/>
  <c r="D6" i="88"/>
  <c r="P8" i="88"/>
  <c r="N14" i="88"/>
  <c r="P14" i="88" s="1"/>
  <c r="H15" i="88"/>
  <c r="I15" i="88"/>
  <c r="J15" i="88"/>
  <c r="M15" i="88"/>
  <c r="C16" i="88"/>
  <c r="E16" i="88"/>
  <c r="R15" i="88"/>
  <c r="B16" i="88"/>
  <c r="O15" i="88"/>
  <c r="D7" i="88" l="1"/>
  <c r="N15" i="88"/>
  <c r="P15" i="88" s="1"/>
  <c r="H16" i="88"/>
  <c r="I16" i="88"/>
  <c r="J16" i="88"/>
  <c r="M16" i="88"/>
  <c r="C17" i="88"/>
  <c r="O16" i="88"/>
  <c r="B17" i="88"/>
  <c r="E17" i="88"/>
  <c r="R16" i="88"/>
  <c r="N16" i="88" l="1"/>
  <c r="P16" i="88" s="1"/>
  <c r="H17" i="88"/>
  <c r="I17" i="88"/>
  <c r="J17" i="88"/>
  <c r="M17" i="88"/>
  <c r="C18" i="88"/>
  <c r="O17" i="88"/>
  <c r="E18" i="88"/>
  <c r="R17" i="88"/>
  <c r="B18" i="88"/>
  <c r="N17" i="88" l="1"/>
  <c r="P17" i="88" s="1"/>
  <c r="H18" i="88"/>
  <c r="I18" i="88"/>
  <c r="J18" i="88"/>
  <c r="M18" i="88"/>
  <c r="B19" i="88"/>
  <c r="O18" i="88"/>
  <c r="R18" i="88"/>
  <c r="E19" i="88"/>
  <c r="N18" i="88" l="1"/>
  <c r="P18" i="88" s="1"/>
  <c r="H19" i="88"/>
  <c r="I19" i="88"/>
  <c r="J19" i="88"/>
  <c r="M19" i="88"/>
  <c r="C20" i="88"/>
  <c r="O19" i="88"/>
  <c r="R19" i="88"/>
  <c r="B20" i="88"/>
  <c r="E20" i="88"/>
  <c r="N19" i="88" l="1"/>
  <c r="P19" i="88" s="1"/>
  <c r="H20" i="88"/>
  <c r="I20" i="88"/>
  <c r="J20" i="88"/>
  <c r="M20" i="88"/>
  <c r="N21" i="88"/>
  <c r="P21" i="88"/>
  <c r="I29" i="88"/>
  <c r="J29" i="88"/>
  <c r="F30" i="88"/>
  <c r="I30" i="88"/>
  <c r="H30" i="88"/>
  <c r="I32" i="88"/>
  <c r="J32" i="88" s="1"/>
  <c r="F33" i="88"/>
  <c r="I33" i="88"/>
  <c r="H33" i="88" s="1"/>
  <c r="I38" i="88"/>
  <c r="J38" i="88" s="1"/>
  <c r="F39" i="88"/>
  <c r="I39" i="88"/>
  <c r="H39" i="88"/>
  <c r="R20" i="88"/>
  <c r="G32" i="88"/>
  <c r="D29" i="88"/>
  <c r="L32" i="88"/>
  <c r="D35" i="88"/>
  <c r="M35" i="88"/>
  <c r="O20" i="88"/>
  <c r="M32" i="88"/>
  <c r="D32" i="88"/>
  <c r="G29" i="88"/>
  <c r="G38" i="88"/>
  <c r="D41" i="88"/>
  <c r="D38" i="88"/>
  <c r="G35" i="88"/>
  <c r="M29" i="88"/>
  <c r="L38" i="88"/>
  <c r="M38" i="88"/>
  <c r="L29" i="88"/>
  <c r="N20" i="88" l="1"/>
  <c r="P20" i="88" s="1"/>
  <c r="J39" i="88"/>
  <c r="K38" i="88"/>
  <c r="K39" i="88" s="1"/>
  <c r="J33" i="88"/>
  <c r="K32" i="88"/>
  <c r="K33" i="88" s="1"/>
  <c r="K29" i="88"/>
  <c r="K30" i="88" s="1"/>
  <c r="J30" i="88"/>
  <c r="I44" i="88"/>
  <c r="I45" i="88" s="1"/>
  <c r="H45" i="88" s="1"/>
  <c r="J44" i="88"/>
  <c r="J45" i="88" s="1"/>
  <c r="F45" i="88"/>
  <c r="I47" i="88"/>
  <c r="J47" i="88" s="1"/>
  <c r="F48" i="88"/>
  <c r="I50" i="88"/>
  <c r="I51" i="88" s="1"/>
  <c r="H51" i="88" s="1"/>
  <c r="J50" i="88"/>
  <c r="J51" i="88" s="1"/>
  <c r="F51" i="88"/>
  <c r="D44" i="88"/>
  <c r="D47" i="88"/>
  <c r="G41" i="88"/>
  <c r="G44" i="88"/>
  <c r="G50" i="88"/>
  <c r="M47" i="88"/>
  <c r="D50" i="88"/>
  <c r="M41" i="88"/>
  <c r="L44" i="88"/>
  <c r="L50" i="88"/>
  <c r="M44" i="88"/>
  <c r="L47" i="88"/>
  <c r="G47" i="88"/>
  <c r="M50" i="88"/>
  <c r="K50" i="88" l="1"/>
  <c r="K51" i="88" s="1"/>
  <c r="K44" i="88"/>
  <c r="K45" i="88" s="1"/>
  <c r="K47" i="88"/>
  <c r="K48" i="88" s="1"/>
  <c r="J48" i="88"/>
  <c r="I48" i="88"/>
  <c r="H48" i="88" s="1"/>
  <c r="E82" i="72"/>
  <c r="F82" i="72"/>
  <c r="H82" i="72" l="1"/>
  <c r="G82" i="72"/>
  <c r="J82" i="72"/>
  <c r="L82" i="72"/>
  <c r="R82" i="72" l="1"/>
  <c r="I82" i="72"/>
  <c r="M82" i="72"/>
  <c r="AA82" i="72" l="1"/>
  <c r="Z82" i="72"/>
  <c r="Y82" i="72"/>
  <c r="X82" i="72"/>
  <c r="W82" i="72"/>
  <c r="V82" i="72"/>
  <c r="U82" i="72"/>
  <c r="S82" i="72"/>
  <c r="T82" i="72"/>
  <c r="K82" i="72"/>
  <c r="O82" i="72"/>
  <c r="N82" i="72"/>
  <c r="E84" i="72"/>
  <c r="G84" i="72" l="1"/>
  <c r="P82" i="72"/>
  <c r="Q82" i="72"/>
  <c r="F84" i="72"/>
  <c r="M84" i="72" l="1"/>
  <c r="H84" i="72"/>
  <c r="I84" i="72"/>
  <c r="N84" i="72"/>
  <c r="K84" i="72"/>
  <c r="O84" i="72"/>
  <c r="AA84" i="72" l="1"/>
  <c r="Z84" i="72"/>
  <c r="Y84" i="72"/>
  <c r="X84" i="72"/>
  <c r="W84" i="72"/>
  <c r="V84" i="72"/>
  <c r="U84" i="72"/>
  <c r="T84" i="72"/>
  <c r="S84" i="72"/>
  <c r="R84" i="72"/>
  <c r="E85" i="72"/>
  <c r="F85" i="72"/>
  <c r="R85" i="72" l="1"/>
  <c r="H85" i="72"/>
  <c r="G85" i="72"/>
  <c r="I85" i="72"/>
  <c r="L85" i="72"/>
  <c r="K85" i="72"/>
  <c r="L84" i="72"/>
  <c r="J84" i="72"/>
  <c r="Y85" i="72" l="1"/>
  <c r="X85" i="72"/>
  <c r="W85" i="72"/>
  <c r="V85" i="72"/>
  <c r="U85" i="72"/>
  <c r="S85" i="72"/>
  <c r="T85" i="72"/>
  <c r="M85" i="72"/>
  <c r="O85" i="72"/>
  <c r="P84" i="72"/>
  <c r="Q84" i="72"/>
  <c r="AA85" i="72" l="1"/>
  <c r="Z85" i="72"/>
  <c r="N85" i="72"/>
  <c r="J85" i="72"/>
  <c r="E86" i="72"/>
  <c r="R86" i="72" l="1"/>
  <c r="L86" i="72"/>
  <c r="G86" i="72"/>
  <c r="I86" i="72"/>
  <c r="H86" i="72"/>
  <c r="F86" i="72"/>
  <c r="K86" i="72"/>
  <c r="P85" i="72"/>
  <c r="Q85" i="72"/>
  <c r="Y86" i="72" l="1"/>
  <c r="X86" i="72"/>
  <c r="W86" i="72"/>
  <c r="V86" i="72"/>
  <c r="U86" i="72"/>
  <c r="T86" i="72"/>
  <c r="S86" i="72"/>
  <c r="M86" i="72"/>
  <c r="O86" i="72"/>
  <c r="AA86" i="72" l="1"/>
  <c r="Z86" i="72"/>
  <c r="N86" i="72"/>
  <c r="J86" i="72"/>
  <c r="E87" i="72"/>
  <c r="R87" i="72" l="1"/>
  <c r="G87" i="72"/>
  <c r="I87" i="72"/>
  <c r="H87" i="72"/>
  <c r="L87" i="72"/>
  <c r="F87" i="72"/>
  <c r="K87" i="72"/>
  <c r="P86" i="72"/>
  <c r="Q86" i="72"/>
  <c r="Y87" i="72" l="1"/>
  <c r="X87" i="72"/>
  <c r="W87" i="72"/>
  <c r="V87" i="72"/>
  <c r="U87" i="72"/>
  <c r="T87" i="72"/>
  <c r="S87" i="72"/>
  <c r="M87" i="72"/>
  <c r="O87" i="72"/>
  <c r="AA87" i="72" l="1"/>
  <c r="Z87" i="72"/>
  <c r="N87" i="72"/>
  <c r="J87" i="72"/>
  <c r="F88" i="72"/>
  <c r="R88" i="72" l="1"/>
  <c r="G88" i="72"/>
  <c r="I88" i="72"/>
  <c r="H88" i="72"/>
  <c r="L88" i="72"/>
  <c r="P87" i="72"/>
  <c r="Q87" i="72"/>
  <c r="Y88" i="72" l="1"/>
  <c r="X88" i="72"/>
  <c r="W88" i="72"/>
  <c r="V88" i="72"/>
  <c r="U88" i="72"/>
  <c r="T88" i="72"/>
  <c r="S88" i="72"/>
  <c r="E88" i="72"/>
  <c r="K88" i="72"/>
  <c r="AA88" i="72" l="1"/>
  <c r="Z88" i="72"/>
  <c r="M88" i="72"/>
  <c r="O88" i="72"/>
  <c r="E89" i="72"/>
  <c r="G89" i="72" l="1"/>
  <c r="N88" i="72"/>
  <c r="J88" i="72"/>
  <c r="M89" i="72"/>
  <c r="F89" i="72"/>
  <c r="H89" i="72" l="1"/>
  <c r="P88" i="72"/>
  <c r="Q88" i="72"/>
  <c r="I89" i="72"/>
  <c r="N89" i="72"/>
  <c r="K89" i="72"/>
  <c r="O89" i="72"/>
  <c r="AA89" i="72" l="1"/>
  <c r="Z89" i="72"/>
  <c r="Y89" i="72"/>
  <c r="X89" i="72"/>
  <c r="W89" i="72"/>
  <c r="V89" i="72"/>
  <c r="U89" i="72"/>
  <c r="T89" i="72"/>
  <c r="S89" i="72"/>
  <c r="R89" i="72"/>
  <c r="J89" i="72"/>
  <c r="F90" i="72"/>
  <c r="R90" i="72" l="1"/>
  <c r="G90" i="72"/>
  <c r="I90" i="72"/>
  <c r="H90" i="72"/>
  <c r="L90" i="72"/>
  <c r="L89" i="72"/>
  <c r="Y90" i="72" l="1"/>
  <c r="X90" i="72"/>
  <c r="W90" i="72"/>
  <c r="V90" i="72"/>
  <c r="U90" i="72"/>
  <c r="T90" i="72"/>
  <c r="S90" i="72"/>
  <c r="P89" i="72"/>
  <c r="Q89" i="72"/>
  <c r="E90" i="72"/>
  <c r="K90" i="72"/>
  <c r="AA90" i="72" l="1"/>
  <c r="Z90" i="72"/>
  <c r="M90" i="72"/>
  <c r="O90" i="72"/>
  <c r="E91" i="72"/>
  <c r="G91" i="72" l="1"/>
  <c r="N90" i="72"/>
  <c r="J90" i="72"/>
  <c r="M91" i="72"/>
  <c r="R91" i="72" l="1"/>
  <c r="L91" i="72"/>
  <c r="H91" i="72"/>
  <c r="F91" i="72"/>
  <c r="K91" i="72"/>
  <c r="I91" i="72"/>
  <c r="O91" i="72"/>
  <c r="P90" i="72"/>
  <c r="Q90" i="72"/>
  <c r="AA91" i="72" l="1"/>
  <c r="Z91" i="72"/>
  <c r="Y91" i="72"/>
  <c r="X91" i="72"/>
  <c r="W91" i="72"/>
  <c r="V91" i="72"/>
  <c r="U91" i="72"/>
  <c r="S91" i="72"/>
  <c r="T91" i="72"/>
  <c r="N91" i="72"/>
  <c r="J91" i="72"/>
  <c r="E92" i="72"/>
  <c r="G92" i="72" l="1"/>
  <c r="P91" i="72"/>
  <c r="Q91" i="72"/>
  <c r="F92" i="72"/>
  <c r="M92" i="72" l="1"/>
  <c r="H92" i="72"/>
  <c r="I92" i="72"/>
  <c r="N92" i="72"/>
  <c r="K92" i="72"/>
  <c r="O92" i="72"/>
  <c r="AA92" i="72" l="1"/>
  <c r="Z92" i="72"/>
  <c r="Y92" i="72"/>
  <c r="X92" i="72"/>
  <c r="W92" i="72"/>
  <c r="V92" i="72"/>
  <c r="U92" i="72"/>
  <c r="T92" i="72"/>
  <c r="S92" i="72"/>
  <c r="R92" i="72"/>
  <c r="L92" i="72"/>
  <c r="E93" i="72"/>
  <c r="G93" i="72" l="1"/>
  <c r="J92" i="72"/>
  <c r="F93" i="72"/>
  <c r="M93" i="72" l="1"/>
  <c r="H93" i="72"/>
  <c r="P92" i="72"/>
  <c r="Q92" i="72"/>
  <c r="I93" i="72"/>
  <c r="N93" i="72"/>
  <c r="K93" i="72"/>
  <c r="O93" i="72"/>
  <c r="AA93" i="72" l="1"/>
  <c r="Z93" i="72"/>
  <c r="Y93" i="72"/>
  <c r="X93" i="72"/>
  <c r="W93" i="72"/>
  <c r="V93" i="72"/>
  <c r="U93" i="72"/>
  <c r="T93" i="72"/>
  <c r="S93" i="72"/>
  <c r="R93" i="72"/>
  <c r="E94" i="72"/>
  <c r="R94" i="72" l="1"/>
  <c r="H94" i="72"/>
  <c r="G94" i="72"/>
  <c r="I94" i="72"/>
  <c r="L94" i="72"/>
  <c r="F94" i="72"/>
  <c r="K94" i="72"/>
  <c r="L93" i="72"/>
  <c r="J93" i="72"/>
  <c r="Y94" i="72" l="1"/>
  <c r="X94" i="72"/>
  <c r="W94" i="72"/>
  <c r="V94" i="72"/>
  <c r="U94" i="72"/>
  <c r="T94" i="72"/>
  <c r="S94" i="72"/>
  <c r="M94" i="72"/>
  <c r="O94" i="72"/>
  <c r="P93" i="72"/>
  <c r="Q93" i="72"/>
  <c r="AA94" i="72" l="1"/>
  <c r="Z94" i="72"/>
  <c r="N94" i="72"/>
  <c r="J94" i="72"/>
  <c r="F95" i="72"/>
  <c r="H95" i="72" l="1"/>
  <c r="G95" i="72"/>
  <c r="E95" i="72"/>
  <c r="P94" i="72"/>
  <c r="Q94" i="72"/>
  <c r="R95" i="72" l="1"/>
  <c r="N95" i="72"/>
  <c r="M95" i="72"/>
  <c r="AA95" i="72" l="1"/>
  <c r="Z95" i="72"/>
  <c r="Y95" i="72"/>
  <c r="X95" i="72"/>
  <c r="W95" i="72"/>
  <c r="V95" i="72"/>
  <c r="U95" i="72"/>
  <c r="T95" i="72"/>
  <c r="S95" i="72"/>
  <c r="E96" i="72"/>
  <c r="F96" i="72"/>
  <c r="H96" i="72" l="1"/>
  <c r="G96" i="72"/>
  <c r="K95" i="72"/>
  <c r="I95" i="72"/>
  <c r="O95" i="72"/>
  <c r="L95" i="72"/>
  <c r="J95" i="72"/>
  <c r="I96" i="72"/>
  <c r="K96" i="72"/>
  <c r="M96" i="72" l="1"/>
  <c r="AA96" i="72"/>
  <c r="Z96" i="72"/>
  <c r="Y96" i="72"/>
  <c r="X96" i="72"/>
  <c r="W96" i="72"/>
  <c r="V96" i="72"/>
  <c r="U96" i="72"/>
  <c r="T96" i="72"/>
  <c r="S96" i="72"/>
  <c r="R96" i="72"/>
  <c r="L96" i="72"/>
  <c r="P95" i="72"/>
  <c r="Q95" i="72"/>
  <c r="O96" i="72"/>
  <c r="N96" i="72" l="1"/>
  <c r="J96" i="72"/>
  <c r="P96" i="72" l="1"/>
  <c r="Q96" i="72"/>
  <c r="E97" i="72"/>
  <c r="G97" i="72" l="1"/>
  <c r="B97" i="72"/>
  <c r="M97" i="72" l="1"/>
  <c r="W97" i="72"/>
  <c r="V97" i="72"/>
  <c r="U97" i="72"/>
  <c r="T97" i="72"/>
  <c r="S97" i="72"/>
  <c r="R97" i="72"/>
  <c r="Q97" i="72"/>
  <c r="H97" i="72"/>
  <c r="F97" i="72"/>
  <c r="L97" i="72"/>
  <c r="J97" i="72"/>
  <c r="K97" i="72"/>
  <c r="O97" i="72"/>
  <c r="D93" i="72" l="1"/>
  <c r="D88" i="72"/>
  <c r="D94" i="72"/>
  <c r="D95" i="72"/>
  <c r="D87" i="72"/>
  <c r="D82" i="72"/>
  <c r="D90" i="72"/>
  <c r="D85" i="72"/>
  <c r="D86" i="72"/>
  <c r="D89" i="72"/>
  <c r="D92" i="72"/>
  <c r="D91" i="72"/>
  <c r="D84" i="72"/>
  <c r="D97" i="72"/>
  <c r="N97" i="72"/>
  <c r="P97" i="72"/>
  <c r="I97" i="72"/>
  <c r="E27" i="72" l="1"/>
  <c r="G27" i="72" l="1"/>
  <c r="O27" i="72"/>
  <c r="F27" i="72"/>
  <c r="H27" i="72" l="1"/>
  <c r="I27" i="72"/>
  <c r="P27" i="72" l="1"/>
  <c r="L27" i="72"/>
  <c r="N27" i="72"/>
  <c r="R27" i="72"/>
  <c r="T27" i="72"/>
  <c r="V27" i="72" l="1"/>
  <c r="U27" i="72"/>
  <c r="S27" i="72"/>
  <c r="J27" i="72"/>
  <c r="AA27" i="72" l="1"/>
  <c r="M27" i="72"/>
  <c r="Q27" i="72"/>
  <c r="K27" i="72"/>
  <c r="E28" i="72" l="1"/>
  <c r="N28" i="72"/>
  <c r="E29" i="72"/>
  <c r="G29" i="72" l="1"/>
  <c r="H28" i="72"/>
  <c r="I28" i="72"/>
  <c r="AA28" i="72"/>
  <c r="V28" i="72"/>
  <c r="J28" i="72"/>
  <c r="S28" i="72"/>
  <c r="G28" i="72"/>
  <c r="U28" i="72"/>
  <c r="O29" i="72"/>
  <c r="F29" i="72"/>
  <c r="H29" i="72" l="1"/>
  <c r="O28" i="72"/>
  <c r="I29" i="72"/>
  <c r="J29" i="72" l="1"/>
  <c r="P29" i="72"/>
  <c r="P28" i="72"/>
  <c r="R28" i="72"/>
  <c r="T28" i="72"/>
  <c r="L28" i="72"/>
  <c r="F28" i="72"/>
  <c r="K28" i="72"/>
  <c r="K29" i="72"/>
  <c r="M29" i="72"/>
  <c r="Q29" i="72"/>
  <c r="S29" i="72" l="1"/>
  <c r="M28" i="72"/>
  <c r="Q28" i="72"/>
  <c r="T29" i="72"/>
  <c r="AA29" i="72" l="1"/>
  <c r="V29" i="72"/>
  <c r="U29" i="72"/>
  <c r="E31" i="72"/>
  <c r="J31" i="72" l="1"/>
  <c r="H31" i="72"/>
  <c r="I31" i="72"/>
  <c r="G31" i="72"/>
  <c r="N29" i="72"/>
  <c r="L29" i="72"/>
  <c r="R29" i="72"/>
  <c r="S31" i="72" l="1"/>
  <c r="O31" i="72"/>
  <c r="T31" i="72"/>
  <c r="AA31" i="72" l="1"/>
  <c r="V31" i="72"/>
  <c r="U31" i="72"/>
  <c r="P31" i="72"/>
  <c r="R31" i="72"/>
  <c r="F31" i="72"/>
  <c r="N31" i="72"/>
  <c r="L31" i="72"/>
  <c r="E32" i="72"/>
  <c r="F32" i="72"/>
  <c r="J32" i="72" l="1"/>
  <c r="G32" i="72"/>
  <c r="H32" i="72"/>
  <c r="I32" i="72"/>
  <c r="M31" i="72"/>
  <c r="Q31" i="72"/>
  <c r="K31" i="72"/>
  <c r="S32" i="72" l="1"/>
  <c r="O32" i="72"/>
  <c r="T32" i="72" l="1"/>
  <c r="AA32" i="72"/>
  <c r="U32" i="72"/>
  <c r="V32" i="72"/>
  <c r="P32" i="72"/>
  <c r="R32" i="72"/>
  <c r="L32" i="72"/>
  <c r="N32" i="72"/>
  <c r="J33" i="72" l="1"/>
  <c r="G33" i="72"/>
  <c r="H33" i="72"/>
  <c r="I33" i="72"/>
  <c r="E33" i="72"/>
  <c r="M32" i="72"/>
  <c r="Q32" i="72"/>
  <c r="K32" i="72"/>
  <c r="S33" i="72" l="1"/>
  <c r="F33" i="72"/>
  <c r="O33" i="72"/>
  <c r="AA33" i="72" l="1"/>
  <c r="U33" i="72"/>
  <c r="V33" i="72"/>
  <c r="N33" i="72"/>
  <c r="P33" i="72"/>
  <c r="R33" i="72"/>
  <c r="T33" i="72"/>
  <c r="N34" i="72"/>
  <c r="E35" i="72"/>
  <c r="G35" i="72" l="1"/>
  <c r="G34" i="72"/>
  <c r="U34" i="72"/>
  <c r="AA34" i="72"/>
  <c r="V34" i="72"/>
  <c r="J34" i="72"/>
  <c r="S34" i="72"/>
  <c r="H34" i="72"/>
  <c r="I34" i="72"/>
  <c r="E34" i="72"/>
  <c r="M33" i="72"/>
  <c r="Q33" i="72"/>
  <c r="K33" i="72"/>
  <c r="L33" i="72"/>
  <c r="O35" i="72"/>
  <c r="H35" i="72" l="1"/>
  <c r="O34" i="72"/>
  <c r="I35" i="72"/>
  <c r="J35" i="72" l="1"/>
  <c r="F34" i="72"/>
  <c r="K34" i="72"/>
  <c r="P34" i="72"/>
  <c r="R34" i="72"/>
  <c r="T34" i="72"/>
  <c r="L34" i="72"/>
  <c r="P35" i="72"/>
  <c r="F35" i="72"/>
  <c r="N35" i="72"/>
  <c r="L35" i="72"/>
  <c r="M35" i="72"/>
  <c r="K35" i="72" l="1"/>
  <c r="S35" i="72"/>
  <c r="M34" i="72"/>
  <c r="Q34" i="72"/>
  <c r="R35" i="72"/>
  <c r="Q35" i="72"/>
  <c r="T35" i="72"/>
  <c r="AA35" i="72" l="1"/>
  <c r="V35" i="72"/>
  <c r="U35" i="72"/>
  <c r="E36" i="72"/>
  <c r="E38" i="72"/>
  <c r="G38" i="72" l="1"/>
  <c r="V36" i="72"/>
  <c r="H36" i="72"/>
  <c r="I36" i="72"/>
  <c r="G36" i="72"/>
  <c r="K36" i="72"/>
  <c r="N36" i="72"/>
  <c r="U36" i="72"/>
  <c r="AA36" i="72"/>
  <c r="S36" i="72"/>
  <c r="J36" i="72"/>
  <c r="F36" i="72"/>
  <c r="M36" i="72"/>
  <c r="O38" i="72"/>
  <c r="F38" i="72"/>
  <c r="H38" i="72" l="1"/>
  <c r="O36" i="72"/>
  <c r="Q36" i="72"/>
  <c r="I38" i="72"/>
  <c r="J38" i="72" l="1"/>
  <c r="P36" i="72"/>
  <c r="R36" i="72"/>
  <c r="T36" i="72"/>
  <c r="L36" i="72"/>
  <c r="P38" i="72"/>
  <c r="L38" i="72"/>
  <c r="N38" i="72"/>
  <c r="S38" i="72" l="1"/>
  <c r="R38" i="72"/>
  <c r="T38" i="72"/>
  <c r="AA38" i="72" l="1"/>
  <c r="V38" i="72"/>
  <c r="U38" i="72"/>
  <c r="M38" i="72"/>
  <c r="Q38" i="72"/>
  <c r="K38" i="72"/>
  <c r="E39" i="72"/>
  <c r="N39" i="72"/>
  <c r="F41" i="72"/>
  <c r="C42" i="72"/>
  <c r="F42" i="72"/>
  <c r="F43" i="72"/>
  <c r="E44" i="72"/>
  <c r="G44" i="72" l="1"/>
  <c r="AA39" i="72"/>
  <c r="S43" i="72"/>
  <c r="J41" i="72"/>
  <c r="V39" i="72"/>
  <c r="AA42" i="72"/>
  <c r="J42" i="72"/>
  <c r="U39" i="72"/>
  <c r="V42" i="72"/>
  <c r="AA41" i="72"/>
  <c r="J39" i="72"/>
  <c r="U42" i="72"/>
  <c r="S39" i="72"/>
  <c r="AA43" i="72"/>
  <c r="H42" i="72"/>
  <c r="I42" i="72"/>
  <c r="U41" i="72"/>
  <c r="U43" i="72"/>
  <c r="N43" i="72"/>
  <c r="J43" i="72"/>
  <c r="F39" i="72"/>
  <c r="V41" i="72"/>
  <c r="H41" i="72"/>
  <c r="I41" i="72"/>
  <c r="G41" i="72"/>
  <c r="K41" i="72"/>
  <c r="V43" i="72"/>
  <c r="H43" i="72"/>
  <c r="I43" i="72"/>
  <c r="G43" i="72"/>
  <c r="K43" i="72"/>
  <c r="S42" i="72"/>
  <c r="G42" i="72"/>
  <c r="K42" i="72"/>
  <c r="H39" i="72"/>
  <c r="I39" i="72"/>
  <c r="S41" i="72"/>
  <c r="G39" i="72"/>
  <c r="E42" i="72"/>
  <c r="M42" i="72"/>
  <c r="E41" i="72"/>
  <c r="M41" i="72"/>
  <c r="E43" i="72"/>
  <c r="M43" i="72"/>
  <c r="N41" i="72"/>
  <c r="O44" i="72"/>
  <c r="F44" i="72"/>
  <c r="P44" i="72" l="1"/>
  <c r="M39" i="72"/>
  <c r="H44" i="72"/>
  <c r="K39" i="72"/>
  <c r="O41" i="72"/>
  <c r="Q41" i="72"/>
  <c r="O39" i="72"/>
  <c r="Q39" i="72"/>
  <c r="O42" i="72"/>
  <c r="Q42" i="72"/>
  <c r="O43" i="72"/>
  <c r="Q43" i="72"/>
  <c r="N42" i="72"/>
  <c r="I44" i="72"/>
  <c r="J44" i="72" l="1"/>
  <c r="P39" i="72"/>
  <c r="T39" i="72"/>
  <c r="R39" i="72"/>
  <c r="L39" i="72"/>
  <c r="P43" i="72"/>
  <c r="L43" i="72"/>
  <c r="T43" i="72"/>
  <c r="R43" i="72"/>
  <c r="P41" i="72"/>
  <c r="T41" i="72"/>
  <c r="L41" i="72"/>
  <c r="R41" i="72"/>
  <c r="P42" i="72"/>
  <c r="R42" i="72"/>
  <c r="T42" i="72"/>
  <c r="L42" i="72"/>
  <c r="L44" i="72"/>
  <c r="N44" i="72"/>
  <c r="S44" i="72" l="1"/>
  <c r="R44" i="72"/>
  <c r="T44" i="72"/>
  <c r="AA44" i="72" l="1"/>
  <c r="V44" i="72"/>
  <c r="U44" i="72"/>
  <c r="E45" i="72"/>
  <c r="G45" i="72" l="1"/>
  <c r="M44" i="72"/>
  <c r="K44" i="72"/>
  <c r="Q44" i="72"/>
  <c r="O45" i="72"/>
  <c r="N45" i="72"/>
  <c r="S45" i="72" l="1"/>
  <c r="H45" i="72"/>
  <c r="I45" i="72"/>
  <c r="J45" i="72"/>
  <c r="T45" i="72" l="1"/>
  <c r="AA45" i="72"/>
  <c r="U45" i="72"/>
  <c r="V45" i="72"/>
  <c r="P45" i="72"/>
  <c r="L45" i="72"/>
  <c r="R45" i="72"/>
  <c r="E52" i="72"/>
  <c r="G52" i="72" l="1"/>
  <c r="B52" i="72"/>
  <c r="F45" i="72"/>
  <c r="K45" i="72"/>
  <c r="O52" i="72"/>
  <c r="V52" i="72" l="1"/>
  <c r="U52" i="72"/>
  <c r="T52" i="72"/>
  <c r="S52" i="72"/>
  <c r="J52" i="72"/>
  <c r="M45" i="72"/>
  <c r="Q45" i="72"/>
  <c r="P52" i="72" l="1"/>
  <c r="F52" i="72" l="1"/>
  <c r="L52" i="72"/>
  <c r="M52" i="72"/>
  <c r="Q52" i="72"/>
  <c r="K52" i="72"/>
  <c r="D28" i="72" l="1"/>
  <c r="D42" i="72"/>
  <c r="D36" i="72"/>
  <c r="D32" i="72"/>
  <c r="D35" i="72"/>
  <c r="D41" i="72"/>
  <c r="D33" i="72"/>
  <c r="D38" i="72"/>
  <c r="D43" i="72"/>
  <c r="D44" i="72"/>
  <c r="D29" i="72"/>
  <c r="D39" i="72"/>
  <c r="D31" i="72"/>
  <c r="D34" i="72"/>
  <c r="D45" i="72"/>
  <c r="D52" i="72"/>
  <c r="N52" i="72"/>
  <c r="R52" i="72"/>
  <c r="D27" i="72" l="1"/>
  <c r="E245" i="72" l="1"/>
  <c r="G245" i="72" l="1"/>
  <c r="M245" i="72"/>
  <c r="H245" i="72" l="1"/>
  <c r="N245" i="72"/>
  <c r="F245" i="72"/>
  <c r="Z245" i="72" l="1"/>
  <c r="Y245" i="72"/>
  <c r="T245" i="72"/>
  <c r="S245" i="72"/>
  <c r="Q245" i="72"/>
  <c r="E246" i="72"/>
  <c r="G246" i="72" l="1"/>
  <c r="M246" i="72"/>
  <c r="L245" i="72" l="1"/>
  <c r="P245" i="72"/>
  <c r="J245" i="72"/>
  <c r="K245" i="72"/>
  <c r="O245" i="72"/>
  <c r="I245" i="72"/>
  <c r="N246" i="72" l="1"/>
  <c r="F246" i="72"/>
  <c r="Y246" i="72" l="1"/>
  <c r="T246" i="72"/>
  <c r="S246" i="72"/>
  <c r="Q246" i="72"/>
  <c r="H246" i="72"/>
  <c r="J246" i="72"/>
  <c r="E247" i="72"/>
  <c r="L246" i="72" l="1"/>
  <c r="P246" i="72"/>
  <c r="G247" i="72"/>
  <c r="Z246" i="72"/>
  <c r="K246" i="72"/>
  <c r="I246" i="72"/>
  <c r="O246" i="72"/>
  <c r="M247" i="72"/>
  <c r="F247" i="72" l="1"/>
  <c r="H247" i="72" l="1"/>
  <c r="N247" i="72"/>
  <c r="I247" i="72"/>
  <c r="K247" i="72"/>
  <c r="O247" i="72" l="1"/>
  <c r="Z247" i="72"/>
  <c r="Y247" i="72"/>
  <c r="T247" i="72"/>
  <c r="S247" i="72"/>
  <c r="Q247" i="72"/>
  <c r="H248" i="72" l="1"/>
  <c r="G248" i="72"/>
  <c r="E248" i="72"/>
  <c r="Q248" i="72" l="1"/>
  <c r="M248" i="72"/>
  <c r="L247" i="72"/>
  <c r="J247" i="72"/>
  <c r="P247" i="72"/>
  <c r="Z248" i="72" l="1"/>
  <c r="Y248" i="72"/>
  <c r="T248" i="72"/>
  <c r="S248" i="72"/>
  <c r="F248" i="72"/>
  <c r="I248" i="72"/>
  <c r="L248" i="72"/>
  <c r="N248" i="72"/>
  <c r="F249" i="72"/>
  <c r="H249" i="72" l="1"/>
  <c r="G249" i="72"/>
  <c r="E249" i="72"/>
  <c r="P248" i="72"/>
  <c r="J248" i="72"/>
  <c r="K248" i="72"/>
  <c r="O248" i="72"/>
  <c r="J249" i="72"/>
  <c r="L249" i="72"/>
  <c r="Q249" i="72" l="1"/>
  <c r="M249" i="72"/>
  <c r="Z249" i="72" l="1"/>
  <c r="Y249" i="72"/>
  <c r="S249" i="72"/>
  <c r="T249" i="72"/>
  <c r="N249" i="72"/>
  <c r="P249" i="72"/>
  <c r="E250" i="72"/>
  <c r="F250" i="72"/>
  <c r="H250" i="72" l="1"/>
  <c r="G250" i="72"/>
  <c r="K249" i="72"/>
  <c r="I249" i="72"/>
  <c r="O249" i="72"/>
  <c r="J250" i="72"/>
  <c r="L250" i="72"/>
  <c r="Q250" i="72" l="1"/>
  <c r="K250" i="72"/>
  <c r="M250" i="72"/>
  <c r="I250" i="72" l="1"/>
  <c r="O250" i="72"/>
  <c r="Z250" i="72"/>
  <c r="Y250" i="72"/>
  <c r="T250" i="72"/>
  <c r="S250" i="72"/>
  <c r="N250" i="72"/>
  <c r="P250" i="72"/>
  <c r="E251" i="72"/>
  <c r="G251" i="72" l="1"/>
  <c r="M251" i="72"/>
  <c r="F251" i="72"/>
  <c r="H251" i="72" l="1"/>
  <c r="N251" i="72"/>
  <c r="I251" i="72"/>
  <c r="K251" i="72"/>
  <c r="O251" i="72"/>
  <c r="Z251" i="72" l="1"/>
  <c r="Y251" i="72"/>
  <c r="T251" i="72"/>
  <c r="S251" i="72"/>
  <c r="Q251" i="72"/>
  <c r="Y252" i="72" l="1"/>
  <c r="G252" i="72"/>
  <c r="T252" i="72"/>
  <c r="H252" i="72"/>
  <c r="Q252" i="72"/>
  <c r="S252" i="72"/>
  <c r="E252" i="72"/>
  <c r="F252" i="72"/>
  <c r="F253" i="72"/>
  <c r="H253" i="72" l="1"/>
  <c r="G253" i="72"/>
  <c r="Z252" i="72"/>
  <c r="E253" i="72"/>
  <c r="L251" i="72"/>
  <c r="J251" i="72"/>
  <c r="P251" i="72"/>
  <c r="K252" i="72"/>
  <c r="L252" i="72"/>
  <c r="I252" i="72"/>
  <c r="M252" i="72"/>
  <c r="O252" i="72"/>
  <c r="J253" i="72"/>
  <c r="L253" i="72"/>
  <c r="Q253" i="72" l="1"/>
  <c r="K253" i="72"/>
  <c r="M253" i="72"/>
  <c r="N252" i="72"/>
  <c r="P252" i="72"/>
  <c r="J252" i="72"/>
  <c r="Z253" i="72" l="1"/>
  <c r="Y253" i="72"/>
  <c r="S253" i="72"/>
  <c r="T253" i="72"/>
  <c r="N253" i="72"/>
  <c r="P253" i="72"/>
  <c r="I253" i="72"/>
  <c r="O253" i="72"/>
  <c r="Y254" i="72" l="1"/>
  <c r="T254" i="72"/>
  <c r="G254" i="72"/>
  <c r="S254" i="72"/>
  <c r="Q254" i="72"/>
  <c r="H254" i="72"/>
  <c r="E254" i="72"/>
  <c r="E255" i="72"/>
  <c r="G255" i="72" l="1"/>
  <c r="Z254" i="72"/>
  <c r="L254" i="72"/>
  <c r="M254" i="72"/>
  <c r="M255" i="72"/>
  <c r="F255" i="72"/>
  <c r="N254" i="72" l="1"/>
  <c r="P254" i="72"/>
  <c r="J254" i="72"/>
  <c r="F254" i="72"/>
  <c r="I254" i="72"/>
  <c r="H255" i="72" l="1"/>
  <c r="K254" i="72"/>
  <c r="O254" i="72"/>
  <c r="N255" i="72"/>
  <c r="J255" i="72"/>
  <c r="L255" i="72"/>
  <c r="Z255" i="72" l="1"/>
  <c r="Y255" i="72"/>
  <c r="T255" i="72"/>
  <c r="S255" i="72"/>
  <c r="Q255" i="72"/>
  <c r="P255" i="72"/>
  <c r="F256" i="72"/>
  <c r="H256" i="72" l="1"/>
  <c r="G256" i="72"/>
  <c r="E256" i="72"/>
  <c r="K255" i="72"/>
  <c r="I255" i="72"/>
  <c r="O255" i="72"/>
  <c r="Q256" i="72" l="1"/>
  <c r="M256" i="72"/>
  <c r="Z256" i="72" l="1"/>
  <c r="Y256" i="72"/>
  <c r="S256" i="72"/>
  <c r="T256" i="72"/>
  <c r="N256" i="72"/>
  <c r="P256" i="72"/>
  <c r="J256" i="72"/>
  <c r="L256" i="72"/>
  <c r="F257" i="72"/>
  <c r="Y257" i="72" l="1"/>
  <c r="Q257" i="72"/>
  <c r="G257" i="72"/>
  <c r="I257" i="72"/>
  <c r="T257" i="72"/>
  <c r="S257" i="72"/>
  <c r="H257" i="72"/>
  <c r="E257" i="72"/>
  <c r="K257" i="72"/>
  <c r="K256" i="72"/>
  <c r="I256" i="72"/>
  <c r="O256" i="72"/>
  <c r="Y258" i="72" l="1"/>
  <c r="T258" i="72"/>
  <c r="S258" i="72"/>
  <c r="Q258" i="72"/>
  <c r="H258" i="72"/>
  <c r="G258" i="72"/>
  <c r="Z257" i="72"/>
  <c r="E258" i="72"/>
  <c r="M257" i="72"/>
  <c r="O257" i="72"/>
  <c r="L257" i="72"/>
  <c r="E259" i="72"/>
  <c r="H259" i="72" l="1"/>
  <c r="F259" i="72"/>
  <c r="G259" i="72"/>
  <c r="Z258" i="72"/>
  <c r="M258" i="72"/>
  <c r="N257" i="72"/>
  <c r="J257" i="72"/>
  <c r="P257" i="72"/>
  <c r="L258" i="72"/>
  <c r="I259" i="72"/>
  <c r="K259" i="72"/>
  <c r="Q259" i="72" l="1"/>
  <c r="N258" i="72"/>
  <c r="J258" i="72"/>
  <c r="P258" i="72"/>
  <c r="M259" i="72"/>
  <c r="F258" i="72"/>
  <c r="I258" i="72"/>
  <c r="O259" i="72"/>
  <c r="Z259" i="72" l="1"/>
  <c r="Y259" i="72"/>
  <c r="T259" i="72"/>
  <c r="S259" i="72"/>
  <c r="K258" i="72"/>
  <c r="O258" i="72"/>
  <c r="L259" i="72"/>
  <c r="N259" i="72"/>
  <c r="F260" i="72"/>
  <c r="H260" i="72" l="1"/>
  <c r="G260" i="72"/>
  <c r="E260" i="72"/>
  <c r="O260" i="72"/>
  <c r="P259" i="72"/>
  <c r="J259" i="72"/>
  <c r="I260" i="72"/>
  <c r="K260" i="72"/>
  <c r="Q260" i="72" l="1"/>
  <c r="L260" i="72"/>
  <c r="M260" i="72"/>
  <c r="Z260" i="72" l="1"/>
  <c r="Y260" i="72"/>
  <c r="T260" i="72"/>
  <c r="S260" i="72"/>
  <c r="N260" i="72"/>
  <c r="P260" i="72"/>
  <c r="J260" i="72"/>
  <c r="E262" i="72"/>
  <c r="Y262" i="72" l="1"/>
  <c r="H262" i="72"/>
  <c r="T262" i="72"/>
  <c r="S262" i="72"/>
  <c r="Q262" i="72"/>
  <c r="G262" i="72"/>
  <c r="I262" i="72"/>
  <c r="F262" i="72"/>
  <c r="K262" i="72"/>
  <c r="L262" i="72"/>
  <c r="E263" i="72"/>
  <c r="H263" i="72" l="1"/>
  <c r="Z262" i="72"/>
  <c r="G263" i="72"/>
  <c r="M262" i="72"/>
  <c r="O262" i="72"/>
  <c r="Q263" i="72" l="1"/>
  <c r="L263" i="72"/>
  <c r="M263" i="72"/>
  <c r="N262" i="72"/>
  <c r="P262" i="72"/>
  <c r="J262" i="72"/>
  <c r="G264" i="72" l="1"/>
  <c r="Z263" i="72"/>
  <c r="Y263" i="72"/>
  <c r="T263" i="72"/>
  <c r="S263" i="72"/>
  <c r="N263" i="72"/>
  <c r="J263" i="72"/>
  <c r="P263" i="72"/>
  <c r="F263" i="72"/>
  <c r="I263" i="72"/>
  <c r="M264" i="72"/>
  <c r="N264" i="72" l="1"/>
  <c r="F264" i="72"/>
  <c r="K263" i="72"/>
  <c r="O263" i="72"/>
  <c r="H264" i="72" l="1"/>
  <c r="I264" i="72"/>
  <c r="K264" i="72"/>
  <c r="O264" i="72" l="1"/>
  <c r="Z264" i="72"/>
  <c r="Y264" i="72"/>
  <c r="T264" i="72"/>
  <c r="S264" i="72"/>
  <c r="Q264" i="72"/>
  <c r="E265" i="72"/>
  <c r="G265" i="72" l="1"/>
  <c r="L264" i="72"/>
  <c r="J264" i="72"/>
  <c r="P264" i="72"/>
  <c r="M265" i="72"/>
  <c r="Q265" i="72" l="1"/>
  <c r="H265" i="72"/>
  <c r="Z265" i="72" l="1"/>
  <c r="Y265" i="72"/>
  <c r="S265" i="72"/>
  <c r="T265" i="72"/>
  <c r="N265" i="72"/>
  <c r="L265" i="72"/>
  <c r="E266" i="72"/>
  <c r="G266" i="72" l="1"/>
  <c r="J265" i="72"/>
  <c r="P265" i="72"/>
  <c r="F265" i="72"/>
  <c r="I265" i="72"/>
  <c r="M266" i="72"/>
  <c r="H266" i="72" l="1"/>
  <c r="F266" i="72"/>
  <c r="K265" i="72"/>
  <c r="O265" i="72"/>
  <c r="I266" i="72"/>
  <c r="K266" i="72"/>
  <c r="O266" i="72"/>
  <c r="Z266" i="72" l="1"/>
  <c r="Y266" i="72"/>
  <c r="T266" i="72"/>
  <c r="S266" i="72"/>
  <c r="Q266" i="72"/>
  <c r="N266" i="72"/>
  <c r="E267" i="72"/>
  <c r="H267" i="72" l="1"/>
  <c r="G267" i="72"/>
  <c r="F267" i="72"/>
  <c r="L266" i="72"/>
  <c r="P266" i="72"/>
  <c r="J266" i="72"/>
  <c r="Q267" i="72" l="1"/>
  <c r="M267" i="72"/>
  <c r="Z267" i="72" l="1"/>
  <c r="Y267" i="72"/>
  <c r="S267" i="72"/>
  <c r="T267" i="72"/>
  <c r="N267" i="72"/>
  <c r="J267" i="72"/>
  <c r="P267" i="72"/>
  <c r="L267" i="72"/>
  <c r="K267" i="72" l="1"/>
  <c r="I267" i="72"/>
  <c r="O267" i="72"/>
  <c r="E268" i="72" l="1"/>
  <c r="G268" i="72" l="1"/>
  <c r="M268" i="72"/>
  <c r="F268" i="72"/>
  <c r="H268" i="72" l="1"/>
  <c r="N268" i="72"/>
  <c r="J268" i="72"/>
  <c r="L268" i="72"/>
  <c r="P268" i="72"/>
  <c r="G269" i="72" l="1"/>
  <c r="Z268" i="72"/>
  <c r="Y268" i="72"/>
  <c r="T268" i="72"/>
  <c r="S268" i="72"/>
  <c r="Q268" i="72"/>
  <c r="M269" i="72"/>
  <c r="F269" i="72" l="1"/>
  <c r="H269" i="72" l="1"/>
  <c r="N269" i="72"/>
  <c r="K268" i="72"/>
  <c r="O268" i="72"/>
  <c r="I268" i="72"/>
  <c r="I269" i="72"/>
  <c r="K269" i="72"/>
  <c r="Z269" i="72" l="1"/>
  <c r="Y269" i="72"/>
  <c r="T269" i="72"/>
  <c r="S269" i="72"/>
  <c r="Q269" i="72"/>
  <c r="O269" i="72"/>
  <c r="E270" i="72"/>
  <c r="G270" i="72" l="1"/>
  <c r="M270" i="72"/>
  <c r="H270" i="72" l="1"/>
  <c r="F270" i="72"/>
  <c r="L269" i="72"/>
  <c r="J269" i="72"/>
  <c r="P269" i="72"/>
  <c r="I270" i="72" l="1"/>
  <c r="Z270" i="72"/>
  <c r="Y270" i="72"/>
  <c r="T270" i="72"/>
  <c r="S270" i="72"/>
  <c r="Q270" i="72"/>
  <c r="N270" i="72"/>
  <c r="K270" i="72" l="1"/>
  <c r="O270" i="72"/>
  <c r="L270" i="72"/>
  <c r="P270" i="72"/>
  <c r="J270" i="72"/>
  <c r="D252" i="72" l="1"/>
  <c r="D260" i="72"/>
  <c r="D247" i="72"/>
  <c r="D264" i="72"/>
  <c r="D265" i="72"/>
  <c r="D249" i="72"/>
  <c r="D258" i="72"/>
  <c r="D259" i="72"/>
  <c r="D246" i="72"/>
  <c r="D253" i="72"/>
  <c r="D262" i="72"/>
  <c r="D268" i="72"/>
  <c r="D255" i="72"/>
  <c r="D256" i="72"/>
  <c r="D266" i="72"/>
  <c r="D250" i="72"/>
  <c r="D267" i="72"/>
  <c r="D254" i="72"/>
  <c r="D263" i="72"/>
  <c r="D248" i="72"/>
  <c r="D257" i="72"/>
  <c r="D251" i="72"/>
  <c r="D269" i="72"/>
  <c r="D270" i="72"/>
  <c r="D245" i="72" l="1"/>
  <c r="Y192" i="72" l="1"/>
  <c r="X192" i="72"/>
  <c r="W192" i="72"/>
  <c r="V192" i="72"/>
  <c r="U192" i="72"/>
  <c r="H192" i="72"/>
  <c r="Q192" i="72"/>
  <c r="S192" i="72"/>
  <c r="G192" i="72"/>
  <c r="T192" i="72"/>
  <c r="E192" i="72"/>
  <c r="R192" i="72"/>
  <c r="AA192" i="72" l="1"/>
  <c r="Z192" i="72"/>
  <c r="M192" i="72"/>
  <c r="L192" i="72"/>
  <c r="Y193" i="72" l="1"/>
  <c r="X193" i="72"/>
  <c r="W193" i="72"/>
  <c r="V193" i="72"/>
  <c r="U193" i="72"/>
  <c r="G193" i="72"/>
  <c r="Q193" i="72"/>
  <c r="H193" i="72"/>
  <c r="T193" i="72"/>
  <c r="S193" i="72"/>
  <c r="E193" i="72"/>
  <c r="R193" i="72"/>
  <c r="F192" i="72"/>
  <c r="I192" i="72"/>
  <c r="N192" i="72"/>
  <c r="J192" i="72"/>
  <c r="P192" i="72"/>
  <c r="E194" i="72"/>
  <c r="G194" i="72" l="1"/>
  <c r="Z193" i="72"/>
  <c r="M193" i="72"/>
  <c r="L193" i="72"/>
  <c r="K192" i="72"/>
  <c r="O192" i="72"/>
  <c r="M194" i="72"/>
  <c r="Q194" i="72" l="1"/>
  <c r="H194" i="72"/>
  <c r="F193" i="72"/>
  <c r="I193" i="72"/>
  <c r="N193" i="72"/>
  <c r="P193" i="72"/>
  <c r="J193" i="72"/>
  <c r="R194" i="72"/>
  <c r="AA194" i="72" l="1"/>
  <c r="Z194" i="72"/>
  <c r="Y194" i="72"/>
  <c r="X194" i="72"/>
  <c r="W194" i="72"/>
  <c r="V194" i="72"/>
  <c r="U194" i="72"/>
  <c r="T194" i="72"/>
  <c r="S194" i="72"/>
  <c r="L194" i="72"/>
  <c r="K193" i="72"/>
  <c r="O193" i="72"/>
  <c r="N194" i="72"/>
  <c r="P194" i="72"/>
  <c r="Y196" i="72" l="1"/>
  <c r="X196" i="72"/>
  <c r="W196" i="72"/>
  <c r="V196" i="72"/>
  <c r="U196" i="72"/>
  <c r="Q196" i="72"/>
  <c r="G196" i="72"/>
  <c r="S196" i="72"/>
  <c r="T196" i="72"/>
  <c r="H196" i="72"/>
  <c r="E196" i="72"/>
  <c r="R196" i="72"/>
  <c r="F194" i="72"/>
  <c r="I194" i="72"/>
  <c r="J194" i="72"/>
  <c r="AA196" i="72" l="1"/>
  <c r="Z196" i="72"/>
  <c r="L196" i="72"/>
  <c r="K194" i="72"/>
  <c r="O194" i="72"/>
  <c r="M196" i="72"/>
  <c r="E197" i="72"/>
  <c r="H197" i="72" l="1"/>
  <c r="G197" i="72"/>
  <c r="F197" i="72"/>
  <c r="N196" i="72"/>
  <c r="J196" i="72"/>
  <c r="P196" i="72"/>
  <c r="F196" i="72"/>
  <c r="I196" i="72"/>
  <c r="Q197" i="72" l="1"/>
  <c r="L197" i="72"/>
  <c r="I197" i="72"/>
  <c r="M197" i="72"/>
  <c r="K196" i="72"/>
  <c r="O196" i="72"/>
  <c r="R197" i="72"/>
  <c r="AA197" i="72" l="1"/>
  <c r="Z197" i="72"/>
  <c r="Y197" i="72"/>
  <c r="X197" i="72"/>
  <c r="W197" i="72"/>
  <c r="V197" i="72"/>
  <c r="U197" i="72"/>
  <c r="T197" i="72"/>
  <c r="S197" i="72"/>
  <c r="N197" i="72"/>
  <c r="J197" i="72"/>
  <c r="P197" i="72"/>
  <c r="K197" i="72"/>
  <c r="O197" i="72"/>
  <c r="Y198" i="72" l="1"/>
  <c r="X198" i="72"/>
  <c r="W198" i="72"/>
  <c r="V198" i="72"/>
  <c r="U198" i="72"/>
  <c r="S198" i="72"/>
  <c r="H198" i="72"/>
  <c r="Q198" i="72"/>
  <c r="G198" i="72"/>
  <c r="T198" i="72"/>
  <c r="E198" i="72"/>
  <c r="R198" i="72"/>
  <c r="AA198" i="72" l="1"/>
  <c r="Z198" i="72"/>
  <c r="L198" i="72"/>
  <c r="M198" i="72"/>
  <c r="H199" i="72" l="1"/>
  <c r="F199" i="72"/>
  <c r="G199" i="72"/>
  <c r="E199" i="72"/>
  <c r="F198" i="72"/>
  <c r="I198" i="72"/>
  <c r="N198" i="72"/>
  <c r="J198" i="72"/>
  <c r="P198" i="72"/>
  <c r="Q199" i="72" l="1"/>
  <c r="M199" i="72"/>
  <c r="K198" i="72"/>
  <c r="O198" i="72"/>
  <c r="R199" i="72"/>
  <c r="AA199" i="72" l="1"/>
  <c r="Z199" i="72"/>
  <c r="Y199" i="72"/>
  <c r="X199" i="72"/>
  <c r="W199" i="72"/>
  <c r="V199" i="72"/>
  <c r="U199" i="72"/>
  <c r="T199" i="72"/>
  <c r="S199" i="72"/>
  <c r="N199" i="72"/>
  <c r="L199" i="72"/>
  <c r="E200" i="72"/>
  <c r="J199" i="72" l="1"/>
  <c r="P199" i="72"/>
  <c r="G200" i="72"/>
  <c r="K199" i="72"/>
  <c r="I199" i="72"/>
  <c r="O199" i="72"/>
  <c r="M200" i="72"/>
  <c r="F200" i="72"/>
  <c r="H200" i="72" l="1"/>
  <c r="I200" i="72"/>
  <c r="K200" i="72"/>
  <c r="O200" i="72"/>
  <c r="Q200" i="72" l="1"/>
  <c r="N200" i="72"/>
  <c r="R200" i="72"/>
  <c r="AA200" i="72" l="1"/>
  <c r="Z200" i="72"/>
  <c r="Y200" i="72"/>
  <c r="X200" i="72"/>
  <c r="W200" i="72"/>
  <c r="V200" i="72"/>
  <c r="U200" i="72"/>
  <c r="T200" i="72"/>
  <c r="S200" i="72"/>
  <c r="L200" i="72"/>
  <c r="J200" i="72"/>
  <c r="P200" i="72"/>
  <c r="H203" i="72" l="1"/>
  <c r="G203" i="72"/>
  <c r="Q203" i="72" l="1"/>
  <c r="E203" i="72"/>
  <c r="R203" i="72"/>
  <c r="AA203" i="72" l="1"/>
  <c r="Z203" i="72"/>
  <c r="Y203" i="72"/>
  <c r="X203" i="72"/>
  <c r="W203" i="72"/>
  <c r="V203" i="72"/>
  <c r="U203" i="72"/>
  <c r="T203" i="72"/>
  <c r="S203" i="72"/>
  <c r="M203" i="72"/>
  <c r="F203" i="72"/>
  <c r="I203" i="72"/>
  <c r="K203" i="72"/>
  <c r="L203" i="72"/>
  <c r="E204" i="72"/>
  <c r="G204" i="72" l="1"/>
  <c r="O203" i="72"/>
  <c r="N203" i="72"/>
  <c r="P203" i="72"/>
  <c r="J203" i="72"/>
  <c r="M204" i="72"/>
  <c r="F204" i="72"/>
  <c r="H204" i="72" l="1"/>
  <c r="Q204" i="72" l="1"/>
  <c r="L204" i="72"/>
  <c r="J204" i="72"/>
  <c r="P204" i="72"/>
  <c r="N204" i="72"/>
  <c r="R204" i="72"/>
  <c r="AA204" i="72" l="1"/>
  <c r="Z204" i="72"/>
  <c r="Y204" i="72"/>
  <c r="X204" i="72"/>
  <c r="W204" i="72"/>
  <c r="V204" i="72"/>
  <c r="U204" i="72"/>
  <c r="T204" i="72"/>
  <c r="S204" i="72"/>
  <c r="K204" i="72"/>
  <c r="O204" i="72"/>
  <c r="I204" i="72"/>
  <c r="G206" i="72" l="1"/>
  <c r="B206" i="72"/>
  <c r="M206" i="72"/>
  <c r="X206" i="72" l="1"/>
  <c r="W206" i="72"/>
  <c r="V206" i="72"/>
  <c r="U206" i="72"/>
  <c r="T206" i="72"/>
  <c r="S206" i="72"/>
  <c r="R206" i="72"/>
  <c r="Q206" i="72"/>
  <c r="H206" i="72"/>
  <c r="N206" i="72" l="1"/>
  <c r="F206" i="72"/>
  <c r="L206" i="72"/>
  <c r="J206" i="72"/>
  <c r="K206" i="72" l="1"/>
  <c r="I206" i="72"/>
  <c r="O206" i="72"/>
  <c r="P206" i="72"/>
  <c r="G209" i="72" l="1"/>
  <c r="B209" i="72"/>
  <c r="M209" i="72"/>
  <c r="F209" i="72"/>
  <c r="J209" i="72"/>
  <c r="L209" i="72"/>
  <c r="N209" i="72" l="1"/>
  <c r="X209" i="72"/>
  <c r="W209" i="72"/>
  <c r="V209" i="72"/>
  <c r="U209" i="72"/>
  <c r="T209" i="72"/>
  <c r="S209" i="72"/>
  <c r="R209" i="72"/>
  <c r="Q209" i="72"/>
  <c r="H209" i="72"/>
  <c r="P209" i="72" l="1"/>
  <c r="K209" i="72"/>
  <c r="O209" i="72"/>
  <c r="I209" i="72"/>
  <c r="D193" i="72" l="1"/>
  <c r="D194" i="72"/>
  <c r="D196" i="72"/>
  <c r="D197" i="72"/>
  <c r="D198" i="72"/>
  <c r="D199" i="72"/>
  <c r="D200" i="72"/>
  <c r="D203" i="72"/>
  <c r="D204" i="72"/>
  <c r="D206" i="72"/>
  <c r="D209" i="72"/>
  <c r="D192" i="72" l="1"/>
  <c r="E98" i="72" l="1"/>
  <c r="G98" i="72" l="1"/>
  <c r="M98" i="72"/>
  <c r="H98" i="72" l="1"/>
  <c r="Q98" i="72" l="1"/>
  <c r="N98" i="72"/>
  <c r="R98" i="72"/>
  <c r="Y98" i="72" l="1"/>
  <c r="X98" i="72"/>
  <c r="F98" i="72"/>
  <c r="I98" i="72"/>
  <c r="E99" i="72"/>
  <c r="G99" i="72" l="1"/>
  <c r="L98" i="72"/>
  <c r="P98" i="72"/>
  <c r="J98" i="72"/>
  <c r="K98" i="72"/>
  <c r="O98" i="72"/>
  <c r="M99" i="72"/>
  <c r="F99" i="72" l="1"/>
  <c r="N99" i="72" l="1"/>
  <c r="J99" i="72"/>
  <c r="L99" i="72"/>
  <c r="R99" i="72"/>
  <c r="P99" i="72" l="1"/>
  <c r="Y99" i="72"/>
  <c r="Q99" i="72"/>
  <c r="H99" i="72"/>
  <c r="X99" i="72"/>
  <c r="E100" i="72"/>
  <c r="G100" i="72" l="1"/>
  <c r="M100" i="72"/>
  <c r="K99" i="72" l="1"/>
  <c r="I99" i="72"/>
  <c r="O99" i="72"/>
  <c r="H100" i="72" l="1"/>
  <c r="F100" i="72"/>
  <c r="N100" i="72"/>
  <c r="I100" i="72" l="1"/>
  <c r="Q100" i="72"/>
  <c r="R100" i="72"/>
  <c r="K100" i="72" l="1"/>
  <c r="O100" i="72"/>
  <c r="Y100" i="72"/>
  <c r="X100" i="72"/>
  <c r="E101" i="72"/>
  <c r="G101" i="72" l="1"/>
  <c r="L100" i="72"/>
  <c r="P100" i="72"/>
  <c r="J100" i="72"/>
  <c r="M101" i="72"/>
  <c r="F101" i="72" l="1"/>
  <c r="H101" i="72" l="1"/>
  <c r="N101" i="72"/>
  <c r="I101" i="72"/>
  <c r="K101" i="72"/>
  <c r="Q101" i="72" l="1"/>
  <c r="O101" i="72"/>
  <c r="R101" i="72"/>
  <c r="Y101" i="72" l="1"/>
  <c r="X101" i="72"/>
  <c r="L101" i="72"/>
  <c r="J101" i="72"/>
  <c r="P101" i="72"/>
  <c r="E102" i="72"/>
  <c r="H102" i="72" l="1"/>
  <c r="G102" i="72"/>
  <c r="F102" i="72" l="1"/>
  <c r="I102" i="72"/>
  <c r="Q102" i="72"/>
  <c r="L102" i="72"/>
  <c r="M102" i="72"/>
  <c r="X102" i="72" l="1"/>
  <c r="N102" i="72"/>
  <c r="J102" i="72"/>
  <c r="P102" i="72"/>
  <c r="R102" i="72"/>
  <c r="K102" i="72"/>
  <c r="O102" i="72"/>
  <c r="E103" i="72"/>
  <c r="F103" i="72"/>
  <c r="H103" i="72" l="1"/>
  <c r="G103" i="72"/>
  <c r="Y102" i="72"/>
  <c r="J103" i="72"/>
  <c r="L103" i="72"/>
  <c r="Q103" i="72" l="1"/>
  <c r="M103" i="72"/>
  <c r="X103" i="72" l="1"/>
  <c r="N103" i="72"/>
  <c r="P103" i="72"/>
  <c r="R103" i="72"/>
  <c r="Y103" i="72" l="1"/>
  <c r="K103" i="72"/>
  <c r="I103" i="72"/>
  <c r="O103" i="72"/>
  <c r="F104" i="72" l="1"/>
  <c r="H104" i="72" l="1"/>
  <c r="G104" i="72"/>
  <c r="E104" i="72"/>
  <c r="J104" i="72"/>
  <c r="L104" i="72"/>
  <c r="Q104" i="72" l="1"/>
  <c r="O104" i="72"/>
  <c r="M104" i="72"/>
  <c r="X104" i="72" l="1"/>
  <c r="K104" i="72"/>
  <c r="I104" i="72"/>
  <c r="N104" i="72"/>
  <c r="P104" i="72"/>
  <c r="R104" i="72"/>
  <c r="E105" i="72"/>
  <c r="G105" i="72" l="1"/>
  <c r="Y104" i="72"/>
  <c r="M105" i="72"/>
  <c r="F105" i="72"/>
  <c r="H105" i="72" l="1"/>
  <c r="N105" i="72"/>
  <c r="I105" i="72"/>
  <c r="K105" i="72"/>
  <c r="Q105" i="72" l="1"/>
  <c r="O105" i="72"/>
  <c r="R105" i="72"/>
  <c r="Y105" i="72" l="1"/>
  <c r="X105" i="72"/>
  <c r="E107" i="72"/>
  <c r="H108" i="72" l="1"/>
  <c r="X107" i="72"/>
  <c r="G107" i="72"/>
  <c r="Q107" i="72"/>
  <c r="L107" i="72"/>
  <c r="Y107" i="72"/>
  <c r="G108" i="72"/>
  <c r="H107" i="72"/>
  <c r="F107" i="72"/>
  <c r="E108" i="72"/>
  <c r="L105" i="72"/>
  <c r="P105" i="72"/>
  <c r="J105" i="72"/>
  <c r="Q108" i="72" l="1"/>
  <c r="F108" i="72"/>
  <c r="I108" i="72"/>
  <c r="M107" i="72"/>
  <c r="M108" i="72"/>
  <c r="K107" i="72"/>
  <c r="I107" i="72"/>
  <c r="X108" i="72" l="1"/>
  <c r="N108" i="72"/>
  <c r="N107" i="72"/>
  <c r="J107" i="72"/>
  <c r="P107" i="72"/>
  <c r="R107" i="72"/>
  <c r="O107" i="72"/>
  <c r="R108" i="72"/>
  <c r="K108" i="72"/>
  <c r="O108" i="72"/>
  <c r="L108" i="72"/>
  <c r="E109" i="72"/>
  <c r="F109" i="72"/>
  <c r="H109" i="72" l="1"/>
  <c r="Y108" i="72"/>
  <c r="G109" i="72"/>
  <c r="P108" i="72"/>
  <c r="J108" i="72"/>
  <c r="J109" i="72"/>
  <c r="L109" i="72"/>
  <c r="Q109" i="72" l="1"/>
  <c r="M109" i="72"/>
  <c r="R109" i="72"/>
  <c r="X109" i="72" l="1"/>
  <c r="N109" i="72"/>
  <c r="P109" i="72"/>
  <c r="F110" i="72"/>
  <c r="H110" i="72" l="1"/>
  <c r="Y109" i="72"/>
  <c r="G110" i="72"/>
  <c r="E110" i="72"/>
  <c r="K109" i="72"/>
  <c r="O109" i="72"/>
  <c r="I109" i="72"/>
  <c r="J110" i="72"/>
  <c r="L110" i="72"/>
  <c r="Q110" i="72" l="1"/>
  <c r="M110" i="72"/>
  <c r="R110" i="72"/>
  <c r="X110" i="72" l="1"/>
  <c r="N110" i="72"/>
  <c r="P110" i="72"/>
  <c r="Y110" i="72" l="1"/>
  <c r="K110" i="72"/>
  <c r="I110" i="72"/>
  <c r="O110" i="72"/>
  <c r="H111" i="72" l="1"/>
  <c r="G111" i="72"/>
  <c r="F111" i="72"/>
  <c r="E111" i="72"/>
  <c r="Q111" i="72" l="1"/>
  <c r="M111" i="72"/>
  <c r="R111" i="72"/>
  <c r="X111" i="72" l="1"/>
  <c r="L111" i="72"/>
  <c r="N111" i="72"/>
  <c r="E112" i="72"/>
  <c r="E114" i="72"/>
  <c r="P111" i="72" l="1"/>
  <c r="G114" i="72"/>
  <c r="X112" i="72"/>
  <c r="H112" i="72"/>
  <c r="Y111" i="72"/>
  <c r="Y112" i="72"/>
  <c r="G112" i="72"/>
  <c r="Q112" i="72"/>
  <c r="J111" i="72"/>
  <c r="K111" i="72"/>
  <c r="I111" i="72"/>
  <c r="O111" i="72"/>
  <c r="M114" i="72"/>
  <c r="F114" i="72"/>
  <c r="M112" i="72" l="1"/>
  <c r="L112" i="72"/>
  <c r="H114" i="72" l="1"/>
  <c r="F112" i="72"/>
  <c r="I112" i="72"/>
  <c r="N114" i="72"/>
  <c r="N112" i="72"/>
  <c r="P112" i="72"/>
  <c r="R112" i="72"/>
  <c r="J112" i="72"/>
  <c r="I114" i="72"/>
  <c r="K114" i="72"/>
  <c r="O114" i="72"/>
  <c r="Q114" i="72" l="1"/>
  <c r="K112" i="72"/>
  <c r="O112" i="72"/>
  <c r="R114" i="72"/>
  <c r="Y114" i="72" l="1"/>
  <c r="X114" i="72"/>
  <c r="L114" i="72"/>
  <c r="J114" i="72"/>
  <c r="P114" i="72"/>
  <c r="E117" i="72"/>
  <c r="G117" i="72" l="1"/>
  <c r="X115" i="72"/>
  <c r="Q115" i="72"/>
  <c r="H115" i="72"/>
  <c r="Y115" i="72"/>
  <c r="G115" i="72"/>
  <c r="M117" i="72"/>
  <c r="L115" i="72" l="1"/>
  <c r="M115" i="72"/>
  <c r="H117" i="72" l="1"/>
  <c r="F115" i="72"/>
  <c r="I115" i="72"/>
  <c r="N117" i="72"/>
  <c r="F117" i="72"/>
  <c r="N115" i="72"/>
  <c r="P115" i="72"/>
  <c r="J115" i="72"/>
  <c r="R115" i="72"/>
  <c r="Q117" i="72" l="1"/>
  <c r="K115" i="72"/>
  <c r="O115" i="72"/>
  <c r="J117" i="72"/>
  <c r="R117" i="72"/>
  <c r="Y117" i="72" l="1"/>
  <c r="X117" i="72"/>
  <c r="L117" i="72"/>
  <c r="P117" i="72"/>
  <c r="E118" i="72"/>
  <c r="E119" i="72"/>
  <c r="H119" i="72" l="1"/>
  <c r="G118" i="72"/>
  <c r="Q118" i="72"/>
  <c r="G119" i="72"/>
  <c r="H118" i="72"/>
  <c r="X118" i="72"/>
  <c r="Y118" i="72"/>
  <c r="K117" i="72"/>
  <c r="O117" i="72"/>
  <c r="I117" i="72"/>
  <c r="Q119" i="72" l="1"/>
  <c r="F119" i="72"/>
  <c r="I119" i="72"/>
  <c r="K119" i="72"/>
  <c r="O119" i="72"/>
  <c r="M119" i="72"/>
  <c r="M118" i="72"/>
  <c r="L118" i="72"/>
  <c r="X119" i="72" l="1"/>
  <c r="N119" i="72"/>
  <c r="P119" i="72"/>
  <c r="R119" i="72"/>
  <c r="F118" i="72"/>
  <c r="I118" i="72"/>
  <c r="L119" i="72"/>
  <c r="N118" i="72"/>
  <c r="P118" i="72"/>
  <c r="J118" i="72"/>
  <c r="R118" i="72"/>
  <c r="J119" i="72" l="1"/>
  <c r="Y119" i="72"/>
  <c r="K118" i="72"/>
  <c r="O118" i="72"/>
  <c r="E121" i="72" l="1"/>
  <c r="F121" i="72"/>
  <c r="Q121" i="72" l="1"/>
  <c r="G121" i="72"/>
  <c r="I121" i="72"/>
  <c r="H121" i="72"/>
  <c r="X121" i="72"/>
  <c r="Y121" i="72"/>
  <c r="K121" i="72"/>
  <c r="L121" i="72" l="1"/>
  <c r="M121" i="72"/>
  <c r="O121" i="72"/>
  <c r="N121" i="72" l="1"/>
  <c r="J121" i="72"/>
  <c r="R121" i="72"/>
  <c r="P121" i="72"/>
  <c r="E122" i="72"/>
  <c r="G122" i="72" l="1"/>
  <c r="M122" i="72"/>
  <c r="F122" i="72" l="1"/>
  <c r="H122" i="72" l="1"/>
  <c r="N122" i="72"/>
  <c r="J122" i="72"/>
  <c r="L122" i="72"/>
  <c r="Q122" i="72" l="1"/>
  <c r="P122" i="72"/>
  <c r="R122" i="72"/>
  <c r="Y122" i="72" l="1"/>
  <c r="X122" i="72"/>
  <c r="K122" i="72"/>
  <c r="O122" i="72"/>
  <c r="I122" i="72"/>
  <c r="E123" i="72"/>
  <c r="H123" i="72" l="1"/>
  <c r="G123" i="72"/>
  <c r="Q123" i="72" l="1"/>
  <c r="M123" i="72"/>
  <c r="X123" i="72" l="1"/>
  <c r="L123" i="72"/>
  <c r="F123" i="72"/>
  <c r="I123" i="72"/>
  <c r="N123" i="72"/>
  <c r="P123" i="72"/>
  <c r="R123" i="72"/>
  <c r="E124" i="72"/>
  <c r="J123" i="72" l="1"/>
  <c r="G124" i="72"/>
  <c r="Y123" i="72"/>
  <c r="K123" i="72"/>
  <c r="O123" i="72"/>
  <c r="M124" i="72"/>
  <c r="Q124" i="72" l="1"/>
  <c r="H124" i="72"/>
  <c r="X124" i="72" l="1"/>
  <c r="N124" i="72"/>
  <c r="L124" i="72"/>
  <c r="F124" i="72"/>
  <c r="I124" i="72"/>
  <c r="R124" i="72"/>
  <c r="E125" i="72"/>
  <c r="J124" i="72" l="1"/>
  <c r="P124" i="72"/>
  <c r="G125" i="72"/>
  <c r="Y124" i="72"/>
  <c r="K124" i="72"/>
  <c r="O124" i="72"/>
  <c r="M125" i="72"/>
  <c r="H125" i="72" l="1"/>
  <c r="F125" i="72"/>
  <c r="I125" i="72" l="1"/>
  <c r="Q125" i="72"/>
  <c r="N125" i="72"/>
  <c r="R125" i="72"/>
  <c r="Y125" i="72" l="1"/>
  <c r="X125" i="72"/>
  <c r="K125" i="72"/>
  <c r="O125" i="72"/>
  <c r="E126" i="72"/>
  <c r="G126" i="72" l="1"/>
  <c r="L125" i="72"/>
  <c r="J125" i="72"/>
  <c r="P125" i="72"/>
  <c r="M126" i="72"/>
  <c r="F126" i="72" l="1"/>
  <c r="H126" i="72" l="1"/>
  <c r="N126" i="72"/>
  <c r="I126" i="72"/>
  <c r="K126" i="72"/>
  <c r="O126" i="72" l="1"/>
  <c r="Q126" i="72"/>
  <c r="R126" i="72"/>
  <c r="Y126" i="72" l="1"/>
  <c r="X126" i="72"/>
  <c r="L126" i="72"/>
  <c r="J126" i="72"/>
  <c r="P126" i="72"/>
  <c r="E127" i="72"/>
  <c r="G127" i="72" l="1"/>
  <c r="M127" i="72"/>
  <c r="H127" i="72" l="1"/>
  <c r="N127" i="72"/>
  <c r="F127" i="72"/>
  <c r="I127" i="72"/>
  <c r="K127" i="72"/>
  <c r="Q127" i="72" l="1"/>
  <c r="O127" i="72"/>
  <c r="R127" i="72"/>
  <c r="G129" i="72" l="1"/>
  <c r="Y127" i="72"/>
  <c r="X127" i="72"/>
  <c r="L127" i="72"/>
  <c r="J127" i="72"/>
  <c r="P127" i="72"/>
  <c r="M129" i="72"/>
  <c r="H129" i="72" l="1"/>
  <c r="F129" i="72"/>
  <c r="N129" i="72"/>
  <c r="I129" i="72"/>
  <c r="K129" i="72"/>
  <c r="Q129" i="72" l="1"/>
  <c r="O129" i="72"/>
  <c r="R129" i="72"/>
  <c r="Y129" i="72" l="1"/>
  <c r="X129" i="72"/>
  <c r="H130" i="72" l="1"/>
  <c r="G130" i="72"/>
  <c r="L129" i="72"/>
  <c r="J129" i="72"/>
  <c r="P129" i="72"/>
  <c r="Q130" i="72" l="1"/>
  <c r="M130" i="72"/>
  <c r="R130" i="72"/>
  <c r="F130" i="72"/>
  <c r="X130" i="72" l="1"/>
  <c r="N130" i="72"/>
  <c r="L130" i="72"/>
  <c r="J130" i="72" l="1"/>
  <c r="G131" i="72"/>
  <c r="Y130" i="72"/>
  <c r="K130" i="72"/>
  <c r="O130" i="72"/>
  <c r="I130" i="72"/>
  <c r="P130" i="72"/>
  <c r="M131" i="72"/>
  <c r="F131" i="72"/>
  <c r="H131" i="72" l="1"/>
  <c r="N131" i="72"/>
  <c r="I131" i="72"/>
  <c r="K131" i="72"/>
  <c r="O131" i="72"/>
  <c r="Q131" i="72" l="1"/>
  <c r="R131" i="72"/>
  <c r="Y131" i="72" l="1"/>
  <c r="X131" i="72"/>
  <c r="L131" i="72"/>
  <c r="J131" i="72"/>
  <c r="P131" i="72"/>
  <c r="E132" i="72"/>
  <c r="G132" i="72" l="1"/>
  <c r="M132" i="72"/>
  <c r="H132" i="72" l="1"/>
  <c r="N132" i="72"/>
  <c r="F132" i="72"/>
  <c r="Q132" i="72" l="1"/>
  <c r="I132" i="72"/>
  <c r="R132" i="72"/>
  <c r="Y132" i="72" l="1"/>
  <c r="X132" i="72"/>
  <c r="K132" i="72"/>
  <c r="O132" i="72"/>
  <c r="E133" i="72"/>
  <c r="G133" i="72" l="1"/>
  <c r="L132" i="72"/>
  <c r="J132" i="72"/>
  <c r="P132" i="72"/>
  <c r="M133" i="72"/>
  <c r="F133" i="72"/>
  <c r="N133" i="72" l="1"/>
  <c r="H133" i="72" l="1"/>
  <c r="J133" i="72"/>
  <c r="L133" i="72"/>
  <c r="P133" i="72"/>
  <c r="Q133" i="72" l="1"/>
  <c r="R133" i="72"/>
  <c r="Y133" i="72" l="1"/>
  <c r="X133" i="72"/>
  <c r="E134" i="72"/>
  <c r="G134" i="72" l="1"/>
  <c r="K133" i="72"/>
  <c r="I133" i="72"/>
  <c r="O133" i="72"/>
  <c r="M134" i="72"/>
  <c r="F134" i="72"/>
  <c r="H134" i="72" l="1"/>
  <c r="N134" i="72"/>
  <c r="I134" i="72"/>
  <c r="K134" i="72"/>
  <c r="Q134" i="72" l="1"/>
  <c r="O134" i="72"/>
  <c r="R134" i="72"/>
  <c r="Y134" i="72" l="1"/>
  <c r="X134" i="72"/>
  <c r="E135" i="72"/>
  <c r="G135" i="72" l="1"/>
  <c r="L134" i="72"/>
  <c r="P134" i="72"/>
  <c r="J134" i="72"/>
  <c r="M135" i="72"/>
  <c r="F135" i="72" l="1"/>
  <c r="H135" i="72" l="1"/>
  <c r="N135" i="72"/>
  <c r="I135" i="72"/>
  <c r="K135" i="72"/>
  <c r="O135" i="72"/>
  <c r="Q135" i="72" l="1"/>
  <c r="R135" i="72"/>
  <c r="Y135" i="72" l="1"/>
  <c r="X135" i="72"/>
  <c r="L135" i="72"/>
  <c r="J135" i="72"/>
  <c r="P135" i="72"/>
  <c r="E136" i="72"/>
  <c r="G136" i="72" l="1"/>
  <c r="M136" i="72"/>
  <c r="F136" i="72" l="1"/>
  <c r="H136" i="72" l="1"/>
  <c r="N136" i="72"/>
  <c r="I136" i="72"/>
  <c r="K136" i="72"/>
  <c r="O136" i="72"/>
  <c r="Q136" i="72" l="1"/>
  <c r="R136" i="72"/>
  <c r="Y136" i="72" l="1"/>
  <c r="X136" i="72"/>
  <c r="L136" i="72"/>
  <c r="P136" i="72"/>
  <c r="J136" i="72"/>
  <c r="E137" i="72"/>
  <c r="G137" i="72" l="1"/>
  <c r="M137" i="72"/>
  <c r="F137" i="72"/>
  <c r="H137" i="72" l="1"/>
  <c r="N137" i="72"/>
  <c r="I137" i="72"/>
  <c r="K137" i="72"/>
  <c r="O137" i="72"/>
  <c r="Q137" i="72" l="1"/>
  <c r="R137" i="72"/>
  <c r="Y137" i="72" l="1"/>
  <c r="X137" i="72"/>
  <c r="L137" i="72"/>
  <c r="J137" i="72"/>
  <c r="P137" i="72"/>
  <c r="E138" i="72"/>
  <c r="G138" i="72" l="1"/>
  <c r="M138" i="72"/>
  <c r="H138" i="72" l="1"/>
  <c r="F138" i="72"/>
  <c r="J138" i="72"/>
  <c r="Q138" i="72" l="1"/>
  <c r="N138" i="72"/>
  <c r="R138" i="72"/>
  <c r="L138" i="72" l="1"/>
  <c r="P138" i="72"/>
  <c r="Y138" i="72"/>
  <c r="X138" i="72"/>
  <c r="E139" i="72"/>
  <c r="G139" i="72" l="1"/>
  <c r="K138" i="72"/>
  <c r="I138" i="72"/>
  <c r="O138" i="72"/>
  <c r="M139" i="72"/>
  <c r="F139" i="72"/>
  <c r="H139" i="72" l="1"/>
  <c r="P139" i="72"/>
  <c r="J139" i="72"/>
  <c r="L139" i="72"/>
  <c r="Q139" i="72" l="1"/>
  <c r="N139" i="72"/>
  <c r="R139" i="72"/>
  <c r="Y139" i="72" l="1"/>
  <c r="X139" i="72"/>
  <c r="K139" i="72"/>
  <c r="O139" i="72"/>
  <c r="I139" i="72"/>
  <c r="E140" i="72"/>
  <c r="G140" i="72" l="1"/>
  <c r="M140" i="72"/>
  <c r="F140" i="72"/>
  <c r="H140" i="72" l="1"/>
  <c r="J140" i="72"/>
  <c r="L140" i="72"/>
  <c r="P140" i="72" l="1"/>
  <c r="D98" i="72"/>
  <c r="D99" i="72"/>
  <c r="D100" i="72"/>
  <c r="D101" i="72"/>
  <c r="D102" i="72"/>
  <c r="D103" i="72"/>
  <c r="D104" i="72"/>
  <c r="D105" i="72"/>
  <c r="D108" i="72"/>
  <c r="D107" i="72"/>
  <c r="D109" i="72"/>
  <c r="D110" i="72"/>
  <c r="D111" i="72"/>
  <c r="D114" i="72"/>
  <c r="D112" i="72"/>
  <c r="D115" i="72"/>
  <c r="D117" i="72"/>
  <c r="D119" i="72"/>
  <c r="D118" i="72"/>
  <c r="D121" i="72"/>
  <c r="D122" i="72"/>
  <c r="D123" i="72"/>
  <c r="D124" i="72"/>
  <c r="D125" i="72"/>
  <c r="D126" i="72"/>
  <c r="D127" i="72"/>
  <c r="D129" i="72"/>
  <c r="D130" i="72"/>
  <c r="D131" i="72"/>
  <c r="D132" i="72"/>
  <c r="D133" i="72"/>
  <c r="D134" i="72"/>
  <c r="D135" i="72"/>
  <c r="D136" i="72"/>
  <c r="D137" i="72"/>
  <c r="D138" i="72"/>
  <c r="D139" i="72"/>
  <c r="Q140" i="72"/>
  <c r="N140" i="72"/>
  <c r="D140" i="72"/>
  <c r="R140" i="72"/>
  <c r="Y140" i="72" l="1"/>
  <c r="X140" i="72"/>
  <c r="K140" i="72"/>
  <c r="O140" i="72"/>
  <c r="I140" i="72"/>
  <c r="E141" i="72"/>
  <c r="G141" i="72" l="1"/>
  <c r="B141" i="72"/>
  <c r="M141" i="72"/>
  <c r="R141" i="72" l="1"/>
  <c r="Q141" i="72"/>
  <c r="H141" i="72"/>
  <c r="F141" i="72"/>
  <c r="K141" i="72"/>
  <c r="I141" i="72"/>
  <c r="L141" i="72"/>
  <c r="E142" i="72"/>
  <c r="G142" i="72" l="1"/>
  <c r="B142" i="72"/>
  <c r="N141" i="72"/>
  <c r="P141" i="72"/>
  <c r="J141" i="72"/>
  <c r="D141" i="72"/>
  <c r="O141" i="72"/>
  <c r="M142" i="72"/>
  <c r="R142" i="72" l="1"/>
  <c r="Q142" i="72"/>
  <c r="H142" i="72"/>
  <c r="F142" i="72"/>
  <c r="I142" i="72"/>
  <c r="K142" i="72"/>
  <c r="E143" i="72"/>
  <c r="G143" i="72" l="1"/>
  <c r="B143" i="72"/>
  <c r="O142" i="72"/>
  <c r="L142" i="72"/>
  <c r="N142" i="72"/>
  <c r="D142" i="72"/>
  <c r="J142" i="72"/>
  <c r="M143" i="72"/>
  <c r="R143" i="72" l="1"/>
  <c r="Q143" i="72"/>
  <c r="H143" i="72"/>
  <c r="F143" i="72"/>
  <c r="K143" i="72"/>
  <c r="I143" i="72"/>
  <c r="L143" i="72"/>
  <c r="P142" i="72"/>
  <c r="E144" i="72"/>
  <c r="G144" i="72" l="1"/>
  <c r="B144" i="72"/>
  <c r="N143" i="72"/>
  <c r="P143" i="72"/>
  <c r="D143" i="72"/>
  <c r="J143" i="72"/>
  <c r="O143" i="72"/>
  <c r="M144" i="72"/>
  <c r="B145" i="72" l="1"/>
  <c r="R144" i="72"/>
  <c r="Q144" i="72"/>
  <c r="L144" i="72"/>
  <c r="H144" i="72"/>
  <c r="F144" i="72"/>
  <c r="I144" i="72"/>
  <c r="K144" i="72"/>
  <c r="E145" i="72"/>
  <c r="G145" i="72" l="1"/>
  <c r="N144" i="72"/>
  <c r="D144" i="72"/>
  <c r="P144" i="72"/>
  <c r="J144" i="72"/>
  <c r="O144" i="72"/>
  <c r="M145" i="72"/>
  <c r="F145" i="72"/>
  <c r="I145" i="72"/>
  <c r="K145" i="72"/>
  <c r="R145" i="72" l="1"/>
  <c r="Q145" i="72"/>
  <c r="L145" i="72"/>
  <c r="H145" i="72"/>
  <c r="O145" i="72"/>
  <c r="X145" i="72" l="1"/>
  <c r="N145" i="72"/>
  <c r="D145" i="72"/>
  <c r="P145" i="72"/>
  <c r="J145" i="72"/>
  <c r="E152" i="72" l="1"/>
  <c r="G152" i="72" l="1"/>
  <c r="B152" i="72"/>
  <c r="M152" i="72"/>
  <c r="R152" i="72" l="1"/>
  <c r="Q152" i="72"/>
  <c r="H152" i="72"/>
  <c r="E153" i="72"/>
  <c r="N152" i="72" l="1"/>
  <c r="D152" i="72"/>
  <c r="G153" i="72"/>
  <c r="B153" i="72"/>
  <c r="L152" i="72"/>
  <c r="P152" i="72"/>
  <c r="F152" i="72"/>
  <c r="J152" i="72"/>
  <c r="M153" i="72"/>
  <c r="R153" i="72" l="1"/>
  <c r="Q153" i="72"/>
  <c r="H153" i="72"/>
  <c r="K153" i="72"/>
  <c r="L153" i="72"/>
  <c r="K152" i="72"/>
  <c r="O152" i="72"/>
  <c r="I152" i="72"/>
  <c r="E156" i="72"/>
  <c r="O153" i="72" l="1"/>
  <c r="I153" i="72"/>
  <c r="G156" i="72"/>
  <c r="B156" i="72"/>
  <c r="N153" i="72"/>
  <c r="D153" i="72"/>
  <c r="P153" i="72"/>
  <c r="F153" i="72"/>
  <c r="J153" i="72"/>
  <c r="M156" i="72"/>
  <c r="R156" i="72" l="1"/>
  <c r="Q156" i="72"/>
  <c r="H156" i="72"/>
  <c r="E157" i="72"/>
  <c r="G157" i="72" l="1"/>
  <c r="B157" i="72"/>
  <c r="F156" i="72"/>
  <c r="L156" i="72"/>
  <c r="J156" i="72"/>
  <c r="N156" i="72"/>
  <c r="P156" i="72"/>
  <c r="D156" i="72"/>
  <c r="M157" i="72"/>
  <c r="N157" i="72" l="1"/>
  <c r="R157" i="72"/>
  <c r="Q157" i="72"/>
  <c r="H157" i="72"/>
  <c r="F157" i="72"/>
  <c r="J157" i="72"/>
  <c r="K156" i="72"/>
  <c r="O156" i="72"/>
  <c r="I156" i="72"/>
  <c r="E158" i="72"/>
  <c r="D157" i="72" l="1"/>
  <c r="G158" i="72"/>
  <c r="B158" i="72"/>
  <c r="L157" i="72"/>
  <c r="P157" i="72"/>
  <c r="M158" i="72"/>
  <c r="P158" i="72" l="1"/>
  <c r="Q158" i="72"/>
  <c r="H158" i="72"/>
  <c r="I158" i="72"/>
  <c r="L158" i="72"/>
  <c r="F158" i="72"/>
  <c r="J158" i="72"/>
  <c r="K157" i="72"/>
  <c r="O157" i="72"/>
  <c r="I157" i="72"/>
  <c r="E159" i="72"/>
  <c r="N158" i="72" l="1"/>
  <c r="D158" i="72"/>
  <c r="G159" i="72"/>
  <c r="R158" i="72"/>
  <c r="B159" i="72"/>
  <c r="K158" i="72"/>
  <c r="O158" i="72"/>
  <c r="M159" i="72"/>
  <c r="L159" i="72"/>
  <c r="R159" i="72" l="1"/>
  <c r="Q159" i="72"/>
  <c r="H159" i="72"/>
  <c r="I159" i="72"/>
  <c r="F159" i="72"/>
  <c r="J159" i="72"/>
  <c r="P159" i="72"/>
  <c r="E160" i="72"/>
  <c r="N159" i="72" l="1"/>
  <c r="D159" i="72"/>
  <c r="G160" i="72"/>
  <c r="B160" i="72"/>
  <c r="K159" i="72"/>
  <c r="O159" i="72"/>
  <c r="M160" i="72"/>
  <c r="N160" i="72" l="1"/>
  <c r="D160" i="72"/>
  <c r="R160" i="72"/>
  <c r="Q160" i="72"/>
  <c r="H160" i="72"/>
  <c r="F160" i="72"/>
  <c r="J160" i="72"/>
  <c r="G161" i="72" l="1"/>
  <c r="B161" i="72"/>
  <c r="M161" i="72"/>
  <c r="R161" i="72" l="1"/>
  <c r="Q161" i="72"/>
  <c r="H161" i="72"/>
  <c r="F161" i="72"/>
  <c r="J161" i="72"/>
  <c r="K160" i="72"/>
  <c r="O160" i="72"/>
  <c r="I160" i="72"/>
  <c r="L160" i="72"/>
  <c r="P160" i="72"/>
  <c r="E162" i="72"/>
  <c r="N161" i="72" l="1"/>
  <c r="D161" i="72"/>
  <c r="G162" i="72"/>
  <c r="B162" i="72"/>
  <c r="K161" i="72"/>
  <c r="I161" i="72"/>
  <c r="O161" i="72"/>
  <c r="L161" i="72"/>
  <c r="P161" i="72"/>
  <c r="M162" i="72"/>
  <c r="L162" i="72"/>
  <c r="R162" i="72" l="1"/>
  <c r="Q162" i="72"/>
  <c r="H162" i="72"/>
  <c r="F162" i="72"/>
  <c r="J162" i="72"/>
  <c r="K162" i="72"/>
  <c r="E163" i="72"/>
  <c r="O162" i="72" l="1"/>
  <c r="G163" i="72"/>
  <c r="B163" i="72"/>
  <c r="I162" i="72"/>
  <c r="N162" i="72"/>
  <c r="D162" i="72"/>
  <c r="P162" i="72"/>
  <c r="M163" i="72"/>
  <c r="F163" i="72"/>
  <c r="R163" i="72" l="1"/>
  <c r="Q163" i="72"/>
  <c r="H163" i="72"/>
  <c r="K163" i="72"/>
  <c r="L163" i="72"/>
  <c r="J163" i="72"/>
  <c r="E165" i="72"/>
  <c r="G165" i="72" l="1"/>
  <c r="B165" i="72"/>
  <c r="I163" i="72"/>
  <c r="O163" i="72"/>
  <c r="N163" i="72"/>
  <c r="D163" i="72"/>
  <c r="P163" i="72"/>
  <c r="M165" i="72"/>
  <c r="R165" i="72" l="1"/>
  <c r="Q165" i="72"/>
  <c r="H165" i="72"/>
  <c r="K165" i="72"/>
  <c r="F165" i="72"/>
  <c r="J165" i="72"/>
  <c r="L165" i="72"/>
  <c r="G166" i="72" l="1"/>
  <c r="B166" i="72"/>
  <c r="I165" i="72"/>
  <c r="N165" i="72"/>
  <c r="D165" i="72"/>
  <c r="P165" i="72"/>
  <c r="O165" i="72"/>
  <c r="M166" i="72"/>
  <c r="R166" i="72" l="1"/>
  <c r="Q166" i="72"/>
  <c r="H166" i="72"/>
  <c r="F166" i="72"/>
  <c r="L166" i="72"/>
  <c r="J166" i="72"/>
  <c r="K166" i="72"/>
  <c r="I166" i="72" l="1"/>
  <c r="N166" i="72"/>
  <c r="D166" i="72"/>
  <c r="P166" i="72"/>
  <c r="O166" i="72"/>
  <c r="E57" i="72" l="1"/>
  <c r="G57" i="72" l="1"/>
  <c r="M57" i="72"/>
  <c r="F57" i="72"/>
  <c r="J57" i="72" l="1"/>
  <c r="L57" i="72"/>
  <c r="N57" i="72"/>
  <c r="T57" i="72" l="1"/>
  <c r="S57" i="72"/>
  <c r="Q57" i="72"/>
  <c r="H57" i="72"/>
  <c r="P57" i="72"/>
  <c r="R57" i="72"/>
  <c r="Z57" i="72" l="1"/>
  <c r="Y57" i="72"/>
  <c r="E58" i="72"/>
  <c r="G58" i="72" l="1"/>
  <c r="K57" i="72"/>
  <c r="O57" i="72"/>
  <c r="I57" i="72"/>
  <c r="F58" i="72"/>
  <c r="M58" i="72" l="1"/>
  <c r="H58" i="72" l="1"/>
  <c r="I58" i="72"/>
  <c r="N58" i="72"/>
  <c r="K58" i="72"/>
  <c r="O58" i="72"/>
  <c r="Q58" i="72" l="1"/>
  <c r="R58" i="72"/>
  <c r="J58" i="72" l="1"/>
  <c r="Z58" i="72"/>
  <c r="Y58" i="72"/>
  <c r="T58" i="72"/>
  <c r="S58" i="72"/>
  <c r="L58" i="72"/>
  <c r="P58" i="72"/>
  <c r="E59" i="72"/>
  <c r="F59" i="72"/>
  <c r="H59" i="72" l="1"/>
  <c r="G59" i="72"/>
  <c r="J59" i="72"/>
  <c r="L59" i="72"/>
  <c r="N59" i="72"/>
  <c r="Q59" i="72" l="1"/>
  <c r="M59" i="72"/>
  <c r="P59" i="72"/>
  <c r="R59" i="72"/>
  <c r="Y59" i="72" l="1"/>
  <c r="T59" i="72"/>
  <c r="S59" i="72"/>
  <c r="Z59" i="72" l="1"/>
  <c r="K59" i="72"/>
  <c r="I59" i="72"/>
  <c r="O59" i="72"/>
  <c r="E60" i="72" l="1"/>
  <c r="F60" i="72"/>
  <c r="H60" i="72" l="1"/>
  <c r="G60" i="72"/>
  <c r="J60" i="72"/>
  <c r="L60" i="72"/>
  <c r="N60" i="72"/>
  <c r="P60" i="72" l="1"/>
  <c r="Q60" i="72"/>
  <c r="M60" i="72"/>
  <c r="R60" i="72"/>
  <c r="Y60" i="72" l="1"/>
  <c r="S60" i="72"/>
  <c r="T60" i="72"/>
  <c r="K60" i="72"/>
  <c r="O60" i="72"/>
  <c r="I60" i="72"/>
  <c r="F61" i="72"/>
  <c r="E62" i="72"/>
  <c r="G62" i="72" l="1"/>
  <c r="Q61" i="72"/>
  <c r="H61" i="72"/>
  <c r="Z60" i="72"/>
  <c r="Z61" i="72"/>
  <c r="T61" i="72"/>
  <c r="G61" i="72"/>
  <c r="I61" i="72"/>
  <c r="Y61" i="72"/>
  <c r="S61" i="72"/>
  <c r="E61" i="72"/>
  <c r="K61" i="72"/>
  <c r="F62" i="72"/>
  <c r="L61" i="72" l="1"/>
  <c r="M62" i="72"/>
  <c r="H62" i="72"/>
  <c r="M61" i="72"/>
  <c r="O61" i="72"/>
  <c r="I62" i="72"/>
  <c r="N62" i="72"/>
  <c r="K62" i="72"/>
  <c r="O62" i="72"/>
  <c r="Q62" i="72" l="1"/>
  <c r="L62" i="72"/>
  <c r="N61" i="72"/>
  <c r="R61" i="72"/>
  <c r="J61" i="72"/>
  <c r="P61" i="72"/>
  <c r="R62" i="72"/>
  <c r="P62" i="72" l="1"/>
  <c r="J62" i="72"/>
  <c r="Z62" i="72"/>
  <c r="Y62" i="72"/>
  <c r="T62" i="72"/>
  <c r="S62" i="72"/>
  <c r="F63" i="72"/>
  <c r="H63" i="72" l="1"/>
  <c r="G63" i="72"/>
  <c r="E63" i="72"/>
  <c r="O63" i="72"/>
  <c r="I63" i="72"/>
  <c r="K63" i="72"/>
  <c r="N63" i="72" l="1"/>
  <c r="Q63" i="72"/>
  <c r="L63" i="72"/>
  <c r="M63" i="72"/>
  <c r="R63" i="72" l="1"/>
  <c r="J63" i="72"/>
  <c r="P63" i="72"/>
  <c r="Y63" i="72"/>
  <c r="S63" i="72"/>
  <c r="T63" i="72"/>
  <c r="F64" i="72"/>
  <c r="H64" i="72" l="1"/>
  <c r="G64" i="72"/>
  <c r="Z63" i="72"/>
  <c r="E64" i="72"/>
  <c r="Q64" i="72" l="1"/>
  <c r="M64" i="72"/>
  <c r="Y64" i="72" l="1"/>
  <c r="S64" i="72"/>
  <c r="T64" i="72"/>
  <c r="N64" i="72"/>
  <c r="L64" i="72"/>
  <c r="R64" i="72"/>
  <c r="E65" i="72"/>
  <c r="F65" i="72"/>
  <c r="H65" i="72" l="1"/>
  <c r="G65" i="72"/>
  <c r="Z64" i="72"/>
  <c r="K64" i="72"/>
  <c r="O64" i="72"/>
  <c r="I64" i="72"/>
  <c r="P64" i="72"/>
  <c r="J64" i="72"/>
  <c r="J65" i="72"/>
  <c r="L65" i="72"/>
  <c r="N65" i="72"/>
  <c r="P65" i="72" l="1"/>
  <c r="Q65" i="72"/>
  <c r="K65" i="72"/>
  <c r="M65" i="72"/>
  <c r="R65" i="72"/>
  <c r="O65" i="72" l="1"/>
  <c r="Y65" i="72"/>
  <c r="S65" i="72"/>
  <c r="T65" i="72"/>
  <c r="I65" i="72"/>
  <c r="E66" i="72"/>
  <c r="F66" i="72"/>
  <c r="H66" i="72" l="1"/>
  <c r="G66" i="72"/>
  <c r="O66" i="72"/>
  <c r="Z65" i="72"/>
  <c r="I66" i="72"/>
  <c r="K66" i="72"/>
  <c r="R66" i="72" l="1"/>
  <c r="Q66" i="72"/>
  <c r="M66" i="72"/>
  <c r="L66" i="72" l="1"/>
  <c r="N66" i="72"/>
  <c r="Y66" i="72"/>
  <c r="T66" i="72"/>
  <c r="S66" i="72"/>
  <c r="J66" i="72"/>
  <c r="P66" i="72"/>
  <c r="E67" i="72"/>
  <c r="F67" i="72"/>
  <c r="H67" i="72" l="1"/>
  <c r="Z66" i="72"/>
  <c r="G67" i="72"/>
  <c r="J67" i="72"/>
  <c r="L67" i="72"/>
  <c r="N67" i="72"/>
  <c r="Q67" i="72" l="1"/>
  <c r="P67" i="72"/>
  <c r="M67" i="72"/>
  <c r="R67" i="72"/>
  <c r="Y67" i="72" l="1"/>
  <c r="T67" i="72"/>
  <c r="S67" i="72"/>
  <c r="E68" i="72"/>
  <c r="G68" i="72" l="1"/>
  <c r="Z67" i="72"/>
  <c r="K67" i="72"/>
  <c r="O67" i="72"/>
  <c r="I67" i="72"/>
  <c r="F68" i="72"/>
  <c r="M68" i="72" l="1"/>
  <c r="H68" i="72" l="1"/>
  <c r="I68" i="72"/>
  <c r="N68" i="72"/>
  <c r="K68" i="72"/>
  <c r="O68" i="72"/>
  <c r="Q68" i="72" l="1"/>
  <c r="R68" i="72"/>
  <c r="Z68" i="72" l="1"/>
  <c r="Y68" i="72"/>
  <c r="T68" i="72"/>
  <c r="S68" i="72"/>
  <c r="L68" i="72"/>
  <c r="P68" i="72"/>
  <c r="J68" i="72"/>
  <c r="F70" i="72"/>
  <c r="F71" i="72"/>
  <c r="S71" i="72" l="1"/>
  <c r="Z71" i="72"/>
  <c r="Z70" i="72"/>
  <c r="Y71" i="72"/>
  <c r="Y70" i="72"/>
  <c r="T71" i="72"/>
  <c r="H71" i="72"/>
  <c r="T70" i="72"/>
  <c r="H70" i="72"/>
  <c r="S70" i="72"/>
  <c r="Q71" i="72"/>
  <c r="G71" i="72"/>
  <c r="I71" i="72"/>
  <c r="Q70" i="72"/>
  <c r="G70" i="72"/>
  <c r="I70" i="72"/>
  <c r="E70" i="72"/>
  <c r="K70" i="72"/>
  <c r="E71" i="72"/>
  <c r="K71" i="72"/>
  <c r="M71" i="72" l="1"/>
  <c r="O71" i="72"/>
  <c r="L70" i="72"/>
  <c r="L71" i="72"/>
  <c r="M70" i="72"/>
  <c r="O70" i="72"/>
  <c r="N70" i="72" l="1"/>
  <c r="P70" i="72"/>
  <c r="J70" i="72"/>
  <c r="R70" i="72"/>
  <c r="N71" i="72"/>
  <c r="P71" i="72"/>
  <c r="R71" i="72"/>
  <c r="J71" i="72"/>
  <c r="E73" i="72"/>
  <c r="F74" i="72"/>
  <c r="Z74" i="72" l="1"/>
  <c r="Y74" i="72"/>
  <c r="Y73" i="72"/>
  <c r="T74" i="72"/>
  <c r="H74" i="72"/>
  <c r="T73" i="72"/>
  <c r="G73" i="72"/>
  <c r="I73" i="72"/>
  <c r="Z73" i="72"/>
  <c r="H73" i="72"/>
  <c r="Q74" i="72"/>
  <c r="G74" i="72"/>
  <c r="I74" i="72"/>
  <c r="Q73" i="72"/>
  <c r="S74" i="72"/>
  <c r="S73" i="72"/>
  <c r="F73" i="72"/>
  <c r="K73" i="72"/>
  <c r="E74" i="72"/>
  <c r="K74" i="72"/>
  <c r="L73" i="72"/>
  <c r="M73" i="72" l="1"/>
  <c r="O73" i="72"/>
  <c r="L74" i="72"/>
  <c r="M74" i="72"/>
  <c r="O74" i="72"/>
  <c r="N73" i="72" l="1"/>
  <c r="P73" i="72"/>
  <c r="R73" i="72"/>
  <c r="J73" i="72"/>
  <c r="N74" i="72"/>
  <c r="P74" i="72"/>
  <c r="R74" i="72"/>
  <c r="J74" i="72"/>
  <c r="F75" i="72"/>
  <c r="H75" i="72" l="1"/>
  <c r="G75" i="72"/>
  <c r="E75" i="72"/>
  <c r="O75" i="72"/>
  <c r="I75" i="72"/>
  <c r="K75" i="72"/>
  <c r="N75" i="72" l="1"/>
  <c r="Q75" i="72"/>
  <c r="M75" i="72"/>
  <c r="R75" i="72" l="1"/>
  <c r="Y75" i="72"/>
  <c r="T75" i="72"/>
  <c r="S75" i="72"/>
  <c r="F76" i="72"/>
  <c r="H76" i="72" l="1"/>
  <c r="G76" i="72"/>
  <c r="Z75" i="72"/>
  <c r="E76" i="72"/>
  <c r="O76" i="72"/>
  <c r="L75" i="72"/>
  <c r="P75" i="72"/>
  <c r="J75" i="72"/>
  <c r="I76" i="72"/>
  <c r="K76" i="72"/>
  <c r="N76" i="72" l="1"/>
  <c r="Q76" i="72"/>
  <c r="M76" i="72"/>
  <c r="R76" i="72" l="1"/>
  <c r="Y76" i="72"/>
  <c r="T76" i="72"/>
  <c r="S76" i="72"/>
  <c r="E77" i="72"/>
  <c r="G77" i="72" l="1"/>
  <c r="Z76" i="72"/>
  <c r="L76" i="72"/>
  <c r="P76" i="72"/>
  <c r="J76" i="72"/>
  <c r="M77" i="72"/>
  <c r="F77" i="72"/>
  <c r="H77" i="72" l="1"/>
  <c r="I77" i="72"/>
  <c r="N77" i="72"/>
  <c r="K77" i="72"/>
  <c r="O77" i="72"/>
  <c r="R77" i="72" l="1"/>
  <c r="Z77" i="72"/>
  <c r="Y77" i="72"/>
  <c r="T77" i="72"/>
  <c r="S77" i="72"/>
  <c r="L77" i="72" l="1"/>
  <c r="J77" i="72"/>
  <c r="P77" i="72"/>
  <c r="D59" i="72" l="1"/>
  <c r="D66" i="72"/>
  <c r="D62" i="72"/>
  <c r="D74" i="72"/>
  <c r="D60" i="72"/>
  <c r="D77" i="72"/>
  <c r="D65" i="72"/>
  <c r="D70" i="72"/>
  <c r="D67" i="72"/>
  <c r="D58" i="72"/>
  <c r="D64" i="72"/>
  <c r="D76" i="72"/>
  <c r="D71" i="72"/>
  <c r="D68" i="72"/>
  <c r="D73" i="72"/>
  <c r="D75" i="72"/>
  <c r="D63" i="72"/>
  <c r="D61" i="72"/>
  <c r="D57" i="72" l="1"/>
  <c r="E215" i="72" l="1"/>
  <c r="G215" i="72" l="1"/>
  <c r="M215" i="72"/>
  <c r="F215" i="72"/>
  <c r="N215" i="72" l="1"/>
  <c r="J215" i="72"/>
  <c r="L215" i="72"/>
  <c r="P215" i="72"/>
  <c r="R215" i="72"/>
  <c r="T215" i="72" l="1"/>
  <c r="S215" i="72"/>
  <c r="Q215" i="72"/>
  <c r="H215" i="72"/>
  <c r="Y215" i="72" l="1"/>
  <c r="X215" i="72"/>
  <c r="K215" i="72"/>
  <c r="I215" i="72"/>
  <c r="O215" i="72"/>
  <c r="E216" i="72" l="1"/>
  <c r="F216" i="72"/>
  <c r="H216" i="72" l="1"/>
  <c r="G216" i="72"/>
  <c r="J216" i="72"/>
  <c r="L216" i="72"/>
  <c r="Q216" i="72" l="1"/>
  <c r="K216" i="72"/>
  <c r="M216" i="72"/>
  <c r="R216" i="72"/>
  <c r="I216" i="72"/>
  <c r="O216" i="72" l="1"/>
  <c r="X216" i="72"/>
  <c r="S216" i="72"/>
  <c r="T216" i="72"/>
  <c r="N216" i="72"/>
  <c r="P216" i="72"/>
  <c r="E218" i="72"/>
  <c r="G218" i="72" l="1"/>
  <c r="X217" i="72"/>
  <c r="Q217" i="72"/>
  <c r="Y216" i="72"/>
  <c r="Y217" i="72"/>
  <c r="T217" i="72"/>
  <c r="G217" i="72"/>
  <c r="L217" i="72"/>
  <c r="H217" i="72"/>
  <c r="S217" i="72"/>
  <c r="E217" i="72"/>
  <c r="F217" i="72"/>
  <c r="M218" i="72"/>
  <c r="F218" i="72"/>
  <c r="K217" i="72" l="1"/>
  <c r="M217" i="72"/>
  <c r="O217" i="72"/>
  <c r="I217" i="72"/>
  <c r="H218" i="72" l="1"/>
  <c r="N218" i="72"/>
  <c r="N217" i="72"/>
  <c r="R217" i="72"/>
  <c r="J217" i="72"/>
  <c r="P217" i="72"/>
  <c r="J218" i="72"/>
  <c r="L218" i="72"/>
  <c r="Q218" i="72" l="1"/>
  <c r="P218" i="72"/>
  <c r="R218" i="72"/>
  <c r="Y218" i="72" l="1"/>
  <c r="X218" i="72"/>
  <c r="T218" i="72"/>
  <c r="S218" i="72"/>
  <c r="K218" i="72"/>
  <c r="O218" i="72"/>
  <c r="I218" i="72"/>
  <c r="E221" i="72"/>
  <c r="G221" i="72" l="1"/>
  <c r="M221" i="72"/>
  <c r="F221" i="72"/>
  <c r="H221" i="72" l="1"/>
  <c r="N221" i="72"/>
  <c r="J221" i="72"/>
  <c r="L221" i="72"/>
  <c r="P221" i="72"/>
  <c r="Q221" i="72" l="1"/>
  <c r="R221" i="72"/>
  <c r="Y221" i="72" l="1"/>
  <c r="X221" i="72"/>
  <c r="T221" i="72"/>
  <c r="S221" i="72"/>
  <c r="K221" i="72"/>
  <c r="I221" i="72"/>
  <c r="O221" i="72"/>
  <c r="E222" i="72"/>
  <c r="G222" i="72" l="1"/>
  <c r="M222" i="72"/>
  <c r="F222" i="72"/>
  <c r="H222" i="72" l="1"/>
  <c r="N222" i="72"/>
  <c r="J222" i="72"/>
  <c r="L222" i="72"/>
  <c r="P222" i="72"/>
  <c r="Q222" i="72" l="1"/>
  <c r="R222" i="72"/>
  <c r="Y222" i="72" l="1"/>
  <c r="X222" i="72"/>
  <c r="T222" i="72"/>
  <c r="S222" i="72"/>
  <c r="K222" i="72"/>
  <c r="I222" i="72"/>
  <c r="O222" i="72"/>
  <c r="E223" i="72"/>
  <c r="G223" i="72" l="1"/>
  <c r="M223" i="72"/>
  <c r="F223" i="72"/>
  <c r="H223" i="72" l="1"/>
  <c r="N223" i="72"/>
  <c r="I223" i="72"/>
  <c r="K223" i="72"/>
  <c r="O223" i="72"/>
  <c r="Q223" i="72" l="1"/>
  <c r="R223" i="72"/>
  <c r="Y223" i="72" l="1"/>
  <c r="X223" i="72"/>
  <c r="T223" i="72"/>
  <c r="S223" i="72"/>
  <c r="L223" i="72"/>
  <c r="J223" i="72"/>
  <c r="P223" i="72"/>
  <c r="E225" i="72" l="1"/>
  <c r="G225" i="72" l="1"/>
  <c r="M225" i="72"/>
  <c r="F225" i="72"/>
  <c r="H225" i="72" l="1"/>
  <c r="N225" i="72"/>
  <c r="J225" i="72"/>
  <c r="L225" i="72"/>
  <c r="P225" i="72"/>
  <c r="Q225" i="72" l="1"/>
  <c r="R225" i="72"/>
  <c r="Y225" i="72" l="1"/>
  <c r="X225" i="72"/>
  <c r="T225" i="72"/>
  <c r="S225" i="72"/>
  <c r="K225" i="72"/>
  <c r="I225" i="72"/>
  <c r="O225" i="72"/>
  <c r="G228" i="72" l="1"/>
  <c r="B228" i="72"/>
  <c r="M228" i="72"/>
  <c r="T228" i="72" l="1"/>
  <c r="S228" i="72"/>
  <c r="R228" i="72"/>
  <c r="Q228" i="72"/>
  <c r="H228" i="72"/>
  <c r="K228" i="72"/>
  <c r="T230" i="72" l="1"/>
  <c r="S230" i="72"/>
  <c r="R230" i="72"/>
  <c r="Q230" i="72"/>
  <c r="G230" i="72"/>
  <c r="B230" i="72"/>
  <c r="K230" i="72"/>
  <c r="H230" i="72"/>
  <c r="F230" i="72"/>
  <c r="E230" i="72"/>
  <c r="L230" i="72"/>
  <c r="F228" i="72"/>
  <c r="L228" i="72"/>
  <c r="J228" i="72"/>
  <c r="O228" i="72"/>
  <c r="N228" i="72"/>
  <c r="I228" i="72"/>
  <c r="T231" i="72" l="1"/>
  <c r="S231" i="72"/>
  <c r="R231" i="72"/>
  <c r="Q231" i="72"/>
  <c r="K231" i="72"/>
  <c r="B231" i="72"/>
  <c r="H231" i="72"/>
  <c r="G231" i="72"/>
  <c r="F231" i="72"/>
  <c r="E231" i="72"/>
  <c r="L231" i="72"/>
  <c r="M230" i="72"/>
  <c r="I230" i="72"/>
  <c r="O230" i="72"/>
  <c r="J230" i="72"/>
  <c r="P228" i="72"/>
  <c r="E234" i="72"/>
  <c r="T234" i="72" l="1"/>
  <c r="S234" i="72"/>
  <c r="R234" i="72"/>
  <c r="Q234" i="72"/>
  <c r="G234" i="72"/>
  <c r="B234" i="72"/>
  <c r="H234" i="72"/>
  <c r="K234" i="72"/>
  <c r="J234" i="72"/>
  <c r="N230" i="72"/>
  <c r="P230" i="72"/>
  <c r="M231" i="72"/>
  <c r="O231" i="72"/>
  <c r="I231" i="72"/>
  <c r="J231" i="72"/>
  <c r="F237" i="72"/>
  <c r="T237" i="72" l="1"/>
  <c r="S237" i="72"/>
  <c r="R237" i="72"/>
  <c r="Q237" i="72"/>
  <c r="G237" i="72"/>
  <c r="J237" i="72"/>
  <c r="B237" i="72"/>
  <c r="H237" i="72"/>
  <c r="K237" i="72"/>
  <c r="E237" i="72"/>
  <c r="L237" i="72"/>
  <c r="N231" i="72"/>
  <c r="P231" i="72"/>
  <c r="M234" i="72"/>
  <c r="O234" i="72"/>
  <c r="I234" i="72"/>
  <c r="F234" i="72"/>
  <c r="L234" i="72"/>
  <c r="N234" i="72" l="1"/>
  <c r="P234" i="72"/>
  <c r="M237" i="72"/>
  <c r="O237" i="72"/>
  <c r="I237" i="72"/>
  <c r="D217" i="72" l="1"/>
  <c r="D215" i="72"/>
  <c r="D223" i="72"/>
  <c r="D231" i="72"/>
  <c r="D222" i="72"/>
  <c r="D221" i="72"/>
  <c r="D218" i="72"/>
  <c r="D228" i="72"/>
  <c r="D234" i="72"/>
  <c r="D225" i="72"/>
  <c r="D230" i="72"/>
  <c r="D216" i="72"/>
  <c r="N237" i="72"/>
  <c r="P237" i="72"/>
  <c r="D237" i="72" l="1"/>
  <c r="I45" i="86" l="1"/>
  <c r="J45" i="86"/>
  <c r="L4" i="86"/>
  <c r="L45" i="86"/>
  <c r="B4" i="86"/>
  <c r="K1" i="86"/>
  <c r="P1" i="86"/>
  <c r="H4" i="86"/>
  <c r="R4" i="86"/>
  <c r="G1" i="86"/>
  <c r="S4" i="86"/>
  <c r="G4" i="86"/>
  <c r="I1" i="86"/>
  <c r="Q4" i="86"/>
  <c r="E1" i="86"/>
  <c r="J4" i="86" l="1"/>
  <c r="N4" i="86"/>
  <c r="M4" i="86" s="1"/>
  <c r="K45" i="86"/>
  <c r="K48" i="86" s="1"/>
  <c r="K4" i="86" s="1"/>
  <c r="T4" i="86"/>
  <c r="V4" i="86"/>
  <c r="AA4" i="86"/>
  <c r="W4" i="86"/>
  <c r="X4" i="86"/>
  <c r="Z4" i="86"/>
  <c r="U4" i="86"/>
  <c r="Y4" i="86"/>
  <c r="P4" i="86" l="1"/>
  <c r="O4" i="86"/>
  <c r="I4" i="86"/>
  <c r="I50" i="86"/>
  <c r="J50" i="86"/>
  <c r="L5" i="86"/>
  <c r="B5" i="86"/>
  <c r="H5" i="86"/>
  <c r="Q5" i="86"/>
  <c r="L50" i="86"/>
  <c r="S5" i="86"/>
  <c r="G5" i="86"/>
  <c r="R5" i="86"/>
  <c r="J5" i="86" l="1"/>
  <c r="N5" i="86"/>
  <c r="K50" i="86"/>
  <c r="K51" i="86" s="1"/>
  <c r="K5" i="86" s="1"/>
  <c r="T5" i="86"/>
  <c r="U5" i="86"/>
  <c r="Y5" i="86"/>
  <c r="V5" i="86"/>
  <c r="X5" i="86"/>
  <c r="AA5" i="86"/>
  <c r="Z5" i="86"/>
  <c r="W5" i="86"/>
  <c r="P5" i="86" l="1"/>
  <c r="M5" i="86"/>
  <c r="I5" i="86" s="1"/>
  <c r="I42" i="86"/>
  <c r="J42" i="86"/>
  <c r="L6" i="86"/>
  <c r="Q6" i="86"/>
  <c r="H6" i="86"/>
  <c r="R6" i="86"/>
  <c r="B6" i="86"/>
  <c r="L42" i="86"/>
  <c r="G6" i="86"/>
  <c r="S6" i="86"/>
  <c r="N6" i="86" l="1"/>
  <c r="J6" i="86"/>
  <c r="O5" i="86"/>
  <c r="K42" i="86"/>
  <c r="K43" i="86" s="1"/>
  <c r="K6" i="86" s="1"/>
  <c r="T6" i="86"/>
  <c r="U6" i="86"/>
  <c r="W6" i="86"/>
  <c r="X6" i="86"/>
  <c r="Z6" i="86"/>
  <c r="V6" i="86"/>
  <c r="AA6" i="86"/>
  <c r="Y6" i="86"/>
  <c r="M6" i="86" l="1"/>
  <c r="O6" i="86" s="1"/>
  <c r="P6" i="86"/>
  <c r="I39" i="86"/>
  <c r="J39" i="86" s="1"/>
  <c r="L7" i="86"/>
  <c r="L39" i="86"/>
  <c r="S7" i="86"/>
  <c r="B7" i="86"/>
  <c r="G7" i="86"/>
  <c r="R7" i="86"/>
  <c r="H7" i="86"/>
  <c r="Q7" i="86"/>
  <c r="I6" i="86" l="1"/>
  <c r="N7" i="86"/>
  <c r="J7" i="86"/>
  <c r="K39" i="86"/>
  <c r="K40" i="86" s="1"/>
  <c r="K7" i="86" s="1"/>
  <c r="T7" i="86"/>
  <c r="AA7" i="86"/>
  <c r="U7" i="86"/>
  <c r="X7" i="86"/>
  <c r="W7" i="86"/>
  <c r="Y7" i="86"/>
  <c r="V7" i="86"/>
  <c r="Z7" i="86"/>
  <c r="M7" i="86" l="1"/>
  <c r="I7" i="86" s="1"/>
  <c r="P7" i="86"/>
  <c r="I56" i="86"/>
  <c r="J56" i="86"/>
  <c r="L8" i="86"/>
  <c r="B8" i="86"/>
  <c r="G8" i="86"/>
  <c r="R8" i="86"/>
  <c r="L56" i="86"/>
  <c r="H8" i="86"/>
  <c r="Q8" i="86"/>
  <c r="S8" i="86"/>
  <c r="O7" i="86" l="1"/>
  <c r="N8" i="86"/>
  <c r="M8" i="86" s="1"/>
  <c r="J8" i="86"/>
  <c r="K56" i="86"/>
  <c r="K57" i="86" s="1"/>
  <c r="K8" i="86" s="1"/>
  <c r="T8" i="86"/>
  <c r="U8" i="86"/>
  <c r="P8" i="86" l="1"/>
  <c r="I8" i="86"/>
  <c r="O8" i="86"/>
  <c r="I53" i="86"/>
  <c r="J53" i="86" s="1"/>
  <c r="L9" i="86"/>
  <c r="W8" i="86"/>
  <c r="B9" i="86"/>
  <c r="Z8" i="86"/>
  <c r="Q9" i="86"/>
  <c r="H9" i="86"/>
  <c r="L53" i="86"/>
  <c r="R9" i="86"/>
  <c r="AA8" i="86"/>
  <c r="Y8" i="86"/>
  <c r="X8" i="86"/>
  <c r="V8" i="86"/>
  <c r="S9" i="86"/>
  <c r="G9" i="86"/>
  <c r="N9" i="86" l="1"/>
  <c r="J9" i="86"/>
  <c r="K53" i="86"/>
  <c r="K54" i="86" s="1"/>
  <c r="K9" i="86" s="1"/>
  <c r="T9" i="86"/>
  <c r="U9" i="86"/>
  <c r="Y9" i="86"/>
  <c r="X9" i="86"/>
  <c r="AA9" i="86"/>
  <c r="W9" i="86"/>
  <c r="Z9" i="86"/>
  <c r="V9" i="86"/>
  <c r="P9" i="86" l="1"/>
  <c r="M9" i="86"/>
  <c r="I9" i="86" s="1"/>
  <c r="N11" i="86"/>
  <c r="D9" i="86" s="1"/>
  <c r="K11" i="86"/>
  <c r="L11" i="86"/>
  <c r="O11" i="86"/>
  <c r="P11" i="86"/>
  <c r="K17" i="86"/>
  <c r="L17" i="86"/>
  <c r="B17" i="86"/>
  <c r="G17" i="86"/>
  <c r="R17" i="86"/>
  <c r="S17" i="86"/>
  <c r="Q17" i="86"/>
  <c r="H17" i="86"/>
  <c r="D10" i="86" l="1"/>
  <c r="O9" i="86"/>
  <c r="N17" i="86"/>
  <c r="D17" i="86" s="1"/>
  <c r="J17" i="86"/>
  <c r="P12" i="86"/>
  <c r="D4" i="86"/>
  <c r="D5" i="86"/>
  <c r="D6" i="86"/>
  <c r="D7" i="86"/>
  <c r="D8" i="86"/>
  <c r="M11" i="86"/>
  <c r="O12" i="86" s="1"/>
  <c r="T17" i="86"/>
  <c r="AA17" i="86"/>
  <c r="Z17" i="86"/>
  <c r="W17" i="86"/>
  <c r="U17" i="86"/>
  <c r="V17" i="86"/>
  <c r="X17" i="86"/>
  <c r="Y17" i="86"/>
  <c r="P17" i="86" l="1"/>
  <c r="M17" i="86"/>
  <c r="I17" i="86" s="1"/>
  <c r="Q11" i="86"/>
  <c r="D11" i="86"/>
  <c r="K18" i="86"/>
  <c r="L18" i="86"/>
  <c r="G18" i="86"/>
  <c r="R18" i="86"/>
  <c r="S18" i="86"/>
  <c r="H18" i="86"/>
  <c r="B18" i="86"/>
  <c r="O17" i="86" l="1"/>
  <c r="J18" i="86"/>
  <c r="N18" i="86"/>
  <c r="D18" i="86" s="1"/>
  <c r="T18" i="86"/>
  <c r="U18" i="86"/>
  <c r="W18" i="86"/>
  <c r="Z18" i="86"/>
  <c r="Y18" i="86"/>
  <c r="V18" i="86"/>
  <c r="AA18" i="86"/>
  <c r="X18" i="86"/>
  <c r="Q18" i="86"/>
  <c r="P18" i="86" l="1"/>
  <c r="M18" i="86"/>
  <c r="O18" i="86" s="1"/>
  <c r="K19" i="86"/>
  <c r="L19" i="86"/>
  <c r="B19" i="86"/>
  <c r="S19" i="86"/>
  <c r="R19" i="86"/>
  <c r="H19" i="86"/>
  <c r="G19" i="86"/>
  <c r="I18" i="86" l="1"/>
  <c r="N19" i="86"/>
  <c r="D19" i="86" s="1"/>
  <c r="J19" i="86"/>
  <c r="T19" i="86"/>
  <c r="AA19" i="86"/>
  <c r="W19" i="86"/>
  <c r="Z19" i="86"/>
  <c r="V19" i="86"/>
  <c r="Y19" i="86"/>
  <c r="U19" i="86"/>
  <c r="X19" i="86"/>
  <c r="Q19" i="86"/>
  <c r="P19" i="86" l="1"/>
  <c r="M19" i="86"/>
  <c r="O19" i="86" s="1"/>
  <c r="K20" i="86"/>
  <c r="L20" i="86"/>
  <c r="R20" i="86"/>
  <c r="H20" i="86"/>
  <c r="S20" i="86"/>
  <c r="G20" i="86"/>
  <c r="B20" i="86"/>
  <c r="I19" i="86" l="1"/>
  <c r="N20" i="86"/>
  <c r="P20" i="86" s="1"/>
  <c r="J20" i="86"/>
  <c r="T20" i="86"/>
  <c r="K21" i="86"/>
  <c r="L21" i="86"/>
  <c r="U20" i="86"/>
  <c r="G21" i="86"/>
  <c r="Y20" i="86"/>
  <c r="V20" i="86"/>
  <c r="B21" i="86"/>
  <c r="R21" i="86"/>
  <c r="W20" i="86"/>
  <c r="AA20" i="86"/>
  <c r="X20" i="86"/>
  <c r="Z20" i="86"/>
  <c r="H21" i="86"/>
  <c r="S21" i="86"/>
  <c r="Q20" i="86"/>
  <c r="J21" i="86" l="1"/>
  <c r="N21" i="86"/>
  <c r="D21" i="86" s="1"/>
  <c r="D20" i="86"/>
  <c r="M20" i="86"/>
  <c r="T21" i="86"/>
  <c r="U21" i="86"/>
  <c r="Q21" i="86"/>
  <c r="M21" i="86" l="1"/>
  <c r="I21" i="86" s="1"/>
  <c r="P21" i="86"/>
  <c r="O20" i="86"/>
  <c r="I20" i="86"/>
  <c r="K22" i="86"/>
  <c r="L22" i="86"/>
  <c r="X21" i="86"/>
  <c r="AA21" i="86"/>
  <c r="B22" i="86"/>
  <c r="G22" i="86"/>
  <c r="V21" i="86"/>
  <c r="R22" i="86"/>
  <c r="W21" i="86"/>
  <c r="Y21" i="86"/>
  <c r="Q22" i="86"/>
  <c r="S22" i="86"/>
  <c r="Z21" i="86"/>
  <c r="H22" i="86"/>
  <c r="O21" i="86" l="1"/>
  <c r="N22" i="86"/>
  <c r="P22" i="86" s="1"/>
  <c r="P24" i="86" s="1"/>
  <c r="J22" i="86"/>
  <c r="T22" i="86"/>
  <c r="D23" i="86"/>
  <c r="K24" i="86"/>
  <c r="O25" i="86" s="1"/>
  <c r="L24" i="86"/>
  <c r="P25" i="86" s="1"/>
  <c r="O24" i="86"/>
  <c r="H31" i="86"/>
  <c r="I31" i="86"/>
  <c r="J31" i="86"/>
  <c r="M31" i="86"/>
  <c r="N31" i="86"/>
  <c r="P31" i="86" s="1"/>
  <c r="F40" i="86"/>
  <c r="J40" i="86"/>
  <c r="H40" i="86" s="1"/>
  <c r="I40" i="86"/>
  <c r="F43" i="86"/>
  <c r="J43" i="86"/>
  <c r="H43" i="86"/>
  <c r="I43" i="86"/>
  <c r="I46" i="86"/>
  <c r="I48" i="86" s="1"/>
  <c r="J46" i="86"/>
  <c r="J48" i="86" s="1"/>
  <c r="H48" i="86" s="1"/>
  <c r="I47" i="86"/>
  <c r="J47" i="86"/>
  <c r="F48" i="86"/>
  <c r="F51" i="86"/>
  <c r="J51" i="86"/>
  <c r="H51" i="86" s="1"/>
  <c r="I51" i="86"/>
  <c r="F54" i="86"/>
  <c r="J54" i="86"/>
  <c r="H54" i="86"/>
  <c r="I54" i="86"/>
  <c r="F57" i="86"/>
  <c r="J57" i="86"/>
  <c r="H57" i="86"/>
  <c r="I57" i="86"/>
  <c r="G46" i="86"/>
  <c r="D56" i="86"/>
  <c r="M50" i="86"/>
  <c r="L46" i="86"/>
  <c r="G47" i="86"/>
  <c r="U22" i="86"/>
  <c r="D45" i="86"/>
  <c r="O31" i="86"/>
  <c r="D53" i="86"/>
  <c r="D42" i="86"/>
  <c r="G53" i="86"/>
  <c r="G50" i="86"/>
  <c r="L47" i="86"/>
  <c r="M53" i="86"/>
  <c r="AA22" i="86"/>
  <c r="P1" i="91"/>
  <c r="W22" i="86"/>
  <c r="G1" i="91"/>
  <c r="M39" i="86"/>
  <c r="R31" i="86"/>
  <c r="M56" i="86"/>
  <c r="I1" i="91"/>
  <c r="V22" i="86"/>
  <c r="X22" i="86"/>
  <c r="D39" i="86"/>
  <c r="M45" i="86"/>
  <c r="Z22" i="86"/>
  <c r="Y22" i="86"/>
  <c r="G56" i="86"/>
  <c r="G39" i="86"/>
  <c r="B4" i="91"/>
  <c r="M46" i="86"/>
  <c r="B31" i="86"/>
  <c r="G45" i="86"/>
  <c r="D50" i="86"/>
  <c r="M42" i="86"/>
  <c r="K1" i="91"/>
  <c r="E1" i="91"/>
  <c r="D47" i="86"/>
  <c r="E31" i="86"/>
  <c r="M47" i="86"/>
  <c r="D46" i="86"/>
  <c r="G42" i="86"/>
  <c r="N24" i="86" l="1"/>
  <c r="D22" i="86"/>
  <c r="M22" i="86"/>
  <c r="K47" i="86"/>
  <c r="K46" i="86"/>
  <c r="F32" i="91"/>
  <c r="E4" i="91" s="1"/>
  <c r="I31" i="91"/>
  <c r="I32" i="91"/>
  <c r="H32" i="91"/>
  <c r="F4" i="91"/>
  <c r="K4" i="91"/>
  <c r="S4" i="91"/>
  <c r="H4" i="91"/>
  <c r="X4" i="91"/>
  <c r="W4" i="91"/>
  <c r="R4" i="91"/>
  <c r="U4" i="91"/>
  <c r="V4" i="91"/>
  <c r="T4" i="91"/>
  <c r="G4" i="91"/>
  <c r="L31" i="91"/>
  <c r="I4" i="91" l="1"/>
  <c r="M4" i="91"/>
  <c r="O22" i="86"/>
  <c r="M24" i="86"/>
  <c r="I22" i="86"/>
  <c r="Q24" i="86"/>
  <c r="D24" i="86"/>
  <c r="J31" i="91"/>
  <c r="J32" i="91" s="1"/>
  <c r="L4" i="91" s="1"/>
  <c r="F26" i="91"/>
  <c r="E5" i="91"/>
  <c r="B5" i="91"/>
  <c r="G5" i="91"/>
  <c r="O4" i="91" l="1"/>
  <c r="N4" i="91"/>
  <c r="P4" i="91" s="1"/>
  <c r="Q4" i="91" s="1"/>
  <c r="M5" i="91"/>
  <c r="I25" i="91"/>
  <c r="J25" i="91" s="1"/>
  <c r="I26" i="91"/>
  <c r="H26" i="91"/>
  <c r="F5" i="91" s="1"/>
  <c r="H5" i="91"/>
  <c r="R5" i="91"/>
  <c r="L25" i="91"/>
  <c r="J4" i="91" l="1"/>
  <c r="N9" i="91"/>
  <c r="D4" i="91" s="1"/>
  <c r="K25" i="91"/>
  <c r="K26" i="91" s="1"/>
  <c r="K5" i="91" s="1"/>
  <c r="O5" i="91" s="1"/>
  <c r="J5" i="91"/>
  <c r="L5" i="91"/>
  <c r="N5" i="91"/>
  <c r="X5" i="91"/>
  <c r="V5" i="91"/>
  <c r="W5" i="91"/>
  <c r="S5" i="91"/>
  <c r="T5" i="91"/>
  <c r="U5" i="91"/>
  <c r="P5" i="91" l="1"/>
  <c r="Q5" i="91" s="1"/>
  <c r="D5" i="91"/>
  <c r="I5" i="91"/>
  <c r="F23" i="91"/>
  <c r="E6" i="91"/>
  <c r="I21" i="91"/>
  <c r="J21" i="91" s="1"/>
  <c r="I22" i="91"/>
  <c r="I23" i="91" s="1"/>
  <c r="H23" i="91" s="1"/>
  <c r="F6" i="91" s="1"/>
  <c r="W6" i="91"/>
  <c r="L21" i="91"/>
  <c r="G6" i="91"/>
  <c r="U6" i="91"/>
  <c r="S6" i="91"/>
  <c r="R6" i="91"/>
  <c r="B6" i="91"/>
  <c r="V6" i="91"/>
  <c r="H6" i="91"/>
  <c r="T6" i="91"/>
  <c r="X6" i="91"/>
  <c r="M6" i="91" l="1"/>
  <c r="N6" i="91" s="1"/>
  <c r="P6" i="91" s="1"/>
  <c r="Q6" i="91" s="1"/>
  <c r="K21" i="91"/>
  <c r="K23" i="91" s="1"/>
  <c r="K6" i="91" s="1"/>
  <c r="L6" i="91"/>
  <c r="J6" i="91"/>
  <c r="F29" i="91"/>
  <c r="E7" i="91" s="1"/>
  <c r="I28" i="91"/>
  <c r="J28" i="91" s="1"/>
  <c r="I29" i="91"/>
  <c r="H29" i="91" s="1"/>
  <c r="F7" i="91" s="1"/>
  <c r="L28" i="91"/>
  <c r="R7" i="91"/>
  <c r="H7" i="91"/>
  <c r="G7" i="91"/>
  <c r="B7" i="91"/>
  <c r="O6" i="91" l="1"/>
  <c r="D6" i="91"/>
  <c r="I6" i="91"/>
  <c r="M7" i="91"/>
  <c r="N7" i="91" s="1"/>
  <c r="D7" i="91" s="1"/>
  <c r="K28" i="91"/>
  <c r="K29" i="91" s="1"/>
  <c r="K7" i="91" s="1"/>
  <c r="J7" i="91"/>
  <c r="L7" i="91"/>
  <c r="V7" i="91"/>
  <c r="S7" i="91"/>
  <c r="X7" i="91"/>
  <c r="W7" i="91"/>
  <c r="T7" i="91"/>
  <c r="U7" i="91"/>
  <c r="P7" i="91" l="1"/>
  <c r="Q7" i="91" s="1"/>
  <c r="O7" i="91"/>
  <c r="I7" i="91"/>
  <c r="D8" i="91"/>
  <c r="D9" i="91"/>
  <c r="L9" i="91"/>
  <c r="P10" i="91" s="1"/>
  <c r="O9" i="91"/>
  <c r="P9" i="91"/>
  <c r="Q9" i="91"/>
  <c r="J22" i="91"/>
  <c r="J26" i="91"/>
  <c r="J29" i="91"/>
  <c r="M28" i="91"/>
  <c r="G21" i="91"/>
  <c r="D22" i="91"/>
  <c r="M25" i="91"/>
  <c r="M22" i="91"/>
  <c r="D21" i="91"/>
  <c r="M21" i="91"/>
  <c r="L22" i="91"/>
  <c r="D28" i="91"/>
  <c r="G31" i="91"/>
  <c r="G25" i="91"/>
  <c r="G22" i="91"/>
  <c r="G28" i="91"/>
  <c r="D25" i="91"/>
  <c r="D31" i="91"/>
  <c r="K22" i="91" l="1"/>
  <c r="J23" i="91"/>
  <c r="K31" i="91"/>
  <c r="K32" i="91"/>
  <c r="M31" i="91"/>
  <c r="G1" i="102"/>
  <c r="K1" i="102"/>
  <c r="P1" i="102"/>
  <c r="F2" i="102"/>
  <c r="I1" i="102"/>
  <c r="F78" i="102" l="1"/>
  <c r="E4" i="102"/>
  <c r="I71" i="102"/>
  <c r="I78" i="102" s="1"/>
  <c r="H78" i="102" s="1"/>
  <c r="F4" i="102" s="1"/>
  <c r="I72" i="102"/>
  <c r="I73" i="102"/>
  <c r="I74" i="102"/>
  <c r="I75" i="102"/>
  <c r="I76" i="102"/>
  <c r="I77" i="102"/>
  <c r="H2" i="102"/>
  <c r="G4" i="102"/>
  <c r="H4" i="102"/>
  <c r="M4" i="102" l="1"/>
  <c r="N4" i="102" s="1"/>
  <c r="I4" i="102"/>
  <c r="K4" i="102"/>
  <c r="Q4" i="102"/>
  <c r="L71" i="102"/>
  <c r="O4" i="102" l="1"/>
  <c r="J71" i="102"/>
  <c r="J78" i="102" s="1"/>
  <c r="L4" i="102" s="1"/>
  <c r="P4" i="102" s="1"/>
  <c r="R4" i="102"/>
  <c r="F69" i="102"/>
  <c r="E5" i="102"/>
  <c r="I64" i="102"/>
  <c r="I65" i="102"/>
  <c r="I66" i="102"/>
  <c r="I67" i="102"/>
  <c r="I68" i="102"/>
  <c r="V4" i="102"/>
  <c r="S5" i="102"/>
  <c r="U5" i="102"/>
  <c r="L64" i="102"/>
  <c r="U4" i="102"/>
  <c r="Y4" i="102"/>
  <c r="S4" i="102"/>
  <c r="T4" i="102"/>
  <c r="H5" i="102"/>
  <c r="Y5" i="102"/>
  <c r="G5" i="102"/>
  <c r="Z4" i="102"/>
  <c r="AA4" i="102"/>
  <c r="X5" i="102"/>
  <c r="Q5" i="102"/>
  <c r="T5" i="102"/>
  <c r="X4" i="102"/>
  <c r="W4" i="102"/>
  <c r="W5" i="102"/>
  <c r="V5" i="102"/>
  <c r="J4" i="102" l="1"/>
  <c r="AD4" i="102"/>
  <c r="M5" i="102"/>
  <c r="J64" i="102"/>
  <c r="J69" i="102" s="1"/>
  <c r="L5" i="102" s="1"/>
  <c r="I69" i="102"/>
  <c r="H69" i="102" s="1"/>
  <c r="F5" i="102" s="1"/>
  <c r="K5" i="102" s="1"/>
  <c r="AA5" i="102"/>
  <c r="Z5" i="102"/>
  <c r="N5" i="102" l="1"/>
  <c r="O5" i="102"/>
  <c r="I5" i="102"/>
  <c r="AD5" i="102"/>
  <c r="F53" i="102"/>
  <c r="E6" i="102"/>
  <c r="I52" i="102"/>
  <c r="J52" i="102"/>
  <c r="I46" i="102"/>
  <c r="J46" i="102" s="1"/>
  <c r="J47" i="102" s="1"/>
  <c r="L6" i="102" s="1"/>
  <c r="S6" i="102"/>
  <c r="B6" i="102"/>
  <c r="T6" i="102"/>
  <c r="X6" i="102"/>
  <c r="U6" i="102"/>
  <c r="W6" i="102"/>
  <c r="V6" i="102"/>
  <c r="Q6" i="102"/>
  <c r="H6" i="102"/>
  <c r="L52" i="102"/>
  <c r="R6" i="102"/>
  <c r="G6" i="102"/>
  <c r="K52" i="102" l="1"/>
  <c r="K53" i="102" s="1"/>
  <c r="K6" i="102" s="1"/>
  <c r="M6" i="102"/>
  <c r="J53" i="102"/>
  <c r="H53" i="102" s="1"/>
  <c r="F6" i="102" s="1"/>
  <c r="J6" i="102" s="1"/>
  <c r="P5" i="102"/>
  <c r="R5" i="102"/>
  <c r="J5" i="102"/>
  <c r="F47" i="102"/>
  <c r="H47" i="102" s="1"/>
  <c r="F7" i="102" s="1"/>
  <c r="E7" i="102"/>
  <c r="L7" i="102"/>
  <c r="S7" i="102"/>
  <c r="V7" i="102"/>
  <c r="U7" i="102"/>
  <c r="R7" i="102"/>
  <c r="H7" i="102"/>
  <c r="B7" i="102"/>
  <c r="T7" i="102"/>
  <c r="W7" i="102"/>
  <c r="L46" i="102"/>
  <c r="X7" i="102"/>
  <c r="Q7" i="102"/>
  <c r="G7" i="102"/>
  <c r="J7" i="102" l="1"/>
  <c r="M7" i="102"/>
  <c r="K46" i="102"/>
  <c r="K47" i="102" s="1"/>
  <c r="K7" i="102" s="1"/>
  <c r="N6" i="102"/>
  <c r="I6" i="102"/>
  <c r="O6" i="102"/>
  <c r="F38" i="102"/>
  <c r="E8" i="102" s="1"/>
  <c r="I37" i="102"/>
  <c r="J37" i="102"/>
  <c r="J38" i="102"/>
  <c r="H38" i="102" s="1"/>
  <c r="F8" i="102" s="1"/>
  <c r="R8" i="102"/>
  <c r="W8" i="102"/>
  <c r="G8" i="102"/>
  <c r="T8" i="102"/>
  <c r="H8" i="102"/>
  <c r="L37" i="102"/>
  <c r="V8" i="102"/>
  <c r="X8" i="102"/>
  <c r="B8" i="102"/>
  <c r="Q8" i="102"/>
  <c r="U8" i="102"/>
  <c r="S8" i="102"/>
  <c r="J8" i="102" l="1"/>
  <c r="M8" i="102"/>
  <c r="K37" i="102"/>
  <c r="K38" i="102" s="1"/>
  <c r="K8" i="102" s="1"/>
  <c r="P6" i="102"/>
  <c r="L8" i="102"/>
  <c r="N7" i="102"/>
  <c r="I7" i="102"/>
  <c r="O7" i="102"/>
  <c r="F35" i="102"/>
  <c r="E9" i="102"/>
  <c r="I34" i="102"/>
  <c r="J34" i="102"/>
  <c r="J35" i="102"/>
  <c r="H35" i="102"/>
  <c r="F9" i="102"/>
  <c r="L9" i="102"/>
  <c r="L34" i="102"/>
  <c r="B9" i="102"/>
  <c r="T9" i="102"/>
  <c r="H9" i="102"/>
  <c r="V9" i="102"/>
  <c r="U9" i="102"/>
  <c r="W9" i="102"/>
  <c r="R9" i="102"/>
  <c r="Q9" i="102"/>
  <c r="G9" i="102"/>
  <c r="S9" i="102"/>
  <c r="X9" i="102"/>
  <c r="J9" i="102" l="1"/>
  <c r="K34" i="102"/>
  <c r="K35" i="102" s="1"/>
  <c r="K9" i="102" s="1"/>
  <c r="M9" i="102"/>
  <c r="P7" i="102"/>
  <c r="N8" i="102"/>
  <c r="O8" i="102"/>
  <c r="I8" i="102"/>
  <c r="F50" i="102"/>
  <c r="E10" i="102"/>
  <c r="I49" i="102"/>
  <c r="J49" i="102" s="1"/>
  <c r="L10" i="102"/>
  <c r="L49" i="102"/>
  <c r="X10" i="102"/>
  <c r="B10" i="102"/>
  <c r="T10" i="102"/>
  <c r="Q10" i="102"/>
  <c r="G10" i="102"/>
  <c r="H10" i="102"/>
  <c r="S10" i="102"/>
  <c r="V10" i="102"/>
  <c r="U10" i="102"/>
  <c r="R10" i="102"/>
  <c r="W10" i="102"/>
  <c r="M10" i="102" l="1"/>
  <c r="J50" i="102"/>
  <c r="H50" i="102" s="1"/>
  <c r="F10" i="102" s="1"/>
  <c r="J10" i="102" s="1"/>
  <c r="K49" i="102"/>
  <c r="K50" i="102" s="1"/>
  <c r="K10" i="102" s="1"/>
  <c r="P8" i="102"/>
  <c r="I9" i="102"/>
  <c r="O9" i="102"/>
  <c r="N9" i="102"/>
  <c r="F56" i="102"/>
  <c r="E11" i="102"/>
  <c r="I55" i="102"/>
  <c r="J55" i="102"/>
  <c r="J56" i="102"/>
  <c r="H56" i="102"/>
  <c r="F11" i="102"/>
  <c r="L11" i="102"/>
  <c r="W11" i="102"/>
  <c r="R11" i="102"/>
  <c r="V11" i="102"/>
  <c r="T11" i="102"/>
  <c r="S11" i="102"/>
  <c r="G11" i="102"/>
  <c r="H11" i="102"/>
  <c r="Q11" i="102"/>
  <c r="X11" i="102"/>
  <c r="L55" i="102"/>
  <c r="B11" i="102"/>
  <c r="U11" i="102"/>
  <c r="K55" i="102" l="1"/>
  <c r="K56" i="102" s="1"/>
  <c r="K11" i="102" s="1"/>
  <c r="J11" i="102"/>
  <c r="M11" i="102"/>
  <c r="I10" i="102"/>
  <c r="O10" i="102"/>
  <c r="N10" i="102"/>
  <c r="P9" i="102"/>
  <c r="F32" i="102"/>
  <c r="E12" i="102"/>
  <c r="I31" i="102"/>
  <c r="J31" i="102" s="1"/>
  <c r="L31" i="102"/>
  <c r="X12" i="102"/>
  <c r="B12" i="102"/>
  <c r="G12" i="102"/>
  <c r="H12" i="102"/>
  <c r="V12" i="102"/>
  <c r="Q12" i="102"/>
  <c r="R12" i="102"/>
  <c r="T12" i="102"/>
  <c r="W12" i="102"/>
  <c r="U12" i="102"/>
  <c r="S12" i="102"/>
  <c r="M12" i="102" l="1"/>
  <c r="J32" i="102"/>
  <c r="H32" i="102" s="1"/>
  <c r="F12" i="102" s="1"/>
  <c r="L12" i="102" s="1"/>
  <c r="K31" i="102"/>
  <c r="K32" i="102" s="1"/>
  <c r="K12" i="102" s="1"/>
  <c r="P10" i="102"/>
  <c r="I11" i="102"/>
  <c r="O11" i="102"/>
  <c r="N11" i="102"/>
  <c r="F41" i="102"/>
  <c r="E13" i="102"/>
  <c r="I40" i="102"/>
  <c r="J40" i="102"/>
  <c r="J41" i="102" s="1"/>
  <c r="H41" i="102" s="1"/>
  <c r="F13" i="102" s="1"/>
  <c r="H13" i="102"/>
  <c r="X13" i="102"/>
  <c r="S13" i="102"/>
  <c r="R13" i="102"/>
  <c r="B13" i="102"/>
  <c r="V13" i="102"/>
  <c r="W13" i="102"/>
  <c r="U13" i="102"/>
  <c r="T13" i="102"/>
  <c r="G13" i="102"/>
  <c r="Q13" i="102"/>
  <c r="L40" i="102"/>
  <c r="K40" i="102" l="1"/>
  <c r="K41" i="102" s="1"/>
  <c r="K13" i="102" s="1"/>
  <c r="J13" i="102"/>
  <c r="L13" i="102"/>
  <c r="M13" i="102"/>
  <c r="O12" i="102"/>
  <c r="I12" i="102"/>
  <c r="N12" i="102"/>
  <c r="P11" i="102"/>
  <c r="J12" i="102"/>
  <c r="F44" i="102"/>
  <c r="E14" i="102"/>
  <c r="I43" i="102"/>
  <c r="J43" i="102"/>
  <c r="J44" i="102"/>
  <c r="H44" i="102"/>
  <c r="F14" i="102" s="1"/>
  <c r="U14" i="102"/>
  <c r="T14" i="102"/>
  <c r="S14" i="102"/>
  <c r="H14" i="102"/>
  <c r="X14" i="102"/>
  <c r="V14" i="102"/>
  <c r="B14" i="102"/>
  <c r="L43" i="102"/>
  <c r="W14" i="102"/>
  <c r="Q14" i="102"/>
  <c r="R14" i="102"/>
  <c r="G14" i="102"/>
  <c r="J14" i="102" l="1"/>
  <c r="K43" i="102"/>
  <c r="K44" i="102" s="1"/>
  <c r="K14" i="102" s="1"/>
  <c r="L14" i="102"/>
  <c r="M14" i="102"/>
  <c r="P12" i="102"/>
  <c r="I13" i="102"/>
  <c r="O13" i="102"/>
  <c r="N13" i="102"/>
  <c r="F62" i="102"/>
  <c r="E15" i="102"/>
  <c r="I61" i="102"/>
  <c r="J61" i="102"/>
  <c r="J62" i="102" s="1"/>
  <c r="H62" i="102" s="1"/>
  <c r="F15" i="102" s="1"/>
  <c r="L15" i="102" s="1"/>
  <c r="R15" i="102"/>
  <c r="B15" i="102"/>
  <c r="W15" i="102"/>
  <c r="V15" i="102"/>
  <c r="T15" i="102"/>
  <c r="L61" i="102"/>
  <c r="G15" i="102"/>
  <c r="S15" i="102"/>
  <c r="H15" i="102"/>
  <c r="X15" i="102"/>
  <c r="U15" i="102"/>
  <c r="Q15" i="102"/>
  <c r="K61" i="102" l="1"/>
  <c r="K62" i="102" s="1"/>
  <c r="K15" i="102" s="1"/>
  <c r="J15" i="102"/>
  <c r="M15" i="102"/>
  <c r="I14" i="102"/>
  <c r="O14" i="102"/>
  <c r="N14" i="102"/>
  <c r="P13" i="102"/>
  <c r="F59" i="102"/>
  <c r="E16" i="102"/>
  <c r="I58" i="102"/>
  <c r="J58" i="102" s="1"/>
  <c r="Q16" i="102"/>
  <c r="H16" i="102"/>
  <c r="B16" i="102"/>
  <c r="R16" i="102"/>
  <c r="L58" i="102"/>
  <c r="G16" i="102"/>
  <c r="M16" i="102" l="1"/>
  <c r="J59" i="102"/>
  <c r="H59" i="102" s="1"/>
  <c r="F16" i="102" s="1"/>
  <c r="L16" i="102" s="1"/>
  <c r="K58" i="102"/>
  <c r="K59" i="102" s="1"/>
  <c r="K16" i="102" s="1"/>
  <c r="P14" i="102"/>
  <c r="I15" i="102"/>
  <c r="O15" i="102"/>
  <c r="N15" i="102"/>
  <c r="T16" i="102"/>
  <c r="X16" i="102"/>
  <c r="S16" i="102"/>
  <c r="V16" i="102"/>
  <c r="W16" i="102"/>
  <c r="U16" i="102"/>
  <c r="P15" i="102" l="1"/>
  <c r="J16" i="102"/>
  <c r="O16" i="102"/>
  <c r="I16" i="102"/>
  <c r="N16" i="102"/>
  <c r="N17" i="102"/>
  <c r="K18" i="102"/>
  <c r="L18" i="102"/>
  <c r="M18" i="102"/>
  <c r="O18" i="102"/>
  <c r="P18" i="102"/>
  <c r="P24" i="102"/>
  <c r="I32" i="102"/>
  <c r="I35" i="102"/>
  <c r="I38" i="102"/>
  <c r="I41" i="102"/>
  <c r="I44" i="102"/>
  <c r="I47" i="102"/>
  <c r="I50" i="102"/>
  <c r="I53" i="102"/>
  <c r="I56" i="102"/>
  <c r="I59" i="102"/>
  <c r="I62" i="102"/>
  <c r="M31" i="102"/>
  <c r="D61" i="102"/>
  <c r="D34" i="102"/>
  <c r="M37" i="102"/>
  <c r="D58" i="102"/>
  <c r="M55" i="102"/>
  <c r="D40" i="102"/>
  <c r="G61" i="102"/>
  <c r="M49" i="102"/>
  <c r="D37" i="102"/>
  <c r="M43" i="102"/>
  <c r="G46" i="102"/>
  <c r="D31" i="102"/>
  <c r="M61" i="102"/>
  <c r="G40" i="102"/>
  <c r="D43" i="102"/>
  <c r="G34" i="102"/>
  <c r="G52" i="102"/>
  <c r="D46" i="102"/>
  <c r="G58" i="102"/>
  <c r="G37" i="102"/>
  <c r="D64" i="102"/>
  <c r="D52" i="102"/>
  <c r="D55" i="102"/>
  <c r="M40" i="102"/>
  <c r="G43" i="102"/>
  <c r="G49" i="102"/>
  <c r="G55" i="102"/>
  <c r="M58" i="102"/>
  <c r="D49" i="102"/>
  <c r="G31" i="102"/>
  <c r="M52" i="102"/>
  <c r="M34" i="102"/>
  <c r="M46" i="102"/>
  <c r="O19" i="102" l="1"/>
  <c r="R17" i="102"/>
  <c r="R18" i="102" s="1"/>
  <c r="N18" i="102"/>
  <c r="P19" i="102" s="1"/>
  <c r="P16" i="102"/>
  <c r="K64" i="102"/>
  <c r="D65" i="102"/>
  <c r="G64" i="102"/>
  <c r="L65" i="102"/>
  <c r="G65" i="102"/>
  <c r="D66" i="102"/>
  <c r="M64" i="102"/>
  <c r="M65" i="102"/>
  <c r="D17" i="102" l="1"/>
  <c r="D16" i="102"/>
  <c r="D4" i="102"/>
  <c r="D5" i="102"/>
  <c r="D6" i="102"/>
  <c r="D7" i="102"/>
  <c r="D8" i="102"/>
  <c r="D9" i="102"/>
  <c r="D10" i="102"/>
  <c r="D11" i="102"/>
  <c r="D12" i="102"/>
  <c r="D13" i="102"/>
  <c r="D14" i="102"/>
  <c r="D15" i="102"/>
  <c r="J65" i="102"/>
  <c r="K65" i="102" s="1"/>
  <c r="G66" i="102"/>
  <c r="M66" i="102"/>
  <c r="D67" i="102"/>
  <c r="L66" i="102"/>
  <c r="D18" i="102" l="1"/>
  <c r="Q18" i="102"/>
  <c r="J66" i="102"/>
  <c r="K66" i="102" s="1"/>
  <c r="L67" i="102"/>
  <c r="M67" i="102"/>
  <c r="D68" i="102"/>
  <c r="G67" i="102"/>
  <c r="J67" i="102" l="1"/>
  <c r="K67" i="102" s="1"/>
  <c r="K69" i="102"/>
  <c r="L68" i="102"/>
  <c r="G71" i="102"/>
  <c r="M68" i="102"/>
  <c r="G68" i="102"/>
  <c r="D71" i="102"/>
  <c r="J68" i="102" l="1"/>
  <c r="K68" i="102" s="1"/>
  <c r="K71" i="102"/>
  <c r="M72" i="102"/>
  <c r="D73" i="102"/>
  <c r="D72" i="102"/>
  <c r="L72" i="102"/>
  <c r="M71" i="102"/>
  <c r="G73" i="102"/>
  <c r="G72" i="102"/>
  <c r="J72" i="102" l="1"/>
  <c r="K72" i="102" s="1"/>
  <c r="L73" i="102"/>
  <c r="D74" i="102"/>
  <c r="M73" i="102"/>
  <c r="G74" i="102"/>
  <c r="J73" i="102" l="1"/>
  <c r="K73" i="102" s="1"/>
  <c r="D75" i="102"/>
  <c r="L74" i="102"/>
  <c r="M74" i="102"/>
  <c r="G75" i="102"/>
  <c r="J74" i="102" l="1"/>
  <c r="K74" i="102" s="1"/>
  <c r="L75" i="102"/>
  <c r="D76" i="102"/>
  <c r="G76" i="102"/>
  <c r="M75" i="102"/>
  <c r="J75" i="102" l="1"/>
  <c r="K75" i="102" s="1"/>
  <c r="L76" i="102"/>
  <c r="M76" i="102"/>
  <c r="D77" i="102"/>
  <c r="G77" i="102"/>
  <c r="J76" i="102" l="1"/>
  <c r="K76" i="102" s="1"/>
  <c r="K78" i="102"/>
  <c r="M77" i="102"/>
  <c r="L77" i="102"/>
  <c r="J77" i="102" l="1"/>
  <c r="K77" i="102" s="1"/>
</calcChain>
</file>

<file path=xl/sharedStrings.xml><?xml version="1.0" encoding="utf-8"?>
<sst xmlns="http://schemas.openxmlformats.org/spreadsheetml/2006/main" count="14307" uniqueCount="3584">
  <si>
    <t>TICKER</t>
  </si>
  <si>
    <t>INDUSTRY</t>
  </si>
  <si>
    <t>MFON RX EQUITY</t>
  </si>
  <si>
    <t>LSRG RX EQUITY</t>
  </si>
  <si>
    <t>ETLN LI EQUITY</t>
  </si>
  <si>
    <t>AFLT RX EQUITY</t>
  </si>
  <si>
    <t>SBER RX EQUITY</t>
  </si>
  <si>
    <t>GAZP RX EQUITY</t>
  </si>
  <si>
    <t>MGNT RX EQUITY</t>
  </si>
  <si>
    <t>NAME</t>
  </si>
  <si>
    <t>YNDX US EQUITY</t>
  </si>
  <si>
    <t>MAIL LI EQUITY</t>
  </si>
  <si>
    <t>QIWI US EQUITY</t>
  </si>
  <si>
    <t>GLTR LI EQUITY</t>
  </si>
  <si>
    <t>LSRG LI EQUITY</t>
  </si>
  <si>
    <t>LXFT US EQUITY</t>
  </si>
  <si>
    <t>UPSIDE</t>
  </si>
  <si>
    <t>MAGN RX EQUITY</t>
  </si>
  <si>
    <t>MTSS RX EQUITY</t>
  </si>
  <si>
    <t>DIXY RX EQUITY</t>
  </si>
  <si>
    <t>FIVE LI EQUITY</t>
  </si>
  <si>
    <t>MVID RX EQUITY</t>
  </si>
  <si>
    <t>CHMF RX EQUITY</t>
  </si>
  <si>
    <t>NLMK RX EQUITY</t>
  </si>
  <si>
    <t>ANR</t>
  </si>
  <si>
    <t>PRICE</t>
  </si>
  <si>
    <t>MSTT RX EQUITY</t>
  </si>
  <si>
    <t>SIBN RX EQUITY</t>
  </si>
  <si>
    <t>RU000A0JR3P1 Corp</t>
  </si>
  <si>
    <t>XS0553072611 Corp</t>
  </si>
  <si>
    <t>ROSN RX EQUITY</t>
  </si>
  <si>
    <t>NVTK RX EQUITY</t>
  </si>
  <si>
    <t>1M CHG, %</t>
  </si>
  <si>
    <t>1W CHG, %</t>
  </si>
  <si>
    <t>TRMK RX EQUITY</t>
  </si>
  <si>
    <t>GMKN RX EQUITY</t>
  </si>
  <si>
    <t>IRAO RX EQUITY</t>
  </si>
  <si>
    <t>FEES RX EQUITY</t>
  </si>
  <si>
    <t>HYDR RX EQUITY</t>
  </si>
  <si>
    <t>MSNG RX EQUITY</t>
  </si>
  <si>
    <t>MTLR RX EQUITY</t>
  </si>
  <si>
    <t>LNTA LI EQUITY</t>
  </si>
  <si>
    <t>VIP US EQUITY</t>
  </si>
  <si>
    <t>MBT US EQUITY</t>
  </si>
  <si>
    <t>SNGSP RX EQUITY</t>
  </si>
  <si>
    <t>RTKMP RX EQUITY</t>
  </si>
  <si>
    <t>BANEP RX EQUITY</t>
  </si>
  <si>
    <t>TATNP RX EQUITY</t>
  </si>
  <si>
    <t>WZR CN EQUITY</t>
  </si>
  <si>
    <t>EDCL LI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</si>
  <si>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</si>
  <si>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</si>
  <si>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</si>
  <si>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</si>
  <si>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</si>
  <si>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</si>
  <si>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</si>
  <si>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</si>
  <si>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</si>
  <si>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</si>
  <si>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</si>
  <si>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</si>
  <si>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</si>
  <si>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LKOH RX EQUITY</t>
  </si>
  <si>
    <t>LKOD LI EQUITY</t>
  </si>
  <si>
    <t>BANE RX EQUITY</t>
  </si>
  <si>
    <t>KMG LI EQUITY</t>
  </si>
  <si>
    <t>AKRN RX EQUITY</t>
  </si>
  <si>
    <t>SBERP RX EQUITY</t>
  </si>
  <si>
    <t>EONR RX EQUITY</t>
  </si>
  <si>
    <t>MSRS RX EQUITY</t>
  </si>
  <si>
    <t>POLY LN EQUITY</t>
  </si>
  <si>
    <t>ALRS RX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</si>
  <si>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</si>
  <si>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</si>
  <si>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</si>
  <si>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</si>
  <si>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</si>
  <si>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</si>
  <si>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</si>
  <si>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</si>
  <si>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</si>
  <si>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</si>
  <si>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</si>
  <si>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</si>
  <si>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</si>
  <si>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</si>
  <si>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</si>
  <si>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</si>
  <si>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</si>
  <si>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</si>
  <si>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</si>
  <si>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</si>
  <si>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</si>
  <si>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</si>
  <si>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MTS</t>
  </si>
  <si>
    <t>Megafon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</si>
  <si>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</si>
  <si>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</si>
  <si>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</si>
  <si>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</si>
  <si>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</si>
  <si>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</si>
  <si>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</si>
  <si>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</si>
  <si>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</si>
  <si>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</si>
  <si>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Novatek</t>
  </si>
  <si>
    <t>MOEX RX Equity</t>
  </si>
  <si>
    <t>FEES RX Equity</t>
  </si>
  <si>
    <t>Изменение за сегодня, %</t>
  </si>
  <si>
    <t>Прибыль / убыток (RUB)</t>
  </si>
  <si>
    <t>Прибыль / убыток (USD)</t>
  </si>
  <si>
    <t>Прибыль / убыток (CUR)</t>
  </si>
  <si>
    <t>Стоимость позиции по текущей цене (USD)</t>
  </si>
  <si>
    <t>Стоимость позиции по текущей цене (RUB)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</si>
  <si>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</si>
  <si>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</si>
  <si>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</si>
  <si>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</si>
  <si>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</si>
  <si>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</si>
  <si>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</si>
  <si>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KMAZ RX EQUITY</t>
  </si>
  <si>
    <t>NKNC RX EQUITY</t>
  </si>
  <si>
    <t>NKNCP RX EQUITY</t>
  </si>
  <si>
    <t>ELLQF</t>
  </si>
  <si>
    <t>Стоимость позиции на дату покупки (USD)</t>
  </si>
  <si>
    <t>Изменение с начала года, %</t>
  </si>
  <si>
    <t>Изменение за 1 год, %</t>
  </si>
  <si>
    <t>Изменение за 6 месяцев, %</t>
  </si>
  <si>
    <t>Изменение за 3 месяца, %</t>
  </si>
  <si>
    <t>Изменение за 1 месяц, %</t>
  </si>
  <si>
    <t>BSPB RX EQUITY</t>
  </si>
  <si>
    <t>HGM LN EQUITY</t>
  </si>
  <si>
    <t>LKOD LI Equity</t>
  </si>
  <si>
    <t>PRTK RX EQUITY</t>
  </si>
  <si>
    <t>Изменение (CUR), %</t>
  </si>
  <si>
    <t>Изменение (USD), %</t>
  </si>
  <si>
    <t>NORD LI EQUITY</t>
  </si>
  <si>
    <t>NORD LI Equity</t>
  </si>
  <si>
    <t>HMSG LI EQUITY</t>
  </si>
  <si>
    <t>HMSG LI Equity</t>
  </si>
  <si>
    <t>TGKA RX EQUITY</t>
  </si>
  <si>
    <t>MRKV RX EQUITY</t>
  </si>
  <si>
    <t>Mvideo</t>
  </si>
  <si>
    <t>MVID RX Equity</t>
  </si>
  <si>
    <t>Lukoil</t>
  </si>
  <si>
    <t>XS0841677387 Corp</t>
  </si>
  <si>
    <t>EONR RX Equity</t>
  </si>
  <si>
    <t>EONR</t>
  </si>
  <si>
    <t>SBERP RX Equity</t>
  </si>
  <si>
    <t>Sberbank</t>
  </si>
  <si>
    <t>Gazprom</t>
  </si>
  <si>
    <t>PHAU LN EQUITY</t>
  </si>
  <si>
    <t>PHAU LN Equity</t>
  </si>
  <si>
    <t>XS0975320879 Corp</t>
  </si>
  <si>
    <t>USL6366MAC75 Corp</t>
  </si>
  <si>
    <t>XS0974469206 Corp</t>
  </si>
  <si>
    <t>XS0995845566 Corp</t>
  </si>
  <si>
    <t xml:space="preserve"> XS0591549232 Corp</t>
  </si>
  <si>
    <t>XS0591549232 Corp</t>
  </si>
  <si>
    <t xml:space="preserve"> XS1003273767 Corp</t>
  </si>
  <si>
    <t xml:space="preserve">  XS1003273767 Corp</t>
  </si>
  <si>
    <t xml:space="preserve"> XS0923110232 Corp</t>
  </si>
  <si>
    <t xml:space="preserve"> XS0922301717 Corp</t>
  </si>
  <si>
    <t>XS0922301717 Corp</t>
  </si>
  <si>
    <t>XS0997544860 Corp</t>
  </si>
  <si>
    <t>XS0981028177 Corp</t>
  </si>
  <si>
    <t>ETLN LI Equity</t>
  </si>
  <si>
    <t>Etalon</t>
  </si>
  <si>
    <t>LSR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</si>
  <si>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</si>
  <si>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</si>
  <si>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</si>
  <si>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</si>
  <si>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Aeroflot</t>
  </si>
  <si>
    <t>WZR</t>
  </si>
  <si>
    <t>CAD Curncy</t>
  </si>
  <si>
    <t xml:space="preserve"> XS0830192711 Corp</t>
  </si>
  <si>
    <t>XS0588433267 Corp</t>
  </si>
  <si>
    <t xml:space="preserve"> XS0588433267 Corp</t>
  </si>
  <si>
    <t>SNGSP RX Equity</t>
  </si>
  <si>
    <t>Surgut pref</t>
  </si>
  <si>
    <t>MFON RX Equity</t>
  </si>
  <si>
    <t>Sberbank pref</t>
  </si>
  <si>
    <t>LSRG RX Equity</t>
  </si>
  <si>
    <t>MMK</t>
  </si>
  <si>
    <t>NLMK</t>
  </si>
  <si>
    <t>NLMK RX Equity</t>
  </si>
  <si>
    <t>BSPB</t>
  </si>
  <si>
    <t>Eurasia Drilling</t>
  </si>
  <si>
    <t>EDCL LI Equity</t>
  </si>
  <si>
    <t>High Gold Minimg</t>
  </si>
  <si>
    <t>HGM LN Equity</t>
  </si>
  <si>
    <t>GBP Curncy</t>
  </si>
  <si>
    <t>Polymetal</t>
  </si>
  <si>
    <t>POLY LN Equity</t>
  </si>
  <si>
    <t>Mostotrest</t>
  </si>
  <si>
    <t>MSTT RX Equity</t>
  </si>
  <si>
    <t>AFLT RX Equity</t>
  </si>
  <si>
    <t>Bashneft</t>
  </si>
  <si>
    <t>BANE RX Equity</t>
  </si>
  <si>
    <t>EUR Curncy</t>
  </si>
  <si>
    <t>VIP US Equity</t>
  </si>
  <si>
    <t>Vimpelcom</t>
  </si>
  <si>
    <t>Bashneft pref</t>
  </si>
  <si>
    <t>BANEP RX Equity</t>
  </si>
  <si>
    <t>Alrosa</t>
  </si>
  <si>
    <t>ALRS RX Equity</t>
  </si>
  <si>
    <t>GLTR LI Equity</t>
  </si>
  <si>
    <t>Kamaz</t>
  </si>
  <si>
    <t>KMAZ RX Equity</t>
  </si>
  <si>
    <t xml:space="preserve"> XS0513723873 Corp</t>
  </si>
  <si>
    <t>XS0513723873 Corp</t>
  </si>
  <si>
    <t xml:space="preserve"> RU000A0JR3P1 Corp</t>
  </si>
  <si>
    <t xml:space="preserve"> XS0918297382 Corp</t>
  </si>
  <si>
    <t>XS0918297382 Corp</t>
  </si>
  <si>
    <t xml:space="preserve"> XS0922883318 Corp</t>
  </si>
  <si>
    <t>XS0922883318 Corp</t>
  </si>
  <si>
    <t xml:space="preserve"> XS0878855773 Corp</t>
  </si>
  <si>
    <t>XS0878855773 Corp</t>
  </si>
  <si>
    <t>TRMK RX Equity</t>
  </si>
  <si>
    <t>TMK</t>
  </si>
  <si>
    <t xml:space="preserve"> XS1032750165 Corp</t>
  </si>
  <si>
    <t>XS1032750165 Corp</t>
  </si>
  <si>
    <t>YNDX US Equity</t>
  </si>
  <si>
    <t>Yandex</t>
  </si>
  <si>
    <t>SVAV RX EQUITY</t>
  </si>
  <si>
    <t>TATN RX EQUITY</t>
  </si>
  <si>
    <t>SNGS RX EQUITY</t>
  </si>
  <si>
    <t>Curr Net Debt / LTM EBITDA</t>
  </si>
  <si>
    <t>Curr EV / LTM SALES</t>
  </si>
  <si>
    <t>Изменение за 1 неделю, %</t>
  </si>
  <si>
    <t>XS0808632847 Corp</t>
  </si>
  <si>
    <t xml:space="preserve"> XS0863583281 Corp</t>
  </si>
  <si>
    <t>XS0863583281 Corp</t>
  </si>
  <si>
    <t xml:space="preserve"> XS0971721450 Corp</t>
  </si>
  <si>
    <t>XS0971721450 Corp</t>
  </si>
  <si>
    <t xml:space="preserve"> XS0767473852 Corp</t>
  </si>
  <si>
    <t xml:space="preserve"> XS0304273948 Corp</t>
  </si>
  <si>
    <t>XS0304273948 Corp</t>
  </si>
  <si>
    <t xml:space="preserve"> XS0588436799 Corp</t>
  </si>
  <si>
    <t>XS0588436799 Corp</t>
  </si>
  <si>
    <t xml:space="preserve">P/BV </t>
  </si>
  <si>
    <t xml:space="preserve">P/LTM FCF </t>
  </si>
  <si>
    <t>LTM SALES GROWTH</t>
  </si>
  <si>
    <t>LTM EPS GROWTH</t>
  </si>
  <si>
    <t>LTM EBITDA MARGIN</t>
  </si>
  <si>
    <t>LTM EBIT MARGIN</t>
  </si>
  <si>
    <t>LTM NET PROFIT MARGIN</t>
  </si>
  <si>
    <t>LTM NORMALIZED ROE</t>
  </si>
  <si>
    <t>EST DVD YIELD</t>
  </si>
  <si>
    <t>URKA RX EQUITY</t>
  </si>
  <si>
    <t>EXPORT, %</t>
  </si>
  <si>
    <t>PHOR RX EQUITY</t>
  </si>
  <si>
    <t>GLPR LI EQUITY</t>
  </si>
  <si>
    <t>NMTP RX EQUITY</t>
  </si>
  <si>
    <t>NMTP RX Equity</t>
  </si>
  <si>
    <t>NMTP</t>
  </si>
  <si>
    <t>DIXY RX Equity</t>
  </si>
  <si>
    <t>Dixy</t>
  </si>
  <si>
    <t xml:space="preserve"> XS0922142574 Corp</t>
  </si>
  <si>
    <t>XS0922142574 Corp</t>
  </si>
  <si>
    <t xml:space="preserve"> XS0605637056 Corp</t>
  </si>
  <si>
    <t>XS0605637056 Corp</t>
  </si>
  <si>
    <t xml:space="preserve"> XS0877983642 Corp</t>
  </si>
  <si>
    <t>XS0877983642 Corp</t>
  </si>
  <si>
    <t xml:space="preserve"> XS0889402029 Corp</t>
  </si>
  <si>
    <t>XS0889402029 Corp</t>
  </si>
  <si>
    <t xml:space="preserve"> XS0884734343 Corp</t>
  </si>
  <si>
    <t xml:space="preserve"> XS0833264335 Corp</t>
  </si>
  <si>
    <t>XS0833264335 Corp</t>
  </si>
  <si>
    <t xml:space="preserve"> XS0553072611 Corp</t>
  </si>
  <si>
    <t xml:space="preserve"> XS0563898062 Corp</t>
  </si>
  <si>
    <t>XS0563898062 Corp</t>
  </si>
  <si>
    <t>Закрытые позиции</t>
  </si>
  <si>
    <t>Дата</t>
  </si>
  <si>
    <t>FX</t>
  </si>
  <si>
    <t>Прибыль / убыток, USD</t>
  </si>
  <si>
    <t>Прибыль / убыток, CUR</t>
  </si>
  <si>
    <t xml:space="preserve"> XS0493579238 Corp</t>
  </si>
  <si>
    <t xml:space="preserve">  XS0494933806 Corp</t>
  </si>
  <si>
    <t>Next financial statements release date; DD/MM/YY</t>
  </si>
  <si>
    <t>Next dvd declaration date; DD/MM/YY</t>
  </si>
  <si>
    <t>FESH RX EQUITY</t>
  </si>
  <si>
    <t>486 HK EQUITY</t>
  </si>
  <si>
    <t>RTKM RX EQUITY</t>
  </si>
  <si>
    <t>TRNFP RX EQUITY</t>
  </si>
  <si>
    <t>1Y CHG, %</t>
  </si>
  <si>
    <t>Severstal</t>
  </si>
  <si>
    <t>Nornikel</t>
  </si>
  <si>
    <t>NVTK RX Equity</t>
  </si>
  <si>
    <t>Gazpromneft</t>
  </si>
  <si>
    <t>URKA RX Equity</t>
  </si>
  <si>
    <t>XS0893205186 Corp</t>
  </si>
  <si>
    <t xml:space="preserve">  XS0893205186 Corp</t>
  </si>
  <si>
    <t>High Gold Mining</t>
  </si>
  <si>
    <t>HKD Curncy</t>
  </si>
  <si>
    <t>CNY Curncy</t>
  </si>
  <si>
    <t>BRL Curncy</t>
  </si>
  <si>
    <t>NOK Curncy</t>
  </si>
  <si>
    <t>ZAR Curncy</t>
  </si>
  <si>
    <t>INR Curncy</t>
  </si>
  <si>
    <t>COP Curncy</t>
  </si>
  <si>
    <t>EVR LN EQUITY</t>
  </si>
  <si>
    <t>RASP RX EQUITY</t>
  </si>
  <si>
    <t>FXPO LN EQUITY</t>
  </si>
  <si>
    <t>POG LN EQUITY</t>
  </si>
  <si>
    <t>AFKS RX EQUITY</t>
  </si>
  <si>
    <t>OKEY LI EQUITY</t>
  </si>
  <si>
    <t>RSTI RX EQUITY</t>
  </si>
  <si>
    <t>OGKB RX EQUITY</t>
  </si>
  <si>
    <t>ENRU RM EQUITY</t>
  </si>
  <si>
    <t>EPAM US EQUITY</t>
  </si>
  <si>
    <t>PIKK RX EQUITY</t>
  </si>
  <si>
    <t>TRCN RX EQUITY</t>
  </si>
  <si>
    <t>Uralkaliy</t>
  </si>
  <si>
    <t>X5</t>
  </si>
  <si>
    <t>Irao</t>
  </si>
  <si>
    <t>Surgut Pref</t>
  </si>
  <si>
    <t>XS0918604496 Corp</t>
  </si>
  <si>
    <t>usd-3.15</t>
  </si>
  <si>
    <t>vtbr-3.15</t>
  </si>
  <si>
    <t>MOEX RX EQUITY</t>
  </si>
  <si>
    <t>Kcel</t>
  </si>
  <si>
    <t>Kcel Li Equity</t>
  </si>
  <si>
    <t xml:space="preserve">Mail </t>
  </si>
  <si>
    <t>Mail li EQUITY</t>
  </si>
  <si>
    <t>.</t>
  </si>
  <si>
    <t>FOOQF</t>
  </si>
  <si>
    <t>KMG LI Equity</t>
  </si>
  <si>
    <t>RUALR RX Equity</t>
  </si>
  <si>
    <t>Rusal</t>
  </si>
  <si>
    <t>RUALR RX EQUITY</t>
  </si>
  <si>
    <t>POLY RX Equity</t>
  </si>
  <si>
    <t>POLY RX EQUITY</t>
  </si>
  <si>
    <t>SBER LI EQUITY</t>
  </si>
  <si>
    <t>KMG</t>
  </si>
  <si>
    <t>KMG Li Equity</t>
  </si>
  <si>
    <t>Surgut</t>
  </si>
  <si>
    <t>GAZ LI Equity</t>
  </si>
  <si>
    <t>GAZ LI EQUITY</t>
  </si>
  <si>
    <t>YNDX RX EQUITY</t>
  </si>
  <si>
    <t>YNDX RX Equity</t>
  </si>
  <si>
    <t>STHUF</t>
  </si>
  <si>
    <t>XS0923110232 Corp</t>
  </si>
  <si>
    <t>XFEQF</t>
  </si>
  <si>
    <t>RSEA</t>
  </si>
  <si>
    <t>Kazmunaigaz</t>
  </si>
  <si>
    <t>Urka</t>
  </si>
  <si>
    <t>OGZD LI Equity</t>
  </si>
  <si>
    <t>AQUA RM Equity</t>
  </si>
  <si>
    <t>AQUA RM EQUITY</t>
  </si>
  <si>
    <t>AQLON1</t>
  </si>
  <si>
    <t>Micex</t>
  </si>
  <si>
    <t>Kazmunai</t>
  </si>
  <si>
    <t>MNOD LI Equity</t>
  </si>
  <si>
    <t>GMKN</t>
  </si>
  <si>
    <t>MNOD LI EQUITY</t>
  </si>
  <si>
    <t>QIWI US Equity</t>
  </si>
  <si>
    <t>QIWI</t>
  </si>
  <si>
    <t>Изменение (RUR), %</t>
  </si>
  <si>
    <t>Enel</t>
  </si>
  <si>
    <t>ENRU RX Equity</t>
  </si>
  <si>
    <t>ENRU RX EQUITY</t>
  </si>
  <si>
    <t>Qiwi</t>
  </si>
  <si>
    <t>Surgut preff</t>
  </si>
  <si>
    <t>Размер дивидендов полученных</t>
  </si>
  <si>
    <t>Размер дивидендов начисленных</t>
  </si>
  <si>
    <t xml:space="preserve">FREE FLOAT, % </t>
  </si>
  <si>
    <t xml:space="preserve">ADV, mln $ </t>
  </si>
  <si>
    <t>XS0864383723 Corp</t>
  </si>
  <si>
    <t>XS0524610812 Corp</t>
  </si>
  <si>
    <t>XS0779213460 Corp</t>
  </si>
  <si>
    <t>XS0861981180 Corp</t>
  </si>
  <si>
    <t>XS0842078536 Corp</t>
  </si>
  <si>
    <t>XS0993162683 Corp</t>
  </si>
  <si>
    <t>XS0935311240 Corp</t>
  </si>
  <si>
    <t xml:space="preserve">Sberbank </t>
  </si>
  <si>
    <t xml:space="preserve">AFKS RX Equity </t>
  </si>
  <si>
    <t>AFK Sistema</t>
  </si>
  <si>
    <t xml:space="preserve">Megafon </t>
  </si>
  <si>
    <t xml:space="preserve">ETLN LI Equity </t>
  </si>
  <si>
    <t xml:space="preserve">E.ON </t>
  </si>
  <si>
    <t xml:space="preserve">Globaltrans </t>
  </si>
  <si>
    <t>X5 Retail</t>
  </si>
  <si>
    <t xml:space="preserve">DIXY RX Equity </t>
  </si>
  <si>
    <t>Magnit</t>
  </si>
  <si>
    <t>486 HK Equity</t>
  </si>
  <si>
    <t>Surgutneftegaz</t>
  </si>
  <si>
    <t xml:space="preserve">Gazprom </t>
  </si>
  <si>
    <t xml:space="preserve">ALRS RX Equity </t>
  </si>
  <si>
    <t xml:space="preserve">Alrosa </t>
  </si>
  <si>
    <t>USDRUB 30/07/15</t>
  </si>
  <si>
    <t>USDHKD</t>
  </si>
  <si>
    <t>BBJSF</t>
  </si>
  <si>
    <t>LSRG li EQUITY</t>
  </si>
  <si>
    <t>AKTOS</t>
  </si>
  <si>
    <t>Highland Gold Mining</t>
  </si>
  <si>
    <t xml:space="preserve">HGM LN Equity </t>
  </si>
  <si>
    <t>Изменение (RUB), %</t>
  </si>
  <si>
    <t>GMK</t>
  </si>
  <si>
    <t>Accrued(trade)</t>
  </si>
  <si>
    <t>Accrued(current)</t>
  </si>
  <si>
    <t>Factor schedule (trade date)</t>
  </si>
  <si>
    <t>Factor schedule (current)</t>
  </si>
  <si>
    <t>Стоимость позиции на дату покупки (RUB)</t>
  </si>
  <si>
    <t>Phosagro</t>
  </si>
  <si>
    <t>PHOR LI EQUITY</t>
  </si>
  <si>
    <t>XS0767473852 Corp</t>
  </si>
  <si>
    <t>XS0643183220 Corp</t>
  </si>
  <si>
    <t>RUAL RX EQUITY</t>
  </si>
  <si>
    <t>XS0559915961 Corp</t>
  </si>
  <si>
    <t>XS0640334768 Corp</t>
  </si>
  <si>
    <t xml:space="preserve">BANE RX Equity </t>
  </si>
  <si>
    <t>R</t>
  </si>
  <si>
    <t>INFLE</t>
  </si>
  <si>
    <t>XGAQF</t>
  </si>
  <si>
    <t xml:space="preserve">GAZP RX Equity </t>
  </si>
  <si>
    <t xml:space="preserve">LKOH RX Equity </t>
  </si>
  <si>
    <t xml:space="preserve">GMKN RX Equity </t>
  </si>
  <si>
    <t xml:space="preserve">QIWI US Equity </t>
  </si>
  <si>
    <t>AANDF</t>
  </si>
  <si>
    <t>RU000A0JRCJ6 Corp</t>
  </si>
  <si>
    <t>RU000A0JTKZ1 Corp</t>
  </si>
  <si>
    <t>RU000A0JRJU8 Corp</t>
  </si>
  <si>
    <t>RU000A0JS751 Corp</t>
  </si>
  <si>
    <t>RU000A0JQZ18 Corp</t>
  </si>
  <si>
    <t>XS1040726587 Corp</t>
  </si>
  <si>
    <t>bloom</t>
  </si>
  <si>
    <t>EMIQF</t>
  </si>
  <si>
    <t>MFON LI EQUITY</t>
  </si>
  <si>
    <t>NVTK LI EQUITY</t>
  </si>
  <si>
    <t>Next ex dvd date; DD/MM/YY</t>
  </si>
  <si>
    <t>XS0524610812  Corp</t>
  </si>
  <si>
    <t>XS0922301717  Corp</t>
  </si>
  <si>
    <t>XS0779213460  Corp</t>
  </si>
  <si>
    <t xml:space="preserve">Bashneft </t>
  </si>
  <si>
    <t>XS0935311240  Corp</t>
  </si>
  <si>
    <t>XS0592794597  Corp</t>
  </si>
  <si>
    <t>XS1040726587  Corp</t>
  </si>
  <si>
    <t>XS0559915961  Corp</t>
  </si>
  <si>
    <t>XS0997544860  Corp</t>
  </si>
  <si>
    <t>XS0588433267  Corp</t>
  </si>
  <si>
    <t>XS0918297382  Corp</t>
  </si>
  <si>
    <t>XS0484209159  Corp</t>
  </si>
  <si>
    <t>XS0800817073  Corp</t>
  </si>
  <si>
    <t>XS0484209159 Corp</t>
  </si>
  <si>
    <t>XS0800817073 Corp</t>
  </si>
  <si>
    <t>FSK</t>
  </si>
  <si>
    <t>Прибыль / убыток, RUB</t>
  </si>
  <si>
    <t>LABKS</t>
  </si>
  <si>
    <t>XS0808638612 Corp</t>
  </si>
  <si>
    <t>XS0842078536  Corp</t>
  </si>
  <si>
    <t>XS0643183220  Corp</t>
  </si>
  <si>
    <t>XS0993162683  Corp</t>
  </si>
  <si>
    <t>XS0767473852  Corp</t>
  </si>
  <si>
    <t>USDHKD Curncy</t>
  </si>
  <si>
    <t>05.11.15</t>
  </si>
  <si>
    <t>KCEL LI Equity</t>
  </si>
  <si>
    <t>KCEL LI EQUITY</t>
  </si>
  <si>
    <t xml:space="preserve"> RU000A0JS5F6 Corp</t>
  </si>
  <si>
    <t>NLMK LI Equity</t>
  </si>
  <si>
    <t>NLMK LI EQUITY</t>
  </si>
  <si>
    <t>XS0831571434</t>
  </si>
  <si>
    <t>XS0638572973</t>
  </si>
  <si>
    <t>XS0743596040</t>
  </si>
  <si>
    <t>XS0805570354</t>
  </si>
  <si>
    <t>XS0304274599</t>
  </si>
  <si>
    <t>XS0764220017</t>
  </si>
  <si>
    <t>XS0708813810</t>
  </si>
  <si>
    <t>XS0290580595</t>
  </si>
  <si>
    <t>XS0919504562</t>
  </si>
  <si>
    <t>XS0864383723</t>
  </si>
  <si>
    <t>XS0588433267</t>
  </si>
  <si>
    <t>XS0921331509</t>
  </si>
  <si>
    <t>XS0830192711</t>
  </si>
  <si>
    <t>XS0861981180</t>
  </si>
  <si>
    <t>XS0848530977</t>
  </si>
  <si>
    <t>XS0841671000</t>
  </si>
  <si>
    <t>XS0223715920</t>
  </si>
  <si>
    <t>XS0885736925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</si>
  <si>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</si>
  <si>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</si>
  <si>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</si>
  <si>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</si>
  <si>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</si>
  <si>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</si>
  <si>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</si>
  <si>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XS0889401724</t>
  </si>
  <si>
    <t>XS0316524130</t>
  </si>
  <si>
    <t>XS0935311240</t>
  </si>
  <si>
    <t>XS0191754729</t>
  </si>
  <si>
    <t>XS1032750165</t>
  </si>
  <si>
    <t>XS0842078536</t>
  </si>
  <si>
    <t>XS0805131439</t>
  </si>
  <si>
    <t>XS0632887997</t>
  </si>
  <si>
    <t>XS0979891925</t>
  </si>
  <si>
    <t>XS0975320879</t>
  </si>
  <si>
    <t>XS0848137708</t>
  </si>
  <si>
    <t>XS0810596832</t>
  </si>
  <si>
    <t>XS0981028177</t>
  </si>
  <si>
    <t>XS1042215480</t>
  </si>
  <si>
    <t>XS0953323317</t>
  </si>
  <si>
    <t xml:space="preserve">Длинные Облигации ( &gt; 2020 Года ) </t>
  </si>
  <si>
    <t>XS0972645112</t>
  </si>
  <si>
    <t>XS0885733153</t>
  </si>
  <si>
    <t>XS0554659671</t>
  </si>
  <si>
    <t>XS0982861287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</si>
  <si>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</si>
  <si>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</si>
  <si>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</si>
  <si>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</si>
  <si>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</si>
  <si>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</si>
  <si>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</si>
  <si>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</si>
  <si>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</si>
  <si>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</si>
  <si>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XS0846652666</t>
  </si>
  <si>
    <t>XS0920335030</t>
  </si>
  <si>
    <t>XS0925043100</t>
  </si>
  <si>
    <t>XS0841677387</t>
  </si>
  <si>
    <t>Средняя Длина (2020 Год Погашения)</t>
  </si>
  <si>
    <t>XS0236336045</t>
  </si>
  <si>
    <t>XS0562354182</t>
  </si>
  <si>
    <t>XS0587030957</t>
  </si>
  <si>
    <t>XS0588436799</t>
  </si>
  <si>
    <t>XS0708813653</t>
  </si>
  <si>
    <t>XS0648402583</t>
  </si>
  <si>
    <t>XS0253861834</t>
  </si>
  <si>
    <t>XS0276456315</t>
  </si>
  <si>
    <t>XS0261906738</t>
  </si>
  <si>
    <t>XS0426517701</t>
  </si>
  <si>
    <t>XS0304273948</t>
  </si>
  <si>
    <t>XS0742380412</t>
  </si>
  <si>
    <t>XS0543956717</t>
  </si>
  <si>
    <t>XS0499245180</t>
  </si>
  <si>
    <t>XS0650962185</t>
  </si>
  <si>
    <t>XS0551315384</t>
  </si>
  <si>
    <t>XS0292530309</t>
  </si>
  <si>
    <t>XS0861980372</t>
  </si>
  <si>
    <t>XS0643176448</t>
  </si>
  <si>
    <t>XS0772509484</t>
  </si>
  <si>
    <t>XS0719009754</t>
  </si>
  <si>
    <t>XS0922134712</t>
  </si>
  <si>
    <t>XS0630950870</t>
  </si>
  <si>
    <t>XS1043519567</t>
  </si>
  <si>
    <t>XS0888245122</t>
  </si>
  <si>
    <t>XS0783291221</t>
  </si>
  <si>
    <t>XS0899969702</t>
  </si>
  <si>
    <t>XS0544362972</t>
  </si>
  <si>
    <t>XS0357281558</t>
  </si>
  <si>
    <t>XS0524658852</t>
  </si>
  <si>
    <t>XS0863583281</t>
  </si>
  <si>
    <t>XS0919502434</t>
  </si>
  <si>
    <t>XS0808632847</t>
  </si>
  <si>
    <t>XS0381439305</t>
  </si>
  <si>
    <t>XS0559800122</t>
  </si>
  <si>
    <t>XS0288690539</t>
  </si>
  <si>
    <t>XS0592794597</t>
  </si>
  <si>
    <t>XS0652913558</t>
  </si>
  <si>
    <t>XS0324963932</t>
  </si>
  <si>
    <t>XS0300998779</t>
  </si>
  <si>
    <t>XS0365923977</t>
  </si>
  <si>
    <t>XS0922883318</t>
  </si>
  <si>
    <t>XS0799357354</t>
  </si>
  <si>
    <t>XS0796426228</t>
  </si>
  <si>
    <t>XS0461926569</t>
  </si>
  <si>
    <t>XS0923472814</t>
  </si>
  <si>
    <t>XS0361041808</t>
  </si>
  <si>
    <t>XS0855334289</t>
  </si>
  <si>
    <t>XS0366630902</t>
  </si>
  <si>
    <t>XS0993162170</t>
  </si>
  <si>
    <t>XS0783934325</t>
  </si>
  <si>
    <t>XS0424860947</t>
  </si>
  <si>
    <t>XS0955232854</t>
  </si>
  <si>
    <t>XS0878855773</t>
  </si>
  <si>
    <t>XS0552679879</t>
  </si>
  <si>
    <t>XS0775984213</t>
  </si>
  <si>
    <t>XS1040726587</t>
  </si>
  <si>
    <t>XS0299183250</t>
  </si>
  <si>
    <t>XS0889401054</t>
  </si>
  <si>
    <t>XS0879105558</t>
  </si>
  <si>
    <t>XS0618905219</t>
  </si>
  <si>
    <t>XS0359381331</t>
  </si>
  <si>
    <t>XS0923110232</t>
  </si>
  <si>
    <t>XS0585211591</t>
  </si>
  <si>
    <t>XS0779213460</t>
  </si>
  <si>
    <t>XS0783242877</t>
  </si>
  <si>
    <t>XS0772835285</t>
  </si>
  <si>
    <t>XS0832412505</t>
  </si>
  <si>
    <t>XS0995845566</t>
  </si>
  <si>
    <t>XS0854763355</t>
  </si>
  <si>
    <t>XS0776121062</t>
  </si>
  <si>
    <t>US91701RAA95</t>
  </si>
  <si>
    <t>XS0940730228</t>
  </si>
  <si>
    <t>XS0616784509</t>
  </si>
  <si>
    <t>XS0851672435</t>
  </si>
  <si>
    <t>XS0312572984</t>
  </si>
  <si>
    <t>XS0938341780</t>
  </si>
  <si>
    <t>XS1059697323</t>
  </si>
  <si>
    <t>XS0924078453</t>
  </si>
  <si>
    <t>XS0848163456</t>
  </si>
  <si>
    <t>XS0808636913</t>
  </si>
  <si>
    <t>XS0954673934</t>
  </si>
  <si>
    <t>XS0640334768</t>
  </si>
  <si>
    <t>XS0974469206</t>
  </si>
  <si>
    <t>XS0993279958</t>
  </si>
  <si>
    <t>XS0802648955</t>
  </si>
  <si>
    <t>XS0973219495</t>
  </si>
  <si>
    <t>XS0869792928</t>
  </si>
  <si>
    <t>XS0996297544</t>
  </si>
  <si>
    <t>XS0275728557</t>
  </si>
  <si>
    <t>XS0493579238</t>
  </si>
  <si>
    <t>XS0920334900</t>
  </si>
  <si>
    <t>XS0238091507</t>
  </si>
  <si>
    <t>XS0850393264</t>
  </si>
  <si>
    <t>Короткие Облигации (Длина до 2020 года)</t>
  </si>
  <si>
    <t>Min Piece</t>
  </si>
  <si>
    <t>Gross Price</t>
  </si>
  <si>
    <t>RECOM DATE</t>
  </si>
  <si>
    <t>Изменение Цены</t>
  </si>
  <si>
    <t>Lombard</t>
  </si>
  <si>
    <t>Maturity Type</t>
  </si>
  <si>
    <t>Ранк</t>
  </si>
  <si>
    <t>Страна</t>
  </si>
  <si>
    <t>Подсектор</t>
  </si>
  <si>
    <t>S&amp;P/Fitch/Moody's</t>
  </si>
  <si>
    <t>Погашение</t>
  </si>
  <si>
    <t>Купон</t>
  </si>
  <si>
    <t>Продажа</t>
  </si>
  <si>
    <t xml:space="preserve"> Покупка</t>
  </si>
  <si>
    <t>Покупка</t>
  </si>
  <si>
    <t>Длина Лет</t>
  </si>
  <si>
    <t>ISIN</t>
  </si>
  <si>
    <t>Имя на бирже</t>
  </si>
  <si>
    <t>Доходность</t>
  </si>
  <si>
    <t>Цена</t>
  </si>
  <si>
    <t xml:space="preserve"> Портфель Еврооблигаций, USD</t>
  </si>
  <si>
    <t>VIP US  EQUITY</t>
  </si>
  <si>
    <t>KCEL LI  EQUITY</t>
  </si>
  <si>
    <t>E.ON</t>
  </si>
  <si>
    <t>Eurasia Drilling Co Ltd</t>
  </si>
  <si>
    <t xml:space="preserve"> RU000A0JTKZ1 Corp</t>
  </si>
  <si>
    <t xml:space="preserve"> RU000A0JS751 Corp</t>
  </si>
  <si>
    <t>XS0974126186 Corp</t>
  </si>
  <si>
    <t>XS0554659671 Corp</t>
  </si>
  <si>
    <t>URKA LI EQUITY</t>
  </si>
  <si>
    <t>VADAF</t>
  </si>
  <si>
    <t>RU000A0JV0U1 Corp</t>
  </si>
  <si>
    <t>17.12.15</t>
  </si>
  <si>
    <t>XS0885733153 Corp</t>
  </si>
  <si>
    <t>DVD RCRD DATE</t>
  </si>
  <si>
    <t>target equity portfolio 40 mln rub</t>
  </si>
  <si>
    <t>XS0783242877 Corp</t>
  </si>
  <si>
    <t>XS1003273767 Corp</t>
  </si>
  <si>
    <t>AFKS RX Equity</t>
  </si>
  <si>
    <t xml:space="preserve">URKA RX Equity </t>
  </si>
  <si>
    <t>XS0882561821 Corp</t>
  </si>
  <si>
    <t>КЛИЕНТ</t>
  </si>
  <si>
    <t>BBJSF_BBJUF</t>
  </si>
  <si>
    <t>MADUN1</t>
  </si>
  <si>
    <t>MADUN2</t>
  </si>
  <si>
    <t>Row Labels</t>
  </si>
  <si>
    <t>Sum of Доля в портфеле</t>
  </si>
  <si>
    <t>Grand Total</t>
  </si>
  <si>
    <t>(All)</t>
  </si>
  <si>
    <t>Sum of Стоимость позиции по текущей цене (RUB)</t>
  </si>
  <si>
    <t>Rosneft</t>
  </si>
  <si>
    <t>ROSN RX Equity</t>
  </si>
  <si>
    <t>Sum of Buy more to 5%</t>
  </si>
  <si>
    <t>XGNQF</t>
  </si>
  <si>
    <t>НЕТ ПЕРФОРМАНСА ФИ</t>
  </si>
  <si>
    <t>IRAO</t>
  </si>
  <si>
    <t>PYUFF</t>
  </si>
  <si>
    <t>11.03.16</t>
  </si>
  <si>
    <t>XS0923472814 Corp</t>
  </si>
  <si>
    <t>XS0559800122 Corp</t>
  </si>
  <si>
    <t>XS0299183250 Corp</t>
  </si>
  <si>
    <t>VTB</t>
  </si>
  <si>
    <t>VTBR RX Equity</t>
  </si>
  <si>
    <t>XGKQF</t>
  </si>
  <si>
    <t>RU000A0JU9V1 Corp</t>
  </si>
  <si>
    <t xml:space="preserve">NLMK </t>
  </si>
  <si>
    <t xml:space="preserve"> RU000A0JWB75 Corp</t>
  </si>
  <si>
    <t xml:space="preserve"> RU000A0JWB67 Corp</t>
  </si>
  <si>
    <t>RU000A0JWBF6 Corp</t>
  </si>
  <si>
    <t>RU000A0JWC82 Corp</t>
  </si>
  <si>
    <t>KDBRF</t>
  </si>
  <si>
    <t>XS0359381331 Corp</t>
  </si>
  <si>
    <t>XS0925043100 Corp</t>
  </si>
  <si>
    <t>KDBSF</t>
  </si>
  <si>
    <t>MAIL LI Equity</t>
  </si>
  <si>
    <t>Mail.ru</t>
  </si>
  <si>
    <t>USDCHF Curncy</t>
  </si>
  <si>
    <t>XS1255387976 Corp</t>
  </si>
  <si>
    <t>RU000A0JWDU1 Corp</t>
  </si>
  <si>
    <t>RU000A0JWDN6 Corp</t>
  </si>
  <si>
    <t>PHAG LN EQUITY</t>
  </si>
  <si>
    <t>PHPD LN EQUITY</t>
  </si>
  <si>
    <t>PHAG LN Equity</t>
  </si>
  <si>
    <t>PHPD LN Equity</t>
  </si>
  <si>
    <t>Текущая стоимость позиции, USD</t>
  </si>
  <si>
    <t>Total</t>
  </si>
  <si>
    <t>PLZL RX EQUITY</t>
  </si>
  <si>
    <t>RU000A0JWG05 Corp</t>
  </si>
  <si>
    <t>ETLN LI  EQUITY</t>
  </si>
  <si>
    <t>XS1042215480 Corp</t>
  </si>
  <si>
    <t>XS0979891925 Corp</t>
  </si>
  <si>
    <t>VADTF</t>
  </si>
  <si>
    <t>ЦБ Ломбард</t>
  </si>
  <si>
    <t xml:space="preserve">Текущая доходность к погашению, % </t>
  </si>
  <si>
    <t>Рэнкинг</t>
  </si>
  <si>
    <t>Mark up</t>
  </si>
  <si>
    <t>Ставка Репо, %</t>
  </si>
  <si>
    <t>Аналогичный портфель с плечом Х 0.7</t>
  </si>
  <si>
    <t>17.05.2016</t>
  </si>
  <si>
    <t>XS0592794597 Corp</t>
  </si>
  <si>
    <t>HOQQF</t>
  </si>
  <si>
    <t>XS1117280625 Corp</t>
  </si>
  <si>
    <t>AGRO LI EQUITY</t>
  </si>
  <si>
    <t>2016 P/E</t>
  </si>
  <si>
    <t>CHF Curncy</t>
  </si>
  <si>
    <t>Luxoft</t>
  </si>
  <si>
    <t>LXFT US  EQUITY</t>
  </si>
  <si>
    <t>VADYF</t>
  </si>
  <si>
    <t>UPRO RX Equity</t>
  </si>
  <si>
    <t>UPRO RX EQUITY</t>
  </si>
  <si>
    <t xml:space="preserve"> XS0299183250 Corp</t>
  </si>
  <si>
    <t>KDBEF</t>
  </si>
  <si>
    <t>Tatneft</t>
  </si>
  <si>
    <t>Tatneft pref</t>
  </si>
  <si>
    <t>TATN RX Equity</t>
  </si>
  <si>
    <t>TATNP RX Equity</t>
  </si>
  <si>
    <t>MGNT RX Equity</t>
  </si>
  <si>
    <t>US496902AN77 Corp</t>
  </si>
  <si>
    <t>XS1223394914 Corp</t>
  </si>
  <si>
    <t>TADFF</t>
  </si>
  <si>
    <t>XS0583616239 Corp</t>
  </si>
  <si>
    <t>YTD 2016, %</t>
  </si>
  <si>
    <t xml:space="preserve">ADJ BETA 6M </t>
  </si>
  <si>
    <t>MRKT CAP, M $</t>
  </si>
  <si>
    <t>BBKEF</t>
  </si>
  <si>
    <t>LXFT US Equity</t>
  </si>
  <si>
    <t>Ожидаемая див дох-ть акций, текущая доходность облигаций %</t>
  </si>
  <si>
    <t>Стоимость позиции по текущей цене (USD) с учетом НКД</t>
  </si>
  <si>
    <t>Прибыль/убыток (USD)</t>
  </si>
  <si>
    <t>DADSF</t>
  </si>
  <si>
    <t>XS1032750165  Corp</t>
  </si>
  <si>
    <t>XS1319822752 Corp</t>
  </si>
  <si>
    <t>XS1319822752  Corp</t>
  </si>
  <si>
    <t>XS1449458915 Corp</t>
  </si>
  <si>
    <t>Дох-ть к погашению</t>
  </si>
  <si>
    <t>XS0587031096 Corp</t>
  </si>
  <si>
    <t>KDCTF</t>
  </si>
  <si>
    <t>XS0288690539 Corp</t>
  </si>
  <si>
    <t>XS0288690539  Corp</t>
  </si>
  <si>
    <t>XS0783291221 Corp</t>
  </si>
  <si>
    <t>XS0783291221  Corp</t>
  </si>
  <si>
    <t>XS0365923977 Corp</t>
  </si>
  <si>
    <t>XS0366630902 Corp</t>
  </si>
  <si>
    <t>XS0810596832 Corp</t>
  </si>
  <si>
    <t>XS0191754729 Corp</t>
  </si>
  <si>
    <t>XS0993162170 Corp</t>
  </si>
  <si>
    <t>XS0993162170  Corp</t>
  </si>
  <si>
    <t>XS0923472814  Corp</t>
  </si>
  <si>
    <t>XS1449458915  Corp</t>
  </si>
  <si>
    <t>XFLQF</t>
  </si>
  <si>
    <t>DACFF</t>
  </si>
  <si>
    <t>Текущая доходность портфеля с учётом ожидаемых дивидендов</t>
  </si>
  <si>
    <t>дох-ть ниже 5% не брать!</t>
  </si>
  <si>
    <t>Доходность портфеля с учётом ожидаемых дивидендов</t>
  </si>
  <si>
    <t>30.06.2016</t>
  </si>
  <si>
    <t>Доходность к погашению, %</t>
  </si>
  <si>
    <t>текущая доходность портфеля</t>
  </si>
  <si>
    <t>ожидаемая дох-ть</t>
  </si>
  <si>
    <t>Next ex dvd  date; DD/MM/YY</t>
  </si>
  <si>
    <t>Next dvd  declaration date; DD/MM/YY</t>
  </si>
  <si>
    <t>2016 EV/EBITDA</t>
  </si>
  <si>
    <t>RWVQF</t>
  </si>
  <si>
    <t>USG9328DAD24 Corp</t>
  </si>
  <si>
    <t>USG9328DAD24  Corp</t>
  </si>
  <si>
    <t>Next DVD declaration date</t>
  </si>
  <si>
    <t>12M TP</t>
  </si>
  <si>
    <t>Дох-ть портфеля</t>
  </si>
  <si>
    <t xml:space="preserve">VIP US Equity </t>
  </si>
  <si>
    <t>прибыль без нкд</t>
  </si>
  <si>
    <t>прибыль с нкд</t>
  </si>
  <si>
    <t>HighlandGoldMining</t>
  </si>
  <si>
    <t>PHOR RX Equity</t>
  </si>
  <si>
    <t>Целевая цена на 12М, данные Блумберга</t>
  </si>
  <si>
    <t>Потенциал роста (CUR) на 12М, %</t>
  </si>
  <si>
    <t>Потенциал роста на 12М</t>
  </si>
  <si>
    <t>Текущая доходность портфеля</t>
  </si>
  <si>
    <t>Потенциал роста портфеля</t>
  </si>
  <si>
    <t>потенциал роста на 12М</t>
  </si>
  <si>
    <t>Ожидаемая див дох-ть акций, %</t>
  </si>
  <si>
    <t>Ожидаемая дивидендная доходность</t>
  </si>
  <si>
    <t>Целевая цена на 12М, консенсус Блумберга</t>
  </si>
  <si>
    <t xml:space="preserve">KMG LI Equity </t>
  </si>
  <si>
    <t xml:space="preserve">LXFT US Equity </t>
  </si>
  <si>
    <t xml:space="preserve">PHOR RX Equity </t>
  </si>
  <si>
    <t>Потенциал роста портфеля акций на 12М</t>
  </si>
  <si>
    <t>потенциал роста портфеля акций на 12м</t>
  </si>
  <si>
    <t>Потенциал роста портфеля акций на ближайшие 12М</t>
  </si>
  <si>
    <t>Ожидаемая дивидендная доходность портфеля акций</t>
  </si>
  <si>
    <t>потенциал роста портфеля акций на 12М</t>
  </si>
  <si>
    <t xml:space="preserve">Текущая дох-ть портфеля </t>
  </si>
  <si>
    <t>Текущая дох-ть портфеля</t>
  </si>
  <si>
    <t>MTSS</t>
  </si>
  <si>
    <t>Текущая доходность облигаций %</t>
  </si>
  <si>
    <t>Ожидаемая див дох-ть акций, текущая дох-ть облигаций %</t>
  </si>
  <si>
    <t>RU000A0JWU98 Corp</t>
  </si>
  <si>
    <t>HGM</t>
  </si>
  <si>
    <t>Ожидаемая доходность портфеля</t>
  </si>
  <si>
    <t>Ожидаемая див дох-ть портфеля</t>
  </si>
  <si>
    <t>GILDUS</t>
  </si>
  <si>
    <t>GILD US Equity</t>
  </si>
  <si>
    <t>PYUMF</t>
  </si>
  <si>
    <t>GILD US EQUITY</t>
  </si>
  <si>
    <t>CH0340808812 Corp</t>
  </si>
  <si>
    <t>VADZF</t>
  </si>
  <si>
    <t xml:space="preserve"> XS1439838548 Corp</t>
  </si>
  <si>
    <t>Ожидаемая див дох-ть акций %</t>
  </si>
  <si>
    <t>cash pillow 500K$</t>
  </si>
  <si>
    <t>Дюрация</t>
  </si>
  <si>
    <t>XS1439838548 Corp</t>
  </si>
  <si>
    <t>AGN US EQUITY</t>
  </si>
  <si>
    <t>AGN US Equity</t>
  </si>
  <si>
    <t>Alergan</t>
  </si>
  <si>
    <t>USP989MJBG51 Corp</t>
  </si>
  <si>
    <t>Gilead</t>
  </si>
  <si>
    <t>свободного кэша 4 мульта</t>
  </si>
  <si>
    <t>WZR (1.14 CAD)</t>
  </si>
  <si>
    <t>Ожидаемая дох-ть</t>
  </si>
  <si>
    <t>Потенциал роста на ближайшие 12 месяцев</t>
  </si>
  <si>
    <t>Потенциал роста на 12 месяцев</t>
  </si>
  <si>
    <t>Потенциал роста портфеля акций 12М в рамках портфеля</t>
  </si>
  <si>
    <t>Дох-ть к погашению с учётом ожидаемых дивидендов</t>
  </si>
  <si>
    <t xml:space="preserve">Объём сделки в долл США </t>
  </si>
  <si>
    <t>TADPF</t>
  </si>
  <si>
    <t>CH0347656545 Corp</t>
  </si>
  <si>
    <t>XS0975320879  Corp</t>
  </si>
  <si>
    <t>Surgutneftegaz prewf</t>
  </si>
  <si>
    <t>05/05/16</t>
  </si>
  <si>
    <t>MICB</t>
  </si>
  <si>
    <t>RU000A0JWG05</t>
  </si>
  <si>
    <t>JK907252     Corp</t>
  </si>
  <si>
    <t>XFINRU 10 ½ 04/27/23</t>
  </si>
  <si>
    <t>12/10/15</t>
  </si>
  <si>
    <t>SBER</t>
  </si>
  <si>
    <t>EJ394063</t>
  </si>
  <si>
    <t>EJ394063     Corp</t>
  </si>
  <si>
    <t>VTB 6.95 10/17/22</t>
  </si>
  <si>
    <t>02/09/15</t>
  </si>
  <si>
    <t>EI178316</t>
  </si>
  <si>
    <t>EI178316     Corp</t>
  </si>
  <si>
    <t>VOSTOK 10 ½ 03/11/19</t>
  </si>
  <si>
    <t>12/19/14</t>
  </si>
  <si>
    <t>XS0889402029</t>
  </si>
  <si>
    <t>EJ548954     Corp</t>
  </si>
  <si>
    <t>VIP 9 02/13/18</t>
  </si>
  <si>
    <t>11/05/15</t>
  </si>
  <si>
    <t>RU000A0JS5F6</t>
  </si>
  <si>
    <t>EJ101924     Corp</t>
  </si>
  <si>
    <t>VIP 10 03/08/22</t>
  </si>
  <si>
    <t>09/09/16</t>
  </si>
  <si>
    <t>RU000A0JU9T5</t>
  </si>
  <si>
    <t>EJ920101     Corp</t>
  </si>
  <si>
    <t>VEBBNK 8 ¼ 11/06/18</t>
  </si>
  <si>
    <t>10/24/16</t>
  </si>
  <si>
    <t>BGN</t>
  </si>
  <si>
    <t>RU000A0JRTT9</t>
  </si>
  <si>
    <t>EJ801440     Corp</t>
  </si>
  <si>
    <t>UUUCN 10 ¼ 08/11/23</t>
  </si>
  <si>
    <t>10/26/16</t>
  </si>
  <si>
    <t>RU000A0JWWW7</t>
  </si>
  <si>
    <t>QZ914276     Corp</t>
  </si>
  <si>
    <t>SUEK 10 ½ 10/31/19</t>
  </si>
  <si>
    <t>10/08/14</t>
  </si>
  <si>
    <t>EJ359552</t>
  </si>
  <si>
    <t>EJ359552     Corp</t>
  </si>
  <si>
    <t>SIBNEF 4 ⅜ 09/19/22</t>
  </si>
  <si>
    <t>EJ951547</t>
  </si>
  <si>
    <t>EJ951547     Corp</t>
  </si>
  <si>
    <t>SIBNEF 6 11/27/23</t>
  </si>
  <si>
    <t>03/25/16</t>
  </si>
  <si>
    <t>RU000A0JWB75</t>
  </si>
  <si>
    <t>JK551531     Corp</t>
  </si>
  <si>
    <t>SIBNEF 10.65 02/16/46</t>
  </si>
  <si>
    <t>RU000A0JWB67</t>
  </si>
  <si>
    <t>JK533840     Corp</t>
  </si>
  <si>
    <t>04/06/16</t>
  </si>
  <si>
    <t>RU000A0JWC82</t>
  </si>
  <si>
    <t>JK628240     Corp</t>
  </si>
  <si>
    <t>RURAIL 10.3 03/25/26</t>
  </si>
  <si>
    <t>04/19/16</t>
  </si>
  <si>
    <t>RU000A0JWDN6</t>
  </si>
  <si>
    <t>JK744712     Corp</t>
  </si>
  <si>
    <t>RUALRU 12.85 04/07/26</t>
  </si>
  <si>
    <t>XS0884734343</t>
  </si>
  <si>
    <t>EJ536591     Corp</t>
  </si>
  <si>
    <t>RSHB 7 ⅞ 02/07/18</t>
  </si>
  <si>
    <t>12/15/15</t>
  </si>
  <si>
    <t>RU000A0JS751</t>
  </si>
  <si>
    <t>EJ142417     Corp</t>
  </si>
  <si>
    <t>RFLB 7.4 04/19/17</t>
  </si>
  <si>
    <t>12/11/15</t>
  </si>
  <si>
    <t>RU000A0JTKZ1</t>
  </si>
  <si>
    <t>EJ545131     Corp</t>
  </si>
  <si>
    <t>RFLB 6.2 01/31/18</t>
  </si>
  <si>
    <t>09/08/16</t>
  </si>
  <si>
    <t>RU000A0JW0S4</t>
  </si>
  <si>
    <t>JV410549     Corp</t>
  </si>
  <si>
    <t>PVYKON 13.1 12/09/25</t>
  </si>
  <si>
    <t>EJ644860</t>
  </si>
  <si>
    <t>EJ644860     Corp</t>
  </si>
  <si>
    <t>PGILLN 5 ⅝ 04/29/20</t>
  </si>
  <si>
    <t>EJ606056</t>
  </si>
  <si>
    <t>EJ606056     Corp</t>
  </si>
  <si>
    <t>MHPSA 8 ¼ 04/02/20</t>
  </si>
  <si>
    <t>03/29/16</t>
  </si>
  <si>
    <t>RU000A0JWBF6</t>
  </si>
  <si>
    <t>JK576342     Corp</t>
  </si>
  <si>
    <t>METINR 10.95 03/17/26</t>
  </si>
  <si>
    <t>09/28/16</t>
  </si>
  <si>
    <t>RU000A0JWU98</t>
  </si>
  <si>
    <t>QZ580267     Corp</t>
  </si>
  <si>
    <t>LSRGRM 10 ¾ 09/22/21</t>
  </si>
  <si>
    <t>EJ878424</t>
  </si>
  <si>
    <t>EJ878424     Corp</t>
  </si>
  <si>
    <t>HCFBRU 10 ½ 04/19/21</t>
  </si>
  <si>
    <t>02/22/17</t>
  </si>
  <si>
    <t>RU000A0JXE06</t>
  </si>
  <si>
    <t>AM281135     Corp</t>
  </si>
  <si>
    <t>GTLKOA 11 01/22/32</t>
  </si>
  <si>
    <t>08/18/16</t>
  </si>
  <si>
    <t>RU000A0JWBH2</t>
  </si>
  <si>
    <t>JK549945     Corp</t>
  </si>
  <si>
    <t>EVRAZ 12.6 03/23/21</t>
  </si>
  <si>
    <t>RU000A0JWDU1</t>
  </si>
  <si>
    <t>JK610487     Corp</t>
  </si>
  <si>
    <t>EUCHEM 10.6 04/19/19</t>
  </si>
  <si>
    <t>01/20/15</t>
  </si>
  <si>
    <t>EJ634925</t>
  </si>
  <si>
    <t>EJ634925     Corp</t>
  </si>
  <si>
    <t>EDCLLI 4 ⅞ 04/17/20</t>
  </si>
  <si>
    <t>12/02/14</t>
  </si>
  <si>
    <t>EXCH</t>
  </si>
  <si>
    <t>NL0009805522</t>
  </si>
  <si>
    <t>YNDX US</t>
  </si>
  <si>
    <t>10/17/14</t>
  </si>
  <si>
    <t>US92719A1060</t>
  </si>
  <si>
    <t>VIP US</t>
  </si>
  <si>
    <t>02/19/16</t>
  </si>
  <si>
    <t>RU0007661302</t>
  </si>
  <si>
    <t>URKA RM Equity</t>
  </si>
  <si>
    <t>URKA RM</t>
  </si>
  <si>
    <t>12/30/13</t>
  </si>
  <si>
    <t>RU000A0JNGA5</t>
  </si>
  <si>
    <t>UPRO RM Equity</t>
  </si>
  <si>
    <t>UPRO RM</t>
  </si>
  <si>
    <t>11/28/14</t>
  </si>
  <si>
    <t>RU000A0B6NK6</t>
  </si>
  <si>
    <t>TRMK RM Equity</t>
  </si>
  <si>
    <t>TRMK RM</t>
  </si>
  <si>
    <t>10/31/14</t>
  </si>
  <si>
    <t>RU000A0JNUD0</t>
  </si>
  <si>
    <t>TGKA RM Equity</t>
  </si>
  <si>
    <t>TGKA RM</t>
  </si>
  <si>
    <t>12/01/14</t>
  </si>
  <si>
    <t>RU0006914488</t>
  </si>
  <si>
    <t>SVAV RM Equity</t>
  </si>
  <si>
    <t>SVAV RM</t>
  </si>
  <si>
    <t>04/10/15</t>
  </si>
  <si>
    <t>RU0009062467</t>
  </si>
  <si>
    <t>SIBN RM Equity</t>
  </si>
  <si>
    <t>SIBN RM</t>
  </si>
  <si>
    <t>04/24/15</t>
  </si>
  <si>
    <t>RU000A0JR5Z5</t>
  </si>
  <si>
    <t>RUALR RM Equity</t>
  </si>
  <si>
    <t>RUALR RM</t>
  </si>
  <si>
    <t>07/08/15</t>
  </si>
  <si>
    <t>US74735M1080</t>
  </si>
  <si>
    <t>QIWI US</t>
  </si>
  <si>
    <t>11/25/13</t>
  </si>
  <si>
    <t>RU000A0JQU47</t>
  </si>
  <si>
    <t>PRTK RM Equity</t>
  </si>
  <si>
    <t>PRTK RM</t>
  </si>
  <si>
    <t>09/17/14</t>
  </si>
  <si>
    <t>JE00B6T5S470</t>
  </si>
  <si>
    <t>POLY LN</t>
  </si>
  <si>
    <t>04/27/16</t>
  </si>
  <si>
    <t>JE00B1VS3002</t>
  </si>
  <si>
    <t>PHPD LN</t>
  </si>
  <si>
    <t>JE00B1VS3770</t>
  </si>
  <si>
    <t>PHAU LN</t>
  </si>
  <si>
    <t>JE00B1VS3333</t>
  </si>
  <si>
    <t>PHAG LN</t>
  </si>
  <si>
    <t>US65557T2050</t>
  </si>
  <si>
    <t>NORD LI</t>
  </si>
  <si>
    <t>12/17/14</t>
  </si>
  <si>
    <t>RU0009084446</t>
  </si>
  <si>
    <t>NMTP RM Equity</t>
  </si>
  <si>
    <t>NMTP RM</t>
  </si>
  <si>
    <t>08/26/13</t>
  </si>
  <si>
    <t>RU0006765096</t>
  </si>
  <si>
    <t>NKNCP RM Equity</t>
  </si>
  <si>
    <t>NKNCP RM</t>
  </si>
  <si>
    <t>08/21/13</t>
  </si>
  <si>
    <t>RU0009100507</t>
  </si>
  <si>
    <t>NKNC RM Equity</t>
  </si>
  <si>
    <t>NKNC RM</t>
  </si>
  <si>
    <t>RU000A0JPGA0</t>
  </si>
  <si>
    <t>MVID RM Equity</t>
  </si>
  <si>
    <t>MVID RM</t>
  </si>
  <si>
    <t>11/29/13</t>
  </si>
  <si>
    <t>RU0007775219</t>
  </si>
  <si>
    <t>MTSS RM Equity</t>
  </si>
  <si>
    <t>MTSS RM</t>
  </si>
  <si>
    <t>RU000A0JPPN4</t>
  </si>
  <si>
    <t>MRKV RM Equity</t>
  </si>
  <si>
    <t>MRKV RM</t>
  </si>
  <si>
    <t>02/14/17</t>
  </si>
  <si>
    <t>US55302T2042</t>
  </si>
  <si>
    <t>MHPC LI Equity</t>
  </si>
  <si>
    <t>MHPC LI</t>
  </si>
  <si>
    <t>01/14/14</t>
  </si>
  <si>
    <t>RU000A0JS942</t>
  </si>
  <si>
    <t>MFON RM Equity</t>
  </si>
  <si>
    <t>MFON RM</t>
  </si>
  <si>
    <t>VGG572791041</t>
  </si>
  <si>
    <t>LXFT US</t>
  </si>
  <si>
    <t>01/24/14</t>
  </si>
  <si>
    <t>RU000A0JPFP0</t>
  </si>
  <si>
    <t>LSRG RM Equity</t>
  </si>
  <si>
    <t>LSRG RM</t>
  </si>
  <si>
    <t>01/08/14</t>
  </si>
  <si>
    <t>RU0009024277</t>
  </si>
  <si>
    <t>LKOH RM Equity</t>
  </si>
  <si>
    <t>LKOH RM</t>
  </si>
  <si>
    <t>US48666V2043</t>
  </si>
  <si>
    <t>KMG LI</t>
  </si>
  <si>
    <t>10/30/14</t>
  </si>
  <si>
    <t>RU0008959580</t>
  </si>
  <si>
    <t>KMAZ RM Equity</t>
  </si>
  <si>
    <t>KMAZ RM</t>
  </si>
  <si>
    <t>11/06/15</t>
  </si>
  <si>
    <t>US48668G2057</t>
  </si>
  <si>
    <t>KCEL LI</t>
  </si>
  <si>
    <t>04/02/15</t>
  </si>
  <si>
    <t>US40425X4079</t>
  </si>
  <si>
    <t>HMSG LI</t>
  </si>
  <si>
    <t>GB0032360173</t>
  </si>
  <si>
    <t>HGM LN</t>
  </si>
  <si>
    <t>01/18/16</t>
  </si>
  <si>
    <t>RU0007288411</t>
  </si>
  <si>
    <t>GMKN RM Equity</t>
  </si>
  <si>
    <t>GMKN RM</t>
  </si>
  <si>
    <t>10/22/14</t>
  </si>
  <si>
    <t>US37949E2046</t>
  </si>
  <si>
    <t>GLTR LI</t>
  </si>
  <si>
    <t>RU0007661625</t>
  </si>
  <si>
    <t>GAZP RM Equity</t>
  </si>
  <si>
    <t>GAZP RM</t>
  </si>
  <si>
    <t>US29760G1031</t>
  </si>
  <si>
    <t>ETLN LI</t>
  </si>
  <si>
    <t>09/14/16</t>
  </si>
  <si>
    <t>RU000A0JP7H1</t>
  </si>
  <si>
    <t>DIXY RM Equity</t>
  </si>
  <si>
    <t>DIXY RM</t>
  </si>
  <si>
    <t>04/14/14</t>
  </si>
  <si>
    <t>RU0009100945</t>
  </si>
  <si>
    <t>BSPB RM Equity</t>
  </si>
  <si>
    <t>BSPB RM</t>
  </si>
  <si>
    <t>10/21/14</t>
  </si>
  <si>
    <t>RU0007976965</t>
  </si>
  <si>
    <t>BANEP RM Equity</t>
  </si>
  <si>
    <t>BANEP RM</t>
  </si>
  <si>
    <t>08/21/15</t>
  </si>
  <si>
    <t>RU0007252813</t>
  </si>
  <si>
    <t>ALRS RM Equity</t>
  </si>
  <si>
    <t>ALRS RM</t>
  </si>
  <si>
    <t>Totals</t>
  </si>
  <si>
    <t>&lt;Search&gt;</t>
  </si>
  <si>
    <t>Cost Date</t>
  </si>
  <si>
    <t>Cost Val</t>
  </si>
  <si>
    <t>Accrued</t>
  </si>
  <si>
    <t>Principal</t>
  </si>
  <si>
    <t>FX Rate</t>
  </si>
  <si>
    <t>Price</t>
  </si>
  <si>
    <t>Market Val</t>
  </si>
  <si>
    <t>PCS</t>
  </si>
  <si>
    <t>Position</t>
  </si>
  <si>
    <t>ID</t>
  </si>
  <si>
    <t>PK</t>
  </si>
  <si>
    <t>Security</t>
  </si>
  <si>
    <t>Cost</t>
  </si>
  <si>
    <t>Current</t>
  </si>
  <si>
    <t>3/2/2017</t>
  </si>
  <si>
    <t>U18596676-7</t>
  </si>
  <si>
    <t>KORS US Equity</t>
  </si>
  <si>
    <t>AF206695     Corp</t>
  </si>
  <si>
    <t>AM269177     Corp</t>
  </si>
  <si>
    <t>TT343269     Corp</t>
  </si>
  <si>
    <t>Arena Deals Blotter</t>
  </si>
  <si>
    <t>Date: 2017.08.30 12:15:46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</si>
  <si>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</si>
  <si>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</si>
  <si>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</si>
  <si>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</si>
  <si>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</si>
  <si>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</si>
  <si>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</si>
  <si>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</si>
  <si>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</si>
  <si>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</si>
  <si>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</si>
  <si>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</si>
  <si>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</si>
  <si>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</si>
  <si>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</si>
  <si>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</si>
  <si>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</si>
  <si>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</si>
  <si>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</si>
  <si>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</si>
  <si>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</si>
  <si>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</si>
  <si>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</si>
  <si>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</si>
  <si>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</si>
  <si>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</si>
  <si>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</si>
  <si>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</si>
  <si>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</si>
  <si>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</si>
  <si>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 xml:space="preserve">    Instrument: 24018</t>
  </si>
  <si>
    <t xml:space="preserve">        Venue: MICEX_T2</t>
  </si>
  <si>
    <t>BON:16720081</t>
  </si>
  <si>
    <t>Valid</t>
  </si>
  <si>
    <t>XOQQF</t>
  </si>
  <si>
    <t>XOQQF.MICEX_T2</t>
  </si>
  <si>
    <t>QUIK</t>
  </si>
  <si>
    <t>BON-GKO/OFZ</t>
  </si>
  <si>
    <t>We Sell</t>
  </si>
  <si>
    <t>%</t>
  </si>
  <si>
    <t>RUR</t>
  </si>
  <si>
    <t>FI_LOCAL</t>
  </si>
  <si>
    <t>24018</t>
  </si>
  <si>
    <t>4 month</t>
  </si>
  <si>
    <t>119 days</t>
  </si>
  <si>
    <t>170829B_2741728277</t>
  </si>
  <si>
    <t>40576/</t>
  </si>
  <si>
    <t>BON:16720080</t>
  </si>
  <si>
    <t>170829B_2741728276</t>
  </si>
  <si>
    <t>BON:16720079</t>
  </si>
  <si>
    <t>170829B_2741728275</t>
  </si>
  <si>
    <t>BON:16720085</t>
  </si>
  <si>
    <t>170829B_2741729000</t>
  </si>
  <si>
    <t>BON:16720084</t>
  </si>
  <si>
    <t>170829B_2741728445</t>
  </si>
  <si>
    <t>BON:16720083</t>
  </si>
  <si>
    <t>170829B_2741728279</t>
  </si>
  <si>
    <t>BON:16720082</t>
  </si>
  <si>
    <t>170829B_2741728278</t>
  </si>
  <si>
    <t xml:space="preserve">    Instrument: AFKSRU19</t>
  </si>
  <si>
    <t xml:space="preserve">        Venue: OTC</t>
  </si>
  <si>
    <t>BON:16720070</t>
  </si>
  <si>
    <t>KDEOF</t>
  </si>
  <si>
    <t>*NAZIMANOV</t>
  </si>
  <si>
    <t>BON-USD</t>
  </si>
  <si>
    <t>We Buy</t>
  </si>
  <si>
    <t>*TDINV</t>
  </si>
  <si>
    <t>AFKSRU19</t>
  </si>
  <si>
    <t>1.5y - 2y</t>
  </si>
  <si>
    <t>625 days</t>
  </si>
  <si>
    <t xml:space="preserve">    Instrument: BKO_0_140619</t>
  </si>
  <si>
    <t>BON:16720014</t>
  </si>
  <si>
    <t>VAERF</t>
  </si>
  <si>
    <t>*DUBOV</t>
  </si>
  <si>
    <t>EUR</t>
  </si>
  <si>
    <t>BKO_0_140619</t>
  </si>
  <si>
    <t>653 days</t>
  </si>
  <si>
    <t xml:space="preserve">    Instrument: MRFGBZ23</t>
  </si>
  <si>
    <t>BON:16720126</t>
  </si>
  <si>
    <t>GBCLF</t>
  </si>
  <si>
    <t>*BERSEKOV</t>
  </si>
  <si>
    <t>MRFGBZ23</t>
  </si>
  <si>
    <t>6 year</t>
  </si>
  <si>
    <t>2108 days</t>
  </si>
  <si>
    <t>Prisyazhnyuk</t>
  </si>
  <si>
    <t xml:space="preserve">    Instrument: PETBRA21A</t>
  </si>
  <si>
    <t>BON:16720119</t>
  </si>
  <si>
    <t>PETBRA21A</t>
  </si>
  <si>
    <t>4 year</t>
  </si>
  <si>
    <t>1362 days</t>
  </si>
  <si>
    <t xml:space="preserve">    Instrument: SBER24</t>
  </si>
  <si>
    <t>BON:16720125</t>
  </si>
  <si>
    <t>VADCF</t>
  </si>
  <si>
    <t>SBER24</t>
  </si>
  <si>
    <t>7 year</t>
  </si>
  <si>
    <t>2371 days</t>
  </si>
  <si>
    <t>Ardasova</t>
  </si>
  <si>
    <t>Deal Type: Equities Deal</t>
  </si>
  <si>
    <t xml:space="preserve">    Instrument: ALBUS</t>
  </si>
  <si>
    <t>EQU:16720128</t>
  </si>
  <si>
    <t>SBRDF</t>
  </si>
  <si>
    <t>*KOSHKIN</t>
  </si>
  <si>
    <t>EQU-FORG</t>
  </si>
  <si>
    <t>ALBUS</t>
  </si>
  <si>
    <t xml:space="preserve">    Instrument: BACLI</t>
  </si>
  <si>
    <t>EQU:16720120</t>
  </si>
  <si>
    <t>BOOK1</t>
  </si>
  <si>
    <t>BACLI</t>
  </si>
  <si>
    <t>OMSMID-L-4FokRCV-00</t>
  </si>
  <si>
    <t xml:space="preserve">    Instrument: GMKN</t>
  </si>
  <si>
    <t>EQU:16720027</t>
  </si>
  <si>
    <t>VFRQF</t>
  </si>
  <si>
    <t>VFRQF.MICEX_T2</t>
  </si>
  <si>
    <t>EQU-LOCAL</t>
  </si>
  <si>
    <t>170829S_2741591953</t>
  </si>
  <si>
    <t>22093/</t>
  </si>
  <si>
    <t>EQU:16720028</t>
  </si>
  <si>
    <t>170829S_2741591954</t>
  </si>
  <si>
    <t>EQU:16720029</t>
  </si>
  <si>
    <t>170829S_2741591955</t>
  </si>
  <si>
    <t>EQU:16720030</t>
  </si>
  <si>
    <t>170829S_2741591956</t>
  </si>
  <si>
    <t>EQU:16720031</t>
  </si>
  <si>
    <t>170829S_2741591957</t>
  </si>
  <si>
    <t>EQU:16720032</t>
  </si>
  <si>
    <t>170829S_2741591958</t>
  </si>
  <si>
    <t>EQU:16720033</t>
  </si>
  <si>
    <t>170829S_2741591959</t>
  </si>
  <si>
    <t>EQU:16720034</t>
  </si>
  <si>
    <t>170829S_2741591960</t>
  </si>
  <si>
    <t>EQU:16720035</t>
  </si>
  <si>
    <t>170829S_2741591961</t>
  </si>
  <si>
    <t>EQU:16720036</t>
  </si>
  <si>
    <t>170829S_2741591962</t>
  </si>
  <si>
    <t>EQU:16720037</t>
  </si>
  <si>
    <t>170829S_2741591963</t>
  </si>
  <si>
    <t>EQU:16720022</t>
  </si>
  <si>
    <t>170829S_2741591948</t>
  </si>
  <si>
    <t>EQU:16720039</t>
  </si>
  <si>
    <t>170829S_2741591965</t>
  </si>
  <si>
    <t>EQU:16720040</t>
  </si>
  <si>
    <t>170829S_2741591966</t>
  </si>
  <si>
    <t>EQU:16720041</t>
  </si>
  <si>
    <t>170829S_2741591967</t>
  </si>
  <si>
    <t>EQU:16720026</t>
  </si>
  <si>
    <t>170829S_2741591952</t>
  </si>
  <si>
    <t>EQU:16720043</t>
  </si>
  <si>
    <t>170829S_2741591969</t>
  </si>
  <si>
    <t>EQU:16720044</t>
  </si>
  <si>
    <t>170829S_2741591970</t>
  </si>
  <si>
    <t>EQU:16720045</t>
  </si>
  <si>
    <t>170829S_2741591971</t>
  </si>
  <si>
    <t>EQU:16720046</t>
  </si>
  <si>
    <t>170829S_2741591972</t>
  </si>
  <si>
    <t>EQU:16720047</t>
  </si>
  <si>
    <t>170829S_2741591973</t>
  </si>
  <si>
    <t>EQU:16720048</t>
  </si>
  <si>
    <t>170829S_2741591974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</si>
  <si>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</si>
  <si>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</si>
  <si>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</si>
  <si>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</si>
  <si>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</si>
  <si>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</si>
  <si>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</si>
  <si>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</si>
  <si>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</si>
  <si>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</si>
  <si>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</si>
  <si>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</si>
  <si>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</si>
  <si>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</si>
  <si>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</si>
  <si>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</si>
  <si>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</si>
  <si>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</si>
  <si>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</si>
  <si>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</si>
  <si>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</si>
  <si>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</si>
  <si>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</si>
  <si>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</si>
  <si>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</si>
  <si>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</si>
  <si>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</si>
  <si>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</si>
  <si>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</si>
  <si>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</si>
  <si>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</si>
  <si>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</si>
  <si>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</si>
  <si>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</si>
  <si>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</si>
  <si>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</si>
  <si>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</si>
  <si>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</si>
  <si>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</si>
  <si>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</si>
  <si>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</si>
  <si>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</si>
  <si>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</si>
  <si>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</si>
  <si>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</si>
  <si>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</si>
  <si>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</si>
  <si>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</si>
  <si>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</si>
  <si>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</si>
  <si>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</si>
  <si>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</si>
  <si>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</si>
  <si>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</si>
  <si>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</si>
  <si>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</si>
  <si>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</si>
  <si>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</si>
  <si>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</si>
  <si>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</si>
  <si>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</si>
  <si>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</si>
  <si>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</si>
  <si>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</si>
  <si>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</si>
  <si>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</si>
  <si>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</si>
  <si>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</si>
  <si>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</si>
  <si>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</si>
  <si>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</si>
  <si>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</si>
  <si>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</si>
  <si>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</si>
  <si>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</si>
  <si>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</si>
  <si>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</si>
  <si>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</si>
  <si>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</si>
  <si>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</si>
  <si>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</si>
  <si>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</si>
  <si>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</si>
  <si>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</si>
  <si>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</si>
  <si>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</si>
  <si>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</si>
  <si>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</si>
  <si>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</si>
  <si>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</si>
  <si>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</si>
  <si>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</si>
  <si>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</si>
  <si>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</si>
  <si>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</si>
  <si>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</si>
  <si>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</si>
  <si>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</si>
  <si>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</si>
  <si>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</si>
  <si>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</si>
  <si>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</si>
  <si>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</si>
  <si>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</si>
  <si>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</si>
  <si>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</si>
  <si>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</si>
  <si>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</si>
  <si>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</si>
  <si>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</si>
  <si>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</si>
  <si>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</si>
  <si>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</si>
  <si>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</si>
  <si>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</si>
  <si>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</si>
  <si>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</si>
  <si>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</si>
  <si>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</si>
  <si>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</si>
  <si>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</si>
  <si>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</si>
  <si>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</si>
  <si>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</si>
  <si>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</si>
  <si>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</si>
  <si>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</si>
  <si>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</si>
  <si>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</si>
  <si>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</si>
  <si>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</si>
  <si>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</si>
  <si>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</si>
  <si>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</si>
  <si>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</si>
  <si>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</si>
  <si>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</si>
  <si>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</si>
  <si>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</si>
  <si>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</si>
  <si>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</si>
  <si>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</si>
  <si>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</si>
  <si>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</si>
  <si>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</si>
  <si>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</si>
  <si>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</si>
  <si>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</si>
  <si>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</si>
  <si>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</si>
  <si>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</si>
  <si>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</si>
  <si>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</si>
  <si>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</si>
  <si>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</si>
  <si>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</si>
  <si>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</si>
  <si>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</si>
  <si>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</si>
  <si>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</si>
  <si>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</si>
  <si>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</si>
  <si>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</si>
  <si>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</si>
  <si>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</si>
  <si>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</si>
  <si>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</si>
  <si>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</si>
  <si>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</si>
  <si>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</si>
  <si>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</si>
  <si>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</si>
  <si>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</si>
  <si>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</si>
  <si>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</si>
  <si>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</si>
  <si>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</si>
  <si>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</si>
  <si>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</si>
  <si>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</si>
  <si>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</si>
  <si>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</si>
  <si>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</si>
  <si>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</si>
  <si>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</si>
  <si>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</si>
  <si>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</si>
  <si>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</si>
  <si>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</si>
  <si>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</si>
  <si>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</si>
  <si>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</si>
  <si>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</si>
  <si>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</si>
  <si>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</si>
  <si>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</si>
  <si>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</si>
  <si>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</si>
  <si>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</si>
  <si>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</si>
  <si>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</si>
  <si>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</si>
  <si>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</si>
  <si>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</si>
  <si>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</si>
  <si>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</si>
  <si>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</si>
  <si>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</si>
  <si>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</si>
  <si>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</si>
  <si>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</si>
  <si>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</si>
  <si>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</si>
  <si>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</si>
  <si>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</si>
  <si>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</si>
  <si>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</si>
  <si>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</si>
  <si>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</si>
  <si>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</si>
  <si>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</si>
  <si>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</si>
  <si>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</si>
  <si>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</si>
  <si>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</si>
  <si>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</si>
  <si>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</si>
  <si>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</si>
  <si>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</si>
  <si>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</si>
  <si>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</si>
  <si>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</si>
  <si>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</si>
  <si>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</si>
  <si>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</si>
  <si>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</si>
  <si>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</si>
  <si>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</si>
  <si>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</si>
  <si>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</si>
  <si>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</si>
  <si>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</si>
  <si>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</si>
  <si>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</si>
  <si>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</si>
  <si>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</si>
  <si>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</si>
  <si>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</si>
  <si>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</si>
  <si>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</si>
  <si>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</si>
  <si>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</si>
  <si>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</si>
  <si>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</si>
  <si>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</si>
  <si>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</si>
  <si>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</si>
  <si>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</si>
  <si>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</si>
  <si>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</si>
  <si>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</si>
  <si>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</si>
  <si>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</si>
  <si>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</si>
  <si>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</si>
  <si>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</si>
  <si>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</si>
  <si>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</si>
  <si>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</si>
  <si>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</si>
  <si>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</si>
  <si>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</si>
  <si>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</si>
  <si>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</si>
  <si>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</si>
  <si>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</si>
  <si>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</si>
  <si>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</si>
  <si>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</si>
  <si>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</si>
  <si>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</si>
  <si>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</si>
  <si>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</si>
  <si>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</si>
  <si>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</si>
  <si>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</si>
  <si>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</si>
  <si>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</si>
  <si>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</si>
  <si>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</si>
  <si>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</si>
  <si>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</si>
  <si>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</si>
  <si>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</si>
  <si>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</si>
  <si>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</si>
  <si>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</si>
  <si>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</si>
  <si>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</si>
  <si>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</si>
  <si>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</si>
  <si>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</si>
  <si>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</si>
  <si>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</si>
  <si>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</si>
  <si>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</si>
  <si>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</si>
  <si>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</si>
  <si>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</si>
  <si>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</si>
  <si>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</si>
  <si>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</si>
  <si>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</si>
  <si>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</si>
  <si>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</si>
  <si>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</si>
  <si>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</si>
  <si>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</si>
  <si>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</si>
  <si>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</si>
  <si>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</si>
  <si>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</si>
  <si>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</si>
  <si>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</si>
  <si>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</si>
  <si>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</si>
  <si>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</si>
  <si>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</si>
  <si>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</si>
  <si>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</si>
  <si>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</si>
  <si>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</si>
  <si>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</si>
  <si>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</si>
  <si>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</si>
  <si>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</si>
  <si>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</si>
  <si>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</si>
  <si>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</si>
  <si>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</si>
  <si>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</si>
  <si>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</si>
  <si>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</si>
  <si>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</si>
  <si>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</si>
  <si>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</si>
  <si>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</si>
  <si>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</si>
  <si>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</si>
  <si>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</si>
  <si>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</si>
  <si>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</si>
  <si>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</si>
  <si>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</si>
  <si>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</si>
  <si>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</si>
  <si>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</si>
  <si>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</si>
  <si>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</si>
  <si>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</si>
  <si>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</si>
  <si>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</si>
  <si>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</si>
  <si>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</si>
  <si>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</si>
  <si>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</si>
  <si>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</si>
  <si>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</si>
  <si>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</si>
  <si>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</si>
  <si>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</si>
  <si>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</si>
  <si>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</si>
  <si>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</si>
  <si>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</si>
  <si>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</si>
  <si>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</si>
  <si>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</si>
  <si>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</si>
  <si>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</si>
  <si>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</si>
  <si>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</si>
  <si>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</si>
  <si>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</si>
  <si>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</si>
  <si>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</si>
  <si>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</si>
  <si>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</si>
  <si>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</si>
  <si>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</si>
  <si>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</si>
  <si>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</si>
  <si>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</si>
  <si>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</si>
  <si>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</si>
  <si>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</si>
  <si>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</si>
  <si>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</si>
  <si>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</si>
  <si>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</si>
  <si>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</si>
  <si>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</si>
  <si>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</si>
  <si>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</si>
  <si>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</si>
  <si>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</si>
  <si>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</si>
  <si>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</si>
  <si>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</si>
  <si>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</si>
  <si>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</si>
  <si>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</si>
  <si>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</si>
  <si>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</si>
  <si>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</si>
  <si>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</si>
  <si>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</si>
  <si>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</si>
  <si>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</si>
  <si>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</si>
  <si>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</si>
  <si>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</si>
  <si>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</si>
  <si>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</si>
  <si>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</si>
  <si>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</si>
  <si>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</si>
  <si>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</si>
  <si>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</si>
  <si>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</si>
  <si>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</si>
  <si>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</si>
  <si>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</si>
  <si>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</si>
  <si>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</si>
  <si>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</si>
  <si>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</si>
  <si>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</si>
  <si>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</si>
  <si>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</si>
  <si>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</si>
  <si>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</si>
  <si>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</si>
  <si>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</si>
  <si>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</si>
  <si>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</si>
  <si>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</si>
  <si>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</si>
  <si>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</si>
  <si>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</si>
  <si>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</si>
  <si>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</si>
  <si>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</si>
  <si>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</si>
  <si>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</si>
  <si>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</si>
  <si>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</si>
  <si>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</si>
  <si>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</si>
  <si>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</si>
  <si>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</si>
  <si>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</si>
  <si>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</si>
  <si>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</si>
  <si>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</si>
  <si>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</si>
  <si>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</si>
  <si>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</si>
  <si>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</si>
  <si>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</si>
  <si>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</si>
  <si>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</si>
  <si>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</si>
  <si>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</si>
  <si>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</si>
  <si>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</si>
  <si>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</si>
  <si>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</si>
  <si>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</si>
  <si>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</si>
  <si>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</si>
  <si>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</si>
  <si>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</si>
  <si>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</si>
  <si>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</si>
  <si>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</si>
  <si>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</si>
  <si>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</si>
  <si>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</si>
  <si>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</si>
  <si>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</si>
  <si>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</si>
  <si>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</si>
  <si>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</si>
  <si>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</si>
  <si>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</si>
  <si>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</si>
  <si>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</si>
  <si>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</si>
  <si>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</si>
  <si>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</si>
  <si>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</si>
  <si>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</si>
  <si>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</si>
  <si>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</si>
  <si>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</si>
  <si>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</si>
  <si>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</si>
  <si>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</si>
  <si>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</si>
  <si>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</si>
  <si>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</si>
  <si>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</si>
  <si>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</si>
  <si>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</si>
  <si>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</si>
  <si>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</si>
  <si>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</si>
  <si>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</si>
  <si>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</si>
  <si>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</si>
  <si>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</si>
  <si>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</si>
  <si>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</si>
  <si>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</si>
  <si>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</si>
  <si>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</si>
  <si>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</si>
  <si>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</si>
  <si>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</si>
  <si>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</si>
  <si>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</si>
  <si>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</si>
  <si>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</si>
  <si>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</si>
  <si>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</si>
  <si>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</si>
  <si>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</si>
  <si>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</si>
  <si>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</si>
  <si>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</si>
  <si>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</si>
  <si>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</si>
  <si>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</si>
  <si>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</si>
  <si>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</si>
  <si>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</si>
  <si>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</si>
  <si>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</si>
  <si>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</si>
  <si>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</si>
  <si>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</si>
  <si>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</si>
  <si>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</si>
  <si>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</si>
  <si>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</si>
  <si>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</si>
  <si>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</si>
  <si>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</si>
  <si>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</si>
  <si>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</si>
  <si>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</si>
  <si>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</si>
  <si>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</si>
  <si>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</si>
  <si>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</si>
  <si>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</si>
  <si>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</si>
  <si>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</si>
  <si>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</si>
  <si>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</si>
  <si>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</si>
  <si>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</si>
  <si>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</si>
  <si>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</si>
  <si>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</si>
  <si>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</si>
  <si>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</si>
  <si>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</si>
  <si>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</si>
  <si>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</si>
  <si>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</si>
  <si>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</si>
  <si>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</si>
  <si>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</si>
  <si>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</si>
  <si>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</si>
  <si>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</si>
  <si>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</si>
  <si>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</si>
  <si>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</si>
  <si>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</si>
  <si>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</si>
  <si>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</si>
  <si>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</si>
  <si>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</si>
  <si>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</si>
  <si>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</si>
  <si>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</si>
  <si>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</si>
  <si>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</si>
  <si>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</si>
  <si>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</si>
  <si>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</si>
  <si>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</si>
  <si>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</si>
  <si>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</si>
  <si>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</si>
  <si>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</si>
  <si>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</si>
  <si>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</si>
  <si>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</si>
  <si>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</si>
  <si>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</si>
  <si>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</si>
  <si>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</si>
  <si>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</si>
  <si>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</si>
  <si>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</si>
  <si>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</si>
  <si>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</si>
  <si>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</si>
  <si>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</si>
  <si>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</si>
  <si>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</si>
  <si>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</si>
  <si>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</si>
  <si>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</si>
  <si>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</si>
  <si>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</si>
  <si>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</si>
  <si>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</si>
  <si>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</si>
  <si>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</si>
  <si>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</si>
  <si>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</si>
  <si>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</si>
  <si>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</si>
  <si>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</si>
  <si>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</si>
  <si>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</si>
  <si>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</si>
  <si>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</si>
  <si>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</si>
  <si>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</si>
  <si>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</si>
  <si>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</si>
  <si>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</si>
  <si>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</si>
  <si>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</si>
  <si>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</si>
  <si>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</si>
  <si>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</si>
  <si>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</si>
  <si>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</si>
  <si>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</si>
  <si>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</si>
  <si>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</si>
  <si>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</si>
  <si>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</si>
  <si>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</si>
  <si>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</si>
  <si>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</si>
  <si>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</si>
  <si>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</si>
  <si>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</si>
  <si>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</si>
  <si>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</si>
  <si>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</si>
  <si>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</si>
  <si>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</si>
  <si>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</si>
  <si>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</si>
  <si>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</si>
  <si>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</si>
  <si>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</si>
  <si>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</si>
  <si>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</si>
  <si>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</si>
  <si>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</si>
  <si>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</si>
  <si>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</si>
  <si>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</si>
  <si>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</si>
  <si>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</si>
  <si>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</si>
  <si>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</si>
  <si>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</si>
  <si>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</si>
  <si>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</si>
  <si>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</si>
  <si>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</si>
  <si>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</si>
  <si>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</si>
  <si>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</si>
  <si>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</si>
  <si>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</si>
  <si>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</si>
  <si>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</si>
  <si>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</si>
  <si>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</si>
  <si>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</si>
  <si>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</si>
  <si>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</si>
  <si>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</si>
  <si>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</si>
  <si>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</si>
  <si>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</si>
  <si>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TT343269 Corp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</si>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</sst>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_-* #,##0.00_р_._-;\-* #,##0.00_р_._-;_-* &quot;-&quot;??_р_._-;_-@_-"/>
    <numFmt numFmtId="165" formatCode="_-* #,##0.00_р_-;\-* #,##0.00_р_-;_-* &quot;-&quot;??_р_-;_-@_-"/>
    <numFmt numFmtId="166" formatCode="0.0000"/>
    <numFmt numFmtId="167" formatCode="_-* #,##0_р_._-;\-* #,##0_р_._-;_-* &quot;-&quot;??_р_._-;_-@_-"/>
    <numFmt numFmtId="168" formatCode="#,##0.000000"/>
    <numFmt numFmtId="169" formatCode="0.000%"/>
    <numFmt numFmtId="170" formatCode="#,##0.0000_);\(#,##0.0000\);\–_);&quot;–&quot;_)"/>
    <numFmt numFmtId="171" formatCode="#,##0_);\(#,##0\);\–_);&quot;–&quot;_)"/>
    <numFmt numFmtId="172" formatCode="&quot;$&quot;#,##0_);\(&quot;$&quot;#,##0\);\–_);&quot;–&quot;_)"/>
    <numFmt numFmtId="173" formatCode="#,##0.000000_);\(#,##0.000000\);\–_);&quot;–&quot;_)"/>
    <numFmt numFmtId="174" formatCode="#,##0.00_);\(#,##0.00\);\–_);&quot;–&quot;_)"/>
    <numFmt numFmtId="175" formatCode="0.0%"/>
    <numFmt numFmtId="176" formatCode="#,##0.00000"/>
    <numFmt numFmtId="177" formatCode="#,##0.0000"/>
    <numFmt numFmtId="178" formatCode="#,##0.000"/>
    <numFmt numFmtId="179" formatCode="#,##0.0"/>
    <numFmt numFmtId="180" formatCode="#,##0.0_);\(#,##0.0\);\–_);&quot;–&quot;_)"/>
    <numFmt numFmtId="181" formatCode="#,##0.000_);\(#,##0.000\);\–_);&quot;–&quot;_)"/>
    <numFmt numFmtId="182" formatCode="#,##0.00000_);\(#,##0.00000\);\–_);&quot;–&quot;_)"/>
    <numFmt numFmtId="183" formatCode="0.000"/>
    <numFmt numFmtId="184" formatCode="0.0000000"/>
    <numFmt numFmtId="185" formatCode="#,##0_ ;\-#,##0\ "/>
    <numFmt numFmtId="186" formatCode="0.0"/>
    <numFmt numFmtId="187" formatCode="#,##0.###############"/>
    <numFmt numFmtId="188" formatCode="dd\.mm\.yyyy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b/>
      <sz val="10"/>
      <color theme="3" tint="-0.249977111117893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0"/>
      <color rgb="FF00B05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color theme="1"/>
      <name val="Calibri"/>
      <family val="2"/>
      <charset val="204"/>
      <scheme val="minor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6"/>
      <color theme="1"/>
      <name val="Calibri"/>
      <family val="2"/>
      <charset val="204"/>
      <scheme val="minor"/>
    </font>
    <font>
      <sz val="10"/>
      <color indexed="8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rgb="FF000000"/>
      </left>
      <right/>
      <top/>
      <bottom/>
      <diagonal/>
    </border>
    <border>
      <left style="thin">
        <color indexed="64"/>
      </left>
      <right style="dotted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tted">
        <color rgb="FF000000"/>
      </left>
      <right style="dotted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2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3" fillId="6" borderId="0"/>
    <xf numFmtId="0" fontId="1" fillId="0" borderId="0"/>
    <xf numFmtId="9" fontId="23" fillId="0" borderId="0" applyFont="0" applyFill="0" applyBorder="0" applyAlignment="0" applyProtection="0"/>
    <xf numFmtId="0" fontId="23" fillId="0" borderId="0"/>
    <xf numFmtId="165" fontId="23" fillId="0" borderId="0" applyFont="0" applyFill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11" borderId="16" applyNumberFormat="0" applyFont="0" applyAlignment="0" applyProtection="0"/>
    <xf numFmtId="0" fontId="35" fillId="0" borderId="0"/>
  </cellStyleXfs>
  <cellXfs count="851">
    <xf numFmtId="0" fontId="0" fillId="0" borderId="0" xfId="0"/>
    <xf numFmtId="0" fontId="0" fillId="4" borderId="0" xfId="0" applyFill="1"/>
    <xf numFmtId="0" fontId="2" fillId="4" borderId="0" xfId="0" applyFont="1" applyFill="1" applyBorder="1"/>
    <xf numFmtId="3" fontId="2" fillId="4" borderId="0" xfId="0" applyNumberFormat="1" applyFont="1" applyFill="1" applyBorder="1"/>
    <xf numFmtId="9" fontId="2" fillId="4" borderId="0" xfId="2" applyFont="1" applyFill="1" applyBorder="1"/>
    <xf numFmtId="1" fontId="2" fillId="4" borderId="0" xfId="0" applyNumberFormat="1" applyFont="1" applyFill="1" applyBorder="1"/>
    <xf numFmtId="4" fontId="2" fillId="4" borderId="0" xfId="0" applyNumberFormat="1" applyFont="1" applyFill="1" applyBorder="1"/>
    <xf numFmtId="2" fontId="2" fillId="4" borderId="0" xfId="2" applyNumberFormat="1" applyFont="1" applyFill="1" applyBorder="1"/>
    <xf numFmtId="0" fontId="0" fillId="0" borderId="0" xfId="0" applyFill="1"/>
    <xf numFmtId="0" fontId="4" fillId="0" borderId="0" xfId="3"/>
    <xf numFmtId="4" fontId="4" fillId="0" borderId="0" xfId="3" applyNumberFormat="1"/>
    <xf numFmtId="168" fontId="4" fillId="0" borderId="0" xfId="3" applyNumberFormat="1"/>
    <xf numFmtId="10" fontId="4" fillId="0" borderId="0" xfId="2" applyNumberFormat="1" applyFont="1"/>
    <xf numFmtId="169" fontId="4" fillId="0" borderId="0" xfId="3" applyNumberFormat="1"/>
    <xf numFmtId="14" fontId="5" fillId="0" borderId="0" xfId="0" applyNumberFormat="1" applyFont="1" applyFill="1" applyBorder="1"/>
    <xf numFmtId="171" fontId="6" fillId="0" borderId="2" xfId="0" applyNumberFormat="1" applyFont="1" applyBorder="1"/>
    <xf numFmtId="172" fontId="6" fillId="0" borderId="2" xfId="0" applyNumberFormat="1" applyFont="1" applyBorder="1"/>
    <xf numFmtId="173" fontId="5" fillId="0" borderId="2" xfId="0" applyNumberFormat="1" applyFont="1" applyBorder="1"/>
    <xf numFmtId="0" fontId="7" fillId="0" borderId="2" xfId="0" applyFont="1" applyFill="1" applyBorder="1"/>
    <xf numFmtId="171" fontId="5" fillId="0" borderId="2" xfId="0" applyNumberFormat="1" applyFont="1" applyFill="1" applyBorder="1"/>
    <xf numFmtId="0" fontId="6" fillId="0" borderId="2" xfId="0" applyFont="1" applyBorder="1"/>
    <xf numFmtId="0" fontId="6" fillId="0" borderId="3" xfId="0" applyFont="1" applyFill="1" applyBorder="1"/>
    <xf numFmtId="174" fontId="5" fillId="0" borderId="2" xfId="0" applyNumberFormat="1" applyFont="1" applyBorder="1"/>
    <xf numFmtId="0" fontId="8" fillId="5" borderId="0" xfId="0" applyFont="1" applyFill="1" applyBorder="1" applyAlignment="1">
      <alignment horizontal="left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wrapText="1"/>
    </xf>
    <xf numFmtId="0" fontId="8" fillId="5" borderId="4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center"/>
    </xf>
    <xf numFmtId="0" fontId="9" fillId="5" borderId="4" xfId="0" applyFont="1" applyFill="1" applyBorder="1" applyAlignment="1"/>
    <xf numFmtId="3" fontId="4" fillId="0" borderId="0" xfId="3" applyNumberFormat="1"/>
    <xf numFmtId="3" fontId="10" fillId="0" borderId="0" xfId="3" applyNumberFormat="1" applyFont="1"/>
    <xf numFmtId="4" fontId="4" fillId="0" borderId="0" xfId="3" applyNumberFormat="1" applyFill="1" applyBorder="1"/>
    <xf numFmtId="0" fontId="10" fillId="0" borderId="0" xfId="3" applyFont="1"/>
    <xf numFmtId="0" fontId="4" fillId="0" borderId="0" xfId="3" applyFont="1"/>
    <xf numFmtId="0" fontId="10" fillId="0" borderId="0" xfId="3" applyFont="1" applyFill="1" applyBorder="1" applyAlignment="1">
      <alignment horizontal="left" indent="1"/>
    </xf>
    <xf numFmtId="0" fontId="10" fillId="0" borderId="0" xfId="3" applyFont="1" applyBorder="1"/>
    <xf numFmtId="4" fontId="4" fillId="0" borderId="0" xfId="3" applyNumberFormat="1" applyFont="1"/>
    <xf numFmtId="4" fontId="4" fillId="0" borderId="0" xfId="3" applyNumberFormat="1" applyFont="1" applyBorder="1"/>
    <xf numFmtId="4" fontId="4" fillId="0" borderId="0" xfId="3" applyNumberFormat="1" applyFont="1" applyFill="1" applyBorder="1"/>
    <xf numFmtId="0" fontId="4" fillId="0" borderId="0" xfId="3" applyBorder="1"/>
    <xf numFmtId="3" fontId="10" fillId="0" borderId="0" xfId="3" applyNumberFormat="1" applyFont="1" applyBorder="1"/>
    <xf numFmtId="0" fontId="4" fillId="0" borderId="0" xfId="3" applyFont="1" applyBorder="1"/>
    <xf numFmtId="3" fontId="4" fillId="0" borderId="0" xfId="3" applyNumberFormat="1" applyFont="1" applyBorder="1"/>
    <xf numFmtId="3" fontId="4" fillId="0" borderId="0" xfId="3" applyNumberFormat="1" applyFont="1" applyFill="1" applyBorder="1"/>
    <xf numFmtId="10" fontId="4" fillId="0" borderId="0" xfId="4" applyNumberFormat="1" applyFont="1" applyFill="1" applyBorder="1"/>
    <xf numFmtId="171" fontId="4" fillId="0" borderId="0" xfId="3" applyNumberFormat="1" applyFont="1" applyBorder="1"/>
    <xf numFmtId="0" fontId="10" fillId="0" borderId="0" xfId="3" applyFont="1" applyFill="1" applyBorder="1"/>
    <xf numFmtId="175" fontId="12" fillId="0" borderId="0" xfId="4" applyNumberFormat="1" applyFont="1" applyFill="1" applyBorder="1"/>
    <xf numFmtId="0" fontId="4" fillId="0" borderId="0" xfId="3" applyFont="1" applyFill="1"/>
    <xf numFmtId="0" fontId="10" fillId="0" borderId="0" xfId="3" applyFont="1" applyFill="1"/>
    <xf numFmtId="0" fontId="14" fillId="7" borderId="0" xfId="5" applyNumberFormat="1" applyFont="1" applyFill="1" applyBorder="1" applyAlignment="1" applyProtection="1">
      <alignment wrapText="1"/>
    </xf>
    <xf numFmtId="0" fontId="14" fillId="7" borderId="0" xfId="5" applyNumberFormat="1" applyFont="1" applyFill="1" applyBorder="1" applyAlignment="1" applyProtection="1"/>
    <xf numFmtId="3" fontId="11" fillId="0" borderId="0" xfId="3" applyNumberFormat="1" applyFont="1" applyBorder="1"/>
    <xf numFmtId="3" fontId="15" fillId="0" borderId="0" xfId="3" applyNumberFormat="1" applyFont="1" applyBorder="1"/>
    <xf numFmtId="10" fontId="10" fillId="0" borderId="0" xfId="4" applyNumberFormat="1" applyFont="1" applyBorder="1"/>
    <xf numFmtId="3" fontId="11" fillId="0" borderId="5" xfId="3" applyNumberFormat="1" applyFont="1" applyBorder="1"/>
    <xf numFmtId="3" fontId="15" fillId="0" borderId="5" xfId="3" applyNumberFormat="1" applyFont="1" applyBorder="1"/>
    <xf numFmtId="3" fontId="10" fillId="0" borderId="5" xfId="3" applyNumberFormat="1" applyFont="1" applyBorder="1"/>
    <xf numFmtId="0" fontId="4" fillId="0" borderId="5" xfId="3" applyFont="1" applyBorder="1"/>
    <xf numFmtId="10" fontId="10" fillId="0" borderId="5" xfId="4" applyNumberFormat="1" applyFont="1" applyBorder="1"/>
    <xf numFmtId="0" fontId="4" fillId="8" borderId="0" xfId="3" applyFill="1" applyBorder="1" applyAlignment="1">
      <alignment horizontal="left" indent="1"/>
    </xf>
    <xf numFmtId="3" fontId="16" fillId="8" borderId="0" xfId="3" applyNumberFormat="1" applyFont="1" applyFill="1" applyBorder="1"/>
    <xf numFmtId="3" fontId="15" fillId="8" borderId="0" xfId="3" applyNumberFormat="1" applyFont="1" applyFill="1" applyBorder="1"/>
    <xf numFmtId="3" fontId="4" fillId="8" borderId="0" xfId="3" applyNumberFormat="1" applyFill="1" applyBorder="1"/>
    <xf numFmtId="3" fontId="4" fillId="8" borderId="0" xfId="3" applyNumberFormat="1" applyFont="1" applyFill="1" applyBorder="1"/>
    <xf numFmtId="10" fontId="4" fillId="8" borderId="0" xfId="4" applyNumberFormat="1" applyFont="1" applyFill="1" applyBorder="1"/>
    <xf numFmtId="174" fontId="10" fillId="8" borderId="0" xfId="3" applyNumberFormat="1" applyFont="1" applyFill="1" applyBorder="1"/>
    <xf numFmtId="4" fontId="10" fillId="8" borderId="0" xfId="3" applyNumberFormat="1" applyFont="1" applyFill="1" applyBorder="1"/>
    <xf numFmtId="0" fontId="10" fillId="8" borderId="0" xfId="3" applyFont="1" applyFill="1" applyBorder="1"/>
    <xf numFmtId="3" fontId="16" fillId="0" borderId="0" xfId="3" applyNumberFormat="1" applyFont="1" applyBorder="1"/>
    <xf numFmtId="4" fontId="10" fillId="0" borderId="0" xfId="3" applyNumberFormat="1" applyFont="1" applyBorder="1"/>
    <xf numFmtId="0" fontId="6" fillId="0" borderId="0" xfId="0" applyFont="1" applyFill="1" applyBorder="1"/>
    <xf numFmtId="0" fontId="6" fillId="0" borderId="0" xfId="0" applyFont="1" applyBorder="1"/>
    <xf numFmtId="0" fontId="7" fillId="0" borderId="0" xfId="0" applyFont="1" applyFill="1" applyBorder="1"/>
    <xf numFmtId="171" fontId="5" fillId="0" borderId="0" xfId="0" applyNumberFormat="1" applyFont="1" applyFill="1" applyBorder="1"/>
    <xf numFmtId="174" fontId="5" fillId="0" borderId="0" xfId="0" applyNumberFormat="1" applyFont="1" applyBorder="1"/>
    <xf numFmtId="171" fontId="6" fillId="0" borderId="0" xfId="0" applyNumberFormat="1" applyFont="1" applyBorder="1"/>
    <xf numFmtId="172" fontId="6" fillId="0" borderId="0" xfId="0" applyNumberFormat="1" applyFont="1" applyBorder="1"/>
    <xf numFmtId="170" fontId="6" fillId="0" borderId="0" xfId="0" applyNumberFormat="1" applyFont="1" applyBorder="1"/>
    <xf numFmtId="171" fontId="17" fillId="0" borderId="0" xfId="0" applyNumberFormat="1" applyFont="1" applyFill="1" applyBorder="1"/>
    <xf numFmtId="174" fontId="17" fillId="0" borderId="0" xfId="0" applyNumberFormat="1" applyFont="1" applyBorder="1"/>
    <xf numFmtId="174" fontId="18" fillId="0" borderId="0" xfId="0" applyNumberFormat="1" applyFont="1" applyBorder="1"/>
    <xf numFmtId="2" fontId="16" fillId="0" borderId="0" xfId="2" applyNumberFormat="1" applyFont="1" applyFill="1" applyBorder="1"/>
    <xf numFmtId="0" fontId="14" fillId="7" borderId="0" xfId="5" applyNumberFormat="1" applyFont="1" applyFill="1" applyBorder="1" applyAlignment="1" applyProtection="1">
      <alignment horizontal="center" wrapText="1"/>
    </xf>
    <xf numFmtId="181" fontId="5" fillId="0" borderId="2" xfId="0" applyNumberFormat="1" applyFont="1" applyBorder="1"/>
    <xf numFmtId="170" fontId="19" fillId="0" borderId="2" xfId="0" applyNumberFormat="1" applyFont="1" applyBorder="1"/>
    <xf numFmtId="170" fontId="19" fillId="0" borderId="0" xfId="0" applyNumberFormat="1" applyFont="1" applyBorder="1"/>
    <xf numFmtId="0" fontId="20" fillId="0" borderId="0" xfId="0" applyFont="1" applyFill="1" applyBorder="1"/>
    <xf numFmtId="174" fontId="17" fillId="0" borderId="0" xfId="0" applyNumberFormat="1" applyFont="1" applyFill="1" applyBorder="1"/>
    <xf numFmtId="182" fontId="5" fillId="0" borderId="2" xfId="0" applyNumberFormat="1" applyFont="1" applyBorder="1"/>
    <xf numFmtId="173" fontId="5" fillId="0" borderId="0" xfId="0" applyNumberFormat="1" applyFont="1" applyBorder="1"/>
    <xf numFmtId="182" fontId="17" fillId="0" borderId="0" xfId="0" applyNumberFormat="1" applyFont="1" applyBorder="1"/>
    <xf numFmtId="173" fontId="17" fillId="0" borderId="0" xfId="0" applyNumberFormat="1" applyFont="1" applyBorder="1"/>
    <xf numFmtId="181" fontId="17" fillId="0" borderId="0" xfId="0" applyNumberFormat="1" applyFont="1" applyBorder="1"/>
    <xf numFmtId="180" fontId="5" fillId="0" borderId="2" xfId="0" applyNumberFormat="1" applyFont="1" applyBorder="1"/>
    <xf numFmtId="180" fontId="17" fillId="0" borderId="0" xfId="0" applyNumberFormat="1" applyFont="1" applyBorder="1"/>
    <xf numFmtId="171" fontId="17" fillId="0" borderId="2" xfId="0" applyNumberFormat="1" applyFont="1" applyFill="1" applyBorder="1"/>
    <xf numFmtId="174" fontId="17" fillId="0" borderId="2" xfId="0" applyNumberFormat="1" applyFont="1" applyBorder="1"/>
    <xf numFmtId="9" fontId="11" fillId="0" borderId="0" xfId="2" applyNumberFormat="1" applyFont="1" applyBorder="1"/>
    <xf numFmtId="2" fontId="17" fillId="0" borderId="0" xfId="2" applyNumberFormat="1" applyFont="1" applyBorder="1"/>
    <xf numFmtId="0" fontId="17" fillId="0" borderId="0" xfId="2" applyNumberFormat="1" applyFont="1" applyBorder="1"/>
    <xf numFmtId="10" fontId="10" fillId="8" borderId="0" xfId="2" applyNumberFormat="1" applyFont="1" applyFill="1" applyBorder="1"/>
    <xf numFmtId="0" fontId="10" fillId="0" borderId="10" xfId="3" applyFont="1" applyFill="1" applyBorder="1"/>
    <xf numFmtId="0" fontId="4" fillId="0" borderId="0" xfId="3" applyFont="1" applyFill="1" applyBorder="1"/>
    <xf numFmtId="171" fontId="4" fillId="0" borderId="0" xfId="3" applyNumberFormat="1" applyFont="1" applyFill="1" applyBorder="1"/>
    <xf numFmtId="4" fontId="10" fillId="0" borderId="0" xfId="3" applyNumberFormat="1" applyFont="1" applyFill="1" applyBorder="1"/>
    <xf numFmtId="0" fontId="4" fillId="0" borderId="0" xfId="3" applyFont="1" applyFill="1" applyBorder="1" applyAlignment="1">
      <alignment horizontal="left" indent="1"/>
    </xf>
    <xf numFmtId="0" fontId="10" fillId="2" borderId="0" xfId="3" applyFont="1" applyFill="1" applyBorder="1"/>
    <xf numFmtId="0" fontId="10" fillId="0" borderId="11" xfId="3" applyFont="1" applyFill="1" applyBorder="1"/>
    <xf numFmtId="0" fontId="0" fillId="0" borderId="0" xfId="0"/>
    <xf numFmtId="0" fontId="4" fillId="0" borderId="10" xfId="3" applyBorder="1"/>
    <xf numFmtId="3" fontId="10" fillId="2" borderId="5" xfId="3" applyNumberFormat="1" applyFont="1" applyFill="1" applyBorder="1"/>
    <xf numFmtId="3" fontId="15" fillId="2" borderId="5" xfId="3" applyNumberFormat="1" applyFont="1" applyFill="1" applyBorder="1"/>
    <xf numFmtId="9" fontId="11" fillId="2" borderId="0" xfId="2" applyNumberFormat="1" applyFont="1" applyFill="1" applyBorder="1"/>
    <xf numFmtId="171" fontId="4" fillId="0" borderId="0" xfId="3" applyNumberFormat="1"/>
    <xf numFmtId="171" fontId="20" fillId="0" borderId="0" xfId="0" applyNumberFormat="1" applyFont="1" applyFill="1" applyBorder="1"/>
    <xf numFmtId="0" fontId="10" fillId="4" borderId="0" xfId="3" applyFont="1" applyFill="1" applyBorder="1"/>
    <xf numFmtId="3" fontId="15" fillId="4" borderId="5" xfId="3" applyNumberFormat="1" applyFont="1" applyFill="1" applyBorder="1"/>
    <xf numFmtId="0" fontId="4" fillId="4" borderId="0" xfId="3" applyFont="1" applyFill="1" applyBorder="1"/>
    <xf numFmtId="10" fontId="4" fillId="4" borderId="0" xfId="4" applyNumberFormat="1" applyFont="1" applyFill="1" applyBorder="1"/>
    <xf numFmtId="3" fontId="4" fillId="4" borderId="0" xfId="3" applyNumberFormat="1" applyFont="1" applyFill="1" applyBorder="1"/>
    <xf numFmtId="4" fontId="10" fillId="4" borderId="0" xfId="3" applyNumberFormat="1" applyFont="1" applyFill="1" applyBorder="1"/>
    <xf numFmtId="0" fontId="4" fillId="4" borderId="0" xfId="3" applyFill="1" applyBorder="1" applyAlignment="1">
      <alignment horizontal="left" indent="1"/>
    </xf>
    <xf numFmtId="3" fontId="16" fillId="4" borderId="0" xfId="3" applyNumberFormat="1" applyFont="1" applyFill="1" applyBorder="1"/>
    <xf numFmtId="3" fontId="15" fillId="4" borderId="0" xfId="3" applyNumberFormat="1" applyFont="1" applyFill="1" applyBorder="1"/>
    <xf numFmtId="2" fontId="16" fillId="4" borderId="0" xfId="2" applyNumberFormat="1" applyFont="1" applyFill="1" applyBorder="1"/>
    <xf numFmtId="1" fontId="4" fillId="0" borderId="0" xfId="3" applyNumberFormat="1" applyFont="1" applyBorder="1"/>
    <xf numFmtId="1" fontId="4" fillId="0" borderId="0" xfId="3" applyNumberFormat="1" applyFont="1" applyFill="1" applyBorder="1"/>
    <xf numFmtId="1" fontId="4" fillId="0" borderId="0" xfId="3" applyNumberFormat="1" applyFill="1" applyBorder="1"/>
    <xf numFmtId="183" fontId="4" fillId="0" borderId="0" xfId="3" applyNumberFormat="1"/>
    <xf numFmtId="3" fontId="10" fillId="0" borderId="0" xfId="3" applyNumberFormat="1" applyFont="1" applyFill="1" applyBorder="1"/>
    <xf numFmtId="171" fontId="10" fillId="0" borderId="0" xfId="3" applyNumberFormat="1" applyFont="1" applyBorder="1"/>
    <xf numFmtId="10" fontId="11" fillId="0" borderId="0" xfId="2" applyNumberFormat="1" applyFont="1" applyBorder="1"/>
    <xf numFmtId="3" fontId="10" fillId="0" borderId="5" xfId="3" applyNumberFormat="1" applyFont="1" applyFill="1" applyBorder="1"/>
    <xf numFmtId="3" fontId="11" fillId="0" borderId="0" xfId="3" applyNumberFormat="1" applyFont="1" applyFill="1" applyBorder="1"/>
    <xf numFmtId="3" fontId="15" fillId="0" borderId="0" xfId="3" applyNumberFormat="1" applyFont="1" applyFill="1" applyBorder="1"/>
    <xf numFmtId="3" fontId="16" fillId="0" borderId="5" xfId="3" applyNumberFormat="1" applyFont="1" applyFill="1" applyBorder="1"/>
    <xf numFmtId="3" fontId="4" fillId="0" borderId="5" xfId="3" applyNumberFormat="1" applyFont="1" applyBorder="1"/>
    <xf numFmtId="3" fontId="16" fillId="0" borderId="5" xfId="3" applyNumberFormat="1" applyFont="1" applyBorder="1"/>
    <xf numFmtId="174" fontId="5" fillId="0" borderId="0" xfId="0" applyNumberFormat="1" applyFont="1" applyFill="1" applyBorder="1"/>
    <xf numFmtId="174" fontId="5" fillId="0" borderId="2" xfId="0" applyNumberFormat="1" applyFont="1" applyFill="1" applyBorder="1"/>
    <xf numFmtId="4" fontId="4" fillId="0" borderId="0" xfId="3" applyNumberFormat="1" applyFont="1" applyFill="1"/>
    <xf numFmtId="3" fontId="16" fillId="0" borderId="0" xfId="3" applyNumberFormat="1" applyFont="1" applyFill="1" applyBorder="1"/>
    <xf numFmtId="10" fontId="11" fillId="2" borderId="0" xfId="2" applyNumberFormat="1" applyFont="1" applyFill="1" applyBorder="1"/>
    <xf numFmtId="14" fontId="4" fillId="0" borderId="0" xfId="3" applyNumberFormat="1"/>
    <xf numFmtId="167" fontId="4" fillId="0" borderId="0" xfId="1" applyNumberFormat="1" applyFont="1"/>
    <xf numFmtId="0" fontId="10" fillId="2" borderId="0" xfId="3" applyFont="1" applyFill="1"/>
    <xf numFmtId="9" fontId="4" fillId="0" borderId="0" xfId="2" applyFont="1" applyBorder="1"/>
    <xf numFmtId="3" fontId="10" fillId="0" borderId="0" xfId="3" applyNumberFormat="1" applyFont="1" applyFill="1"/>
    <xf numFmtId="1" fontId="4" fillId="0" borderId="0" xfId="3" applyNumberFormat="1"/>
    <xf numFmtId="166" fontId="4" fillId="0" borderId="0" xfId="3" applyNumberFormat="1"/>
    <xf numFmtId="4" fontId="10" fillId="0" borderId="0" xfId="3" applyNumberFormat="1" applyFont="1"/>
    <xf numFmtId="168" fontId="10" fillId="0" borderId="0" xfId="3" applyNumberFormat="1" applyFont="1"/>
    <xf numFmtId="10" fontId="10" fillId="0" borderId="0" xfId="2" applyNumberFormat="1" applyFont="1" applyFill="1"/>
    <xf numFmtId="169" fontId="10" fillId="0" borderId="0" xfId="3" applyNumberFormat="1" applyFont="1" applyFill="1"/>
    <xf numFmtId="4" fontId="10" fillId="0" borderId="0" xfId="3" applyNumberFormat="1" applyFont="1" applyFill="1"/>
    <xf numFmtId="0" fontId="10" fillId="0" borderId="10" xfId="3" applyFont="1" applyBorder="1"/>
    <xf numFmtId="14" fontId="17" fillId="0" borderId="0" xfId="0" applyNumberFormat="1" applyFont="1" applyFill="1" applyBorder="1"/>
    <xf numFmtId="170" fontId="21" fillId="0" borderId="0" xfId="0" applyNumberFormat="1" applyFont="1" applyBorder="1"/>
    <xf numFmtId="0" fontId="9" fillId="0" borderId="0" xfId="0" applyFont="1" applyBorder="1"/>
    <xf numFmtId="0" fontId="9" fillId="0" borderId="0" xfId="0" applyFont="1" applyFill="1" applyBorder="1"/>
    <xf numFmtId="170" fontId="21" fillId="0" borderId="2" xfId="0" applyNumberFormat="1" applyFont="1" applyBorder="1"/>
    <xf numFmtId="174" fontId="17" fillId="0" borderId="2" xfId="0" applyNumberFormat="1" applyFont="1" applyFill="1" applyBorder="1"/>
    <xf numFmtId="171" fontId="9" fillId="0" borderId="2" xfId="0" applyNumberFormat="1" applyFont="1" applyBorder="1"/>
    <xf numFmtId="172" fontId="9" fillId="0" borderId="2" xfId="0" applyNumberFormat="1" applyFont="1" applyBorder="1"/>
    <xf numFmtId="0" fontId="20" fillId="0" borderId="2" xfId="0" applyFont="1" applyFill="1" applyBorder="1"/>
    <xf numFmtId="0" fontId="9" fillId="0" borderId="2" xfId="0" applyFont="1" applyBorder="1"/>
    <xf numFmtId="0" fontId="9" fillId="0" borderId="3" xfId="0" applyFont="1" applyFill="1" applyBorder="1"/>
    <xf numFmtId="171" fontId="9" fillId="0" borderId="0" xfId="0" applyNumberFormat="1" applyFont="1" applyBorder="1"/>
    <xf numFmtId="172" fontId="9" fillId="0" borderId="0" xfId="0" applyNumberFormat="1" applyFont="1" applyBorder="1"/>
    <xf numFmtId="180" fontId="17" fillId="0" borderId="2" xfId="0" applyNumberFormat="1" applyFont="1" applyBorder="1"/>
    <xf numFmtId="173" fontId="17" fillId="0" borderId="2" xfId="0" applyNumberFormat="1" applyFont="1" applyBorder="1"/>
    <xf numFmtId="181" fontId="17" fillId="0" borderId="2" xfId="0" applyNumberFormat="1" applyFont="1" applyBorder="1"/>
    <xf numFmtId="170" fontId="9" fillId="0" borderId="0" xfId="0" applyNumberFormat="1" applyFont="1" applyBorder="1"/>
    <xf numFmtId="183" fontId="10" fillId="0" borderId="0" xfId="3" applyNumberFormat="1" applyFont="1"/>
    <xf numFmtId="0" fontId="10" fillId="0" borderId="5" xfId="3" applyFont="1" applyBorder="1"/>
    <xf numFmtId="0" fontId="10" fillId="0" borderId="5" xfId="3" applyFont="1" applyFill="1" applyBorder="1"/>
    <xf numFmtId="0" fontId="10" fillId="8" borderId="0" xfId="3" applyFont="1" applyFill="1" applyBorder="1" applyAlignment="1">
      <alignment horizontal="left" indent="1"/>
    </xf>
    <xf numFmtId="3" fontId="10" fillId="8" borderId="0" xfId="3" applyNumberFormat="1" applyFont="1" applyFill="1" applyBorder="1"/>
    <xf numFmtId="10" fontId="10" fillId="8" borderId="0" xfId="4" applyNumberFormat="1" applyFont="1" applyFill="1" applyBorder="1"/>
    <xf numFmtId="0" fontId="4" fillId="0" borderId="0" xfId="3" applyFill="1"/>
    <xf numFmtId="4" fontId="4" fillId="4" borderId="0" xfId="3" applyNumberFormat="1" applyFont="1" applyFill="1" applyBorder="1"/>
    <xf numFmtId="0" fontId="4" fillId="4" borderId="0" xfId="3" applyFont="1" applyFill="1" applyBorder="1" applyAlignment="1">
      <alignment horizontal="left" indent="1"/>
    </xf>
    <xf numFmtId="167" fontId="4" fillId="4" borderId="0" xfId="1" applyNumberFormat="1" applyFont="1" applyFill="1" applyBorder="1"/>
    <xf numFmtId="3" fontId="4" fillId="0" borderId="5" xfId="3" applyNumberFormat="1" applyFont="1" applyFill="1" applyBorder="1"/>
    <xf numFmtId="0" fontId="4" fillId="2" borderId="0" xfId="3" applyFont="1" applyFill="1" applyBorder="1"/>
    <xf numFmtId="4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left" indent="1"/>
    </xf>
    <xf numFmtId="4" fontId="4" fillId="0" borderId="0" xfId="2" applyNumberFormat="1" applyFont="1" applyFill="1" applyBorder="1"/>
    <xf numFmtId="0" fontId="4" fillId="0" borderId="13" xfId="3" applyFont="1" applyFill="1" applyBorder="1"/>
    <xf numFmtId="166" fontId="10" fillId="0" borderId="0" xfId="3" applyNumberFormat="1" applyFont="1"/>
    <xf numFmtId="0" fontId="10" fillId="0" borderId="0" xfId="3" applyFont="1" applyAlignment="1">
      <alignment horizontal="left" indent="2"/>
    </xf>
    <xf numFmtId="184" fontId="4" fillId="0" borderId="0" xfId="3" applyNumberFormat="1" applyFont="1"/>
    <xf numFmtId="0" fontId="16" fillId="0" borderId="12" xfId="3" applyFont="1" applyFill="1" applyBorder="1"/>
    <xf numFmtId="178" fontId="4" fillId="4" borderId="0" xfId="3" applyNumberFormat="1" applyFont="1" applyFill="1" applyBorder="1"/>
    <xf numFmtId="179" fontId="4" fillId="4" borderId="0" xfId="3" applyNumberFormat="1" applyFont="1" applyFill="1" applyBorder="1"/>
    <xf numFmtId="0" fontId="16" fillId="4" borderId="0" xfId="3" applyFont="1" applyFill="1" applyBorder="1"/>
    <xf numFmtId="0" fontId="15" fillId="4" borderId="0" xfId="3" applyFont="1" applyFill="1" applyBorder="1"/>
    <xf numFmtId="10" fontId="16" fillId="4" borderId="0" xfId="4" applyNumberFormat="1" applyFont="1" applyFill="1" applyBorder="1"/>
    <xf numFmtId="0" fontId="16" fillId="4" borderId="0" xfId="3" applyFont="1" applyFill="1" applyBorder="1" applyAlignment="1">
      <alignment horizontal="left" indent="1"/>
    </xf>
    <xf numFmtId="167" fontId="16" fillId="4" borderId="0" xfId="1" applyNumberFormat="1" applyFont="1" applyFill="1" applyBorder="1"/>
    <xf numFmtId="2" fontId="4" fillId="4" borderId="0" xfId="2" applyNumberFormat="1" applyFont="1" applyFill="1" applyBorder="1"/>
    <xf numFmtId="167" fontId="4" fillId="0" borderId="0" xfId="3" applyNumberFormat="1" applyFont="1" applyFill="1" applyBorder="1"/>
    <xf numFmtId="3" fontId="4" fillId="4" borderId="0" xfId="3" applyNumberFormat="1" applyFill="1" applyBorder="1"/>
    <xf numFmtId="0" fontId="4" fillId="4" borderId="0" xfId="3" applyFill="1" applyBorder="1"/>
    <xf numFmtId="9" fontId="11" fillId="0" borderId="0" xfId="2" applyNumberFormat="1" applyFont="1" applyFill="1" applyBorder="1"/>
    <xf numFmtId="10" fontId="11" fillId="4" borderId="0" xfId="2" applyNumberFormat="1" applyFont="1" applyFill="1" applyBorder="1"/>
    <xf numFmtId="2" fontId="5" fillId="0" borderId="0" xfId="2" applyNumberFormat="1" applyFont="1" applyBorder="1"/>
    <xf numFmtId="3" fontId="22" fillId="0" borderId="0" xfId="3" applyNumberFormat="1" applyFont="1" applyBorder="1"/>
    <xf numFmtId="10" fontId="10" fillId="0" borderId="0" xfId="7" applyNumberFormat="1" applyFont="1" applyFill="1"/>
    <xf numFmtId="14" fontId="17" fillId="0" borderId="0" xfId="8" applyNumberFormat="1" applyFont="1" applyFill="1" applyBorder="1"/>
    <xf numFmtId="170" fontId="21" fillId="0" borderId="0" xfId="8" applyNumberFormat="1" applyFont="1" applyBorder="1"/>
    <xf numFmtId="174" fontId="17" fillId="0" borderId="0" xfId="8" applyNumberFormat="1" applyFont="1" applyFill="1" applyBorder="1"/>
    <xf numFmtId="171" fontId="17" fillId="0" borderId="0" xfId="8" applyNumberFormat="1" applyFont="1" applyFill="1" applyBorder="1"/>
    <xf numFmtId="174" fontId="17" fillId="0" borderId="0" xfId="8" applyNumberFormat="1" applyFont="1" applyBorder="1"/>
    <xf numFmtId="0" fontId="20" fillId="0" borderId="0" xfId="8" applyFont="1" applyFill="1" applyBorder="1"/>
    <xf numFmtId="0" fontId="9" fillId="0" borderId="0" xfId="8" applyFont="1" applyBorder="1"/>
    <xf numFmtId="0" fontId="9" fillId="0" borderId="0" xfId="8" applyFont="1" applyFill="1" applyBorder="1"/>
    <xf numFmtId="170" fontId="21" fillId="0" borderId="2" xfId="8" applyNumberFormat="1" applyFont="1" applyBorder="1"/>
    <xf numFmtId="174" fontId="17" fillId="0" borderId="2" xfId="8" applyNumberFormat="1" applyFont="1" applyFill="1" applyBorder="1"/>
    <xf numFmtId="171" fontId="9" fillId="0" borderId="2" xfId="8" applyNumberFormat="1" applyFont="1" applyBorder="1"/>
    <xf numFmtId="172" fontId="9" fillId="0" borderId="2" xfId="8" applyNumberFormat="1" applyFont="1" applyBorder="1"/>
    <xf numFmtId="174" fontId="17" fillId="0" borderId="2" xfId="8" applyNumberFormat="1" applyFont="1" applyBorder="1"/>
    <xf numFmtId="0" fontId="20" fillId="0" borderId="2" xfId="8" applyFont="1" applyFill="1" applyBorder="1"/>
    <xf numFmtId="171" fontId="17" fillId="0" borderId="2" xfId="8" applyNumberFormat="1" applyFont="1" applyFill="1" applyBorder="1"/>
    <xf numFmtId="0" fontId="9" fillId="0" borderId="2" xfId="8" applyFont="1" applyBorder="1"/>
    <xf numFmtId="0" fontId="9" fillId="0" borderId="3" xfId="8" applyFont="1" applyFill="1" applyBorder="1"/>
    <xf numFmtId="171" fontId="9" fillId="0" borderId="0" xfId="8" applyNumberFormat="1" applyFont="1" applyBorder="1"/>
    <xf numFmtId="172" fontId="9" fillId="0" borderId="0" xfId="8" applyNumberFormat="1" applyFont="1" applyBorder="1"/>
    <xf numFmtId="180" fontId="17" fillId="0" borderId="0" xfId="8" applyNumberFormat="1" applyFont="1" applyBorder="1"/>
    <xf numFmtId="180" fontId="17" fillId="0" borderId="2" xfId="8" applyNumberFormat="1" applyFont="1" applyBorder="1"/>
    <xf numFmtId="173" fontId="17" fillId="0" borderId="0" xfId="8" applyNumberFormat="1" applyFont="1" applyBorder="1"/>
    <xf numFmtId="173" fontId="17" fillId="0" borderId="2" xfId="8" applyNumberFormat="1" applyFont="1" applyBorder="1"/>
    <xf numFmtId="181" fontId="17" fillId="0" borderId="0" xfId="8" applyNumberFormat="1" applyFont="1" applyBorder="1"/>
    <xf numFmtId="181" fontId="17" fillId="0" borderId="2" xfId="8" applyNumberFormat="1" applyFont="1" applyBorder="1"/>
    <xf numFmtId="182" fontId="17" fillId="0" borderId="0" xfId="8" applyNumberFormat="1" applyFont="1" applyBorder="1"/>
    <xf numFmtId="170" fontId="9" fillId="0" borderId="0" xfId="8" applyNumberFormat="1" applyFont="1" applyBorder="1"/>
    <xf numFmtId="0" fontId="17" fillId="0" borderId="0" xfId="7" applyNumberFormat="1" applyFont="1" applyBorder="1"/>
    <xf numFmtId="2" fontId="17" fillId="0" borderId="0" xfId="7" applyNumberFormat="1" applyFont="1" applyBorder="1"/>
    <xf numFmtId="14" fontId="5" fillId="0" borderId="0" xfId="8" applyNumberFormat="1" applyFont="1" applyFill="1" applyBorder="1"/>
    <xf numFmtId="170" fontId="19" fillId="0" borderId="0" xfId="8" applyNumberFormat="1" applyFont="1" applyBorder="1"/>
    <xf numFmtId="174" fontId="5" fillId="0" borderId="0" xfId="8" applyNumberFormat="1" applyFont="1" applyFill="1" applyBorder="1"/>
    <xf numFmtId="171" fontId="5" fillId="0" borderId="0" xfId="8" applyNumberFormat="1" applyFont="1" applyFill="1" applyBorder="1"/>
    <xf numFmtId="174" fontId="5" fillId="0" borderId="0" xfId="8" applyNumberFormat="1" applyFont="1" applyBorder="1"/>
    <xf numFmtId="0" fontId="7" fillId="0" borderId="0" xfId="8" applyFont="1" applyFill="1" applyBorder="1"/>
    <xf numFmtId="0" fontId="6" fillId="0" borderId="0" xfId="8" applyFont="1" applyFill="1" applyBorder="1"/>
    <xf numFmtId="170" fontId="19" fillId="0" borderId="2" xfId="8" applyNumberFormat="1" applyFont="1" applyBorder="1"/>
    <xf numFmtId="174" fontId="5" fillId="0" borderId="2" xfId="8" applyNumberFormat="1" applyFont="1" applyFill="1" applyBorder="1"/>
    <xf numFmtId="171" fontId="6" fillId="0" borderId="2" xfId="8" applyNumberFormat="1" applyFont="1" applyBorder="1"/>
    <xf numFmtId="172" fontId="6" fillId="0" borderId="2" xfId="8" applyNumberFormat="1" applyFont="1" applyBorder="1"/>
    <xf numFmtId="174" fontId="5" fillId="0" borderId="2" xfId="8" applyNumberFormat="1" applyFont="1" applyBorder="1"/>
    <xf numFmtId="0" fontId="7" fillId="0" borderId="2" xfId="8" applyFont="1" applyFill="1" applyBorder="1"/>
    <xf numFmtId="171" fontId="5" fillId="0" borderId="2" xfId="8" applyNumberFormat="1" applyFont="1" applyFill="1" applyBorder="1"/>
    <xf numFmtId="0" fontId="6" fillId="0" borderId="2" xfId="8" applyFont="1" applyBorder="1"/>
    <xf numFmtId="0" fontId="6" fillId="0" borderId="3" xfId="8" applyFont="1" applyFill="1" applyBorder="1"/>
    <xf numFmtId="0" fontId="8" fillId="5" borderId="0" xfId="8" applyFont="1" applyFill="1" applyBorder="1" applyAlignment="1">
      <alignment horizontal="left"/>
    </xf>
    <xf numFmtId="0" fontId="8" fillId="5" borderId="0" xfId="8" applyFont="1" applyFill="1" applyBorder="1" applyAlignment="1">
      <alignment horizontal="center"/>
    </xf>
    <xf numFmtId="0" fontId="8" fillId="5" borderId="0" xfId="8" applyFont="1" applyFill="1" applyBorder="1" applyAlignment="1">
      <alignment wrapText="1"/>
    </xf>
    <xf numFmtId="0" fontId="8" fillId="5" borderId="4" xfId="8" applyFont="1" applyFill="1" applyBorder="1" applyAlignment="1">
      <alignment horizontal="left"/>
    </xf>
    <xf numFmtId="0" fontId="8" fillId="5" borderId="4" xfId="8" applyFont="1" applyFill="1" applyBorder="1" applyAlignment="1">
      <alignment horizontal="center"/>
    </xf>
    <xf numFmtId="0" fontId="9" fillId="5" borderId="4" xfId="8" applyFont="1" applyFill="1" applyBorder="1" applyAlignment="1"/>
    <xf numFmtId="9" fontId="11" fillId="0" borderId="0" xfId="7" applyNumberFormat="1" applyFont="1" applyBorder="1"/>
    <xf numFmtId="10" fontId="10" fillId="8" borderId="0" xfId="7" applyNumberFormat="1" applyFont="1" applyFill="1" applyBorder="1"/>
    <xf numFmtId="2" fontId="16" fillId="4" borderId="0" xfId="7" applyNumberFormat="1" applyFont="1" applyFill="1" applyBorder="1"/>
    <xf numFmtId="2" fontId="10" fillId="0" borderId="0" xfId="3" applyNumberFormat="1" applyFont="1"/>
    <xf numFmtId="3" fontId="22" fillId="0" borderId="0" xfId="3" applyNumberFormat="1" applyFont="1" applyFill="1" applyBorder="1"/>
    <xf numFmtId="0" fontId="16" fillId="0" borderId="0" xfId="3" applyFont="1" applyBorder="1"/>
    <xf numFmtId="167" fontId="16" fillId="4" borderId="0" xfId="9" applyNumberFormat="1" applyFont="1" applyFill="1" applyBorder="1"/>
    <xf numFmtId="4" fontId="16" fillId="4" borderId="0" xfId="3" applyNumberFormat="1" applyFont="1" applyFill="1" applyBorder="1"/>
    <xf numFmtId="164" fontId="4" fillId="0" borderId="0" xfId="1" applyFont="1"/>
    <xf numFmtId="3" fontId="16" fillId="4" borderId="5" xfId="3" applyNumberFormat="1" applyFont="1" applyFill="1" applyBorder="1"/>
    <xf numFmtId="185" fontId="4" fillId="8" borderId="0" xfId="1" applyNumberFormat="1" applyFont="1" applyFill="1" applyBorder="1" applyAlignment="1">
      <alignment horizontal="right"/>
    </xf>
    <xf numFmtId="185" fontId="4" fillId="8" borderId="0" xfId="1" applyNumberFormat="1" applyFont="1" applyFill="1" applyBorder="1"/>
    <xf numFmtId="0" fontId="10" fillId="9" borderId="0" xfId="3" applyFont="1" applyFill="1"/>
    <xf numFmtId="14" fontId="5" fillId="9" borderId="0" xfId="0" applyNumberFormat="1" applyFont="1" applyFill="1" applyBorder="1"/>
    <xf numFmtId="170" fontId="21" fillId="9" borderId="0" xfId="0" applyNumberFormat="1" applyFont="1" applyFill="1" applyBorder="1"/>
    <xf numFmtId="174" fontId="17" fillId="9" borderId="0" xfId="0" applyNumberFormat="1" applyFont="1" applyFill="1" applyBorder="1"/>
    <xf numFmtId="171" fontId="17" fillId="9" borderId="0" xfId="0" applyNumberFormat="1" applyFont="1" applyFill="1" applyBorder="1"/>
    <xf numFmtId="0" fontId="20" fillId="9" borderId="0" xfId="0" applyFont="1" applyFill="1" applyBorder="1"/>
    <xf numFmtId="0" fontId="9" fillId="9" borderId="0" xfId="0" applyFont="1" applyFill="1" applyBorder="1"/>
    <xf numFmtId="170" fontId="19" fillId="9" borderId="2" xfId="0" applyNumberFormat="1" applyFont="1" applyFill="1" applyBorder="1"/>
    <xf numFmtId="174" fontId="5" fillId="9" borderId="2" xfId="0" applyNumberFormat="1" applyFont="1" applyFill="1" applyBorder="1"/>
    <xf numFmtId="171" fontId="6" fillId="9" borderId="2" xfId="0" applyNumberFormat="1" applyFont="1" applyFill="1" applyBorder="1"/>
    <xf numFmtId="172" fontId="6" fillId="9" borderId="2" xfId="0" applyNumberFormat="1" applyFont="1" applyFill="1" applyBorder="1"/>
    <xf numFmtId="0" fontId="7" fillId="9" borderId="2" xfId="0" applyFont="1" applyFill="1" applyBorder="1"/>
    <xf numFmtId="171" fontId="5" fillId="9" borderId="2" xfId="0" applyNumberFormat="1" applyFont="1" applyFill="1" applyBorder="1"/>
    <xf numFmtId="0" fontId="6" fillId="9" borderId="2" xfId="0" applyFont="1" applyFill="1" applyBorder="1"/>
    <xf numFmtId="0" fontId="6" fillId="9" borderId="3" xfId="0" applyFont="1" applyFill="1" applyBorder="1"/>
    <xf numFmtId="14" fontId="17" fillId="9" borderId="0" xfId="0" applyNumberFormat="1" applyFont="1" applyFill="1" applyBorder="1"/>
    <xf numFmtId="174" fontId="5" fillId="9" borderId="0" xfId="0" applyNumberFormat="1" applyFont="1" applyFill="1" applyBorder="1"/>
    <xf numFmtId="0" fontId="7" fillId="9" borderId="0" xfId="0" applyFont="1" applyFill="1" applyBorder="1"/>
    <xf numFmtId="174" fontId="17" fillId="0" borderId="15" xfId="0" applyNumberFormat="1" applyFont="1" applyBorder="1"/>
    <xf numFmtId="0" fontId="20" fillId="0" borderId="14" xfId="0" applyFont="1" applyFill="1" applyBorder="1"/>
    <xf numFmtId="170" fontId="21" fillId="9" borderId="2" xfId="0" applyNumberFormat="1" applyFont="1" applyFill="1" applyBorder="1"/>
    <xf numFmtId="174" fontId="17" fillId="9" borderId="2" xfId="0" applyNumberFormat="1" applyFont="1" applyFill="1" applyBorder="1"/>
    <xf numFmtId="171" fontId="9" fillId="9" borderId="2" xfId="0" applyNumberFormat="1" applyFont="1" applyFill="1" applyBorder="1"/>
    <xf numFmtId="172" fontId="9" fillId="9" borderId="2" xfId="0" applyNumberFormat="1" applyFont="1" applyFill="1" applyBorder="1"/>
    <xf numFmtId="0" fontId="20" fillId="9" borderId="2" xfId="0" applyFont="1" applyFill="1" applyBorder="1"/>
    <xf numFmtId="171" fontId="17" fillId="9" borderId="2" xfId="0" applyNumberFormat="1" applyFont="1" applyFill="1" applyBorder="1"/>
    <xf numFmtId="0" fontId="9" fillId="9" borderId="2" xfId="0" applyFont="1" applyFill="1" applyBorder="1"/>
    <xf numFmtId="0" fontId="9" fillId="9" borderId="3" xfId="0" applyFont="1" applyFill="1" applyBorder="1"/>
    <xf numFmtId="2" fontId="17" fillId="9" borderId="0" xfId="2" applyNumberFormat="1" applyFont="1" applyFill="1" applyBorder="1"/>
    <xf numFmtId="0" fontId="4" fillId="9" borderId="0" xfId="3" applyFont="1" applyFill="1"/>
    <xf numFmtId="0" fontId="6" fillId="9" borderId="0" xfId="0" applyFont="1" applyFill="1" applyBorder="1"/>
    <xf numFmtId="14" fontId="10" fillId="0" borderId="0" xfId="3" applyNumberFormat="1" applyFont="1"/>
    <xf numFmtId="0" fontId="21" fillId="9" borderId="0" xfId="0" applyFont="1" applyFill="1" applyBorder="1"/>
    <xf numFmtId="0" fontId="19" fillId="9" borderId="3" xfId="0" applyFont="1" applyFill="1" applyBorder="1"/>
    <xf numFmtId="0" fontId="19" fillId="0" borderId="0" xfId="3" applyFont="1"/>
    <xf numFmtId="0" fontId="15" fillId="0" borderId="0" xfId="3" applyFont="1"/>
    <xf numFmtId="170" fontId="17" fillId="0" borderId="0" xfId="0" applyNumberFormat="1" applyFont="1" applyBorder="1"/>
    <xf numFmtId="171" fontId="7" fillId="0" borderId="0" xfId="0" applyNumberFormat="1" applyFont="1" applyFill="1" applyBorder="1"/>
    <xf numFmtId="3" fontId="4" fillId="10" borderId="0" xfId="3" applyNumberFormat="1" applyFont="1" applyFill="1" applyBorder="1"/>
    <xf numFmtId="3" fontId="15" fillId="0" borderId="5" xfId="3" applyNumberFormat="1" applyFont="1" applyFill="1" applyBorder="1"/>
    <xf numFmtId="10" fontId="22" fillId="0" borderId="0" xfId="2" applyNumberFormat="1" applyFont="1" applyFill="1" applyBorder="1"/>
    <xf numFmtId="2" fontId="4" fillId="0" borderId="0" xfId="3" applyNumberFormat="1"/>
    <xf numFmtId="171" fontId="6" fillId="0" borderId="2" xfId="0" applyNumberFormat="1" applyFont="1" applyFill="1" applyBorder="1"/>
    <xf numFmtId="172" fontId="6" fillId="0" borderId="2" xfId="0" applyNumberFormat="1" applyFont="1" applyFill="1" applyBorder="1"/>
    <xf numFmtId="170" fontId="19" fillId="0" borderId="2" xfId="0" applyNumberFormat="1" applyFont="1" applyFill="1" applyBorder="1"/>
    <xf numFmtId="0" fontId="21" fillId="0" borderId="0" xfId="0" applyFont="1" applyFill="1" applyBorder="1"/>
    <xf numFmtId="170" fontId="21" fillId="0" borderId="0" xfId="0" applyNumberFormat="1" applyFont="1" applyFill="1" applyBorder="1"/>
    <xf numFmtId="0" fontId="7" fillId="0" borderId="3" xfId="0" applyFont="1" applyFill="1" applyBorder="1"/>
    <xf numFmtId="3" fontId="4" fillId="8" borderId="0" xfId="3" applyNumberFormat="1" applyFont="1" applyFill="1" applyBorder="1" applyAlignment="1">
      <alignment horizontal="left" indent="3"/>
    </xf>
    <xf numFmtId="0" fontId="4" fillId="8" borderId="0" xfId="3" applyFont="1" applyFill="1" applyBorder="1" applyAlignment="1">
      <alignment horizontal="left" indent="1"/>
    </xf>
    <xf numFmtId="184" fontId="10" fillId="0" borderId="0" xfId="3" applyNumberFormat="1" applyFont="1"/>
    <xf numFmtId="0" fontId="10" fillId="10" borderId="0" xfId="3" applyFont="1" applyFill="1" applyBorder="1"/>
    <xf numFmtId="0" fontId="4" fillId="10" borderId="0" xfId="3" applyFont="1" applyFill="1" applyBorder="1"/>
    <xf numFmtId="10" fontId="4" fillId="10" borderId="0" xfId="4" applyNumberFormat="1" applyFont="1" applyFill="1" applyBorder="1"/>
    <xf numFmtId="4" fontId="4" fillId="10" borderId="0" xfId="3" applyNumberFormat="1" applyFont="1" applyFill="1" applyBorder="1"/>
    <xf numFmtId="0" fontId="4" fillId="10" borderId="0" xfId="3" applyFill="1" applyBorder="1" applyAlignment="1">
      <alignment horizontal="left" indent="1"/>
    </xf>
    <xf numFmtId="3" fontId="4" fillId="10" borderId="0" xfId="3" applyNumberFormat="1" applyFill="1" applyBorder="1"/>
    <xf numFmtId="3" fontId="16" fillId="10" borderId="0" xfId="3" applyNumberFormat="1" applyFont="1" applyFill="1" applyBorder="1"/>
    <xf numFmtId="2" fontId="16" fillId="10" borderId="0" xfId="2" applyNumberFormat="1" applyFont="1" applyFill="1" applyBorder="1"/>
    <xf numFmtId="3" fontId="22" fillId="0" borderId="5" xfId="3" applyNumberFormat="1" applyFont="1" applyBorder="1"/>
    <xf numFmtId="173" fontId="4" fillId="0" borderId="0" xfId="3" applyNumberFormat="1"/>
    <xf numFmtId="173" fontId="4" fillId="0" borderId="0" xfId="2" applyNumberFormat="1" applyFont="1"/>
    <xf numFmtId="164" fontId="24" fillId="0" borderId="17" xfId="1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0" fontId="0" fillId="4" borderId="18" xfId="0" applyNumberFormat="1" applyFill="1" applyBorder="1"/>
    <xf numFmtId="2" fontId="2" fillId="2" borderId="18" xfId="0" applyNumberFormat="1" applyFont="1" applyFill="1" applyBorder="1" applyAlignment="1">
      <alignment horizontal="center"/>
    </xf>
    <xf numFmtId="2" fontId="24" fillId="4" borderId="17" xfId="0" applyNumberFormat="1" applyFont="1" applyFill="1" applyBorder="1" applyAlignment="1">
      <alignment horizontal="center" vertical="center"/>
    </xf>
    <xf numFmtId="0" fontId="0" fillId="0" borderId="0" xfId="0" applyBorder="1"/>
    <xf numFmtId="0" fontId="25" fillId="0" borderId="0" xfId="0" applyFont="1" applyBorder="1"/>
    <xf numFmtId="2" fontId="24" fillId="24" borderId="17" xfId="0" applyNumberFormat="1" applyFont="1" applyFill="1" applyBorder="1" applyAlignment="1">
      <alignment horizontal="center" vertical="center"/>
    </xf>
    <xf numFmtId="2" fontId="26" fillId="4" borderId="17" xfId="0" applyNumberFormat="1" applyFont="1" applyFill="1" applyBorder="1" applyAlignment="1">
      <alignment horizontal="center" vertical="center"/>
    </xf>
    <xf numFmtId="2" fontId="24" fillId="0" borderId="17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7" fillId="25" borderId="18" xfId="0" applyFont="1" applyFill="1" applyBorder="1" applyAlignment="1">
      <alignment horizontal="center" vertical="center"/>
    </xf>
    <xf numFmtId="0" fontId="27" fillId="25" borderId="19" xfId="0" applyFont="1" applyFill="1" applyBorder="1" applyAlignment="1">
      <alignment horizontal="center" vertical="center" wrapText="1"/>
    </xf>
    <xf numFmtId="0" fontId="27" fillId="25" borderId="19" xfId="0" applyFont="1" applyFill="1" applyBorder="1" applyAlignment="1">
      <alignment horizontal="center" vertical="center"/>
    </xf>
    <xf numFmtId="0" fontId="27" fillId="25" borderId="20" xfId="0" applyFont="1" applyFill="1" applyBorder="1" applyAlignment="1">
      <alignment horizontal="center" vertical="center" wrapText="1"/>
    </xf>
    <xf numFmtId="0" fontId="28" fillId="0" borderId="0" xfId="0" applyFont="1"/>
    <xf numFmtId="2" fontId="16" fillId="2" borderId="0" xfId="2" applyNumberFormat="1" applyFont="1" applyFill="1" applyBorder="1"/>
    <xf numFmtId="164" fontId="4" fillId="0" borderId="0" xfId="3" applyNumberFormat="1" applyBorder="1"/>
    <xf numFmtId="167" fontId="4" fillId="0" borderId="0" xfId="3" applyNumberFormat="1" applyFont="1" applyBorder="1"/>
    <xf numFmtId="0" fontId="4" fillId="2" borderId="0" xfId="3" applyFill="1"/>
    <xf numFmtId="3" fontId="10" fillId="2" borderId="0" xfId="3" applyNumberFormat="1" applyFont="1" applyFill="1" applyBorder="1"/>
    <xf numFmtId="0" fontId="10" fillId="2" borderId="0" xfId="3" applyFont="1" applyFill="1" applyBorder="1" applyAlignment="1">
      <alignment horizontal="left" indent="1"/>
    </xf>
    <xf numFmtId="167" fontId="10" fillId="0" borderId="0" xfId="1" applyNumberFormat="1" applyFont="1" applyAlignment="1">
      <alignment horizontal="left" indent="1"/>
    </xf>
    <xf numFmtId="0" fontId="4" fillId="0" borderId="9" xfId="3" applyFont="1" applyFill="1" applyBorder="1"/>
    <xf numFmtId="0" fontId="4" fillId="4" borderId="9" xfId="3" applyFont="1" applyFill="1" applyBorder="1"/>
    <xf numFmtId="0" fontId="7" fillId="0" borderId="9" xfId="0" applyFont="1" applyFill="1" applyBorder="1"/>
    <xf numFmtId="3" fontId="4" fillId="0" borderId="9" xfId="3" applyNumberFormat="1" applyFont="1" applyFill="1" applyBorder="1"/>
    <xf numFmtId="175" fontId="12" fillId="0" borderId="9" xfId="4" applyNumberFormat="1" applyFont="1" applyFill="1" applyBorder="1"/>
    <xf numFmtId="171" fontId="4" fillId="0" borderId="9" xfId="3" applyNumberFormat="1" applyFont="1" applyBorder="1"/>
    <xf numFmtId="4" fontId="4" fillId="0" borderId="9" xfId="3" applyNumberFormat="1" applyFont="1" applyFill="1" applyBorder="1"/>
    <xf numFmtId="10" fontId="4" fillId="0" borderId="9" xfId="4" applyNumberFormat="1" applyFont="1" applyFill="1" applyBorder="1"/>
    <xf numFmtId="0" fontId="4" fillId="0" borderId="9" xfId="3" applyFont="1" applyFill="1" applyBorder="1" applyAlignment="1">
      <alignment horizontal="left" indent="1"/>
    </xf>
    <xf numFmtId="14" fontId="5" fillId="0" borderId="9" xfId="0" applyNumberFormat="1" applyFont="1" applyFill="1" applyBorder="1"/>
    <xf numFmtId="174" fontId="5" fillId="0" borderId="25" xfId="0" applyNumberFormat="1" applyFont="1" applyBorder="1"/>
    <xf numFmtId="0" fontId="6" fillId="0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  <xf numFmtId="0" fontId="16" fillId="10" borderId="0" xfId="3" applyFont="1" applyFill="1" applyBorder="1"/>
    <xf numFmtId="9" fontId="0" fillId="0" borderId="0" xfId="0" applyNumberFormat="1"/>
    <xf numFmtId="2" fontId="0" fillId="0" borderId="0" xfId="0" applyNumberFormat="1"/>
    <xf numFmtId="186" fontId="4" fillId="0" borderId="0" xfId="3" applyNumberFormat="1"/>
    <xf numFmtId="0" fontId="10" fillId="0" borderId="0" xfId="3" applyFont="1" applyAlignment="1">
      <alignment horizontal="left"/>
    </xf>
    <xf numFmtId="177" fontId="10" fillId="0" borderId="0" xfId="3" applyNumberFormat="1" applyFont="1" applyFill="1"/>
    <xf numFmtId="179" fontId="10" fillId="4" borderId="0" xfId="3" applyNumberFormat="1" applyFont="1" applyFill="1" applyBorder="1"/>
    <xf numFmtId="0" fontId="29" fillId="4" borderId="0" xfId="3" applyFont="1" applyFill="1" applyBorder="1"/>
    <xf numFmtId="0" fontId="29" fillId="0" borderId="0" xfId="3" applyFont="1"/>
    <xf numFmtId="0" fontId="0" fillId="8" borderId="0" xfId="0" applyFill="1"/>
    <xf numFmtId="167" fontId="30" fillId="8" borderId="0" xfId="0" applyNumberFormat="1" applyFont="1" applyFill="1"/>
    <xf numFmtId="3" fontId="4" fillId="0" borderId="0" xfId="3" applyNumberFormat="1" applyFont="1" applyBorder="1" applyAlignment="1">
      <alignment horizontal="center"/>
    </xf>
    <xf numFmtId="4" fontId="10" fillId="0" borderId="0" xfId="3" applyNumberFormat="1" applyFont="1" applyBorder="1" applyAlignment="1">
      <alignment horizontal="center"/>
    </xf>
    <xf numFmtId="0" fontId="4" fillId="0" borderId="0" xfId="3" applyBorder="1" applyAlignment="1">
      <alignment horizontal="center"/>
    </xf>
    <xf numFmtId="167" fontId="0" fillId="0" borderId="0" xfId="1" applyNumberFormat="1" applyFont="1" applyAlignment="1">
      <alignment horizontal="center"/>
    </xf>
    <xf numFmtId="2" fontId="2" fillId="2" borderId="0" xfId="2" applyNumberFormat="1" applyFont="1" applyFill="1" applyBorder="1"/>
    <xf numFmtId="4" fontId="16" fillId="0" borderId="0" xfId="3" applyNumberFormat="1" applyFont="1" applyFill="1" applyBorder="1"/>
    <xf numFmtId="4" fontId="16" fillId="2" borderId="0" xfId="3" applyNumberFormat="1" applyFont="1" applyFill="1" applyBorder="1"/>
    <xf numFmtId="2" fontId="16" fillId="0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 wrapText="1"/>
    </xf>
    <xf numFmtId="0" fontId="14" fillId="7" borderId="0" xfId="5" applyNumberFormat="1" applyFont="1" applyFill="1" applyBorder="1" applyAlignment="1" applyProtection="1">
      <alignment vertical="center"/>
    </xf>
    <xf numFmtId="0" fontId="14" fillId="7" borderId="0" xfId="5" applyNumberFormat="1" applyFont="1" applyFill="1" applyBorder="1" applyAlignment="1" applyProtection="1">
      <alignment vertical="center" wrapText="1"/>
    </xf>
    <xf numFmtId="179" fontId="10" fillId="2" borderId="5" xfId="3" applyNumberFormat="1" applyFont="1" applyFill="1" applyBorder="1"/>
    <xf numFmtId="0" fontId="7" fillId="4" borderId="0" xfId="0" applyFont="1" applyFill="1" applyBorder="1"/>
    <xf numFmtId="175" fontId="12" fillId="4" borderId="0" xfId="4" applyNumberFormat="1" applyFont="1" applyFill="1" applyBorder="1"/>
    <xf numFmtId="171" fontId="4" fillId="4" borderId="0" xfId="3" applyNumberFormat="1" applyFont="1" applyFill="1" applyBorder="1"/>
    <xf numFmtId="14" fontId="5" fillId="4" borderId="0" xfId="0" applyNumberFormat="1" applyFont="1" applyFill="1" applyBorder="1"/>
    <xf numFmtId="174" fontId="5" fillId="4" borderId="2" xfId="0" applyNumberFormat="1" applyFont="1" applyFill="1" applyBorder="1"/>
    <xf numFmtId="0" fontId="7" fillId="4" borderId="0" xfId="8" applyFont="1" applyFill="1" applyBorder="1"/>
    <xf numFmtId="14" fontId="5" fillId="4" borderId="0" xfId="8" applyNumberFormat="1" applyFont="1" applyFill="1" applyBorder="1"/>
    <xf numFmtId="174" fontId="5" fillId="4" borderId="2" xfId="8" applyNumberFormat="1" applyFont="1" applyFill="1" applyBorder="1"/>
    <xf numFmtId="2" fontId="16" fillId="4" borderId="0" xfId="2" applyNumberFormat="1" applyFont="1" applyFill="1" applyBorder="1" applyAlignment="1">
      <alignment horizontal="center"/>
    </xf>
    <xf numFmtId="0" fontId="14" fillId="7" borderId="0" xfId="5" applyNumberFormat="1" applyFont="1" applyFill="1" applyBorder="1" applyAlignment="1" applyProtection="1">
      <alignment horizontal="center" vertical="center"/>
    </xf>
    <xf numFmtId="4" fontId="4" fillId="0" borderId="0" xfId="3" applyNumberFormat="1" applyFont="1" applyBorder="1" applyAlignment="1">
      <alignment horizontal="center"/>
    </xf>
    <xf numFmtId="0" fontId="4" fillId="4" borderId="0" xfId="3" applyFill="1"/>
    <xf numFmtId="171" fontId="17" fillId="0" borderId="0" xfId="0" applyNumberFormat="1" applyFont="1" applyBorder="1"/>
    <xf numFmtId="171" fontId="5" fillId="0" borderId="2" xfId="0" applyNumberFormat="1" applyFont="1" applyBorder="1" applyAlignment="1"/>
    <xf numFmtId="1" fontId="17" fillId="0" borderId="0" xfId="2" applyNumberFormat="1" applyFont="1" applyBorder="1"/>
    <xf numFmtId="0" fontId="4" fillId="0" borderId="0" xfId="3" applyFont="1" applyBorder="1" applyAlignment="1">
      <alignment horizontal="left"/>
    </xf>
    <xf numFmtId="10" fontId="4" fillId="0" borderId="0" xfId="2" applyNumberFormat="1" applyFont="1" applyFill="1" applyBorder="1"/>
    <xf numFmtId="0" fontId="4" fillId="4" borderId="0" xfId="3" applyFont="1" applyFill="1" applyBorder="1" applyAlignment="1">
      <alignment horizontal="left"/>
    </xf>
    <xf numFmtId="180" fontId="5" fillId="9" borderId="2" xfId="0" applyNumberFormat="1" applyFont="1" applyFill="1" applyBorder="1"/>
    <xf numFmtId="180" fontId="17" fillId="9" borderId="0" xfId="0" applyNumberFormat="1" applyFont="1" applyFill="1" applyBorder="1"/>
    <xf numFmtId="179" fontId="4" fillId="4" borderId="0" xfId="2" applyNumberFormat="1" applyFont="1" applyFill="1" applyBorder="1"/>
    <xf numFmtId="3" fontId="4" fillId="4" borderId="0" xfId="2" applyNumberFormat="1" applyFont="1" applyFill="1" applyBorder="1"/>
    <xf numFmtId="3" fontId="4" fillId="8" borderId="0" xfId="3" applyNumberFormat="1" applyFont="1" applyFill="1" applyBorder="1" applyAlignment="1">
      <alignment horizontal="right"/>
    </xf>
    <xf numFmtId="0" fontId="10" fillId="4" borderId="5" xfId="3" applyFont="1" applyFill="1" applyBorder="1"/>
    <xf numFmtId="10" fontId="10" fillId="4" borderId="5" xfId="4" applyNumberFormat="1" applyFont="1" applyFill="1" applyBorder="1"/>
    <xf numFmtId="3" fontId="11" fillId="4" borderId="5" xfId="3" applyNumberFormat="1" applyFont="1" applyFill="1" applyBorder="1"/>
    <xf numFmtId="3" fontId="4" fillId="4" borderId="5" xfId="3" applyNumberFormat="1" applyFont="1" applyFill="1" applyBorder="1"/>
    <xf numFmtId="10" fontId="10" fillId="4" borderId="0" xfId="4" applyNumberFormat="1" applyFont="1" applyFill="1" applyBorder="1"/>
    <xf numFmtId="3" fontId="10" fillId="4" borderId="0" xfId="3" applyNumberFormat="1" applyFont="1" applyFill="1" applyBorder="1"/>
    <xf numFmtId="3" fontId="11" fillId="4" borderId="0" xfId="3" applyNumberFormat="1" applyFont="1" applyFill="1" applyBorder="1"/>
    <xf numFmtId="9" fontId="11" fillId="4" borderId="0" xfId="2" applyNumberFormat="1" applyFont="1" applyFill="1" applyBorder="1"/>
    <xf numFmtId="0" fontId="10" fillId="4" borderId="0" xfId="3" applyFont="1" applyFill="1"/>
    <xf numFmtId="4" fontId="10" fillId="4" borderId="0" xfId="3" applyNumberFormat="1" applyFont="1" applyFill="1"/>
    <xf numFmtId="3" fontId="10" fillId="4" borderId="0" xfId="3" applyNumberFormat="1" applyFont="1" applyFill="1"/>
    <xf numFmtId="0" fontId="10" fillId="4" borderId="0" xfId="3" applyFont="1" applyFill="1" applyBorder="1" applyAlignment="1">
      <alignment horizontal="left" indent="1"/>
    </xf>
    <xf numFmtId="0" fontId="10" fillId="4" borderId="0" xfId="3" applyFont="1" applyFill="1" applyAlignment="1">
      <alignment horizontal="left"/>
    </xf>
    <xf numFmtId="0" fontId="6" fillId="4" borderId="3" xfId="0" applyFont="1" applyFill="1" applyBorder="1"/>
    <xf numFmtId="9" fontId="10" fillId="0" borderId="5" xfId="4" applyNumberFormat="1" applyFont="1" applyBorder="1"/>
    <xf numFmtId="167" fontId="16" fillId="4" borderId="0" xfId="1" applyNumberFormat="1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right" indent="1"/>
    </xf>
    <xf numFmtId="167" fontId="16" fillId="4" borderId="0" xfId="1" applyNumberFormat="1" applyFont="1" applyFill="1" applyBorder="1" applyAlignment="1">
      <alignment horizontal="right" indent="1"/>
    </xf>
    <xf numFmtId="3" fontId="15" fillId="0" borderId="5" xfId="3" applyNumberFormat="1" applyFont="1" applyFill="1" applyBorder="1" applyAlignment="1">
      <alignment horizontal="right" indent="1"/>
    </xf>
    <xf numFmtId="0" fontId="4" fillId="26" borderId="0" xfId="3" applyFont="1" applyFill="1" applyBorder="1"/>
    <xf numFmtId="0" fontId="10" fillId="26" borderId="0" xfId="3" applyFont="1" applyFill="1" applyBorder="1"/>
    <xf numFmtId="10" fontId="4" fillId="26" borderId="0" xfId="4" applyNumberFormat="1" applyFont="1" applyFill="1" applyBorder="1"/>
    <xf numFmtId="3" fontId="4" fillId="26" borderId="0" xfId="3" applyNumberFormat="1" applyFont="1" applyFill="1" applyBorder="1"/>
    <xf numFmtId="4" fontId="4" fillId="26" borderId="0" xfId="3" applyNumberFormat="1" applyFont="1" applyFill="1" applyBorder="1"/>
    <xf numFmtId="0" fontId="4" fillId="26" borderId="0" xfId="3" applyFont="1" applyFill="1" applyBorder="1" applyAlignment="1">
      <alignment horizontal="left" indent="1"/>
    </xf>
    <xf numFmtId="3" fontId="16" fillId="26" borderId="0" xfId="3" applyNumberFormat="1" applyFont="1" applyFill="1" applyBorder="1"/>
    <xf numFmtId="2" fontId="2" fillId="26" borderId="0" xfId="2" applyNumberFormat="1" applyFont="1" applyFill="1" applyBorder="1"/>
    <xf numFmtId="2" fontId="16" fillId="26" borderId="0" xfId="2" applyNumberFormat="1" applyFont="1" applyFill="1" applyBorder="1"/>
    <xf numFmtId="167" fontId="16" fillId="26" borderId="0" xfId="3" applyNumberFormat="1" applyFont="1" applyFill="1" applyBorder="1"/>
    <xf numFmtId="0" fontId="16" fillId="26" borderId="0" xfId="3" applyFont="1" applyFill="1" applyBorder="1"/>
    <xf numFmtId="167" fontId="16" fillId="26" borderId="0" xfId="1" applyNumberFormat="1" applyFont="1" applyFill="1" applyBorder="1" applyAlignment="1">
      <alignment horizontal="right"/>
    </xf>
    <xf numFmtId="3" fontId="10" fillId="8" borderId="0" xfId="3" applyNumberFormat="1" applyFont="1" applyFill="1" applyBorder="1" applyAlignment="1">
      <alignment horizontal="right"/>
    </xf>
    <xf numFmtId="3" fontId="10" fillId="0" borderId="5" xfId="3" applyNumberFormat="1" applyFont="1" applyBorder="1" applyAlignment="1">
      <alignment horizontal="right"/>
    </xf>
    <xf numFmtId="10" fontId="22" fillId="0" borderId="0" xfId="2" applyNumberFormat="1" applyFont="1" applyBorder="1"/>
    <xf numFmtId="4" fontId="15" fillId="0" borderId="5" xfId="3" applyNumberFormat="1" applyFont="1" applyFill="1" applyBorder="1"/>
    <xf numFmtId="0" fontId="10" fillId="4" borderId="0" xfId="3" applyFont="1" applyFill="1" applyAlignment="1">
      <alignment horizontal="right"/>
    </xf>
    <xf numFmtId="0" fontId="3" fillId="4" borderId="7" xfId="0" applyFont="1" applyFill="1" applyBorder="1" applyAlignment="1">
      <alignment horizont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4" fillId="26" borderId="0" xfId="3" applyFill="1"/>
    <xf numFmtId="0" fontId="4" fillId="26" borderId="0" xfId="3" applyFill="1" applyBorder="1" applyAlignment="1">
      <alignment horizontal="left" indent="1"/>
    </xf>
    <xf numFmtId="3" fontId="4" fillId="26" borderId="0" xfId="3" applyNumberFormat="1" applyFill="1" applyBorder="1"/>
    <xf numFmtId="167" fontId="16" fillId="26" borderId="0" xfId="1" applyNumberFormat="1" applyFont="1" applyFill="1" applyBorder="1"/>
    <xf numFmtId="9" fontId="16" fillId="26" borderId="0" xfId="2" applyFont="1" applyFill="1" applyBorder="1" applyAlignment="1">
      <alignment horizontal="right"/>
    </xf>
    <xf numFmtId="185" fontId="4" fillId="8" borderId="0" xfId="3" applyNumberFormat="1" applyFill="1" applyBorder="1" applyAlignment="1">
      <alignment horizontal="left" indent="1"/>
    </xf>
    <xf numFmtId="167" fontId="16" fillId="26" borderId="0" xfId="1" applyNumberFormat="1" applyFont="1" applyFill="1" applyBorder="1" applyAlignment="1">
      <alignment horizontal="left"/>
    </xf>
    <xf numFmtId="0" fontId="15" fillId="26" borderId="0" xfId="3" applyFont="1" applyFill="1" applyBorder="1"/>
    <xf numFmtId="4" fontId="4" fillId="26" borderId="0" xfId="2" applyNumberFormat="1" applyFont="1" applyFill="1" applyBorder="1"/>
    <xf numFmtId="164" fontId="4" fillId="26" borderId="0" xfId="1" applyFont="1" applyFill="1"/>
    <xf numFmtId="3" fontId="10" fillId="8" borderId="0" xfId="3" applyNumberFormat="1" applyFont="1" applyFill="1" applyBorder="1" applyAlignment="1">
      <alignment horizontal="left" indent="1"/>
    </xf>
    <xf numFmtId="3" fontId="4" fillId="0" borderId="5" xfId="3" applyNumberFormat="1" applyFont="1" applyBorder="1" applyAlignment="1">
      <alignment horizontal="right"/>
    </xf>
    <xf numFmtId="4" fontId="15" fillId="2" borderId="5" xfId="3" applyNumberFormat="1" applyFont="1" applyFill="1" applyBorder="1"/>
    <xf numFmtId="0" fontId="10" fillId="2" borderId="0" xfId="3" applyFont="1" applyFill="1" applyAlignment="1">
      <alignment wrapText="1"/>
    </xf>
    <xf numFmtId="0" fontId="4" fillId="4" borderId="0" xfId="3" applyFont="1" applyFill="1"/>
    <xf numFmtId="9" fontId="10" fillId="4" borderId="5" xfId="4" applyNumberFormat="1" applyFont="1" applyFill="1" applyBorder="1"/>
    <xf numFmtId="3" fontId="10" fillId="4" borderId="5" xfId="3" applyNumberFormat="1" applyFont="1" applyFill="1" applyBorder="1"/>
    <xf numFmtId="3" fontId="22" fillId="4" borderId="5" xfId="3" applyNumberFormat="1" applyFont="1" applyFill="1" applyBorder="1"/>
    <xf numFmtId="3" fontId="22" fillId="4" borderId="0" xfId="3" applyNumberFormat="1" applyFont="1" applyFill="1" applyBorder="1"/>
    <xf numFmtId="10" fontId="22" fillId="4" borderId="0" xfId="2" applyNumberFormat="1" applyFont="1" applyFill="1" applyBorder="1"/>
    <xf numFmtId="0" fontId="6" fillId="26" borderId="3" xfId="0" applyFont="1" applyFill="1" applyBorder="1"/>
    <xf numFmtId="0" fontId="4" fillId="26" borderId="0" xfId="3" applyFont="1" applyFill="1" applyBorder="1" applyAlignment="1">
      <alignment horizontal="left" vertical="center"/>
    </xf>
    <xf numFmtId="4" fontId="16" fillId="26" borderId="0" xfId="3" applyNumberFormat="1" applyFont="1" applyFill="1" applyBorder="1"/>
    <xf numFmtId="0" fontId="4" fillId="26" borderId="0" xfId="3" applyFont="1" applyFill="1" applyBorder="1" applyAlignment="1">
      <alignment horizontal="left"/>
    </xf>
    <xf numFmtId="3" fontId="15" fillId="8" borderId="1" xfId="3" applyNumberFormat="1" applyFont="1" applyFill="1" applyBorder="1"/>
    <xf numFmtId="167" fontId="16" fillId="4" borderId="0" xfId="1" applyNumberFormat="1" applyFont="1" applyFill="1" applyBorder="1" applyAlignment="1">
      <alignment horizontal="center"/>
    </xf>
    <xf numFmtId="167" fontId="16" fillId="26" borderId="0" xfId="1" applyNumberFormat="1" applyFont="1" applyFill="1" applyBorder="1" applyAlignment="1">
      <alignment horizontal="center"/>
    </xf>
    <xf numFmtId="3" fontId="4" fillId="4" borderId="5" xfId="3" applyNumberFormat="1" applyFont="1" applyFill="1" applyBorder="1" applyAlignment="1">
      <alignment horizontal="center"/>
    </xf>
    <xf numFmtId="10" fontId="16" fillId="26" borderId="0" xfId="4" applyNumberFormat="1" applyFont="1" applyFill="1" applyBorder="1"/>
    <xf numFmtId="0" fontId="16" fillId="26" borderId="0" xfId="3" applyFont="1" applyFill="1" applyBorder="1" applyAlignment="1">
      <alignment horizontal="left" indent="1"/>
    </xf>
    <xf numFmtId="2" fontId="16" fillId="26" borderId="0" xfId="7" applyNumberFormat="1" applyFont="1" applyFill="1" applyBorder="1"/>
    <xf numFmtId="0" fontId="16" fillId="26" borderId="1" xfId="3" applyFont="1" applyFill="1" applyBorder="1"/>
    <xf numFmtId="4" fontId="11" fillId="0" borderId="5" xfId="3" applyNumberFormat="1" applyFont="1" applyBorder="1"/>
    <xf numFmtId="0" fontId="10" fillId="26" borderId="0" xfId="3" applyFont="1" applyFill="1"/>
    <xf numFmtId="0" fontId="4" fillId="27" borderId="0" xfId="3" applyFont="1" applyFill="1" applyBorder="1"/>
    <xf numFmtId="3" fontId="4" fillId="27" borderId="0" xfId="3" applyNumberFormat="1" applyFont="1" applyFill="1" applyBorder="1"/>
    <xf numFmtId="4" fontId="4" fillId="27" borderId="0" xfId="3" applyNumberFormat="1" applyFont="1" applyFill="1" applyBorder="1"/>
    <xf numFmtId="10" fontId="4" fillId="27" borderId="0" xfId="4" applyNumberFormat="1" applyFont="1" applyFill="1" applyBorder="1"/>
    <xf numFmtId="0" fontId="4" fillId="27" borderId="0" xfId="3" applyFont="1" applyFill="1" applyBorder="1" applyAlignment="1">
      <alignment horizontal="left" indent="1"/>
    </xf>
    <xf numFmtId="0" fontId="10" fillId="27" borderId="0" xfId="3" applyFont="1" applyFill="1"/>
    <xf numFmtId="9" fontId="4" fillId="0" borderId="0" xfId="4" applyNumberFormat="1" applyFont="1" applyFill="1" applyBorder="1"/>
    <xf numFmtId="2" fontId="4" fillId="26" borderId="0" xfId="2" applyNumberFormat="1" applyFont="1" applyFill="1" applyBorder="1"/>
    <xf numFmtId="167" fontId="16" fillId="10" borderId="0" xfId="1" applyNumberFormat="1" applyFont="1" applyFill="1" applyBorder="1"/>
    <xf numFmtId="3" fontId="4" fillId="8" borderId="0" xfId="3" applyNumberFormat="1" applyFont="1" applyFill="1" applyBorder="1" applyAlignment="1">
      <alignment horizontal="center"/>
    </xf>
    <xf numFmtId="3" fontId="4" fillId="0" borderId="5" xfId="3" applyNumberFormat="1" applyFont="1" applyFill="1" applyBorder="1" applyAlignment="1">
      <alignment horizontal="center"/>
    </xf>
    <xf numFmtId="0" fontId="16" fillId="27" borderId="0" xfId="3" applyFont="1" applyFill="1" applyBorder="1"/>
    <xf numFmtId="0" fontId="15" fillId="27" borderId="0" xfId="3" applyFont="1" applyFill="1" applyBorder="1"/>
    <xf numFmtId="10" fontId="16" fillId="27" borderId="0" xfId="4" applyNumberFormat="1" applyFont="1" applyFill="1" applyBorder="1"/>
    <xf numFmtId="3" fontId="16" fillId="27" borderId="0" xfId="3" applyNumberFormat="1" applyFont="1" applyFill="1" applyBorder="1"/>
    <xf numFmtId="4" fontId="16" fillId="27" borderId="0" xfId="3" applyNumberFormat="1" applyFont="1" applyFill="1" applyBorder="1"/>
    <xf numFmtId="0" fontId="16" fillId="27" borderId="0" xfId="3" applyFont="1" applyFill="1" applyBorder="1" applyAlignment="1">
      <alignment horizontal="left" indent="1"/>
    </xf>
    <xf numFmtId="167" fontId="16" fillId="27" borderId="0" xfId="1" applyNumberFormat="1" applyFont="1" applyFill="1" applyBorder="1" applyAlignment="1">
      <alignment horizontal="center"/>
    </xf>
    <xf numFmtId="2" fontId="16" fillId="27" borderId="0" xfId="7" applyNumberFormat="1" applyFont="1" applyFill="1" applyBorder="1"/>
    <xf numFmtId="2" fontId="4" fillId="26" borderId="0" xfId="4" applyNumberFormat="1" applyFont="1" applyFill="1" applyBorder="1"/>
    <xf numFmtId="0" fontId="10" fillId="27" borderId="0" xfId="3" applyFont="1" applyFill="1" applyBorder="1"/>
    <xf numFmtId="2" fontId="16" fillId="27" borderId="0" xfId="2" applyNumberFormat="1" applyFont="1" applyFill="1" applyBorder="1"/>
    <xf numFmtId="4" fontId="15" fillId="0" borderId="5" xfId="3" applyNumberFormat="1" applyFont="1" applyBorder="1"/>
    <xf numFmtId="3" fontId="4" fillId="8" borderId="0" xfId="3" applyNumberFormat="1" applyFill="1" applyBorder="1" applyAlignment="1">
      <alignment horizontal="left" indent="1"/>
    </xf>
    <xf numFmtId="167" fontId="16" fillId="27" borderId="0" xfId="1" applyNumberFormat="1" applyFont="1" applyFill="1" applyBorder="1"/>
    <xf numFmtId="0" fontId="4" fillId="4" borderId="0" xfId="3" applyFont="1" applyFill="1" applyAlignment="1">
      <alignment horizontal="center" wrapText="1"/>
    </xf>
    <xf numFmtId="0" fontId="2" fillId="26" borderId="0" xfId="0" applyFont="1" applyFill="1" applyBorder="1"/>
    <xf numFmtId="1" fontId="2" fillId="26" borderId="0" xfId="0" applyNumberFormat="1" applyFont="1" applyFill="1" applyBorder="1"/>
    <xf numFmtId="9" fontId="2" fillId="26" borderId="0" xfId="2" applyFont="1" applyFill="1" applyBorder="1"/>
    <xf numFmtId="3" fontId="2" fillId="26" borderId="0" xfId="0" applyNumberFormat="1" applyFont="1" applyFill="1" applyBorder="1"/>
    <xf numFmtId="4" fontId="2" fillId="26" borderId="0" xfId="0" applyNumberFormat="1" applyFont="1" applyFill="1" applyBorder="1"/>
    <xf numFmtId="0" fontId="2" fillId="26" borderId="6" xfId="0" applyFont="1" applyFill="1" applyBorder="1"/>
    <xf numFmtId="0" fontId="2" fillId="26" borderId="7" xfId="0" applyFont="1" applyFill="1" applyBorder="1"/>
    <xf numFmtId="1" fontId="2" fillId="26" borderId="7" xfId="0" applyNumberFormat="1" applyFont="1" applyFill="1" applyBorder="1"/>
    <xf numFmtId="9" fontId="2" fillId="26" borderId="7" xfId="2" applyFont="1" applyFill="1" applyBorder="1"/>
    <xf numFmtId="3" fontId="2" fillId="26" borderId="7" xfId="0" applyNumberFormat="1" applyFont="1" applyFill="1" applyBorder="1"/>
    <xf numFmtId="4" fontId="2" fillId="26" borderId="7" xfId="0" applyNumberFormat="1" applyFont="1" applyFill="1" applyBorder="1"/>
    <xf numFmtId="2" fontId="2" fillId="26" borderId="7" xfId="2" applyNumberFormat="1" applyFont="1" applyFill="1" applyBorder="1"/>
    <xf numFmtId="4" fontId="2" fillId="26" borderId="26" xfId="0" applyNumberFormat="1" applyFont="1" applyFill="1" applyBorder="1"/>
    <xf numFmtId="0" fontId="2" fillId="26" borderId="8" xfId="0" applyFont="1" applyFill="1" applyBorder="1"/>
    <xf numFmtId="4" fontId="2" fillId="26" borderId="27" xfId="0" applyNumberFormat="1" applyFont="1" applyFill="1" applyBorder="1"/>
    <xf numFmtId="0" fontId="2" fillId="26" borderId="28" xfId="0" applyFont="1" applyFill="1" applyBorder="1"/>
    <xf numFmtId="0" fontId="2" fillId="26" borderId="9" xfId="0" applyFont="1" applyFill="1" applyBorder="1"/>
    <xf numFmtId="1" fontId="2" fillId="26" borderId="9" xfId="0" applyNumberFormat="1" applyFont="1" applyFill="1" applyBorder="1"/>
    <xf numFmtId="9" fontId="2" fillId="26" borderId="9" xfId="2" applyFont="1" applyFill="1" applyBorder="1"/>
    <xf numFmtId="3" fontId="2" fillId="26" borderId="9" xfId="0" applyNumberFormat="1" applyFont="1" applyFill="1" applyBorder="1"/>
    <xf numFmtId="4" fontId="2" fillId="26" borderId="9" xfId="0" applyNumberFormat="1" applyFont="1" applyFill="1" applyBorder="1"/>
    <xf numFmtId="2" fontId="2" fillId="26" borderId="9" xfId="2" applyNumberFormat="1" applyFont="1" applyFill="1" applyBorder="1"/>
    <xf numFmtId="4" fontId="2" fillId="26" borderId="29" xfId="0" applyNumberFormat="1" applyFont="1" applyFill="1" applyBorder="1"/>
    <xf numFmtId="178" fontId="4" fillId="27" borderId="0" xfId="3" applyNumberFormat="1" applyFont="1" applyFill="1" applyBorder="1"/>
    <xf numFmtId="4" fontId="15" fillId="8" borderId="0" xfId="3" applyNumberFormat="1" applyFont="1" applyFill="1" applyBorder="1"/>
    <xf numFmtId="4" fontId="16" fillId="0" borderId="5" xfId="3" applyNumberFormat="1" applyFont="1" applyBorder="1"/>
    <xf numFmtId="0" fontId="4" fillId="3" borderId="0" xfId="3" applyFill="1"/>
    <xf numFmtId="0" fontId="31" fillId="4" borderId="0" xfId="3" applyFont="1" applyFill="1" applyBorder="1" applyAlignment="1">
      <alignment horizontal="center" wrapText="1"/>
    </xf>
    <xf numFmtId="10" fontId="10" fillId="26" borderId="0" xfId="4" applyNumberFormat="1" applyFont="1" applyFill="1" applyBorder="1"/>
    <xf numFmtId="3" fontId="10" fillId="26" borderId="0" xfId="3" applyNumberFormat="1" applyFont="1" applyFill="1" applyBorder="1"/>
    <xf numFmtId="0" fontId="14" fillId="3" borderId="0" xfId="5" applyNumberFormat="1" applyFont="1" applyFill="1" applyBorder="1" applyAlignment="1" applyProtection="1"/>
    <xf numFmtId="0" fontId="14" fillId="3" borderId="0" xfId="5" applyNumberFormat="1" applyFont="1" applyFill="1" applyBorder="1" applyAlignment="1" applyProtection="1">
      <alignment wrapText="1"/>
    </xf>
    <xf numFmtId="0" fontId="14" fillId="3" borderId="0" xfId="5" applyNumberFormat="1" applyFont="1" applyFill="1" applyBorder="1" applyAlignment="1" applyProtection="1">
      <alignment horizontal="center" wrapText="1"/>
    </xf>
    <xf numFmtId="4" fontId="16" fillId="26" borderId="0" xfId="3" applyNumberFormat="1" applyFont="1" applyFill="1" applyBorder="1" applyAlignment="1">
      <alignment horizontal="right"/>
    </xf>
    <xf numFmtId="2" fontId="4" fillId="27" borderId="0" xfId="3" applyNumberFormat="1" applyFont="1" applyFill="1" applyBorder="1" applyAlignment="1">
      <alignment horizontal="right" indent="1"/>
    </xf>
    <xf numFmtId="3" fontId="16" fillId="27" borderId="0" xfId="3" applyNumberFormat="1" applyFont="1" applyFill="1" applyBorder="1" applyAlignment="1">
      <alignment horizontal="right"/>
    </xf>
    <xf numFmtId="0" fontId="4" fillId="27" borderId="1" xfId="3" applyFont="1" applyFill="1" applyBorder="1"/>
    <xf numFmtId="0" fontId="4" fillId="27" borderId="13" xfId="3" applyFont="1" applyFill="1" applyBorder="1"/>
    <xf numFmtId="0" fontId="10" fillId="3" borderId="0" xfId="3" applyFont="1" applyFill="1"/>
    <xf numFmtId="10" fontId="10" fillId="0" borderId="5" xfId="4" applyNumberFormat="1" applyFont="1" applyFill="1" applyBorder="1"/>
    <xf numFmtId="3" fontId="11" fillId="0" borderId="5" xfId="3" applyNumberFormat="1" applyFont="1" applyFill="1" applyBorder="1"/>
    <xf numFmtId="3" fontId="22" fillId="0" borderId="5" xfId="3" applyNumberFormat="1" applyFont="1" applyFill="1" applyBorder="1"/>
    <xf numFmtId="10" fontId="11" fillId="0" borderId="0" xfId="2" applyNumberFormat="1" applyFont="1" applyFill="1" applyBorder="1"/>
    <xf numFmtId="2" fontId="22" fillId="0" borderId="5" xfId="2" applyNumberFormat="1" applyFont="1" applyFill="1" applyBorder="1"/>
    <xf numFmtId="0" fontId="4" fillId="4" borderId="7" xfId="3" applyFont="1" applyFill="1" applyBorder="1" applyAlignment="1">
      <alignment horizontal="center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Alignment="1">
      <alignment horizontal="center"/>
    </xf>
    <xf numFmtId="0" fontId="4" fillId="4" borderId="0" xfId="3" applyFont="1" applyFill="1" applyBorder="1" applyAlignment="1">
      <alignment horizontal="center" wrapText="1"/>
    </xf>
    <xf numFmtId="9" fontId="4" fillId="4" borderId="0" xfId="2" applyFont="1" applyFill="1" applyBorder="1"/>
    <xf numFmtId="9" fontId="4" fillId="0" borderId="0" xfId="2" applyFont="1"/>
    <xf numFmtId="10" fontId="4" fillId="0" borderId="5" xfId="2" applyNumberFormat="1" applyFont="1" applyBorder="1"/>
    <xf numFmtId="164" fontId="16" fillId="26" borderId="0" xfId="1" applyNumberFormat="1" applyFont="1" applyFill="1" applyBorder="1" applyAlignment="1">
      <alignment horizontal="right"/>
    </xf>
    <xf numFmtId="9" fontId="4" fillId="27" borderId="0" xfId="2" applyFont="1" applyFill="1" applyBorder="1"/>
    <xf numFmtId="4" fontId="16" fillId="2" borderId="5" xfId="3" applyNumberFormat="1" applyFont="1" applyFill="1" applyBorder="1"/>
    <xf numFmtId="9" fontId="16" fillId="2" borderId="0" xfId="2" applyNumberFormat="1" applyFont="1" applyFill="1" applyBorder="1"/>
    <xf numFmtId="10" fontId="4" fillId="2" borderId="5" xfId="2" applyNumberFormat="1" applyFont="1" applyFill="1" applyBorder="1"/>
    <xf numFmtId="171" fontId="4" fillId="3" borderId="0" xfId="3" applyNumberFormat="1" applyFill="1"/>
    <xf numFmtId="173" fontId="4" fillId="3" borderId="0" xfId="3" applyNumberFormat="1" applyFill="1"/>
    <xf numFmtId="0" fontId="4" fillId="26" borderId="0" xfId="3" applyFont="1" applyFill="1"/>
    <xf numFmtId="0" fontId="4" fillId="26" borderId="5" xfId="3" applyFont="1" applyFill="1" applyBorder="1"/>
    <xf numFmtId="10" fontId="10" fillId="26" borderId="5" xfId="4" applyNumberFormat="1" applyFont="1" applyFill="1" applyBorder="1"/>
    <xf numFmtId="3" fontId="11" fillId="26" borderId="5" xfId="3" applyNumberFormat="1" applyFont="1" applyFill="1" applyBorder="1"/>
    <xf numFmtId="3" fontId="16" fillId="26" borderId="5" xfId="3" applyNumberFormat="1" applyFont="1" applyFill="1" applyBorder="1"/>
    <xf numFmtId="0" fontId="16" fillId="26" borderId="0" xfId="3" applyFont="1" applyFill="1"/>
    <xf numFmtId="9" fontId="16" fillId="26" borderId="0" xfId="2" applyNumberFormat="1" applyFont="1" applyFill="1" applyBorder="1"/>
    <xf numFmtId="0" fontId="7" fillId="26" borderId="0" xfId="0" applyFont="1" applyFill="1" applyBorder="1"/>
    <xf numFmtId="171" fontId="4" fillId="26" borderId="0" xfId="3" applyNumberFormat="1" applyFont="1" applyFill="1" applyBorder="1"/>
    <xf numFmtId="175" fontId="12" fillId="26" borderId="0" xfId="4" applyNumberFormat="1" applyFont="1" applyFill="1" applyBorder="1"/>
    <xf numFmtId="4" fontId="10" fillId="26" borderId="0" xfId="3" applyNumberFormat="1" applyFont="1" applyFill="1" applyBorder="1"/>
    <xf numFmtId="14" fontId="5" fillId="26" borderId="0" xfId="0" applyNumberFormat="1" applyFont="1" applyFill="1" applyBorder="1"/>
    <xf numFmtId="174" fontId="5" fillId="26" borderId="2" xfId="0" applyNumberFormat="1" applyFont="1" applyFill="1" applyBorder="1"/>
    <xf numFmtId="174" fontId="5" fillId="26" borderId="0" xfId="0" applyNumberFormat="1" applyFont="1" applyFill="1" applyBorder="1"/>
    <xf numFmtId="168" fontId="10" fillId="26" borderId="0" xfId="3" applyNumberFormat="1" applyFont="1" applyFill="1" applyBorder="1"/>
    <xf numFmtId="171" fontId="4" fillId="26" borderId="0" xfId="3" applyNumberFormat="1" applyFill="1"/>
    <xf numFmtId="173" fontId="4" fillId="26" borderId="0" xfId="3" applyNumberFormat="1" applyFill="1"/>
    <xf numFmtId="174" fontId="4" fillId="26" borderId="0" xfId="3" applyNumberFormat="1" applyFill="1"/>
    <xf numFmtId="0" fontId="10" fillId="26" borderId="0" xfId="3" applyFont="1" applyFill="1" applyBorder="1" applyAlignment="1">
      <alignment horizontal="left" indent="1"/>
    </xf>
    <xf numFmtId="4" fontId="4" fillId="26" borderId="0" xfId="3" applyNumberFormat="1" applyFill="1"/>
    <xf numFmtId="0" fontId="4" fillId="26" borderId="0" xfId="3" applyFill="1" applyBorder="1"/>
    <xf numFmtId="3" fontId="10" fillId="26" borderId="0" xfId="3" applyNumberFormat="1" applyFont="1" applyFill="1"/>
    <xf numFmtId="0" fontId="10" fillId="26" borderId="0" xfId="3" applyFont="1" applyFill="1" applyAlignment="1">
      <alignment horizontal="left"/>
    </xf>
    <xf numFmtId="176" fontId="10" fillId="26" borderId="0" xfId="3" applyNumberFormat="1" applyFont="1" applyFill="1" applyBorder="1"/>
    <xf numFmtId="173" fontId="4" fillId="26" borderId="0" xfId="2" applyNumberFormat="1" applyFont="1" applyFill="1"/>
    <xf numFmtId="4" fontId="4" fillId="26" borderId="0" xfId="3" applyNumberFormat="1" applyFont="1" applyFill="1"/>
    <xf numFmtId="2" fontId="4" fillId="26" borderId="0" xfId="3" applyNumberFormat="1" applyFill="1"/>
    <xf numFmtId="9" fontId="16" fillId="2" borderId="0" xfId="2" applyNumberFormat="1" applyFont="1" applyFill="1" applyBorder="1" applyAlignment="1">
      <alignment wrapText="1"/>
    </xf>
    <xf numFmtId="10" fontId="10" fillId="0" borderId="5" xfId="2" applyNumberFormat="1" applyFont="1" applyBorder="1"/>
    <xf numFmtId="9" fontId="16" fillId="27" borderId="0" xfId="2" applyFont="1" applyFill="1" applyBorder="1"/>
    <xf numFmtId="9" fontId="11" fillId="4" borderId="0" xfId="7" applyNumberFormat="1" applyFont="1" applyFill="1" applyBorder="1"/>
    <xf numFmtId="9" fontId="11" fillId="4" borderId="0" xfId="2" applyFont="1" applyFill="1" applyBorder="1" applyAlignment="1">
      <alignment horizontal="right"/>
    </xf>
    <xf numFmtId="2" fontId="4" fillId="0" borderId="5" xfId="2" applyNumberFormat="1" applyFont="1" applyBorder="1"/>
    <xf numFmtId="9" fontId="4" fillId="4" borderId="0" xfId="2" applyFont="1" applyFill="1"/>
    <xf numFmtId="2" fontId="4" fillId="4" borderId="0" xfId="3" applyNumberFormat="1" applyFill="1"/>
    <xf numFmtId="2" fontId="4" fillId="4" borderId="0" xfId="3" applyNumberFormat="1" applyFont="1" applyFill="1"/>
    <xf numFmtId="9" fontId="4" fillId="4" borderId="0" xfId="2" applyNumberFormat="1" applyFont="1" applyFill="1"/>
    <xf numFmtId="4" fontId="10" fillId="0" borderId="5" xfId="3" applyNumberFormat="1" applyFont="1" applyFill="1" applyBorder="1"/>
    <xf numFmtId="10" fontId="4" fillId="4" borderId="0" xfId="2" applyNumberFormat="1" applyFont="1" applyFill="1" applyBorder="1"/>
    <xf numFmtId="3" fontId="15" fillId="2" borderId="0" xfId="3" applyNumberFormat="1" applyFont="1" applyFill="1" applyBorder="1"/>
    <xf numFmtId="0" fontId="14" fillId="28" borderId="0" xfId="5" applyNumberFormat="1" applyFont="1" applyFill="1" applyBorder="1" applyAlignment="1" applyProtection="1">
      <alignment horizontal="center" vertical="center"/>
    </xf>
    <xf numFmtId="0" fontId="14" fillId="28" borderId="0" xfId="5" applyNumberFormat="1" applyFont="1" applyFill="1" applyBorder="1" applyAlignment="1" applyProtection="1">
      <alignment horizontal="center" vertical="center" wrapText="1"/>
    </xf>
    <xf numFmtId="0" fontId="4" fillId="28" borderId="0" xfId="3" applyFill="1" applyAlignment="1">
      <alignment horizontal="center" vertical="center"/>
    </xf>
    <xf numFmtId="0" fontId="4" fillId="0" borderId="0" xfId="3" applyAlignment="1">
      <alignment horizontal="center" vertical="center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Alignment="1">
      <alignment horizontal="center" wrapText="1"/>
    </xf>
    <xf numFmtId="10" fontId="4" fillId="4" borderId="5" xfId="2" applyNumberFormat="1" applyFont="1" applyFill="1" applyBorder="1"/>
    <xf numFmtId="3" fontId="10" fillId="4" borderId="0" xfId="3" applyNumberFormat="1" applyFont="1" applyFill="1" applyAlignment="1">
      <alignment horizontal="center" wrapText="1"/>
    </xf>
    <xf numFmtId="0" fontId="10" fillId="0" borderId="0" xfId="3" applyFont="1" applyAlignment="1">
      <alignment horizontal="center" vertical="center"/>
    </xf>
    <xf numFmtId="0" fontId="4" fillId="4" borderId="0" xfId="3" applyFont="1" applyFill="1" applyAlignment="1">
      <alignment horizontal="right"/>
    </xf>
    <xf numFmtId="2" fontId="4" fillId="0" borderId="5" xfId="4" applyNumberFormat="1" applyFont="1" applyFill="1" applyBorder="1"/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10" borderId="0" xfId="3" applyFill="1"/>
    <xf numFmtId="2" fontId="4" fillId="10" borderId="0" xfId="2" applyNumberFormat="1" applyFont="1" applyFill="1" applyBorder="1"/>
    <xf numFmtId="0" fontId="4" fillId="9" borderId="0" xfId="3" applyFill="1"/>
    <xf numFmtId="10" fontId="11" fillId="0" borderId="5" xfId="2" applyNumberFormat="1" applyFont="1" applyBorder="1"/>
    <xf numFmtId="0" fontId="16" fillId="4" borderId="0" xfId="3" applyFont="1" applyFill="1"/>
    <xf numFmtId="2" fontId="4" fillId="4" borderId="0" xfId="3" applyNumberFormat="1" applyFill="1" applyBorder="1" applyAlignment="1">
      <alignment horizontal="right" indent="4"/>
    </xf>
    <xf numFmtId="1" fontId="4" fillId="4" borderId="0" xfId="3" applyNumberFormat="1" applyFill="1" applyBorder="1" applyAlignment="1">
      <alignment horizontal="right" indent="4"/>
    </xf>
    <xf numFmtId="0" fontId="15" fillId="4" borderId="0" xfId="5" applyNumberFormat="1" applyFont="1" applyFill="1" applyBorder="1" applyAlignment="1" applyProtection="1">
      <alignment horizontal="center" vertical="center"/>
    </xf>
    <xf numFmtId="0" fontId="16" fillId="4" borderId="0" xfId="3" applyFont="1" applyFill="1" applyAlignment="1">
      <alignment horizontal="center" vertical="center"/>
    </xf>
    <xf numFmtId="0" fontId="15" fillId="4" borderId="0" xfId="5" applyNumberFormat="1" applyFont="1" applyFill="1" applyBorder="1" applyAlignment="1" applyProtection="1">
      <alignment horizontal="center" vertical="center" wrapText="1"/>
    </xf>
    <xf numFmtId="9" fontId="16" fillId="4" borderId="0" xfId="2" applyFont="1" applyFill="1" applyBorder="1" applyAlignment="1" applyProtection="1">
      <alignment horizontal="left" vertical="center"/>
    </xf>
    <xf numFmtId="0" fontId="16" fillId="4" borderId="0" xfId="5" applyNumberFormat="1" applyFont="1" applyFill="1" applyBorder="1" applyAlignment="1" applyProtection="1"/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0" borderId="0" xfId="3" applyFont="1" applyAlignment="1"/>
    <xf numFmtId="0" fontId="4" fillId="0" borderId="0" xfId="3" applyAlignment="1"/>
    <xf numFmtId="10" fontId="16" fillId="4" borderId="0" xfId="2" applyNumberFormat="1" applyFont="1" applyFill="1" applyBorder="1" applyAlignment="1" applyProtection="1">
      <alignment horizontal="center" vertical="center"/>
    </xf>
    <xf numFmtId="2" fontId="2" fillId="26" borderId="0" xfId="0" applyNumberFormat="1" applyFont="1" applyFill="1" applyBorder="1"/>
    <xf numFmtId="0" fontId="3" fillId="4" borderId="6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2" fillId="4" borderId="6" xfId="0" applyFont="1" applyFill="1" applyBorder="1"/>
    <xf numFmtId="0" fontId="2" fillId="4" borderId="7" xfId="0" applyFont="1" applyFill="1" applyBorder="1"/>
    <xf numFmtId="1" fontId="2" fillId="4" borderId="7" xfId="0" applyNumberFormat="1" applyFont="1" applyFill="1" applyBorder="1"/>
    <xf numFmtId="9" fontId="2" fillId="4" borderId="7" xfId="2" applyFont="1" applyFill="1" applyBorder="1"/>
    <xf numFmtId="3" fontId="2" fillId="4" borderId="7" xfId="0" applyNumberFormat="1" applyFont="1" applyFill="1" applyBorder="1"/>
    <xf numFmtId="4" fontId="2" fillId="4" borderId="7" xfId="0" applyNumberFormat="1" applyFont="1" applyFill="1" applyBorder="1"/>
    <xf numFmtId="2" fontId="2" fillId="4" borderId="7" xfId="2" applyNumberFormat="1" applyFont="1" applyFill="1" applyBorder="1"/>
    <xf numFmtId="4" fontId="2" fillId="4" borderId="26" xfId="0" applyNumberFormat="1" applyFont="1" applyFill="1" applyBorder="1"/>
    <xf numFmtId="0" fontId="2" fillId="4" borderId="8" xfId="0" applyFont="1" applyFill="1" applyBorder="1"/>
    <xf numFmtId="4" fontId="2" fillId="4" borderId="27" xfId="0" applyNumberFormat="1" applyFont="1" applyFill="1" applyBorder="1"/>
    <xf numFmtId="0" fontId="2" fillId="4" borderId="28" xfId="0" applyFont="1" applyFill="1" applyBorder="1"/>
    <xf numFmtId="0" fontId="2" fillId="4" borderId="9" xfId="0" applyFont="1" applyFill="1" applyBorder="1"/>
    <xf numFmtId="1" fontId="2" fillId="4" borderId="9" xfId="0" applyNumberFormat="1" applyFont="1" applyFill="1" applyBorder="1"/>
    <xf numFmtId="9" fontId="2" fillId="4" borderId="9" xfId="2" applyFont="1" applyFill="1" applyBorder="1"/>
    <xf numFmtId="3" fontId="2" fillId="4" borderId="9" xfId="0" applyNumberFormat="1" applyFont="1" applyFill="1" applyBorder="1"/>
    <xf numFmtId="4" fontId="2" fillId="4" borderId="9" xfId="0" applyNumberFormat="1" applyFont="1" applyFill="1" applyBorder="1"/>
    <xf numFmtId="2" fontId="2" fillId="4" borderId="9" xfId="2" applyNumberFormat="1" applyFont="1" applyFill="1" applyBorder="1"/>
    <xf numFmtId="4" fontId="2" fillId="4" borderId="29" xfId="0" applyNumberFormat="1" applyFont="1" applyFill="1" applyBorder="1"/>
    <xf numFmtId="4" fontId="4" fillId="4" borderId="7" xfId="3" applyNumberFormat="1" applyFont="1" applyFill="1" applyBorder="1"/>
    <xf numFmtId="4" fontId="4" fillId="4" borderId="9" xfId="3" applyNumberFormat="1" applyFont="1" applyFill="1" applyBorder="1"/>
    <xf numFmtId="4" fontId="4" fillId="26" borderId="7" xfId="3" applyNumberFormat="1" applyFont="1" applyFill="1" applyBorder="1"/>
    <xf numFmtId="4" fontId="4" fillId="26" borderId="9" xfId="3" applyNumberFormat="1" applyFont="1" applyFill="1" applyBorder="1"/>
    <xf numFmtId="2" fontId="4" fillId="4" borderId="5" xfId="2" applyNumberFormat="1" applyFont="1" applyFill="1" applyBorder="1"/>
    <xf numFmtId="10" fontId="16" fillId="4" borderId="5" xfId="2" applyNumberFormat="1" applyFont="1" applyFill="1" applyBorder="1"/>
    <xf numFmtId="10" fontId="16" fillId="4" borderId="0" xfId="2" applyNumberFormat="1" applyFont="1" applyFill="1" applyBorder="1"/>
    <xf numFmtId="10" fontId="4" fillId="0" borderId="5" xfId="4" applyNumberFormat="1" applyFont="1" applyFill="1" applyBorder="1"/>
    <xf numFmtId="10" fontId="16" fillId="0" borderId="5" xfId="2" applyNumberFormat="1" applyFont="1" applyBorder="1"/>
    <xf numFmtId="167" fontId="4" fillId="4" borderId="0" xfId="3" applyNumberFormat="1" applyFill="1"/>
    <xf numFmtId="0" fontId="6" fillId="26" borderId="2" xfId="0" applyFont="1" applyFill="1" applyBorder="1"/>
    <xf numFmtId="10" fontId="4" fillId="4" borderId="0" xfId="2" applyNumberFormat="1" applyFont="1" applyFill="1"/>
    <xf numFmtId="0" fontId="4" fillId="2" borderId="0" xfId="3" applyFont="1" applyFill="1" applyAlignment="1">
      <alignment horizontal="center" wrapText="1"/>
    </xf>
    <xf numFmtId="9" fontId="4" fillId="0" borderId="5" xfId="2" applyFont="1" applyBorder="1"/>
    <xf numFmtId="3" fontId="16" fillId="2" borderId="5" xfId="3" applyNumberFormat="1" applyFont="1" applyFill="1" applyBorder="1"/>
    <xf numFmtId="3" fontId="4" fillId="2" borderId="5" xfId="3" applyNumberFormat="1" applyFont="1" applyFill="1" applyBorder="1"/>
    <xf numFmtId="9" fontId="22" fillId="0" borderId="0" xfId="2" applyNumberFormat="1" applyFont="1" applyFill="1" applyBorder="1"/>
    <xf numFmtId="2" fontId="4" fillId="4" borderId="0" xfId="3" applyNumberFormat="1" applyFont="1" applyFill="1" applyBorder="1" applyAlignment="1">
      <alignment horizontal="right" indent="1"/>
    </xf>
    <xf numFmtId="9" fontId="10" fillId="0" borderId="5" xfId="2" applyFont="1" applyBorder="1"/>
    <xf numFmtId="0" fontId="9" fillId="4" borderId="0" xfId="0" applyFont="1" applyFill="1" applyBorder="1"/>
    <xf numFmtId="0" fontId="20" fillId="4" borderId="0" xfId="0" applyFont="1" applyFill="1" applyBorder="1"/>
    <xf numFmtId="171" fontId="17" fillId="4" borderId="0" xfId="0" applyNumberFormat="1" applyFont="1" applyFill="1" applyBorder="1"/>
    <xf numFmtId="174" fontId="17" fillId="4" borderId="0" xfId="0" applyNumberFormat="1" applyFont="1" applyFill="1" applyBorder="1"/>
    <xf numFmtId="170" fontId="21" fillId="4" borderId="0" xfId="0" applyNumberFormat="1" applyFont="1" applyFill="1" applyBorder="1"/>
    <xf numFmtId="10" fontId="4" fillId="2" borderId="0" xfId="4" applyNumberFormat="1" applyFont="1" applyFill="1" applyBorder="1"/>
    <xf numFmtId="3" fontId="4" fillId="2" borderId="0" xfId="3" applyNumberFormat="1" applyFont="1" applyFill="1" applyBorder="1"/>
    <xf numFmtId="4" fontId="4" fillId="2" borderId="0" xfId="3" applyNumberFormat="1" applyFont="1" applyFill="1" applyBorder="1"/>
    <xf numFmtId="0" fontId="4" fillId="2" borderId="0" xfId="3" applyFont="1" applyFill="1" applyBorder="1" applyAlignment="1">
      <alignment horizontal="left" indent="1"/>
    </xf>
    <xf numFmtId="3" fontId="16" fillId="2" borderId="0" xfId="3" applyNumberFormat="1" applyFont="1" applyFill="1" applyBorder="1"/>
    <xf numFmtId="0" fontId="15" fillId="4" borderId="0" xfId="3" applyFont="1" applyFill="1" applyAlignment="1">
      <alignment horizontal="right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" fillId="2" borderId="8" xfId="0" applyFont="1" applyFill="1" applyBorder="1"/>
    <xf numFmtId="0" fontId="2" fillId="2" borderId="0" xfId="0" applyFont="1" applyFill="1" applyBorder="1"/>
    <xf numFmtId="1" fontId="2" fillId="2" borderId="0" xfId="0" applyNumberFormat="1" applyFont="1" applyFill="1" applyBorder="1"/>
    <xf numFmtId="9" fontId="2" fillId="2" borderId="0" xfId="2" applyFont="1" applyFill="1" applyBorder="1"/>
    <xf numFmtId="3" fontId="2" fillId="2" borderId="0" xfId="0" applyNumberFormat="1" applyFont="1" applyFill="1" applyBorder="1"/>
    <xf numFmtId="4" fontId="2" fillId="2" borderId="0" xfId="0" applyNumberFormat="1" applyFont="1" applyFill="1" applyBorder="1"/>
    <xf numFmtId="4" fontId="2" fillId="2" borderId="27" xfId="0" applyNumberFormat="1" applyFont="1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1" fontId="2" fillId="2" borderId="7" xfId="0" applyNumberFormat="1" applyFont="1" applyFill="1" applyBorder="1"/>
    <xf numFmtId="9" fontId="2" fillId="2" borderId="7" xfId="2" applyFont="1" applyFill="1" applyBorder="1"/>
    <xf numFmtId="3" fontId="2" fillId="2" borderId="7" xfId="0" applyNumberFormat="1" applyFont="1" applyFill="1" applyBorder="1"/>
    <xf numFmtId="4" fontId="2" fillId="2" borderId="7" xfId="0" applyNumberFormat="1" applyFont="1" applyFill="1" applyBorder="1"/>
    <xf numFmtId="2" fontId="2" fillId="2" borderId="7" xfId="2" applyNumberFormat="1" applyFont="1" applyFill="1" applyBorder="1"/>
    <xf numFmtId="4" fontId="4" fillId="2" borderId="7" xfId="3" applyNumberFormat="1" applyFont="1" applyFill="1" applyBorder="1"/>
    <xf numFmtId="4" fontId="2" fillId="2" borderId="26" xfId="0" applyNumberFormat="1" applyFont="1" applyFill="1" applyBorder="1"/>
    <xf numFmtId="0" fontId="2" fillId="2" borderId="28" xfId="0" applyFont="1" applyFill="1" applyBorder="1"/>
    <xf numFmtId="0" fontId="2" fillId="2" borderId="9" xfId="0" applyFont="1" applyFill="1" applyBorder="1"/>
    <xf numFmtId="1" fontId="2" fillId="2" borderId="9" xfId="0" applyNumberFormat="1" applyFont="1" applyFill="1" applyBorder="1"/>
    <xf numFmtId="9" fontId="2" fillId="2" borderId="9" xfId="2" applyFont="1" applyFill="1" applyBorder="1"/>
    <xf numFmtId="3" fontId="2" fillId="2" borderId="9" xfId="0" applyNumberFormat="1" applyFont="1" applyFill="1" applyBorder="1"/>
    <xf numFmtId="4" fontId="2" fillId="2" borderId="9" xfId="0" applyNumberFormat="1" applyFont="1" applyFill="1" applyBorder="1"/>
    <xf numFmtId="2" fontId="2" fillId="2" borderId="9" xfId="2" applyNumberFormat="1" applyFont="1" applyFill="1" applyBorder="1"/>
    <xf numFmtId="4" fontId="4" fillId="2" borderId="9" xfId="3" applyNumberFormat="1" applyFont="1" applyFill="1" applyBorder="1"/>
    <xf numFmtId="4" fontId="2" fillId="2" borderId="29" xfId="0" applyNumberFormat="1" applyFont="1" applyFill="1" applyBorder="1"/>
    <xf numFmtId="3" fontId="16" fillId="4" borderId="0" xfId="3" applyNumberFormat="1" applyFont="1" applyFill="1" applyBorder="1" applyAlignment="1">
      <alignment horizontal="right"/>
    </xf>
    <xf numFmtId="0" fontId="4" fillId="0" borderId="0" xfId="3" applyFont="1" applyFill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5" fillId="2" borderId="0" xfId="3" applyFont="1" applyFill="1" applyBorder="1"/>
    <xf numFmtId="2" fontId="2" fillId="0" borderId="0" xfId="2" applyNumberFormat="1" applyFont="1" applyFill="1" applyBorder="1"/>
    <xf numFmtId="167" fontId="16" fillId="0" borderId="0" xfId="1" applyNumberFormat="1" applyFont="1" applyFill="1" applyBorder="1" applyAlignment="1">
      <alignment horizontal="right"/>
    </xf>
    <xf numFmtId="0" fontId="4" fillId="0" borderId="1" xfId="3" applyFont="1" applyFill="1" applyBorder="1"/>
    <xf numFmtId="179" fontId="4" fillId="0" borderId="0" xfId="3" applyNumberFormat="1" applyFont="1" applyFill="1" applyBorder="1"/>
    <xf numFmtId="0" fontId="16" fillId="0" borderId="0" xfId="3" applyFont="1" applyFill="1" applyBorder="1"/>
    <xf numFmtId="10" fontId="16" fillId="0" borderId="0" xfId="4" applyNumberFormat="1" applyFont="1" applyFill="1" applyBorder="1"/>
    <xf numFmtId="179" fontId="16" fillId="0" borderId="0" xfId="3" applyNumberFormat="1" applyFont="1" applyFill="1" applyBorder="1"/>
    <xf numFmtId="3" fontId="4" fillId="0" borderId="1" xfId="3" applyNumberFormat="1" applyFont="1" applyFill="1" applyBorder="1"/>
    <xf numFmtId="4" fontId="4" fillId="0" borderId="1" xfId="3" applyNumberFormat="1" applyFont="1" applyFill="1" applyBorder="1"/>
    <xf numFmtId="10" fontId="4" fillId="0" borderId="1" xfId="2" applyNumberFormat="1" applyFont="1" applyFill="1" applyBorder="1"/>
    <xf numFmtId="10" fontId="4" fillId="0" borderId="1" xfId="4" applyNumberFormat="1" applyFont="1" applyFill="1" applyBorder="1"/>
    <xf numFmtId="3" fontId="16" fillId="0" borderId="1" xfId="3" applyNumberFormat="1" applyFont="1" applyFill="1" applyBorder="1"/>
    <xf numFmtId="2" fontId="2" fillId="0" borderId="1" xfId="2" applyNumberFormat="1" applyFont="1" applyFill="1" applyBorder="1"/>
    <xf numFmtId="167" fontId="16" fillId="0" borderId="1" xfId="1" applyNumberFormat="1" applyFont="1" applyFill="1" applyBorder="1" applyAlignment="1">
      <alignment horizontal="right"/>
    </xf>
    <xf numFmtId="2" fontId="16" fillId="0" borderId="1" xfId="2" applyNumberFormat="1" applyFont="1" applyFill="1" applyBorder="1"/>
    <xf numFmtId="0" fontId="10" fillId="0" borderId="1" xfId="3" applyFont="1" applyFill="1" applyBorder="1"/>
    <xf numFmtId="0" fontId="4" fillId="0" borderId="0" xfId="3" applyFont="1" applyFill="1" applyBorder="1" applyAlignment="1">
      <alignment horizontal="center"/>
    </xf>
    <xf numFmtId="0" fontId="16" fillId="0" borderId="0" xfId="3" applyFont="1" applyFill="1" applyBorder="1" applyAlignment="1">
      <alignment horizontal="center"/>
    </xf>
    <xf numFmtId="0" fontId="4" fillId="0" borderId="1" xfId="3" applyFont="1" applyFill="1" applyBorder="1" applyAlignment="1">
      <alignment horizontal="center"/>
    </xf>
    <xf numFmtId="178" fontId="4" fillId="0" borderId="0" xfId="3" applyNumberFormat="1" applyFont="1" applyFill="1" applyBorder="1"/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3" fontId="4" fillId="4" borderId="0" xfId="3" applyNumberFormat="1" applyFont="1" applyFill="1" applyBorder="1" applyAlignment="1">
      <alignment horizontal="right" indent="1"/>
    </xf>
    <xf numFmtId="10" fontId="4" fillId="0" borderId="5" xfId="2" applyNumberFormat="1" applyFont="1" applyFill="1" applyBorder="1"/>
    <xf numFmtId="2" fontId="4" fillId="2" borderId="0" xfId="3" applyNumberFormat="1" applyFont="1" applyFill="1" applyBorder="1" applyAlignment="1">
      <alignment horizontal="right" indent="1"/>
    </xf>
    <xf numFmtId="167" fontId="16" fillId="2" borderId="0" xfId="1" applyNumberFormat="1" applyFont="1" applyFill="1" applyBorder="1"/>
    <xf numFmtId="3" fontId="16" fillId="2" borderId="0" xfId="3" applyNumberFormat="1" applyFont="1" applyFill="1" applyBorder="1" applyAlignment="1">
      <alignment horizontal="right"/>
    </xf>
    <xf numFmtId="0" fontId="4" fillId="2" borderId="13" xfId="3" applyFont="1" applyFill="1" applyBorder="1"/>
    <xf numFmtId="10" fontId="4" fillId="2" borderId="0" xfId="2" applyNumberFormat="1" applyFont="1" applyFill="1"/>
    <xf numFmtId="2" fontId="4" fillId="0" borderId="0" xfId="3" applyNumberFormat="1" applyFont="1" applyFill="1" applyBorder="1" applyAlignment="1">
      <alignment horizontal="right" indent="1"/>
    </xf>
    <xf numFmtId="2" fontId="4" fillId="26" borderId="0" xfId="3" applyNumberFormat="1" applyFont="1" applyFill="1" applyBorder="1" applyAlignment="1">
      <alignment horizontal="right" indent="1"/>
    </xf>
    <xf numFmtId="3" fontId="4" fillId="26" borderId="10" xfId="3" applyNumberFormat="1" applyFont="1" applyFill="1" applyBorder="1"/>
    <xf numFmtId="3" fontId="16" fillId="0" borderId="0" xfId="3" applyNumberFormat="1" applyFont="1" applyFill="1" applyBorder="1" applyAlignment="1">
      <alignment horizontal="right"/>
    </xf>
    <xf numFmtId="164" fontId="4" fillId="0" borderId="5" xfId="1" applyFont="1" applyBorder="1"/>
    <xf numFmtId="3" fontId="10" fillId="0" borderId="0" xfId="3" applyNumberFormat="1" applyFont="1" applyFill="1" applyBorder="1" applyAlignment="1"/>
    <xf numFmtId="0" fontId="15" fillId="4" borderId="0" xfId="3" applyFont="1" applyFill="1" applyAlignment="1">
      <alignment horizontal="center" vertical="center"/>
    </xf>
    <xf numFmtId="2" fontId="4" fillId="4" borderId="9" xfId="3" applyNumberFormat="1" applyFont="1" applyFill="1" applyBorder="1"/>
    <xf numFmtId="0" fontId="4" fillId="0" borderId="0" xfId="3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9" fillId="0" borderId="4" xfId="0" applyFont="1" applyFill="1" applyBorder="1" applyAlignment="1"/>
    <xf numFmtId="0" fontId="8" fillId="0" borderId="4" xfId="0" applyFont="1" applyFill="1" applyBorder="1" applyAlignment="1">
      <alignment horizontal="center"/>
    </xf>
    <xf numFmtId="183" fontId="10" fillId="0" borderId="0" xfId="3" applyNumberFormat="1" applyFont="1" applyFill="1"/>
    <xf numFmtId="3" fontId="4" fillId="0" borderId="0" xfId="3" applyNumberFormat="1" applyFont="1" applyBorder="1" applyAlignment="1">
      <alignment horizontal="right"/>
    </xf>
    <xf numFmtId="0" fontId="10" fillId="0" borderId="0" xfId="3" applyFont="1" applyAlignment="1">
      <alignment horizontal="right"/>
    </xf>
    <xf numFmtId="4" fontId="4" fillId="0" borderId="0" xfId="3" applyNumberFormat="1" applyFill="1"/>
    <xf numFmtId="167" fontId="4" fillId="0" borderId="0" xfId="3" applyNumberFormat="1"/>
    <xf numFmtId="0" fontId="0" fillId="26" borderId="0" xfId="0" applyFill="1"/>
    <xf numFmtId="0" fontId="2" fillId="0" borderId="6" xfId="0" applyFont="1" applyFill="1" applyBorder="1"/>
    <xf numFmtId="0" fontId="2" fillId="0" borderId="7" xfId="0" applyFont="1" applyFill="1" applyBorder="1"/>
    <xf numFmtId="1" fontId="2" fillId="0" borderId="7" xfId="0" applyNumberFormat="1" applyFont="1" applyFill="1" applyBorder="1"/>
    <xf numFmtId="9" fontId="2" fillId="0" borderId="7" xfId="2" applyFont="1" applyFill="1" applyBorder="1"/>
    <xf numFmtId="3" fontId="2" fillId="0" borderId="7" xfId="0" applyNumberFormat="1" applyFont="1" applyFill="1" applyBorder="1"/>
    <xf numFmtId="4" fontId="2" fillId="0" borderId="7" xfId="0" applyNumberFormat="1" applyFont="1" applyFill="1" applyBorder="1"/>
    <xf numFmtId="2" fontId="2" fillId="0" borderId="7" xfId="2" applyNumberFormat="1" applyFont="1" applyFill="1" applyBorder="1"/>
    <xf numFmtId="4" fontId="4" fillId="0" borderId="7" xfId="3" applyNumberFormat="1" applyFont="1" applyFill="1" applyBorder="1"/>
    <xf numFmtId="4" fontId="2" fillId="0" borderId="26" xfId="0" applyNumberFormat="1" applyFont="1" applyFill="1" applyBorder="1"/>
    <xf numFmtId="0" fontId="14" fillId="7" borderId="0" xfId="5" applyNumberFormat="1" applyFont="1" applyFill="1" applyBorder="1" applyAlignment="1" applyProtection="1">
      <alignment horizontal="left"/>
    </xf>
    <xf numFmtId="0" fontId="10" fillId="0" borderId="0" xfId="3" applyFont="1" applyBorder="1" applyAlignment="1">
      <alignment horizontal="left"/>
    </xf>
    <xf numFmtId="167" fontId="16" fillId="0" borderId="0" xfId="3" applyNumberFormat="1" applyFont="1" applyFill="1" applyBorder="1"/>
    <xf numFmtId="10" fontId="15" fillId="0" borderId="0" xfId="2" applyNumberFormat="1" applyFont="1" applyFill="1" applyBorder="1"/>
    <xf numFmtId="10" fontId="10" fillId="4" borderId="0" xfId="2" applyNumberFormat="1" applyFont="1" applyFill="1" applyBorder="1"/>
    <xf numFmtId="10" fontId="32" fillId="4" borderId="0" xfId="4" applyNumberFormat="1" applyFont="1" applyFill="1" applyBorder="1"/>
    <xf numFmtId="4" fontId="15" fillId="4" borderId="0" xfId="3" applyNumberFormat="1" applyFont="1" applyFill="1" applyBorder="1"/>
    <xf numFmtId="2" fontId="15" fillId="4" borderId="0" xfId="2" applyNumberFormat="1" applyFont="1" applyFill="1" applyBorder="1"/>
    <xf numFmtId="0" fontId="23" fillId="0" borderId="0" xfId="8"/>
    <xf numFmtId="3" fontId="23" fillId="0" borderId="0" xfId="8" applyNumberFormat="1"/>
    <xf numFmtId="0" fontId="6" fillId="2" borderId="3" xfId="0" applyFont="1" applyFill="1" applyBorder="1"/>
    <xf numFmtId="0" fontId="6" fillId="2" borderId="2" xfId="0" applyFont="1" applyFill="1" applyBorder="1"/>
    <xf numFmtId="0" fontId="7" fillId="2" borderId="2" xfId="0" applyFont="1" applyFill="1" applyBorder="1"/>
    <xf numFmtId="171" fontId="5" fillId="2" borderId="2" xfId="0" applyNumberFormat="1" applyFont="1" applyFill="1" applyBorder="1"/>
    <xf numFmtId="174" fontId="5" fillId="2" borderId="2" xfId="0" applyNumberFormat="1" applyFont="1" applyFill="1" applyBorder="1"/>
    <xf numFmtId="171" fontId="6" fillId="2" borderId="2" xfId="0" applyNumberFormat="1" applyFont="1" applyFill="1" applyBorder="1"/>
    <xf numFmtId="172" fontId="6" fillId="2" borderId="2" xfId="0" applyNumberFormat="1" applyFont="1" applyFill="1" applyBorder="1"/>
    <xf numFmtId="170" fontId="19" fillId="2" borderId="2" xfId="0" applyNumberFormat="1" applyFont="1" applyFill="1" applyBorder="1"/>
    <xf numFmtId="14" fontId="5" fillId="2" borderId="0" xfId="0" applyNumberFormat="1" applyFont="1" applyFill="1" applyBorder="1"/>
    <xf numFmtId="180" fontId="5" fillId="2" borderId="2" xfId="0" applyNumberFormat="1" applyFont="1" applyFill="1" applyBorder="1"/>
    <xf numFmtId="0" fontId="3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49" fontId="34" fillId="29" borderId="0" xfId="0" applyNumberFormat="1" applyFont="1" applyFill="1" applyAlignment="1">
      <alignment horizontal="left" vertical="top" wrapText="1"/>
    </xf>
    <xf numFmtId="49" fontId="34" fillId="29" borderId="0" xfId="0" applyNumberFormat="1" applyFont="1" applyFill="1" applyAlignment="1">
      <alignment horizontal="right" vertical="top" wrapText="1"/>
    </xf>
    <xf numFmtId="49" fontId="34" fillId="29" borderId="30" xfId="0" applyNumberFormat="1" applyFont="1" applyFill="1" applyBorder="1" applyAlignment="1">
      <alignment horizontal="left" vertical="top" wrapText="1"/>
    </xf>
    <xf numFmtId="49" fontId="34" fillId="29" borderId="30" xfId="0" applyNumberFormat="1" applyFont="1" applyFill="1" applyBorder="1" applyAlignment="1">
      <alignment horizontal="right" vertical="top" wrapText="1"/>
    </xf>
    <xf numFmtId="49" fontId="34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left"/>
    </xf>
    <xf numFmtId="49" fontId="0" fillId="29" borderId="0" xfId="0" applyNumberFormat="1" applyFont="1" applyFill="1" applyAlignment="1">
      <alignment horizontal="right"/>
    </xf>
    <xf numFmtId="187" fontId="0" fillId="29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88" fontId="0" fillId="0" borderId="0" xfId="0" applyNumberFormat="1" applyFont="1" applyAlignment="1">
      <alignment horizontal="left"/>
    </xf>
    <xf numFmtId="187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7" fontId="0" fillId="0" borderId="0" xfId="0" applyNumberFormat="1" applyFont="1" applyAlignment="1">
      <alignment horizontal="right"/>
    </xf>
    <xf numFmtId="0" fontId="35" fillId="0" borderId="0" xfId="23"/>
    <xf numFmtId="0" fontId="36" fillId="0" borderId="0" xfId="23" applyFont="1"/>
    <xf numFmtId="0" fontId="37" fillId="0" borderId="0" xfId="23" applyFont="1"/>
    <xf numFmtId="0" fontId="4" fillId="2" borderId="7" xfId="3" applyFont="1" applyFill="1" applyBorder="1" applyAlignment="1">
      <alignment horizontal="center" wrapText="1"/>
    </xf>
    <xf numFmtId="0" fontId="4" fillId="2" borderId="0" xfId="3" applyFont="1" applyFill="1" applyBorder="1" applyAlignment="1">
      <alignment horizontal="center" wrapText="1"/>
    </xf>
    <xf numFmtId="0" fontId="4" fillId="4" borderId="7" xfId="3" applyFont="1" applyFill="1" applyBorder="1" applyAlignment="1">
      <alignment horizontal="center" wrapText="1"/>
    </xf>
    <xf numFmtId="0" fontId="4" fillId="4" borderId="0" xfId="3" applyFont="1" applyFill="1" applyBorder="1" applyAlignment="1">
      <alignment horizontal="center" wrapText="1"/>
    </xf>
    <xf numFmtId="0" fontId="4" fillId="0" borderId="7" xfId="3" applyFont="1" applyBorder="1" applyAlignment="1">
      <alignment horizontal="center" wrapText="1"/>
    </xf>
    <xf numFmtId="0" fontId="4" fillId="0" borderId="0" xfId="3" applyFont="1" applyAlignment="1">
      <alignment horizontal="center" wrapText="1"/>
    </xf>
    <xf numFmtId="0" fontId="4" fillId="4" borderId="7" xfId="3" applyFont="1" applyFill="1" applyBorder="1" applyAlignment="1">
      <alignment horizontal="center" vertical="center" wrapText="1"/>
    </xf>
    <xf numFmtId="0" fontId="4" fillId="4" borderId="0" xfId="3" applyFont="1" applyFill="1" applyBorder="1" applyAlignment="1">
      <alignment horizontal="center" vertical="center" wrapText="1"/>
    </xf>
    <xf numFmtId="0" fontId="16" fillId="4" borderId="7" xfId="5" applyNumberFormat="1" applyFont="1" applyFill="1" applyBorder="1" applyAlignment="1" applyProtection="1">
      <alignment horizontal="center" vertical="center" wrapText="1"/>
    </xf>
    <xf numFmtId="0" fontId="16" fillId="4" borderId="0" xfId="5" applyNumberFormat="1" applyFont="1" applyFill="1" applyBorder="1" applyAlignment="1" applyProtection="1">
      <alignment horizontal="center" vertical="center" wrapText="1"/>
    </xf>
    <xf numFmtId="0" fontId="4" fillId="0" borderId="7" xfId="3" applyFont="1" applyFill="1" applyBorder="1" applyAlignment="1">
      <alignment horizontal="center" wrapText="1"/>
    </xf>
    <xf numFmtId="0" fontId="4" fillId="0" borderId="0" xfId="3" applyFont="1" applyFill="1" applyBorder="1" applyAlignment="1">
      <alignment horizontal="center" wrapText="1"/>
    </xf>
    <xf numFmtId="0" fontId="10" fillId="4" borderId="7" xfId="3" applyFont="1" applyFill="1" applyBorder="1" applyAlignment="1">
      <alignment horizontal="center" wrapText="1"/>
    </xf>
    <xf numFmtId="0" fontId="10" fillId="4" borderId="0" xfId="3" applyFont="1" applyFill="1" applyBorder="1" applyAlignment="1">
      <alignment horizontal="center" wrapText="1"/>
    </xf>
    <xf numFmtId="0" fontId="4" fillId="2" borderId="7" xfId="3" applyFill="1" applyBorder="1" applyAlignment="1">
      <alignment horizontal="center" wrapText="1"/>
    </xf>
    <xf numFmtId="0" fontId="4" fillId="2" borderId="0" xfId="3" applyFill="1" applyAlignment="1">
      <alignment horizontal="center" wrapText="1"/>
    </xf>
    <xf numFmtId="0" fontId="4" fillId="0" borderId="0" xfId="3" applyFont="1" applyBorder="1" applyAlignment="1">
      <alignment horizontal="center" wrapText="1"/>
    </xf>
    <xf numFmtId="0" fontId="4" fillId="0" borderId="7" xfId="3" applyBorder="1" applyAlignment="1">
      <alignment horizontal="center" vertical="center" wrapText="1"/>
    </xf>
    <xf numFmtId="0" fontId="4" fillId="0" borderId="0" xfId="3" applyBorder="1" applyAlignment="1">
      <alignment horizontal="center" vertical="center" wrapText="1"/>
    </xf>
    <xf numFmtId="0" fontId="4" fillId="0" borderId="7" xfId="3" applyBorder="1" applyAlignment="1">
      <alignment horizontal="center" wrapText="1"/>
    </xf>
    <xf numFmtId="0" fontId="4" fillId="0" borderId="0" xfId="3" applyAlignment="1">
      <alignment horizontal="center" wrapText="1"/>
    </xf>
    <xf numFmtId="0" fontId="27" fillId="25" borderId="24" xfId="0" applyFont="1" applyFill="1" applyBorder="1" applyAlignment="1">
      <alignment horizontal="center" vertical="center" wrapText="1"/>
    </xf>
    <xf numFmtId="0" fontId="27" fillId="25" borderId="23" xfId="0" applyFont="1" applyFill="1" applyBorder="1" applyAlignment="1">
      <alignment horizontal="center" vertical="center" wrapText="1"/>
    </xf>
    <xf numFmtId="0" fontId="27" fillId="25" borderId="22" xfId="0" applyFont="1" applyFill="1" applyBorder="1" applyAlignment="1">
      <alignment horizontal="center" vertical="center" wrapText="1"/>
    </xf>
    <xf numFmtId="0" fontId="27" fillId="25" borderId="21" xfId="0" applyFont="1" applyFill="1" applyBorder="1" applyAlignment="1">
      <alignment horizontal="center" vertical="center" wrapText="1"/>
    </xf>
  </cellXfs>
  <cellStyles count="24">
    <cellStyle name="20% - Accent1 2" xfId="10"/>
    <cellStyle name="20% - Accent2 2" xfId="11"/>
    <cellStyle name="20% - Accent3 2" xfId="12"/>
    <cellStyle name="20% - Accent4 2" xfId="13"/>
    <cellStyle name="20% - Accent5 2" xfId="14"/>
    <cellStyle name="20% - Accent6 2" xfId="15"/>
    <cellStyle name="40% - Accent1 2" xfId="16"/>
    <cellStyle name="40% - Accent2 2" xfId="17"/>
    <cellStyle name="40% - Accent3 2" xfId="18"/>
    <cellStyle name="40% - Accent4 2" xfId="19"/>
    <cellStyle name="40% - Accent5 2" xfId="20"/>
    <cellStyle name="40% - Accent6 2" xfId="21"/>
    <cellStyle name="blp_column_header" xfId="5"/>
    <cellStyle name="Comma" xfId="1" builtinId="3"/>
    <cellStyle name="Comma 2" xfId="9"/>
    <cellStyle name="Normal" xfId="0" builtinId="0"/>
    <cellStyle name="Normal 2" xfId="3"/>
    <cellStyle name="Normal 3" xfId="6"/>
    <cellStyle name="Normal 4" xfId="8"/>
    <cellStyle name="Normal 5" xfId="23"/>
    <cellStyle name="Note 2" xfId="22"/>
    <cellStyle name="Percent" xfId="2" builtinId="5"/>
    <cellStyle name="Percent 2" xfId="4"/>
    <cellStyle name="Percent 3" xfId="7"/>
  </cellStyles>
  <dxfs count="1158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2" formatCode="0.00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"/>
          <c:y val="1.6772869436295641E-2"/>
          <c:w val="0.81333386862633172"/>
          <c:h val="0.90707446945141035"/>
        </c:manualLayout>
      </c:layout>
      <c:pie3DChart>
        <c:varyColors val="1"/>
        <c:ser>
          <c:idx val="0"/>
          <c:order val="0"/>
          <c:tx>
            <c:v>STHUF</c:v>
          </c:tx>
          <c:explosion val="25"/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STHUF!$B$4:$B$12</c:f>
              <c:strCache>
                <c:ptCount val="9"/>
                <c:pt idx="0">
                  <c:v>Vimpelcom</c:v>
                </c:pt>
                <c:pt idx="1">
                  <c:v>Polymetal</c:v>
                </c:pt>
                <c:pt idx="2">
                  <c:v>Megafon</c:v>
                </c:pt>
                <c:pt idx="3">
                  <c:v>Highland Gold Mining</c:v>
                </c:pt>
                <c:pt idx="4">
                  <c:v>Gazprom</c:v>
                </c:pt>
                <c:pt idx="5">
                  <c:v>Gazpromneft</c:v>
                </c:pt>
                <c:pt idx="6">
                  <c:v>Rusal</c:v>
                </c:pt>
                <c:pt idx="7">
                  <c:v>#NAME?</c:v>
                </c:pt>
                <c:pt idx="8">
                  <c:v>Cash</c:v>
                </c:pt>
              </c:strCache>
            </c:strRef>
          </c:cat>
          <c:val>
            <c:numRef>
              <c:f>STHUF!$D$4:$D$12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409510727191465"/>
          <c:y val="5.6852999709445261E-2"/>
          <c:w val="0.81333386862633172"/>
          <c:h val="0.90707446945141035"/>
        </c:manualLayout>
      </c:layout>
      <c:pie3DChart>
        <c:varyColors val="1"/>
        <c:ser>
          <c:idx val="0"/>
          <c:order val="0"/>
          <c:explosion val="25"/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FOOQF!$B$4:$B$12</c:f>
              <c:strCache>
                <c:ptCount val="9"/>
                <c:pt idx="0">
                  <c:v>Polymetal</c:v>
                </c:pt>
                <c:pt idx="1">
                  <c:v>Yandex</c:v>
                </c:pt>
                <c:pt idx="2">
                  <c:v>High Gold Mining</c:v>
                </c:pt>
                <c:pt idx="3">
                  <c:v>Gazpromneft</c:v>
                </c:pt>
                <c:pt idx="4">
                  <c:v>X5</c:v>
                </c:pt>
                <c:pt idx="5">
                  <c:v>MTS</c:v>
                </c:pt>
                <c:pt idx="6">
                  <c:v>Gazprom</c:v>
                </c:pt>
                <c:pt idx="7">
                  <c:v>GMKN</c:v>
                </c:pt>
                <c:pt idx="8">
                  <c:v>Cash</c:v>
                </c:pt>
              </c:strCache>
            </c:strRef>
          </c:cat>
          <c:val>
            <c:numRef>
              <c:f>FOOQF!$D$4:$D$12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391583</xdr:colOff>
      <xdr:row>32</xdr:row>
      <xdr:rowOff>52916</xdr:rowOff>
    </xdr:from>
    <xdr:to>
      <xdr:col>21</xdr:col>
      <xdr:colOff>0</xdr:colOff>
      <xdr:row>82</xdr:row>
      <xdr:rowOff>128060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502707</xdr:colOff>
      <xdr:row>24</xdr:row>
      <xdr:rowOff>147106</xdr:rowOff>
    </xdr:from>
    <xdr:to>
      <xdr:col>22</xdr:col>
      <xdr:colOff>328084</xdr:colOff>
      <xdr:row>54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dor Serov" refreshedDate="42411.601561689815" createdVersion="4" refreshedVersion="4" minRefreshableVersion="3" recordCount="324">
  <cacheSource type="worksheet">
    <worksheetSource ref="A1:AA325" sheet="Data"/>
  </cacheSource>
  <cacheFields count="29">
    <cacheField name="КЛИЕНТ" numFmtId="0">
      <sharedItems count="15">
        <s v="AANDF"/>
        <s v="AKTOS"/>
        <s v="AQLON1"/>
        <s v="BBJSF_BBJUF"/>
        <s v="ELLQF"/>
        <s v="EMIQF"/>
        <s v="FOOQF"/>
        <s v="INFLE"/>
        <s v="LABKS"/>
        <s v="MADUN1"/>
        <s v="MADUN2"/>
        <s v="XFEQF"/>
        <s v="XGAQF"/>
        <s v="STHUF"/>
        <s v="VADAF"/>
      </sharedItems>
    </cacheField>
    <cacheField name="Эмитент" numFmtId="0">
      <sharedItems/>
    </cacheField>
    <cacheField name="Bloomberg Тикер" numFmtId="0">
      <sharedItems count="134">
        <s v="GAZP RX Equity"/>
        <s v="LKOH RX Equity"/>
        <s v="ALRS RX Equity"/>
        <s v="GMKN RX Equity"/>
        <s v="RUALR RX Equity"/>
        <s v="URKA RX Equity"/>
        <s v="MFON RX Equity"/>
        <s v="AFKS RX Equity"/>
        <s v="MTSS RX Equity"/>
        <s v="VIP US  EQUITY"/>
        <s v="KCEL LI  EQUITY"/>
        <s v="HHPA2AH LX Equity"/>
        <s v="HEDJ US EQUITY"/>
        <s v="HYG US EQUITY"/>
        <s v="SCGSAUA LX Equity"/>
        <s v="XS1032750165 Corp"/>
        <s v="XS0922301717 Corp"/>
        <s v="XS0618905219 Corp"/>
        <s v="XS1040726587 Corp"/>
        <s v="XS0918604496 Corp"/>
        <s v="RU000A0JQZ18 Corp"/>
        <s v="RU000A0JS751 Corp"/>
        <s v="RU000A0JRJU8 Corp"/>
        <s v="RU000A0JRCJ6 Corp"/>
        <s v="XS0748114005  Corp"/>
        <s v="BANE RX Equity"/>
        <s v="486 HK Equity"/>
        <s v="DIXY RX Equity "/>
        <s v="YNDX US Equity"/>
        <s v="YNDX RX Equity"/>
        <s v="QIWI US Equity"/>
        <s v="GLTR LI Equity"/>
        <s v="IRAO RX Equity"/>
        <s v="ETLN LI Equity "/>
        <s v="MFON LI Equity"/>
        <s v="VIP US Equity"/>
        <s v="AFKS RX Equity "/>
        <s v="SBERP RX Equity"/>
        <s v="XS0935311240 Corp"/>
        <s v="XS0993162683 Corp"/>
        <s v="XS0842078536 Corp"/>
        <s v="XS0861981180 Corp"/>
        <s v="XS0997544860 Corp"/>
        <s v="XS0779213460 Corp"/>
        <s v="XS0524610812 Corp"/>
        <s v="XS0864383723 Corp"/>
        <s v="POLY RX Equity"/>
        <s v="HGM LN Equity"/>
        <s v="BANEP RX Equity"/>
        <s v="SIBN RX Equity"/>
        <s v="SNGSP RX Equity"/>
        <s v="KMG LI Equity"/>
        <s v="TRMK RX Equity"/>
        <s v="DIXY RX Equity"/>
        <s v="MVID RX Equity"/>
        <s v="ETLN LI Equity"/>
        <s v="ENRU RX Equity"/>
        <s v="KMAZ RX Equity"/>
        <s v="AFLT RX Equity"/>
        <s v="HGM LN Equity "/>
        <s v="POLY LN Equity"/>
        <s v="NORD LI Equity"/>
        <s v="PHAU LN Equity"/>
        <s v="LKOD LI Equity"/>
        <s v="WZR CN Equity"/>
        <s v="NLMK RX Equity"/>
        <s v="MNOD LI Equity"/>
        <s v="NMTP RX Equity"/>
        <s v="MRKV RX Equity"/>
        <s v="EONR RX Equity"/>
        <s v="TGKA RX Equity"/>
        <s v="LSRG LI Equity"/>
        <s v="LSRG RX Equity"/>
        <s v="KCEL LI Equity"/>
        <s v="HMSG LI Equity"/>
        <s v="SVAV RX Equity"/>
        <s v="NKNC RX Equity"/>
        <s v="NKNCP RX Equity"/>
        <s v="PRTK RX Equity"/>
        <s v="BSPB RX Equity"/>
        <s v="XS0889402029 Corp"/>
        <s v="XS0884734343 Corp"/>
        <s v="RU000A0JS5F6 Corp"/>
        <s v="RU000A0JTKZ1 Corp"/>
        <s v="XS0767473852 Corp"/>
        <s v="XS0974126186 Corp"/>
        <s v="XS0863583281 Corp"/>
        <s v="XS0493579238 Corp"/>
        <s v="XS0922883318 Corp"/>
        <s v="XS0513723873 Corp"/>
        <s v="XS0588433267 Corp"/>
        <s v="XS0830192711 Corp"/>
        <s v="XS0555493203 Corp"/>
        <s v="XS0981028177 Corp"/>
        <s v="  XS1003273767 Corp"/>
        <s v=" XS0591549232 Corp"/>
        <s v="XS0995845566 Corp"/>
        <s v="XS0974469206 Corp"/>
        <s v="USL6366MAC75 Corp"/>
        <s v="XS0975320879 Corp"/>
        <s v="XS0841677387 Corp"/>
        <s v="FIVE LI Equity"/>
        <s v="NVTK LI Equity"/>
        <s v="SBER RX Equity"/>
        <s v="XS0800817073 Corp"/>
        <s v="XS0484209159 Corp"/>
        <s v="XS0918297382 Corp"/>
        <s v="XS0559915961 Corp"/>
        <s v="XS1040726587  Corp"/>
        <s v="XS0592794597  Corp"/>
        <s v="OGZD LI Equity"/>
        <s v="GAZ LI Equity"/>
        <s v="ALRS RX Equity "/>
        <s v="URKA RX Equity "/>
        <s v="EONR  RX Equity"/>
        <s v="XS0643183220 Corp"/>
        <s v="NLMK LI Equity"/>
        <s v="XS0808638612 Corp"/>
        <s v="XS0554659671 Corp"/>
        <s v="XS0885733153 Corp"/>
        <s v="XS0783242877 Corp"/>
        <s v="XS1003273767 Corp"/>
        <s v="XS0878855773 Corp"/>
        <s v="AQUA RM Equity"/>
        <s v="XS0605637056 Corp"/>
        <s v="XS0893205186 Corp"/>
        <s v="SBER LI Equity"/>
        <s v="BANE RX Equity "/>
        <s v="GAZP RX Equity "/>
        <s v="LKOH RX Equity "/>
        <s v="XS0640334768 Corp"/>
        <s v="XS0877983642 Corp"/>
        <s v="RU000A0JV0U1 Corp"/>
        <s v="POLY RX Equity " u="1"/>
      </sharedItems>
    </cacheField>
    <cacheField name="Доля в портфеле" numFmtId="0">
      <sharedItems containsSemiMixedTypes="0" containsString="0" containsNumber="1" minValue="1.4051144825058347E-4" maxValue="0.28076969191138518"/>
    </cacheField>
    <cacheField name="Текущая позиция (акций)" numFmtId="0">
      <sharedItems containsSemiMixedTypes="0" containsString="0" containsNumber="1" containsInteger="1" minValue="147" maxValue="922100000"/>
    </cacheField>
    <cacheField name="Цена покупки" numFmtId="0">
      <sharedItems containsSemiMixedTypes="0" containsString="0" containsNumber="1" minValue="6.8129999999999996E-3" maxValue="10870.977396021699"/>
    </cacheField>
    <cacheField name="Текущая цена" numFmtId="0">
      <sharedItems containsSemiMixedTypes="0" containsString="0" containsNumber="1" minValue="4.0200000000000001E-3" maxValue="8480"/>
    </cacheField>
    <cacheField name="Валюта" numFmtId="0">
      <sharedItems count="6">
        <s v="RUB"/>
        <s v="USD"/>
        <s v="HKD"/>
        <s v="GBp"/>
        <s v="CAD"/>
        <s v="EUR"/>
      </sharedItems>
    </cacheField>
    <cacheField name="Изменение (RUB), %" numFmtId="0">
      <sharedItems containsSemiMixedTypes="0" containsString="0" containsNumber="1" minValue="-0.85823598000324541" maxValue="1.9287274713271434"/>
    </cacheField>
    <cacheField name="Изменение (USD), %" numFmtId="0">
      <sharedItems containsSemiMixedTypes="0" containsString="0" containsNumber="1" minValue="-0.9382181441760471" maxValue="1.1434457037739492"/>
    </cacheField>
    <cacheField name="Стоимость позиции на дату покупки (RUB)" numFmtId="0">
      <sharedItems containsSemiMixedTypes="0" containsString="0" containsNumber="1" minValue="148084.56000000003" maxValue="233238590.26089779"/>
    </cacheField>
    <cacheField name="Стоимость позиции на дату покупки (USD)" numFmtId="0">
      <sharedItems containsSemiMixedTypes="0" containsString="0" containsNumber="1" minValue="6074" maxValue="6543243.6999554094"/>
    </cacheField>
    <cacheField name="Стоимость позиции по текущей цене (RUB)" numFmtId="0">
      <sharedItems containsSemiMixedTypes="0" containsString="0" containsNumber="1" minValue="175448" maxValue="347468723.34161466"/>
    </cacheField>
    <cacheField name="Стоимость позиции по текущей цене (USD)" numFmtId="0">
      <sharedItems containsSemiMixedTypes="0" containsString="0" containsNumber="1" minValue="3491.6396110077394" maxValue="4410161.970214"/>
    </cacheField>
    <cacheField name="Прибыль / убыток (RUB)" numFmtId="0">
      <sharedItems containsSemiMixedTypes="0" containsString="0" containsNumber="1" minValue="-10825096.603159979" maxValue="126819189.92124912"/>
    </cacheField>
    <cacheField name="Прибыль / убыток (USD)" numFmtId="0">
      <sharedItems containsSemiMixedTypes="0" containsString="0" containsNumber="1" minValue="-2970283.5683477763" maxValue="892839.081507975"/>
    </cacheField>
    <cacheField name="Прибыль / убыток (RUB)2" numFmtId="0">
      <sharedItems containsMixedTypes="1" containsNumber="1" minValue="-62628888.972639225" maxValue="21201904.620000001"/>
    </cacheField>
    <cacheField name="Изменение за сегодня, %" numFmtId="0">
      <sharedItems containsMixedTypes="1" containsNumber="1" minValue="-30.64067" maxValue="14.095739999999999"/>
    </cacheField>
    <cacheField name="Изменение с начала года, %" numFmtId="0">
      <sharedItems containsMixedTypes="1" containsNumber="1" minValue="-80.645160000000004" maxValue="152.35290000000001"/>
    </cacheField>
    <cacheField name="Изменение за 1 год, %" numFmtId="0">
      <sharedItems containsMixedTypes="1" containsNumber="1" minValue="-80.645160000000004" maxValue="152.35290000000001"/>
    </cacheField>
    <cacheField name="Изменение за 6 месяцев, %" numFmtId="0">
      <sharedItems containsMixedTypes="1" containsNumber="1" minValue="-57.270539999999997" maxValue="58.885429999999999"/>
    </cacheField>
    <cacheField name="Изменение за 3 месяца, %" numFmtId="0">
      <sharedItems containsMixedTypes="1" containsNumber="1" minValue="-32.446269999999998" maxValue="28.742280000000001"/>
    </cacheField>
    <cacheField name="Изменение за 1 месяц, %" numFmtId="0">
      <sharedItems containsMixedTypes="1" containsNumber="1" minValue="-21.99248" maxValue="16.893730000000001"/>
    </cacheField>
    <cacheField name="Изменение за 1 неделю, %" numFmtId="0">
      <sharedItems containsMixedTypes="1" containsNumber="1" minValue="-12.701829999999999" maxValue="9.8591549999999994"/>
    </cacheField>
    <cacheField name="Next financial statements release date; DD/MM/YY" numFmtId="0">
      <sharedItems containsMixedTypes="1" containsNumber="1" containsInteger="1" minValue="0" maxValue="0"/>
    </cacheField>
    <cacheField name="Next dvd declaration date; DD/MM/YY" numFmtId="0">
      <sharedItems containsBlank="1" containsMixedTypes="1" containsNumber="1" containsInteger="1" minValue="0" maxValue="0"/>
    </cacheField>
    <cacheField name="Размер дивидендов начисленных" numFmtId="0">
      <sharedItems containsString="0" containsBlank="1" containsNumber="1" minValue="0" maxValue="1296000"/>
    </cacheField>
    <cacheField name="Prod" numFmtId="0" formula="'Текущая позиция (акций)'*'Цена покупки'" databaseField="0"/>
    <cacheField name="Buy more to 5%" numFmtId="0" formula="('Стоимость позиции по текущей цене (RUB)'* (0.05-'Доля в портфеле')/'Доля в портфеле')/'Текущая цена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4">
  <r>
    <x v="0"/>
    <s v="Gazprom "/>
    <x v="0"/>
    <n v="5.3872494687954063E-3"/>
    <n v="7400"/>
    <n v="135"/>
    <n v="132.65"/>
    <x v="0"/>
    <n v="-1.7407407407407316E-2"/>
    <n v="-0.18485104650470774"/>
    <n v="999000"/>
    <n v="15284.133417174224"/>
    <n v="981610"/>
    <n v="12458.845360091993"/>
    <n v="-17390"/>
    <n v="-2825.2880570822308"/>
    <n v="-222599.36049900623"/>
    <n v="0.38432549999999999"/>
    <n v="-2.527736"/>
    <n v="-11.88974"/>
    <n v="-5.858657"/>
    <n v="-1.7480469999999999"/>
    <n v="0.96665780000000001"/>
    <n v="1.6792609999999999"/>
    <s v="26/04/2016"/>
    <s v="15/07/2015"/>
    <n v="53280"/>
  </r>
  <r>
    <x v="0"/>
    <s v="Lukoil"/>
    <x v="1"/>
    <n v="2.2408638486569824E-2"/>
    <n v="1725"/>
    <n v="2272.6106800000002"/>
    <n v="2367"/>
    <x v="0"/>
    <n v="4.1533431498262496E-2"/>
    <n v="-8.8247875349073079E-2"/>
    <n v="3920253.4230000004"/>
    <n v="56839.388194966486"/>
    <n v="4083075"/>
    <n v="51823.432950619506"/>
    <n v="162821.57699999958"/>
    <n v="-5015.9552443469802"/>
    <n v="-395198.08498265874"/>
    <n v="-4.1884820000000003E-2"/>
    <n v="0.89944579999999996"/>
    <n v="-22.87642"/>
    <n v="-5.709206"/>
    <n v="-5.2976190000000001"/>
    <n v="4.8319279999999996"/>
    <n v="-3.5952329999999999"/>
    <s v="17/02/2016"/>
    <s v="23/12/2015"/>
    <n v="112125"/>
  </r>
  <r>
    <x v="0"/>
    <s v="Alrosa"/>
    <x v="2"/>
    <n v="1.2501170539575531E-2"/>
    <n v="36580"/>
    <n v="55.243638381629303"/>
    <n v="62.27"/>
    <x v="0"/>
    <n v="0.12718861074702925"/>
    <n v="-6.0589146545822703E-2"/>
    <n v="2020812.2919999999"/>
    <n v="30775.549405503487"/>
    <n v="2277836.6"/>
    <n v="28910.885132545231"/>
    <n v="257024.30800000019"/>
    <n v="-1864.6642729582563"/>
    <n v="-146913.54167068971"/>
    <n v="-2.6194139999999999"/>
    <n v="11.3157"/>
    <n v="-19.287099999999999"/>
    <n v="-13.43652"/>
    <n v="21.328469999999999"/>
    <n v="10.978429999999999"/>
    <n v="-2.4841850000000001"/>
    <s v="17/03/2016"/>
    <s v="14/07/2015"/>
    <n v="53772.6"/>
  </r>
  <r>
    <x v="0"/>
    <s v="Norilsk Nickel"/>
    <x v="3"/>
    <n v="1.9127833690165397E-2"/>
    <n v="411"/>
    <n v="9477.3479257907529"/>
    <n v="8480"/>
    <x v="0"/>
    <n v="-0.10523491736297508"/>
    <n v="-0.21674881027706239"/>
    <n v="3895189.9974999996"/>
    <n v="56477.495836880153"/>
    <n v="3485280"/>
    <n v="44236.065806808634"/>
    <n v="-409909.99749999959"/>
    <n v="-12241.430030071519"/>
    <n v="-964480.237495280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32321.44999999998"/>
  </r>
  <r>
    <x v="0"/>
    <s v="Rusal"/>
    <x v="4"/>
    <n v="2.0394548857486157E-2"/>
    <n v="16080"/>
    <n v="230.92574626865672"/>
    <n v="231.1"/>
    <x v="0"/>
    <n v="7.5458771557057602E-4"/>
    <n v="-0.14412569616447701"/>
    <n v="3713286"/>
    <n v="55108.022061236901"/>
    <n v="3716088"/>
    <n v="47165.540017413776"/>
    <n v="2802"/>
    <n v="-7942.4820438231254"/>
    <n v="-625773.8637651451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0"/>
    <s v="Uralkaliy"/>
    <x v="5"/>
    <n v="1.0668769206825699E-2"/>
    <n v="11700"/>
    <n v="171.5"/>
    <n v="166.15"/>
    <x v="0"/>
    <n v="-3.1195335276967939E-2"/>
    <n v="-7.1055075709750892E-2"/>
    <n v="2006550"/>
    <n v="26560.427603624783"/>
    <n v="1943955"/>
    <n v="24673.174409365867"/>
    <n v="-62595"/>
    <n v="-1887.2531942589158"/>
    <n v="-148693.28211991032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0"/>
    <s v="Megafon"/>
    <x v="6"/>
    <n v="1.1156366296357315E-2"/>
    <n v="2400"/>
    <n v="825.78750000000002"/>
    <n v="847"/>
    <x v="0"/>
    <n v="2.5687601229129831E-2"/>
    <n v="-0.16741789507707061"/>
    <n v="1981890"/>
    <n v="30988.917172753259"/>
    <n v="2032800"/>
    <n v="25800.817888973223"/>
    <n v="50910"/>
    <n v="-5188.0992837800368"/>
    <n v="-408761.00399031834"/>
    <n v="-0.69767440000000003"/>
    <n v="-0.35294120000000001"/>
    <n v="-16.96078"/>
    <n v="3.5151520000000001"/>
    <n v="1.6666669999999999"/>
    <n v="2.6666669999999999"/>
    <n v="-1.612903"/>
    <s v="17/03/2016"/>
    <s v="21/12/2015"/>
    <n v="154824"/>
  </r>
  <r>
    <x v="0"/>
    <s v="AFK Sistema"/>
    <x v="7"/>
    <n v="1.0733557136837749E-2"/>
    <n v="112400"/>
    <n v="17.8"/>
    <n v="17.399999999999999"/>
    <x v="0"/>
    <n v="-2.2471910112359716E-2"/>
    <n v="-6.2690560318605981E-2"/>
    <n v="2000720"/>
    <n v="26483.256691896127"/>
    <n v="1955759.9999999998"/>
    <n v="24823.006490819687"/>
    <n v="-44960.000000000233"/>
    <n v="-1660.2502010764401"/>
    <n v="-130808.12489245078"/>
    <n v="1.0103930000000001"/>
    <n v="-1.416428"/>
    <n v="-2.52101"/>
    <n v="-17.203029999999998"/>
    <n v="-8.5666640000000002E-2"/>
    <n v="-0.99573690000000004"/>
    <n v="-0.87818700000000005"/>
    <s v="31/03/2016"/>
    <s v="15/07/2015"/>
    <n v="52828"/>
  </r>
  <r>
    <x v="0"/>
    <s v="MTS"/>
    <x v="8"/>
    <n v="9.6265918269325609E-3"/>
    <n v="7700"/>
    <n v="194.846103"/>
    <n v="227.8"/>
    <x v="0"/>
    <n v="0.16912782186872888"/>
    <n v="-9.6523623550082149E-3"/>
    <n v="1500314.9931000001"/>
    <n v="22479.963217016459"/>
    <n v="1754060"/>
    <n v="22262.97846631856"/>
    <n v="253745.00689999992"/>
    <n v="-216.98475069789856"/>
    <n v="-17095.837934936171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3197"/>
  </r>
  <r>
    <x v="0"/>
    <s v="Vimpelcom"/>
    <x v="9"/>
    <n v="1.2055412106736907E-2"/>
    <n v="8200"/>
    <n v="3.64"/>
    <n v="3.4"/>
    <x v="1"/>
    <n v="0.11789667071293053"/>
    <n v="-6.5934065934065811E-2"/>
    <n v="1964953.5359999998"/>
    <n v="29848"/>
    <n v="2196615.0160000003"/>
    <n v="27880.000000000004"/>
    <n v="231661.48000000045"/>
    <n v="-1967.9999999999964"/>
    <n v="-155055.17759999973"/>
    <n v="-4.6511630000000004"/>
    <n v="3.6585369999999999"/>
    <n v="-26.56588"/>
    <n v="-45.058619999999998"/>
    <n v="-8.1232480000000002"/>
    <n v="14.67117"/>
    <n v="4.96"/>
    <s v="17/02/2016"/>
    <s v="19/11/2015"/>
    <n v="0"/>
  </r>
  <r>
    <x v="0"/>
    <s v="Kcel"/>
    <x v="10"/>
    <n v="2.3972455064472528E-2"/>
    <n v="16800"/>
    <n v="3.7042619047619052"/>
    <n v="3.3"/>
    <x v="1"/>
    <n v="-8.1556993782566645E-3"/>
    <n v="-0.10913426619273814"/>
    <n v="4403934.9777600002"/>
    <n v="62231.600000000006"/>
    <n v="4368017.8080000002"/>
    <n v="55440"/>
    <n v="-35917.169759999961"/>
    <n v="-6791.6000000000058"/>
    <n v="-535097.93912000046"/>
    <n v="0"/>
    <n v="-18.31683"/>
    <n v="-51.913290000000003"/>
    <n v="-45.454549999999998"/>
    <n v="-32.446269999999998"/>
    <n v="3.1249980000000002"/>
    <n v="6.451613"/>
    <s v="20/04/2016"/>
    <s v="17/04/2015"/>
    <n v="0"/>
  </r>
  <r>
    <x v="0"/>
    <s v="Henderson Horizon - Pan Europe"/>
    <x v="11"/>
    <n v="1.7790813332840147E-2"/>
    <n v="3700"/>
    <n v="13.34"/>
    <n v="11.12"/>
    <x v="1"/>
    <n v="0.17343411214554605"/>
    <n v="-0.16641679160419787"/>
    <n v="2762542.5809999998"/>
    <n v="49358"/>
    <n v="3241661.7008000002"/>
    <n v="41144"/>
    <n v="479119.11980000045"/>
    <n v="-8214"/>
    <n v="-647166.27480000001"/>
    <n v="-3.6395149999999998"/>
    <n v="-14.19753"/>
    <n v="-9.0016390000000008"/>
    <n v="-19.186050000000002"/>
    <n v="-15.56568"/>
    <n v="-9.4462519999999994"/>
    <n v="-7.7178420000000001"/>
    <s v="#N/A Field Not Applicable"/>
    <s v="#N/A N/A"/>
    <n v="0"/>
  </r>
  <r>
    <x v="0"/>
    <s v="WisdomTree Europe Hedged Equit"/>
    <x v="12"/>
    <n v="1.6583542507803938E-2"/>
    <n v="800"/>
    <n v="62.12"/>
    <n v="47.94"/>
    <x v="1"/>
    <n v="9.5203267989466989E-2"/>
    <n v="-0.2282678686413393"/>
    <n v="2759017.5584"/>
    <n v="49696"/>
    <n v="3021685.0464000003"/>
    <n v="38352"/>
    <n v="262667.48800000036"/>
    <n v="-11344"/>
    <n v="-893773.34080000001"/>
    <n v="-2.8571430000000002"/>
    <n v="-10.908759999999999"/>
    <n v="-14.967219999999999"/>
    <n v="-21.031639999999999"/>
    <n v="-16.381889999999999"/>
    <n v="-4.0816319999999999"/>
    <n v="-7.0750149999999996"/>
    <s v="#N/A N/A"/>
    <s v="21/12/2015"/>
    <n v="164.55200000000002"/>
  </r>
  <r>
    <x v="0"/>
    <s v="iShares iBoxx $ High Yield Cor"/>
    <x v="13"/>
    <n v="1.9185747316209343E-2"/>
    <n v="580"/>
    <n v="85.83"/>
    <n v="76.5"/>
    <x v="1"/>
    <n v="4.8867419000167223E-2"/>
    <n v="-0.1087032506116743"/>
    <n v="3332959.3146599997"/>
    <n v="49781.4"/>
    <n v="3495832.4340000004"/>
    <n v="44370"/>
    <n v="162873.11934000067"/>
    <n v="-5411.4000000000015"/>
    <n v="-426354.46548000013"/>
    <n v="-1.175559"/>
    <n v="-5.0632929999999998"/>
    <n v="-15.6746"/>
    <n v="-11.77488"/>
    <n v="-9.1341040000000007"/>
    <n v="-3.7977829999999999"/>
    <n v="-2.4607929999999998"/>
    <s v="#N/A N/A"/>
    <s v="01/02/2016"/>
    <n v="226.81306000000001"/>
  </r>
  <r>
    <x v="0"/>
    <s v="Schroder GAIA Sirios US Equity"/>
    <x v="14"/>
    <n v="2.0063526605186243E-2"/>
    <n v="400"/>
    <n v="123.09"/>
    <n v="116"/>
    <x v="1"/>
    <n v="7.4156435371537377E-2"/>
    <n v="-5.7600129986189019E-2"/>
    <n v="3403389.264"/>
    <n v="49236"/>
    <n v="3655772.48"/>
    <n v="46400"/>
    <n v="252383.21600000001"/>
    <n v="-2836"/>
    <n v="-223443.3352"/>
    <n v="-1.9524980000000001"/>
    <n v="-5.452769"/>
    <n v="-6.2702020000000003"/>
    <n v="-10.13325"/>
    <n v="-6.5043920000000002"/>
    <n v="-4.5895720000000004"/>
    <n v="-3.686483"/>
    <s v="#N/A Field Not Applicable"/>
    <s v="#N/A N/A"/>
    <n v="0"/>
  </r>
  <r>
    <x v="0"/>
    <s v="SBERRU 5 1/2 02/26/24"/>
    <x v="15"/>
    <n v="7.6390147934884106E-2"/>
    <n v="200000"/>
    <n v="84.899999999999991"/>
    <n v="88.331999999999994"/>
    <x v="1"/>
    <n v="0.5095424481390316"/>
    <n v="4.0424028268551293E-2"/>
    <n v="9220700.3399999999"/>
    <n v="169800"/>
    <n v="13919038.5648"/>
    <n v="176664"/>
    <n v="4698338.2248"/>
    <n v="6864"/>
    <n v="6864"/>
    <n v="-0.1243768131694727"/>
    <n v="-0.27659942127302567"/>
    <n v="30.483338919537239"/>
    <n v="5.4836425285093204"/>
    <n v="-1.8020553810244408"/>
    <n v="2.13562973534553"/>
    <n v="0.84252142277743758"/>
    <n v="0"/>
    <n v="0"/>
    <n v="0"/>
  </r>
  <r>
    <x v="0"/>
    <s v="PGILLN 5 5/8 04/29/20"/>
    <x v="16"/>
    <n v="0.12333361134793233"/>
    <n v="300000"/>
    <n v="94.78"/>
    <n v="95.075999999999993"/>
    <x v="1"/>
    <n v="0.40085711709856731"/>
    <n v="3.1230217345430411E-3"/>
    <n v="16042036.290000001"/>
    <n v="284340"/>
    <n v="22472600.709599998"/>
    <n v="285227.99999999994"/>
    <n v="6430564.4195999969"/>
    <n v="887.99999999994179"/>
    <n v="887.99999999994179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0"/>
    <s v="EVRAZ 6 3/4 04/27/18"/>
    <x v="17"/>
    <n v="8.4246921176613282E-2"/>
    <n v="200000"/>
    <n v="97.6"/>
    <n v="97.417000000000002"/>
    <x v="1"/>
    <n v="0.39400835487084573"/>
    <n v="-1.87499999999996E-3"/>
    <n v="11011856.640000001"/>
    <n v="195200"/>
    <n v="15350620.1588"/>
    <n v="194834"/>
    <n v="4338763.5187999997"/>
    <n v="-366"/>
    <n v="-366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0"/>
    <s v="GPBRU 4.96 09/05/19"/>
    <x v="18"/>
    <n v="0.14499703123844598"/>
    <n v="350000"/>
    <n v="95.40000000000002"/>
    <n v="95.808000000000007"/>
    <x v="1"/>
    <n v="0.38888431031431048"/>
    <n v="4.2767295597483379E-3"/>
    <n v="19022383.170000006"/>
    <n v="333900.00000000006"/>
    <n v="26419889.529600006"/>
    <n v="335328.00000000006"/>
    <n v="7397506.3596000001"/>
    <n v="1428"/>
    <n v="1428"/>
    <n v="-0.20831933601827826"/>
    <n v="-0.78495731130805801"/>
    <n v="20.37390258680675"/>
    <n v="0.61117981210855676"/>
    <n v="-2.5469897368839636"/>
    <n v="0.56787945320977162"/>
    <n v="0.68625004369734399"/>
    <n v="0"/>
    <n v="0"/>
    <n v="0"/>
  </r>
  <r>
    <x v="0"/>
    <s v="EDCLLI 4 7/8 04/17/20"/>
    <x v="19"/>
    <n v="0.11213701763272327"/>
    <n v="289000"/>
    <n v="90"/>
    <n v="89.734999999999999"/>
    <x v="1"/>
    <n v="0.3407441782890388"/>
    <n v="-2.9444444444444162E-3"/>
    <n v="15239649.15"/>
    <n v="260100"/>
    <n v="20432470.87703"/>
    <n v="259334.15"/>
    <n v="5192821.7270299997"/>
    <n v="-765.85000000000582"/>
    <n v="-765.85000000000582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0"/>
    <s v="RFLB 6.9 08/03/16"/>
    <x v="20"/>
    <n v="2.0005608336144513E-2"/>
    <n v="3688"/>
    <n v="97.055596529284173"/>
    <n v="98.84"/>
    <x v="0"/>
    <n v="1.838537430633802E-2"/>
    <n v="-0.16076913571541174"/>
    <n v="3579410.4000000004"/>
    <n v="55129.11528653097"/>
    <n v="3645219.1999999997"/>
    <n v="46266.055069160095"/>
    <n v="65808.799999999348"/>
    <n v="-8863.0602173708758"/>
    <n v="-698304.56101826008"/>
    <n v="-0.11116725618999436"/>
    <n v="0.49822064056940429"/>
    <n v="7.8509465873752058"/>
    <n v="2.0599927719551907"/>
    <n v="1.0117526826775771"/>
    <n v="0.49822064056940429"/>
    <n v="4.0485829959520499E-2"/>
    <n v="0"/>
    <n v="0"/>
    <n v="0"/>
  </r>
  <r>
    <x v="0"/>
    <s v="RFLB 7.4 04/19/17"/>
    <x v="21"/>
    <n v="8.3401787140902378E-2"/>
    <n v="15636"/>
    <n v="96.145369659759524"/>
    <n v="97.19"/>
    <x v="0"/>
    <n v="1.0865113358419887E-2"/>
    <n v="-0.10830994537045546"/>
    <n v="15033290"/>
    <n v="216307.7811423172"/>
    <n v="15196628.399999999"/>
    <n v="192879.49718358839"/>
    <n v="163338.39999999851"/>
    <n v="-23428.283958728804"/>
    <n v="-1845872.3221971169"/>
    <n v="-0.11305241521068803"/>
    <n v="0.29927760577914553"/>
    <n v="9.2083824933984975"/>
    <n v="2.0421019476087912"/>
    <n v="0.50672182006204225"/>
    <n v="0.29927760577914553"/>
    <n v="-1.0288065843626662E-2"/>
    <n v="0"/>
    <n v="0"/>
    <n v="0"/>
  </r>
  <r>
    <x v="0"/>
    <s v="RFLB 7.4 06/14/17"/>
    <x v="22"/>
    <n v="8.8293044052678432E-3"/>
    <n v="1663"/>
    <n v="94.8"/>
    <n v="96.740009999999998"/>
    <x v="0"/>
    <n v="2.0464240506329112E-2"/>
    <n v="-0.14742467777254065"/>
    <n v="1576524"/>
    <n v="23949.940600797861"/>
    <n v="1608786.3662999999"/>
    <n v="20419.128325053749"/>
    <n v="32262.366299999878"/>
    <n v="-3530.8122757441124"/>
    <n v="-278186.34374378232"/>
    <n v="-0.11356737222508648"/>
    <n v="0.19679958570688857"/>
    <n v="9.5645393283877862"/>
    <n v="2.1595754791699719"/>
    <n v="0.40478463933575892"/>
    <n v="0.19679958570688857"/>
    <n v="1.5518221762733257E-2"/>
    <n v="0"/>
    <n v="0"/>
    <n v="0"/>
  </r>
  <r>
    <x v="0"/>
    <s v="RFLB 7 1/2 03/15/18"/>
    <x v="23"/>
    <n v="8.7198242392619845E-3"/>
    <n v="1670"/>
    <n v="92.55"/>
    <n v="95.14"/>
    <x v="0"/>
    <n v="2.7984873041599245E-2"/>
    <n v="-0.14114135548392148"/>
    <n v="1545585"/>
    <n v="23479.92732332915"/>
    <n v="1588838"/>
    <n v="20165.938554250508"/>
    <n v="43253"/>
    <n v="-3313.9887690786418"/>
    <n v="-261103.20993592186"/>
    <n v="-0.11548556430446134"/>
    <n v="-0.37696335078533971"/>
    <n v="10.795388377780361"/>
    <n v="2.5270758122743668"/>
    <n v="0.14736842105263218"/>
    <n v="-0.37696335078533971"/>
    <n v="6.8367078622138019E-2"/>
    <n v="0"/>
    <n v="0"/>
    <n v="0"/>
  </r>
  <r>
    <x v="0"/>
    <s v="RSHB 8 5/8 02/17/17"/>
    <x v="24"/>
    <n v="5.2763334107231018E-2"/>
    <n v="10000000"/>
    <n v="96.5"/>
    <n v="96.14"/>
    <x v="0"/>
    <n v="-3.7305699481865462E-3"/>
    <n v="-2.219466256309155E-2"/>
    <n v="9650000"/>
    <n v="124793.08917856403"/>
    <n v="9614000"/>
    <n v="122023.34867404001"/>
    <n v="-36000"/>
    <n v="-2769.7405045240157"/>
    <n v="-218222.86881853905"/>
    <n v="-0.26970954356846999"/>
    <n v="0.14583333333333393"/>
    <n v="10.512098396459562"/>
    <n v="1.7408328482988475"/>
    <n v="-0.63049095607235084"/>
    <n v="0.14583333333333393"/>
    <n v="-0.11428571428571369"/>
    <n v="0"/>
    <n v="0"/>
    <n v="0"/>
  </r>
  <r>
    <x v="1"/>
    <s v="Alrosa "/>
    <x v="2"/>
    <n v="2.4569419393103433E-3"/>
    <n v="9900"/>
    <n v="64.325133333333326"/>
    <n v="62.27"/>
    <x v="0"/>
    <n v="-3.1949149995284198E-2"/>
    <n v="-0.36153136675739461"/>
    <n v="636818.81999999995"/>
    <n v="12255"/>
    <n v="616473"/>
    <n v="7824.4331003881289"/>
    <n v="-20345.819999999949"/>
    <n v="-4430.5668996118711"/>
    <n v="-349076.39100000006"/>
    <n v="-2.6194139999999999"/>
    <n v="11.3157"/>
    <n v="-19.287099999999999"/>
    <n v="-13.43652"/>
    <n v="21.328469999999999"/>
    <n v="10.978429999999999"/>
    <n v="-2.4841850000000001"/>
    <s v="17/03/2016"/>
    <s v="14/07/2015"/>
    <n v="14553"/>
  </r>
  <r>
    <x v="1"/>
    <s v="Gazprom "/>
    <x v="0"/>
    <n v="1.0880114306668843E-2"/>
    <n v="20580"/>
    <n v="161.8533527696793"/>
    <n v="132.65"/>
    <x v="0"/>
    <n v="-0.18043094115718616"/>
    <n v="-0.3631198101941342"/>
    <n v="3330942"/>
    <n v="54404.36"/>
    <n v="2729937"/>
    <n v="34649.059123066654"/>
    <n v="-601005"/>
    <n v="-19755.300876933346"/>
    <n v="-1556484.5965519999"/>
    <n v="0.38432549999999999"/>
    <n v="-2.527736"/>
    <n v="-11.88974"/>
    <n v="-5.858657"/>
    <n v="-1.7480469999999999"/>
    <n v="0.96665780000000001"/>
    <n v="1.6792609999999999"/>
    <s v="26/04/2016"/>
    <s v="15/07/2015"/>
    <n v="148176"/>
  </r>
  <r>
    <x v="1"/>
    <s v="Lukoil"/>
    <x v="1"/>
    <n v="1.9121979134681565E-2"/>
    <n v="2027"/>
    <n v="2667.4081894425262"/>
    <n v="2367"/>
    <x v="0"/>
    <n v="-0.11262175419252562"/>
    <n v="-0.37017765818231974"/>
    <n v="5406836.4000000004"/>
    <n v="96688.042000000001"/>
    <n v="4797909"/>
    <n v="60896.289038206225"/>
    <n v="-608927.40000000037"/>
    <n v="-35791.752961793776"/>
    <n v="-2819967.7907044007"/>
    <n v="-4.1884820000000003E-2"/>
    <n v="0.89944579999999996"/>
    <n v="-22.87642"/>
    <n v="-5.709206"/>
    <n v="-5.2976190000000001"/>
    <n v="4.8319279999999996"/>
    <n v="-3.5952329999999999"/>
    <s v="17/02/2016"/>
    <s v="23/12/2015"/>
    <n v="131755"/>
  </r>
  <r>
    <x v="1"/>
    <s v="Bashneft"/>
    <x v="25"/>
    <n v="9.8140178449327709E-3"/>
    <n v="1164"/>
    <n v="1874.2564889999999"/>
    <n v="2115.5"/>
    <x v="0"/>
    <n v="0.12871424611084814"/>
    <n v="-0.17661859994521534"/>
    <n v="2181634.5531959999"/>
    <n v="37958.04"/>
    <n v="2462442"/>
    <n v="31253.944118535517"/>
    <n v="280807.44680400006"/>
    <n v="-6704.0958814644837"/>
    <n v="-528203.64712800004"/>
    <n v="0.97156399999999998"/>
    <n v="6.413481"/>
    <n v="24.441179999999999"/>
    <n v="12.13158"/>
    <n v="9.116517"/>
    <n v="4.4175719999999998"/>
    <n v="6.4983750000000002"/>
    <s v="25/03/2016"/>
    <s v="16/07/2015"/>
    <n v="131532"/>
  </r>
  <r>
    <x v="1"/>
    <s v="Rusal"/>
    <x v="26"/>
    <n v="2.1290108508077808E-3"/>
    <n v="24000"/>
    <n v="4.6862500000000002"/>
    <n v="2.2000000000000002"/>
    <x v="2"/>
    <n v="-0.27054657368630053"/>
    <n v="-0.5326309289332215"/>
    <n v="732317.60202728573"/>
    <n v="14506.942645371253"/>
    <n v="534191.58394863573"/>
    <n v="6780.0963081861964"/>
    <n v="-198126.01807865"/>
    <n v="-7726.8463371850567"/>
    <n v="-608784.31458340376"/>
    <n v="0.877193"/>
    <n v="-7.1729909999999997"/>
    <n v="-62.962960000000002"/>
    <n v="-35.02825"/>
    <n v="-22.81879"/>
    <n v="-5.9829030000000003"/>
    <n v="3.6036039999999998"/>
    <s v="25/02/2016"/>
    <s v="27/10/2015"/>
    <n v="384"/>
  </r>
  <r>
    <x v="1"/>
    <s v="Rusal"/>
    <x v="4"/>
    <n v="2.2418231663236279E-2"/>
    <n v="24340"/>
    <n v="244.98206302382911"/>
    <n v="231.1"/>
    <x v="0"/>
    <n v="-5.6665630342409345E-2"/>
    <n v="-0.17754831109931102"/>
    <n v="5962863.4140000008"/>
    <n v="86805.839986057341"/>
    <n v="5624974"/>
    <n v="71393.609702975824"/>
    <n v="-337889.4140000008"/>
    <n v="-15412.230283081517"/>
    <n v="-1214301.8819894833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"/>
    <s v="Norilsk Nichel"/>
    <x v="3"/>
    <n v="7.2325335839611244E-3"/>
    <n v="214"/>
    <n v="9757.5327102803731"/>
    <n v="8480"/>
    <x v="0"/>
    <n v="-0.13092784295095272"/>
    <n v="-0.43560669659247875"/>
    <n v="2088111.9999999998"/>
    <n v="40810"/>
    <n v="1814720"/>
    <n v="23032.890712060944"/>
    <n v="-273391.99999999977"/>
    <n v="-17777.109287939056"/>
    <n v="-1400626.44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68897.3"/>
  </r>
  <r>
    <x v="1"/>
    <s v="Uralkaliy"/>
    <x v="5"/>
    <n v="6.0259090329493155E-3"/>
    <n v="9100"/>
    <n v="163"/>
    <n v="166.15"/>
    <x v="0"/>
    <n v="1.9325153374233128E-2"/>
    <n v="-0.19076748950432199"/>
    <n v="1483300"/>
    <n v="23714.132235104527"/>
    <n v="1511965"/>
    <n v="19190.246762840121"/>
    <n v="28665"/>
    <n v="-4523.8854722644064"/>
    <n v="-356428.79336586251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"/>
    <s v="Dixy"/>
    <x v="27"/>
    <n v="8.9524722525667535E-3"/>
    <n v="8413"/>
    <n v="310.01867348151671"/>
    <n v="267"/>
    <x v="0"/>
    <n v="-0.1387615558715094"/>
    <n v="-0.47232531876344686"/>
    <n v="2608187.1"/>
    <n v="54029.9686"/>
    <n v="2246271"/>
    <n v="28510.246458225978"/>
    <n v="-361916.10000000009"/>
    <n v="-25519.722141774022"/>
    <n v="-2010652.9720505201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1"/>
    <s v="Yandex"/>
    <x v="28"/>
    <n v="7.2395137790906301E-3"/>
    <n v="1804"/>
    <n v="20.28104052821508"/>
    <n v="12.78"/>
    <x v="1"/>
    <n v="-3.3467059158782009E-2"/>
    <n v="-0.36985481675753262"/>
    <n v="1879368.3368960416"/>
    <n v="36586.997112900004"/>
    <n v="1816471.4055840001"/>
    <n v="23055.119999999999"/>
    <n v="-62896.93131204159"/>
    <n v="-13531.877112900005"/>
    <n v="-1066152.2403465882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"/>
    <s v="Yandex"/>
    <x v="29"/>
    <n v="1.5677769578722644E-2"/>
    <n v="3920"/>
    <n v="838"/>
    <n v="1003.5"/>
    <x v="0"/>
    <n v="0.19749403341288785"/>
    <n v="-4.5586334939280437E-3"/>
    <n v="3284960"/>
    <n v="50156.425826369625"/>
    <n v="3933720"/>
    <n v="49927.781063661816"/>
    <n v="648760"/>
    <n v="-228.6447627078087"/>
    <n v="-18014.50929317537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"/>
    <s v="QIWI"/>
    <x v="30"/>
    <n v="9.4099529885368523E-3"/>
    <n v="2407"/>
    <n v="19.377422885583712"/>
    <n v="12.45"/>
    <x v="1"/>
    <n v="-0.14178780131471069"/>
    <n v="-0.35749970088837413"/>
    <n v="2751135.2218564902"/>
    <n v="46641.456885599997"/>
    <n v="2361057.8076299997"/>
    <n v="29967.149999999998"/>
    <n v="-390077.41422649054"/>
    <n v="-16674.306885599999"/>
    <n v="-1313738.6257640298"/>
    <n v="-3.79257"/>
    <n v="-30.64067"/>
    <n v="-45.105820000000001"/>
    <n v="-57.270539999999997"/>
    <n v="-30.94444"/>
    <n v="-21.99248"/>
    <n v="-3.493789"/>
    <s v="10/03/2016"/>
    <s v="21/05/2015"/>
    <n v="529.54"/>
  </r>
  <r>
    <x v="1"/>
    <s v="Globaltrans "/>
    <x v="31"/>
    <n v="7.0018969344629095E-3"/>
    <n v="6194"/>
    <n v="10.7541168873103"/>
    <n v="3.6"/>
    <x v="1"/>
    <n v="-0.2282878942376031"/>
    <n v="-0.665244479140082"/>
    <n v="2276562.4457120001"/>
    <n v="66611"/>
    <n v="1756850.7988800001"/>
    <n v="22298.400000000001"/>
    <n v="-519711.646832"/>
    <n v="-44312.6"/>
    <n v="-3491309.99132"/>
    <n v="1.430429"/>
    <n v="-20.87912"/>
    <n v="-19.821819999999999"/>
    <n v="6.9958850000000004"/>
    <n v="-13.525499999999999"/>
    <n v="-10"/>
    <n v="9.8591549999999994"/>
    <s v="12/02/2016"/>
    <s v="24/04/2015"/>
    <n v="0"/>
  </r>
  <r>
    <x v="1"/>
    <s v="Inter RAO"/>
    <x v="32"/>
    <n v="1.9729053306485468E-3"/>
    <n v="355620"/>
    <n v="1.0449999999999999"/>
    <n v="1.3919999999999999"/>
    <x v="0"/>
    <n v="0.33205741626794261"/>
    <n v="3.4402226427477256E-2"/>
    <n v="371622.89999999997"/>
    <n v="6074"/>
    <n v="495023.04"/>
    <n v="6282.9591233204965"/>
    <n v="123400.14000000001"/>
    <n v="208.95912332049647"/>
    <n v="16463.513199999939"/>
    <n v="7.5528700000000004"/>
    <n v="25.85896"/>
    <n v="58.722920000000002"/>
    <n v="25.795059999999999"/>
    <n v="13.060739999999999"/>
    <n v="2.0527890000000002"/>
    <n v="6.3480210000000001"/>
    <s v="22/04/2016"/>
    <s v="08/06/2015"/>
    <n v="369.73068829877997"/>
  </r>
  <r>
    <x v="1"/>
    <s v="Etalon"/>
    <x v="33"/>
    <n v="7.1286937441952724E-3"/>
    <n v="14460"/>
    <n v="3.3226832641770403"/>
    <n v="1.57"/>
    <x v="1"/>
    <n v="-9.5628455423243275E-2"/>
    <n v="-0.52749032177496558"/>
    <n v="1977799.3732400001"/>
    <n v="48046"/>
    <n v="1788665.4740400002"/>
    <n v="22702.2"/>
    <n v="-189133.89919999987"/>
    <n v="-25343.8"/>
    <n v="-1996792.38316"/>
    <n v="0"/>
    <n v="-12.2905"/>
    <n v="-23.414629999999999"/>
    <n v="-18.181819999999998"/>
    <n v="-20.725390000000001"/>
    <n v="-7.3746340000000004"/>
    <n v="2"/>
    <s v="22/03/2016"/>
    <s v="19/11/2015"/>
    <n v="381.74399999999997"/>
  </r>
  <r>
    <x v="1"/>
    <s v="Megafon "/>
    <x v="34"/>
    <n v="5.072814416112739E-3"/>
    <n v="1436"/>
    <n v="14.12"/>
    <n v="11.25"/>
    <x v="1"/>
    <n v="0.16708283713362926"/>
    <n v="-0.20325779036827196"/>
    <n v="1090602.4238400001"/>
    <n v="20276.32"/>
    <n v="1272823.371"/>
    <n v="16155"/>
    <n v="182220.94715999998"/>
    <n v="-4121.32"/>
    <n v="-324711.3844239999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012.4848279999999"/>
  </r>
  <r>
    <x v="1"/>
    <s v="Megafon "/>
    <x v="6"/>
    <n v="5.4011249740919341E-3"/>
    <n v="1600"/>
    <n v="806.46875"/>
    <n v="847"/>
    <x v="0"/>
    <n v="5.0257682024257067E-2"/>
    <n v="-0.11407894142356201"/>
    <n v="1290350"/>
    <n v="19415.437857357811"/>
    <n v="1355200"/>
    <n v="17200.545259315481"/>
    <n v="64850"/>
    <n v="-2214.8925980423301"/>
    <n v="-174507.40099307871"/>
    <n v="-0.69767440000000003"/>
    <n v="-0.35294120000000001"/>
    <n v="-16.96078"/>
    <n v="3.5151520000000001"/>
    <n v="1.6666669999999999"/>
    <n v="2.6666669999999999"/>
    <n v="-1.612903"/>
    <s v="17/03/2016"/>
    <s v="21/12/2015"/>
    <n v="103216.00000000001"/>
  </r>
  <r>
    <x v="1"/>
    <s v="MTS"/>
    <x v="8"/>
    <n v="6.899984980184389E-3"/>
    <n v="7600"/>
    <n v="197"/>
    <n v="227.8"/>
    <x v="0"/>
    <n v="0.15634517766497469"/>
    <n v="-4.1142073930342082E-2"/>
    <n v="1497200"/>
    <n v="22916.688988448284"/>
    <n v="1731280"/>
    <n v="21973.848875846888"/>
    <n v="234080"/>
    <n v="-942.84011260139596"/>
    <n v="-74284.67535966131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42636"/>
  </r>
  <r>
    <x v="1"/>
    <s v="Vimpelcom"/>
    <x v="35"/>
    <n v="1.3398761444477287E-2"/>
    <n v="12550"/>
    <n v="3.28"/>
    <n v="3.4"/>
    <x v="1"/>
    <n v="0.14591762599025149"/>
    <n v="3.6585365853658569E-2"/>
    <n v="2933799.4440000001"/>
    <n v="41164"/>
    <n v="3361892.4939999999"/>
    <n v="42670"/>
    <n v="428093.04999999981"/>
    <n v="1506"/>
    <n v="118655.0292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"/>
    <s v="AFK Sistema"/>
    <x v="36"/>
    <n v="4.133104075510847E-3"/>
    <n v="59600"/>
    <n v="18.88"/>
    <n v="17.399999999999999"/>
    <x v="0"/>
    <n v="-7.83898305084747E-2"/>
    <n v="-0.35173477604256342"/>
    <n v="1125248"/>
    <n v="20304"/>
    <n v="1037039.9999999999"/>
    <n v="13162.377107231792"/>
    <n v="-88208.000000000116"/>
    <n v="-7141.6228927682077"/>
    <n v="-562675.61280000012"/>
    <n v="1.0103930000000001"/>
    <n v="-1.416428"/>
    <n v="-2.52101"/>
    <n v="-17.203029999999998"/>
    <n v="-8.5666640000000002E-2"/>
    <n v="-0.99573690000000004"/>
    <n v="-0.87818700000000005"/>
    <s v="31/03/2016"/>
    <s v="15/07/2015"/>
    <n v="28012"/>
  </r>
  <r>
    <x v="1"/>
    <s v="Sberbank pref"/>
    <x v="37"/>
    <n v="3.0906429159368979E-2"/>
    <n v="111982"/>
    <n v="48.409688218247226"/>
    <n v="69.25"/>
    <x v="0"/>
    <n v="0.43049878131413721"/>
    <n v="-4.0537450161142741E-2"/>
    <n v="5421013.7060557604"/>
    <n v="102583.80198798541"/>
    <n v="7754753.5"/>
    <n v="98425.316227556919"/>
    <n v="2333739.7939442396"/>
    <n v="-4158.4857604284916"/>
    <n v="-327639.60778979212"/>
    <n v="-0.3040834"/>
    <n v="-10"/>
    <n v="50.986849999999997"/>
    <n v="29.734310000000001"/>
    <n v="1.324508"/>
    <n v="-5.1914110000000004"/>
    <n v="1.3095939999999999"/>
    <s v="17/03/2016"/>
    <s v="11/06/2015"/>
    <n v="50391.9"/>
  </r>
  <r>
    <x v="1"/>
    <s v="SBERRU 5 1/4 05/23/23"/>
    <x v="38"/>
    <n v="6.0892142516308152E-2"/>
    <n v="225000"/>
    <n v="76.375457777777783"/>
    <n v="86.186000000000007"/>
    <x v="1"/>
    <n v="0.68722374094641592"/>
    <n v="0.12845150140725825"/>
    <n v="9055402.1917269994"/>
    <n v="171844.78"/>
    <n v="15278489.561700001"/>
    <n v="193918.5"/>
    <n v="6223087.369973002"/>
    <n v="22073.72"/>
    <n v="1739148.6661040001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1"/>
    <s v="VEBBNK 5.942 11/21/23"/>
    <x v="39"/>
    <n v="5.6948033232892242E-2"/>
    <n v="200000"/>
    <n v="74.691799999999986"/>
    <n v="90.679000000000002"/>
    <x v="1"/>
    <n v="0.53226227128044146"/>
    <n v="0.21404223756824736"/>
    <n v="9325342.4321799986"/>
    <n v="149383.59999999998"/>
    <n v="14288870.375600001"/>
    <n v="181358"/>
    <n v="4963527.9434200022"/>
    <n v="31974.400000000023"/>
    <n v="2519205.4220800018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1"/>
    <s v="VTB 6.95 10/17/22"/>
    <x v="40"/>
    <n v="7.3040049350659469E-2"/>
    <n v="250000"/>
    <n v="89.909272000000001"/>
    <n v="93.042000000000002"/>
    <x v="1"/>
    <n v="0.87583244531516002"/>
    <n v="3.4843213945720874E-2"/>
    <n v="9769811.4278650004"/>
    <n v="224773.18"/>
    <n v="18326529.261"/>
    <n v="232605"/>
    <n v="8556717.8331349995"/>
    <n v="7831.820000000007"/>
    <n v="617055.00052400061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1"/>
    <s v="ROSNRM 4.199 03/06/22"/>
    <x v="41"/>
    <n v="5.5092240400999554E-2"/>
    <n v="200000"/>
    <n v="80.657399999999996"/>
    <n v="87.724000000000004"/>
    <x v="1"/>
    <n v="0.61414160959924824"/>
    <n v="8.7612543920334796E-2"/>
    <n v="8563828.6203600001"/>
    <n v="161314.79999999999"/>
    <n v="13823232.113600001"/>
    <n v="175448"/>
    <n v="5259403.4932400007"/>
    <n v="14133.200000000012"/>
    <n v="1113529.3882400009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1"/>
    <s v="SIBNEF 6 11/27/23"/>
    <x v="42"/>
    <n v="7.1804659680799271E-2"/>
    <n v="245000"/>
    <n v="87.02036734693877"/>
    <n v="93.334999999999994"/>
    <x v="1"/>
    <n v="0.55855759775248348"/>
    <n v="7.2564996512662461E-2"/>
    <n v="11559763.21384"/>
    <n v="213199.9"/>
    <n v="18016556.785149999"/>
    <n v="228670.75"/>
    <n v="6456793.5713099986"/>
    <n v="15470.850000000006"/>
    <n v="1218920.4239700006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1"/>
    <s v="EVRAZ 6 3/4 04/27/18"/>
    <x v="17"/>
    <n v="6.1179617700334844E-2"/>
    <n v="200000"/>
    <n v="98"/>
    <n v="97.417000000000002"/>
    <x v="1"/>
    <n v="0.36928463060181627"/>
    <n v="-9.9093422229449279E-3"/>
    <n v="11210686.088"/>
    <n v="196784"/>
    <n v="15350620.1588"/>
    <n v="194834"/>
    <n v="4139934.0708000008"/>
    <n v="-1950"/>
    <n v="-153636.99000000002"/>
    <n v="-2.7708472633487715E-2"/>
    <n v="-2.4307937652678229"/>
    <n v="13.780985663852169"/>
    <n v="-0.24473481845695222"/>
    <n v="-3.5465702926113249"/>
    <n v="-1.4656174557613004"/>
    <n v="-9.9472833670606844E-2"/>
    <n v="0"/>
    <n v="0"/>
    <n v="0"/>
  </r>
  <r>
    <x v="1"/>
    <s v="GPBRU 7 1/4 05/03/19"/>
    <x v="43"/>
    <n v="6.2456378047961857E-2"/>
    <n v="200000"/>
    <n v="99.084000000000003"/>
    <n v="99.45"/>
    <x v="1"/>
    <n v="0.38809767775352522"/>
    <n v="3.6938355334867889E-3"/>
    <n v="11289531.876"/>
    <n v="198168"/>
    <n v="15670972.98"/>
    <n v="198900"/>
    <n v="4381441.1040000003"/>
    <n v="732"/>
    <n v="57672.962400000004"/>
    <n v="3.1182452185157285E-2"/>
    <n v="-2.1055399233658441"/>
    <n v="29.811645743782567"/>
    <n v="-0.97186234453340536"/>
    <n v="-2.4894826428260739"/>
    <n v="-2.5811814743635946"/>
    <n v="0.40890689943157082"/>
    <n v="0"/>
    <n v="0"/>
    <n v="0"/>
  </r>
  <r>
    <x v="1"/>
    <s v="VEBBNK 6.902 07/09/20"/>
    <x v="44"/>
    <n v="6.2065750927340117E-2"/>
    <n v="200000"/>
    <n v="99.921999999999997"/>
    <n v="98.828000000000003"/>
    <x v="1"/>
    <n v="0.36784743155050226"/>
    <n v="-1.0948539861091677E-2"/>
    <n v="11385012.757999999"/>
    <n v="199844"/>
    <n v="15572960.4592"/>
    <n v="197656"/>
    <n v="4187947.7012000009"/>
    <n v="-2188"/>
    <n v="-172388.581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"/>
    <s v="NVTKRM 4.422 12/13/22"/>
    <x v="45"/>
    <n v="6.9703704369464922E-2"/>
    <n v="250000"/>
    <n v="77.400999999999996"/>
    <n v="88.792000000000002"/>
    <x v="1"/>
    <n v="0.46033982322621769"/>
    <n v="0.14716864123202544"/>
    <n v="11976256.73"/>
    <n v="193502.5"/>
    <n v="17489404.636"/>
    <n v="221980"/>
    <n v="5513147.9059999995"/>
    <n v="28477.5"/>
    <n v="2243690.9654999999"/>
    <n v="1.5914015721212905E-2"/>
    <n v="-1.4637197521627949"/>
    <n v="18.006978112969076"/>
    <n v="1.2497105351576852"/>
    <n v="-3.717325010792921"/>
    <n v="-1.6773380713498864"/>
    <n v="0.64860189438413185"/>
    <n v="0"/>
    <n v="0"/>
    <n v="0"/>
  </r>
  <r>
    <x v="2"/>
    <s v="Polymetal"/>
    <x v="46"/>
    <n v="0.11402728666571224"/>
    <n v="11820"/>
    <n v="551.67812978003383"/>
    <n v="699"/>
    <x v="0"/>
    <n v="0.26704315844223636"/>
    <n v="0.16455412376168654"/>
    <n v="6520835.4939999999"/>
    <n v="90047.942899461908"/>
    <n v="8262180"/>
    <n v="104865.70323982525"/>
    <n v="1741344.5060000001"/>
    <n v="14817.76034036334"/>
    <n v="1167464.665248615"/>
    <n v="1.969365"/>
    <n v="12.37942"/>
    <n v="19.229289999999999"/>
    <n v="58.885429999999999"/>
    <n v="28.742280000000001"/>
    <n v="11.84"/>
    <n v="4.5624529999999996"/>
    <s v="29/03/2016"/>
    <s v="10/12/2015"/>
    <n v="3546"/>
  </r>
  <r>
    <x v="2"/>
    <s v="High Gold Mining"/>
    <x v="47"/>
    <n v="0.10433617181191149"/>
    <n v="106900"/>
    <n v="0.55512119363891488"/>
    <n v="0.61750000000000005"/>
    <x v="3"/>
    <n v="0.18629169163281389"/>
    <n v="0.11122526273343936"/>
    <n v="6372785.0661124233"/>
    <n v="86349.032386079998"/>
    <n v="7559981.9764908403"/>
    <n v="95953.226200000005"/>
    <n v="1187196.910378417"/>
    <n v="9604.1938139200065"/>
    <n v="756697.14304989227"/>
    <n v="0"/>
    <n v="8.3333329999999997"/>
    <n v="58.333329999999997"/>
    <n v="32.960889999999999"/>
    <n v="19"/>
    <n v="8.3333329999999997"/>
    <n v="6.7264569999999999"/>
    <s v="20/04/2016"/>
    <s v="01/10/2015"/>
    <n v="213800"/>
  </r>
  <r>
    <x v="2"/>
    <s v="Gazprom"/>
    <x v="0"/>
    <n v="9.5197322978045722E-3"/>
    <n v="5200"/>
    <n v="143.97"/>
    <n v="132.65"/>
    <x v="0"/>
    <n v="-7.8627491838577424E-2"/>
    <n v="-0.35282013473571716"/>
    <n v="748644"/>
    <n v="13527.714283132911"/>
    <n v="689780"/>
    <n v="8754.8643070916714"/>
    <n v="-58864"/>
    <n v="-4772.8499760412396"/>
    <n v="-376044.2584823324"/>
    <n v="0.38432549999999999"/>
    <n v="-2.527736"/>
    <n v="-11.88974"/>
    <n v="-5.858657"/>
    <n v="-1.7480469999999999"/>
    <n v="0.96665780000000001"/>
    <n v="1.6792609999999999"/>
    <s v="26/04/2016"/>
    <s v="15/07/2015"/>
    <n v="37440"/>
  </r>
  <r>
    <x v="2"/>
    <s v="Lukoil"/>
    <x v="1"/>
    <n v="0.12077077310431726"/>
    <n v="3697"/>
    <n v="2182.403675818231"/>
    <n v="2367"/>
    <x v="0"/>
    <n v="8.4583950360402449E-2"/>
    <n v="2.3674616127207893E-2"/>
    <n v="8068346.3895000005"/>
    <n v="108498.71521535247"/>
    <n v="8750799"/>
    <n v="111067.3806483712"/>
    <n v="682452.61049999949"/>
    <n v="2568.6654330187303"/>
    <n v="202380.52586976634"/>
    <n v="-4.1884820000000003E-2"/>
    <n v="0.89944579999999996"/>
    <n v="-22.87642"/>
    <n v="-5.709206"/>
    <n v="-5.2976190000000001"/>
    <n v="4.8319279999999996"/>
    <n v="-3.5952329999999999"/>
    <s v="17/02/2016"/>
    <s v="23/12/2015"/>
    <n v="240305"/>
  </r>
  <r>
    <x v="2"/>
    <s v="Bashneft pref"/>
    <x v="48"/>
    <n v="1.3176199395981301E-2"/>
    <n v="540"/>
    <n v="1424.4666"/>
    <n v="1768"/>
    <x v="0"/>
    <n v="0.24116634254534297"/>
    <n v="-0.12819423281693076"/>
    <n v="769211.96400000004"/>
    <n v="13899.369623158027"/>
    <n v="954720"/>
    <n v="12117.550597678332"/>
    <n v="185508.03599999996"/>
    <n v="-1781.8190254796955"/>
    <n v="-140386.31374329934"/>
    <n v="-0.45146730000000002"/>
    <n v="3.090379"/>
    <n v="39.76285"/>
    <n v="30.1845"/>
    <n v="6.5539110000000003"/>
    <n v="2.5522040000000001"/>
    <n v="-8.4961770000000006E-2"/>
    <s v="25/03/2016"/>
    <s v="16/07/2015"/>
    <n v="61020"/>
  </r>
  <r>
    <x v="2"/>
    <s v="Bashneft"/>
    <x v="25"/>
    <n v="2.3357005046253095E-2"/>
    <n v="800"/>
    <n v="1853.0725"/>
    <n v="2115.5"/>
    <x v="0"/>
    <n v="0.14161750282301422"/>
    <n v="-0.15702727919498416"/>
    <n v="1482458"/>
    <n v="25481.695236965737"/>
    <n v="1692400"/>
    <n v="21480.37396462922"/>
    <n v="209942"/>
    <n v="-4001.3212723365177"/>
    <n v="-315256.90066910401"/>
    <n v="0.97156399999999998"/>
    <n v="6.413481"/>
    <n v="24.441179999999999"/>
    <n v="12.13158"/>
    <n v="9.116517"/>
    <n v="4.4175719999999998"/>
    <n v="6.4983750000000002"/>
    <s v="25/03/2016"/>
    <s v="16/07/2015"/>
    <n v="90400"/>
  </r>
  <r>
    <x v="2"/>
    <s v="Gazpromneft"/>
    <x v="49"/>
    <n v="1.1054029724537052E-2"/>
    <n v="5520"/>
    <n v="135.80000000000001"/>
    <n v="145.1"/>
    <x v="0"/>
    <n v="6.8483063328424132E-2"/>
    <n v="-0.24948843292282374"/>
    <n v="749616.00000000012"/>
    <n v="13545.277955964331"/>
    <n v="800952"/>
    <n v="10165.887785226721"/>
    <n v="51335.999999999884"/>
    <n v="-3379.3901707376099"/>
    <n v="-266256.06865010899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32678.399999999998"/>
  </r>
  <r>
    <x v="2"/>
    <s v="Surgut pref"/>
    <x v="50"/>
    <n v="1.1432621879127467E-2"/>
    <n v="19200"/>
    <n v="39.15"/>
    <n v="43.145000000000003"/>
    <x v="0"/>
    <n v="0.10204342273307798"/>
    <n v="-0.21092503680340857"/>
    <n v="751680"/>
    <n v="13324.54106485716"/>
    <n v="828384.00000000012"/>
    <n v="10514.061750363635"/>
    <n v="76704.000000000116"/>
    <n v="-2810.4793144935247"/>
    <n v="-221432.60632617873"/>
    <n v="0.31289840000000002"/>
    <n v="-2.4420540000000002"/>
    <n v="-1.5291539999999999"/>
    <n v="13.29843"/>
    <n v="0.88577729999999999"/>
    <n v="-0.58756109999999995"/>
    <n v="-2.081448"/>
    <s v="29/04/2016"/>
    <s v="15/07/2015"/>
    <n v="157632.00000000003"/>
  </r>
  <r>
    <x v="2"/>
    <s v="Kazmunai"/>
    <x v="51"/>
    <n v="1.4135743916809015E-2"/>
    <n v="2000"/>
    <n v="8.4"/>
    <n v="6.5"/>
    <x v="1"/>
    <n v="3.636007399772101E-2"/>
    <n v="-0.22619047619047628"/>
    <n v="988311.52"/>
    <n v="16800"/>
    <n v="1024246.6000000001"/>
    <n v="13000"/>
    <n v="35935.080000000075"/>
    <n v="-3800"/>
    <n v="-299395.16000000003"/>
    <n v="0"/>
    <n v="-12.634410000000001"/>
    <n v="-44.68085"/>
    <n v="-17.493469999999999"/>
    <n v="-10.481590000000001"/>
    <n v="-5.2478150000000001"/>
    <n v="-2.015504"/>
    <s v="09/03/2016"/>
    <s v="29/05/2015"/>
    <n v="631"/>
  </r>
  <r>
    <x v="2"/>
    <s v="TMK"/>
    <x v="52"/>
    <n v="6.7915281158479951E-3"/>
    <n v="9500"/>
    <n v="58"/>
    <n v="51.8"/>
    <x v="0"/>
    <n v="-0.10689655172413803"/>
    <n v="-0.37267656219131018"/>
    <n v="551000"/>
    <n v="9956.3618622552694"/>
    <n v="492100"/>
    <n v="6245.859151497305"/>
    <n v="-58900"/>
    <n v="-3710.5027107579645"/>
    <n v="-292343.82967574068"/>
    <n v="0.2909796"/>
    <n v="-14.45087"/>
    <n v="26.960789999999999"/>
    <n v="-7.18133"/>
    <n v="-0.95785589999999998"/>
    <n v="-10.06944"/>
    <n v="-1.804368"/>
    <s v="05/03/2016"/>
    <s v="22/10/2015"/>
    <n v="22990"/>
  </r>
  <r>
    <x v="2"/>
    <s v="Rusal"/>
    <x v="4"/>
    <n v="3.706126265960602E-2"/>
    <n v="11620"/>
    <n v="239.07229380378658"/>
    <n v="231.1"/>
    <x v="0"/>
    <n v="-3.3346790951567451E-2"/>
    <n v="-0.23615289133759676"/>
    <n v="2778020.054"/>
    <n v="44620.913364501423"/>
    <n v="2685382"/>
    <n v="34083.55565935"/>
    <n v="-92638.054000000004"/>
    <n v="-10537.357705151422"/>
    <n v="-830219.4463450113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2"/>
    <s v="GMKN"/>
    <x v="3"/>
    <n v="9.9127328152337282E-2"/>
    <n v="847"/>
    <n v="8342.4118617473432"/>
    <n v="8480"/>
    <x v="0"/>
    <n v="1.6492609155817739E-2"/>
    <n v="-2.1967022945034054E-2"/>
    <n v="7066022.8468999993"/>
    <n v="93210.445877683989"/>
    <n v="7182560"/>
    <n v="91162.889874372049"/>
    <n v="116537.15310000069"/>
    <n v="-2047.55600331194"/>
    <n v="-161323.251900141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272691.64999999997"/>
  </r>
  <r>
    <x v="2"/>
    <s v="Uralkaliy"/>
    <x v="5"/>
    <n v="4.2192213157175085E-2"/>
    <n v="18400"/>
    <n v="160.41304347826087"/>
    <n v="166.15"/>
    <x v="0"/>
    <n v="3.5763653611600388E-2"/>
    <n v="-0.16385086698678608"/>
    <n v="2951600"/>
    <n v="46405.904950193137"/>
    <n v="3057160"/>
    <n v="38802.257190797602"/>
    <n v="105560"/>
    <n v="-7603.6477593955351"/>
    <n v="-599077.7203968073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2"/>
    <s v="Dixy"/>
    <x v="53"/>
    <n v="1.6950528006268051E-2"/>
    <n v="4600"/>
    <n v="329"/>
    <n v="267"/>
    <x v="0"/>
    <n v="-0.18844984802431608"/>
    <n v="-0.42449374910640769"/>
    <n v="1513400"/>
    <n v="27086.810490498472"/>
    <n v="1228200"/>
    <n v="15588.628754052002"/>
    <n v="-285200"/>
    <n v="-11498.18173644647"/>
    <n v="-905921.04228749173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2"/>
    <s v="Mvideo"/>
    <x v="54"/>
    <n v="3.5001142795942408E-2"/>
    <n v="10100"/>
    <n v="190.90307821782179"/>
    <n v="251.1"/>
    <x v="0"/>
    <n v="0.31532714057912203"/>
    <n v="-4.1088936958244449E-2"/>
    <n v="1928121.09"/>
    <n v="33568.240549368078"/>
    <n v="2536110"/>
    <n v="32188.957229635907"/>
    <n v="607988.90999999992"/>
    <n v="-1379.2833197321706"/>
    <n v="-108671.25005172221"/>
    <n v="-0.9589567"/>
    <n v="-6.4804469999999998"/>
    <n v="56.643790000000003"/>
    <n v="33.024209999999997"/>
    <n v="5.6032719999999996"/>
    <n v="-1.6836310000000001"/>
    <n v="-0.3088803"/>
    <s v="24/03/2016"/>
    <s v="26/06/2015"/>
    <n v="272700"/>
  </r>
  <r>
    <x v="2"/>
    <s v="Yandex"/>
    <x v="29"/>
    <n v="2.4928951911514396E-2"/>
    <n v="1800"/>
    <n v="780.5"/>
    <n v="1003.5"/>
    <x v="0"/>
    <n v="0.28571428571428581"/>
    <n v="-2.2752106996942523E-2"/>
    <n v="1404900"/>
    <n v="23459.78137290887"/>
    <n v="1806300"/>
    <n v="22926.021916987567"/>
    <n v="401400"/>
    <n v="-533.75945592130302"/>
    <n v="-42053.946765018809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2"/>
    <s v="QIWI"/>
    <x v="30"/>
    <n v="1.4891462533899957E-2"/>
    <n v="1100"/>
    <n v="20.260000000000002"/>
    <n v="12.45"/>
    <x v="1"/>
    <n v="-0.19861848703411589"/>
    <n v="-0.3854886475814413"/>
    <n v="1346430.3599999999"/>
    <n v="22286"/>
    <n v="1079004.399"/>
    <n v="13695"/>
    <n v="-267425.96099999989"/>
    <n v="-8591"/>
    <n v="-676869.42619999999"/>
    <n v="-3.79257"/>
    <n v="-30.64067"/>
    <n v="-45.105820000000001"/>
    <n v="-57.270539999999997"/>
    <n v="-30.94444"/>
    <n v="-21.99248"/>
    <n v="-3.493789"/>
    <s v="10/03/2016"/>
    <s v="21/05/2015"/>
    <n v="242"/>
  </r>
  <r>
    <x v="2"/>
    <s v="Etalon"/>
    <x v="55"/>
    <n v="2.3046699408982078E-2"/>
    <n v="13500"/>
    <n v="1.8"/>
    <n v="1.57"/>
    <x v="1"/>
    <n v="0.14059976302334265"/>
    <n v="-0.12777777777777777"/>
    <n v="1464068.25"/>
    <n v="24300"/>
    <n v="1669915.899"/>
    <n v="21195"/>
    <n v="205847.64899999998"/>
    <n v="-3105"/>
    <n v="-244637.361"/>
    <n v="0"/>
    <n v="-12.2905"/>
    <n v="-23.414629999999999"/>
    <n v="-18.181819999999998"/>
    <n v="-20.725390000000001"/>
    <n v="-7.3746340000000004"/>
    <n v="2"/>
    <s v="22/03/2016"/>
    <s v="19/11/2015"/>
    <n v="356.4"/>
  </r>
  <r>
    <x v="2"/>
    <s v="Megafon"/>
    <x v="6"/>
    <n v="4.6758173656762873E-2"/>
    <n v="4000"/>
    <n v="785.35687774999997"/>
    <n v="847"/>
    <x v="0"/>
    <n v="7.8490586886567959E-2"/>
    <n v="-0.17221707871838732"/>
    <n v="3141427.5109999999"/>
    <n v="51947.632697847832"/>
    <n v="3388000"/>
    <n v="43001.363148288699"/>
    <n v="246572.48900000006"/>
    <n v="-8946.2695495591324"/>
    <n v="-704860.47452457482"/>
    <n v="-0.69767440000000003"/>
    <n v="-0.35294120000000001"/>
    <n v="-16.96078"/>
    <n v="3.5151520000000001"/>
    <n v="1.6666669999999999"/>
    <n v="2.6666669999999999"/>
    <n v="-1.612903"/>
    <s v="17/03/2016"/>
    <s v="21/12/2015"/>
    <n v="258040.00000000003"/>
  </r>
  <r>
    <x v="2"/>
    <s v="MTS"/>
    <x v="8"/>
    <n v="2.0435309248396923E-2"/>
    <n v="6500"/>
    <n v="230.99384615384616"/>
    <n v="227.8"/>
    <x v="0"/>
    <n v="-1.38265421656254E-2"/>
    <n v="-0.29746273305581894"/>
    <n v="1501460"/>
    <n v="26750.784997362603"/>
    <n v="1480700"/>
    <n v="18793.423380658525"/>
    <n v="-20760"/>
    <n v="-7957.3616167040782"/>
    <n v="-626946.19852920424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6465"/>
  </r>
  <r>
    <x v="2"/>
    <s v="Vimpelcom"/>
    <x v="35"/>
    <n v="1.0055950749434597E-2"/>
    <n v="2720"/>
    <n v="4.97"/>
    <n v="3.4"/>
    <x v="1"/>
    <n v="-5.2323728694171234E-2"/>
    <n v="-0.31589537223340036"/>
    <n v="768863.05552000005"/>
    <n v="13518.4"/>
    <n v="728633.27360000007"/>
    <n v="9248"/>
    <n v="-40229.781919999979"/>
    <n v="-4270.3999999999996"/>
    <n v="-336457.12927999999"/>
    <n v="-4.6511630000000004"/>
    <n v="3.6585369999999999"/>
    <n v="-26.56588"/>
    <n v="-45.058619999999998"/>
    <n v="-8.1232480000000002"/>
    <n v="14.67117"/>
    <n v="4.96"/>
    <s v="17/02/2016"/>
    <s v="19/11/2015"/>
    <n v="71.209599999999995"/>
  </r>
  <r>
    <x v="2"/>
    <s v="Enel"/>
    <x v="56"/>
    <n v="8.6145862472500299E-3"/>
    <n v="873000"/>
    <n v="0.85899999999999999"/>
    <n v="0.71499999999999997"/>
    <x v="0"/>
    <n v="-0.16763678696158324"/>
    <n v="-0.41534101865043827"/>
    <n v="749907"/>
    <n v="13550.536216040402"/>
    <n v="624195"/>
    <n v="7922.4427008105267"/>
    <n v="-125712"/>
    <n v="-5628.0935152298753"/>
    <n v="-443427.35749663447"/>
    <n v="-0.27894000000000002"/>
    <n v="0.14005790000000001"/>
    <n v="-5.9210510000000003"/>
    <n v="-12.698410000000001"/>
    <n v="-4.2837990000000001"/>
    <n v="-2.7210899999999998"/>
    <n v="-3.2476319999999999"/>
    <s v="10/03/2016"/>
    <s v="26/06/2015"/>
    <n v="70478.163"/>
  </r>
  <r>
    <x v="2"/>
    <s v="Kamaz"/>
    <x v="57"/>
    <n v="7.2766372669799953E-3"/>
    <n v="15000"/>
    <n v="37.981250000000003"/>
    <n v="35.15"/>
    <x v="0"/>
    <n v="-7.4543360210630349E-2"/>
    <n v="-0.34995140603664743"/>
    <n v="569718.75"/>
    <n v="10294.602603832565"/>
    <n v="527250"/>
    <n v="6691.9919480328272"/>
    <n v="-42468.75"/>
    <n v="-3602.6106557997382"/>
    <n v="-283843.208871280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2"/>
    <s v="Aeroflot"/>
    <x v="58"/>
    <n v="2.6837645954232905E-2"/>
    <n v="35000"/>
    <n v="41.5"/>
    <n v="55.56"/>
    <x v="0"/>
    <n v="0.33879518072289172"/>
    <n v="-0.17446837537869953"/>
    <n v="1452500"/>
    <n v="29897.53533157962"/>
    <n v="1944600"/>
    <n v="24681.360914451656"/>
    <n v="492100"/>
    <n v="-5216.1744171279643"/>
    <n v="-410972.9932115614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3"/>
    <s v="Yandex"/>
    <x v="29"/>
    <n v="9.9206783258636563E-2"/>
    <n v="11668"/>
    <n v="857"/>
    <n v="1003.5"/>
    <x v="0"/>
    <n v="0.17094515752625439"/>
    <n v="-4.5301950797962065E-2"/>
    <n v="9999476"/>
    <n v="155663.42558431331"/>
    <n v="11708838"/>
    <n v="148611.56873745052"/>
    <n v="1709362"/>
    <n v="-7051.8568468627927"/>
    <n v="-555603.10762199515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3"/>
    <s v="Qiwi"/>
    <x v="30"/>
    <n v="3.989324261834603E-2"/>
    <n v="4800"/>
    <n v="17.574999999999999"/>
    <n v="12.45"/>
    <x v="1"/>
    <n v="-0.1275049081863715"/>
    <n v="-0.29160739687055481"/>
    <n v="5396457.6720000003"/>
    <n v="84360"/>
    <n v="4708382.8320000004"/>
    <n v="59760"/>
    <n v="-688074.83999999985"/>
    <n v="-24600"/>
    <n v="-1938189.72"/>
    <n v="-3.79257"/>
    <n v="-30.64067"/>
    <n v="-45.105820000000001"/>
    <n v="-57.270539999999997"/>
    <n v="-30.94444"/>
    <n v="-21.99248"/>
    <n v="-3.493789"/>
    <s v="10/03/2016"/>
    <s v="21/05/2015"/>
    <n v="1056"/>
  </r>
  <r>
    <x v="3"/>
    <s v="Mvideo"/>
    <x v="54"/>
    <n v="5.3826334337272762E-2"/>
    <n v="25300"/>
    <n v="197.97628458498025"/>
    <n v="251.1"/>
    <x v="0"/>
    <n v="0.26833373263057014"/>
    <n v="5.3086478268499437E-2"/>
    <n v="5008800"/>
    <n v="76567.068338091034"/>
    <n v="6352830"/>
    <n v="80631.744347503816"/>
    <n v="1344030"/>
    <n v="4064.6760094127822"/>
    <n v="320248.50636481616"/>
    <n v="-0.9589567"/>
    <n v="-6.4804469999999998"/>
    <n v="56.643790000000003"/>
    <n v="33.024209999999997"/>
    <n v="5.6032719999999996"/>
    <n v="-1.6836310000000001"/>
    <n v="-0.3088803"/>
    <s v="24/03/2016"/>
    <s v="26/06/2015"/>
    <n v="683100"/>
  </r>
  <r>
    <x v="3"/>
    <s v="Dixy"/>
    <x v="53"/>
    <n v="1.8097926458667181E-2"/>
    <n v="8000"/>
    <n v="311.9169"/>
    <n v="267"/>
    <x v="0"/>
    <n v="-0.14400277766289671"/>
    <n v="-0.27875778854132227"/>
    <n v="2495335.2000000002"/>
    <n v="37588.840852602247"/>
    <n v="2136000"/>
    <n v="27110.658702699133"/>
    <n v="-359335.20000000019"/>
    <n v="-10478.182149903114"/>
    <n v="-825557.1108629965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3"/>
    <s v="Megafon"/>
    <x v="6"/>
    <n v="4.4817066232217664E-2"/>
    <n v="6245"/>
    <n v="801.49879903923136"/>
    <n v="847"/>
    <x v="0"/>
    <n v="5.6770142407339463E-2"/>
    <n v="-0.11977055346974341"/>
    <n v="5005360"/>
    <n v="76270.884233544028"/>
    <n v="5289515"/>
    <n v="67135.878215265737"/>
    <n v="284155"/>
    <n v="-9135.0060182782909"/>
    <n v="-719730.68116931361"/>
    <n v="-0.69767440000000003"/>
    <n v="-0.35294120000000001"/>
    <n v="-16.96078"/>
    <n v="3.5151520000000001"/>
    <n v="1.6666669999999999"/>
    <n v="2.6666669999999999"/>
    <n v="-1.612903"/>
    <s v="17/03/2016"/>
    <s v="21/12/2015"/>
    <n v="402864.95"/>
  </r>
  <r>
    <x v="3"/>
    <s v="MTS"/>
    <x v="8"/>
    <n v="4.3813419285278793E-2"/>
    <n v="22700"/>
    <n v="220.37885462555067"/>
    <n v="227.8"/>
    <x v="0"/>
    <n v="3.3674489265581808E-2"/>
    <n v="-0.14521561055341903"/>
    <n v="5002600"/>
    <n v="76782.42355310425"/>
    <n v="5171060"/>
    <n v="65632.417037068997"/>
    <n v="168460"/>
    <n v="-11150.006516035253"/>
    <n v="-878488.94338668883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127347"/>
  </r>
  <r>
    <x v="3"/>
    <s v="Uralkaliy"/>
    <x v="5"/>
    <n v="2.1397917281289695E-2"/>
    <n v="15200"/>
    <n v="164.5"/>
    <n v="166.15"/>
    <x v="0"/>
    <n v="1.003039513677817E-2"/>
    <n v="-0.20368712504269371"/>
    <n v="2500400"/>
    <n v="40253.070817972541"/>
    <n v="2525480"/>
    <n v="32054.038548919762"/>
    <n v="25080"/>
    <n v="-8199.0322690527792"/>
    <n v="-645986.99422058417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3"/>
    <s v="GMK"/>
    <x v="3"/>
    <n v="3.7649109633715726E-2"/>
    <n v="524"/>
    <n v="9573.038167938932"/>
    <n v="8480"/>
    <x v="0"/>
    <n v="-0.11417881645971362"/>
    <n v="-0.25807752597096834"/>
    <n v="5016272"/>
    <n v="76016.423709538911"/>
    <n v="4443520"/>
    <n v="56398.293145420248"/>
    <n v="-572752"/>
    <n v="-19618.130564118663"/>
    <n v="-1545677.1945118941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168701.8"/>
  </r>
  <r>
    <x v="3"/>
    <s v="Rusal"/>
    <x v="4"/>
    <n v="2.5454869129107587E-2"/>
    <n v="13000"/>
    <n v="219.11150000000001"/>
    <n v="231.1"/>
    <x v="0"/>
    <n v="5.4714152383603665E-2"/>
    <n v="-5.3969803594220433E-2"/>
    <n v="2848449.5"/>
    <n v="40306.688609214172"/>
    <n v="3004300"/>
    <n v="38131.344541441482"/>
    <n v="155850.5"/>
    <n v="-2175.3440677726903"/>
    <n v="-171391.44348048829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3"/>
    <s v="Gazprom"/>
    <x v="0"/>
    <n v="2.5175774701416343E-2"/>
    <n v="22400"/>
    <n v="134"/>
    <n v="132.65"/>
    <x v="0"/>
    <n v="-1.0074626865671621E-2"/>
    <n v="-0.17816978057590049"/>
    <n v="3001600"/>
    <n v="45889.358579411251"/>
    <n v="2971360"/>
    <n v="37713.261630548732"/>
    <n v="-30240"/>
    <n v="-8176.0969488625196"/>
    <n v="-644179.96162636997"/>
    <n v="0.38432549999999999"/>
    <n v="-2.527736"/>
    <n v="-11.88974"/>
    <n v="-5.858657"/>
    <n v="-1.7480469999999999"/>
    <n v="0.96665780000000001"/>
    <n v="1.6792609999999999"/>
    <s v="26/04/2016"/>
    <s v="15/07/2015"/>
    <n v="161280"/>
  </r>
  <r>
    <x v="3"/>
    <s v="Lukoil"/>
    <x v="1"/>
    <n v="4.2115806670457376E-2"/>
    <n v="2100"/>
    <n v="2389"/>
    <n v="2367"/>
    <x v="0"/>
    <n v="-9.2088740058602347E-3"/>
    <n v="-0.16674926866872397"/>
    <n v="5016900"/>
    <n v="75714.780993638633"/>
    <n v="4970700"/>
    <n v="63089.396635536788"/>
    <n v="-46200"/>
    <n v="-12625.384358101845"/>
    <n v="-994731.30788299977"/>
    <n v="-4.1884820000000003E-2"/>
    <n v="0.89944579999999996"/>
    <n v="-22.87642"/>
    <n v="-5.709206"/>
    <n v="-5.2976190000000001"/>
    <n v="4.8319279999999996"/>
    <n v="-3.5952329999999999"/>
    <s v="17/02/2016"/>
    <s v="23/12/2015"/>
    <n v="136500"/>
  </r>
  <r>
    <x v="3"/>
    <s v="Bashneft "/>
    <x v="25"/>
    <n v="5.0080309271877017E-2"/>
    <n v="2794"/>
    <n v="1801.9624194999999"/>
    <n v="2115.5"/>
    <x v="0"/>
    <n v="0.17399784651835248"/>
    <n v="-6.6631763291748802E-2"/>
    <n v="5034683.0000829995"/>
    <n v="80375.786448491592"/>
    <n v="5910707"/>
    <n v="75020.206071467546"/>
    <n v="876023.99991700053"/>
    <n v="-5355.5803770240454"/>
    <n v="-421956.53786104592"/>
    <n v="0.97156399999999998"/>
    <n v="6.413481"/>
    <n v="24.441179999999999"/>
    <n v="12.13158"/>
    <n v="9.116517"/>
    <n v="4.4175719999999998"/>
    <n v="6.4983750000000002"/>
    <s v="25/03/2016"/>
    <s v="16/07/2015"/>
    <n v="315722"/>
  </r>
  <r>
    <x v="3"/>
    <s v="Bashneft pref"/>
    <x v="48"/>
    <n v="5.6114823916220836E-2"/>
    <n v="3746"/>
    <n v="1335.7768286171918"/>
    <n v="1768"/>
    <x v="0"/>
    <n v="0.32357438916667647"/>
    <n v="0.10638097127586432"/>
    <n v="5003820"/>
    <n v="75977.352717236339"/>
    <n v="6622928"/>
    <n v="84059.897294264869"/>
    <n v="1619108"/>
    <n v="8082.5445770285296"/>
    <n v="636809.13864383928"/>
    <n v="-0.45146730000000002"/>
    <n v="3.090379"/>
    <n v="39.76285"/>
    <n v="30.1845"/>
    <n v="6.5539110000000003"/>
    <n v="2.5522040000000001"/>
    <n v="-8.4961770000000006E-2"/>
    <s v="25/03/2016"/>
    <s v="16/07/2015"/>
    <n v="423298"/>
  </r>
  <r>
    <x v="3"/>
    <s v="Alrosa"/>
    <x v="2"/>
    <n v="4.7347003840523115E-2"/>
    <n v="89740"/>
    <n v="56.246155560508136"/>
    <n v="62.27"/>
    <x v="0"/>
    <n v="0.10709788748159998"/>
    <n v="-0.10475393856505943"/>
    <n v="5047530"/>
    <n v="79224.833145440614"/>
    <n v="5588109.8000000007"/>
    <n v="70925.719841296042"/>
    <n v="540579.80000000075"/>
    <n v="-8299.1133041445719"/>
    <n v="-653872.19882960338"/>
    <n v="-2.6194139999999999"/>
    <n v="11.3157"/>
    <n v="-19.287099999999999"/>
    <n v="-13.43652"/>
    <n v="21.328469999999999"/>
    <n v="10.978429999999999"/>
    <n v="-2.4841850000000001"/>
    <s v="17/03/2016"/>
    <s v="14/07/2015"/>
    <n v="131917.79999999999"/>
  </r>
  <r>
    <x v="3"/>
    <s v="Highland Gold Mining"/>
    <x v="59"/>
    <n v="6.1357913424779066E-2"/>
    <n v="102400"/>
    <n v="0.48081054687500002"/>
    <n v="0.61750000000000005"/>
    <x v="3"/>
    <n v="0.40049724661492392"/>
    <n v="0.20753767339659057"/>
    <n v="5170835.8625111999"/>
    <n v="76116.909"/>
    <n v="7241741.3881446412"/>
    <n v="91914.035200000013"/>
    <n v="2070905.5256334413"/>
    <n v="15797.126200000013"/>
    <n v="1244627.1384708411"/>
    <n v="0"/>
    <n v="8.3333329999999997"/>
    <n v="58.333329999999997"/>
    <n v="32.960889999999999"/>
    <n v="19"/>
    <n v="8.3333329999999997"/>
    <n v="6.7264569999999999"/>
    <s v="20/04/2016"/>
    <s v="01/10/2015"/>
    <n v="204800"/>
  </r>
  <r>
    <x v="3"/>
    <s v="Polymetal"/>
    <x v="46"/>
    <n v="0.10763543497491213"/>
    <n v="18174"/>
    <n v="449.18563836249587"/>
    <n v="699"/>
    <x v="0"/>
    <n v="0.55614948542923415"/>
    <n v="0.27415277537315408"/>
    <n v="8163499.7916000001"/>
    <n v="126545.00760255437"/>
    <n v="12703626"/>
    <n v="161237.67264641152"/>
    <n v="4540126.2083999999"/>
    <n v="34692.665043857152"/>
    <n v="2733372.6320084264"/>
    <n v="1.969365"/>
    <n v="12.37942"/>
    <n v="19.229289999999999"/>
    <n v="58.885429999999999"/>
    <n v="28.742280000000001"/>
    <n v="11.84"/>
    <n v="4.5624529999999996"/>
    <s v="29/03/2016"/>
    <s v="10/12/2015"/>
    <n v="5452.2"/>
  </r>
  <r>
    <x v="3"/>
    <s v="EDCLLI 4 7/8 04/17/20"/>
    <x v="19"/>
    <n v="0.11980656380044447"/>
    <n v="200000"/>
    <n v="88.2"/>
    <n v="89.734999999999999"/>
    <x v="1"/>
    <n v="0.29045833721654035"/>
    <n v="1.7403628117913739E-2"/>
    <n v="10957438.799999999"/>
    <n v="176400"/>
    <n v="14140118.254000001"/>
    <n v="179470"/>
    <n v="3182679.4540000018"/>
    <n v="3070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  <n v="0"/>
  </r>
  <r>
    <x v="4"/>
    <s v="Alrosa"/>
    <x v="2"/>
    <n v="1.261991546997708E-2"/>
    <n v="630300"/>
    <n v="52.699762018086624"/>
    <n v="62.27"/>
    <x v="0"/>
    <n v="0.1815992637429531"/>
    <n v="3.80865763398337E-2"/>
    <n v="33216660"/>
    <n v="479878.6396164372"/>
    <n v="39248781"/>
    <n v="498155.57405804418"/>
    <n v="6032121"/>
    <n v="18276.93444160698"/>
    <n v="-2.6194139999999999"/>
    <n v="11.3157"/>
    <n v="-19.287099999999999"/>
    <n v="-13.43652"/>
    <n v="21.328469999999999"/>
    <n v="10.978429999999999"/>
    <n v="-2.4841850000000001"/>
    <s v="17/03/2016"/>
    <s v="14/07/2015"/>
    <m/>
    <m/>
  </r>
  <r>
    <x v="4"/>
    <s v="Polymetal"/>
    <x v="60"/>
    <n v="4.2671224756861519E-2"/>
    <n v="191850"/>
    <n v="7.427135261923377"/>
    <n v="6.04"/>
    <x v="3"/>
    <n v="0.86286992295493103"/>
    <n v="-0.23904269492942054"/>
    <n v="71239736.476045504"/>
    <n v="2213519.5695949998"/>
    <n v="132710362.40046048"/>
    <n v="1684393.8864"/>
    <n v="61470625.924414977"/>
    <n v="-529125.68319499982"/>
    <n v="0.81967210000000001"/>
    <n v="3.336185"/>
    <n v="6.4549950000000003"/>
    <n v="47.027419999999999"/>
    <n v="12.49668"/>
    <n v="5.964912"/>
    <n v="4.2372880000000004"/>
    <s v="29/03/2016"/>
    <s v="10/12/2015"/>
    <m/>
    <m/>
  </r>
  <r>
    <x v="4"/>
    <s v="Polymetal"/>
    <x v="46"/>
    <n v="2.1279709657517861E-3"/>
    <n v="9468"/>
    <n v="520"/>
    <n v="699"/>
    <x v="0"/>
    <n v="0.34423076923076934"/>
    <n v="0.18508788557364975"/>
    <n v="4923360"/>
    <n v="70879.996544798851"/>
    <n v="6618132"/>
    <n v="83999.025234743269"/>
    <n v="1694772"/>
    <n v="13119.028689944418"/>
    <n v="1.969365"/>
    <n v="12.37942"/>
    <n v="19.229289999999999"/>
    <n v="58.885429999999999"/>
    <n v="28.742280000000001"/>
    <n v="11.84"/>
    <n v="4.5624529999999996"/>
    <s v="29/03/2016"/>
    <s v="10/12/2015"/>
    <m/>
    <m/>
  </r>
  <r>
    <x v="4"/>
    <s v="High Gold Minimg"/>
    <x v="47"/>
    <n v="0.11172387537416843"/>
    <n v="4913293"/>
    <n v="0.80207841069999997"/>
    <n v="0.61750000000000005"/>
    <x v="3"/>
    <n v="0.57475394556870585"/>
    <n v="-0.32599759806530604"/>
    <n v="220649533.42036554"/>
    <n v="6543243.6999554094"/>
    <n v="347468723.34161466"/>
    <n v="4410161.970214"/>
    <n v="126819189.92124912"/>
    <n v="-2133081.7297414094"/>
    <n v="0"/>
    <n v="8.3333329999999997"/>
    <n v="58.333329999999997"/>
    <n v="32.960889999999999"/>
    <n v="19"/>
    <n v="8.3333329999999997"/>
    <n v="6.7264569999999999"/>
    <s v="20/04/2016"/>
    <s v="01/10/2015"/>
    <m/>
    <m/>
  </r>
  <r>
    <x v="4"/>
    <s v="Nord Gold"/>
    <x v="61"/>
    <n v="2.7887845453474281E-3"/>
    <n v="42751"/>
    <n v="4.627191176814577"/>
    <n v="2.5750000000000002"/>
    <x v="1"/>
    <n v="0.35255725789363779"/>
    <n v="-0.44350689184779568"/>
    <n v="6412524.4016450001"/>
    <n v="197817.05"/>
    <n v="8673306.4208650012"/>
    <n v="110083.82500000001"/>
    <n v="2260782.0192200011"/>
    <n v="-87733.224999999977"/>
    <n v="-0.37037039999999999"/>
    <n v="-4.6296309999999998"/>
    <n v="51.470579999999998"/>
    <n v="-12.37785"/>
    <n v="-2.3593510000000002"/>
    <n v="-2.8301919999999998"/>
    <n v="3.461538"/>
    <s v="23/02/2016"/>
    <s v="02/12/2015"/>
    <m/>
    <m/>
  </r>
  <r>
    <x v="4"/>
    <s v="Gold ETF"/>
    <x v="62"/>
    <n v="1.9019295608374621E-3"/>
    <n v="708"/>
    <n v="156.68"/>
    <n v="106.04"/>
    <x v="1"/>
    <n v="0.74582197236515313"/>
    <n v="-0.32320653561399026"/>
    <n v="3388162.2576959999"/>
    <n v="110929.44"/>
    <n v="5915128.1154240007"/>
    <n v="75076.320000000007"/>
    <n v="2526965.8577280007"/>
    <n v="-35853.119999999995"/>
    <n v="-0.51599589999999995"/>
    <n v="3.453659"/>
    <n v="-15.21209"/>
    <n v="-1.059018"/>
    <n v="-5.9929100000000002"/>
    <n v="1.65852"/>
    <n v="1.3669819999999999"/>
    <s v="#N/A N/A"/>
    <s v="#N/A Field Not Applicable"/>
    <m/>
    <m/>
  </r>
  <r>
    <x v="4"/>
    <s v="Gazprom"/>
    <x v="0"/>
    <n v="4.1700211374479122E-2"/>
    <n v="977689"/>
    <n v="133.11659235852579"/>
    <n v="132.65"/>
    <x v="0"/>
    <n v="-3.5051404957024968E-3"/>
    <n v="-0.42565839677597839"/>
    <n v="130146628.06641473"/>
    <n v="2866002.2595665231"/>
    <n v="129690445.85000001"/>
    <n v="1646064.3326031056"/>
    <n v="-456182.21641471982"/>
    <n v="-1219937.9269634176"/>
    <n v="0.38432549999999999"/>
    <n v="-2.527736"/>
    <n v="-11.88974"/>
    <n v="-5.858657"/>
    <n v="-1.7480469999999999"/>
    <n v="0.96665780000000001"/>
    <n v="1.6792609999999999"/>
    <s v="26/04/2016"/>
    <s v="15/07/2015"/>
    <m/>
    <m/>
  </r>
  <r>
    <x v="4"/>
    <s v="Lukoil"/>
    <x v="1"/>
    <n v="3.718849974947408E-2"/>
    <n v="48863"/>
    <n v="2001.21279"/>
    <n v="2367"/>
    <x v="0"/>
    <n v="0.18278276644434199"/>
    <n v="-0.41218770261746895"/>
    <n v="97785260.557769999"/>
    <n v="2497344.9789437177"/>
    <n v="115658721"/>
    <n v="1467970.0894296353"/>
    <n v="17873460.442230001"/>
    <n v="-1029374.8895140823"/>
    <n v="-4.1884820000000003E-2"/>
    <n v="0.89944579999999996"/>
    <n v="-22.87642"/>
    <n v="-5.709206"/>
    <n v="-5.2976190000000001"/>
    <n v="4.8319279999999996"/>
    <n v="-3.5952329999999999"/>
    <s v="17/02/2016"/>
    <s v="23/12/2015"/>
    <m/>
    <m/>
  </r>
  <r>
    <x v="4"/>
    <s v="Lukoil adr"/>
    <x v="63"/>
    <n v="7.7253842433590778E-3"/>
    <n v="10000"/>
    <n v="60.463999999999999"/>
    <n v="30.495000000000001"/>
    <x v="1"/>
    <n v="0.19555501814965126"/>
    <n v="-0.49565030431331036"/>
    <n v="20096491.776000001"/>
    <n v="604640"/>
    <n v="24026461.59"/>
    <n v="304950"/>
    <n v="3929969.8139999993"/>
    <n v="-299690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4"/>
    <s v="Gazpromneft"/>
    <x v="49"/>
    <n v="1.2573507786138511E-2"/>
    <n v="269500"/>
    <n v="141.13645640074211"/>
    <n v="145.1"/>
    <x v="0"/>
    <n v="2.8083060183995423E-2"/>
    <n v="-0.32418965096936436"/>
    <n v="38036275"/>
    <n v="734412.67772368016"/>
    <n v="39104450"/>
    <n v="496323.68806496402"/>
    <n v="1068175"/>
    <n v="-238088.98965871613"/>
    <n v="0.27472530000000001"/>
    <n v="-5.7486179999999996"/>
    <n v="-17.556819999999998"/>
    <n v="4.809761"/>
    <n v="0.55096630000000002"/>
    <n v="-4.7275130000000001"/>
    <n v="0.79392470000000004"/>
    <s v="25/02/2016"/>
    <s v="15/10/2015"/>
    <m/>
    <m/>
  </r>
  <r>
    <x v="4"/>
    <s v="Bashneft"/>
    <x v="25"/>
    <n v="1.1773082552728341E-2"/>
    <n v="17308"/>
    <n v="1193.7178183498961"/>
    <n v="2115.5"/>
    <x v="0"/>
    <n v="0.77219437247263745"/>
    <n v="-2.4156239625159448E-2"/>
    <n v="20660868"/>
    <n v="476231.86169294373"/>
    <n v="36615074"/>
    <n v="464727.8907247532"/>
    <n v="15954206"/>
    <n v="-11503.970968190522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4"/>
    <s v="Bashneft pref"/>
    <x v="48"/>
    <n v="1.7705201305701371E-2"/>
    <n v="31145"/>
    <n v="820.03599293626587"/>
    <n v="1768"/>
    <x v="0"/>
    <n v="1.1560029257611024"/>
    <n v="0.16733913261655897"/>
    <n v="25540021"/>
    <n v="598704.29350621509"/>
    <n v="55064360"/>
    <n v="698890.95067535492"/>
    <n v="29524339"/>
    <n v="100186.65716913983"/>
    <n v="-0.45146730000000002"/>
    <n v="3.090379"/>
    <n v="39.76285"/>
    <n v="30.1845"/>
    <n v="6.5539110000000003"/>
    <n v="2.5522040000000001"/>
    <n v="-8.4961770000000006E-2"/>
    <s v="25/03/2016"/>
    <s v="16/07/2015"/>
    <m/>
    <m/>
  </r>
  <r>
    <x v="4"/>
    <s v="Surgut pref"/>
    <x v="50"/>
    <n v="5.5490768281660635E-3"/>
    <n v="400000"/>
    <n v="22.364157991878923"/>
    <n v="43.145000000000003"/>
    <x v="0"/>
    <n v="0.92920296912887168"/>
    <n v="-0.11107351807151811"/>
    <n v="8945663.1967515685"/>
    <n v="246412.9009379638"/>
    <n v="17258000"/>
    <n v="219042.95313257567"/>
    <n v="8312336.8032484315"/>
    <n v="-27369.947805388132"/>
    <n v="0.31289840000000002"/>
    <n v="-2.4420540000000002"/>
    <n v="-1.5291539999999999"/>
    <n v="13.29843"/>
    <n v="0.88577729999999999"/>
    <n v="-0.58756109999999995"/>
    <n v="-2.081448"/>
    <s v="29/04/2016"/>
    <s v="15/07/2015"/>
    <m/>
    <m/>
  </r>
  <r>
    <x v="4"/>
    <s v="KazMunaiGaz"/>
    <x v="51"/>
    <n v="6.5372533333294316E-3"/>
    <n v="39700"/>
    <n v="11.742317380352645"/>
    <n v="6.5"/>
    <x v="1"/>
    <n v="-0.15338591658431189"/>
    <n v="-0.4464465752836948"/>
    <n v="24014832.033"/>
    <n v="466170"/>
    <n v="20331295.010000002"/>
    <n v="258050"/>
    <n v="-3683537.0229999982"/>
    <n v="-208120"/>
    <n v="0"/>
    <n v="-12.634410000000001"/>
    <n v="-44.68085"/>
    <n v="-17.493469999999999"/>
    <n v="-10.481590000000001"/>
    <n v="-5.2478150000000001"/>
    <n v="-2.015504"/>
    <s v="09/03/2016"/>
    <s v="29/05/2015"/>
    <m/>
    <m/>
  </r>
  <r>
    <x v="4"/>
    <s v="WZR"/>
    <x v="64"/>
    <n v="3.3262968413035277E-4"/>
    <n v="202000"/>
    <n v="1.1382376237623761"/>
    <n v="0.09"/>
    <x v="4"/>
    <n v="-0.85823598000324541"/>
    <n v="-0.9382181441760471"/>
    <n v="7297342.1639309768"/>
    <n v="212524.30370373128"/>
    <n v="1034500.5604506716"/>
    <n v="13130.145890509893"/>
    <n v="-6262841.6034803055"/>
    <n v="-199394.15781322139"/>
    <n v="0"/>
    <n v="-5.2631569999999996"/>
    <n v="-80.645160000000004"/>
    <n v="-47.058819999999997"/>
    <n v="-25"/>
    <n v="0"/>
    <n v="-10"/>
    <s v="23/02/2016"/>
    <s v="#N/A Field Not Applicable"/>
    <m/>
    <m/>
  </r>
  <r>
    <x v="4"/>
    <s v="NLMK"/>
    <x v="65"/>
    <n v="1.035488989483087E-3"/>
    <n v="45680"/>
    <n v="50.868450000000003"/>
    <n v="70.5"/>
    <x v="0"/>
    <n v="0.38592781969963696"/>
    <n v="-0.27656444118873025"/>
    <n v="2323670.7960000001"/>
    <n v="56500.745980721229"/>
    <n v="3220440"/>
    <n v="40874.648741816665"/>
    <n v="896769.20399999991"/>
    <n v="-15626.097238904564"/>
    <n v="2.9195799999999998"/>
    <n v="12.619809999999999"/>
    <n v="-20.428889999999999"/>
    <n v="-22.641259999999999"/>
    <n v="-20.948029999999999"/>
    <n v="18.80688"/>
    <n v="-2.1280130000000002"/>
    <s v="25/03/2016"/>
    <s v="06/01/2016"/>
    <m/>
    <m/>
  </r>
  <r>
    <x v="4"/>
    <s v="TMK"/>
    <x v="52"/>
    <n v="1.0992689686020476E-3"/>
    <n v="66000"/>
    <n v="62.684848484848487"/>
    <n v="51.8"/>
    <x v="0"/>
    <n v="-0.17364401044184485"/>
    <n v="-0.46848006760540861"/>
    <n v="4137200"/>
    <n v="81638.113618740579"/>
    <n v="3418800"/>
    <n v="43392.284631454961"/>
    <n v="-718400"/>
    <n v="-38245.828987285618"/>
    <n v="0.2909796"/>
    <n v="-14.45087"/>
    <n v="26.960789999999999"/>
    <n v="-7.18133"/>
    <n v="-0.95785589999999998"/>
    <n v="-10.06944"/>
    <n v="-1.804368"/>
    <s v="05/03/2016"/>
    <s v="22/10/2015"/>
    <m/>
    <m/>
  </r>
  <r>
    <x v="4"/>
    <s v="Rusal"/>
    <x v="4"/>
    <n v="2.5295617521811087E-2"/>
    <n v="340420"/>
    <n v="262.89923800940011"/>
    <n v="231.1"/>
    <x v="0"/>
    <n v="-0.1209559915432814"/>
    <n v="-0.329698189086569"/>
    <n v="89496158.603159979"/>
    <n v="1489647.257796"/>
    <n v="78671062"/>
    <n v="998513.25452288531"/>
    <n v="-10825096.603159979"/>
    <n v="-491134.00327311468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4"/>
    <s v="GMKN"/>
    <x v="66"/>
    <n v="1.7587884127871695E-3"/>
    <n v="6300"/>
    <n v="15.88"/>
    <n v="11.02"/>
    <x v="1"/>
    <n v="-4.8707548181156857E-2"/>
    <n v="-0.30604534005037787"/>
    <n v="5750018.8955999995"/>
    <n v="100044"/>
    <n v="5469949.5732000005"/>
    <n v="69426"/>
    <n v="-280069.32239999902"/>
    <n v="-30618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4"/>
    <s v="GMKN"/>
    <x v="3"/>
    <n v="3.4082868454374943E-3"/>
    <n v="1250"/>
    <n v="7980.3927999999996"/>
    <n v="8480"/>
    <x v="0"/>
    <n v="6.2604336969478647E-2"/>
    <n v="6.9740227301920976E-2"/>
    <n v="9975491"/>
    <n v="125766.90078961336"/>
    <n v="10600000"/>
    <n v="134537.91303773914"/>
    <n v="624509"/>
    <n v="8771.0122481257858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m/>
    <m/>
  </r>
  <r>
    <x v="4"/>
    <s v="NMTP"/>
    <x v="67"/>
    <n v="2.1021927418864644E-2"/>
    <n v="15240000"/>
    <n v="1.4648000000000001"/>
    <n v="4.29"/>
    <x v="0"/>
    <n v="1.9287274713271434"/>
    <n v="1.1434457037739492"/>
    <n v="22323552"/>
    <n v="387140.48853609408"/>
    <n v="65379600"/>
    <n v="829814.61690963875"/>
    <n v="43056048"/>
    <n v="442674.12837354466"/>
    <n v="-0.48840050000000002"/>
    <n v="14.095739999999999"/>
    <n v="152.35290000000001"/>
    <n v="33.606560000000002"/>
    <n v="26.947040000000001"/>
    <n v="16.893730000000001"/>
    <n v="-2.511962"/>
    <s v="31/03/2016"/>
    <s v="#N/A N/A"/>
    <m/>
    <m/>
  </r>
  <r>
    <x v="4"/>
    <s v="Aeroflot"/>
    <x v="58"/>
    <n v="8.7607839775265574E-3"/>
    <n v="490400"/>
    <n v="35.185639948040041"/>
    <n v="55.56"/>
    <x v="0"/>
    <n v="0.57905327520112038"/>
    <n v="-1.7689783528930692E-2"/>
    <n v="17255037.830518838"/>
    <n v="352048.79242816399"/>
    <n v="27246624"/>
    <n v="345821.12549848831"/>
    <n v="9991586.169481162"/>
    <n v="-6227.6669296756736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m/>
    <m/>
  </r>
  <r>
    <x v="4"/>
    <s v="Global Trans"/>
    <x v="31"/>
    <n v="6.5886393618561721E-3"/>
    <n v="72244"/>
    <n v="12.622032279497258"/>
    <n v="3.6"/>
    <x v="1"/>
    <n v="-0.3393373676027297"/>
    <n v="-0.714784440390974"/>
    <n v="31015995.138889994"/>
    <n v="911866.09999999986"/>
    <n v="20491108.994880002"/>
    <n v="260078.40000000002"/>
    <n v="-10524886.144009992"/>
    <n v="-651787.69999999984"/>
    <n v="1.430429"/>
    <n v="-20.87912"/>
    <n v="-19.821819999999999"/>
    <n v="6.9958850000000004"/>
    <n v="-13.525499999999999"/>
    <n v="-10"/>
    <n v="9.8591549999999994"/>
    <s v="12/02/2016"/>
    <s v="24/04/2015"/>
    <m/>
    <m/>
  </r>
  <r>
    <x v="4"/>
    <s v="Mvideo"/>
    <x v="54"/>
    <n v="3.1798587987770979E-2"/>
    <n v="393850"/>
    <n v="167.86028183318521"/>
    <n v="251.1"/>
    <x v="0"/>
    <n v="0.49588692010857005"/>
    <n v="-2.8929486480888222E-2"/>
    <n v="66111771.999999993"/>
    <n v="1292604.3610711307"/>
    <n v="98895735"/>
    <n v="1255209.9806823863"/>
    <n v="32783963.000000007"/>
    <n v="-37394.380388744408"/>
    <n v="-0.9589567"/>
    <n v="-6.4804469999999998"/>
    <n v="56.643790000000003"/>
    <n v="33.024209999999997"/>
    <n v="5.6032719999999996"/>
    <n v="-1.6836310000000001"/>
    <n v="-0.3088803"/>
    <s v="24/03/2016"/>
    <s v="26/06/2015"/>
    <m/>
    <m/>
  </r>
  <r>
    <x v="4"/>
    <s v="Qiwi"/>
    <x v="30"/>
    <n v="6.3079871342725381E-4"/>
    <n v="2000"/>
    <n v="24.96"/>
    <n v="12.45"/>
    <x v="1"/>
    <n v="-0.3162336490497456"/>
    <n v="-0.50120192307692313"/>
    <n v="2869147.0079999999"/>
    <n v="49920"/>
    <n v="1961826.1800000002"/>
    <n v="24900"/>
    <n v="-907320.82799999975"/>
    <n v="-25020"/>
    <n v="-3.79257"/>
    <n v="-30.64067"/>
    <n v="-45.105820000000001"/>
    <n v="-57.270539999999997"/>
    <n v="-30.94444"/>
    <n v="-21.99248"/>
    <n v="-3.493789"/>
    <s v="10/03/2016"/>
    <s v="21/05/2015"/>
    <m/>
    <m/>
  </r>
  <r>
    <x v="4"/>
    <s v="Yandex"/>
    <x v="28"/>
    <n v="2.1465244219634541E-2"/>
    <n v="66300"/>
    <n v="14.775625942684766"/>
    <n v="12.78"/>
    <x v="1"/>
    <n v="9.8874322318550645E-2"/>
    <n v="-0.13506202379688537"/>
    <n v="60751574.169050008"/>
    <n v="979624"/>
    <n v="66758344.8948"/>
    <n v="847314"/>
    <n v="6006770.7257499918"/>
    <n v="-132310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m/>
    <m/>
  </r>
  <r>
    <x v="4"/>
    <s v="MRSK Volga"/>
    <x v="68"/>
    <n v="1.4051144825058347E-4"/>
    <n v="23000000"/>
    <n v="7.0190000000000002E-2"/>
    <n v="1.9E-2"/>
    <x v="0"/>
    <n v="-0.72930616896993872"/>
    <n v="-0.8892218852152306"/>
    <n v="1614370"/>
    <n v="50068.696868477287"/>
    <n v="437000"/>
    <n v="5546.5158488200004"/>
    <n v="-1177370"/>
    <n v="-44522.181019657284"/>
    <n v="1.0638300000000001"/>
    <n v="-2.3136220000000001"/>
    <n v="-24.752479999999998"/>
    <n v="-11.42191"/>
    <n v="-11.21496"/>
    <n v="-3.7974730000000001"/>
    <n v="-1.2987010000000001"/>
    <s v="11/08/2016"/>
    <s v="26/06/2015"/>
    <m/>
    <m/>
  </r>
  <r>
    <x v="4"/>
    <s v="EONR"/>
    <x v="69"/>
    <n v="8.4820041196134854E-3"/>
    <n v="10680000"/>
    <n v="2.4551624019646678"/>
    <n v="2.4700000000000002"/>
    <x v="0"/>
    <n v="6.0434283383694609E-3"/>
    <n v="-0.56228571104427894"/>
    <n v="26221134.452982653"/>
    <n v="764920.50505622011"/>
    <n v="26379600.000000004"/>
    <n v="334816.63497833436"/>
    <n v="158465.54701735079"/>
    <n v="-430103.87007788575"/>
    <n v="-3.643564"/>
    <n v="-22.302610000000001"/>
    <n v="-6.6515459999999997"/>
    <n v="-10.91175"/>
    <n v="-22.515930000000001"/>
    <n v="-20.064720000000001"/>
    <n v="-12.701829999999999"/>
    <s v="16/03/2016"/>
    <s v="06/07/2015"/>
    <m/>
    <m/>
  </r>
  <r>
    <x v="4"/>
    <s v="TGKA"/>
    <x v="70"/>
    <n v="1.1918849836523783E-3"/>
    <n v="922100000"/>
    <n v="6.8129999999999996E-3"/>
    <n v="4.0200000000000001E-3"/>
    <x v="0"/>
    <n v="-0.40995156318802284"/>
    <n v="-0.75707332857036724"/>
    <n v="6282267.2999999998"/>
    <n v="193672.38328359678"/>
    <n v="3706842"/>
    <n v="47048.18741892821"/>
    <n v="-2575425.2999999998"/>
    <n v="-146624.19586466858"/>
    <n v="0.38119439999999999"/>
    <n v="-4.0000020000000003"/>
    <n v="-2.5454539999999999"/>
    <n v="-14.5946"/>
    <n v="-5.6716439999999997"/>
    <n v="-2.5454539999999999"/>
    <n v="-4.4740019999999996"/>
    <s v="13/05/2016"/>
    <s v="09/07/2015"/>
    <m/>
    <m/>
  </r>
  <r>
    <x v="4"/>
    <s v="Etalon"/>
    <x v="55"/>
    <n v="1.2876391537399794E-2"/>
    <n v="323745"/>
    <n v="2.4195264299999999"/>
    <n v="1.57"/>
    <x v="1"/>
    <n v="-3.6518790306411253E-3"/>
    <n v="-0.35111268860989453"/>
    <n v="40193219.495579869"/>
    <n v="783309.58408035"/>
    <n v="40046438.720130004"/>
    <n v="508279.65"/>
    <n v="-146780.77544986457"/>
    <n v="-275029.93408034998"/>
    <n v="0"/>
    <n v="-12.2905"/>
    <n v="-23.414629999999999"/>
    <n v="-18.181819999999998"/>
    <n v="-20.725390000000001"/>
    <n v="-7.3746340000000004"/>
    <n v="2"/>
    <s v="22/03/2016"/>
    <s v="19/11/2015"/>
    <m/>
    <m/>
  </r>
  <r>
    <x v="4"/>
    <s v="LSR adr"/>
    <x v="71"/>
    <n v="1.4026360391931176E-3"/>
    <n v="37035"/>
    <n v="2.7"/>
    <n v="1.4950000000000001"/>
    <x v="1"/>
    <n v="-5.5303300272847578E-3"/>
    <n v="-0.4462962962962963"/>
    <n v="4386550.95"/>
    <n v="99994.5"/>
    <n v="4362291.8755650008"/>
    <n v="55367.325000000004"/>
    <n v="-24259.074434999377"/>
    <n v="-44627.174999999996"/>
    <n v="2.3972600000000002"/>
    <n v="-25.25"/>
    <n v="4.545458"/>
    <n v="-37.447699999999998"/>
    <n v="-26.172840000000001"/>
    <n v="-27.073170000000001"/>
    <n v="-12.31672"/>
    <s v="17/03/2016"/>
    <s v="16/04/2015"/>
    <m/>
    <m/>
  </r>
  <r>
    <x v="4"/>
    <s v="LSR"/>
    <x v="72"/>
    <n v="1.6377144651869436E-3"/>
    <n v="8343"/>
    <n v="595.87378640776694"/>
    <n v="610.5"/>
    <x v="0"/>
    <n v="2.4545824847250541E-2"/>
    <n v="-0.50627101187942591"/>
    <n v="4971375"/>
    <n v="130935.70973966151"/>
    <n v="5093401.5"/>
    <n v="64646.755478612278"/>
    <n v="122026.5"/>
    <n v="-66288.954261049235"/>
    <n v="3.7656900000000002"/>
    <n v="-9.2867759999999997"/>
    <n v="8.8235290000000006"/>
    <n v="3.6789299999999998"/>
    <n v="2.14168"/>
    <n v="-12.22142"/>
    <n v="-7.1856289999999996"/>
    <s v="17/03/2016"/>
    <s v="16/04/2015"/>
    <m/>
    <m/>
  </r>
  <r>
    <x v="4"/>
    <s v="Megafon"/>
    <x v="6"/>
    <n v="9.7416522764830569E-3"/>
    <n v="35770"/>
    <n v="852.69505171931792"/>
    <n v="847"/>
    <x v="0"/>
    <n v="-6.678884447417377E-3"/>
    <n v="-0.38132465618584543"/>
    <n v="30500902.000000004"/>
    <n v="621553.28121348983"/>
    <n v="30297190"/>
    <n v="384539.68995357171"/>
    <n v="-203712.00000000373"/>
    <n v="-237013.59125991812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4"/>
    <s v="MTS"/>
    <x v="8"/>
    <n v="2.4969566011497774E-2"/>
    <n v="340900"/>
    <n v="225.88719565855089"/>
    <n v="227.8"/>
    <x v="0"/>
    <n v="8.4679626743451308E-3"/>
    <n v="-0.41841468523903624"/>
    <n v="77004945"/>
    <n v="1694751.8255735685"/>
    <n v="77657020"/>
    <n v="985642.7739179217"/>
    <n v="652075"/>
    <n v="-709109.0516556467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4"/>
    <s v="Kcel"/>
    <x v="73"/>
    <n v="1.2536714030203715E-2"/>
    <n v="149961"/>
    <n v="3.7925569454991637"/>
    <n v="3.3"/>
    <x v="1"/>
    <n v="-3.3748394814586802E-2"/>
    <n v="-0.12987463407338107"/>
    <n v="40351828.394818798"/>
    <n v="568735.63210400008"/>
    <n v="38990018.958659999"/>
    <n v="494871.3"/>
    <n v="-1361809.4361587986"/>
    <n v="-73864.332104000088"/>
    <n v="0"/>
    <n v="-18.31683"/>
    <n v="-51.913290000000003"/>
    <n v="-45.454549999999998"/>
    <n v="-32.446269999999998"/>
    <n v="3.1249980000000002"/>
    <n v="6.451613"/>
    <s v="20/04/2016"/>
    <s v="17/04/2015"/>
    <m/>
    <m/>
  </r>
  <r>
    <x v="4"/>
    <s v="Vimpelcom"/>
    <x v="35"/>
    <n v="1.8404588595460177E-2"/>
    <n v="213676"/>
    <n v="4.5503165540350805"/>
    <n v="3.4"/>
    <x v="1"/>
    <n v="9.5488943376851543E-2"/>
    <n v="-0.2527992372343888"/>
    <n v="52250186.17024"/>
    <n v="972293.43999999983"/>
    <n v="57239501.238880001"/>
    <n v="726498.4"/>
    <n v="4989315.0686400011"/>
    <n v="-245795.0399999998"/>
    <n v="-4.6511630000000004"/>
    <n v="3.6585369999999999"/>
    <n v="-26.56588"/>
    <n v="-45.058619999999998"/>
    <n v="-8.1232480000000002"/>
    <n v="14.67117"/>
    <n v="4.96"/>
    <s v="17/02/2016"/>
    <s v="19/11/2015"/>
    <m/>
    <m/>
  </r>
  <r>
    <x v="4"/>
    <s v="HMSG"/>
    <x v="74"/>
    <n v="4.2844912613808957E-3"/>
    <n v="307500"/>
    <n v="1.1368211382113822"/>
    <n v="0.55000000000000004"/>
    <x v="1"/>
    <n v="-1.1469927243636824E-2"/>
    <n v="-0.5161947807679379"/>
    <n v="13479665.103000002"/>
    <n v="349572.5"/>
    <n v="13325054.325000001"/>
    <n v="169125"/>
    <n v="-154610.77800000086"/>
    <n v="-180447.5"/>
    <n v="0"/>
    <n v="-0.18148800000000001"/>
    <n v="41.025649999999999"/>
    <n v="28.956630000000001"/>
    <n v="32.370640000000002"/>
    <n v="-15.38461"/>
    <n v="0"/>
    <s v="25/04/2016"/>
    <s v="23/12/2015"/>
    <m/>
    <m/>
  </r>
  <r>
    <x v="4"/>
    <s v="Kamaz"/>
    <x v="57"/>
    <n v="4.4665534802159398E-3"/>
    <n v="395200"/>
    <n v="29.489000000000001"/>
    <n v="35.15"/>
    <x v="0"/>
    <n v="0.19196988707653695"/>
    <n v="-0.27403138840744434"/>
    <n v="11654052.800000001"/>
    <n v="242864.05551896204"/>
    <n v="13891280"/>
    <n v="176311.68119083822"/>
    <n v="2237227.1999999993"/>
    <n v="-66552.374328123813"/>
    <n v="-0.1422475"/>
    <n v="-1.1251739999999999"/>
    <n v="10.53459"/>
    <n v="-3.9671660000000002"/>
    <n v="-0.70720930000000004"/>
    <n v="-1.264041"/>
    <n v="0.42918450000000002"/>
    <s v="29/04/2016"/>
    <s v="16/07/2015"/>
    <m/>
    <m/>
  </r>
  <r>
    <x v="4"/>
    <s v="Solers"/>
    <x v="75"/>
    <n v="4.8972580458008853E-4"/>
    <n v="3770"/>
    <n v="422"/>
    <n v="404"/>
    <x v="0"/>
    <n v="-4.2654028436018954E-2"/>
    <n v="-0.37243255963787303"/>
    <n v="1590940"/>
    <n v="30803.575750417731"/>
    <n v="1523080"/>
    <n v="19331.321187690541"/>
    <n v="-67860"/>
    <n v="-11472.25456272719"/>
    <n v="0.248139"/>
    <n v="0.49751240000000002"/>
    <n v="15.428570000000001"/>
    <n v="2.2784810000000002"/>
    <n v="-10.61947"/>
    <n v="3.8560409999999998"/>
    <n v="6.0367449999999998"/>
    <s v="11/04/2016"/>
    <s v="11/06/2015"/>
    <m/>
    <m/>
  </r>
  <r>
    <x v="4"/>
    <s v="NKNC"/>
    <x v="76"/>
    <n v="1.8676087182638672E-2"/>
    <n v="1357100"/>
    <n v="25.818030211480359"/>
    <n v="42.8"/>
    <x v="0"/>
    <n v="0.65775621336783319"/>
    <n v="-0.3276491713345181"/>
    <n v="35037648.799999997"/>
    <n v="1096474.3998539778"/>
    <n v="58083879.999999993"/>
    <n v="737215.47135230899"/>
    <n v="23046231.199999996"/>
    <n v="-359258.92850166885"/>
    <n v="0.70588240000000002"/>
    <n v="-4.0358710000000002"/>
    <n v="89.800449999999998"/>
    <n v="43.143810000000002"/>
    <n v="21.590910000000001"/>
    <n v="7"/>
    <n v="-3.8202250000000002"/>
    <s v="28/03/2016"/>
    <s v="07/05/2015"/>
    <m/>
    <m/>
  </r>
  <r>
    <x v="4"/>
    <s v="NKNC pref"/>
    <x v="77"/>
    <n v="3.7261132914442316E-2"/>
    <n v="5016650"/>
    <n v="20.331128432320373"/>
    <n v="23.1"/>
    <x v="0"/>
    <n v="0.13618877953070019"/>
    <n v="-0.53005858635678194"/>
    <n v="101994155.45"/>
    <n v="3129830.9772102451"/>
    <n v="115884615"/>
    <n v="1470837.1938945171"/>
    <n v="13890459.549999997"/>
    <n v="-1658993.783315728"/>
    <n v="3.125"/>
    <n v="-0.64516130000000005"/>
    <n v="30.87819"/>
    <n v="-6.4777360000000002"/>
    <n v="10.52632"/>
    <n v="11.594200000000001"/>
    <n v="-0.2159827"/>
    <s v="28/03/2016"/>
    <s v="07/05/2015"/>
    <m/>
    <m/>
  </r>
  <r>
    <x v="4"/>
    <s v="Protek"/>
    <x v="78"/>
    <n v="5.6415185704361843E-3"/>
    <n v="278500"/>
    <n v="23.605008976660681"/>
    <n v="63"/>
    <x v="0"/>
    <n v="1.6689250600281871"/>
    <n v="0.10122448142505847"/>
    <n v="6573995"/>
    <n v="202222.1449609868"/>
    <n v="17545500"/>
    <n v="222691.97671732568"/>
    <n v="10971505"/>
    <n v="20469.831756338885"/>
    <n v="1.123596"/>
    <n v="3.1096590000000002"/>
    <n v="53.658540000000002"/>
    <n v="54.411769999999997"/>
    <n v="32.35295"/>
    <n v="8.9965410000000006"/>
    <n v="-0.78740160000000003"/>
    <s v="26/04/2016"/>
    <s v="16/05/2015"/>
    <m/>
    <m/>
  </r>
  <r>
    <x v="4"/>
    <s v="BSPB"/>
    <x v="79"/>
    <n v="3.9339686293227219E-3"/>
    <n v="294817"/>
    <n v="49.792987310772446"/>
    <n v="41.5"/>
    <x v="0"/>
    <n v="-0.16654930259583567"/>
    <n v="-0.66454991743219649"/>
    <n v="14679819.140000001"/>
    <n v="462925.96175300714"/>
    <n v="12234905.5"/>
    <n v="155288.55209282608"/>
    <n v="-2444913.6400000006"/>
    <n v="-307637.40966018103"/>
    <n v="1.3431010000000001"/>
    <n v="-4.7072310000000002"/>
    <n v="60.852719999999998"/>
    <n v="1.343099"/>
    <n v="10.96256"/>
    <n v="-5.1428570000000002"/>
    <n v="-4.3778800000000002"/>
    <s v="18/03/2016"/>
    <s v="02/07/2015"/>
    <m/>
    <m/>
  </r>
  <r>
    <x v="4"/>
    <s v="VIP 9 02/13/18"/>
    <x v="80"/>
    <n v="1.515883965750801E-2"/>
    <n v="50000000"/>
    <n v="70.03"/>
    <n v="94.290009999999995"/>
    <x v="0"/>
    <n v="0.3464231043838355"/>
    <n v="1.8800238226412525E-2"/>
    <n v="35015000"/>
    <n v="587334.44264032959"/>
    <n v="47145005"/>
    <n v="598376.47008054506"/>
    <n v="12130005"/>
    <n v="11042.027440215461"/>
    <n v="-0.27497620306716231"/>
    <n v="-0.48547757255937185"/>
    <n v="28.285727891156455"/>
    <n v="1.6603881401617198"/>
    <n v="0.31385712005956767"/>
    <n v="-0.22221164021164527"/>
    <n v="-0.48022586943903034"/>
    <n v="0"/>
    <n v="0"/>
    <m/>
    <m/>
  </r>
  <r>
    <x v="4"/>
    <s v="RSHB 7 7/8 02/07/18"/>
    <x v="81"/>
    <n v="2.3405287105601968E-2"/>
    <n v="80000000"/>
    <n v="76.29249999999999"/>
    <n v="90.990009999999998"/>
    <x v="0"/>
    <n v="0.19264685257397529"/>
    <n v="-7.5113552028261421E-2"/>
    <n v="61033999.999999993"/>
    <n v="998927.81265742797"/>
    <n v="72792008"/>
    <n v="923894.79642890685"/>
    <n v="11758008.000000007"/>
    <n v="-75033.016228521126"/>
    <n v="-0.55736612021858134"/>
    <n v="-0.82832697547684142"/>
    <n v="24.643849315068493"/>
    <n v="2.2359662921348291"/>
    <n v="-0.68761187513644018"/>
    <n v="-0.55736612021858134"/>
    <n v="-1.0924398065112304"/>
    <n v="0"/>
    <n v="0"/>
    <m/>
    <m/>
  </r>
  <r>
    <x v="4"/>
    <s v="VIP 10 03/08/22"/>
    <x v="82"/>
    <n v="1.5843710783861559E-2"/>
    <n v="50000000"/>
    <n v="98.05"/>
    <n v="98.55"/>
    <x v="0"/>
    <n v="5.0994390617031815E-3"/>
    <n v="-0.1913567669641526"/>
    <n v="49025000"/>
    <n v="773407.71088670939"/>
    <n v="49275000"/>
    <n v="625410.91178628267"/>
    <n v="250000"/>
    <n v="-147996.79910042672"/>
    <n v="-3.0966592804055094E-6"/>
    <n v="-0.10137001959668053"/>
    <s v="#N/A N/A"/>
    <n v="2.1031945996026078"/>
    <n v="-0.94481644783695939"/>
    <n v="0.1015775062038691"/>
    <n v="0.1015775062038691"/>
    <n v="0"/>
    <n v="0"/>
    <m/>
    <m/>
  </r>
  <r>
    <x v="4"/>
    <s v="RFLB 6.2 01/31/18"/>
    <x v="83"/>
    <n v="8.873443613056515E-4"/>
    <n v="3000000"/>
    <n v="92.46"/>
    <n v="91.990009999999998"/>
    <x v="0"/>
    <n v="-5.0831711010166369E-3"/>
    <n v="-0.11125846370911718"/>
    <n v="2773800"/>
    <n v="39411.708707432925"/>
    <n v="2759700.3"/>
    <n v="35026.822544492701"/>
    <n v="-14099.700000000186"/>
    <n v="-4384.8861629402236"/>
    <n v="-0.49755543537047564"/>
    <n v="-1.0860107526881742"/>
    <n v="15.347974921630092"/>
    <n v="1.3664022038567472"/>
    <n v="-0.3844171314093896"/>
    <n v="-0.44371212121212938"/>
    <n v="-0.54596464673766842"/>
    <n v="0"/>
    <n v="0"/>
    <m/>
    <m/>
  </r>
  <r>
    <x v="4"/>
    <s v="RFLB 7.4 04/19/17"/>
    <x v="21"/>
    <n v="1.5178189080695247E-2"/>
    <n v="48570000"/>
    <n v="96.19816553428042"/>
    <n v="97.19"/>
    <x v="0"/>
    <n v="1.0310326191887098E-2"/>
    <n v="-9.9682114228982877E-2"/>
    <n v="46723449"/>
    <n v="665476.35466091766"/>
    <n v="47205183"/>
    <n v="599140.26465892093"/>
    <n v="481734"/>
    <n v="-66336.090001996723"/>
    <n v="-0.11305241521068803"/>
    <n v="0.29927760577914553"/>
    <n v="9.2083824933984975"/>
    <n v="2.0421019476087912"/>
    <n v="0.50672182006204225"/>
    <n v="0.29927760577914553"/>
    <n v="-1.0288065843626662E-2"/>
    <n v="0"/>
    <n v="0"/>
    <m/>
    <m/>
  </r>
  <r>
    <x v="4"/>
    <s v="RUSSIA 5 5/8 04/04/42"/>
    <x v="84"/>
    <n v="6.1255875062935727E-2"/>
    <n v="2600000"/>
    <n v="97.365384615384613"/>
    <n v="93"/>
    <x v="1"/>
    <n v="8.5920998843585616E-2"/>
    <n v="-4.4835078016985941E-2"/>
    <n v="175436212.94999999"/>
    <n v="2531500"/>
    <n v="190509867.59999999"/>
    <n v="2418000"/>
    <n v="15073654.650000006"/>
    <n v="-113500"/>
    <n v="-1.400560224089636"/>
    <n v="-7.3684210526315779"/>
    <n v="6.3444108761329305"/>
    <n v="-6.1333333333333329"/>
    <n v="-11.111111111111111"/>
    <n v="-7.3684210526315779"/>
    <n v="-1.541766430217727"/>
    <n v="0"/>
    <n v="0"/>
    <m/>
    <m/>
  </r>
  <r>
    <x v="4"/>
    <s v="VTB 6.95 10/17/22"/>
    <x v="40"/>
    <n v="4.3134183223814598E-2"/>
    <n v="1830000"/>
    <n v="96.39"/>
    <n v="93.042000000000002"/>
    <x v="1"/>
    <n v="0.10583001030369421"/>
    <n v="-3.4733893557422957E-2"/>
    <n v="121311768.48210001"/>
    <n v="1763937"/>
    <n v="134150194.19052002"/>
    <n v="1702668.6"/>
    <n v="12838425.708420008"/>
    <n v="-61268.399999999907"/>
    <n v="-0.67786323204786891"/>
    <n v="-2.5135967189471335"/>
    <n v="27.195173359105013"/>
    <n v="3.1793699486726017"/>
    <n v="-4.0715091336262228"/>
    <n v="6.3450619931885832E-2"/>
    <n v="-0.94854701751610015"/>
    <n v="0"/>
    <n v="0"/>
    <m/>
    <m/>
  </r>
  <r>
    <x v="4"/>
    <s v="GAZPRU 5.338 09/25/20"/>
    <x v="85"/>
    <n v="3.4519431263737165E-3"/>
    <n v="100000"/>
    <n v="96.28"/>
    <n v="93.740499999999997"/>
    <x v="3"/>
    <n v="5.5680180593037587E-2"/>
    <n v="-5.6745158776105975E-2"/>
    <n v="10169532.544371199"/>
    <n v="144458.51199999999"/>
    <n v="10735773.952988559"/>
    <n v="136261.19079999998"/>
    <n v="566241.40861736052"/>
    <n v="-8197.3212000000058"/>
    <n v="-9.1827560084149384E-7"/>
    <n v="-2.8156657963446454"/>
    <n v="8.2023255813953515"/>
    <n v="-0.47700534759358071"/>
    <n v="-1.006382978723402"/>
    <n v="-2.8156657963446454"/>
    <n v="-1.5301587301587281"/>
    <n v="0"/>
    <n v="0"/>
    <m/>
    <m/>
  </r>
  <r>
    <x v="4"/>
    <s v="EDCLLI 4 7/8 04/17/20"/>
    <x v="19"/>
    <n v="2.273282030096169E-2"/>
    <n v="1000000"/>
    <n v="83.728000000000009"/>
    <n v="89.734999999999999"/>
    <x v="1"/>
    <n v="0.29841623199728362"/>
    <n v="7.1744219377030349E-2"/>
    <n v="54451407.436000004"/>
    <n v="837280.00000000012"/>
    <n v="70700591.269999996"/>
    <n v="897349.99999999988"/>
    <n v="16249183.833999991"/>
    <n v="60069.999999999767"/>
    <n v="-0.4824200707316052"/>
    <n v="1.5480929362114486"/>
    <n v="14.293173667963091"/>
    <n v="0.78960636361034353"/>
    <n v="-1.7826487483725128E-2"/>
    <n v="2.956702716296685"/>
    <n v="0.45787745736149082"/>
    <n v="0"/>
    <n v="0"/>
    <m/>
    <m/>
  </r>
  <r>
    <x v="4"/>
    <s v="EUCHEM 5 1/8 12/12/17"/>
    <x v="86"/>
    <n v="3.2727972848250178E-3"/>
    <n v="129000"/>
    <n v="88"/>
    <n v="100.14700000000001"/>
    <x v="1"/>
    <n v="0.50399983832348672"/>
    <n v="0.13803409090909091"/>
    <n v="6767699.1359999999"/>
    <n v="113520"/>
    <n v="10178618.406366"/>
    <n v="129189.62999999999"/>
    <n v="3410919.270366"/>
    <n v="15669.62999999999"/>
    <n v="-0.10075123446444897"/>
    <n v="-0.42951547554362834"/>
    <n v="11.842355984452036"/>
    <n v="-0.4413947598512884"/>
    <n v="-0.1565250171026957"/>
    <n v="-0.46414854836461178"/>
    <n v="-0.1465678107766456"/>
    <n v="0"/>
    <n v="0"/>
    <m/>
    <m/>
  </r>
  <r>
    <x v="4"/>
    <s v="VOSTOK 10 03/11/19"/>
    <x v="87"/>
    <n v="4.4389807062852789E-3"/>
    <n v="344000"/>
    <n v="100"/>
    <n v="50.936999999999998"/>
    <x v="1"/>
    <n v="-0.12839331349727756"/>
    <n v="-0.49063000000000001"/>
    <n v="15839170.4"/>
    <n v="344000"/>
    <n v="13805526.829296"/>
    <n v="175223.28"/>
    <n v="-2033643.5707040001"/>
    <n v="-168776.72"/>
    <n v="-0.25457015167356511"/>
    <n v="-14.63263285974179"/>
    <n v="-43.711665952005454"/>
    <n v="-25.836462845496932"/>
    <n v="-12.33327119396419"/>
    <n v="-14.566773016497599"/>
    <n v="-0.18224335003238812"/>
    <n v="0"/>
    <n v="0"/>
    <m/>
    <m/>
  </r>
  <r>
    <x v="4"/>
    <s v="SBERRU 5 1/2 02/26/24"/>
    <x v="15"/>
    <n v="4.4754788718438703E-3"/>
    <n v="200000"/>
    <n v="81.5"/>
    <n v="88.331999999999994"/>
    <x v="1"/>
    <n v="0.72625941800947791"/>
    <n v="8.382822085889563E-2"/>
    <n v="8063121"/>
    <n v="163000"/>
    <n v="13919038.5648"/>
    <n v="176664"/>
    <n v="5855917.5647999998"/>
    <n v="13664"/>
    <n v="-0.1243768131694727"/>
    <n v="-0.27659942127302567"/>
    <n v="30.483338919537239"/>
    <n v="5.4836425285093204"/>
    <n v="-1.8020553810244408"/>
    <n v="2.13562973534553"/>
    <n v="0.84252142277743758"/>
    <n v="0"/>
    <n v="0"/>
    <m/>
    <m/>
  </r>
  <r>
    <x v="4"/>
    <s v="URKARM 3.723 04/30/18"/>
    <x v="88"/>
    <n v="6.4372679372589614E-3"/>
    <n v="260000"/>
    <n v="90.53"/>
    <n v="97.731999999999999"/>
    <x v="1"/>
    <n v="0.89703223065030646"/>
    <n v="7.9553739092013576E-2"/>
    <n v="10553502.1592"/>
    <n v="235378"/>
    <n v="20020333.742240001"/>
    <n v="254103.19999999998"/>
    <n v="9466831.5830400009"/>
    <n v="18725.199999999983"/>
    <n v="1.5801824324978633E-2"/>
    <n v="-1.0919375129871285"/>
    <n v="15.781387548757905"/>
    <n v="1.8103841429691587"/>
    <n v="-2.3956930611012859"/>
    <n v="-1.0682343422212697"/>
    <n v="-0.38720744793274808"/>
    <n v="0"/>
    <n v="0"/>
    <m/>
    <m/>
  </r>
  <r>
    <x v="4"/>
    <s v="MOBTEL 8 5/8 06/22/20"/>
    <x v="89"/>
    <n v="5.5398313676644582E-3"/>
    <n v="200000"/>
    <n v="108.25"/>
    <n v="109.339"/>
    <x v="1"/>
    <n v="0.70746429619156159"/>
    <n v="1.0060046189376504E-2"/>
    <n v="10090545.4"/>
    <n v="216500"/>
    <n v="17229245.999600001"/>
    <n v="218678"/>
    <n v="7138700.5996000003"/>
    <n v="2178"/>
    <n v="-0.14520913353440126"/>
    <n v="-1.4093527810361315"/>
    <n v="10.951123068709531"/>
    <n v="0.11537323069060174"/>
    <n v="-1.4963963963963978"/>
    <n v="-1.3639912613419558"/>
    <n v="-0.28908425904402674"/>
    <n v="0"/>
    <n v="0"/>
    <m/>
    <m/>
  </r>
  <r>
    <x v="4"/>
    <s v="NVTKRM 6.604 02/03/21"/>
    <x v="90"/>
    <n v="9.9135211137833992E-3"/>
    <n v="400000"/>
    <n v="100.3125"/>
    <n v="97.831000000000003"/>
    <x v="1"/>
    <n v="0.81139699498508433"/>
    <n v="-2.4737694704049851E-2"/>
    <n v="17020958.774999999"/>
    <n v="401250"/>
    <n v="30831713.5768"/>
    <n v="391324"/>
    <n v="13810754.801800001"/>
    <n v="-9926"/>
    <n v="-0.1642958307325712"/>
    <n v="-2.7254092932932954"/>
    <n v="9.7473714697509966"/>
    <n v="-3.4159010708765156"/>
    <n v="-4.40589847492617"/>
    <n v="-2.6808994194356073"/>
    <n v="-0.40821957109898244"/>
    <n v="0"/>
    <n v="0"/>
    <m/>
    <m/>
  </r>
  <r>
    <x v="4"/>
    <s v="SIBNEF 4 3/8 09/19/22"/>
    <x v="91"/>
    <n v="8.3809589062534724E-3"/>
    <n v="400000"/>
    <n v="84.174999999999997"/>
    <n v="82.706999999999994"/>
    <x v="1"/>
    <n v="0.82521344705561184"/>
    <n v="-1.7439857439857431E-2"/>
    <n v="14280709.289999999"/>
    <n v="336700"/>
    <n v="26065342.629599996"/>
    <n v="330827.99999999994"/>
    <n v="11784633.339599997"/>
    <n v="-5872.0000000000582"/>
    <n v="-0.33139988288638678"/>
    <n v="-6.6006434910630905"/>
    <n v="10.720361411414025"/>
    <n v="-4.5703134963909484"/>
    <n v="-6.8698751795710162"/>
    <n v="-6.7491242148823893"/>
    <n v="-1.6809145877146885"/>
    <n v="0"/>
    <n v="0"/>
    <m/>
    <m/>
  </r>
  <r>
    <x v="4"/>
    <s v="ALRSRU 7 3/4 11/03/20"/>
    <x v="92"/>
    <n v="2.1544436058115408E-2"/>
    <n v="800000"/>
    <n v="96.1"/>
    <n v="106.30500000000001"/>
    <x v="1"/>
    <n v="0.76606972703949183"/>
    <n v="0.10619146722164419"/>
    <n v="37939972.460952379"/>
    <n v="1009050"/>
    <n v="67004636.808000006"/>
    <n v="850440"/>
    <n v="29064664.347047627"/>
    <n v="-158610"/>
    <n v="-0.12777208939438206"/>
    <n v="0.6314011138375808"/>
    <n v="14.146894808480736"/>
    <n v="1.2968819110126983"/>
    <n v="-0.57240646290359054"/>
    <n v="1.1985248452110882"/>
    <n v="0.75443544549982866"/>
    <n v="0"/>
    <n v="0"/>
    <m/>
    <m/>
  </r>
  <r>
    <x v="4"/>
    <s v="EVRAZ 6 3/4 04/27/18"/>
    <x v="17"/>
    <n v="4.9357845996741189E-3"/>
    <n v="200000"/>
    <n v="99"/>
    <n v="97.417000000000002"/>
    <x v="1"/>
    <n v="1.2516702624167997"/>
    <n v="-1.5989898989898998E-2"/>
    <n v="6817437"/>
    <n v="198000"/>
    <n v="15350620.1588"/>
    <n v="194834"/>
    <n v="8533183.1588000003"/>
    <n v="-3166"/>
    <n v="-2.7708472633487715E-2"/>
    <n v="-2.4307937652678229"/>
    <n v="13.780985663852169"/>
    <n v="-0.24473481845695222"/>
    <n v="-3.5465702926113249"/>
    <n v="-1.4656174557613004"/>
    <n v="-9.9472833670606844E-2"/>
    <n v="0"/>
    <n v="0"/>
    <m/>
    <m/>
  </r>
  <r>
    <x v="4"/>
    <s v="HCFBRU 10 1/2 04/19/21"/>
    <x v="93"/>
    <n v="4.4312469620589713E-3"/>
    <n v="200000"/>
    <n v="100"/>
    <n v="87.459000000000003"/>
    <x v="1"/>
    <n v="0.95930461618513885"/>
    <n v="-0.12541000000000002"/>
    <n v="7033860"/>
    <n v="200000"/>
    <n v="13781474.367600001"/>
    <n v="174918"/>
    <n v="6747614.3676000014"/>
    <n v="-25082"/>
    <n v="0.36722943946946657"/>
    <n v="-3.5254523438665037"/>
    <n v="24.466680130240537"/>
    <n v="-6.5618936346585972"/>
    <n v="-0.34979245310081247"/>
    <n v="-3.4796710465604201"/>
    <n v="-0.43034028314671846"/>
    <n v="0"/>
    <n v="0"/>
    <m/>
    <m/>
  </r>
  <r>
    <x v="4"/>
    <s v="SIBNEF 6 11/27/23"/>
    <x v="42"/>
    <n v="7.9210141776869317E-3"/>
    <n v="335000"/>
    <n v="89.299402985074622"/>
    <n v="93.334999999999994"/>
    <x v="1"/>
    <n v="0.96787604201337851"/>
    <n v="4.5191758063599652E-2"/>
    <n v="12518513.9925"/>
    <n v="299153"/>
    <n v="24634883.767449997"/>
    <n v="312672.24999999994"/>
    <n v="12116369.774949998"/>
    <n v="13519.249999999942"/>
    <n v="-0.47982475293242416"/>
    <n v="-1.2087570596147825"/>
    <n v="17.021272655548419"/>
    <n v="2.023303328307053"/>
    <n v="-4.3130137015766552"/>
    <n v="1.3068384571647975"/>
    <n v="1.0359627454819897"/>
    <n v="0"/>
    <n v="0"/>
    <m/>
    <m/>
  </r>
  <r>
    <x v="4"/>
    <s v="PGILLN 5 5/8 04/29/20"/>
    <x v="16"/>
    <n v="2.7698751505815664E-2"/>
    <n v="1150000"/>
    <n v="87.147826086956528"/>
    <n v="95.075999999999993"/>
    <x v="1"/>
    <n v="0.93812326775601407"/>
    <n v="9.0973857513470202E-2"/>
    <n v="44447621.479999997"/>
    <n v="1002200"/>
    <n v="86144969.386799991"/>
    <n v="1093373.9999999998"/>
    <n v="41697347.906799994"/>
    <n v="91173.999999999767"/>
    <n v="-1.6305926626241123"/>
    <n v="-1.3601429897028137"/>
    <n v="8.4574812572356102"/>
    <n v="9.7910456968451201E-2"/>
    <n v="-2.9222604470071958"/>
    <n v="-1.0161182830955591"/>
    <n v="-1.5980156310196934"/>
    <n v="0"/>
    <n v="0"/>
    <m/>
    <m/>
  </r>
  <r>
    <x v="4"/>
    <s v="UUUCN 6 1/4 12/13/18"/>
    <x v="94"/>
    <n v="1.1494976554924353E-2"/>
    <n v="500000"/>
    <n v="98.947000000000003"/>
    <n v="90.75"/>
    <x v="1"/>
    <n v="1.2059504709349045"/>
    <n v="-8.2842329732078834E-2"/>
    <n v="16206232.288999999"/>
    <n v="494735"/>
    <n v="35750145.75"/>
    <n v="453750"/>
    <n v="19543913.461000003"/>
    <n v="-40985"/>
    <n v="-0.54794520547945202"/>
    <n v="-2.9411764705882351"/>
    <n v="37.5"/>
    <n v="-0.27472527472527475"/>
    <n v="-1.0899182561307901"/>
    <n v="-1.6260162601626018"/>
    <n v="0.41493775933609961"/>
    <n v="0"/>
    <n v="0"/>
    <m/>
    <m/>
  </r>
  <r>
    <x v="4"/>
    <s v="METINV 8 3/4 02/14/18"/>
    <x v="95"/>
    <n v="5.5099887618645657E-3"/>
    <n v="500000"/>
    <n v="90.5"/>
    <n v="43.5"/>
    <x v="1"/>
    <n v="0.14343512290815941"/>
    <n v="-0.51933701657458564"/>
    <n v="14986799.999999998"/>
    <n v="452500"/>
    <n v="17136433.5"/>
    <n v="217500"/>
    <n v="2149633.5000000019"/>
    <n v="-235000"/>
    <n v="-0.99573257467994303"/>
    <n v="-0.85470085470085477"/>
    <n v="-14.60122699386503"/>
    <n v="-25.799573560767591"/>
    <n v="-29.767911200807269"/>
    <n v="-0.14347202295552369"/>
    <n v="-0.14347202295552369"/>
    <n v="0"/>
    <n v="0"/>
    <m/>
    <m/>
  </r>
  <r>
    <x v="4"/>
    <s v="DMEAIR 6 11/26/18"/>
    <x v="96"/>
    <n v="7.5357646301059452E-3"/>
    <n v="300000"/>
    <n v="101"/>
    <n v="99.155000000000001"/>
    <x v="1"/>
    <n v="1.3417219748816498"/>
    <n v="-1.8267326732673284E-2"/>
    <n v="10008332.4"/>
    <n v="303000"/>
    <n v="23436731.913000003"/>
    <n v="297465"/>
    <n v="13428399.513000002"/>
    <n v="-5535"/>
    <n v="-0.22539752632543719"/>
    <n v="0.66191045841971119"/>
    <n v="27.03384697069427"/>
    <n v="4.7873183619550872"/>
    <n v="3.3973916997867533"/>
    <n v="1.1403831280944789"/>
    <n v="-8.3636271660201336E-2"/>
    <n v="0"/>
    <n v="0"/>
    <m/>
    <m/>
  </r>
  <r>
    <x v="4"/>
    <s v="BORFIN 7 5/8 09/26/18"/>
    <x v="97"/>
    <n v="4.1510102002946222E-3"/>
    <n v="200000"/>
    <n v="99.550000000000011"/>
    <n v="81.927999999999997"/>
    <x v="1"/>
    <n v="0.96305819774973789"/>
    <n v="-0.17701657458563547"/>
    <n v="6576432.2800000003"/>
    <n v="199100"/>
    <n v="12909919.2992"/>
    <n v="163856"/>
    <n v="6333487.0192"/>
    <n v="-35244"/>
    <n v="-0.23502172660047507"/>
    <n v="-2.4085729859988145"/>
    <n v="15.419182096423381"/>
    <n v="-6.391539236959459"/>
    <n v="-1.9812399993354983"/>
    <n v="-2.407411116037891"/>
    <n v="-0.94427406599898456"/>
    <n v="0"/>
    <n v="0"/>
    <m/>
    <m/>
  </r>
  <r>
    <x v="4"/>
    <s v="MHPSA 8 1/4 04/02/20"/>
    <x v="98"/>
    <n v="4.3646710978466487E-2"/>
    <n v="2000000"/>
    <n v="86.475000000000009"/>
    <n v="86.144999999999996"/>
    <x v="1"/>
    <n v="1.3850541828043172"/>
    <n v="-3.8161318300088398E-3"/>
    <n v="56914509.849999994"/>
    <n v="1729500"/>
    <n v="135744189.78"/>
    <n v="1722900"/>
    <n v="78829679.930000007"/>
    <n v="-6600"/>
    <n v="0.11273182749842756"/>
    <n v="-1.2924989293251485"/>
    <n v="28.01670367117277"/>
    <n v="5.6993865030674797"/>
    <n v="0.25486755019514312"/>
    <n v="-1.569941654338793"/>
    <n v="-0.29398727889733245"/>
    <n v="0"/>
    <n v="0"/>
    <m/>
    <m/>
  </r>
  <r>
    <x v="4"/>
    <s v="GPBRU 7.496 12/28/23"/>
    <x v="99"/>
    <n v="1.0588171737770597E-2"/>
    <n v="500000"/>
    <n v="100"/>
    <n v="83.590999999999994"/>
    <x v="1"/>
    <n v="1.0544478077311807"/>
    <n v="-0.16409000000000007"/>
    <n v="16028600"/>
    <n v="500000"/>
    <n v="32929922.131000001"/>
    <n v="417955"/>
    <n v="16901322.131000001"/>
    <n v="-82045"/>
    <n v="-0.68671212330380182"/>
    <n v="-5.9327268086382228"/>
    <n v="20.855622064906871"/>
    <n v="-5.54262574068819"/>
    <n v="-4.8567024357304911"/>
    <n v="-5.0113060967619987"/>
    <n v="-4.2211417490339738"/>
    <n v="0"/>
    <n v="0"/>
    <m/>
    <m/>
  </r>
  <r>
    <x v="4"/>
    <s v="RUSB 13 04/10/20"/>
    <x v="100"/>
    <n v="3.1159936446406508E-3"/>
    <n v="410000"/>
    <n v="101"/>
    <n v="30"/>
    <x v="1"/>
    <n v="-0.20460750637898362"/>
    <n v="-0.70297029702970293"/>
    <n v="12183857.25"/>
    <n v="505000"/>
    <n v="9690948.5999999996"/>
    <n v="122999.99999999999"/>
    <n v="-2492908.6500000004"/>
    <n v="-382000"/>
    <s v="#N/A N/A"/>
    <s v="#N/A N/A"/>
    <s v="#N/A N/A"/>
    <s v="#N/A N/A"/>
    <s v="#N/A N/A"/>
    <s v="#N/A N/A"/>
    <s v="#N/A N/A"/>
    <n v="0"/>
    <n v="0"/>
    <m/>
    <m/>
  </r>
  <r>
    <x v="5"/>
    <s v="X5"/>
    <x v="101"/>
    <n v="0.10502051293534775"/>
    <n v="111741"/>
    <n v="15.694552206673842"/>
    <n v="16.5"/>
    <x v="1"/>
    <n v="1.3515374998112653"/>
    <n v="5.1320214984130308E-2"/>
    <n v="61774006.257165328"/>
    <n v="1753724.9581259419"/>
    <n v="145263892.22730002"/>
    <n v="1843726.5000000002"/>
    <n v="83489885.97013469"/>
    <n v="90001.541874058312"/>
    <n v="0.65573769999999998"/>
    <n v="-12.92876"/>
    <n v="35.245899999999999"/>
    <n v="-22.278479999999998"/>
    <n v="-23.25"/>
    <n v="1.851847"/>
    <n v="-0.3246753"/>
    <s v="26/01/2016"/>
    <s v="#N/A Field Not Applicable"/>
    <m/>
    <m/>
  </r>
  <r>
    <x v="5"/>
    <s v="Megafon"/>
    <x v="34"/>
    <n v="2.1697229718793332E-2"/>
    <n v="33859"/>
    <n v="26.610720772604438"/>
    <n v="11.25"/>
    <x v="1"/>
    <n v="-7.5470390508692975E-2"/>
    <n v="-0.57723805769358183"/>
    <n v="32461381.885067888"/>
    <n v="901012.39463961369"/>
    <n v="30011508.717750002"/>
    <n v="380913.75"/>
    <n v="-2449873.1673178859"/>
    <n v="-520098.64463961369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5"/>
    <s v="MTS"/>
    <x v="8"/>
    <n v="2.070990811509903E-2"/>
    <n v="125750"/>
    <n v="259.02366322067593"/>
    <n v="227.8"/>
    <x v="0"/>
    <n v="-0.12054367092351259"/>
    <n v="-0.59753979506830135"/>
    <n v="32572225.649999999"/>
    <n v="903394.80913355807"/>
    <n v="28645850"/>
    <n v="363580.46001812455"/>
    <n v="-3926375.6499999985"/>
    <n v="-539814.3491154335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5"/>
    <s v="Novatek"/>
    <x v="102"/>
    <n v="1.5577308097524736E-2"/>
    <n v="4004"/>
    <n v="96.65"/>
    <n v="68.3"/>
    <x v="1"/>
    <n v="0.54141313878213371"/>
    <n v="-0.29332643559234362"/>
    <n v="13978381.677259998"/>
    <n v="386986.60000000003"/>
    <n v="21546461.176240001"/>
    <n v="273473.2"/>
    <n v="7568079.4989800025"/>
    <n v="-113513.40000000002"/>
    <n v="1.5613379999999999"/>
    <n v="-16.85941"/>
    <n v="-13.5443"/>
    <n v="-34.200389999999999"/>
    <n v="-27.609960000000001"/>
    <n v="-15.67901"/>
    <n v="-9.0545939999999998"/>
    <s v="25/02/2016"/>
    <s v="05/10/2015"/>
    <m/>
    <m/>
  </r>
  <r>
    <x v="5"/>
    <s v="Sberbank"/>
    <x v="103"/>
    <n v="0.19881218990219054"/>
    <n v="2905400"/>
    <n v="80.277617629551102"/>
    <n v="94.65"/>
    <x v="0"/>
    <n v="0.17903349395309243"/>
    <n v="-0.45975319045772789"/>
    <n v="233238590.26089779"/>
    <n v="6460604.5808851868"/>
    <n v="274996110"/>
    <n v="3490321.0125374105"/>
    <n v="41757519.739102215"/>
    <n v="-2970283.5683477763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m/>
    <m/>
  </r>
  <r>
    <x v="5"/>
    <s v="VEBBNK 6.025 07/05/22"/>
    <x v="104"/>
    <n v="2.5448752657560643E-2"/>
    <n v="500000"/>
    <n v="80.75"/>
    <n v="89.355000000000004"/>
    <x v="1"/>
    <n v="0.40498803108736658"/>
    <n v="0.10656346749225998"/>
    <n v="25054019.875"/>
    <n v="403750"/>
    <n v="35200598.055"/>
    <n v="446775"/>
    <n v="10146578.18"/>
    <n v="43025"/>
    <n v="3389862.3050000002"/>
    <n v="-0.44565457708008832"/>
    <n v="-5.9628960978491987"/>
    <n v="25.36126175401791"/>
    <n v="-4.1409606710691733"/>
    <n v="-7.1317986053045015"/>
    <n v="-5.764544979240247"/>
    <n v="-3.3257969101402254"/>
    <n v="0"/>
    <m/>
    <m/>
  </r>
  <r>
    <x v="5"/>
    <s v="TMENRU 7 1/4 02/02/20"/>
    <x v="105"/>
    <n v="8.7789438914186377E-2"/>
    <n v="1500000"/>
    <n v="91.51"/>
    <n v="102.748"/>
    <x v="1"/>
    <n v="0.40017618204088978"/>
    <n v="0.12280625068298545"/>
    <n v="86724764.469999999"/>
    <n v="1372650"/>
    <n v="121429949.604"/>
    <n v="1541220"/>
    <n v="34705185.134000003"/>
    <n v="168570"/>
    <n v="13281326.874"/>
    <n v="-0.19717769232575852"/>
    <n v="-2.9828035444732568"/>
    <n v="17.572749325964367"/>
    <n v="-0.14868754930512676"/>
    <n v="-1.5408819467544907"/>
    <n v="-2.8406072060812333"/>
    <n v="-1.3006449536261127"/>
    <n v="0"/>
    <m/>
    <m/>
  </r>
  <r>
    <x v="5"/>
    <s v="METINR 5 5/8 04/17/20"/>
    <x v="106"/>
    <n v="2.2250534673473831E-2"/>
    <n v="410000"/>
    <n v="85"/>
    <n v="95.275000000000006"/>
    <x v="1"/>
    <n v="0.45197243445249513"/>
    <n v="0.12088235294117644"/>
    <n v="21196571.550000001"/>
    <n v="348500"/>
    <n v="30776837.5955"/>
    <n v="390627.5"/>
    <n v="9580266.0454999991"/>
    <n v="42127.5"/>
    <n v="3319149.8955000001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5"/>
    <s v="VEBBNK 6.902 07/09/20"/>
    <x v="44"/>
    <n v="0.14073355311070468"/>
    <n v="2500000"/>
    <n v="88.063999999999993"/>
    <n v="98.828000000000003"/>
    <x v="1"/>
    <n v="0.43235091547358562"/>
    <n v="0.12222928779069764"/>
    <n v="135903851.24000001"/>
    <n v="2201600"/>
    <n v="194662005.74000001"/>
    <n v="2470700"/>
    <n v="58758154.5"/>
    <n v="269100"/>
    <n v="21201904.62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5"/>
    <s v="NVTKRM 6.604 02/03/21"/>
    <x v="90"/>
    <n v="8.3588280048407432E-2"/>
    <n v="1500000"/>
    <n v="90"/>
    <n v="97.831000000000003"/>
    <x v="1"/>
    <n v="0.42735608424516092"/>
    <n v="8.701111111111115E-2"/>
    <n v="81002160"/>
    <n v="1350000"/>
    <n v="115618925.913"/>
    <n v="1467465"/>
    <n v="34616765.913000003"/>
    <n v="117465"/>
    <n v="9254855.9130000006"/>
    <n v="-0.1642958307325712"/>
    <n v="-2.7254092932932954"/>
    <n v="9.7473714697509966"/>
    <n v="-3.4159010708765156"/>
    <n v="-4.40589847492617"/>
    <n v="-2.6808994194356073"/>
    <n v="-0.40821957109898244"/>
    <n v="0"/>
    <m/>
    <m/>
  </r>
  <r>
    <x v="5"/>
    <s v="SIBNEF 6 11/27/23"/>
    <x v="42"/>
    <n v="7.9746829924237789E-2"/>
    <n v="1500000"/>
    <n v="83.5"/>
    <n v="93.334999999999994"/>
    <x v="1"/>
    <n v="0.46776458156724599"/>
    <n v="0.11778443113772452"/>
    <n v="75152004"/>
    <n v="1252500"/>
    <n v="110305449.705"/>
    <n v="1400025"/>
    <n v="35153445.704999998"/>
    <n v="147525"/>
    <n v="11623229.205"/>
    <n v="-0.47982475293242416"/>
    <n v="-1.2087570596147825"/>
    <n v="17.021272655548419"/>
    <n v="2.023303328307053"/>
    <n v="-4.3130137015766552"/>
    <n v="1.3068384571647975"/>
    <n v="1.0359627454819897"/>
    <n v="0"/>
    <m/>
    <m/>
  </r>
  <r>
    <x v="5"/>
    <s v="VEBBNK 6.8 11/22/25"/>
    <x v="107"/>
    <n v="6.3274438884939693E-2"/>
    <n v="1176000"/>
    <n v="86.788690476190482"/>
    <n v="94.459000000000003"/>
    <x v="1"/>
    <n v="0.49890658616120764"/>
    <n v="8.8379136517952039E-2"/>
    <n v="58389838.7755"/>
    <n v="1020635"/>
    <n v="87520913.905488014"/>
    <n v="1110837.8400000001"/>
    <n v="29131075.129988015"/>
    <n v="90202.840000000084"/>
    <n v="7106919.3984880066"/>
    <n v="9.2186613117869562E-2"/>
    <n v="-2.9806596678504769"/>
    <n v="33.448714844213569"/>
    <n v="3.1538378760104062"/>
    <n v="-4.0148394625358801"/>
    <n v="-3.1070480414420216"/>
    <n v="5.2479686925265394"/>
    <n v="0"/>
    <m/>
    <m/>
  </r>
  <r>
    <x v="5"/>
    <s v="GPBRU 4.96 09/05/19"/>
    <x v="108"/>
    <n v="8.1859798375543733E-2"/>
    <n v="1500000"/>
    <n v="83.866666666666674"/>
    <n v="95.808000000000007"/>
    <x v="1"/>
    <n v="0.4514783410892671"/>
    <n v="0.1423847376788554"/>
    <n v="78008809.900000006"/>
    <n v="1258000"/>
    <n v="113228097.984"/>
    <n v="1437120"/>
    <n v="35219288.083999991"/>
    <n v="179120"/>
    <n v="14112542.384000001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5"/>
    <s v="VTB 6.315 02/22/18"/>
    <x v="109"/>
    <n v="2.8945019096195471E-2"/>
    <n v="500000"/>
    <n v="91.875"/>
    <n v="101.631"/>
    <x v="1"/>
    <n v="0.37377374954534037"/>
    <n v="0.10618775510204093"/>
    <n v="29143530.9375"/>
    <n v="459375"/>
    <n v="40036617.771000005"/>
    <n v="508155"/>
    <n v="10893086.833500005"/>
    <n v="48780"/>
    <n v="3843288.3960000002"/>
    <n v="-0.22873480004296118"/>
    <n v="-1.9583093466538553"/>
    <n v="20.783669143789197"/>
    <n v="-0.73061645336246583"/>
    <n v="-2.413938954439228"/>
    <n v="-1.9412770621644431"/>
    <n v="-0.66366687009730641"/>
    <n v="0"/>
    <m/>
    <m/>
  </r>
  <r>
    <x v="5"/>
    <s v="SBERRU 5 1/4 05/23/23"/>
    <x v="38"/>
    <n v="2.4546205545795105E-2"/>
    <n v="500000"/>
    <n v="71.53"/>
    <n v="86.186000000000007"/>
    <x v="1"/>
    <n v="0.51573681750994083"/>
    <n v="0.20489305186634987"/>
    <n v="22399798.324999999"/>
    <n v="357650"/>
    <n v="33952199.026000001"/>
    <n v="430930"/>
    <n v="11552400.701000001"/>
    <n v="73280"/>
    <n v="5773599.2960000001"/>
    <n v="-3.008137751700505"/>
    <n v="0.12662676044791391"/>
    <n v="28.062401325179305"/>
    <n v="4.1044570507434797"/>
    <n v="-2.9939453113091874"/>
    <n v="1.0837171907270844"/>
    <n v="-1.9989996352909212"/>
    <n v="0"/>
    <m/>
    <m/>
  </r>
  <r>
    <x v="6"/>
    <s v="Gazprom"/>
    <x v="110"/>
    <n v="4.8042009695836461E-2"/>
    <n v="11200"/>
    <n v="5"/>
    <n v="3.3405"/>
    <x v="1"/>
    <n v="-6.7163171316520276E-2"/>
    <n v="-0.33189999999999997"/>
    <n v="3159984.8"/>
    <n v="56000"/>
    <n v="2947750.1995199998"/>
    <n v="37413.599999999999"/>
    <n v="-212234.60048000002"/>
    <n v="-18586.400000000001"/>
    <n v="-1464389.0004800002"/>
    <n v="-0.87537089999999995"/>
    <n v="-9.5328400000000002"/>
    <n v="-26.935700000000001"/>
    <n v="-22.8611"/>
    <n v="-20.179210000000001"/>
    <n v="-1.46018"/>
    <n v="1.3808800000000001"/>
    <s v="26/04/2016"/>
    <s v="19/05/2016"/>
    <m/>
  </r>
  <r>
    <x v="6"/>
    <s v="GMKN"/>
    <x v="66"/>
    <n v="9.9152890621719419E-2"/>
    <n v="7007"/>
    <n v="15.890000000000002"/>
    <n v="11.02"/>
    <x v="1"/>
    <n v="-4.9306221844982456E-2"/>
    <n v="-0.30648206419131541"/>
    <n v="6399326.0601270003"/>
    <n v="111341.23000000001"/>
    <n v="6083799.4697480006"/>
    <n v="77217.14"/>
    <n v="-315526.59037899971"/>
    <n v="-34124.090000000011"/>
    <n v="-2688575.6277380008"/>
    <n v="-3.1634449999999998"/>
    <n v="-12.98855"/>
    <n v="-36.374130000000001"/>
    <n v="-29.69697"/>
    <n v="-24.906300000000002"/>
    <n v="-2.3914970000000002"/>
    <n v="-2.4778760000000002"/>
    <s v="29/03/2016"/>
    <s v="25/04/2016"/>
    <m/>
  </r>
  <r>
    <x v="6"/>
    <s v="Polymetal"/>
    <x v="60"/>
    <n v="0.14656047808482761"/>
    <n v="13000"/>
    <n v="5.2030000000000003"/>
    <n v="6.04"/>
    <x v="3"/>
    <n v="0.44558020268126231"/>
    <n v="0.14185831284084438"/>
    <n v="6220770.6803059997"/>
    <n v="99956.947999999989"/>
    <n v="8992622.9408704005"/>
    <n v="114136.67200000001"/>
    <n v="2771852.2605644008"/>
    <n v="14179.724000000017"/>
    <n v="1117194.9304568013"/>
    <n v="0.81967210000000001"/>
    <n v="3.336185"/>
    <n v="6.4549950000000003"/>
    <n v="47.027419999999999"/>
    <n v="12.49668"/>
    <n v="5.964912"/>
    <n v="4.2372880000000004"/>
    <s v="29/03/2016"/>
    <s v="23/03/2016"/>
    <m/>
  </r>
  <r>
    <x v="6"/>
    <s v="High Gold Mining"/>
    <x v="47"/>
    <n v="7.6870606780794867E-2"/>
    <n v="66694"/>
    <n v="0.38383737667556306"/>
    <n v="0.61750000000000005"/>
    <x v="3"/>
    <n v="1.3906586063357311"/>
    <n v="0.58481851759907943"/>
    <n v="1972932.6417890403"/>
    <n v="37773.663260000001"/>
    <n v="4716608.3998136595"/>
    <n v="59864.401012000009"/>
    <n v="2743675.758024619"/>
    <n v="22090.737752000008"/>
    <n v="1740489.464152127"/>
    <n v="0"/>
    <n v="8.3333329999999997"/>
    <n v="58.333329999999997"/>
    <n v="32.960889999999999"/>
    <n v="19"/>
    <n v="8.3333329999999997"/>
    <n v="6.7264569999999999"/>
    <s v="20/04/2016"/>
    <s v="#N/A N/A"/>
    <m/>
  </r>
  <r>
    <x v="6"/>
    <s v="Gazpromneft"/>
    <x v="111"/>
    <n v="0.14114593906403938"/>
    <n v="12000"/>
    <n v="13.19"/>
    <n v="9.16"/>
    <x v="1"/>
    <n v="4.7019492393427287E-2"/>
    <n v="-0.30553449583017434"/>
    <n v="8271478.2359999996"/>
    <n v="158280"/>
    <n v="8660398.9440000001"/>
    <n v="109920"/>
    <n v="388920.70800000057"/>
    <n v="-48360"/>
    <n v="-3810197.352"/>
    <n v="-1.7167380000000001"/>
    <n v="-13.99061"/>
    <n v="-29.102170000000001"/>
    <n v="-16.727270000000001"/>
    <n v="-19.295159999999999"/>
    <n v="-11.923069999999999"/>
    <n v="0.32858710000000002"/>
    <s v="25/02/2016"/>
    <s v="19/04/2016"/>
    <m/>
  </r>
  <r>
    <x v="6"/>
    <s v="X5"/>
    <x v="101"/>
    <n v="9.5342849122133588E-2"/>
    <n v="4500"/>
    <n v="12.3"/>
    <n v="16.5"/>
    <x v="1"/>
    <n v="0.69140247040683911"/>
    <n v="0.3414634146341462"/>
    <n v="3458682.3374999999"/>
    <n v="55350"/>
    <n v="5850023.8500000006"/>
    <n v="74250"/>
    <n v="2391341.5125000007"/>
    <n v="18900"/>
    <n v="1489096.98"/>
    <n v="0.65573769999999998"/>
    <n v="-12.92876"/>
    <n v="35.245899999999999"/>
    <n v="-22.278479999999998"/>
    <n v="-23.25"/>
    <n v="1.851847"/>
    <n v="-0.3246753"/>
    <s v="26/01/2016"/>
    <s v="#N/A N/A"/>
    <m/>
  </r>
  <r>
    <x v="6"/>
    <s v="MTS"/>
    <x v="8"/>
    <n v="4.9749532867681426E-2"/>
    <n v="13400"/>
    <n v="230.5"/>
    <n v="227.8"/>
    <x v="0"/>
    <n v="-1.1713665943600793E-2"/>
    <n v="-0.21867844124146241"/>
    <n v="3088700"/>
    <n v="49586.965429143005"/>
    <n v="3052520"/>
    <n v="38743.36512320373"/>
    <n v="-36180"/>
    <n v="-10843.600305939275"/>
    <n v="-854347.74962440482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6"/>
    <s v="Yandex"/>
    <x v="28"/>
    <n v="0.21957284802192598"/>
    <n v="13380"/>
    <n v="14.950397608370704"/>
    <n v="12.78"/>
    <x v="1"/>
    <n v="0.13001128982071286"/>
    <n v="-0.14517323654024439"/>
    <n v="11922445.982479999"/>
    <n v="200036.32"/>
    <n v="13472498.562480001"/>
    <n v="170996.4"/>
    <n v="1550052.5800000019"/>
    <n v="-29039.920000000013"/>
    <n v="-2288003.0249440009"/>
    <n v="-0.8540373"/>
    <n v="-18.702290000000001"/>
    <n v="-20.125"/>
    <n v="-4.2010500000000004"/>
    <n v="-20.535160000000001"/>
    <n v="-0.62208129999999995"/>
    <n v="-6.1029410000000004"/>
    <s v="16/02/2016"/>
    <s v="#N/A N/A"/>
    <m/>
  </r>
  <r>
    <x v="7"/>
    <s v="Alrosa "/>
    <x v="112"/>
    <n v="7.7597815444053163E-3"/>
    <n v="141000"/>
    <n v="65.432836879432628"/>
    <n v="53.6"/>
    <x v="0"/>
    <n v="-0.18083942931033181"/>
    <n v="-0.45015524009774144"/>
    <n v="9226030"/>
    <n v="174454.68346696632"/>
    <n v="7557600"/>
    <n v="95922.993544718614"/>
    <n v="-1668430"/>
    <n v="-78531.689922247708"/>
    <n v="-6187370.4919320373"/>
    <n v="-2.6194139999999999"/>
    <n v="11.3157"/>
    <n v="-19.287099999999999"/>
    <n v="-13.43652"/>
    <n v="21.328469999999999"/>
    <n v="10.978429999999999"/>
    <n v="-2.4841850000000001"/>
    <s v="17/03/2016"/>
    <s v="14/07/2015"/>
    <n v="207270"/>
  </r>
  <r>
    <x v="7"/>
    <s v="Gazprom "/>
    <x v="0"/>
    <n v="1.9028315325607358E-2"/>
    <n v="139710"/>
    <n v="143.85578484002576"/>
    <n v="132.65"/>
    <x v="0"/>
    <n v="-7.7895962630123661E-2"/>
    <n v="-0.5503015415075716"/>
    <n v="20098091.699999999"/>
    <n v="523060.79485259019"/>
    <n v="18532531.5"/>
    <n v="235219.63314303409"/>
    <n v="-1565560.1999999993"/>
    <n v="-287841.16170955612"/>
    <n v="-22678487.017004851"/>
    <n v="0.38432549999999999"/>
    <n v="-2.527736"/>
    <n v="-11.88974"/>
    <n v="-5.858657"/>
    <n v="-1.7480469999999999"/>
    <n v="0.96665780000000001"/>
    <n v="1.6792609999999999"/>
    <s v="26/04/2016"/>
    <s v="15/07/2015"/>
    <n v="0"/>
  </r>
  <r>
    <x v="7"/>
    <s v="Lukoil"/>
    <x v="1"/>
    <n v="2.7909819927336085E-2"/>
    <n v="11484"/>
    <n v="2943.1408045977009"/>
    <n v="2367"/>
    <x v="0"/>
    <n v="-0.19575713254957705"/>
    <n v="-0.35571426592130284"/>
    <n v="33799029"/>
    <n v="535490.47206555924"/>
    <n v="27182628"/>
    <n v="345008.87188690691"/>
    <n v="-6616401"/>
    <n v="-190481.60017865233"/>
    <n v="-15007702.411195695"/>
    <n v="-4.1884820000000003E-2"/>
    <n v="0.89944579999999996"/>
    <n v="-22.87642"/>
    <n v="-5.709206"/>
    <n v="-5.2976190000000001"/>
    <n v="4.8319279999999996"/>
    <n v="-3.5952329999999999"/>
    <s v="17/02/2016"/>
    <s v="23/12/2015"/>
    <n v="746460"/>
  </r>
  <r>
    <x v="7"/>
    <s v="Bashneft"/>
    <x v="25"/>
    <n v="8.6840319404365689E-3"/>
    <n v="3998"/>
    <n v="1794"/>
    <n v="2115.5"/>
    <x v="0"/>
    <n v="0.17920847268673357"/>
    <n v="-0.28872951702399929"/>
    <n v="7172412"/>
    <n v="150924.53779198456"/>
    <n v="8457769"/>
    <n v="107348.16888823453"/>
    <n v="1285357"/>
    <n v="-43576.36890375003"/>
    <n v="-3433303.668462438"/>
    <n v="0.97156399999999998"/>
    <n v="6.413481"/>
    <n v="24.441179999999999"/>
    <n v="12.13158"/>
    <n v="9.116517"/>
    <n v="4.4175719999999998"/>
    <n v="6.4983750000000002"/>
    <s v="25/03/2016"/>
    <s v="16/07/2015"/>
    <n v="451774"/>
  </r>
  <r>
    <x v="7"/>
    <s v="Surgutneftegaz"/>
    <x v="50"/>
    <n v="3.4774886626137056E-3"/>
    <n v="78500"/>
    <n v="34.498535031847133"/>
    <n v="43.145000000000003"/>
    <x v="0"/>
    <n v="0.25063281557234052"/>
    <n v="-0.16897812000923118"/>
    <n v="2708135"/>
    <n v="51728.095959092549"/>
    <n v="3386882.5000000005"/>
    <n v="42987.179552267982"/>
    <n v="678747.50000000047"/>
    <n v="-8740.9164068245664"/>
    <n v="-688681.07004417537"/>
    <n v="0.31289840000000002"/>
    <n v="-2.4420540000000002"/>
    <n v="-1.5291539999999999"/>
    <n v="13.29843"/>
    <n v="0.88577729999999999"/>
    <n v="-0.58756109999999995"/>
    <n v="-2.081448"/>
    <s v="29/04/2016"/>
    <s v="15/07/2015"/>
    <n v="644485.00000000012"/>
  </r>
  <r>
    <x v="7"/>
    <s v="Gazpromneft"/>
    <x v="49"/>
    <n v="2.7114674365005353E-3"/>
    <n v="18200"/>
    <n v="176"/>
    <n v="145.1"/>
    <x v="0"/>
    <n v="-0.1755681818181819"/>
    <n v="-0.318001737425609"/>
    <n v="3203200"/>
    <n v="49146.699030168944"/>
    <n v="2640820"/>
    <n v="33517.963349841724"/>
    <n v="-562380"/>
    <n v="-15628.73568032722"/>
    <n v="-1231359.952528757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107744"/>
  </r>
  <r>
    <x v="7"/>
    <s v="Norilsk Nichel"/>
    <x v="3"/>
    <n v="9.6297845785953389E-3"/>
    <n v="1106"/>
    <n v="10870.977396021699"/>
    <n v="8480"/>
    <x v="0"/>
    <n v="-0.21994134555892753"/>
    <n v="-0.3756609042142014"/>
    <n v="12023300.999999998"/>
    <n v="190664.25001940315"/>
    <n v="9378880"/>
    <n v="119039.1454557916"/>
    <n v="-2644420.9999999981"/>
    <n v="-71625.104563611545"/>
    <n v="-5643213.0633787392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356076.7"/>
  </r>
  <r>
    <x v="7"/>
    <s v="Rusal"/>
    <x v="26"/>
    <n v="5.7078603806588919E-3"/>
    <n v="250000"/>
    <n v="4.6801599999999999"/>
    <n v="2.2000000000000002"/>
    <x v="2"/>
    <n v="-0.26968173702704901"/>
    <n v="-0.53249450974419943"/>
    <n v="7611944.0514974194"/>
    <n v="150924.53779198456"/>
    <n v="5559141.7575368825"/>
    <n v="70558.050032071842"/>
    <n v="-2052802.2939605368"/>
    <n v="-80366.487759912721"/>
    <n v="-6331930.910925556"/>
    <n v="0.877193"/>
    <n v="-7.1729909999999997"/>
    <n v="-62.962960000000002"/>
    <n v="-35.02825"/>
    <n v="-22.81879"/>
    <n v="-5.9829030000000003"/>
    <n v="3.6036039999999998"/>
    <s v="25/02/2016"/>
    <s v="27/10/2015"/>
    <n v="4000"/>
  </r>
  <r>
    <x v="7"/>
    <s v="Uralkaliy"/>
    <x v="113"/>
    <n v="1.2965209256089724E-2"/>
    <n v="76000"/>
    <n v="171.46131578947367"/>
    <n v="166.15"/>
    <x v="0"/>
    <n v="-3.0976758605976706E-2"/>
    <n v="-6.4893109520266612E-2"/>
    <n v="13031060"/>
    <n v="171392.37703871069"/>
    <n v="12627400"/>
    <n v="160270.19274459881"/>
    <n v="-403660"/>
    <n v="-11122.184294111881"/>
    <n v="-876296.88060134579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7"/>
    <s v="Dixy"/>
    <x v="27"/>
    <n v="6.1682131401522896E-3"/>
    <n v="22500"/>
    <n v="278"/>
    <n v="267"/>
    <x v="0"/>
    <n v="-3.9568345323740983E-2"/>
    <n v="-6.9899613751823741E-2"/>
    <n v="6255000"/>
    <n v="81979.030144167758"/>
    <n v="6007500"/>
    <n v="76248.727601341321"/>
    <n v="-247500"/>
    <n v="-5730.3025428264373"/>
    <n v="-451480.22280471795"/>
    <n v="-3.7313430000000002E-2"/>
    <n v="-11.88119"/>
    <n v="-36.729860000000002"/>
    <n v="-24.74719"/>
    <n v="-15.701700000000001"/>
    <n v="-8.9358839999999997"/>
    <n v="-3.424658"/>
    <s v="15/04/2016"/>
    <s v="#N/A N/A"/>
    <n v="0"/>
  </r>
  <r>
    <x v="7"/>
    <s v="Yandex"/>
    <x v="28"/>
    <n v="1.3254993691769449E-2"/>
    <n v="12821"/>
    <n v="16.395900475781922"/>
    <n v="12.78"/>
    <x v="1"/>
    <n v="3.6641523304873136E-2"/>
    <n v="-0.22053686414618712"/>
    <n v="12453325.277536001"/>
    <n v="210211.84000000003"/>
    <n v="12909634.085916001"/>
    <n v="163852.38"/>
    <n v="456308.80838000029"/>
    <n v="-46359.460000000021"/>
    <n v="-46359.460000000021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7"/>
    <s v="E.ON "/>
    <x v="114"/>
    <n v="5.7619684108917556E-3"/>
    <n v="2272000"/>
    <n v="2.5495228873239437"/>
    <n v="2.4700000000000002"/>
    <x v="0"/>
    <n v="-3.1191281992142939E-2"/>
    <n v="-0.22973412592182973"/>
    <n v="5792516"/>
    <n v="92470.550767435459"/>
    <n v="5611840"/>
    <n v="71226.909613368494"/>
    <n v="-180676"/>
    <n v="-21243.641154066965"/>
    <n v="-1673748.2479748589"/>
    <n v="-3.643564"/>
    <n v="-22.302610000000001"/>
    <n v="-6.6515459999999997"/>
    <n v="-10.91175"/>
    <n v="-22.515930000000001"/>
    <n v="-20.064720000000001"/>
    <n v="-12.701829999999999"/>
    <s v="16/03/2016"/>
    <s v="06/07/2015"/>
    <n v="630803.52386422397"/>
  </r>
  <r>
    <x v="7"/>
    <s v="Megafon "/>
    <x v="34"/>
    <n v="2.2406155331877653E-3"/>
    <n v="2462"/>
    <n v="14.119999999999997"/>
    <n v="11.25"/>
    <x v="1"/>
    <n v="0.1670828371336297"/>
    <n v="-0.20325779036827174"/>
    <n v="1869821.1472799997"/>
    <n v="34763.439999999995"/>
    <n v="2182236.1695000003"/>
    <n v="27697.500000000004"/>
    <n v="312415.02222000062"/>
    <n v="-7065.9399999999914"/>
    <n v="-7065.9399999999914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n v="1735.8897259999999"/>
  </r>
  <r>
    <x v="7"/>
    <s v="Sberbank "/>
    <x v="37"/>
    <n v="2.1131687300672206E-2"/>
    <n v="297200"/>
    <n v="47.549268336314846"/>
    <n v="69.25"/>
    <x v="0"/>
    <n v="0.45638413424569224"/>
    <n v="7.1420517838777009E-2"/>
    <n v="14131642.549552772"/>
    <n v="243807.71557075437"/>
    <n v="20581100"/>
    <n v="261220.5888699069"/>
    <n v="6449457.4504472278"/>
    <n v="17412.873299152532"/>
    <n v="1371928.9440682896"/>
    <n v="-0.3040834"/>
    <n v="-10"/>
    <n v="50.986849999999997"/>
    <n v="29.734310000000001"/>
    <n v="1.324508"/>
    <n v="-5.1914110000000004"/>
    <n v="1.3095939999999999"/>
    <s v="17/03/2016"/>
    <s v="11/06/2015"/>
    <n v="133740"/>
  </r>
  <r>
    <x v="7"/>
    <s v="VTB 6.95 10/17/22"/>
    <x v="40"/>
    <n v="0.14225502385754596"/>
    <n v="1890000"/>
    <n v="49.917715776838705"/>
    <n v="93.042000000000002"/>
    <x v="1"/>
    <n v="1.3094280826080698"/>
    <n v="0.86390740345475736"/>
    <n v="59992585.288343407"/>
    <n v="1856939.0268983999"/>
    <n v="138548561.21316001"/>
    <n v="1758493.8"/>
    <n v="78555975.924816608"/>
    <n v="-98445.22689839988"/>
    <n v="-98445.22689839988"/>
    <n v="-0.67786323204786891"/>
    <n v="-2.5135967189471335"/>
    <n v="27.195173359105013"/>
    <n v="3.1793699486726017"/>
    <n v="-4.0715091336262228"/>
    <n v="6.3450619931885832E-2"/>
    <n v="-0.94854701751610015"/>
    <n v="0"/>
    <n v="0"/>
    <n v="0"/>
  </r>
  <r>
    <x v="7"/>
    <s v="VIP 7.5043 03/01/22"/>
    <x v="115"/>
    <n v="5.6801009333414788E-2"/>
    <n v="700000"/>
    <n v="78.660388751571432"/>
    <n v="100.307"/>
    <x v="1"/>
    <n v="0.6231030061627203"/>
    <n v="0.27519074838027824"/>
    <n v="34083515.113799207"/>
    <n v="550622.72126100003"/>
    <n v="55321055.841800004"/>
    <n v="702149"/>
    <n v="21237540.728000797"/>
    <n v="151526.27873899997"/>
    <n v="151526.27873899997"/>
    <n v="-0.46637667846186676"/>
    <n v="-0.18608403463420159"/>
    <n v="12.101168065902067"/>
    <n v="-1.8743331547322222"/>
    <n v="-2.2291768822374243"/>
    <n v="0.7381607421473505"/>
    <n v="-0.2872884304126409"/>
    <n v="0"/>
    <n v="0"/>
    <n v="0"/>
  </r>
  <r>
    <x v="7"/>
    <s v="VEBBNK 5.942 11/21/23"/>
    <x v="39"/>
    <n v="0.19072465653153775"/>
    <n v="2600000"/>
    <n v="56.339035326616347"/>
    <n v="90.679000000000002"/>
    <x v="1"/>
    <n v="1.0860008545368274"/>
    <n v="0.60952347647245508"/>
    <n v="89048532.49642837"/>
    <n v="1464814.918492025"/>
    <n v="185755314.88280001"/>
    <n v="2357654"/>
    <n v="96706782.386371642"/>
    <n v="892839.081507975"/>
    <n v="892839.081507975"/>
    <n v="-1.5856299102738793"/>
    <n v="-3.3664373951078121"/>
    <n v="25.254151246763524"/>
    <n v="3.1357373826287027"/>
    <n v="-6.2458655339739941"/>
    <n v="-2.4233030547133252"/>
    <n v="-0.79426594715004895"/>
    <n v="0"/>
    <n v="0"/>
    <n v="0"/>
  </r>
  <r>
    <x v="7"/>
    <s v="SBERRU 5 1/4 05/23/23"/>
    <x v="38"/>
    <n v="0.18824665183751821"/>
    <n v="2700000"/>
    <n v="72.550370372222218"/>
    <n v="86.186000000000007"/>
    <x v="1"/>
    <n v="0.51676171366081447"/>
    <n v="0.1879470712254081"/>
    <n v="120877177.4030946"/>
    <n v="1958860.0000499999"/>
    <n v="183341874.74040005"/>
    <n v="2327022.0000000005"/>
    <n v="62464697.337305441"/>
    <n v="368161.99995000055"/>
    <n v="368161.99995000055"/>
    <n v="-3.008137751700505"/>
    <n v="0.12662676044791391"/>
    <n v="28.062401325179305"/>
    <n v="4.1044570507434797"/>
    <n v="-2.9939453113091874"/>
    <n v="1.0837171907270844"/>
    <n v="-1.9989996352909212"/>
    <n v="0"/>
    <n v="0"/>
    <n v="0"/>
  </r>
  <r>
    <x v="7"/>
    <s v="ROSNRM 4.199 03/06/22"/>
    <x v="41"/>
    <n v="0.1231245558093278"/>
    <n v="1735000"/>
    <n v="59.213726512968293"/>
    <n v="87.724000000000004"/>
    <x v="1"/>
    <n v="0.84221929998539347"/>
    <n v="0.48148081814759158"/>
    <n v="65093519.857506"/>
    <n v="1027358.1549999999"/>
    <n v="119916538.58548"/>
    <n v="1522011.4"/>
    <n v="54823018.727974005"/>
    <n v="494653.245"/>
    <n v="494653.245"/>
    <n v="-0.20249872173661818"/>
    <n v="-1.2217209190805096"/>
    <n v="22.309441214899422"/>
    <n v="4.399775731557761"/>
    <n v="-2.6046405049105661"/>
    <n v="0.89828876323043516"/>
    <n v="0.47417529834245692"/>
    <n v="0"/>
    <n v="0"/>
    <n v="0"/>
  </r>
  <r>
    <x v="7"/>
    <s v="PGILLN 5 5/8 04/29/20"/>
    <x v="16"/>
    <n v="7.6912631982438834E-2"/>
    <n v="1000000"/>
    <n v="95"/>
    <n v="95.075999999999993"/>
    <x v="1"/>
    <n v="1.5958031440852505E-3"/>
    <n v="7.9999999999991189E-4"/>
    <n v="74789320"/>
    <n v="950000"/>
    <n v="74908669.032000005"/>
    <n v="950760"/>
    <n v="119349.03200000525"/>
    <n v="760"/>
    <n v="760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7"/>
    <s v="SIBNEF 6 11/27/23"/>
    <x v="42"/>
    <n v="7.5504233519299593E-2"/>
    <n v="1000000"/>
    <n v="83.12"/>
    <n v="93.334999999999994"/>
    <x v="1"/>
    <n v="0.44039590772447412"/>
    <n v="0.12289461020211734"/>
    <n v="51053301.439999998"/>
    <n v="831200"/>
    <n v="73536966.469999999"/>
    <n v="933350"/>
    <n v="22483665.030000001"/>
    <n v="102150"/>
    <n v="102150"/>
    <n v="-0.47982475293242416"/>
    <n v="-1.2087570596147825"/>
    <n v="17.021272655548419"/>
    <n v="2.023303328307053"/>
    <n v="-4.3130137015766552"/>
    <n v="1.3068384571647975"/>
    <n v="1.0359627454819897"/>
    <n v="0"/>
    <n v="0"/>
    <n v="0"/>
  </r>
  <r>
    <x v="8"/>
    <s v="Bashneft"/>
    <x v="25"/>
    <n v="2.3722609168682447E-3"/>
    <n v="870"/>
    <n v="1800"/>
    <n v="2115.5"/>
    <x v="0"/>
    <n v="0.17527777777777787"/>
    <n v="-6.0114303636557009E-2"/>
    <n v="1566000"/>
    <n v="24853.986795327575"/>
    <n v="1840485"/>
    <n v="23359.906686534276"/>
    <n v="274485"/>
    <n v="-1494.0801087932996"/>
    <n v="0.97156399999999998"/>
    <n v="6.413481"/>
    <n v="24.441179999999999"/>
    <n v="12.13158"/>
    <n v="9.116517"/>
    <n v="4.4175719999999998"/>
    <n v="6.4983750000000002"/>
    <s v="25/03/2016"/>
    <s v="16/07/2015"/>
    <m/>
    <m/>
  </r>
  <r>
    <x v="8"/>
    <s v="Lukoil"/>
    <x v="63"/>
    <n v="4.2117142323249892E-3"/>
    <n v="1360"/>
    <n v="36.9"/>
    <n v="30.495000000000001"/>
    <x v="1"/>
    <n v="1.8685848000881355E-2"/>
    <n v="-0.17357723577235762"/>
    <n v="3207660.912"/>
    <n v="50184"/>
    <n v="3267598.7762400005"/>
    <n v="41473.200000000004"/>
    <n v="59937.86424000049"/>
    <n v="-8710.7999999999956"/>
    <n v="-3.9527559999999999"/>
    <n v="-5.2950330000000001"/>
    <n v="-33.778500000000001"/>
    <n v="-21.60669"/>
    <n v="-22.503170000000001"/>
    <n v="-1.310678"/>
    <n v="-3.1904759999999999"/>
    <s v="17/02/2016"/>
    <s v="23/12/2015"/>
    <m/>
    <m/>
  </r>
  <r>
    <x v="8"/>
    <s v="Gazpromneft"/>
    <x v="111"/>
    <n v="6.7943448901116804E-3"/>
    <n v="7304"/>
    <n v="11.36987951807229"/>
    <n v="9.16"/>
    <x v="1"/>
    <n v="-1.2000271620746572E-2"/>
    <n v="-0.19436261523789344"/>
    <n v="5335321.4639999997"/>
    <n v="83045.600000000006"/>
    <n v="5271296.1572480006"/>
    <n v="66904.639999999999"/>
    <n v="-64025.306751999073"/>
    <n v="-16140.960000000006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  <m/>
  </r>
  <r>
    <x v="8"/>
    <s v="Gazprom"/>
    <x v="110"/>
    <n v="7.7651280004349416E-3"/>
    <n v="22890"/>
    <n v="4.3684696570554831"/>
    <n v="3.3405"/>
    <x v="1"/>
    <n v="-5.0658288821477715E-2"/>
    <n v="-0.23531573703281117"/>
    <n v="6345938.8746231003"/>
    <n v="99994.270450000011"/>
    <n v="6024464.4702690002"/>
    <n v="76464.044999999998"/>
    <n v="-321474.40435410012"/>
    <n v="-23530.225450000013"/>
    <n v="-0.87537089999999995"/>
    <n v="-9.5328400000000002"/>
    <n v="-26.935700000000001"/>
    <n v="-22.8611"/>
    <n v="-20.179210000000001"/>
    <n v="-1.46018"/>
    <n v="1.3808800000000001"/>
    <s v="26/04/2016"/>
    <s v="15/07/2015"/>
    <m/>
    <m/>
  </r>
  <r>
    <x v="8"/>
    <s v="GMKN"/>
    <x v="66"/>
    <n v="3.7646874990718035E-3"/>
    <n v="3364"/>
    <n v="14.875"/>
    <n v="11.02"/>
    <x v="1"/>
    <n v="-9.3312219479926295E-2"/>
    <n v="-0.25915966386554623"/>
    <n v="3221372.8756999997"/>
    <n v="50039.5"/>
    <n v="2920779.4228960001"/>
    <n v="37071.279999999999"/>
    <n v="-300593.45280399965"/>
    <n v="-12968.220000000001"/>
    <n v="-3.1634449999999998"/>
    <n v="-12.98855"/>
    <n v="-36.374130000000001"/>
    <n v="-29.69697"/>
    <n v="-24.906300000000002"/>
    <n v="-2.3914970000000002"/>
    <n v="-2.4778760000000002"/>
    <s v="29/03/2016"/>
    <s v="29/12/2015"/>
    <m/>
    <m/>
  </r>
  <r>
    <x v="8"/>
    <s v="Rusal"/>
    <x v="4"/>
    <n v="3.6787228903902526E-3"/>
    <n v="12350"/>
    <n v="259"/>
    <n v="231.1"/>
    <x v="0"/>
    <n v="-0.1077220077220078"/>
    <n v="-0.26190197140529814"/>
    <n v="3198650"/>
    <n v="49078.545004840882"/>
    <n v="2854085"/>
    <n v="36224.777314369407"/>
    <n v="-344565"/>
    <n v="-12853.767690471475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  <m/>
  </r>
  <r>
    <x v="8"/>
    <s v="NLMK"/>
    <x v="116"/>
    <n v="4.1037434325842427E-3"/>
    <n v="4500"/>
    <n v="11.2"/>
    <n v="8.98"/>
    <x v="1"/>
    <n v="-1.8723368206992608E-2"/>
    <n v="-0.19821428571428568"/>
    <n v="3244580.6399999997"/>
    <n v="50400"/>
    <n v="3183831.162"/>
    <n v="40410"/>
    <n v="-60749.477999999654"/>
    <n v="-9990"/>
    <n v="-0.6637168"/>
    <n v="5.5229109999999997"/>
    <n v="-34.785769999999999"/>
    <n v="-27.580639999999999"/>
    <n v="-26.69388"/>
    <n v="15.1282"/>
    <n v="4.4186050000000003"/>
    <s v="25/03/2016"/>
    <s v="07/01/2016"/>
    <m/>
    <m/>
  </r>
  <r>
    <x v="8"/>
    <s v="Uralkaliy"/>
    <x v="5"/>
    <n v="4.3687851230997492E-3"/>
    <n v="20400"/>
    <n v="155.6"/>
    <n v="166.15"/>
    <x v="0"/>
    <n v="6.7802056555269941E-2"/>
    <n v="-0.11670734939827532"/>
    <n v="3174240"/>
    <n v="48704.009721653238"/>
    <n v="3389460"/>
    <n v="43019.893841971258"/>
    <n v="215220"/>
    <n v="-5684.11587968198"/>
    <n v="-0.6209344"/>
    <n v="-6.1299440000000001"/>
    <n v="-6.6310750000000001"/>
    <n v="-8.519323"/>
    <n v="7.3458940000000004"/>
    <n v="-7.6944439999999998"/>
    <n v="-0.26706229999999997"/>
    <s v="04/03/2016"/>
    <s v="19/06/2015"/>
    <m/>
    <m/>
  </r>
  <r>
    <x v="8"/>
    <s v="Etalon"/>
    <x v="55"/>
    <n v="4.1453800276686163E-3"/>
    <n v="26000"/>
    <n v="1.915"/>
    <n v="1.57"/>
    <x v="1"/>
    <n v="1.0575756454275664E-2"/>
    <n v="-0.18015665796344649"/>
    <n v="3182477.2199999997"/>
    <n v="49790"/>
    <n v="3216134.324"/>
    <n v="40820"/>
    <n v="33657.104000000283"/>
    <n v="-8970"/>
    <n v="0"/>
    <n v="-12.2905"/>
    <n v="-23.414629999999999"/>
    <n v="-18.181819999999998"/>
    <n v="-20.725390000000001"/>
    <n v="-7.3746340000000004"/>
    <n v="2"/>
    <s v="22/03/2016"/>
    <s v="19/11/2015"/>
    <m/>
    <m/>
  </r>
  <r>
    <x v="8"/>
    <s v="Megafon"/>
    <x v="6"/>
    <n v="4.2795652160287218E-3"/>
    <n v="3920"/>
    <n v="800"/>
    <n v="847"/>
    <x v="0"/>
    <n v="5.875000000000008E-2"/>
    <n v="-0.1241952681365992"/>
    <n v="3136000"/>
    <n v="48117.273579535431"/>
    <n v="3320240"/>
    <n v="42141.335885322929"/>
    <n v="184240"/>
    <n v="-5975.9376942125018"/>
    <n v="-0.69767440000000003"/>
    <n v="-0.35294120000000001"/>
    <n v="-16.96078"/>
    <n v="3.5151520000000001"/>
    <n v="1.6666669999999999"/>
    <n v="2.6666669999999999"/>
    <n v="-1.612903"/>
    <s v="17/03/2016"/>
    <s v="21/12/2015"/>
    <m/>
    <m/>
  </r>
  <r>
    <x v="8"/>
    <s v="Megafon"/>
    <x v="34"/>
    <n v="4.5698701921873522E-3"/>
    <n v="4000"/>
    <n v="12.5"/>
    <n v="11.25"/>
    <x v="1"/>
    <n v="0.10938045620951842"/>
    <n v="-9.9999999999999978E-2"/>
    <n v="3195900"/>
    <n v="50000"/>
    <n v="3545469"/>
    <n v="45000"/>
    <n v="349569"/>
    <n v="-5000"/>
    <n v="-0.88105730000000004"/>
    <n v="-3.4334730000000002"/>
    <n v="-35.970399999999998"/>
    <n v="-15.094340000000001"/>
    <n v="-16.66667"/>
    <n v="-0.44247959999999997"/>
    <n v="-1.3157890000000001"/>
    <s v="17/03/2016"/>
    <s v="21/12/2015"/>
    <m/>
    <m/>
  </r>
  <r>
    <x v="8"/>
    <s v="MTS"/>
    <x v="8"/>
    <n v="4.4483251471585912E-3"/>
    <n v="15150"/>
    <n v="211.48376200000001"/>
    <n v="227.8"/>
    <x v="0"/>
    <n v="7.7151256652981282E-2"/>
    <n v="-0.12973650746243515"/>
    <n v="3203978.9943000004"/>
    <n v="50333.18452637169"/>
    <n v="3451170"/>
    <n v="43803.132956457943"/>
    <n v="247191.00569999963"/>
    <n v="-6530.0515699137468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  <m/>
  </r>
  <r>
    <x v="8"/>
    <s v="Qiwi"/>
    <x v="30"/>
    <n v="3.7929922595155026E-3"/>
    <n v="3000"/>
    <n v="16.929915999999999"/>
    <n v="12.45"/>
    <x v="1"/>
    <n v="-9.4053437081875968E-2"/>
    <n v="-0.26461537080278486"/>
    <n v="3248248.1753903995"/>
    <n v="50789.747999999992"/>
    <n v="2942739.27"/>
    <n v="37350"/>
    <n v="-305508.90539039951"/>
    <n v="-13439.747999999992"/>
    <n v="-3.79257"/>
    <n v="-30.64067"/>
    <n v="-45.105820000000001"/>
    <n v="-57.270539999999997"/>
    <n v="-30.94444"/>
    <n v="-21.99248"/>
    <n v="-3.493789"/>
    <s v="10/03/2016"/>
    <s v="21/05/2015"/>
    <m/>
    <m/>
  </r>
  <r>
    <x v="8"/>
    <s v="Yandex"/>
    <x v="29"/>
    <n v="4.8245452074796953E-3"/>
    <n v="3730"/>
    <n v="875.58820300000002"/>
    <n v="1003.5"/>
    <x v="0"/>
    <n v="0.14608670669812573"/>
    <n v="-5.1949789041832339E-2"/>
    <n v="3265943.99719"/>
    <n v="50111.071686298703"/>
    <n v="3743055"/>
    <n v="47507.812083535347"/>
    <n v="477111.00280999998"/>
    <n v="-2603.2596027633554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m/>
    <m/>
  </r>
  <r>
    <x v="8"/>
    <s v="EDCLLI 4 7/8 04/17/20"/>
    <x v="19"/>
    <n v="4.5564144632881338E-2"/>
    <n v="500000"/>
    <n v="88.625"/>
    <n v="89.734999999999999"/>
    <x v="1"/>
    <n v="0.26610902110355061"/>
    <n v="1.2524682651622099E-2"/>
    <n v="27920420"/>
    <n v="443125"/>
    <n v="35350295.634999998"/>
    <n v="448674.99999999994"/>
    <n v="7429875.6349999979"/>
    <n v="5549.9999999999418"/>
    <n v="437274.50999999541"/>
    <n v="-0.4824200707316052"/>
    <n v="1.5480929362114486"/>
    <n v="14.293173667963091"/>
    <n v="0.78960636361034353"/>
    <n v="-1.7826487483725128E-2"/>
    <n v="2.956702716296685"/>
    <n v="0.45787745736149082"/>
    <n v="0"/>
    <m/>
    <m/>
  </r>
  <r>
    <x v="8"/>
    <s v="EVRAZ 6 1/2 04/22/20"/>
    <x v="117"/>
    <n v="4.62841530698282E-2"/>
    <n v="500000"/>
    <n v="97.25"/>
    <n v="91.153000000000006"/>
    <x v="1"/>
    <n v="0.13309805126312102"/>
    <n v="-6.2694087403598941E-2"/>
    <n v="31690906.124999996"/>
    <n v="486250"/>
    <n v="35908903.973000005"/>
    <n v="455765.00000000006"/>
    <n v="4217997.8480000086"/>
    <n v="-30484.999999999942"/>
    <n v="-2401858.2769999956"/>
    <n v="-0.21346890316803652"/>
    <n v="-3.2633579506571739"/>
    <n v="16.159903988942869"/>
    <n v="0.14501738220440097"/>
    <n v="-6.0491465665917055"/>
    <n v="-1.8762956998012021"/>
    <n v="-0.69505764581010621"/>
    <n v="0"/>
    <m/>
    <m/>
  </r>
  <r>
    <x v="8"/>
    <s v="METINR 5 5/8 04/17/20"/>
    <x v="106"/>
    <n v="4.8377153617849993E-2"/>
    <n v="500000"/>
    <n v="95.399999999999991"/>
    <n v="95.275000000000006"/>
    <x v="1"/>
    <n v="0.20730422031642859"/>
    <n v="-1.3102725366874735E-3"/>
    <n v="31088045.699999999"/>
    <n v="476999.99999999994"/>
    <n v="37532728.774999999"/>
    <n v="476374.99999999994"/>
    <n v="6444683.0749999993"/>
    <n v="-625"/>
    <n v="-49242.625"/>
    <n v="-0.2105219418214245"/>
    <n v="-1.2643170235312933"/>
    <n v="20.572271713395295"/>
    <n v="1.7026042801326735"/>
    <n v="-1.0068193993544396"/>
    <n v="-0.33474681376311993"/>
    <n v="1.4816127078775159"/>
    <n v="0"/>
    <m/>
    <m/>
  </r>
  <r>
    <x v="8"/>
    <s v="PGILLN 5 5/8 04/29/20"/>
    <x v="16"/>
    <n v="9.6552217420534381E-2"/>
    <n v="1000000"/>
    <n v="97.224999999999994"/>
    <n v="95.075999999999993"/>
    <x v="1"/>
    <n v="0.13598862700345649"/>
    <n v="-2.2103368475186458E-2"/>
    <n v="65941389.949999988"/>
    <n v="972250"/>
    <n v="74908669.032000005"/>
    <n v="950760"/>
    <n v="8967279.0820000172"/>
    <n v="-21490"/>
    <n v="-1693158.4180000001"/>
    <n v="-1.6305926626241123"/>
    <n v="-1.3601429897028137"/>
    <n v="8.4574812572356102"/>
    <n v="9.7910456968451201E-2"/>
    <n v="-2.9222604470071958"/>
    <n v="-1.0161182830955591"/>
    <n v="-1.5980156310196934"/>
    <n v="0"/>
    <m/>
    <m/>
  </r>
  <r>
    <x v="8"/>
    <s v="ALRSRU 7 3/4 11/03/20"/>
    <x v="92"/>
    <n v="0.10795556684010589"/>
    <n v="1000000"/>
    <n v="106.515"/>
    <n v="106.30500000000001"/>
    <x v="1"/>
    <n v="0.15916629125564064"/>
    <n v="-1.9715533023517695E-3"/>
    <n v="72255203.280000001"/>
    <n v="1065150"/>
    <n v="83755796.010000005"/>
    <n v="1063050"/>
    <n v="11500592.730000004"/>
    <n v="-2100"/>
    <n v="-165455.22"/>
    <n v="-0.12777208939438206"/>
    <n v="0.6314011138375808"/>
    <n v="14.146894808480736"/>
    <n v="1.2968819110126983"/>
    <n v="-0.57240646290359054"/>
    <n v="1.1985248452110882"/>
    <n v="0.75443544549982866"/>
    <n v="0"/>
    <m/>
    <m/>
  </r>
  <r>
    <x v="8"/>
    <s v="LUKOIL 6 1/8 11/09/20"/>
    <x v="118"/>
    <n v="5.1983288962840504E-2"/>
    <n v="500000"/>
    <n v="102"/>
    <n v="102.377"/>
    <x v="1"/>
    <n v="0.11046775879396042"/>
    <n v="3.6960784313724293E-3"/>
    <n v="36318477"/>
    <n v="510000"/>
    <n v="40330497.756999999"/>
    <n v="511884.99999999994"/>
    <n v="4012020.7569999993"/>
    <n v="1884.9999999999418"/>
    <n v="148515.75699999541"/>
    <n v="-9.7580313679452635E-2"/>
    <n v="0.25363187075497812"/>
    <n v="11.520568631347272"/>
    <n v="0.86801231936414636"/>
    <n v="-1.4591914514473114"/>
    <n v="1.2020411520150791"/>
    <n v="0.31748071270279177"/>
    <n v="0"/>
    <m/>
    <m/>
  </r>
  <r>
    <x v="8"/>
    <s v="GAZPRU 3.85 02/06/20"/>
    <x v="119"/>
    <n v="9.4978151021003168E-2"/>
    <n v="1000000"/>
    <n v="93.5"/>
    <n v="93.525999999999996"/>
    <x v="1"/>
    <n v="0.11387814518107131"/>
    <n v="2.7807486631004075E-4"/>
    <n v="66153961.5"/>
    <n v="935000"/>
    <n v="73687451.931999996"/>
    <n v="935259.99999999988"/>
    <n v="7533490.4319999963"/>
    <n v="259.99999999988358"/>
    <n v="20484.931999990829"/>
    <n v="-0.26234181365636916"/>
    <n v="0.42305136774823349"/>
    <n v="13.667964739363628"/>
    <n v="1.0272785126738979"/>
    <n v="-1.301198461995783"/>
    <n v="2.0613932592875934"/>
    <n v="0.14669828472806221"/>
    <n v="0"/>
    <m/>
    <m/>
  </r>
  <r>
    <x v="8"/>
    <s v="VEBBNK 6.902 07/09/20"/>
    <x v="44"/>
    <n v="5.0181236817054629E-2"/>
    <n v="500000"/>
    <n v="99.625"/>
    <n v="98.828000000000003"/>
    <x v="1"/>
    <n v="0.11732347500393137"/>
    <n v="-8.0000000000000071E-3"/>
    <n v="34844341.875"/>
    <n v="498125"/>
    <n v="38932401.148000002"/>
    <n v="494140"/>
    <n v="4088059.2730000019"/>
    <n v="-3985"/>
    <n v="-313970.97700000001"/>
    <n v="-0.86468293740176916"/>
    <n v="-2.7981830164792889"/>
    <n v="23.420839584052498"/>
    <n v="0.87474795882489986"/>
    <n v="-4.0979732364479959"/>
    <n v="-1.8843178165597356"/>
    <n v="-0.41917222409711796"/>
    <n v="0"/>
    <m/>
    <m/>
  </r>
  <r>
    <x v="8"/>
    <s v="GPBRU 4.96 09/05/19"/>
    <x v="18"/>
    <n v="4.8647791485898428E-2"/>
    <n v="500000"/>
    <n v="96.28"/>
    <n v="95.808000000000007"/>
    <x v="1"/>
    <n v="0.10095462245091436"/>
    <n v="-4.9023680930618818E-3"/>
    <n v="34281793.780000001"/>
    <n v="481400"/>
    <n v="37742699.328000002"/>
    <n v="479040"/>
    <n v="3460905.5480000004"/>
    <n v="-2360"/>
    <n v="-185940.152"/>
    <n v="-0.20831933601827826"/>
    <n v="-0.78495731130805801"/>
    <n v="20.37390258680675"/>
    <n v="0.61117981210855676"/>
    <n v="-2.5469897368839636"/>
    <n v="0.56787945320977162"/>
    <n v="0.68625004369734399"/>
    <n v="0"/>
    <m/>
    <m/>
  </r>
  <r>
    <x v="8"/>
    <s v="AFKSRU 6.95 05/17/19"/>
    <x v="120"/>
    <n v="5.1653242782293649E-2"/>
    <n v="500000"/>
    <n v="99.78"/>
    <n v="101.727"/>
    <x v="1"/>
    <n v="5.6155484259607702E-2"/>
    <n v="1.9512928442573685E-2"/>
    <n v="37943689.829999998"/>
    <n v="498900"/>
    <n v="40074436.107000001"/>
    <n v="508635"/>
    <n v="2130746.2770000026"/>
    <n v="9735"/>
    <n v="767003.12699999998"/>
    <n v="-0.20699202722386156"/>
    <n v="0.28984782730022873"/>
    <n v="41.336578196075081"/>
    <n v="3.7109933925041139"/>
    <n v="0.89962339607341579"/>
    <n v="0.53167537318919222"/>
    <n v="0.8706095103219168"/>
    <n v="0"/>
    <m/>
    <m/>
  </r>
  <r>
    <x v="8"/>
    <s v="UUUCN 6 1/4 12/13/18"/>
    <x v="121"/>
    <n v="4.7001114926646916E-2"/>
    <n v="510000"/>
    <n v="91.4"/>
    <n v="90.75"/>
    <x v="1"/>
    <n v="-6.3776191570726892E-3"/>
    <n v="-7.1115973741795457E-3"/>
    <n v="36699202.200000003"/>
    <n v="466140"/>
    <n v="36465148.664999999"/>
    <n v="462824.99999999994"/>
    <n v="-234053.53500000387"/>
    <n v="-3315.0000000000582"/>
    <n v="-261182.8830000046"/>
    <n v="-0.54794520547945202"/>
    <n v="-2.9411764705882351"/>
    <n v="37.5"/>
    <n v="-0.27472527472527475"/>
    <n v="-1.0899182561307901"/>
    <n v="-1.6260162601626018"/>
    <n v="0.41493775933609961"/>
    <n v="0"/>
    <m/>
    <m/>
  </r>
  <r>
    <x v="8"/>
    <s v="DMEAIR 6 11/26/18"/>
    <x v="96"/>
    <n v="5.0347275434037442E-2"/>
    <n v="500000"/>
    <n v="93.655000000000001"/>
    <n v="99.155000000000001"/>
    <x v="1"/>
    <n v="0.32388156565438142"/>
    <n v="5.8726175858202945E-2"/>
    <n v="29505071.200000003"/>
    <n v="468275"/>
    <n v="39061219.855000004"/>
    <n v="495775.00000000006"/>
    <n v="9556148.6550000012"/>
    <n v="27500.000000000058"/>
    <n v="2166675.5000000047"/>
    <n v="-0.22539752632543719"/>
    <n v="0.66191045841971119"/>
    <n v="27.03384697069427"/>
    <n v="4.7873183619550872"/>
    <n v="3.3973916997867533"/>
    <n v="1.1403831280944789"/>
    <n v="-8.3636271660201336E-2"/>
    <n v="0"/>
    <m/>
    <m/>
  </r>
  <r>
    <x v="8"/>
    <s v="SIBUR 3.914 01/31/18"/>
    <x v="122"/>
    <n v="3.9750558879722467E-2"/>
    <n v="400000"/>
    <n v="97.75"/>
    <n v="97.856999999999999"/>
    <x v="1"/>
    <n v="0.22175149454943321"/>
    <n v="1.0946291560103294E-3"/>
    <n v="25242373.499999996"/>
    <n v="391000"/>
    <n v="30839907.549600001"/>
    <n v="391428"/>
    <n v="5597534.0496000051"/>
    <n v="428"/>
    <n v="33721.349600000001"/>
    <n v="-0.21617457464933437"/>
    <n v="0.51667496187222528"/>
    <n v="15.083912969396735"/>
    <n v="3.5085667996094432"/>
    <n v="0.40734754694923175"/>
    <n v="1.293899730329138"/>
    <n v="-6.9444012906357003E-2"/>
    <n v="0"/>
    <m/>
    <m/>
  </r>
  <r>
    <x v="9"/>
    <s v="SBERRU 5 1/4 05/23/23"/>
    <x v="38"/>
    <n v="0.18118734953098217"/>
    <n v="210000"/>
    <n v="70.545730000000006"/>
    <n v="86.186000000000007"/>
    <x v="1"/>
    <n v="0.22170399257332796"/>
    <n v="0.22170399257332796"/>
    <n v="148146.033"/>
    <n v="148146.033"/>
    <n v="180990.6"/>
    <n v="180990.6"/>
    <n v="32844.56700000001"/>
    <n v="32844.56700000001"/>
    <n v="2587764.3137094011"/>
    <n v="-3.008137751700505"/>
    <n v="0.12662676044791391"/>
    <n v="28.062401325179305"/>
    <n v="4.1044570507434797"/>
    <n v="-2.9939453113091874"/>
    <n v="1.0837171907270844"/>
    <n v="-1.9989996352909212"/>
    <n v="0"/>
    <n v="0"/>
    <m/>
  </r>
  <r>
    <x v="9"/>
    <s v="VEBBNK 5.942 11/21/23"/>
    <x v="39"/>
    <n v="0.18155514892066144"/>
    <n v="200000"/>
    <n v="74.042280000000005"/>
    <n v="90.679000000000002"/>
    <x v="1"/>
    <n v="0.22469216236993228"/>
    <n v="0.22469216236993228"/>
    <n v="148084.56000000003"/>
    <n v="148084.56000000003"/>
    <n v="181358"/>
    <n v="181358"/>
    <n v="33273.439999999973"/>
    <n v="33273.439999999973"/>
    <n v="2621554.4454079978"/>
    <n v="-1.5856299102738793"/>
    <n v="-3.3664373951078121"/>
    <n v="25.254151246763524"/>
    <n v="3.1357373826287027"/>
    <n v="-6.2458655339739941"/>
    <n v="-2.4233030547133252"/>
    <n v="-0.79426594715004895"/>
    <n v="0"/>
    <n v="0"/>
    <m/>
  </r>
  <r>
    <x v="9"/>
    <s v="VTB 6.95 10/17/22"/>
    <x v="40"/>
    <n v="0.19560060073633356"/>
    <n v="210000"/>
    <n v="88.117509999999996"/>
    <n v="93.042000000000002"/>
    <x v="1"/>
    <n v="5.5885487458735561E-2"/>
    <n v="5.5885487458735561E-2"/>
    <n v="185046.77099999998"/>
    <n v="185046.77099999998"/>
    <n v="195388.2"/>
    <n v="195388.2"/>
    <n v="10341.429000000033"/>
    <n v="10341.429000000033"/>
    <n v="814782.57633780257"/>
    <n v="-0.67786323204786891"/>
    <n v="-2.5135967189471335"/>
    <n v="27.195173359105013"/>
    <n v="3.1793699486726017"/>
    <n v="-4.0715091336262228"/>
    <n v="6.3450619931885832E-2"/>
    <n v="-0.94854701751610015"/>
    <n v="0"/>
    <n v="0"/>
    <m/>
  </r>
  <r>
    <x v="9"/>
    <s v="ROSNRM 4.199 03/06/22"/>
    <x v="41"/>
    <n v="0.17563872433436742"/>
    <n v="200000"/>
    <n v="81.147670000000005"/>
    <n v="87.724000000000004"/>
    <x v="1"/>
    <n v="8.1041513576421753E-2"/>
    <n v="8.1041513576421753E-2"/>
    <n v="162295.34000000003"/>
    <n v="162295.34000000003"/>
    <n v="175448"/>
    <n v="175448"/>
    <n v="13152.659999999974"/>
    <n v="13152.659999999974"/>
    <n v="1036274.406611998"/>
    <n v="-0.20249872173661818"/>
    <n v="-1.2217209190805096"/>
    <n v="22.309441214899422"/>
    <n v="4.399775731557761"/>
    <n v="-2.6046405049105661"/>
    <n v="0.89828876323043516"/>
    <n v="0.47417529834245692"/>
    <n v="0"/>
    <n v="0"/>
    <m/>
  </r>
  <r>
    <x v="9"/>
    <s v="SIBNEF 6 11/27/23"/>
    <x v="42"/>
    <n v="0.19621656961077463"/>
    <n v="210000"/>
    <n v="84.464290000000005"/>
    <n v="93.334999999999994"/>
    <x v="1"/>
    <n v="0.10502319974512297"/>
    <n v="0.10502319974512297"/>
    <n v="177375.00900000002"/>
    <n v="177375.00900000002"/>
    <n v="196003.5"/>
    <n v="196003.5"/>
    <n v="18628.49099999998"/>
    <n v="18628.49099999998"/>
    <n v="1467705.2746061985"/>
    <n v="-0.47982475293242416"/>
    <n v="-1.2087570596147825"/>
    <n v="17.021272655548419"/>
    <n v="2.023303328307053"/>
    <n v="-4.3130137015766552"/>
    <n v="1.3068384571647975"/>
    <n v="1.0359627454819897"/>
    <n v="0"/>
    <n v="0"/>
    <m/>
  </r>
  <r>
    <x v="10"/>
    <s v="Alrosa"/>
    <x v="2"/>
    <n v="1.5981959656253965E-2"/>
    <n v="98400"/>
    <n v="53.858066158536587"/>
    <n v="62.27"/>
    <x v="0"/>
    <n v="0.15618707542714305"/>
    <n v="1.0992089399154414E-2"/>
    <n v="5299633.71"/>
    <n v="76924.561282582232"/>
    <n v="6127368"/>
    <n v="77770.122937191103"/>
    <n v="827734.29"/>
    <n v="845.56165460887132"/>
    <n v="66620.280755654676"/>
    <n v="-2.6194139999999999"/>
    <n v="11.3157"/>
    <n v="-19.287099999999999"/>
    <n v="-13.43652"/>
    <n v="21.328469999999999"/>
    <n v="10.978429999999999"/>
    <n v="-2.4841850000000001"/>
    <s v="17/03/2016"/>
    <s v="14/07/2015"/>
    <n v="144648"/>
  </r>
  <r>
    <x v="10"/>
    <s v="Polymetal"/>
    <x v="60"/>
    <n v="4.553951993006735E-2"/>
    <n v="25240"/>
    <n v="4.7320000000000002"/>
    <n v="6.04"/>
    <x v="3"/>
    <n v="1.0106757226873508"/>
    <n v="0.16119505026284053"/>
    <n v="8683410.8120018579"/>
    <n v="190838.51460599998"/>
    <n v="17459523.309812993"/>
    <n v="221600.73856"/>
    <n v="8776112.4978111349"/>
    <n v="30762.223954000016"/>
    <n v="2423700.2533325441"/>
    <n v="0.81967210000000001"/>
    <n v="3.336185"/>
    <n v="6.4549950000000003"/>
    <n v="47.027419999999999"/>
    <n v="12.49668"/>
    <n v="5.964912"/>
    <n v="4.2372880000000004"/>
    <s v="29/03/2016"/>
    <s v="10/12/2015"/>
    <n v="7572"/>
  </r>
  <r>
    <x v="10"/>
    <s v="High Gold Minimg"/>
    <x v="47"/>
    <n v="4.6548703879992707E-2"/>
    <n v="252353"/>
    <n v="0.32"/>
    <n v="0.61750000000000005"/>
    <x v="3"/>
    <n v="1.3344574098778832"/>
    <n v="0.81662637386504988"/>
    <n v="7644790.2103612367"/>
    <n v="124688.0213525"/>
    <n v="17846437.153539691"/>
    <n v="226511.548094"/>
    <n v="10201646.943178454"/>
    <n v="101823.5267415"/>
    <n v="8022492.38961465"/>
    <n v="0"/>
    <n v="8.3333329999999997"/>
    <n v="58.333329999999997"/>
    <n v="32.960889999999999"/>
    <n v="19"/>
    <n v="8.3333329999999997"/>
    <n v="6.7264569999999999"/>
    <s v="20/04/2016"/>
    <s v="01/10/2015"/>
    <n v="7336.4064160000007"/>
  </r>
  <r>
    <x v="10"/>
    <s v="Gazprom"/>
    <x v="0"/>
    <n v="6.2278167512115463E-2"/>
    <n v="180000"/>
    <n v="135.24"/>
    <n v="132.65"/>
    <x v="0"/>
    <n v="-1.9151138716356098E-2"/>
    <n v="-0.58626752735508325"/>
    <n v="24343200"/>
    <n v="732485.3988571841"/>
    <n v="23877000"/>
    <n v="303052.99524548091"/>
    <n v="-466200"/>
    <n v="-429432.40361170319"/>
    <n v="-33834206.102239594"/>
    <n v="0.38432549999999999"/>
    <n v="-2.527736"/>
    <n v="-11.88974"/>
    <n v="-5.858657"/>
    <n v="-1.7480469999999999"/>
    <n v="0.96665780000000001"/>
    <n v="1.6792609999999999"/>
    <s v="26/04/2016"/>
    <s v="15/07/2015"/>
    <n v="1296000"/>
  </r>
  <r>
    <x v="10"/>
    <s v="Lukoil"/>
    <x v="1"/>
    <n v="7.7481505314309793E-2"/>
    <n v="12550"/>
    <n v="1990"/>
    <n v="2367"/>
    <x v="0"/>
    <n v="0.18944723618090453"/>
    <n v="-0.49827851616022045"/>
    <n v="24974500"/>
    <n v="751481.17723876669"/>
    <n v="29705850"/>
    <n v="377034.25132189842"/>
    <n v="4731350"/>
    <n v="-374446.92591686826"/>
    <n v="-29501999.288523402"/>
    <n v="-4.1884820000000003E-2"/>
    <n v="0.89944579999999996"/>
    <n v="-22.87642"/>
    <n v="-5.709206"/>
    <n v="-5.2976190000000001"/>
    <n v="4.8319279999999996"/>
    <n v="-3.5952329999999999"/>
    <s v="17/02/2016"/>
    <s v="23/12/2015"/>
    <n v="815750"/>
  </r>
  <r>
    <x v="10"/>
    <s v="Gazpromneft"/>
    <x v="49"/>
    <n v="2.6912507072003416E-2"/>
    <n v="71110"/>
    <n v="142.9251933623963"/>
    <n v="145.1"/>
    <x v="0"/>
    <n v="1.5216398078184312E-2"/>
    <n v="-0.49757511158785617"/>
    <n v="10163410.5"/>
    <n v="260654.82444986462"/>
    <n v="10318061"/>
    <n v="130959.47108831018"/>
    <n v="154650.5"/>
    <n v="-129695.35336155444"/>
    <n v="-10218463.439720824"/>
    <n v="0.27472530000000001"/>
    <n v="-5.7486179999999996"/>
    <n v="-17.556819999999998"/>
    <n v="4.809761"/>
    <n v="0.55096630000000002"/>
    <n v="-4.7275130000000001"/>
    <n v="0.79392470000000004"/>
    <s v="25/02/2016"/>
    <s v="15/10/2015"/>
    <n v="420971.2"/>
  </r>
  <r>
    <x v="10"/>
    <s v="Bashneft"/>
    <x v="25"/>
    <n v="5.4516258244929304E-2"/>
    <n v="9880"/>
    <n v="1220.0426113360325"/>
    <n v="2115.5"/>
    <x v="0"/>
    <n v="0.73395583100444228"/>
    <n v="-7.961037945217897E-2"/>
    <n v="12054021"/>
    <n v="288228.6072557763"/>
    <n v="20901140"/>
    <n v="265282.61846317089"/>
    <n v="8847119"/>
    <n v="-22945.988792605407"/>
    <n v="-1807873.1541895533"/>
    <n v="0.97156399999999998"/>
    <n v="6.413481"/>
    <n v="24.441179999999999"/>
    <n v="12.13158"/>
    <n v="9.116517"/>
    <n v="4.4175719999999998"/>
    <n v="6.4983750000000002"/>
    <s v="25/03/2016"/>
    <s v="16/07/2015"/>
    <n v="1116440"/>
  </r>
  <r>
    <x v="10"/>
    <s v="Bashneft pref"/>
    <x v="48"/>
    <n v="2.582416890329408E-2"/>
    <n v="5600"/>
    <n v="853.6"/>
    <n v="1768"/>
    <x v="0"/>
    <n v="1.071227741330834"/>
    <n v="5.9052906423481266E-2"/>
    <n v="4780160"/>
    <n v="118656.47779958817"/>
    <n v="9900800"/>
    <n v="125663.48767962714"/>
    <n v="5120640"/>
    <n v="7007.0098800389678"/>
    <n v="552069.69583048625"/>
    <n v="-0.45146730000000002"/>
    <n v="3.090379"/>
    <n v="39.76285"/>
    <n v="30.1845"/>
    <n v="6.5539110000000003"/>
    <n v="2.5522040000000001"/>
    <n v="-8.4961770000000006E-2"/>
    <s v="25/03/2016"/>
    <s v="16/07/2015"/>
    <n v="632800"/>
  </r>
  <r>
    <x v="10"/>
    <s v="Surgut preff"/>
    <x v="50"/>
    <n v="2.7964878210059475E-3"/>
    <n v="24850"/>
    <n v="38.292099999999998"/>
    <n v="43.145000000000003"/>
    <x v="0"/>
    <n v="0.12673371269791955"/>
    <n v="-0.19324652319547497"/>
    <n v="951558.68499999994"/>
    <n v="16867.660139825428"/>
    <n v="1072153.25"/>
    <n v="13608.043463361264"/>
    <n v="120594.56500000006"/>
    <n v="-3259.6166764641639"/>
    <n v="-256819.33062859386"/>
    <n v="0.31289840000000002"/>
    <n v="-2.4420540000000002"/>
    <n v="-1.5291539999999999"/>
    <n v="13.29843"/>
    <n v="0.88577729999999999"/>
    <n v="-0.58756109999999995"/>
    <n v="-2.081448"/>
    <s v="29/04/2016"/>
    <s v="15/07/2015"/>
    <n v="204018.50000000003"/>
  </r>
  <r>
    <x v="10"/>
    <s v="Kazmunaigaz"/>
    <x v="51"/>
    <n v="1.602919998203662E-2"/>
    <n v="12000"/>
    <n v="10.4175"/>
    <n v="6.5"/>
    <x v="1"/>
    <n v="-9.3900980010627189E-2"/>
    <n v="-0.37604991600671944"/>
    <n v="6782348.7990000006"/>
    <n v="125010"/>
    <n v="6145479.6000000006"/>
    <n v="78000"/>
    <n v="-636869.19900000002"/>
    <n v="-47010"/>
    <n v="-3703833.2820000001"/>
    <n v="0"/>
    <n v="-12.634410000000001"/>
    <n v="-44.68085"/>
    <n v="-17.493469999999999"/>
    <n v="-10.481590000000001"/>
    <n v="-5.2478150000000001"/>
    <n v="-2.015504"/>
    <s v="09/03/2016"/>
    <s v="29/05/2015"/>
    <n v="1798.35"/>
  </r>
  <r>
    <x v="10"/>
    <s v="WZR"/>
    <x v="64"/>
    <n v="2.8118200726275078E-3"/>
    <n v="210500"/>
    <n v="1.0534441805225654"/>
    <n v="0.09"/>
    <x v="4"/>
    <n v="-0.84978887102704115"/>
    <n v="-0.93314764805350114"/>
    <n v="7176775.3294905331"/>
    <n v="204669.7181337323"/>
    <n v="1078031.5246280513"/>
    <n v="13682.652029466992"/>
    <n v="-6098743.8048624815"/>
    <n v="-190987.06610426531"/>
    <n v="-15047527.161636077"/>
    <n v="0"/>
    <n v="-5.2631569999999996"/>
    <n v="-80.645160000000004"/>
    <n v="-47.058819999999997"/>
    <n v="-25"/>
    <n v="0"/>
    <n v="-10"/>
    <s v="23/02/2016"/>
    <s v="#N/A Field Not Applicable"/>
    <n v="0"/>
  </r>
  <r>
    <x v="10"/>
    <s v="TMK"/>
    <x v="52"/>
    <n v="2.4319706574651948E-2"/>
    <n v="180000"/>
    <n v="51.31666666666667"/>
    <n v="51.8"/>
    <x v="0"/>
    <n v="9.4186424163689164E-3"/>
    <n v="-0.31793870981586825"/>
    <n v="9237000"/>
    <n v="173507.27295705996"/>
    <n v="9324000"/>
    <n v="118342.59444942263"/>
    <n v="87000"/>
    <n v="-55164.678507637334"/>
    <n v="-4346325.7231954318"/>
    <n v="0.2909796"/>
    <n v="-14.45087"/>
    <n v="26.960789999999999"/>
    <n v="-7.18133"/>
    <n v="-0.95785589999999998"/>
    <n v="-10.06944"/>
    <n v="-1.804368"/>
    <s v="05/03/2016"/>
    <s v="22/10/2015"/>
    <n v="435600"/>
  </r>
  <r>
    <x v="10"/>
    <s v="Rusal"/>
    <x v="4"/>
    <n v="4.0901371050179873E-2"/>
    <n v="67855"/>
    <n v="257.94925740918137"/>
    <n v="231.1"/>
    <x v="0"/>
    <n v="-0.10408736074239111"/>
    <n v="-0.28073027565739783"/>
    <n v="17503146.861500002"/>
    <n v="276712.54032899562"/>
    <n v="15681290.5"/>
    <n v="199030.95260457785"/>
    <n v="-1821856.3615000024"/>
    <n v="-77681.587724417768"/>
    <n v="-6120392.4699489726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0"/>
    <s v="Mvideo"/>
    <x v="54"/>
    <n v="2.3577908574884572E-2"/>
    <n v="36000"/>
    <n v="162.5"/>
    <n v="251.1"/>
    <x v="0"/>
    <n v="0.54523076923076919"/>
    <n v="0.11710122779162235"/>
    <n v="5850000"/>
    <n v="102705.9267358623"/>
    <n v="9039600"/>
    <n v="114732.91685810819"/>
    <n v="3189600"/>
    <n v="12026.990122245887"/>
    <n v="947584.90314953343"/>
    <n v="-0.9589567"/>
    <n v="-6.4804469999999998"/>
    <n v="56.643790000000003"/>
    <n v="33.024209999999997"/>
    <n v="5.6032719999999996"/>
    <n v="-1.6836310000000001"/>
    <n v="-0.3088803"/>
    <s v="24/03/2016"/>
    <s v="26/06/2015"/>
    <n v="972000"/>
  </r>
  <r>
    <x v="10"/>
    <s v="Qiwi"/>
    <x v="30"/>
    <n v="8.077206347101993E-3"/>
    <n v="3157"/>
    <n v="20.018788153310101"/>
    <n v="12.45"/>
    <x v="1"/>
    <n v="-0.20881925399777923"/>
    <n v="-0.37808423243934497"/>
    <n v="3914077.33413334"/>
    <n v="63199.314199999993"/>
    <n v="3096742.6251299996"/>
    <n v="39304.649999999994"/>
    <n v="-817334.70900334045"/>
    <n v="-23894.664199999999"/>
    <n v="-1882617.5819224401"/>
    <n v="-3.79257"/>
    <n v="-30.64067"/>
    <n v="-45.105820000000001"/>
    <n v="-57.270539999999997"/>
    <n v="-30.94444"/>
    <n v="-21.99248"/>
    <n v="-3.493789"/>
    <s v="10/03/2016"/>
    <s v="21/05/2015"/>
    <n v="694.54"/>
  </r>
  <r>
    <x v="10"/>
    <s v="Yandex"/>
    <x v="28"/>
    <n v="3.1752242244416334E-2"/>
    <n v="12090"/>
    <n v="18.096"/>
    <n v="12.78"/>
    <x v="1"/>
    <n v="-4.4960742432653356E-2"/>
    <n v="-0.29376657824933694"/>
    <n v="12746680.770639999"/>
    <n v="218780.64"/>
    <n v="12173580.539639998"/>
    <n v="154510.19999999998"/>
    <n v="-573100.23100000061"/>
    <n v="-64270.440000000031"/>
    <n v="-5063752.2808080027"/>
    <n v="-0.8540373"/>
    <n v="-18.702290000000001"/>
    <n v="-20.125"/>
    <n v="-4.2010500000000004"/>
    <n v="-20.535160000000001"/>
    <n v="-0.62208129999999995"/>
    <n v="-6.1029410000000004"/>
    <s v="16/02/2016"/>
    <s v="#N/A Field Not Applicable"/>
    <n v="0"/>
  </r>
  <r>
    <x v="10"/>
    <s v="Aeroflot"/>
    <x v="58"/>
    <n v="1.0970190832762338E-2"/>
    <n v="75700"/>
    <n v="34.588322269161132"/>
    <n v="55.56"/>
    <x v="0"/>
    <n v="0.60632249137846062"/>
    <n v="2.0111319761007218E-2"/>
    <n v="2618335.9957754975"/>
    <n v="52329.835690641405"/>
    <n v="4205892"/>
    <n v="53382.257749256867"/>
    <n v="1587556.0042245025"/>
    <n v="1052.4220586154624"/>
    <n v="82918.439638606782"/>
    <n v="-0.95305329999999999"/>
    <n v="-0.96256419999999998"/>
    <n v="46.210529999999999"/>
    <n v="39.497889999999998"/>
    <n v="8.2561730000000004"/>
    <n v="6.7230090000000002"/>
    <n v="4.2347700000000001"/>
    <s v="28/03/2016"/>
    <s v="07/07/2015"/>
    <n v="0"/>
  </r>
  <r>
    <x v="10"/>
    <s v="NMTP"/>
    <x v="67"/>
    <n v="2.9909717893785024E-2"/>
    <n v="2673000"/>
    <n v="1.5345572385668511"/>
    <n v="4.29"/>
    <x v="0"/>
    <n v="1.7955946459230829"/>
    <n v="0.80080648468131765"/>
    <n v="4101871.4986891928"/>
    <n v="80821.708420834504"/>
    <n v="11467170"/>
    <n v="145544.25662726143"/>
    <n v="7365298.5013108067"/>
    <n v="64722.548206426931"/>
    <n v="5099373.0725976061"/>
    <n v="-0.48840050000000002"/>
    <n v="14.095739999999999"/>
    <n v="152.35290000000001"/>
    <n v="33.606560000000002"/>
    <n v="26.947040000000001"/>
    <n v="16.893730000000001"/>
    <n v="-2.511962"/>
    <s v="31/03/2016"/>
    <s v="#N/A N/A"/>
    <n v="208173.24000000002"/>
  </r>
  <r>
    <x v="10"/>
    <s v="MTS"/>
    <x v="8"/>
    <n v="4.0878808027686953E-2"/>
    <n v="68800"/>
    <n v="239.64055232558138"/>
    <n v="227.8"/>
    <x v="0"/>
    <n v="-4.9409635433883103E-2"/>
    <n v="-0.4290801876591438"/>
    <n v="16487270"/>
    <n v="348422.23714202933"/>
    <n v="15672640"/>
    <n v="198921.1582445087"/>
    <n v="-814630"/>
    <n v="-149501.07889752064"/>
    <n v="-11778920.904393636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n v="385968"/>
  </r>
  <r>
    <x v="10"/>
    <s v="Megafon"/>
    <x v="6"/>
    <n v="1.155423416789564E-2"/>
    <n v="5230"/>
    <n v="784.67496720841302"/>
    <n v="847"/>
    <x v="0"/>
    <n v="7.9427833684202698E-2"/>
    <n v="-0.14214959462424348"/>
    <n v="4103850.0785000003"/>
    <n v="65540.893801594764"/>
    <n v="4429810"/>
    <n v="56224.282316387478"/>
    <n v="325959.92149999971"/>
    <n v="-9316.611485207286"/>
    <n v="-734039.04901880876"/>
    <n v="-0.69767440000000003"/>
    <n v="-0.35294120000000001"/>
    <n v="-16.96078"/>
    <n v="3.5151520000000001"/>
    <n v="1.6666669999999999"/>
    <n v="2.6666669999999999"/>
    <n v="-1.612903"/>
    <s v="17/03/2016"/>
    <s v="21/12/2015"/>
    <n v="0"/>
  </r>
  <r>
    <x v="10"/>
    <s v="Vimpelcom"/>
    <x v="35"/>
    <n v="4.1922523029941927E-2"/>
    <n v="60000"/>
    <n v="6.7756916666666669"/>
    <n v="3.4"/>
    <x v="1"/>
    <n v="-4.0197895173696874E-2"/>
    <n v="-0.49820621019010358"/>
    <n v="16745944.522499999"/>
    <n v="406541.5"/>
    <n v="16072792.800000001"/>
    <n v="204000"/>
    <n v="-673151.72249999829"/>
    <n v="-202541.5"/>
    <n v="-15957880.2103"/>
    <n v="-4.6511630000000004"/>
    <n v="3.6585369999999999"/>
    <n v="-26.56588"/>
    <n v="-45.058619999999998"/>
    <n v="-8.1232480000000002"/>
    <n v="14.67117"/>
    <n v="4.96"/>
    <s v="17/02/2016"/>
    <s v="19/11/2015"/>
    <n v="1570.8"/>
  </r>
  <r>
    <x v="10"/>
    <s v="Kcel"/>
    <x v="73"/>
    <n v="1.5462012905749169E-2"/>
    <n v="22800"/>
    <n v="3.7494736842105265"/>
    <n v="3.3"/>
    <x v="1"/>
    <n v="-3.9741800480919132E-3"/>
    <n v="-0.11987647389107248"/>
    <n v="5951677.2048000004"/>
    <n v="85488"/>
    <n v="5928024.1680000005"/>
    <n v="75240"/>
    <n v="-23653.036799999885"/>
    <n v="-10248"/>
    <n v="-807421.47360000003"/>
    <n v="0"/>
    <n v="-18.31683"/>
    <n v="-51.913290000000003"/>
    <n v="-45.454549999999998"/>
    <n v="-32.446269999999998"/>
    <n v="3.1249980000000002"/>
    <n v="6.451613"/>
    <s v="20/04/2016"/>
    <s v="17/04/2015"/>
    <n v="24512.553600000003"/>
  </r>
  <r>
    <x v="10"/>
    <s v="Etalon"/>
    <x v="55"/>
    <n v="1.5924494370718061E-2"/>
    <n v="49357"/>
    <n v="2.2552829385902711"/>
    <n v="1.57"/>
    <x v="1"/>
    <n v="4.0306677533472612E-3"/>
    <n v="-0.30385674757892089"/>
    <n v="6080826.4331999999"/>
    <n v="111314.00000000001"/>
    <n v="6105336.2242180007"/>
    <n v="77490.490000000005"/>
    <n v="24509.791018000804"/>
    <n v="-33823.510000000009"/>
    <n v="-2664893.4705820009"/>
    <n v="0"/>
    <n v="-12.2905"/>
    <n v="-23.414629999999999"/>
    <n v="-18.181819999999998"/>
    <n v="-20.725390000000001"/>
    <n v="-7.3746340000000004"/>
    <n v="2"/>
    <s v="22/03/2016"/>
    <s v="19/11/2015"/>
    <n v="1303.0247999999999"/>
  </r>
  <r>
    <x v="10"/>
    <s v="Sberbank"/>
    <x v="103"/>
    <n v="0.1110936403132629"/>
    <n v="450000"/>
    <n v="98.63"/>
    <n v="94.65"/>
    <x v="0"/>
    <n v="-4.0352833823380174E-2"/>
    <n v="-0.59521062765028354"/>
    <n v="44383500"/>
    <n v="1335496.7999350058"/>
    <n v="42592500"/>
    <n v="540594.91142074578"/>
    <n v="-1791000"/>
    <n v="-794901.88851426006"/>
    <n v="-62628888.972639225"/>
    <n v="-3.1275719999999998"/>
    <n v="-7.0116550000000002"/>
    <n v="46.415799999999997"/>
    <n v="26.900269999999999"/>
    <n v="7.4400750000000002E-2"/>
    <n v="-2.7774890000000001"/>
    <n v="-2.4248699999999999"/>
    <s v="17/03/2016"/>
    <s v="11/06/2015"/>
    <n v="202500"/>
  </r>
  <r>
    <x v="10"/>
    <s v="Kamaz"/>
    <x v="57"/>
    <n v="7.5912226950877876E-3"/>
    <n v="82800"/>
    <n v="28.85"/>
    <n v="35.15"/>
    <x v="0"/>
    <n v="0.21837088388214898"/>
    <n v="-0.16121931172540027"/>
    <n v="2388780"/>
    <n v="44039.873675594055"/>
    <n v="2910420"/>
    <n v="36939.795553141208"/>
    <n v="521640"/>
    <n v="-7100.0781224528473"/>
    <n v="-559402.3751274395"/>
    <n v="-0.1422475"/>
    <n v="-1.1251739999999999"/>
    <n v="10.53459"/>
    <n v="-3.9671660000000002"/>
    <n v="-0.70720930000000004"/>
    <n v="-1.264041"/>
    <n v="0.42918450000000002"/>
    <s v="29/04/2016"/>
    <s v="16/07/2015"/>
    <n v="0"/>
  </r>
  <r>
    <x v="10"/>
    <s v="RSEA"/>
    <x v="123"/>
    <n v="7.1754089218004611E-4"/>
    <n v="7000"/>
    <n v="56"/>
    <n v="39.299999999999997"/>
    <x v="0"/>
    <n v="-0.29821428571428577"/>
    <n v="-0.54713167027912446"/>
    <n v="392000"/>
    <n v="7710.0547374549342"/>
    <n v="275100"/>
    <n v="3491.6396110077394"/>
    <n v="-116900"/>
    <n v="-4218.4151264471948"/>
    <n v="-332361.33466554689"/>
    <n v="-1.995012"/>
    <n v="-10.68182"/>
    <n v="-38.207549999999998"/>
    <n v="-29.18919"/>
    <n v="-10.47836"/>
    <n v="-2.9629629999999998"/>
    <n v="-4.379562"/>
    <s v="29/04/2016"/>
    <s v="30/06/2010"/>
    <n v="26390"/>
  </r>
  <r>
    <x v="10"/>
    <s v="RSHB 8.7 03/17/16"/>
    <x v="124"/>
    <n v="2.1540572366662711E-2"/>
    <n v="8300000"/>
    <n v="85.03"/>
    <n v="99.5"/>
    <x v="0"/>
    <n v="0.17017523227096309"/>
    <n v="-0.18741882432462798"/>
    <n v="7057490"/>
    <n v="128995.10704370029"/>
    <n v="8258500"/>
    <n v="104818.99573794045"/>
    <n v="1201010"/>
    <n v="-24176.111305759841"/>
    <n v="-1904792.2927804675"/>
    <n v="-0.12045773940976164"/>
    <n v="0.86163203243790598"/>
    <n v="6.9892473118279561"/>
    <n v="1.8475868775270046"/>
    <n v="0.75949367088607589"/>
    <n v="0.86163203243790598"/>
    <n v="-9.5386314574023662E-2"/>
    <n v="0"/>
    <n v="0"/>
    <n v="0"/>
  </r>
  <r>
    <x v="10"/>
    <s v="VEBBNK 3.035 02/21/18"/>
    <x v="125"/>
    <n v="2.2327237057029905E-2"/>
    <n v="100000"/>
    <n v="93.47999999999999"/>
    <n v="96.25"/>
    <x v="5"/>
    <n v="0.92073214435777095"/>
    <n v="-0.13323244885658991"/>
    <n v="4456686.7850603992"/>
    <n v="125347.33199999999"/>
    <n v="8560101.5654000007"/>
    <n v="108647"/>
    <n v="4103414.7803396014"/>
    <n v="-16700.331999999995"/>
    <n v="-1315789.0976823997"/>
    <n v="-0.516795865633075"/>
    <n v="-0.516795865633075"/>
    <n v="17.378048780487802"/>
    <n v="0.26041666666666663"/>
    <n v="-1.7857142857142856"/>
    <n v="-0.516795865633075"/>
    <n v="-0.516795865633075"/>
    <n v="0"/>
    <n v="0"/>
    <n v="0"/>
  </r>
  <r>
    <x v="11"/>
    <s v="Alrosa"/>
    <x v="2"/>
    <n v="5.2753437613098135E-2"/>
    <n v="64000"/>
    <n v="57.491799999999998"/>
    <n v="62.27"/>
    <x v="0"/>
    <n v="8.3110982783631826E-2"/>
    <n v="-2.0228881304913515E-2"/>
    <n v="3679475.1999999997"/>
    <n v="51626.54094933423"/>
    <n v="3985280"/>
    <n v="50582.193780286892"/>
    <n v="305804.80000000028"/>
    <n v="-1044.347169047338"/>
    <n v="-82282.23362433548"/>
    <n v="-2.6194139999999999"/>
    <n v="11.3157"/>
    <n v="-19.287099999999999"/>
    <n v="-13.43652"/>
    <n v="21.328469999999999"/>
    <n v="10.978429999999999"/>
    <n v="-2.4841850000000001"/>
    <s v="17/03/2016"/>
    <s v="14/07/2015"/>
    <m/>
  </r>
  <r>
    <x v="11"/>
    <s v="Polymetal"/>
    <x v="60"/>
    <n v="5.8025469638547399E-2"/>
    <n v="6337"/>
    <n v="4.9889572352848353"/>
    <n v="6.04"/>
    <x v="3"/>
    <n v="0.59187808283705556"/>
    <n v="0.13506359973717341"/>
    <n v="2753701.9705358371"/>
    <n v="49016.846052400004"/>
    <n v="4383557.8135612104"/>
    <n v="55637.237728000007"/>
    <n v="1629855.8430253733"/>
    <n v="6620.3916756000035"/>
    <n v="521608.74341550824"/>
    <n v="0.81967210000000001"/>
    <n v="3.336185"/>
    <n v="6.4549950000000003"/>
    <n v="47.027419999999999"/>
    <n v="12.49668"/>
    <n v="5.964912"/>
    <n v="4.2372880000000004"/>
    <s v="29/03/2016"/>
    <s v="10/12/2015"/>
    <m/>
  </r>
  <r>
    <x v="11"/>
    <s v="High Gold Minimg"/>
    <x v="47"/>
    <n v="3.1501624830392025E-2"/>
    <n v="33651"/>
    <n v="0.44829276990282607"/>
    <n v="0.61750000000000005"/>
    <x v="3"/>
    <n v="0.57181805375268602"/>
    <n v="0.29866581833595807"/>
    <n v="1514044.9074058849"/>
    <n v="23258.539550000001"/>
    <n v="2379803.1196528836"/>
    <n v="30205.070297999999"/>
    <n v="865758.21224699868"/>
    <n v="6946.5307479999974"/>
    <n v="547304.65387957345"/>
    <n v="0"/>
    <n v="8.3333329999999997"/>
    <n v="58.333329999999997"/>
    <n v="32.960889999999999"/>
    <n v="19"/>
    <n v="8.3333329999999997"/>
    <n v="6.7264569999999999"/>
    <s v="20/04/2016"/>
    <s v="01/10/2015"/>
    <m/>
  </r>
  <r>
    <x v="11"/>
    <s v="Gazprom"/>
    <x v="110"/>
    <n v="4.8199634357787451E-2"/>
    <n v="13835"/>
    <n v="3.9676487170220454"/>
    <n v="3.3405"/>
    <x v="1"/>
    <n v="-3.1207338280143215E-2"/>
    <n v="-0.15806558537590432"/>
    <n v="3758555.5880339998"/>
    <n v="54892.42"/>
    <n v="3641261.0723534999"/>
    <n v="46215.817499999997"/>
    <n v="-117294.51568049984"/>
    <n v="-8676.6025000000009"/>
    <n v="-683613.89309050015"/>
    <n v="-0.87537089999999995"/>
    <n v="-9.5328400000000002"/>
    <n v="-26.935700000000001"/>
    <n v="-22.8611"/>
    <n v="-20.179210000000001"/>
    <n v="-1.46018"/>
    <n v="1.3808800000000001"/>
    <s v="26/04/2016"/>
    <s v="15/07/2015"/>
    <m/>
  </r>
  <r>
    <x v="11"/>
    <s v="Bashneft"/>
    <x v="25"/>
    <n v="4.2004538176932026E-2"/>
    <n v="1500"/>
    <n v="1950"/>
    <n v="2115.5"/>
    <x v="0"/>
    <n v="8.487179487179497E-2"/>
    <n v="-1.8636068696737618E-2"/>
    <n v="2925000"/>
    <n v="41040.535421139029"/>
    <n v="3173250"/>
    <n v="40275.70118367979"/>
    <n v="248250"/>
    <n v="-764.83423745923938"/>
    <n v="-60259.91286778605"/>
    <n v="0.97156399999999998"/>
    <n v="6.413481"/>
    <n v="24.441179999999999"/>
    <n v="12.13158"/>
    <n v="9.116517"/>
    <n v="4.4175719999999998"/>
    <n v="6.4983750000000002"/>
    <s v="25/03/2016"/>
    <s v="16/07/2015"/>
    <m/>
  </r>
  <r>
    <x v="11"/>
    <s v="Gazpromneft"/>
    <x v="111"/>
    <n v="4.0983200428670534E-2"/>
    <n v="4290"/>
    <n v="12.815850815850816"/>
    <n v="9.16"/>
    <x v="1"/>
    <n v="5.1253043060718984E-2"/>
    <n v="-0.28526009457984713"/>
    <n v="2945144.98"/>
    <n v="54980"/>
    <n v="3096092.6224800004"/>
    <n v="39296.400000000001"/>
    <n v="150947.64248000039"/>
    <n v="-15683.599999999999"/>
    <n v="-1235682.6135199999"/>
    <n v="-1.7167380000000001"/>
    <n v="-13.99061"/>
    <n v="-29.102170000000001"/>
    <n v="-16.727270000000001"/>
    <n v="-19.295159999999999"/>
    <n v="-11.923069999999999"/>
    <n v="0.32858710000000002"/>
    <s v="25/02/2016"/>
    <s v="15/10/2015"/>
    <m/>
  </r>
  <r>
    <x v="11"/>
    <s v="Lukoil"/>
    <x v="63"/>
    <n v="4.9296199663635271E-2"/>
    <n v="1550"/>
    <n v="34"/>
    <n v="30.495000000000001"/>
    <x v="1"/>
    <n v="-7.6761097388526878E-3"/>
    <n v="-0.10308823529411759"/>
    <n v="3752909.29"/>
    <n v="52700"/>
    <n v="3724101.5464500003"/>
    <n v="47267.25"/>
    <n v="-28807.743549999781"/>
    <n v="-5432.75"/>
    <n v="-428036.59354999999"/>
    <n v="-3.9527559999999999"/>
    <n v="-5.2950330000000001"/>
    <n v="-33.778500000000001"/>
    <n v="-21.60669"/>
    <n v="-22.503170000000001"/>
    <n v="-1.310678"/>
    <n v="-3.1904759999999999"/>
    <s v="17/02/2016"/>
    <s v="23/12/2015"/>
    <m/>
  </r>
  <r>
    <x v="11"/>
    <s v="Kazmunaigaz"/>
    <x v="51"/>
    <n v="1.762543355738775E-2"/>
    <n v="2600"/>
    <n v="11.1"/>
    <n v="6.5"/>
    <x v="1"/>
    <n v="-0.12461205249921292"/>
    <n v="-0.4144144144144144"/>
    <n v="1521063.4140000001"/>
    <n v="28860"/>
    <n v="1331520.58"/>
    <n v="16900"/>
    <n v="-189542.83400000003"/>
    <n v="-11960"/>
    <n v="-942306.87200000009"/>
    <n v="0"/>
    <n v="-12.634410000000001"/>
    <n v="-44.68085"/>
    <n v="-17.493469999999999"/>
    <n v="-10.481590000000001"/>
    <n v="-5.2478150000000001"/>
    <n v="-2.015504"/>
    <s v="09/03/2016"/>
    <s v="29/05/2015"/>
    <m/>
  </r>
  <r>
    <x v="11"/>
    <s v="GMKN"/>
    <x v="66"/>
    <n v="4.5650331800661796E-2"/>
    <n v="3972"/>
    <n v="14.324531722054381"/>
    <n v="11.02"/>
    <x v="1"/>
    <n v="-6.8096835259802813E-2"/>
    <n v="-0.23069038389343277"/>
    <n v="3700677.3874079995"/>
    <n v="56897.04"/>
    <n v="3448672.9690079996"/>
    <n v="43771.439999999995"/>
    <n v="-252004.41839999985"/>
    <n v="-13125.600000000006"/>
    <n v="-1034142.3979200005"/>
    <n v="-3.1634449999999998"/>
    <n v="-12.98855"/>
    <n v="-36.374130000000001"/>
    <n v="-29.69697"/>
    <n v="-24.906300000000002"/>
    <n v="-2.3914970000000002"/>
    <n v="-2.4778760000000002"/>
    <s v="29/03/2016"/>
    <s v="29/12/2015"/>
    <m/>
  </r>
  <r>
    <x v="11"/>
    <s v="Rusal"/>
    <x v="4"/>
    <n v="5.2004484089092529E-2"/>
    <n v="17000"/>
    <n v="247.54058823529411"/>
    <n v="231.1"/>
    <x v="0"/>
    <n v="-6.6415727426755944E-2"/>
    <n v="-0.25565055601789399"/>
    <n v="4208190"/>
    <n v="66990.129893892707"/>
    <n v="3928700"/>
    <n v="49864.065938808097"/>
    <n v="-279490"/>
    <n v="-17126.06395508461"/>
    <n v="-1349331.7521059974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m/>
  </r>
  <r>
    <x v="11"/>
    <s v="NLMK"/>
    <x v="116"/>
    <n v="2.8096401185563665E-2"/>
    <n v="3000"/>
    <n v="8.8000000000000007"/>
    <n v="8.98"/>
    <x v="1"/>
    <n v="0.12900896635265635"/>
    <n v="2.0454545454545503E-2"/>
    <n v="1880015.2800000003"/>
    <n v="26400.000000000004"/>
    <n v="2122554.108"/>
    <n v="26940"/>
    <n v="242538.82799999975"/>
    <n v="539.99999999999636"/>
    <n v="42545.627999999713"/>
    <n v="-0.6637168"/>
    <n v="5.5229109999999997"/>
    <n v="-34.785769999999999"/>
    <n v="-27.580639999999999"/>
    <n v="-26.69388"/>
    <n v="15.1282"/>
    <n v="4.4186050000000003"/>
    <s v="25/03/2016"/>
    <s v="07/01/2016"/>
    <m/>
  </r>
  <r>
    <x v="11"/>
    <s v="Uralkaliy"/>
    <x v="5"/>
    <n v="0.27491743551946968"/>
    <n v="125000"/>
    <n v="187"/>
    <n v="166.15"/>
    <x v="0"/>
    <n v="-0.11149732620320851"/>
    <n v="-0.19626956747112989"/>
    <n v="23375000"/>
    <n v="327973.509562094"/>
    <n v="20768750"/>
    <n v="263602.29069835332"/>
    <n v="-2606250"/>
    <n v="-64371.21886374068"/>
    <n v="-5071692.4660801739"/>
    <n v="-0.6209344"/>
    <n v="-6.1299440000000001"/>
    <n v="-6.6310750000000001"/>
    <n v="-8.519323"/>
    <n v="7.3458940000000004"/>
    <n v="-7.6944439999999998"/>
    <n v="-0.26706229999999997"/>
    <s v="04/03/2016"/>
    <s v="19/06/2015"/>
    <m/>
  </r>
  <r>
    <x v="11"/>
    <s v="Sberbank"/>
    <x v="126"/>
    <n v="0.14402152672216181"/>
    <n v="25017"/>
    <n v="8.69"/>
    <n v="5.52"/>
    <x v="1"/>
    <n v="0.4062174794060085"/>
    <n v="-0.36478711162255473"/>
    <n v="7737185.2106999997"/>
    <n v="217397.72999999998"/>
    <n v="10880165.084688"/>
    <n v="138093.84"/>
    <n v="3142979.8739880007"/>
    <n v="-79303.889999999985"/>
    <n v="-6248210.7460979987"/>
    <n v="7.6233180000000003"/>
    <n v="-6.1224509999999999"/>
    <n v="43.376629999999999"/>
    <n v="15.905519999999999"/>
    <n v="-19.20374"/>
    <n v="-2.4045290000000001"/>
    <n v="3.1775699999999998"/>
    <s v="17/03/2016"/>
    <s v="12/06/2015"/>
    <m/>
  </r>
  <r>
    <x v="11"/>
    <s v="Megafon"/>
    <x v="6"/>
    <n v="2.2423599675954572E-2"/>
    <n v="2000"/>
    <n v="845"/>
    <n v="847"/>
    <x v="0"/>
    <n v="2.3668639053253671E-3"/>
    <n v="-0.16760938234991463"/>
    <n v="1690000"/>
    <n v="25830.038347672315"/>
    <n v="1694000"/>
    <n v="21500.68157414435"/>
    <n v="4000"/>
    <n v="-4329.3567735279648"/>
    <n v="-341102.22734407603"/>
    <n v="-0.69767440000000003"/>
    <n v="-0.35294120000000001"/>
    <n v="-16.96078"/>
    <n v="3.5151520000000001"/>
    <n v="1.6666669999999999"/>
    <n v="2.6666669999999999"/>
    <n v="-1.612903"/>
    <s v="17/03/2016"/>
    <s v="21/12/2015"/>
    <m/>
  </r>
  <r>
    <x v="11"/>
    <s v="MTS"/>
    <x v="8"/>
    <n v="2.5781712427898441E-2"/>
    <n v="8550"/>
    <n v="195"/>
    <n v="227.8"/>
    <x v="0"/>
    <n v="0.16820512820512823"/>
    <n v="-2.9893122743422706E-2"/>
    <n v="1667250"/>
    <n v="25482.326292992111"/>
    <n v="1947690"/>
    <n v="24720.579985327749"/>
    <n v="280440"/>
    <n v="-761.74630766436167"/>
    <n v="-60016.620437521262"/>
    <n v="2.1834059999999999E-2"/>
    <n v="8.4761900000000008"/>
    <n v="-4.2656010000000002"/>
    <n v="-0.84415580000000001"/>
    <n v="17.642530000000001"/>
    <n v="13.587630000000001"/>
    <n v="-0.67215959999999997"/>
    <s v="18/03/2016"/>
    <s v="13/10/2015"/>
    <m/>
  </r>
  <r>
    <x v="11"/>
    <s v="Vimpelcom"/>
    <x v="35"/>
    <n v="2.567264334015721E-2"/>
    <n v="7240"/>
    <n v="3.4986999999999999"/>
    <n v="3.4"/>
    <x v="1"/>
    <n v="0.17023137300022673"/>
    <n v="-2.82104781776088E-2"/>
    <n v="1657322.1124876"/>
    <n v="25330.588"/>
    <n v="1939450.3312000001"/>
    <n v="24616"/>
    <n v="282128.21871240018"/>
    <n v="-714.58799999999974"/>
    <n v="-56301.102261599983"/>
    <n v="-4.6511630000000004"/>
    <n v="3.6585369999999999"/>
    <n v="-26.56588"/>
    <n v="-45.058619999999998"/>
    <n v="-8.1232480000000002"/>
    <n v="14.67117"/>
    <n v="4.96"/>
    <s v="17/02/2016"/>
    <s v="19/11/2015"/>
    <m/>
  </r>
  <r>
    <x v="11"/>
    <s v="Etalon"/>
    <x v="55"/>
    <n v="1.817505506536073E-2"/>
    <n v="11100"/>
    <n v="2.5"/>
    <n v="1.57"/>
    <x v="1"/>
    <n v="-1.0702253088911151E-3"/>
    <n v="-0.372"/>
    <n v="1374513"/>
    <n v="27750"/>
    <n v="1373041.9614000001"/>
    <n v="17427"/>
    <n v="-1471.0385999998543"/>
    <n v="-10323"/>
    <n v="-813330.58860000002"/>
    <n v="0"/>
    <n v="-12.2905"/>
    <n v="-23.414629999999999"/>
    <n v="-18.181819999999998"/>
    <n v="-20.725390000000001"/>
    <n v="-7.3746340000000004"/>
    <n v="2"/>
    <s v="22/03/2016"/>
    <s v="19/11/2015"/>
    <m/>
  </r>
  <r>
    <x v="12"/>
    <s v="Alrosa"/>
    <x v="112"/>
    <n v="5.3086092406384351E-3"/>
    <n v="21900"/>
    <n v="57"/>
    <n v="62.27"/>
    <x v="0"/>
    <n v="9.2456140350877236E-2"/>
    <n v="0"/>
    <n v="1248300"/>
    <n v="19005.293711947161"/>
    <n v="1363713"/>
    <n v="17308.59443419192"/>
    <n v="115413"/>
    <n v="-1696.6992777552405"/>
    <n v="-133679.88203563544"/>
    <n v="-2.6194139999999999"/>
    <n v="11.3157"/>
    <n v="-19.287099999999999"/>
    <n v="-13.43652"/>
    <n v="21.328469999999999"/>
    <n v="10.978429999999999"/>
    <n v="-2.4841850000000001"/>
    <s v="17/03/2016"/>
    <s v="14/07/2015"/>
    <n v="32193"/>
  </r>
  <r>
    <x v="12"/>
    <s v="Bashneft"/>
    <x v="127"/>
    <n v="5.7645956253254364E-3"/>
    <n v="700"/>
    <n v="1785"/>
    <n v="2115.5"/>
    <x v="0"/>
    <n v="0.18515406162464987"/>
    <n v="0"/>
    <n v="1249500"/>
    <n v="18452.14625264156"/>
    <n v="1480850"/>
    <n v="18795.327219050567"/>
    <n v="231350"/>
    <n v="343.18096640900694"/>
    <n v="27038.61061762612"/>
    <n v="0.97156399999999998"/>
    <n v="6.413481"/>
    <n v="24.441179999999999"/>
    <n v="12.13158"/>
    <n v="9.116517"/>
    <n v="4.4175719999999998"/>
    <n v="6.4983750000000002"/>
    <s v="25/03/2016"/>
    <s v="16/07/2015"/>
    <n v="79100"/>
  </r>
  <r>
    <x v="12"/>
    <s v="Gazprom"/>
    <x v="128"/>
    <n v="5.7833976625812833E-3"/>
    <n v="11200"/>
    <n v="133.84"/>
    <n v="132.65"/>
    <x v="0"/>
    <n v="-8.8912133891213552E-3"/>
    <n v="0"/>
    <n v="1499008"/>
    <n v="22917.282657717918"/>
    <n v="1485680"/>
    <n v="18856.630815274366"/>
    <n v="-13328"/>
    <n v="-4060.6518424435526"/>
    <n v="-319931.44949281111"/>
    <n v="0.38432549999999999"/>
    <n v="-2.527736"/>
    <n v="-11.88974"/>
    <n v="-5.858657"/>
    <n v="-1.7480469999999999"/>
    <n v="0.96665780000000001"/>
    <n v="1.6792609999999999"/>
    <s v="26/04/2016"/>
    <s v="15/07/2015"/>
    <n v="80640"/>
  </r>
  <r>
    <x v="12"/>
    <s v="Lukoil"/>
    <x v="129"/>
    <n v="6.2379904387097774E-3"/>
    <n v="677"/>
    <n v="2223.5"/>
    <n v="2367"/>
    <x v="0"/>
    <n v="6.4537890712840218E-2"/>
    <n v="0"/>
    <n v="1505309.5"/>
    <n v="22560.071637854158"/>
    <n v="1602459"/>
    <n v="20338.819772504005"/>
    <n v="97149.5"/>
    <n v="-2221.2518653501538"/>
    <n v="-175008.43621758101"/>
    <n v="-4.1884820000000003E-2"/>
    <n v="0.89944579999999996"/>
    <n v="-22.87642"/>
    <n v="-5.709206"/>
    <n v="-5.2976190000000001"/>
    <n v="4.8319279999999996"/>
    <n v="-3.5952329999999999"/>
    <s v="17/02/2016"/>
    <s v="23/12/2015"/>
    <n v="44005"/>
  </r>
  <r>
    <x v="12"/>
    <s v="Norilsk Nikel"/>
    <x v="3"/>
    <n v="4.8525605717700485E-3"/>
    <n v="147"/>
    <n v="10245"/>
    <n v="8480"/>
    <x v="0"/>
    <n v="-0.1722791605661298"/>
    <n v="0"/>
    <n v="1506015"/>
    <n v="22570.644965492433"/>
    <n v="1246560"/>
    <n v="15821.658573238125"/>
    <n v="-259455"/>
    <n v="-6748.9863922543082"/>
    <n v="-531740.48967021087"/>
    <n v="4.6242770000000002E-2"/>
    <n v="-7.3224039999999997"/>
    <n v="-27.502780000000001"/>
    <n v="-15.339460000000001"/>
    <n v="-8.6552670000000003"/>
    <n v="-1.395349"/>
    <n v="-1.3226910000000001"/>
    <s v="29/03/2016"/>
    <s v="29/12/2015"/>
    <n v="47326.65"/>
  </r>
  <r>
    <x v="12"/>
    <s v="Rusal"/>
    <x v="4"/>
    <n v="1.4240939403633841E-2"/>
    <n v="15830"/>
    <n v="261.95073278584965"/>
    <n v="231.1"/>
    <x v="0"/>
    <n v="-0.11777303486709767"/>
    <n v="0"/>
    <n v="4146680.1"/>
    <n v="59597.048191676389"/>
    <n v="3658313"/>
    <n v="46432.244930078363"/>
    <n v="-488367.10000000009"/>
    <n v="-13164.803261598026"/>
    <n v="-1037231.1523354377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2"/>
    <s v="Uralkaliy"/>
    <x v="5"/>
    <n v="9.7987517855890136E-3"/>
    <n v="15150"/>
    <n v="165.23840000000001"/>
    <n v="166.15"/>
    <x v="0"/>
    <n v="5.5168774328484549E-3"/>
    <n v="0"/>
    <n v="2503361.7600000002"/>
    <n v="40022.282619122234"/>
    <n v="2517172.5"/>
    <n v="31948.59763264042"/>
    <n v="13810.739999999758"/>
    <n v="-8073.6849864818141"/>
    <n v="-636111.10745192645"/>
    <n v="-0.6209344"/>
    <n v="-6.1299440000000001"/>
    <n v="-6.6310750000000001"/>
    <n v="-8.519323"/>
    <n v="7.3458940000000004"/>
    <n v="-7.6944439999999998"/>
    <n v="-0.26706229999999997"/>
    <s v="04/03/2016"/>
    <s v="19/06/2015"/>
    <n v="0"/>
  </r>
  <r>
    <x v="12"/>
    <s v="Yandex"/>
    <x v="29"/>
    <n v="1.2359805308089633E-2"/>
    <n v="3164"/>
    <n v="790.31136536030351"/>
    <n v="1003.5"/>
    <x v="0"/>
    <n v="0.26975271264446987"/>
    <n v="0"/>
    <n v="2500545.16"/>
    <n v="36980.740468003962"/>
    <n v="3175074"/>
    <n v="40298.851858527036"/>
    <n v="674528.83999999985"/>
    <n v="3318.1113905230741"/>
    <n v="261428.02385881008"/>
    <n v="1.1592739999999999"/>
    <n v="-12.510899999999999"/>
    <n v="-3.971292"/>
    <n v="16.95804"/>
    <n v="-2.2882180000000001"/>
    <n v="-9.7571940000000001"/>
    <n v="-0.88888889999999998"/>
    <s v="16/02/2016"/>
    <s v="#N/A Field Not Applicable"/>
    <n v="0"/>
  </r>
  <r>
    <x v="12"/>
    <s v="Qiwi"/>
    <x v="30"/>
    <n v="3.4098852723385494E-3"/>
    <n v="893"/>
    <n v="21.23"/>
    <n v="12.45"/>
    <x v="1"/>
    <n v="-0.30478329500679624"/>
    <n v="0"/>
    <n v="1259974.5993999999"/>
    <n v="18958.39"/>
    <n v="875955.38936999987"/>
    <n v="11117.849999999999"/>
    <n v="-384019.21003000007"/>
    <n v="-7840.5400000000009"/>
    <n v="-7840.5400000000009"/>
    <n v="-3.79257"/>
    <n v="-30.64067"/>
    <n v="-45.105820000000001"/>
    <n v="-57.270539999999997"/>
    <n v="-30.94444"/>
    <n v="-21.99248"/>
    <n v="-3.493789"/>
    <s v="10/03/2016"/>
    <s v="21/05/2015"/>
    <n v="196.46"/>
  </r>
  <r>
    <x v="12"/>
    <s v="Megafon"/>
    <x v="6"/>
    <n v="1.0221223441548433E-2"/>
    <n v="3100"/>
    <n v="811.44516129032263"/>
    <n v="847"/>
    <x v="0"/>
    <n v="4.3816687073640059E-2"/>
    <n v="0"/>
    <n v="2515480"/>
    <n v="38781.116683274784"/>
    <n v="2625700"/>
    <n v="33326.056439923741"/>
    <n v="110220"/>
    <n v="-5455.060243351043"/>
    <n v="-429794.37746519066"/>
    <n v="-0.69767440000000003"/>
    <n v="-0.35294120000000001"/>
    <n v="-16.96078"/>
    <n v="3.5151520000000001"/>
    <n v="1.6666669999999999"/>
    <n v="2.6666669999999999"/>
    <n v="-1.612903"/>
    <s v="17/03/2016"/>
    <s v="21/12/2015"/>
    <n v="199981.00000000003"/>
  </r>
  <r>
    <x v="12"/>
    <s v="Etalon"/>
    <x v="55"/>
    <n v="5.7782969306887826E-3"/>
    <n v="12000"/>
    <n v="1.57323733"/>
    <n v="1.57"/>
    <x v="1"/>
    <n v="0.18439517266203787"/>
    <n v="0"/>
    <n v="1253272.3218246"/>
    <n v="18878.847959999999"/>
    <n v="1484369.6880000001"/>
    <n v="18840"/>
    <n v="231097.36617540009"/>
    <n v="-38.847959999999148"/>
    <n v="-38.847959999999148"/>
    <n v="0"/>
    <n v="-12.2905"/>
    <n v="-23.414629999999999"/>
    <n v="-18.181819999999998"/>
    <n v="-20.725390000000001"/>
    <n v="-7.3746340000000004"/>
    <n v="2"/>
    <s v="22/03/2016"/>
    <s v="19/11/2015"/>
    <n v="316.8"/>
  </r>
  <r>
    <x v="12"/>
    <s v="METINR 5 5/8 04/17/20"/>
    <x v="106"/>
    <n v="5.8442382173181921E-2"/>
    <n v="200000"/>
    <n v="92"/>
    <n v="95.275000000000006"/>
    <x v="1"/>
    <n v="0"/>
    <n v="3.5597826086956497E-2"/>
    <n v="12502174.4"/>
    <n v="184000"/>
    <n v="15013091.51"/>
    <n v="190550"/>
    <n v="2510917.1099999994"/>
    <n v="6550"/>
    <n v="6550"/>
    <n v="-0.2105219418214245"/>
    <n v="-1.2643170235312933"/>
    <n v="20.572271713395295"/>
    <n v="1.7026042801326735"/>
    <n v="-1.0068193993544396"/>
    <n v="-0.33474681376311993"/>
    <n v="1.4816127078775159"/>
    <n v="0"/>
    <n v="0"/>
    <n v="0"/>
  </r>
  <r>
    <x v="12"/>
    <s v="EVRAZ 6 1/2 04/22/20"/>
    <x v="117"/>
    <n v="6.989239651314684E-2"/>
    <n v="250000"/>
    <n v="96.5"/>
    <n v="91.153000000000006"/>
    <x v="1"/>
    <n v="0"/>
    <n v="-5.5409326424870509E-2"/>
    <n v="15089994.5"/>
    <n v="241250"/>
    <n v="17954451.986500002"/>
    <n v="227882.5"/>
    <n v="2864457.4865000024"/>
    <n v="-13367.5"/>
    <n v="-13367.5"/>
    <n v="-0.21346890316803652"/>
    <n v="-3.2633579506571739"/>
    <n v="16.159903988942869"/>
    <n v="0.14501738220440097"/>
    <n v="-6.0491465665917055"/>
    <n v="-1.8762956998012021"/>
    <n v="-0.69505764581010621"/>
    <n v="0"/>
    <n v="0"/>
    <n v="0"/>
  </r>
  <r>
    <x v="12"/>
    <s v="EDCLLI 4 7/8 04/17/20"/>
    <x v="19"/>
    <n v="0.15137129049439854"/>
    <n v="550000"/>
    <n v="85.931818181818187"/>
    <n v="89.734999999999999"/>
    <x v="1"/>
    <n v="0"/>
    <n v="4.4258132769108727E-2"/>
    <n v="30999586.237500001"/>
    <n v="472625"/>
    <n v="38885325.1985"/>
    <n v="493542.5"/>
    <n v="7885738.9609999992"/>
    <n v="20917.5"/>
    <n v="20917.5"/>
    <n v="-0.4824200707316052"/>
    <n v="1.5480929362114486"/>
    <n v="14.293173667963091"/>
    <n v="0.78960636361034353"/>
    <n v="-1.7826487483725128E-2"/>
    <n v="2.956702716296685"/>
    <n v="0.45787745736149082"/>
    <n v="0"/>
    <n v="0"/>
    <n v="0"/>
  </r>
  <r>
    <x v="12"/>
    <s v="IMHRUS 7 3/4 06/23/16"/>
    <x v="130"/>
    <n v="0.13899739272320677"/>
    <n v="477000"/>
    <n v="96"/>
    <n v="95.01"/>
    <x v="1"/>
    <n v="0"/>
    <n v="-1.0312499999999947E-2"/>
    <n v="24535214.976"/>
    <n v="457920"/>
    <n v="35706631.027139999"/>
    <n v="453197.7"/>
    <n v="11171416.051139999"/>
    <n v="-4722.2999999999884"/>
    <n v="-4722.2999999999884"/>
    <n v="-2.2484269188532904E-6"/>
    <n v="-1.1589202935273832"/>
    <n v="16.291314013377313"/>
    <n v="-1.0250674647511822"/>
    <n v="-2.049527903787729"/>
    <s v="#N/A N/A"/>
    <n v="9.4741627650808888E-3"/>
    <n v="0"/>
    <n v="0"/>
    <n v="0"/>
  </r>
  <r>
    <x v="12"/>
    <s v="VEBBNK 6.8 11/22/25"/>
    <x v="107"/>
    <n v="0.11791164806730584"/>
    <n v="407000"/>
    <n v="92.5"/>
    <n v="94.459000000000003"/>
    <x v="1"/>
    <n v="0"/>
    <n v="2.1178378378378326E-2"/>
    <n v="20273028.16"/>
    <n v="376475"/>
    <n v="30289976.156066"/>
    <n v="384448.13"/>
    <n v="10016947.996066"/>
    <n v="7973.1300000000047"/>
    <n v="7973.1300000000047"/>
    <n v="9.2186613117869562E-2"/>
    <n v="-2.9806596678504769"/>
    <n v="33.448714844213569"/>
    <n v="3.1538378760104062"/>
    <n v="-4.0148394625358801"/>
    <n v="-3.1070480414420216"/>
    <n v="5.2479686925265394"/>
    <n v="0"/>
    <n v="0"/>
    <n v="0"/>
  </r>
  <r>
    <x v="12"/>
    <s v="VEBBNK 6.902 07/09/20"/>
    <x v="44"/>
    <n v="6.062181837219862E-2"/>
    <n v="200000"/>
    <n v="98"/>
    <n v="98.828000000000003"/>
    <x v="1"/>
    <n v="0"/>
    <n v="8.4489795918367694E-3"/>
    <n v="10733508.799999999"/>
    <n v="196000"/>
    <n v="15572960.4592"/>
    <n v="197656"/>
    <n v="4839451.6592000015"/>
    <n v="1656"/>
    <n v="1656"/>
    <n v="-0.86468293740176916"/>
    <n v="-2.7981830164792889"/>
    <n v="23.420839584052498"/>
    <n v="0.87474795882489986"/>
    <n v="-4.0979732364479959"/>
    <n v="-1.8843178165597356"/>
    <n v="-0.41917222409711796"/>
    <n v="0"/>
    <n v="0"/>
    <n v="0"/>
  </r>
  <r>
    <x v="12"/>
    <s v="DMEAIR 6 11/26/18"/>
    <x v="96"/>
    <n v="7.6028003206269401E-2"/>
    <n v="250000"/>
    <n v="93.5"/>
    <n v="99.155000000000001"/>
    <x v="1"/>
    <n v="0"/>
    <n v="6.0481283422459953E-2"/>
    <n v="14620875.5"/>
    <n v="233750"/>
    <n v="19530609.927500002"/>
    <n v="247887.5"/>
    <n v="4909734.4275000021"/>
    <n v="14137.5"/>
    <n v="14137.5"/>
    <n v="-0.22539752632543719"/>
    <n v="0.66191045841971119"/>
    <n v="27.03384697069427"/>
    <n v="4.7873183619550872"/>
    <n v="3.3973916997867533"/>
    <n v="1.1403831280944789"/>
    <n v="-8.3636271660201336E-2"/>
    <n v="0"/>
    <n v="0"/>
    <n v="0"/>
  </r>
  <r>
    <x v="12"/>
    <s v="ALRSRU 7 3/4 11/03/20"/>
    <x v="92"/>
    <n v="6.5208264885018158E-2"/>
    <n v="200000"/>
    <n v="107.25"/>
    <n v="106.30500000000001"/>
    <x v="1"/>
    <n v="0"/>
    <n v="-8.8111888111888081E-3"/>
    <n v="13847798.249999998"/>
    <n v="214500"/>
    <n v="16751159.202000001"/>
    <n v="212610"/>
    <n v="2903360.9520000033"/>
    <n v="-1890"/>
    <n v="-1890"/>
    <n v="-0.12777208939438206"/>
    <n v="0.6314011138375808"/>
    <n v="14.146894808480736"/>
    <n v="1.2968819110126983"/>
    <n v="-0.57240646290359054"/>
    <n v="1.1985248452110882"/>
    <n v="0.75443544549982866"/>
    <n v="0"/>
    <n v="0"/>
    <n v="0"/>
  </r>
  <r>
    <x v="12"/>
    <s v="PGILLN 5 5/8 04/29/20"/>
    <x v="16"/>
    <n v="6.5610353381628184E-2"/>
    <n v="225000"/>
    <n v="97.91"/>
    <n v="95.075999999999993"/>
    <x v="1"/>
    <n v="0"/>
    <n v="-2.8944949443366341E-2"/>
    <n v="15508415.285999998"/>
    <n v="220297.5"/>
    <n v="16854450.532200001"/>
    <n v="213921"/>
    <n v="1346035.2462000027"/>
    <n v="-6376.5"/>
    <n v="-6376.5"/>
    <n v="-1.6305926626241123"/>
    <n v="-1.3601429897028137"/>
    <n v="8.4574812572356102"/>
    <n v="9.7910456968451201E-2"/>
    <n v="-2.9222604470071958"/>
    <n v="-1.0161182830955591"/>
    <n v="-1.5980156310196934"/>
    <n v="0"/>
    <n v="0"/>
    <n v="0"/>
  </r>
  <r>
    <x v="13"/>
    <s v="TMK"/>
    <x v="52"/>
    <n v="5.9368786842698563E-2"/>
    <n v="40000"/>
    <n v="50"/>
    <n v="51.8"/>
    <x v="0"/>
    <n v="3.6000000000000032E-2"/>
    <n v="-0.33008229658756016"/>
    <n v="2000000"/>
    <n v="39256.096962559503"/>
    <n v="2072000"/>
    <n v="26298.354322093917"/>
    <n v="72000"/>
    <n v="-12957.742640465585"/>
    <n v="-1020917.2187055306"/>
    <n v="0.2909796"/>
    <n v="-14.45087"/>
    <n v="26.960789999999999"/>
    <n v="-7.18133"/>
    <n v="-0.95785589999999998"/>
    <n v="-10.06944"/>
    <n v="-1.804368"/>
    <s v="05/03/2016"/>
    <s v="16/05/2016"/>
    <m/>
  </r>
  <r>
    <x v="13"/>
    <s v="Highland Gold Mining"/>
    <x v="47"/>
    <n v="2.6940138246767692E-2"/>
    <n v="13295"/>
    <n v="0.49250000000000005"/>
    <n v="0.61750000000000005"/>
    <x v="3"/>
    <n v="0.35978385349909758"/>
    <n v="0.19299208624224962"/>
    <n v="691451.17131425487"/>
    <n v="10003.054963749999"/>
    <n v="940224.13823616214"/>
    <n v="11933.565410000001"/>
    <n v="248772.96692190727"/>
    <n v="1930.5104462500021"/>
    <n v="152101.44314123443"/>
    <n v="0"/>
    <n v="8.3333329999999997"/>
    <n v="58.333329999999997"/>
    <n v="32.960889999999999"/>
    <n v="19"/>
    <n v="8.3333329999999997"/>
    <n v="6.7264569999999999"/>
    <s v="20/04/2016"/>
    <s v="#N/A N/A"/>
    <m/>
  </r>
  <r>
    <x v="13"/>
    <s v="Polymetal"/>
    <x v="46"/>
    <n v="6.1286811259325127E-2"/>
    <n v="3060"/>
    <n v="490"/>
    <n v="699"/>
    <x v="0"/>
    <n v="0.42653061224489797"/>
    <n v="0.23023377736715878"/>
    <n v="1499400"/>
    <n v="22067.329343925965"/>
    <n v="2138940"/>
    <n v="27147.973935183185"/>
    <n v="639540"/>
    <n v="5080.6445912572199"/>
    <n v="400294.8421848921"/>
    <n v="1.969365"/>
    <n v="12.37942"/>
    <n v="19.229289999999999"/>
    <n v="58.885429999999999"/>
    <n v="28.742280000000001"/>
    <n v="11.84"/>
    <n v="4.5624529999999996"/>
    <s v="29/03/2016"/>
    <s v="29/03/2016"/>
    <m/>
  </r>
  <r>
    <x v="13"/>
    <s v="Gazprom"/>
    <x v="0"/>
    <n v="7.8676679631253896E-2"/>
    <n v="20700"/>
    <n v="148.4"/>
    <n v="132.65"/>
    <x v="0"/>
    <n v="-0.10613207547169812"/>
    <n v="-0.42199039849995745"/>
    <n v="3071880"/>
    <n v="60295.009568673639"/>
    <n v="2745855"/>
    <n v="34851.094453230304"/>
    <n v="-326025"/>
    <n v="-25443.915115443335"/>
    <n v="-2004680.2728985727"/>
    <n v="0.38432549999999999"/>
    <n v="-2.527736"/>
    <n v="-11.88974"/>
    <n v="-5.858657"/>
    <n v="-1.7480469999999999"/>
    <n v="0.96665780000000001"/>
    <n v="1.6792609999999999"/>
    <s v="26/04/2016"/>
    <s v="07/04/2016"/>
    <m/>
  </r>
  <r>
    <x v="13"/>
    <s v="Gazpromneft"/>
    <x v="49"/>
    <n v="8.1446096003596646E-2"/>
    <n v="19590"/>
    <n v="153.68014293006635"/>
    <n v="145.1"/>
    <x v="0"/>
    <n v="-5.5831174844565568E-2"/>
    <n v="-0.37724777415945598"/>
    <n v="3010594"/>
    <n v="57932.914990118705"/>
    <n v="2842509"/>
    <n v="36077.851759527439"/>
    <n v="-168085"/>
    <n v="-21855.063230591266"/>
    <n v="-1721921.092824471"/>
    <n v="0.27472530000000001"/>
    <n v="-5.7486179999999996"/>
    <n v="-17.556819999999998"/>
    <n v="4.809761"/>
    <n v="0.55096630000000002"/>
    <n v="-4.7275130000000001"/>
    <n v="0.79392470000000004"/>
    <s v="25/02/2016"/>
    <s v="31/03/2016"/>
    <m/>
  </r>
  <r>
    <x v="13"/>
    <s v="Rusal"/>
    <x v="4"/>
    <n v="7.9460192891974743E-2"/>
    <n v="12000"/>
    <n v="252.69166666666666"/>
    <n v="231.1"/>
    <x v="0"/>
    <n v="-8.5446690630874289E-2"/>
    <n v="-0.19780080582754955"/>
    <n v="3032300"/>
    <n v="43877.087446354635"/>
    <n v="2773200"/>
    <n v="35198.16419209983"/>
    <n v="-259100"/>
    <n v="-8678.9232542548052"/>
    <n v="-683796.74114087853"/>
    <n v="-0.1727862"/>
    <n v="3.3542010000000002"/>
    <n v="-54.606169999999999"/>
    <n v="-23.85502"/>
    <n v="-6.7769240000000002"/>
    <n v="1.9408920000000001"/>
    <n v="-1.7014039999999999"/>
    <s v="25/02/2016"/>
    <s v="#N/A N/A"/>
    <m/>
  </r>
  <r>
    <x v="13"/>
    <s v="MTS"/>
    <x v="8"/>
    <n v="3.9162769235811003E-2"/>
    <n v="6000"/>
    <n v="250"/>
    <n v="227.8"/>
    <x v="0"/>
    <n v="-8.879999999999999E-2"/>
    <n v="-0.39639456263755224"/>
    <n v="1500000"/>
    <n v="28740.25705285908"/>
    <n v="1366800"/>
    <n v="17347.775428300178"/>
    <n v="-133200"/>
    <n v="-11392.481624558903"/>
    <n v="-897593.12073207181"/>
    <n v="2.1834059999999999E-2"/>
    <n v="8.4761900000000008"/>
    <n v="-4.2656010000000002"/>
    <n v="-0.84415580000000001"/>
    <n v="17.642530000000001"/>
    <n v="13.587630000000001"/>
    <n v="-0.67215959999999997"/>
    <s v="18/03/2016"/>
    <s v="15/04/2016"/>
    <m/>
  </r>
  <r>
    <x v="13"/>
    <s v="Yandex"/>
    <x v="29"/>
    <n v="9.2010158450421639E-2"/>
    <n v="3200"/>
    <n v="947"/>
    <n v="1003.5"/>
    <x v="0"/>
    <n v="5.9662090813094038E-2"/>
    <n v="-0.31478147271164847"/>
    <n v="3030400"/>
    <n v="59480.838117670151"/>
    <n v="3211200"/>
    <n v="40757.372296866786"/>
    <n v="180800"/>
    <n v="-18723.465820803365"/>
    <n v="-1475188.1697826197"/>
    <n v="1.1592739999999999"/>
    <n v="-12.510899999999999"/>
    <n v="-3.971292"/>
    <n v="16.95804"/>
    <n v="-2.2882180000000001"/>
    <n v="-9.7571940000000001"/>
    <n v="-0.88888889999999998"/>
    <s v="16/02/2016"/>
    <s v="#N/A N/A"/>
    <m/>
  </r>
  <r>
    <x v="13"/>
    <s v="GPBRU 7 7/8 07/25/16"/>
    <x v="131"/>
    <n v="0.28076969191138518"/>
    <n v="10000000"/>
    <n v="93.5"/>
    <n v="97.990009999999998"/>
    <x v="0"/>
    <n v="4.80214973262032E-2"/>
    <n v="-0.3223087310659879"/>
    <n v="9350000"/>
    <n v="183522.25329996567"/>
    <n v="9799001"/>
    <n v="124371.42871648291"/>
    <n v="449001"/>
    <n v="-59150.824583482754"/>
    <n v="-4660386.9974483559"/>
    <n v="-0.26462086513995109"/>
    <n v="-1.019387755102239E-2"/>
    <n v="13.283248554913293"/>
    <n v="1.9189869467991079"/>
    <n v="0.65743194658449278"/>
    <n v="0.24553452685421798"/>
    <n v="-0.1121202854230339"/>
    <n v="0"/>
    <n v="0"/>
    <m/>
  </r>
  <r>
    <x v="14"/>
    <s v="Alrosa"/>
    <x v="2"/>
    <n v="4.6295497134814373E-2"/>
    <n v="30000"/>
    <n v="49.9191"/>
    <n v="62.27"/>
    <x v="0"/>
    <n v="0.24741832284636556"/>
    <n v="8.885689154733778E-2"/>
    <n v="1497573"/>
    <n v="21775.500085062078"/>
    <n v="1868100"/>
    <n v="23710.403334509483"/>
    <n v="370527"/>
    <n v="1934.903249447405"/>
    <n v="152447.54419811204"/>
    <n v="-2.6194139999999999"/>
    <n v="11.3157"/>
    <n v="-19.287099999999999"/>
    <n v="-13.43652"/>
    <n v="21.328469999999999"/>
    <n v="10.978429999999999"/>
    <n v="-2.4841850000000001"/>
    <s v="17/03/2016"/>
    <s v="14/07/2015"/>
    <n v="44100"/>
  </r>
  <r>
    <x v="14"/>
    <s v="Norils Nickel"/>
    <x v="66"/>
    <n v="3.3996835335960762E-2"/>
    <n v="1580"/>
    <n v="15.815899999999999"/>
    <n v="11.02"/>
    <x v="1"/>
    <n v="-4.4852070708386704E-2"/>
    <n v="-0.30323282266579832"/>
    <n v="1436247.2880378"/>
    <n v="24989.121999999999"/>
    <n v="1371828.6231199999"/>
    <n v="17411.599999999999"/>
    <n v="-64418.66491780011"/>
    <n v="-7577.5220000000008"/>
    <n v="-597019.31884040008"/>
    <n v="-3.1634449999999998"/>
    <n v="-12.98855"/>
    <n v="-36.374130000000001"/>
    <n v="-29.69697"/>
    <n v="-24.906300000000002"/>
    <n v="-2.3914970000000002"/>
    <n v="-2.4778760000000002"/>
    <s v="29/03/2016"/>
    <s v="29/12/2015"/>
    <n v="479.69747999999998"/>
  </r>
  <r>
    <x v="14"/>
    <s v="Rusal"/>
    <x v="4"/>
    <n v="7.7889243442447506E-2"/>
    <n v="13600"/>
    <n v="219.65258"/>
    <n v="231.1"/>
    <x v="0"/>
    <n v="5.2116027956512045E-2"/>
    <n v="-4.8266600474581756E-2"/>
    <n v="2987275.088"/>
    <n v="41914.314209145377"/>
    <n v="3142960"/>
    <n v="39891.252751046472"/>
    <n v="155684.91200000001"/>
    <n v="-2023.0614580989059"/>
    <n v="-159393.37077298822"/>
    <n v="-0.1727862"/>
    <n v="3.3542010000000002"/>
    <n v="-54.606169999999999"/>
    <n v="-23.85502"/>
    <n v="-6.7769240000000002"/>
    <n v="1.9408920000000001"/>
    <n v="-1.7014039999999999"/>
    <s v="25/02/2016"/>
    <s v="#N/A Field Not Applicable"/>
    <n v="0"/>
  </r>
  <r>
    <x v="14"/>
    <s v="AFK Sistema"/>
    <x v="7"/>
    <n v="7.3305540669547073E-2"/>
    <n v="170000"/>
    <n v="17.647879"/>
    <n v="17.399999999999999"/>
    <x v="0"/>
    <n v="-1.4045823863592988E-2"/>
    <n v="3.0007234459406007E-3"/>
    <n v="3000139.43"/>
    <n v="37431.371895835829"/>
    <n v="2957999.9999999995"/>
    <n v="37543.69309109739"/>
    <n v="-42139.430000000633"/>
    <n v="112.32119526156021"/>
    <n v="8849.5847965068588"/>
    <n v="1.0103930000000001"/>
    <n v="-1.416428"/>
    <n v="-2.52101"/>
    <n v="-17.203029999999998"/>
    <n v="-8.5666640000000002E-2"/>
    <n v="-0.99573690000000004"/>
    <n v="-0.87818700000000005"/>
    <s v="31/03/2016"/>
    <s v="15/07/2015"/>
    <n v="79900"/>
  </r>
  <r>
    <x v="14"/>
    <s v="Megafon"/>
    <x v="6"/>
    <n v="7.724490806130882E-2"/>
    <n v="3680"/>
    <n v="815"/>
    <n v="847"/>
    <x v="0"/>
    <n v="3.926380368098159E-2"/>
    <n v="5.7232041987913762E-2"/>
    <n v="2999200"/>
    <n v="37419.651056014693"/>
    <n v="3116960"/>
    <n v="39561.254096425604"/>
    <n v="117760"/>
    <n v="2141.6030404109115"/>
    <n v="168733.04866850298"/>
    <n v="-0.69767440000000003"/>
    <n v="-0.35294120000000001"/>
    <n v="-16.96078"/>
    <n v="3.5151520000000001"/>
    <n v="1.6666669999999999"/>
    <n v="2.6666669999999999"/>
    <n v="-1.612903"/>
    <s v="17/03/2016"/>
    <s v="21/12/2015"/>
    <n v="237396.80000000002"/>
  </r>
  <r>
    <x v="14"/>
    <s v="Vimpelcom"/>
    <x v="35"/>
    <n v="8.3314856979567975E-2"/>
    <n v="12550"/>
    <n v="3.3809939999999998"/>
    <n v="3.4"/>
    <x v="1"/>
    <n v="0.11168780933891775"/>
    <n v="5.6214237588116944E-3"/>
    <n v="3024133.6333436999"/>
    <n v="42431.474699999999"/>
    <n v="3361892.4939999999"/>
    <n v="42670"/>
    <n v="337758.86065630009"/>
    <n v="238.52530000000115"/>
    <n v="18792.97904146009"/>
    <n v="-4.6511630000000004"/>
    <n v="3.6585369999999999"/>
    <n v="-26.56588"/>
    <n v="-45.058619999999998"/>
    <n v="-8.1232480000000002"/>
    <n v="14.67117"/>
    <n v="4.96"/>
    <s v="17/02/2016"/>
    <s v="19/11/2015"/>
    <n v="328.55899999999997"/>
  </r>
  <r>
    <x v="14"/>
    <s v="ALFARU 13 1/4 11/13/29"/>
    <x v="132"/>
    <n v="0.20002152800948222"/>
    <n v="8000000"/>
    <n v="100"/>
    <n v="100.89"/>
    <x v="0"/>
    <n v="8.899999999999908E-3"/>
    <n v="-0.30888963194996211"/>
    <n v="8000000"/>
    <n v="148227.75194085712"/>
    <n v="8071200"/>
    <n v="102441.73619907549"/>
    <n v="71200"/>
    <n v="-45786.015741781637"/>
    <n v="-3607397.7654666402"/>
    <n v="6.0496735728106045E-7"/>
    <n v="-0.10891089108910836"/>
    <s v="#N/A N/A"/>
    <n v="3.966437926042362E-2"/>
    <n v="6.0496735728106045E-7"/>
    <n v="0.13895781637717178"/>
    <n v="3.966437926042362E-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B5:E9" firstHeaderRow="0" firstDataRow="1" firstDataCol="1" rowPageCount="1" colPageCount="1"/>
  <pivotFields count="29">
    <pivotField axis="axisRow" multipleItemSelectionAllowed="1" showAll="0">
      <items count="16">
        <item x="0"/>
        <item x="1"/>
        <item x="2"/>
        <item x="3"/>
        <item h="1" x="4"/>
        <item x="5"/>
        <item x="6"/>
        <item x="7"/>
        <item x="8"/>
        <item x="9"/>
        <item x="10"/>
        <item x="13"/>
        <item x="14"/>
        <item x="11"/>
        <item x="12"/>
        <item t="default"/>
      </items>
    </pivotField>
    <pivotField showAll="0"/>
    <pivotField axis="axisRow" multipleItemSelectionAllowed="1" showAll="0">
      <items count="135">
        <item h="1" x="94"/>
        <item h="1" x="95"/>
        <item h="1" x="26"/>
        <item h="1" x="36"/>
        <item h="1" x="58"/>
        <item h="1" x="2"/>
        <item h="1" x="112"/>
        <item h="1" x="123"/>
        <item h="1" x="25"/>
        <item h="1" x="127"/>
        <item h="1" x="48"/>
        <item h="1" x="79"/>
        <item h="1" x="53"/>
        <item h="1" x="27"/>
        <item h="1" x="56"/>
        <item h="1" x="114"/>
        <item h="1" x="69"/>
        <item h="1" x="55"/>
        <item h="1" x="33"/>
        <item h="1" x="101"/>
        <item h="1" x="111"/>
        <item h="1" x="0"/>
        <item h="1" x="128"/>
        <item h="1" x="31"/>
        <item h="1" x="3"/>
        <item h="1" x="12"/>
        <item h="1" x="47"/>
        <item h="1" x="59"/>
        <item h="1" x="11"/>
        <item h="1" x="74"/>
        <item h="1" x="13"/>
        <item h="1" x="32"/>
        <item h="1" x="10"/>
        <item h="1" x="73"/>
        <item h="1" x="57"/>
        <item h="1" x="51"/>
        <item h="1" x="63"/>
        <item h="1" x="1"/>
        <item h="1" x="129"/>
        <item h="1" x="71"/>
        <item h="1" x="72"/>
        <item h="1" x="34"/>
        <item h="1" x="6"/>
        <item h="1" x="66"/>
        <item h="1" x="68"/>
        <item h="1" x="8"/>
        <item h="1" x="54"/>
        <item h="1" x="76"/>
        <item h="1" x="77"/>
        <item h="1" x="116"/>
        <item h="1" x="65"/>
        <item h="1" x="67"/>
        <item h="1" x="61"/>
        <item h="1" x="102"/>
        <item h="1" x="110"/>
        <item h="1" x="62"/>
        <item h="1" x="60"/>
        <item h="1" x="46"/>
        <item h="1" m="1" x="133"/>
        <item h="1" x="78"/>
        <item h="1" x="30"/>
        <item h="1" x="20"/>
        <item h="1" x="23"/>
        <item h="1" x="22"/>
        <item h="1" x="82"/>
        <item h="1" x="21"/>
        <item h="1" x="83"/>
        <item h="1" x="132"/>
        <item h="1" x="4"/>
        <item h="1" x="126"/>
        <item h="1" x="103"/>
        <item h="1" x="37"/>
        <item h="1" x="14"/>
        <item h="1" x="49"/>
        <item h="1" x="50"/>
        <item h="1" x="75"/>
        <item h="1" x="70"/>
        <item h="1" x="52"/>
        <item h="1" x="5"/>
        <item h="1" x="98"/>
        <item h="1" x="9"/>
        <item h="1" x="35"/>
        <item h="1" x="64"/>
        <item h="1" x="105"/>
        <item h="1" x="87"/>
        <item h="1" x="89"/>
        <item h="1" x="44"/>
        <item h="1" x="118"/>
        <item x="92"/>
        <item h="1" x="107"/>
        <item h="1" x="90"/>
        <item h="1" x="109"/>
        <item h="1" x="124"/>
        <item h="1" x="17"/>
        <item h="1" x="130"/>
        <item h="1" x="115"/>
        <item h="1" x="84"/>
        <item h="1" x="43"/>
        <item h="1" x="104"/>
        <item h="1" x="117"/>
        <item h="1" x="91"/>
        <item h="1" x="100"/>
        <item h="1" x="40"/>
        <item h="1" x="41"/>
        <item h="1" x="86"/>
        <item h="1" x="45"/>
        <item h="1" x="131"/>
        <item h="1" x="122"/>
        <item h="1" x="81"/>
        <item h="1" x="119"/>
        <item h="1" x="80"/>
        <item h="1" x="125"/>
        <item h="1" x="106"/>
        <item h="1" x="19"/>
        <item h="1" x="16"/>
        <item h="1" x="88"/>
        <item h="1" x="38"/>
        <item h="1" x="85"/>
        <item h="1" x="97"/>
        <item h="1" x="99"/>
        <item h="1" x="93"/>
        <item h="1" x="39"/>
        <item h="1" x="96"/>
        <item h="1" x="42"/>
        <item h="1" x="15"/>
        <item h="1" x="108"/>
        <item h="1" x="18"/>
        <item h="1" x="29"/>
        <item h="1" x="28"/>
        <item h="1" x="7"/>
        <item h="1" x="24"/>
        <item h="1" x="113"/>
        <item h="1" x="120"/>
        <item h="1" x="121"/>
        <item t="default"/>
      </items>
    </pivotField>
    <pivotField dataField="1" showAll="0"/>
    <pivotField showAll="0"/>
    <pivotField showAll="0"/>
    <pivotField showAll="0"/>
    <pivotField axis="axisPage" multipleItemSelectionAllowed="1" showAll="0">
      <items count="7">
        <item x="4"/>
        <item x="5"/>
        <item x="3"/>
        <item x="2"/>
        <item x="0"/>
        <item x="1"/>
        <item t="default"/>
      </items>
    </pivotField>
    <pivotField showAll="0" defaultSubtotal="0"/>
    <pivotField showAll="0"/>
    <pivotField showAll="0" defaultSubtotal="0"/>
    <pivotField showAll="0"/>
    <pivotField dataField="1"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2">
    <field x="2"/>
    <field x="0"/>
  </rowFields>
  <rowItems count="4">
    <i>
      <x v="88"/>
    </i>
    <i r="1">
      <x v="8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um of Стоимость позиции по текущей цене (RUB)" fld="12" showDataAs="percentOfCol" baseField="0" baseItem="0" numFmtId="10"/>
    <dataField name="Sum of Buy more to 5%" fld="28" baseField="0" baseItem="0" numFmtId="10"/>
    <dataField name="Sum of Доля в портфеле" fld="3" baseField="0" baseItem="0" numFmtId="9"/>
  </dataFields>
  <formats count="8">
    <format dxfId="7">
      <pivotArea outline="0" fieldPosition="0">
        <references count="1">
          <reference field="4294967294" count="1">
            <x v="0"/>
          </reference>
        </references>
      </pivotArea>
    </format>
    <format dxfId="6">
      <pivotArea dataOnly="0" outline="0" fieldPosition="0">
        <references count="1">
          <reference field="4294967294" count="1"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2"/>
          </reference>
          <reference field="2" count="1">
            <x v="56"/>
          </reference>
        </references>
      </pivotArea>
    </format>
    <format dxfId="2">
      <pivotArea collapsedLevelsAreSubtotals="1" fieldPosition="0">
        <references count="3">
          <reference field="4294967294" count="1" selected="0">
            <x v="2"/>
          </reference>
          <reference field="0" count="3">
            <x v="6"/>
            <x v="10"/>
            <x v="13"/>
          </reference>
          <reference field="2" count="1" selected="0">
            <x v="56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2"/>
          </reference>
          <reference field="2" count="1">
            <x v="57"/>
          </reference>
        </references>
      </pivotArea>
    </format>
    <format dxfId="0">
      <pivotArea collapsedLevelsAreSubtotals="1" fieldPosition="0">
        <references count="3">
          <reference field="4294967294" count="1" selected="0">
            <x v="2"/>
          </reference>
          <reference field="0" count="3">
            <x v="2"/>
            <x v="3"/>
            <x v="11"/>
          </reference>
          <reference field="2" count="1" selected="0">
            <x v="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23" sqref="J23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129" workbookViewId="0">
      <selection activeCell="C152" sqref="C152"/>
    </sheetView>
  </sheetViews>
  <sheetFormatPr defaultRowHeight="15" x14ac:dyDescent="0.25"/>
  <cols>
    <col min="1" max="1" width="31.7109375" style="823" bestFit="1" customWidth="1"/>
    <col min="2" max="2" width="21.7109375" style="823" bestFit="1" customWidth="1"/>
    <col min="3" max="3" width="23.7109375" style="823" bestFit="1" customWidth="1"/>
    <col min="4" max="16384" width="9.140625" style="823"/>
  </cols>
  <sheetData>
    <row r="1" spans="1:3" x14ac:dyDescent="0.25">
      <c r="A1" s="825" t="s">
        <v>3583</v>
      </c>
      <c r="B1" s="825" t="s">
        <v>3582</v>
      </c>
      <c r="C1" s="825" t="s">
        <v>3581</v>
      </c>
    </row>
    <row r="2" spans="1:3" x14ac:dyDescent="0.25">
      <c r="A2" s="824" t="s">
        <v>3580</v>
      </c>
      <c r="B2" s="824" t="s">
        <v>3579</v>
      </c>
      <c r="C2" s="824" t="s">
        <v>740</v>
      </c>
    </row>
    <row r="3" spans="1:3" x14ac:dyDescent="0.25">
      <c r="A3" s="824" t="s">
        <v>3578</v>
      </c>
      <c r="B3" s="824" t="s">
        <v>3577</v>
      </c>
      <c r="C3" s="824" t="s">
        <v>3576</v>
      </c>
    </row>
    <row r="4" spans="1:3" x14ac:dyDescent="0.25">
      <c r="A4" s="824" t="s">
        <v>3575</v>
      </c>
      <c r="B4" s="824" t="s">
        <v>518</v>
      </c>
      <c r="C4" s="824" t="s">
        <v>3574</v>
      </c>
    </row>
    <row r="5" spans="1:3" x14ac:dyDescent="0.25">
      <c r="A5" s="824" t="s">
        <v>3573</v>
      </c>
      <c r="B5" s="824" t="s">
        <v>555</v>
      </c>
      <c r="C5" s="824" t="s">
        <v>3572</v>
      </c>
    </row>
    <row r="6" spans="1:3" x14ac:dyDescent="0.25">
      <c r="A6" s="824" t="s">
        <v>3571</v>
      </c>
      <c r="B6" s="824" t="s">
        <v>3570</v>
      </c>
      <c r="C6" s="824" t="s">
        <v>192</v>
      </c>
    </row>
    <row r="7" spans="1:3" x14ac:dyDescent="0.25">
      <c r="A7" s="824" t="s">
        <v>3569</v>
      </c>
      <c r="B7" s="824" t="s">
        <v>3568</v>
      </c>
      <c r="C7" s="824" t="s">
        <v>3567</v>
      </c>
    </row>
    <row r="8" spans="1:3" x14ac:dyDescent="0.25">
      <c r="A8" s="824" t="s">
        <v>3566</v>
      </c>
      <c r="B8" s="824" t="s">
        <v>3565</v>
      </c>
      <c r="C8" s="824" t="s">
        <v>3564</v>
      </c>
    </row>
    <row r="9" spans="1:3" x14ac:dyDescent="0.25">
      <c r="A9" s="824" t="s">
        <v>3563</v>
      </c>
      <c r="B9" s="824" t="s">
        <v>3562</v>
      </c>
      <c r="C9" s="824" t="s">
        <v>3561</v>
      </c>
    </row>
    <row r="10" spans="1:3" x14ac:dyDescent="0.25">
      <c r="A10" s="824" t="s">
        <v>3560</v>
      </c>
      <c r="B10" s="824" t="s">
        <v>3559</v>
      </c>
      <c r="C10" s="824" t="s">
        <v>3558</v>
      </c>
    </row>
    <row r="11" spans="1:3" x14ac:dyDescent="0.25">
      <c r="A11" s="824" t="s">
        <v>3557</v>
      </c>
      <c r="B11" s="824" t="s">
        <v>3556</v>
      </c>
      <c r="C11" s="824" t="s">
        <v>3555</v>
      </c>
    </row>
    <row r="12" spans="1:3" x14ac:dyDescent="0.25">
      <c r="A12" s="824" t="s">
        <v>3554</v>
      </c>
      <c r="B12" s="824" t="s">
        <v>3553</v>
      </c>
      <c r="C12" s="824" t="s">
        <v>3552</v>
      </c>
    </row>
    <row r="13" spans="1:3" x14ac:dyDescent="0.25">
      <c r="A13" s="824" t="s">
        <v>3551</v>
      </c>
      <c r="B13" s="824" t="s">
        <v>587</v>
      </c>
      <c r="C13" s="824" t="s">
        <v>346</v>
      </c>
    </row>
    <row r="14" spans="1:3" x14ac:dyDescent="0.25">
      <c r="A14" s="824" t="s">
        <v>3550</v>
      </c>
      <c r="B14" s="824" t="s">
        <v>3549</v>
      </c>
      <c r="C14" s="824" t="s">
        <v>3548</v>
      </c>
    </row>
    <row r="15" spans="1:3" x14ac:dyDescent="0.25">
      <c r="A15" s="824" t="s">
        <v>3547</v>
      </c>
      <c r="B15" s="824" t="s">
        <v>3546</v>
      </c>
      <c r="C15" s="824" t="s">
        <v>721</v>
      </c>
    </row>
    <row r="16" spans="1:3" x14ac:dyDescent="0.25">
      <c r="A16" s="824" t="s">
        <v>3545</v>
      </c>
      <c r="B16" s="824" t="s">
        <v>3544</v>
      </c>
      <c r="C16" s="824" t="s">
        <v>3544</v>
      </c>
    </row>
    <row r="17" spans="1:3" x14ac:dyDescent="0.25">
      <c r="A17" s="824" t="s">
        <v>3543</v>
      </c>
      <c r="B17" s="824" t="s">
        <v>485</v>
      </c>
      <c r="C17" s="824" t="s">
        <v>3542</v>
      </c>
    </row>
    <row r="18" spans="1:3" x14ac:dyDescent="0.25">
      <c r="A18" s="824" t="s">
        <v>3541</v>
      </c>
      <c r="B18" s="824" t="s">
        <v>914</v>
      </c>
      <c r="C18" s="824" t="s">
        <v>3540</v>
      </c>
    </row>
    <row r="19" spans="1:3" x14ac:dyDescent="0.25">
      <c r="A19" s="824" t="s">
        <v>3539</v>
      </c>
      <c r="B19" s="824" t="s">
        <v>3538</v>
      </c>
      <c r="C19" s="824" t="s">
        <v>3537</v>
      </c>
    </row>
    <row r="20" spans="1:3" x14ac:dyDescent="0.25">
      <c r="A20" s="824" t="s">
        <v>3536</v>
      </c>
      <c r="B20" s="824" t="s">
        <v>3535</v>
      </c>
      <c r="C20" s="824" t="s">
        <v>3534</v>
      </c>
    </row>
    <row r="21" spans="1:3" x14ac:dyDescent="0.25">
      <c r="A21" s="824" t="s">
        <v>3533</v>
      </c>
      <c r="B21" s="824" t="s">
        <v>3532</v>
      </c>
      <c r="C21" s="824" t="s">
        <v>200</v>
      </c>
    </row>
    <row r="22" spans="1:3" x14ac:dyDescent="0.25">
      <c r="A22" s="824" t="s">
        <v>3531</v>
      </c>
      <c r="B22" s="824" t="s">
        <v>3530</v>
      </c>
      <c r="C22" s="824" t="s">
        <v>3529</v>
      </c>
    </row>
    <row r="23" spans="1:3" x14ac:dyDescent="0.25">
      <c r="A23" s="824" t="s">
        <v>3528</v>
      </c>
      <c r="B23" s="824" t="s">
        <v>3527</v>
      </c>
      <c r="C23" s="824" t="s">
        <v>3526</v>
      </c>
    </row>
    <row r="24" spans="1:3" x14ac:dyDescent="0.25">
      <c r="A24" s="824" t="s">
        <v>3525</v>
      </c>
      <c r="B24" s="824" t="s">
        <v>3524</v>
      </c>
      <c r="C24" s="824" t="s">
        <v>3523</v>
      </c>
    </row>
    <row r="25" spans="1:3" x14ac:dyDescent="0.25">
      <c r="A25" s="824" t="s">
        <v>3522</v>
      </c>
      <c r="B25" s="824" t="s">
        <v>573</v>
      </c>
      <c r="C25" s="824" t="s">
        <v>762</v>
      </c>
    </row>
    <row r="26" spans="1:3" x14ac:dyDescent="0.25">
      <c r="A26" s="824" t="s">
        <v>3521</v>
      </c>
      <c r="B26" s="824" t="s">
        <v>3520</v>
      </c>
      <c r="C26" s="824" t="s">
        <v>3519</v>
      </c>
    </row>
    <row r="27" spans="1:3" x14ac:dyDescent="0.25">
      <c r="A27" s="824" t="s">
        <v>3518</v>
      </c>
      <c r="B27" s="824" t="s">
        <v>3517</v>
      </c>
      <c r="C27" s="824" t="s">
        <v>3516</v>
      </c>
    </row>
    <row r="28" spans="1:3" x14ac:dyDescent="0.25">
      <c r="A28" s="824" t="s">
        <v>3515</v>
      </c>
      <c r="B28" s="824" t="s">
        <v>3514</v>
      </c>
      <c r="C28" s="824" t="s">
        <v>3513</v>
      </c>
    </row>
    <row r="29" spans="1:3" x14ac:dyDescent="0.25">
      <c r="A29" s="824" t="s">
        <v>3512</v>
      </c>
      <c r="B29" s="824" t="s">
        <v>508</v>
      </c>
      <c r="C29" s="824" t="s">
        <v>3511</v>
      </c>
    </row>
    <row r="30" spans="1:3" x14ac:dyDescent="0.25">
      <c r="A30" s="824" t="s">
        <v>3510</v>
      </c>
      <c r="B30" s="824" t="s">
        <v>3509</v>
      </c>
      <c r="C30" s="824" t="s">
        <v>3508</v>
      </c>
    </row>
    <row r="31" spans="1:3" x14ac:dyDescent="0.25">
      <c r="A31" s="824" t="s">
        <v>190</v>
      </c>
      <c r="B31" s="824" t="s">
        <v>1074</v>
      </c>
      <c r="C31" s="824" t="s">
        <v>3507</v>
      </c>
    </row>
    <row r="32" spans="1:3" x14ac:dyDescent="0.25">
      <c r="A32" s="824" t="s">
        <v>3506</v>
      </c>
      <c r="B32" s="824" t="s">
        <v>3505</v>
      </c>
      <c r="C32" s="824" t="s">
        <v>791</v>
      </c>
    </row>
    <row r="33" spans="1:3" x14ac:dyDescent="0.25">
      <c r="A33" s="824" t="s">
        <v>3504</v>
      </c>
      <c r="B33" s="824" t="s">
        <v>3503</v>
      </c>
      <c r="C33" s="824" t="s">
        <v>3502</v>
      </c>
    </row>
    <row r="34" spans="1:3" x14ac:dyDescent="0.25">
      <c r="A34" s="824" t="s">
        <v>3501</v>
      </c>
      <c r="B34" s="824" t="s">
        <v>3500</v>
      </c>
      <c r="C34" s="824" t="s">
        <v>3499</v>
      </c>
    </row>
    <row r="35" spans="1:3" x14ac:dyDescent="0.25">
      <c r="A35" s="824" t="s">
        <v>3498</v>
      </c>
      <c r="B35" s="824" t="s">
        <v>3497</v>
      </c>
      <c r="C35" s="824" t="s">
        <v>3497</v>
      </c>
    </row>
    <row r="36" spans="1:3" x14ac:dyDescent="0.25">
      <c r="A36" s="824" t="s">
        <v>3496</v>
      </c>
      <c r="B36" s="824" t="s">
        <v>3495</v>
      </c>
      <c r="C36" s="824" t="s">
        <v>3494</v>
      </c>
    </row>
    <row r="37" spans="1:3" x14ac:dyDescent="0.25">
      <c r="A37" s="824" t="s">
        <v>3493</v>
      </c>
      <c r="B37" s="824" t="s">
        <v>3492</v>
      </c>
      <c r="C37" s="824" t="s">
        <v>3491</v>
      </c>
    </row>
    <row r="38" spans="1:3" x14ac:dyDescent="0.25">
      <c r="A38" s="824" t="s">
        <v>3490</v>
      </c>
      <c r="B38" s="824" t="s">
        <v>3489</v>
      </c>
      <c r="C38" s="824" t="s">
        <v>3488</v>
      </c>
    </row>
    <row r="39" spans="1:3" x14ac:dyDescent="0.25">
      <c r="A39" s="824" t="s">
        <v>3487</v>
      </c>
      <c r="B39" s="824" t="s">
        <v>3486</v>
      </c>
      <c r="C39" s="824" t="s">
        <v>3485</v>
      </c>
    </row>
    <row r="40" spans="1:3" x14ac:dyDescent="0.25">
      <c r="A40" s="824" t="s">
        <v>3484</v>
      </c>
      <c r="B40" s="824" t="s">
        <v>3483</v>
      </c>
      <c r="C40" s="824" t="s">
        <v>3482</v>
      </c>
    </row>
    <row r="41" spans="1:3" x14ac:dyDescent="0.25">
      <c r="A41" s="824" t="s">
        <v>3481</v>
      </c>
      <c r="B41" s="824" t="s">
        <v>3480</v>
      </c>
      <c r="C41" s="824" t="s">
        <v>3479</v>
      </c>
    </row>
    <row r="42" spans="1:3" x14ac:dyDescent="0.25">
      <c r="A42" s="824" t="s">
        <v>3478</v>
      </c>
      <c r="B42" s="824" t="s">
        <v>3477</v>
      </c>
      <c r="C42" s="824" t="s">
        <v>3476</v>
      </c>
    </row>
    <row r="43" spans="1:3" x14ac:dyDescent="0.25">
      <c r="A43" s="824" t="s">
        <v>3475</v>
      </c>
      <c r="B43" s="824" t="s">
        <v>3474</v>
      </c>
      <c r="C43" s="824" t="s">
        <v>3473</v>
      </c>
    </row>
    <row r="44" spans="1:3" x14ac:dyDescent="0.25">
      <c r="A44" s="824" t="s">
        <v>3472</v>
      </c>
      <c r="B44" s="824" t="s">
        <v>3471</v>
      </c>
      <c r="C44" s="824" t="s">
        <v>3470</v>
      </c>
    </row>
    <row r="45" spans="1:3" x14ac:dyDescent="0.25">
      <c r="A45" s="824" t="s">
        <v>3469</v>
      </c>
      <c r="B45" s="824" t="s">
        <v>561</v>
      </c>
      <c r="C45" s="824" t="s">
        <v>719</v>
      </c>
    </row>
    <row r="46" spans="1:3" x14ac:dyDescent="0.25">
      <c r="A46" s="824" t="s">
        <v>3468</v>
      </c>
      <c r="B46" s="824" t="s">
        <v>3467</v>
      </c>
      <c r="C46" s="824" t="s">
        <v>3467</v>
      </c>
    </row>
    <row r="47" spans="1:3" x14ac:dyDescent="0.25">
      <c r="A47" s="824" t="s">
        <v>3466</v>
      </c>
      <c r="B47" s="824" t="s">
        <v>3465</v>
      </c>
      <c r="C47" s="824" t="s">
        <v>3464</v>
      </c>
    </row>
    <row r="48" spans="1:3" x14ac:dyDescent="0.25">
      <c r="A48" s="824" t="s">
        <v>3463</v>
      </c>
      <c r="B48" s="824" t="s">
        <v>3462</v>
      </c>
      <c r="C48" s="824" t="s">
        <v>3461</v>
      </c>
    </row>
    <row r="49" spans="1:3" x14ac:dyDescent="0.25">
      <c r="A49" s="824" t="s">
        <v>3460</v>
      </c>
      <c r="B49" s="824" t="s">
        <v>3459</v>
      </c>
      <c r="C49" s="824" t="s">
        <v>3458</v>
      </c>
    </row>
    <row r="50" spans="1:3" x14ac:dyDescent="0.25">
      <c r="A50" s="824" t="s">
        <v>3457</v>
      </c>
      <c r="B50" s="824" t="s">
        <v>3456</v>
      </c>
      <c r="C50" s="824" t="s">
        <v>3455</v>
      </c>
    </row>
    <row r="51" spans="1:3" x14ac:dyDescent="0.25">
      <c r="A51" s="824" t="s">
        <v>3454</v>
      </c>
      <c r="B51" s="824" t="s">
        <v>3453</v>
      </c>
      <c r="C51" s="824" t="s">
        <v>682</v>
      </c>
    </row>
    <row r="52" spans="1:3" x14ac:dyDescent="0.25">
      <c r="A52" s="824" t="s">
        <v>3452</v>
      </c>
      <c r="B52" s="824" t="s">
        <v>3451</v>
      </c>
      <c r="C52" s="824" t="s">
        <v>3450</v>
      </c>
    </row>
    <row r="53" spans="1:3" x14ac:dyDescent="0.25">
      <c r="A53" s="824" t="s">
        <v>3449</v>
      </c>
      <c r="B53" s="824" t="s">
        <v>3448</v>
      </c>
      <c r="C53" s="824" t="s">
        <v>3447</v>
      </c>
    </row>
    <row r="54" spans="1:3" x14ac:dyDescent="0.25">
      <c r="A54" s="824" t="s">
        <v>3446</v>
      </c>
      <c r="B54" s="824" t="s">
        <v>1036</v>
      </c>
      <c r="C54" s="824" t="s">
        <v>186</v>
      </c>
    </row>
    <row r="55" spans="1:3" x14ac:dyDescent="0.25">
      <c r="A55" s="824" t="s">
        <v>3445</v>
      </c>
      <c r="B55" s="824" t="s">
        <v>3444</v>
      </c>
      <c r="C55" s="824" t="s">
        <v>3444</v>
      </c>
    </row>
    <row r="56" spans="1:3" x14ac:dyDescent="0.25">
      <c r="A56" s="824" t="s">
        <v>3443</v>
      </c>
      <c r="B56" s="824" t="s">
        <v>3442</v>
      </c>
      <c r="C56" s="824" t="s">
        <v>3441</v>
      </c>
    </row>
    <row r="57" spans="1:3" x14ac:dyDescent="0.25">
      <c r="A57" s="824" t="s">
        <v>3440</v>
      </c>
      <c r="B57" s="824" t="s">
        <v>3439</v>
      </c>
      <c r="C57" s="824" t="s">
        <v>275</v>
      </c>
    </row>
    <row r="58" spans="1:3" x14ac:dyDescent="0.25">
      <c r="A58" s="824" t="s">
        <v>3438</v>
      </c>
      <c r="B58" s="824" t="s">
        <v>3437</v>
      </c>
      <c r="C58" s="824" t="s">
        <v>263</v>
      </c>
    </row>
    <row r="59" spans="1:3" x14ac:dyDescent="0.25">
      <c r="A59" s="824" t="s">
        <v>3436</v>
      </c>
      <c r="B59" s="824" t="s">
        <v>3435</v>
      </c>
      <c r="C59" s="824" t="s">
        <v>3434</v>
      </c>
    </row>
    <row r="60" spans="1:3" x14ac:dyDescent="0.25">
      <c r="A60" s="824" t="s">
        <v>3433</v>
      </c>
      <c r="B60" s="824" t="s">
        <v>3432</v>
      </c>
      <c r="C60" s="824" t="s">
        <v>3431</v>
      </c>
    </row>
    <row r="61" spans="1:3" x14ac:dyDescent="0.25">
      <c r="A61" s="824" t="s">
        <v>3430</v>
      </c>
      <c r="B61" s="824" t="s">
        <v>3429</v>
      </c>
      <c r="C61" s="824" t="s">
        <v>3428</v>
      </c>
    </row>
    <row r="62" spans="1:3" x14ac:dyDescent="0.25">
      <c r="A62" s="824" t="s">
        <v>3427</v>
      </c>
      <c r="B62" s="824" t="s">
        <v>3426</v>
      </c>
      <c r="C62" s="824" t="s">
        <v>3425</v>
      </c>
    </row>
    <row r="63" spans="1:3" x14ac:dyDescent="0.25">
      <c r="A63" s="824" t="s">
        <v>3424</v>
      </c>
      <c r="B63" s="824" t="s">
        <v>3423</v>
      </c>
      <c r="C63" s="824" t="s">
        <v>3422</v>
      </c>
    </row>
    <row r="64" spans="1:3" x14ac:dyDescent="0.25">
      <c r="A64" s="824" t="s">
        <v>3421</v>
      </c>
      <c r="B64" s="824" t="s">
        <v>3420</v>
      </c>
      <c r="C64" s="824" t="s">
        <v>108</v>
      </c>
    </row>
    <row r="65" spans="1:3" x14ac:dyDescent="0.25">
      <c r="A65" s="824" t="s">
        <v>3419</v>
      </c>
      <c r="B65" s="824" t="s">
        <v>3418</v>
      </c>
      <c r="C65" s="824" t="s">
        <v>3417</v>
      </c>
    </row>
    <row r="66" spans="1:3" x14ac:dyDescent="0.25">
      <c r="A66" s="824" t="s">
        <v>3416</v>
      </c>
      <c r="B66" s="824" t="s">
        <v>3415</v>
      </c>
      <c r="C66" s="824" t="s">
        <v>3414</v>
      </c>
    </row>
    <row r="67" spans="1:3" x14ac:dyDescent="0.25">
      <c r="A67" s="824" t="s">
        <v>3413</v>
      </c>
      <c r="B67" s="824" t="s">
        <v>3412</v>
      </c>
      <c r="C67" s="824" t="s">
        <v>3411</v>
      </c>
    </row>
    <row r="68" spans="1:3" x14ac:dyDescent="0.25">
      <c r="A68" s="824" t="s">
        <v>3410</v>
      </c>
      <c r="B68" s="824" t="s">
        <v>3409</v>
      </c>
      <c r="C68" s="824" t="s">
        <v>3408</v>
      </c>
    </row>
    <row r="69" spans="1:3" x14ac:dyDescent="0.25">
      <c r="A69" s="824" t="s">
        <v>3407</v>
      </c>
      <c r="B69" s="824" t="s">
        <v>3406</v>
      </c>
      <c r="C69" s="824" t="s">
        <v>3405</v>
      </c>
    </row>
    <row r="70" spans="1:3" x14ac:dyDescent="0.25">
      <c r="A70" s="824" t="s">
        <v>3404</v>
      </c>
      <c r="B70" s="824" t="s">
        <v>3403</v>
      </c>
      <c r="C70" s="824" t="s">
        <v>3402</v>
      </c>
    </row>
    <row r="71" spans="1:3" x14ac:dyDescent="0.25">
      <c r="A71" s="824" t="s">
        <v>3401</v>
      </c>
      <c r="B71" s="824" t="s">
        <v>3400</v>
      </c>
      <c r="C71" s="824" t="s">
        <v>3399</v>
      </c>
    </row>
    <row r="72" spans="1:3" x14ac:dyDescent="0.25">
      <c r="A72" s="824" t="s">
        <v>3398</v>
      </c>
      <c r="B72" s="824" t="s">
        <v>560</v>
      </c>
      <c r="C72" s="824" t="s">
        <v>757</v>
      </c>
    </row>
    <row r="73" spans="1:3" x14ac:dyDescent="0.25">
      <c r="A73" s="824" t="s">
        <v>3397</v>
      </c>
      <c r="B73" s="824" t="s">
        <v>3396</v>
      </c>
      <c r="C73" s="824" t="s">
        <v>135</v>
      </c>
    </row>
    <row r="74" spans="1:3" x14ac:dyDescent="0.25">
      <c r="A74" s="824" t="s">
        <v>3395</v>
      </c>
      <c r="B74" s="824" t="s">
        <v>3394</v>
      </c>
      <c r="C74" s="824" t="s">
        <v>3393</v>
      </c>
    </row>
    <row r="75" spans="1:3" x14ac:dyDescent="0.25">
      <c r="A75" s="824" t="s">
        <v>3392</v>
      </c>
      <c r="B75" s="824" t="s">
        <v>895</v>
      </c>
      <c r="C75" s="824" t="s">
        <v>3391</v>
      </c>
    </row>
    <row r="76" spans="1:3" x14ac:dyDescent="0.25">
      <c r="A76" s="824" t="s">
        <v>3390</v>
      </c>
      <c r="B76" s="824" t="s">
        <v>3389</v>
      </c>
      <c r="C76" s="824" t="s">
        <v>3388</v>
      </c>
    </row>
    <row r="77" spans="1:3" x14ac:dyDescent="0.25">
      <c r="A77" s="824" t="s">
        <v>3387</v>
      </c>
      <c r="B77" s="824" t="s">
        <v>3386</v>
      </c>
      <c r="C77" s="824" t="s">
        <v>3385</v>
      </c>
    </row>
    <row r="78" spans="1:3" x14ac:dyDescent="0.25">
      <c r="A78" s="824" t="s">
        <v>3384</v>
      </c>
      <c r="B78" s="824" t="s">
        <v>3383</v>
      </c>
      <c r="C78" s="824" t="s">
        <v>3383</v>
      </c>
    </row>
    <row r="79" spans="1:3" x14ac:dyDescent="0.25">
      <c r="A79" s="824" t="s">
        <v>3382</v>
      </c>
      <c r="B79" s="824" t="s">
        <v>562</v>
      </c>
      <c r="C79" s="824" t="s">
        <v>3381</v>
      </c>
    </row>
    <row r="80" spans="1:3" x14ac:dyDescent="0.25">
      <c r="A80" s="824" t="s">
        <v>3380</v>
      </c>
      <c r="B80" s="824" t="s">
        <v>3379</v>
      </c>
      <c r="C80" s="824" t="s">
        <v>3378</v>
      </c>
    </row>
    <row r="81" spans="1:3" x14ac:dyDescent="0.25">
      <c r="A81" s="824" t="s">
        <v>3377</v>
      </c>
      <c r="B81" s="824" t="s">
        <v>3376</v>
      </c>
      <c r="C81" s="824" t="s">
        <v>3375</v>
      </c>
    </row>
    <row r="82" spans="1:3" x14ac:dyDescent="0.25">
      <c r="A82" s="824" t="s">
        <v>3374</v>
      </c>
      <c r="B82" s="824" t="s">
        <v>516</v>
      </c>
      <c r="C82" s="824" t="s">
        <v>217</v>
      </c>
    </row>
    <row r="83" spans="1:3" x14ac:dyDescent="0.25">
      <c r="A83" s="824" t="s">
        <v>3373</v>
      </c>
      <c r="B83" s="824" t="s">
        <v>3372</v>
      </c>
      <c r="C83" s="824" t="s">
        <v>3371</v>
      </c>
    </row>
    <row r="84" spans="1:3" x14ac:dyDescent="0.25">
      <c r="A84" s="824" t="s">
        <v>3370</v>
      </c>
      <c r="B84" s="824" t="s">
        <v>3369</v>
      </c>
      <c r="C84" s="824" t="s">
        <v>3368</v>
      </c>
    </row>
    <row r="85" spans="1:3" x14ac:dyDescent="0.25">
      <c r="A85" s="824" t="s">
        <v>3367</v>
      </c>
      <c r="B85" s="824" t="s">
        <v>3366</v>
      </c>
      <c r="C85" s="824" t="s">
        <v>3365</v>
      </c>
    </row>
    <row r="86" spans="1:3" x14ac:dyDescent="0.25">
      <c r="A86" s="824" t="s">
        <v>3364</v>
      </c>
      <c r="B86" s="824" t="s">
        <v>523</v>
      </c>
      <c r="C86" s="824" t="s">
        <v>148</v>
      </c>
    </row>
    <row r="87" spans="1:3" x14ac:dyDescent="0.25">
      <c r="A87" s="824" t="s">
        <v>3363</v>
      </c>
      <c r="B87" s="824" t="s">
        <v>3362</v>
      </c>
      <c r="C87" s="824" t="s">
        <v>428</v>
      </c>
    </row>
    <row r="88" spans="1:3" x14ac:dyDescent="0.25">
      <c r="A88" s="824" t="s">
        <v>3361</v>
      </c>
      <c r="B88" s="824" t="s">
        <v>3360</v>
      </c>
      <c r="C88" s="824" t="s">
        <v>3359</v>
      </c>
    </row>
    <row r="89" spans="1:3" x14ac:dyDescent="0.25">
      <c r="A89" s="824" t="s">
        <v>3358</v>
      </c>
      <c r="B89" s="824" t="s">
        <v>1046</v>
      </c>
      <c r="C89" s="824" t="s">
        <v>212</v>
      </c>
    </row>
    <row r="90" spans="1:3" x14ac:dyDescent="0.25">
      <c r="A90" s="824" t="s">
        <v>3357</v>
      </c>
      <c r="B90" s="824" t="s">
        <v>545</v>
      </c>
      <c r="C90" s="824" t="s">
        <v>3356</v>
      </c>
    </row>
    <row r="91" spans="1:3" x14ac:dyDescent="0.25">
      <c r="A91" s="824" t="s">
        <v>3355</v>
      </c>
      <c r="B91" s="824" t="s">
        <v>3354</v>
      </c>
      <c r="C91" s="824" t="s">
        <v>3353</v>
      </c>
    </row>
    <row r="92" spans="1:3" x14ac:dyDescent="0.25">
      <c r="A92" s="824" t="s">
        <v>3352</v>
      </c>
      <c r="B92" s="824" t="s">
        <v>3351</v>
      </c>
      <c r="C92" s="824" t="s">
        <v>3350</v>
      </c>
    </row>
    <row r="93" spans="1:3" x14ac:dyDescent="0.25">
      <c r="A93" s="824" t="s">
        <v>3349</v>
      </c>
      <c r="B93" s="824" t="s">
        <v>3348</v>
      </c>
      <c r="C93" s="824" t="s">
        <v>3347</v>
      </c>
    </row>
    <row r="94" spans="1:3" x14ac:dyDescent="0.25">
      <c r="A94" s="824" t="s">
        <v>3346</v>
      </c>
      <c r="B94" s="824" t="s">
        <v>3345</v>
      </c>
      <c r="C94" s="824" t="s">
        <v>3344</v>
      </c>
    </row>
    <row r="95" spans="1:3" x14ac:dyDescent="0.25">
      <c r="A95" s="824" t="s">
        <v>3343</v>
      </c>
      <c r="B95" s="824" t="s">
        <v>1078</v>
      </c>
      <c r="C95" s="824" t="s">
        <v>207</v>
      </c>
    </row>
    <row r="96" spans="1:3" x14ac:dyDescent="0.25">
      <c r="A96" s="824" t="s">
        <v>3342</v>
      </c>
      <c r="B96" s="824" t="s">
        <v>3341</v>
      </c>
      <c r="C96" s="824" t="s">
        <v>3340</v>
      </c>
    </row>
    <row r="97" spans="1:3" x14ac:dyDescent="0.25">
      <c r="A97" s="824" t="s">
        <v>3339</v>
      </c>
      <c r="B97" s="824" t="s">
        <v>3338</v>
      </c>
      <c r="C97" s="824" t="s">
        <v>3337</v>
      </c>
    </row>
    <row r="98" spans="1:3" x14ac:dyDescent="0.25">
      <c r="A98" s="824" t="s">
        <v>3336</v>
      </c>
      <c r="B98" s="824" t="s">
        <v>3335</v>
      </c>
      <c r="C98" s="824" t="s">
        <v>3335</v>
      </c>
    </row>
    <row r="99" spans="1:3" x14ac:dyDescent="0.25">
      <c r="A99" s="824" t="s">
        <v>3334</v>
      </c>
      <c r="B99" s="824" t="s">
        <v>3333</v>
      </c>
      <c r="C99" s="824" t="s">
        <v>3332</v>
      </c>
    </row>
    <row r="100" spans="1:3" x14ac:dyDescent="0.25">
      <c r="A100" s="824" t="s">
        <v>3331</v>
      </c>
      <c r="B100" s="824" t="s">
        <v>498</v>
      </c>
      <c r="C100" s="824" t="s">
        <v>710</v>
      </c>
    </row>
    <row r="101" spans="1:3" x14ac:dyDescent="0.25">
      <c r="A101" s="824" t="s">
        <v>150</v>
      </c>
      <c r="B101" s="824" t="s">
        <v>3330</v>
      </c>
      <c r="C101" s="824" t="s">
        <v>962</v>
      </c>
    </row>
    <row r="102" spans="1:3" x14ac:dyDescent="0.25">
      <c r="A102" s="824" t="s">
        <v>3329</v>
      </c>
      <c r="B102" s="824" t="s">
        <v>3328</v>
      </c>
      <c r="C102" s="824" t="s">
        <v>3327</v>
      </c>
    </row>
    <row r="103" spans="1:3" x14ac:dyDescent="0.25">
      <c r="A103" s="824" t="s">
        <v>3326</v>
      </c>
      <c r="B103" s="824" t="s">
        <v>3325</v>
      </c>
      <c r="C103" s="824" t="s">
        <v>3324</v>
      </c>
    </row>
    <row r="104" spans="1:3" x14ac:dyDescent="0.25">
      <c r="A104" s="824" t="s">
        <v>3323</v>
      </c>
      <c r="B104" s="824" t="s">
        <v>3322</v>
      </c>
      <c r="C104" s="824" t="s">
        <v>658</v>
      </c>
    </row>
    <row r="105" spans="1:3" x14ac:dyDescent="0.25">
      <c r="A105" s="824" t="s">
        <v>3321</v>
      </c>
      <c r="B105" s="824" t="s">
        <v>3320</v>
      </c>
      <c r="C105" s="824" t="s">
        <v>3319</v>
      </c>
    </row>
    <row r="106" spans="1:3" x14ac:dyDescent="0.25">
      <c r="A106" s="824" t="s">
        <v>3318</v>
      </c>
      <c r="B106" s="824" t="s">
        <v>3317</v>
      </c>
      <c r="C106" s="824" t="s">
        <v>3316</v>
      </c>
    </row>
    <row r="107" spans="1:3" x14ac:dyDescent="0.25">
      <c r="A107" s="824" t="s">
        <v>3315</v>
      </c>
      <c r="B107" s="824" t="s">
        <v>1022</v>
      </c>
      <c r="C107" s="824" t="s">
        <v>3314</v>
      </c>
    </row>
    <row r="108" spans="1:3" x14ac:dyDescent="0.25">
      <c r="A108" s="824" t="s">
        <v>3313</v>
      </c>
      <c r="B108" s="824" t="s">
        <v>3312</v>
      </c>
      <c r="C108" s="824" t="s">
        <v>3311</v>
      </c>
    </row>
    <row r="109" spans="1:3" x14ac:dyDescent="0.25">
      <c r="A109" s="824" t="s">
        <v>3310</v>
      </c>
      <c r="B109" s="824" t="s">
        <v>3309</v>
      </c>
      <c r="C109" s="824" t="s">
        <v>3308</v>
      </c>
    </row>
    <row r="110" spans="1:3" x14ac:dyDescent="0.25">
      <c r="A110" s="824" t="s">
        <v>3307</v>
      </c>
      <c r="B110" s="824" t="s">
        <v>3306</v>
      </c>
      <c r="C110" s="824" t="s">
        <v>3305</v>
      </c>
    </row>
    <row r="111" spans="1:3" x14ac:dyDescent="0.25">
      <c r="A111" s="824" t="s">
        <v>3304</v>
      </c>
      <c r="B111" s="824" t="s">
        <v>3303</v>
      </c>
      <c r="C111" s="824" t="s">
        <v>694</v>
      </c>
    </row>
    <row r="112" spans="1:3" x14ac:dyDescent="0.25">
      <c r="A112" s="824" t="s">
        <v>3302</v>
      </c>
      <c r="B112" s="824" t="s">
        <v>3301</v>
      </c>
      <c r="C112" s="824" t="s">
        <v>3300</v>
      </c>
    </row>
    <row r="113" spans="1:3" x14ac:dyDescent="0.25">
      <c r="A113" s="824" t="s">
        <v>348</v>
      </c>
      <c r="B113" s="824" t="s">
        <v>3299</v>
      </c>
      <c r="C113" s="824" t="s">
        <v>3298</v>
      </c>
    </row>
    <row r="114" spans="1:3" x14ac:dyDescent="0.25">
      <c r="A114" s="824" t="s">
        <v>3297</v>
      </c>
      <c r="B114" s="824" t="s">
        <v>3296</v>
      </c>
      <c r="C114" s="824" t="s">
        <v>3295</v>
      </c>
    </row>
    <row r="115" spans="1:3" x14ac:dyDescent="0.25">
      <c r="A115" s="824" t="s">
        <v>3294</v>
      </c>
      <c r="B115" s="824" t="s">
        <v>3293</v>
      </c>
      <c r="C115" s="824" t="s">
        <v>3292</v>
      </c>
    </row>
    <row r="116" spans="1:3" x14ac:dyDescent="0.25">
      <c r="A116" s="824" t="s">
        <v>3291</v>
      </c>
      <c r="B116" s="824" t="s">
        <v>3290</v>
      </c>
      <c r="C116" s="824" t="s">
        <v>3289</v>
      </c>
    </row>
    <row r="117" spans="1:3" x14ac:dyDescent="0.25">
      <c r="A117" s="824" t="s">
        <v>3288</v>
      </c>
      <c r="B117" s="824" t="s">
        <v>3287</v>
      </c>
      <c r="C117" s="824" t="s">
        <v>3286</v>
      </c>
    </row>
    <row r="118" spans="1:3" x14ac:dyDescent="0.25">
      <c r="A118" s="824" t="s">
        <v>3285</v>
      </c>
      <c r="B118" s="824" t="s">
        <v>3284</v>
      </c>
      <c r="C118" s="824" t="s">
        <v>3283</v>
      </c>
    </row>
    <row r="119" spans="1:3" x14ac:dyDescent="0.25">
      <c r="A119" s="824" t="s">
        <v>3282</v>
      </c>
      <c r="B119" s="824" t="s">
        <v>3281</v>
      </c>
      <c r="C119" s="824" t="s">
        <v>3280</v>
      </c>
    </row>
    <row r="120" spans="1:3" x14ac:dyDescent="0.25">
      <c r="A120" s="824" t="s">
        <v>3279</v>
      </c>
      <c r="B120" s="824" t="s">
        <v>3278</v>
      </c>
      <c r="C120" s="824" t="s">
        <v>3277</v>
      </c>
    </row>
    <row r="121" spans="1:3" x14ac:dyDescent="0.25">
      <c r="A121" s="824" t="s">
        <v>3276</v>
      </c>
      <c r="B121" s="824" t="s">
        <v>935</v>
      </c>
      <c r="C121" s="824" t="s">
        <v>3275</v>
      </c>
    </row>
    <row r="122" spans="1:3" x14ac:dyDescent="0.25">
      <c r="A122" s="824" t="s">
        <v>3274</v>
      </c>
      <c r="B122" s="824" t="s">
        <v>3273</v>
      </c>
      <c r="C122" s="824" t="s">
        <v>3272</v>
      </c>
    </row>
    <row r="123" spans="1:3" x14ac:dyDescent="0.25">
      <c r="A123" s="824" t="s">
        <v>3271</v>
      </c>
      <c r="B123" s="824" t="s">
        <v>3270</v>
      </c>
      <c r="C123" s="824" t="s">
        <v>3269</v>
      </c>
    </row>
    <row r="124" spans="1:3" x14ac:dyDescent="0.25">
      <c r="A124" s="824" t="s">
        <v>3268</v>
      </c>
      <c r="B124" s="824" t="s">
        <v>3267</v>
      </c>
      <c r="C124" s="824" t="s">
        <v>3266</v>
      </c>
    </row>
    <row r="125" spans="1:3" x14ac:dyDescent="0.25">
      <c r="A125" s="824" t="s">
        <v>3265</v>
      </c>
      <c r="B125" s="824" t="s">
        <v>3264</v>
      </c>
      <c r="C125" s="824" t="s">
        <v>3263</v>
      </c>
    </row>
    <row r="126" spans="1:3" x14ac:dyDescent="0.25">
      <c r="A126" s="824" t="s">
        <v>3262</v>
      </c>
      <c r="B126" s="824" t="s">
        <v>3261</v>
      </c>
      <c r="C126" s="824" t="s">
        <v>3260</v>
      </c>
    </row>
    <row r="127" spans="1:3" x14ac:dyDescent="0.25">
      <c r="A127" s="824" t="s">
        <v>3259</v>
      </c>
      <c r="B127" s="824" t="s">
        <v>3258</v>
      </c>
      <c r="C127" s="824" t="s">
        <v>3257</v>
      </c>
    </row>
    <row r="128" spans="1:3" x14ac:dyDescent="0.25">
      <c r="A128" s="824" t="s">
        <v>3256</v>
      </c>
      <c r="B128" s="824" t="s">
        <v>3255</v>
      </c>
      <c r="C128" s="824" t="s">
        <v>3254</v>
      </c>
    </row>
    <row r="129" spans="1:3" x14ac:dyDescent="0.25">
      <c r="A129" s="824" t="s">
        <v>3253</v>
      </c>
      <c r="B129" s="824" t="s">
        <v>3252</v>
      </c>
      <c r="C129" s="824" t="s">
        <v>3251</v>
      </c>
    </row>
    <row r="130" spans="1:3" x14ac:dyDescent="0.25">
      <c r="A130" s="824" t="s">
        <v>3250</v>
      </c>
      <c r="B130" s="824" t="s">
        <v>1030</v>
      </c>
      <c r="C130" s="824" t="s">
        <v>184</v>
      </c>
    </row>
    <row r="131" spans="1:3" x14ac:dyDescent="0.25">
      <c r="A131" s="824" t="s">
        <v>3249</v>
      </c>
      <c r="B131" s="824" t="s">
        <v>1001</v>
      </c>
      <c r="C131" s="824" t="s">
        <v>140</v>
      </c>
    </row>
    <row r="132" spans="1:3" x14ac:dyDescent="0.25">
      <c r="A132" s="824" t="s">
        <v>3248</v>
      </c>
      <c r="B132" s="824" t="s">
        <v>3247</v>
      </c>
      <c r="C132" s="824" t="s">
        <v>3246</v>
      </c>
    </row>
    <row r="133" spans="1:3" x14ac:dyDescent="0.25">
      <c r="A133" s="824" t="s">
        <v>188</v>
      </c>
      <c r="B133" s="824" t="s">
        <v>3245</v>
      </c>
      <c r="C133" s="824" t="s">
        <v>189</v>
      </c>
    </row>
    <row r="134" spans="1:3" x14ac:dyDescent="0.25">
      <c r="A134" s="824" t="s">
        <v>3244</v>
      </c>
      <c r="B134" s="824" t="s">
        <v>3243</v>
      </c>
      <c r="C134" s="824" t="s">
        <v>3242</v>
      </c>
    </row>
    <row r="135" spans="1:3" x14ac:dyDescent="0.25">
      <c r="A135" s="824" t="s">
        <v>3241</v>
      </c>
      <c r="B135" s="824" t="s">
        <v>3240</v>
      </c>
      <c r="C135" s="824" t="s">
        <v>3239</v>
      </c>
    </row>
    <row r="136" spans="1:3" x14ac:dyDescent="0.25">
      <c r="A136" s="824" t="s">
        <v>3238</v>
      </c>
      <c r="B136" s="824" t="s">
        <v>3237</v>
      </c>
      <c r="C136" s="824" t="s">
        <v>3236</v>
      </c>
    </row>
    <row r="137" spans="1:3" x14ac:dyDescent="0.25">
      <c r="A137" s="824" t="s">
        <v>3235</v>
      </c>
      <c r="B137" s="824" t="s">
        <v>3234</v>
      </c>
      <c r="C137" s="824" t="s">
        <v>657</v>
      </c>
    </row>
    <row r="138" spans="1:3" x14ac:dyDescent="0.25">
      <c r="A138" s="824" t="s">
        <v>3233</v>
      </c>
      <c r="B138" s="824" t="s">
        <v>3232</v>
      </c>
      <c r="C138" s="824" t="s">
        <v>3232</v>
      </c>
    </row>
    <row r="139" spans="1:3" x14ac:dyDescent="0.25">
      <c r="A139" s="824" t="s">
        <v>3231</v>
      </c>
      <c r="B139" s="824" t="s">
        <v>3230</v>
      </c>
      <c r="C139" s="824" t="s">
        <v>295</v>
      </c>
    </row>
    <row r="140" spans="1:3" x14ac:dyDescent="0.25">
      <c r="A140" s="824" t="s">
        <v>3229</v>
      </c>
      <c r="B140" s="824" t="s">
        <v>3228</v>
      </c>
      <c r="C140" s="824" t="s">
        <v>3227</v>
      </c>
    </row>
    <row r="141" spans="1:3" x14ac:dyDescent="0.25">
      <c r="A141" s="824" t="s">
        <v>3226</v>
      </c>
      <c r="B141" s="824" t="s">
        <v>3225</v>
      </c>
      <c r="C141" s="824" t="s">
        <v>3224</v>
      </c>
    </row>
    <row r="142" spans="1:3" x14ac:dyDescent="0.25">
      <c r="A142" s="824" t="s">
        <v>3223</v>
      </c>
      <c r="B142" s="824" t="s">
        <v>3222</v>
      </c>
      <c r="C142" s="824" t="s">
        <v>3221</v>
      </c>
    </row>
    <row r="143" spans="1:3" x14ac:dyDescent="0.25">
      <c r="A143" s="824" t="s">
        <v>3220</v>
      </c>
      <c r="B143" s="824" t="s">
        <v>977</v>
      </c>
      <c r="C143" s="824" t="s">
        <v>58</v>
      </c>
    </row>
    <row r="144" spans="1:3" x14ac:dyDescent="0.25">
      <c r="A144" s="824" t="s">
        <v>3219</v>
      </c>
      <c r="B144" s="824" t="s">
        <v>3218</v>
      </c>
      <c r="C144" s="824" t="s">
        <v>3217</v>
      </c>
    </row>
    <row r="145" spans="1:3" x14ac:dyDescent="0.25">
      <c r="A145" s="824" t="s">
        <v>3216</v>
      </c>
      <c r="B145" s="824" t="s">
        <v>3215</v>
      </c>
      <c r="C145" s="824" t="s">
        <v>3214</v>
      </c>
    </row>
    <row r="146" spans="1:3" x14ac:dyDescent="0.25">
      <c r="A146" s="824" t="s">
        <v>3213</v>
      </c>
      <c r="B146" s="824" t="s">
        <v>3212</v>
      </c>
      <c r="C146" s="824" t="s">
        <v>3211</v>
      </c>
    </row>
    <row r="147" spans="1:3" x14ac:dyDescent="0.25">
      <c r="A147" s="824" t="s">
        <v>3210</v>
      </c>
      <c r="B147" s="824" t="s">
        <v>3209</v>
      </c>
      <c r="C147" s="824" t="s">
        <v>3208</v>
      </c>
    </row>
    <row r="148" spans="1:3" x14ac:dyDescent="0.25">
      <c r="A148" s="824" t="s">
        <v>3207</v>
      </c>
      <c r="B148" s="824" t="s">
        <v>3206</v>
      </c>
      <c r="C148" s="824" t="s">
        <v>3205</v>
      </c>
    </row>
    <row r="149" spans="1:3" x14ac:dyDescent="0.25">
      <c r="A149" s="824" t="s">
        <v>3204</v>
      </c>
      <c r="B149" s="824" t="s">
        <v>3203</v>
      </c>
      <c r="C149" s="824" t="s">
        <v>3202</v>
      </c>
    </row>
    <row r="150" spans="1:3" x14ac:dyDescent="0.25">
      <c r="A150" s="824" t="s">
        <v>3201</v>
      </c>
      <c r="B150" s="824" t="s">
        <v>3200</v>
      </c>
      <c r="C150" s="824" t="s">
        <v>3199</v>
      </c>
    </row>
    <row r="151" spans="1:3" x14ac:dyDescent="0.25">
      <c r="A151" s="824" t="s">
        <v>3198</v>
      </c>
      <c r="B151" s="824" t="s">
        <v>479</v>
      </c>
      <c r="C151" s="824" t="s">
        <v>3197</v>
      </c>
    </row>
    <row r="152" spans="1:3" x14ac:dyDescent="0.25">
      <c r="A152" s="824" t="s">
        <v>1151</v>
      </c>
      <c r="B152" s="824" t="s">
        <v>3196</v>
      </c>
      <c r="C152" s="824" t="s">
        <v>3195</v>
      </c>
    </row>
    <row r="153" spans="1:3" x14ac:dyDescent="0.25">
      <c r="A153" s="824" t="s">
        <v>3194</v>
      </c>
      <c r="B153" s="824" t="s">
        <v>3193</v>
      </c>
      <c r="C153" s="824" t="s">
        <v>3192</v>
      </c>
    </row>
    <row r="154" spans="1:3" x14ac:dyDescent="0.25">
      <c r="A154" s="824" t="s">
        <v>3191</v>
      </c>
      <c r="B154" s="824" t="s">
        <v>3190</v>
      </c>
      <c r="C154" s="824" t="s">
        <v>3189</v>
      </c>
    </row>
    <row r="155" spans="1:3" x14ac:dyDescent="0.25">
      <c r="A155" s="824" t="s">
        <v>3188</v>
      </c>
      <c r="B155" s="824" t="s">
        <v>3187</v>
      </c>
      <c r="C155" s="824" t="s">
        <v>3187</v>
      </c>
    </row>
    <row r="156" spans="1:3" x14ac:dyDescent="0.25">
      <c r="A156" s="824" t="s">
        <v>3186</v>
      </c>
      <c r="B156" s="824" t="s">
        <v>3185</v>
      </c>
      <c r="C156" s="824" t="s">
        <v>3184</v>
      </c>
    </row>
    <row r="157" spans="1:3" x14ac:dyDescent="0.25">
      <c r="A157" s="824" t="s">
        <v>3183</v>
      </c>
      <c r="B157" s="824" t="s">
        <v>3182</v>
      </c>
      <c r="C157" s="824" t="s">
        <v>736</v>
      </c>
    </row>
    <row r="158" spans="1:3" x14ac:dyDescent="0.25">
      <c r="A158" s="824" t="s">
        <v>3181</v>
      </c>
      <c r="B158" s="824" t="s">
        <v>3180</v>
      </c>
      <c r="C158" s="824" t="s">
        <v>3179</v>
      </c>
    </row>
    <row r="159" spans="1:3" x14ac:dyDescent="0.25">
      <c r="A159" s="824" t="s">
        <v>3178</v>
      </c>
      <c r="B159" s="824" t="s">
        <v>3177</v>
      </c>
      <c r="C159" s="824" t="s">
        <v>3176</v>
      </c>
    </row>
    <row r="160" spans="1:3" x14ac:dyDescent="0.25">
      <c r="A160" s="824" t="s">
        <v>1183</v>
      </c>
      <c r="B160" s="824" t="s">
        <v>3175</v>
      </c>
      <c r="C160" s="824" t="s">
        <v>3174</v>
      </c>
    </row>
    <row r="161" spans="1:3" x14ac:dyDescent="0.25">
      <c r="A161" s="824" t="s">
        <v>3173</v>
      </c>
      <c r="B161" s="824" t="s">
        <v>3172</v>
      </c>
      <c r="C161" s="824" t="s">
        <v>3171</v>
      </c>
    </row>
    <row r="162" spans="1:3" x14ac:dyDescent="0.25">
      <c r="A162" s="824" t="s">
        <v>3170</v>
      </c>
      <c r="B162" s="824" t="s">
        <v>3169</v>
      </c>
      <c r="C162" s="824" t="s">
        <v>3168</v>
      </c>
    </row>
    <row r="163" spans="1:3" x14ac:dyDescent="0.25">
      <c r="A163" s="824" t="s">
        <v>3167</v>
      </c>
      <c r="B163" s="824" t="s">
        <v>566</v>
      </c>
      <c r="C163" s="824" t="s">
        <v>219</v>
      </c>
    </row>
    <row r="164" spans="1:3" x14ac:dyDescent="0.25">
      <c r="A164" s="824" t="s">
        <v>3166</v>
      </c>
      <c r="B164" s="824" t="s">
        <v>992</v>
      </c>
      <c r="C164" s="824" t="s">
        <v>197</v>
      </c>
    </row>
    <row r="165" spans="1:3" x14ac:dyDescent="0.25">
      <c r="A165" s="824" t="s">
        <v>3165</v>
      </c>
      <c r="B165" s="824" t="s">
        <v>3164</v>
      </c>
      <c r="C165" s="824" t="s">
        <v>3163</v>
      </c>
    </row>
    <row r="166" spans="1:3" x14ac:dyDescent="0.25">
      <c r="A166" s="824" t="s">
        <v>3162</v>
      </c>
      <c r="B166" s="824" t="s">
        <v>3161</v>
      </c>
      <c r="C166" s="824" t="s">
        <v>3160</v>
      </c>
    </row>
    <row r="167" spans="1:3" x14ac:dyDescent="0.25">
      <c r="A167" s="824" t="s">
        <v>3159</v>
      </c>
      <c r="B167" s="824" t="s">
        <v>3158</v>
      </c>
      <c r="C167" s="824" t="s">
        <v>3157</v>
      </c>
    </row>
    <row r="168" spans="1:3" x14ac:dyDescent="0.25">
      <c r="A168" s="824" t="s">
        <v>3156</v>
      </c>
      <c r="B168" s="824" t="s">
        <v>3155</v>
      </c>
      <c r="C168" s="824" t="s">
        <v>3154</v>
      </c>
    </row>
    <row r="169" spans="1:3" x14ac:dyDescent="0.25">
      <c r="A169" s="824" t="s">
        <v>3153</v>
      </c>
      <c r="B169" s="824" t="s">
        <v>3152</v>
      </c>
      <c r="C169" s="824" t="s">
        <v>3151</v>
      </c>
    </row>
    <row r="170" spans="1:3" x14ac:dyDescent="0.25">
      <c r="A170" s="824" t="s">
        <v>3150</v>
      </c>
      <c r="B170" s="824" t="s">
        <v>3149</v>
      </c>
      <c r="C170" s="824" t="s">
        <v>3148</v>
      </c>
    </row>
    <row r="171" spans="1:3" x14ac:dyDescent="0.25">
      <c r="A171" s="824" t="s">
        <v>3147</v>
      </c>
      <c r="B171" s="824" t="s">
        <v>3146</v>
      </c>
      <c r="C171" s="824" t="s">
        <v>3145</v>
      </c>
    </row>
    <row r="172" spans="1:3" x14ac:dyDescent="0.25">
      <c r="A172" s="824" t="s">
        <v>3144</v>
      </c>
      <c r="B172" s="824" t="s">
        <v>3143</v>
      </c>
      <c r="C172" s="824" t="s">
        <v>3142</v>
      </c>
    </row>
    <row r="173" spans="1:3" x14ac:dyDescent="0.25">
      <c r="A173" s="824" t="s">
        <v>3141</v>
      </c>
      <c r="B173" s="824" t="s">
        <v>3140</v>
      </c>
      <c r="C173" s="824" t="s">
        <v>3139</v>
      </c>
    </row>
    <row r="174" spans="1:3" x14ac:dyDescent="0.25">
      <c r="A174" s="824" t="s">
        <v>3138</v>
      </c>
      <c r="B174" s="824" t="s">
        <v>495</v>
      </c>
      <c r="C174" s="824" t="s">
        <v>3137</v>
      </c>
    </row>
    <row r="175" spans="1:3" x14ac:dyDescent="0.25">
      <c r="A175" s="824" t="s">
        <v>3136</v>
      </c>
      <c r="B175" s="824" t="s">
        <v>491</v>
      </c>
      <c r="C175" s="824" t="s">
        <v>3135</v>
      </c>
    </row>
    <row r="176" spans="1:3" x14ac:dyDescent="0.25">
      <c r="A176" s="824" t="s">
        <v>3134</v>
      </c>
      <c r="B176" s="824" t="s">
        <v>3133</v>
      </c>
      <c r="C176" s="824" t="s">
        <v>3132</v>
      </c>
    </row>
    <row r="177" spans="1:3" x14ac:dyDescent="0.25">
      <c r="A177" s="824" t="s">
        <v>3131</v>
      </c>
      <c r="B177" s="824" t="s">
        <v>3130</v>
      </c>
      <c r="C177" s="824" t="s">
        <v>3129</v>
      </c>
    </row>
    <row r="178" spans="1:3" x14ac:dyDescent="0.25">
      <c r="A178" s="824" t="s">
        <v>3128</v>
      </c>
      <c r="B178" s="824" t="s">
        <v>3127</v>
      </c>
      <c r="C178" s="824" t="s">
        <v>3126</v>
      </c>
    </row>
    <row r="179" spans="1:3" x14ac:dyDescent="0.25">
      <c r="A179" s="824" t="s">
        <v>3125</v>
      </c>
      <c r="B179" s="824" t="s">
        <v>3124</v>
      </c>
      <c r="C179" s="824" t="s">
        <v>1103</v>
      </c>
    </row>
    <row r="180" spans="1:3" x14ac:dyDescent="0.25">
      <c r="A180" s="824" t="s">
        <v>3123</v>
      </c>
      <c r="B180" s="824" t="s">
        <v>3122</v>
      </c>
      <c r="C180" s="824" t="s">
        <v>3121</v>
      </c>
    </row>
    <row r="181" spans="1:3" x14ac:dyDescent="0.25">
      <c r="A181" s="824" t="s">
        <v>3120</v>
      </c>
      <c r="B181" s="824" t="s">
        <v>3119</v>
      </c>
      <c r="C181" s="824" t="s">
        <v>3118</v>
      </c>
    </row>
    <row r="182" spans="1:3" x14ac:dyDescent="0.25">
      <c r="A182" s="824" t="s">
        <v>3117</v>
      </c>
      <c r="B182" s="824" t="s">
        <v>3116</v>
      </c>
      <c r="C182" s="824" t="s">
        <v>3115</v>
      </c>
    </row>
    <row r="183" spans="1:3" x14ac:dyDescent="0.25">
      <c r="A183" s="824" t="s">
        <v>3114</v>
      </c>
      <c r="B183" s="824" t="s">
        <v>3113</v>
      </c>
      <c r="C183" s="824" t="s">
        <v>3112</v>
      </c>
    </row>
    <row r="184" spans="1:3" x14ac:dyDescent="0.25">
      <c r="A184" s="824" t="s">
        <v>3111</v>
      </c>
      <c r="B184" s="824" t="s">
        <v>3110</v>
      </c>
      <c r="C184" s="824" t="s">
        <v>56</v>
      </c>
    </row>
    <row r="185" spans="1:3" x14ac:dyDescent="0.25">
      <c r="A185" s="824" t="s">
        <v>3109</v>
      </c>
      <c r="B185" s="824" t="s">
        <v>3108</v>
      </c>
      <c r="C185" s="824" t="s">
        <v>3107</v>
      </c>
    </row>
    <row r="186" spans="1:3" x14ac:dyDescent="0.25">
      <c r="A186" s="824" t="s">
        <v>3106</v>
      </c>
      <c r="B186" s="824" t="s">
        <v>3105</v>
      </c>
      <c r="C186" s="824" t="s">
        <v>3104</v>
      </c>
    </row>
    <row r="187" spans="1:3" x14ac:dyDescent="0.25">
      <c r="A187" s="824" t="s">
        <v>3103</v>
      </c>
      <c r="B187" s="824" t="s">
        <v>3102</v>
      </c>
      <c r="C187" s="824" t="s">
        <v>3101</v>
      </c>
    </row>
    <row r="188" spans="1:3" x14ac:dyDescent="0.25">
      <c r="A188" s="824" t="s">
        <v>3100</v>
      </c>
      <c r="B188" s="824" t="s">
        <v>3099</v>
      </c>
      <c r="C188" s="824" t="s">
        <v>3098</v>
      </c>
    </row>
    <row r="189" spans="1:3" x14ac:dyDescent="0.25">
      <c r="A189" s="824" t="s">
        <v>3097</v>
      </c>
      <c r="B189" s="824" t="s">
        <v>3096</v>
      </c>
      <c r="C189" s="824" t="s">
        <v>267</v>
      </c>
    </row>
    <row r="190" spans="1:3" x14ac:dyDescent="0.25">
      <c r="A190" s="824" t="s">
        <v>3095</v>
      </c>
      <c r="B190" s="824" t="s">
        <v>3094</v>
      </c>
      <c r="C190" s="824" t="s">
        <v>3093</v>
      </c>
    </row>
    <row r="191" spans="1:3" x14ac:dyDescent="0.25">
      <c r="A191" s="824" t="s">
        <v>3092</v>
      </c>
      <c r="B191" s="824" t="s">
        <v>3091</v>
      </c>
      <c r="C191" s="824" t="s">
        <v>3090</v>
      </c>
    </row>
    <row r="192" spans="1:3" x14ac:dyDescent="0.25">
      <c r="A192" s="824" t="s">
        <v>3089</v>
      </c>
      <c r="B192" s="824" t="s">
        <v>3088</v>
      </c>
      <c r="C192" s="824" t="s">
        <v>3087</v>
      </c>
    </row>
    <row r="193" spans="1:3" x14ac:dyDescent="0.25">
      <c r="A193" s="824" t="s">
        <v>3086</v>
      </c>
      <c r="B193" s="824" t="s">
        <v>988</v>
      </c>
      <c r="C193" s="824" t="s">
        <v>3085</v>
      </c>
    </row>
    <row r="194" spans="1:3" x14ac:dyDescent="0.25">
      <c r="A194" s="824" t="s">
        <v>3084</v>
      </c>
      <c r="B194" s="824" t="s">
        <v>3083</v>
      </c>
      <c r="C194" s="824" t="s">
        <v>738</v>
      </c>
    </row>
    <row r="195" spans="1:3" x14ac:dyDescent="0.25">
      <c r="A195" s="824" t="s">
        <v>3082</v>
      </c>
      <c r="B195" s="824" t="s">
        <v>484</v>
      </c>
      <c r="C195" s="824" t="s">
        <v>449</v>
      </c>
    </row>
    <row r="196" spans="1:3" x14ac:dyDescent="0.25">
      <c r="A196" s="824" t="s">
        <v>3081</v>
      </c>
      <c r="B196" s="824" t="s">
        <v>3080</v>
      </c>
      <c r="C196" s="824" t="s">
        <v>3079</v>
      </c>
    </row>
    <row r="197" spans="1:3" x14ac:dyDescent="0.25">
      <c r="A197" s="824" t="s">
        <v>1216</v>
      </c>
      <c r="B197" s="824" t="s">
        <v>3078</v>
      </c>
      <c r="C197" s="824" t="s">
        <v>3077</v>
      </c>
    </row>
    <row r="198" spans="1:3" x14ac:dyDescent="0.25">
      <c r="A198" s="824" t="s">
        <v>3076</v>
      </c>
      <c r="B198" s="824" t="s">
        <v>892</v>
      </c>
      <c r="C198" s="824" t="s">
        <v>3075</v>
      </c>
    </row>
    <row r="199" spans="1:3" x14ac:dyDescent="0.25">
      <c r="A199" s="824" t="s">
        <v>3074</v>
      </c>
      <c r="B199" s="824" t="s">
        <v>3073</v>
      </c>
      <c r="C199" s="824" t="s">
        <v>3072</v>
      </c>
    </row>
    <row r="200" spans="1:3" x14ac:dyDescent="0.25">
      <c r="A200" s="824" t="s">
        <v>3071</v>
      </c>
      <c r="B200" s="824" t="s">
        <v>3070</v>
      </c>
      <c r="C200" s="824" t="s">
        <v>3069</v>
      </c>
    </row>
    <row r="201" spans="1:3" x14ac:dyDescent="0.25">
      <c r="A201" s="824" t="s">
        <v>3068</v>
      </c>
      <c r="B201" s="824" t="s">
        <v>3067</v>
      </c>
      <c r="C201" s="824" t="s">
        <v>3066</v>
      </c>
    </row>
    <row r="202" spans="1:3" x14ac:dyDescent="0.25">
      <c r="A202" s="824" t="s">
        <v>3065</v>
      </c>
      <c r="B202" s="824" t="s">
        <v>3064</v>
      </c>
      <c r="C202" s="824" t="s">
        <v>751</v>
      </c>
    </row>
    <row r="203" spans="1:3" x14ac:dyDescent="0.25">
      <c r="A203" s="824" t="s">
        <v>3063</v>
      </c>
      <c r="B203" s="824" t="s">
        <v>3062</v>
      </c>
      <c r="C203" s="824" t="s">
        <v>3061</v>
      </c>
    </row>
    <row r="204" spans="1:3" x14ac:dyDescent="0.25">
      <c r="A204" s="824" t="s">
        <v>3060</v>
      </c>
      <c r="B204" s="824" t="s">
        <v>3059</v>
      </c>
      <c r="C204" s="824" t="s">
        <v>3058</v>
      </c>
    </row>
    <row r="205" spans="1:3" x14ac:dyDescent="0.25">
      <c r="A205" s="824" t="s">
        <v>3057</v>
      </c>
      <c r="B205" s="824" t="s">
        <v>3056</v>
      </c>
      <c r="C205" s="824" t="s">
        <v>3055</v>
      </c>
    </row>
    <row r="206" spans="1:3" x14ac:dyDescent="0.25">
      <c r="A206" s="824" t="s">
        <v>3054</v>
      </c>
      <c r="B206" s="824" t="s">
        <v>995</v>
      </c>
      <c r="C206" s="824" t="s">
        <v>703</v>
      </c>
    </row>
    <row r="207" spans="1:3" x14ac:dyDescent="0.25">
      <c r="A207" s="824" t="s">
        <v>3053</v>
      </c>
      <c r="B207" s="824" t="s">
        <v>3052</v>
      </c>
      <c r="C207" s="824" t="s">
        <v>3051</v>
      </c>
    </row>
    <row r="208" spans="1:3" x14ac:dyDescent="0.25">
      <c r="A208" s="824" t="s">
        <v>3050</v>
      </c>
      <c r="B208" s="824" t="s">
        <v>3049</v>
      </c>
      <c r="C208" s="824" t="s">
        <v>3048</v>
      </c>
    </row>
    <row r="209" spans="1:3" x14ac:dyDescent="0.25">
      <c r="A209" s="824" t="s">
        <v>3047</v>
      </c>
      <c r="B209" s="824" t="s">
        <v>607</v>
      </c>
      <c r="C209" s="824" t="s">
        <v>414</v>
      </c>
    </row>
    <row r="210" spans="1:3" x14ac:dyDescent="0.25">
      <c r="A210" s="824" t="s">
        <v>3046</v>
      </c>
      <c r="B210" s="824" t="s">
        <v>3045</v>
      </c>
      <c r="C210" s="824" t="s">
        <v>3044</v>
      </c>
    </row>
    <row r="211" spans="1:3" x14ac:dyDescent="0.25">
      <c r="A211" s="824" t="s">
        <v>3043</v>
      </c>
      <c r="B211" s="824" t="s">
        <v>3042</v>
      </c>
      <c r="C211" s="824" t="s">
        <v>3041</v>
      </c>
    </row>
    <row r="212" spans="1:3" x14ac:dyDescent="0.25">
      <c r="A212" s="824" t="s">
        <v>3040</v>
      </c>
      <c r="B212" s="824" t="s">
        <v>3039</v>
      </c>
      <c r="C212" s="824" t="s">
        <v>3038</v>
      </c>
    </row>
    <row r="213" spans="1:3" x14ac:dyDescent="0.25">
      <c r="A213" s="824" t="s">
        <v>3037</v>
      </c>
      <c r="B213" s="824" t="s">
        <v>3036</v>
      </c>
      <c r="C213" s="824" t="s">
        <v>3035</v>
      </c>
    </row>
    <row r="214" spans="1:3" x14ac:dyDescent="0.25">
      <c r="A214" s="824" t="s">
        <v>3034</v>
      </c>
      <c r="B214" s="824" t="s">
        <v>3033</v>
      </c>
      <c r="C214" s="824" t="s">
        <v>3032</v>
      </c>
    </row>
    <row r="215" spans="1:3" x14ac:dyDescent="0.25">
      <c r="A215" s="824" t="s">
        <v>3031</v>
      </c>
      <c r="B215" s="824" t="s">
        <v>3030</v>
      </c>
      <c r="C215" s="824" t="s">
        <v>3029</v>
      </c>
    </row>
    <row r="216" spans="1:3" x14ac:dyDescent="0.25">
      <c r="A216" s="824" t="s">
        <v>3028</v>
      </c>
      <c r="B216" s="824" t="s">
        <v>3027</v>
      </c>
      <c r="C216" s="824" t="s">
        <v>3026</v>
      </c>
    </row>
    <row r="217" spans="1:3" x14ac:dyDescent="0.25">
      <c r="A217" s="824" t="s">
        <v>3025</v>
      </c>
      <c r="B217" s="824" t="s">
        <v>3024</v>
      </c>
      <c r="C217" s="824" t="s">
        <v>3023</v>
      </c>
    </row>
    <row r="218" spans="1:3" x14ac:dyDescent="0.25">
      <c r="A218" s="824" t="s">
        <v>3022</v>
      </c>
      <c r="B218" s="824" t="s">
        <v>3021</v>
      </c>
      <c r="C218" s="824" t="s">
        <v>3020</v>
      </c>
    </row>
    <row r="219" spans="1:3" x14ac:dyDescent="0.25">
      <c r="A219" s="824" t="s">
        <v>3019</v>
      </c>
      <c r="B219" s="824" t="s">
        <v>3018</v>
      </c>
      <c r="C219" s="824" t="s">
        <v>3017</v>
      </c>
    </row>
    <row r="220" spans="1:3" x14ac:dyDescent="0.25">
      <c r="A220" s="824" t="s">
        <v>3016</v>
      </c>
      <c r="B220" s="824" t="s">
        <v>528</v>
      </c>
      <c r="C220" s="824" t="s">
        <v>243</v>
      </c>
    </row>
    <row r="221" spans="1:3" x14ac:dyDescent="0.25">
      <c r="A221" s="824" t="s">
        <v>3015</v>
      </c>
      <c r="B221" s="824" t="s">
        <v>3014</v>
      </c>
      <c r="C221" s="824" t="s">
        <v>3013</v>
      </c>
    </row>
    <row r="222" spans="1:3" x14ac:dyDescent="0.25">
      <c r="A222" s="824" t="s">
        <v>3012</v>
      </c>
      <c r="B222" s="824" t="s">
        <v>3011</v>
      </c>
      <c r="C222" s="824" t="s">
        <v>3010</v>
      </c>
    </row>
    <row r="223" spans="1:3" x14ac:dyDescent="0.25">
      <c r="A223" s="824" t="s">
        <v>3009</v>
      </c>
      <c r="B223" s="824" t="s">
        <v>3008</v>
      </c>
      <c r="C223" s="824" t="s">
        <v>3007</v>
      </c>
    </row>
    <row r="224" spans="1:3" x14ac:dyDescent="0.25">
      <c r="A224" s="824" t="s">
        <v>3006</v>
      </c>
      <c r="B224" s="824" t="s">
        <v>3005</v>
      </c>
      <c r="C224" s="824" t="s">
        <v>3004</v>
      </c>
    </row>
    <row r="225" spans="1:3" x14ac:dyDescent="0.25">
      <c r="A225" s="824" t="s">
        <v>3003</v>
      </c>
      <c r="B225" s="824" t="s">
        <v>3002</v>
      </c>
      <c r="C225" s="824" t="s">
        <v>3001</v>
      </c>
    </row>
    <row r="226" spans="1:3" x14ac:dyDescent="0.25">
      <c r="A226" s="824" t="s">
        <v>3000</v>
      </c>
      <c r="B226" s="824" t="s">
        <v>2999</v>
      </c>
      <c r="C226" s="824" t="s">
        <v>2998</v>
      </c>
    </row>
    <row r="227" spans="1:3" x14ac:dyDescent="0.25">
      <c r="A227" s="824" t="s">
        <v>2997</v>
      </c>
      <c r="B227" s="824" t="s">
        <v>2996</v>
      </c>
      <c r="C227" s="824" t="s">
        <v>2995</v>
      </c>
    </row>
    <row r="228" spans="1:3" x14ac:dyDescent="0.25">
      <c r="A228" s="824" t="s">
        <v>2994</v>
      </c>
      <c r="B228" s="824" t="s">
        <v>2993</v>
      </c>
      <c r="C228" s="824" t="s">
        <v>2992</v>
      </c>
    </row>
    <row r="229" spans="1:3" x14ac:dyDescent="0.25">
      <c r="A229" s="824" t="s">
        <v>2991</v>
      </c>
      <c r="B229" s="824" t="s">
        <v>2990</v>
      </c>
      <c r="C229" s="824" t="s">
        <v>2989</v>
      </c>
    </row>
    <row r="230" spans="1:3" x14ac:dyDescent="0.25">
      <c r="A230" s="824" t="s">
        <v>2988</v>
      </c>
      <c r="B230" s="824" t="s">
        <v>2987</v>
      </c>
      <c r="C230" s="824" t="s">
        <v>2986</v>
      </c>
    </row>
    <row r="231" spans="1:3" x14ac:dyDescent="0.25">
      <c r="A231" s="824" t="s">
        <v>2985</v>
      </c>
      <c r="B231" s="824" t="s">
        <v>2984</v>
      </c>
      <c r="C231" s="824" t="s">
        <v>2983</v>
      </c>
    </row>
    <row r="232" spans="1:3" x14ac:dyDescent="0.25">
      <c r="A232" s="824" t="s">
        <v>2982</v>
      </c>
      <c r="B232" s="824" t="s">
        <v>2981</v>
      </c>
      <c r="C232" s="824" t="s">
        <v>2980</v>
      </c>
    </row>
    <row r="233" spans="1:3" x14ac:dyDescent="0.25">
      <c r="A233" s="824" t="s">
        <v>2979</v>
      </c>
      <c r="B233" s="824" t="s">
        <v>1067</v>
      </c>
      <c r="C233" s="824" t="s">
        <v>169</v>
      </c>
    </row>
    <row r="234" spans="1:3" x14ac:dyDescent="0.25">
      <c r="A234" s="824" t="s">
        <v>2978</v>
      </c>
      <c r="B234" s="824" t="s">
        <v>2977</v>
      </c>
      <c r="C234" s="824" t="s">
        <v>2976</v>
      </c>
    </row>
    <row r="235" spans="1:3" x14ac:dyDescent="0.25">
      <c r="A235" s="824" t="s">
        <v>2975</v>
      </c>
      <c r="B235" s="824" t="s">
        <v>2974</v>
      </c>
      <c r="C235" s="824" t="s">
        <v>2973</v>
      </c>
    </row>
    <row r="236" spans="1:3" x14ac:dyDescent="0.25">
      <c r="A236" s="824" t="s">
        <v>2972</v>
      </c>
      <c r="B236" s="824" t="s">
        <v>2971</v>
      </c>
      <c r="C236" s="824" t="s">
        <v>2970</v>
      </c>
    </row>
    <row r="237" spans="1:3" x14ac:dyDescent="0.25">
      <c r="A237" s="824" t="s">
        <v>2969</v>
      </c>
      <c r="B237" s="824" t="s">
        <v>2968</v>
      </c>
      <c r="C237" s="824" t="s">
        <v>2967</v>
      </c>
    </row>
    <row r="238" spans="1:3" x14ac:dyDescent="0.25">
      <c r="A238" s="824" t="s">
        <v>2966</v>
      </c>
      <c r="B238" s="824" t="s">
        <v>2965</v>
      </c>
      <c r="C238" s="824" t="s">
        <v>2964</v>
      </c>
    </row>
    <row r="239" spans="1:3" x14ac:dyDescent="0.25">
      <c r="A239" s="824" t="s">
        <v>2963</v>
      </c>
      <c r="B239" s="824" t="s">
        <v>2962</v>
      </c>
      <c r="C239" s="824" t="s">
        <v>2961</v>
      </c>
    </row>
    <row r="240" spans="1:3" x14ac:dyDescent="0.25">
      <c r="A240" s="824" t="s">
        <v>2960</v>
      </c>
      <c r="B240" s="824" t="s">
        <v>2959</v>
      </c>
      <c r="C240" s="824" t="s">
        <v>2958</v>
      </c>
    </row>
    <row r="241" spans="1:3" x14ac:dyDescent="0.25">
      <c r="A241" s="824" t="s">
        <v>2957</v>
      </c>
      <c r="B241" s="824" t="s">
        <v>2956</v>
      </c>
      <c r="C241" s="824" t="s">
        <v>2955</v>
      </c>
    </row>
    <row r="242" spans="1:3" x14ac:dyDescent="0.25">
      <c r="A242" s="824" t="s">
        <v>2954</v>
      </c>
      <c r="B242" s="824" t="s">
        <v>2953</v>
      </c>
      <c r="C242" s="824" t="s">
        <v>2952</v>
      </c>
    </row>
    <row r="243" spans="1:3" x14ac:dyDescent="0.25">
      <c r="A243" s="824" t="s">
        <v>2951</v>
      </c>
      <c r="B243" s="824" t="s">
        <v>2950</v>
      </c>
      <c r="C243" s="824" t="s">
        <v>2949</v>
      </c>
    </row>
    <row r="244" spans="1:3" x14ac:dyDescent="0.25">
      <c r="A244" s="824" t="s">
        <v>2948</v>
      </c>
      <c r="B244" s="824" t="s">
        <v>2947</v>
      </c>
      <c r="C244" s="824" t="s">
        <v>2946</v>
      </c>
    </row>
    <row r="245" spans="1:3" x14ac:dyDescent="0.25">
      <c r="A245" s="824" t="s">
        <v>2945</v>
      </c>
      <c r="B245" s="824" t="s">
        <v>2944</v>
      </c>
      <c r="C245" s="824" t="s">
        <v>2943</v>
      </c>
    </row>
    <row r="246" spans="1:3" x14ac:dyDescent="0.25">
      <c r="A246" s="824" t="s">
        <v>2942</v>
      </c>
      <c r="B246" s="824" t="s">
        <v>874</v>
      </c>
      <c r="C246" s="824" t="s">
        <v>2941</v>
      </c>
    </row>
    <row r="247" spans="1:3" x14ac:dyDescent="0.25">
      <c r="A247" s="824" t="s">
        <v>2940</v>
      </c>
      <c r="B247" s="824" t="s">
        <v>2939</v>
      </c>
      <c r="C247" s="824" t="s">
        <v>2938</v>
      </c>
    </row>
    <row r="248" spans="1:3" x14ac:dyDescent="0.25">
      <c r="A248" s="824" t="s">
        <v>2937</v>
      </c>
      <c r="B248" s="824" t="s">
        <v>2936</v>
      </c>
      <c r="C248" s="824" t="s">
        <v>2935</v>
      </c>
    </row>
    <row r="249" spans="1:3" x14ac:dyDescent="0.25">
      <c r="A249" s="824" t="s">
        <v>2934</v>
      </c>
      <c r="B249" s="824" t="s">
        <v>539</v>
      </c>
      <c r="C249" s="824" t="s">
        <v>2933</v>
      </c>
    </row>
    <row r="250" spans="1:3" x14ac:dyDescent="0.25">
      <c r="A250" s="824" t="s">
        <v>2932</v>
      </c>
      <c r="B250" s="824" t="s">
        <v>501</v>
      </c>
      <c r="C250" s="824" t="s">
        <v>763</v>
      </c>
    </row>
    <row r="251" spans="1:3" x14ac:dyDescent="0.25">
      <c r="A251" s="824" t="s">
        <v>2931</v>
      </c>
      <c r="B251" s="824" t="s">
        <v>2930</v>
      </c>
      <c r="C251" s="824" t="s">
        <v>2929</v>
      </c>
    </row>
    <row r="252" spans="1:3" x14ac:dyDescent="0.25">
      <c r="A252" s="824" t="s">
        <v>2928</v>
      </c>
      <c r="B252" s="824" t="s">
        <v>2927</v>
      </c>
      <c r="C252" s="824" t="s">
        <v>2926</v>
      </c>
    </row>
    <row r="253" spans="1:3" x14ac:dyDescent="0.25">
      <c r="A253" s="824" t="s">
        <v>2925</v>
      </c>
      <c r="B253" s="824" t="s">
        <v>878</v>
      </c>
      <c r="C253" s="824" t="s">
        <v>2924</v>
      </c>
    </row>
    <row r="254" spans="1:3" x14ac:dyDescent="0.25">
      <c r="A254" s="824" t="s">
        <v>2923</v>
      </c>
      <c r="B254" s="824" t="s">
        <v>2922</v>
      </c>
      <c r="C254" s="824" t="s">
        <v>2921</v>
      </c>
    </row>
    <row r="255" spans="1:3" x14ac:dyDescent="0.25">
      <c r="A255" s="824" t="s">
        <v>2920</v>
      </c>
      <c r="B255" s="824" t="s">
        <v>510</v>
      </c>
      <c r="C255" s="824" t="s">
        <v>448</v>
      </c>
    </row>
    <row r="256" spans="1:3" x14ac:dyDescent="0.25">
      <c r="A256" s="824" t="s">
        <v>2919</v>
      </c>
      <c r="B256" s="824" t="s">
        <v>2918</v>
      </c>
      <c r="C256" s="824" t="s">
        <v>2917</v>
      </c>
    </row>
    <row r="257" spans="1:3" x14ac:dyDescent="0.25">
      <c r="A257" s="824" t="s">
        <v>2916</v>
      </c>
      <c r="B257" s="824" t="s">
        <v>2915</v>
      </c>
      <c r="C257" s="824" t="s">
        <v>2914</v>
      </c>
    </row>
    <row r="258" spans="1:3" x14ac:dyDescent="0.25">
      <c r="A258" s="824" t="s">
        <v>2913</v>
      </c>
      <c r="B258" s="824" t="s">
        <v>2912</v>
      </c>
      <c r="C258" s="824" t="s">
        <v>2911</v>
      </c>
    </row>
    <row r="259" spans="1:3" x14ac:dyDescent="0.25">
      <c r="A259" s="824" t="s">
        <v>2910</v>
      </c>
      <c r="B259" s="824" t="s">
        <v>2909</v>
      </c>
      <c r="C259" s="824" t="s">
        <v>2908</v>
      </c>
    </row>
    <row r="260" spans="1:3" x14ac:dyDescent="0.25">
      <c r="A260" s="824" t="s">
        <v>2907</v>
      </c>
      <c r="B260" s="824" t="s">
        <v>2906</v>
      </c>
      <c r="C260" s="824" t="s">
        <v>2905</v>
      </c>
    </row>
    <row r="261" spans="1:3" x14ac:dyDescent="0.25">
      <c r="A261" s="824" t="s">
        <v>2904</v>
      </c>
      <c r="B261" s="824" t="s">
        <v>2903</v>
      </c>
      <c r="C261" s="824" t="s">
        <v>660</v>
      </c>
    </row>
    <row r="262" spans="1:3" x14ac:dyDescent="0.25">
      <c r="A262" s="824" t="s">
        <v>2902</v>
      </c>
      <c r="B262" s="824" t="s">
        <v>2901</v>
      </c>
      <c r="C262" s="824" t="s">
        <v>2900</v>
      </c>
    </row>
    <row r="263" spans="1:3" x14ac:dyDescent="0.25">
      <c r="A263" s="824" t="s">
        <v>2899</v>
      </c>
      <c r="B263" s="824" t="s">
        <v>2898</v>
      </c>
      <c r="C263" s="824" t="s">
        <v>2897</v>
      </c>
    </row>
    <row r="264" spans="1:3" x14ac:dyDescent="0.25">
      <c r="A264" s="824" t="s">
        <v>2896</v>
      </c>
      <c r="B264" s="824" t="s">
        <v>2895</v>
      </c>
      <c r="C264" s="824" t="s">
        <v>2894</v>
      </c>
    </row>
    <row r="265" spans="1:3" x14ac:dyDescent="0.25">
      <c r="A265" s="824" t="s">
        <v>2893</v>
      </c>
      <c r="B265" s="824" t="s">
        <v>2892</v>
      </c>
      <c r="C265" s="824" t="s">
        <v>2891</v>
      </c>
    </row>
    <row r="266" spans="1:3" x14ac:dyDescent="0.25">
      <c r="A266" s="824" t="s">
        <v>2890</v>
      </c>
      <c r="B266" s="824" t="s">
        <v>2889</v>
      </c>
      <c r="C266" s="824" t="s">
        <v>2888</v>
      </c>
    </row>
    <row r="267" spans="1:3" x14ac:dyDescent="0.25">
      <c r="A267" s="824" t="s">
        <v>2887</v>
      </c>
      <c r="B267" s="824" t="s">
        <v>2886</v>
      </c>
      <c r="C267" s="824" t="s">
        <v>2885</v>
      </c>
    </row>
    <row r="268" spans="1:3" x14ac:dyDescent="0.25">
      <c r="A268" s="824" t="s">
        <v>338</v>
      </c>
      <c r="B268" s="824" t="s">
        <v>1043</v>
      </c>
      <c r="C268" s="824" t="s">
        <v>331</v>
      </c>
    </row>
    <row r="269" spans="1:3" x14ac:dyDescent="0.25">
      <c r="A269" s="824" t="s">
        <v>2884</v>
      </c>
      <c r="B269" s="824" t="s">
        <v>500</v>
      </c>
      <c r="C269" s="824" t="s">
        <v>2883</v>
      </c>
    </row>
    <row r="270" spans="1:3" x14ac:dyDescent="0.25">
      <c r="A270" s="824" t="s">
        <v>2882</v>
      </c>
      <c r="B270" s="824" t="s">
        <v>493</v>
      </c>
      <c r="C270" s="824" t="s">
        <v>764</v>
      </c>
    </row>
    <row r="271" spans="1:3" x14ac:dyDescent="0.25">
      <c r="A271" s="824" t="s">
        <v>2881</v>
      </c>
      <c r="B271" s="824" t="s">
        <v>2880</v>
      </c>
      <c r="C271" s="824" t="s">
        <v>2879</v>
      </c>
    </row>
    <row r="272" spans="1:3" x14ac:dyDescent="0.25">
      <c r="A272" s="824" t="s">
        <v>2878</v>
      </c>
      <c r="B272" s="824" t="s">
        <v>2877</v>
      </c>
      <c r="C272" s="824" t="s">
        <v>2876</v>
      </c>
    </row>
    <row r="273" spans="1:3" x14ac:dyDescent="0.25">
      <c r="A273" s="824" t="s">
        <v>2875</v>
      </c>
      <c r="B273" s="824" t="s">
        <v>2874</v>
      </c>
      <c r="C273" s="824" t="s">
        <v>2874</v>
      </c>
    </row>
    <row r="274" spans="1:3" x14ac:dyDescent="0.25">
      <c r="A274" s="824" t="s">
        <v>2873</v>
      </c>
      <c r="B274" s="824" t="s">
        <v>2872</v>
      </c>
      <c r="C274" s="824" t="s">
        <v>2871</v>
      </c>
    </row>
    <row r="275" spans="1:3" x14ac:dyDescent="0.25">
      <c r="A275" s="824" t="s">
        <v>2870</v>
      </c>
      <c r="B275" s="824" t="s">
        <v>2869</v>
      </c>
      <c r="C275" s="824" t="s">
        <v>2868</v>
      </c>
    </row>
    <row r="276" spans="1:3" x14ac:dyDescent="0.25">
      <c r="A276" s="824" t="s">
        <v>2867</v>
      </c>
      <c r="B276" s="824" t="s">
        <v>2866</v>
      </c>
      <c r="C276" s="824" t="s">
        <v>2865</v>
      </c>
    </row>
    <row r="277" spans="1:3" x14ac:dyDescent="0.25">
      <c r="A277" s="824" t="s">
        <v>2864</v>
      </c>
      <c r="B277" s="824" t="s">
        <v>2863</v>
      </c>
      <c r="C277" s="824" t="s">
        <v>2862</v>
      </c>
    </row>
    <row r="278" spans="1:3" x14ac:dyDescent="0.25">
      <c r="A278" s="824" t="s">
        <v>2861</v>
      </c>
      <c r="B278" s="824" t="s">
        <v>472</v>
      </c>
      <c r="C278" s="824" t="s">
        <v>2860</v>
      </c>
    </row>
    <row r="279" spans="1:3" x14ac:dyDescent="0.25">
      <c r="A279" s="824" t="s">
        <v>2859</v>
      </c>
      <c r="B279" s="824" t="s">
        <v>2858</v>
      </c>
      <c r="C279" s="824" t="s">
        <v>2857</v>
      </c>
    </row>
    <row r="280" spans="1:3" x14ac:dyDescent="0.25">
      <c r="A280" s="824" t="s">
        <v>2856</v>
      </c>
      <c r="B280" s="824" t="s">
        <v>2855</v>
      </c>
      <c r="C280" s="824" t="s">
        <v>2854</v>
      </c>
    </row>
    <row r="281" spans="1:3" x14ac:dyDescent="0.25">
      <c r="A281" s="824" t="s">
        <v>2853</v>
      </c>
      <c r="B281" s="824" t="s">
        <v>2852</v>
      </c>
      <c r="C281" s="824" t="s">
        <v>2851</v>
      </c>
    </row>
    <row r="282" spans="1:3" x14ac:dyDescent="0.25">
      <c r="A282" s="824" t="s">
        <v>2850</v>
      </c>
      <c r="B282" s="824" t="s">
        <v>2849</v>
      </c>
      <c r="C282" s="824" t="s">
        <v>2848</v>
      </c>
    </row>
    <row r="283" spans="1:3" x14ac:dyDescent="0.25">
      <c r="A283" s="824" t="s">
        <v>2847</v>
      </c>
      <c r="B283" s="824" t="s">
        <v>2846</v>
      </c>
      <c r="C283" s="824" t="s">
        <v>2845</v>
      </c>
    </row>
    <row r="284" spans="1:3" x14ac:dyDescent="0.25">
      <c r="A284" s="824" t="s">
        <v>2844</v>
      </c>
      <c r="B284" s="824" t="s">
        <v>2843</v>
      </c>
      <c r="C284" s="824" t="s">
        <v>2842</v>
      </c>
    </row>
    <row r="285" spans="1:3" x14ac:dyDescent="0.25">
      <c r="A285" s="824" t="s">
        <v>2841</v>
      </c>
      <c r="B285" s="824" t="s">
        <v>2840</v>
      </c>
      <c r="C285" s="824" t="s">
        <v>697</v>
      </c>
    </row>
    <row r="286" spans="1:3" x14ac:dyDescent="0.25">
      <c r="A286" s="824" t="s">
        <v>2839</v>
      </c>
      <c r="B286" s="824" t="s">
        <v>2838</v>
      </c>
      <c r="C286" s="824" t="s">
        <v>2837</v>
      </c>
    </row>
    <row r="287" spans="1:3" x14ac:dyDescent="0.25">
      <c r="A287" s="824" t="s">
        <v>2836</v>
      </c>
      <c r="B287" s="824" t="s">
        <v>2835</v>
      </c>
      <c r="C287" s="824" t="s">
        <v>2834</v>
      </c>
    </row>
    <row r="288" spans="1:3" x14ac:dyDescent="0.25">
      <c r="A288" s="824" t="s">
        <v>2833</v>
      </c>
      <c r="B288" s="824" t="s">
        <v>2832</v>
      </c>
      <c r="C288" s="824" t="s">
        <v>2831</v>
      </c>
    </row>
    <row r="289" spans="1:3" x14ac:dyDescent="0.25">
      <c r="A289" s="824" t="s">
        <v>1149</v>
      </c>
      <c r="B289" s="824" t="s">
        <v>2830</v>
      </c>
      <c r="C289" s="824" t="s">
        <v>1149</v>
      </c>
    </row>
    <row r="290" spans="1:3" x14ac:dyDescent="0.25">
      <c r="A290" s="824" t="s">
        <v>2829</v>
      </c>
      <c r="B290" s="824" t="s">
        <v>2828</v>
      </c>
      <c r="C290" s="824" t="s">
        <v>2827</v>
      </c>
    </row>
    <row r="291" spans="1:3" x14ac:dyDescent="0.25">
      <c r="A291" s="824" t="s">
        <v>2826</v>
      </c>
      <c r="B291" s="824" t="s">
        <v>2825</v>
      </c>
      <c r="C291" s="824" t="s">
        <v>332</v>
      </c>
    </row>
    <row r="292" spans="1:3" x14ac:dyDescent="0.25">
      <c r="A292" s="824" t="s">
        <v>2824</v>
      </c>
      <c r="B292" s="824" t="s">
        <v>981</v>
      </c>
      <c r="C292" s="824" t="s">
        <v>2823</v>
      </c>
    </row>
    <row r="293" spans="1:3" x14ac:dyDescent="0.25">
      <c r="A293" s="824" t="s">
        <v>2822</v>
      </c>
      <c r="B293" s="824" t="s">
        <v>2821</v>
      </c>
      <c r="C293" s="824" t="s">
        <v>2820</v>
      </c>
    </row>
    <row r="294" spans="1:3" x14ac:dyDescent="0.25">
      <c r="A294" s="824" t="s">
        <v>2819</v>
      </c>
      <c r="B294" s="824" t="s">
        <v>570</v>
      </c>
      <c r="C294" s="824" t="s">
        <v>678</v>
      </c>
    </row>
    <row r="295" spans="1:3" x14ac:dyDescent="0.25">
      <c r="A295" s="824" t="s">
        <v>2818</v>
      </c>
      <c r="B295" s="824" t="s">
        <v>2817</v>
      </c>
      <c r="C295" s="824" t="s">
        <v>2816</v>
      </c>
    </row>
    <row r="296" spans="1:3" x14ac:dyDescent="0.25">
      <c r="A296" s="824" t="s">
        <v>2815</v>
      </c>
      <c r="B296" s="824" t="s">
        <v>2814</v>
      </c>
      <c r="C296" s="824" t="s">
        <v>2813</v>
      </c>
    </row>
    <row r="297" spans="1:3" x14ac:dyDescent="0.25">
      <c r="A297" s="824" t="s">
        <v>2812</v>
      </c>
      <c r="B297" s="824" t="s">
        <v>973</v>
      </c>
      <c r="C297" s="824" t="s">
        <v>2811</v>
      </c>
    </row>
    <row r="298" spans="1:3" x14ac:dyDescent="0.25">
      <c r="A298" s="824" t="s">
        <v>2810</v>
      </c>
      <c r="B298" s="824" t="s">
        <v>2809</v>
      </c>
      <c r="C298" s="824" t="s">
        <v>2809</v>
      </c>
    </row>
    <row r="299" spans="1:3" x14ac:dyDescent="0.25">
      <c r="A299" s="824" t="s">
        <v>2808</v>
      </c>
      <c r="B299" s="824" t="s">
        <v>477</v>
      </c>
      <c r="C299" s="824" t="s">
        <v>2807</v>
      </c>
    </row>
    <row r="300" spans="1:3" x14ac:dyDescent="0.25">
      <c r="A300" s="824" t="s">
        <v>2806</v>
      </c>
      <c r="B300" s="824" t="s">
        <v>2805</v>
      </c>
      <c r="C300" s="824" t="s">
        <v>753</v>
      </c>
    </row>
    <row r="301" spans="1:3" x14ac:dyDescent="0.25">
      <c r="A301" s="824" t="s">
        <v>2804</v>
      </c>
      <c r="B301" s="824" t="s">
        <v>2803</v>
      </c>
      <c r="C301" s="824" t="s">
        <v>2802</v>
      </c>
    </row>
    <row r="302" spans="1:3" x14ac:dyDescent="0.25">
      <c r="A302" s="824" t="s">
        <v>2801</v>
      </c>
      <c r="B302" s="824" t="s">
        <v>2800</v>
      </c>
      <c r="C302" s="824" t="s">
        <v>2800</v>
      </c>
    </row>
    <row r="303" spans="1:3" x14ac:dyDescent="0.25">
      <c r="A303" s="824" t="s">
        <v>2799</v>
      </c>
      <c r="B303" s="824" t="s">
        <v>2798</v>
      </c>
      <c r="C303" s="824" t="s">
        <v>2797</v>
      </c>
    </row>
    <row r="304" spans="1:3" x14ac:dyDescent="0.25">
      <c r="A304" s="824" t="s">
        <v>2796</v>
      </c>
      <c r="B304" s="824" t="s">
        <v>2795</v>
      </c>
      <c r="C304" s="824" t="s">
        <v>2794</v>
      </c>
    </row>
    <row r="305" spans="1:3" x14ac:dyDescent="0.25">
      <c r="A305" s="824" t="s">
        <v>2793</v>
      </c>
      <c r="B305" s="824" t="s">
        <v>2792</v>
      </c>
      <c r="C305" s="824" t="s">
        <v>2791</v>
      </c>
    </row>
    <row r="306" spans="1:3" x14ac:dyDescent="0.25">
      <c r="A306" s="824" t="s">
        <v>1315</v>
      </c>
      <c r="B306" s="824" t="s">
        <v>2790</v>
      </c>
      <c r="C306" s="824" t="s">
        <v>2789</v>
      </c>
    </row>
    <row r="307" spans="1:3" x14ac:dyDescent="0.25">
      <c r="A307" s="824" t="s">
        <v>2788</v>
      </c>
      <c r="B307" s="824" t="s">
        <v>2787</v>
      </c>
      <c r="C307" s="824" t="s">
        <v>2786</v>
      </c>
    </row>
    <row r="308" spans="1:3" x14ac:dyDescent="0.25">
      <c r="A308" s="824" t="s">
        <v>2785</v>
      </c>
      <c r="B308" s="824" t="s">
        <v>2784</v>
      </c>
      <c r="C308" s="824" t="s">
        <v>2783</v>
      </c>
    </row>
    <row r="309" spans="1:3" x14ac:dyDescent="0.25">
      <c r="A309" s="824" t="s">
        <v>2782</v>
      </c>
      <c r="B309" s="824" t="s">
        <v>2781</v>
      </c>
      <c r="C309" s="824" t="s">
        <v>2781</v>
      </c>
    </row>
    <row r="310" spans="1:3" x14ac:dyDescent="0.25">
      <c r="A310" s="824" t="s">
        <v>2780</v>
      </c>
      <c r="B310" s="824" t="s">
        <v>2779</v>
      </c>
      <c r="C310" s="824" t="s">
        <v>2778</v>
      </c>
    </row>
    <row r="311" spans="1:3" x14ac:dyDescent="0.25">
      <c r="A311" s="824" t="s">
        <v>2777</v>
      </c>
      <c r="B311" s="824" t="s">
        <v>2776</v>
      </c>
      <c r="C311" s="824" t="s">
        <v>2775</v>
      </c>
    </row>
    <row r="312" spans="1:3" x14ac:dyDescent="0.25">
      <c r="A312" s="824" t="s">
        <v>2774</v>
      </c>
      <c r="B312" s="824" t="s">
        <v>2773</v>
      </c>
      <c r="C312" s="824" t="s">
        <v>2772</v>
      </c>
    </row>
    <row r="313" spans="1:3" x14ac:dyDescent="0.25">
      <c r="A313" s="824" t="s">
        <v>2771</v>
      </c>
      <c r="B313" s="824" t="s">
        <v>2770</v>
      </c>
      <c r="C313" s="824" t="s">
        <v>2769</v>
      </c>
    </row>
    <row r="314" spans="1:3" x14ac:dyDescent="0.25">
      <c r="A314" s="824" t="s">
        <v>1190</v>
      </c>
      <c r="B314" s="824" t="s">
        <v>2768</v>
      </c>
      <c r="C314" s="824" t="s">
        <v>2767</v>
      </c>
    </row>
    <row r="315" spans="1:3" x14ac:dyDescent="0.25">
      <c r="A315" s="824" t="s">
        <v>2766</v>
      </c>
      <c r="B315" s="824" t="s">
        <v>2765</v>
      </c>
      <c r="C315" s="824" t="s">
        <v>2764</v>
      </c>
    </row>
    <row r="316" spans="1:3" x14ac:dyDescent="0.25">
      <c r="A316" s="824" t="s">
        <v>2763</v>
      </c>
      <c r="B316" s="824" t="s">
        <v>2762</v>
      </c>
      <c r="C316" s="824" t="s">
        <v>2761</v>
      </c>
    </row>
    <row r="317" spans="1:3" x14ac:dyDescent="0.25">
      <c r="A317" s="824" t="s">
        <v>2760</v>
      </c>
      <c r="B317" s="824" t="s">
        <v>2759</v>
      </c>
      <c r="C317" s="824" t="s">
        <v>2758</v>
      </c>
    </row>
    <row r="318" spans="1:3" x14ac:dyDescent="0.25">
      <c r="A318" s="824" t="s">
        <v>2757</v>
      </c>
      <c r="B318" s="824" t="s">
        <v>2756</v>
      </c>
      <c r="C318" s="824" t="s">
        <v>2755</v>
      </c>
    </row>
    <row r="319" spans="1:3" x14ac:dyDescent="0.25">
      <c r="A319" s="824" t="s">
        <v>852</v>
      </c>
      <c r="B319" s="824" t="s">
        <v>2754</v>
      </c>
      <c r="C319" s="824" t="s">
        <v>52</v>
      </c>
    </row>
    <row r="320" spans="1:3" x14ac:dyDescent="0.25">
      <c r="A320" s="824" t="s">
        <v>2753</v>
      </c>
      <c r="B320" s="824" t="s">
        <v>2752</v>
      </c>
      <c r="C320" s="824" t="s">
        <v>2752</v>
      </c>
    </row>
    <row r="321" spans="1:3" x14ac:dyDescent="0.25">
      <c r="A321" s="824" t="s">
        <v>2751</v>
      </c>
      <c r="B321" s="824" t="s">
        <v>1064</v>
      </c>
      <c r="C321" s="824" t="s">
        <v>54</v>
      </c>
    </row>
    <row r="322" spans="1:3" x14ac:dyDescent="0.25">
      <c r="A322" s="824" t="s">
        <v>2750</v>
      </c>
      <c r="B322" s="824" t="s">
        <v>1033</v>
      </c>
      <c r="C322" s="824" t="s">
        <v>745</v>
      </c>
    </row>
    <row r="323" spans="1:3" x14ac:dyDescent="0.25">
      <c r="A323" s="824" t="s">
        <v>2749</v>
      </c>
      <c r="B323" s="824" t="s">
        <v>522</v>
      </c>
      <c r="C323" s="824" t="s">
        <v>692</v>
      </c>
    </row>
    <row r="324" spans="1:3" x14ac:dyDescent="0.25">
      <c r="A324" s="824" t="s">
        <v>2748</v>
      </c>
      <c r="B324" s="824" t="s">
        <v>2747</v>
      </c>
      <c r="C324" s="824" t="s">
        <v>2746</v>
      </c>
    </row>
    <row r="325" spans="1:3" x14ac:dyDescent="0.25">
      <c r="A325" s="824" t="s">
        <v>2745</v>
      </c>
      <c r="B325" s="824" t="s">
        <v>2744</v>
      </c>
      <c r="C325" s="824" t="s">
        <v>2743</v>
      </c>
    </row>
    <row r="326" spans="1:3" x14ac:dyDescent="0.25">
      <c r="A326" s="824" t="s">
        <v>2742</v>
      </c>
      <c r="B326" s="824" t="s">
        <v>554</v>
      </c>
      <c r="C326" s="824" t="s">
        <v>2741</v>
      </c>
    </row>
    <row r="327" spans="1:3" x14ac:dyDescent="0.25">
      <c r="A327" s="824" t="s">
        <v>2740</v>
      </c>
      <c r="B327" s="824" t="s">
        <v>2739</v>
      </c>
      <c r="C327" s="824" t="s">
        <v>29</v>
      </c>
    </row>
    <row r="328" spans="1:3" x14ac:dyDescent="0.25">
      <c r="A328" s="824" t="s">
        <v>2738</v>
      </c>
      <c r="B328" s="824" t="s">
        <v>2737</v>
      </c>
      <c r="C328" s="824" t="s">
        <v>2736</v>
      </c>
    </row>
    <row r="329" spans="1:3" x14ac:dyDescent="0.25">
      <c r="A329" s="824" t="s">
        <v>2735</v>
      </c>
      <c r="B329" s="824" t="s">
        <v>2734</v>
      </c>
      <c r="C329" s="824" t="s">
        <v>2733</v>
      </c>
    </row>
    <row r="330" spans="1:3" x14ac:dyDescent="0.25">
      <c r="A330" s="824" t="s">
        <v>2732</v>
      </c>
      <c r="B330" s="824" t="s">
        <v>2731</v>
      </c>
      <c r="C330" s="824" t="s">
        <v>2731</v>
      </c>
    </row>
    <row r="331" spans="1:3" x14ac:dyDescent="0.25">
      <c r="A331" s="824" t="s">
        <v>2730</v>
      </c>
      <c r="B331" s="824" t="s">
        <v>576</v>
      </c>
      <c r="C331" s="824" t="s">
        <v>2729</v>
      </c>
    </row>
    <row r="332" spans="1:3" x14ac:dyDescent="0.25">
      <c r="A332" s="824" t="s">
        <v>2728</v>
      </c>
      <c r="B332" s="824" t="s">
        <v>2727</v>
      </c>
      <c r="C332" s="824" t="s">
        <v>2726</v>
      </c>
    </row>
    <row r="333" spans="1:3" x14ac:dyDescent="0.25">
      <c r="A333" s="824" t="s">
        <v>2725</v>
      </c>
      <c r="B333" s="824" t="s">
        <v>476</v>
      </c>
      <c r="C333" s="824" t="s">
        <v>2724</v>
      </c>
    </row>
    <row r="334" spans="1:3" x14ac:dyDescent="0.25">
      <c r="A334" s="824" t="s">
        <v>2723</v>
      </c>
      <c r="B334" s="824" t="s">
        <v>2722</v>
      </c>
      <c r="C334" s="824" t="s">
        <v>2721</v>
      </c>
    </row>
    <row r="335" spans="1:3" x14ac:dyDescent="0.25">
      <c r="A335" s="824" t="s">
        <v>2720</v>
      </c>
      <c r="B335" s="824" t="s">
        <v>2719</v>
      </c>
      <c r="C335" s="824" t="s">
        <v>2718</v>
      </c>
    </row>
    <row r="336" spans="1:3" x14ac:dyDescent="0.25">
      <c r="A336" s="824" t="s">
        <v>2717</v>
      </c>
      <c r="B336" s="824" t="s">
        <v>2716</v>
      </c>
      <c r="C336" s="824" t="s">
        <v>182</v>
      </c>
    </row>
    <row r="337" spans="1:3" x14ac:dyDescent="0.25">
      <c r="A337" s="824" t="s">
        <v>2715</v>
      </c>
      <c r="B337" s="824" t="s">
        <v>2714</v>
      </c>
      <c r="C337" s="824" t="s">
        <v>2713</v>
      </c>
    </row>
    <row r="338" spans="1:3" x14ac:dyDescent="0.25">
      <c r="A338" s="824" t="s">
        <v>2712</v>
      </c>
      <c r="B338" s="824" t="s">
        <v>2711</v>
      </c>
      <c r="C338" s="824" t="s">
        <v>2710</v>
      </c>
    </row>
    <row r="339" spans="1:3" x14ac:dyDescent="0.25">
      <c r="A339" s="824" t="s">
        <v>2709</v>
      </c>
      <c r="B339" s="824" t="s">
        <v>2708</v>
      </c>
      <c r="C339" s="824" t="s">
        <v>2707</v>
      </c>
    </row>
    <row r="340" spans="1:3" x14ac:dyDescent="0.25">
      <c r="A340" s="824" t="s">
        <v>2706</v>
      </c>
      <c r="B340" s="824" t="s">
        <v>2705</v>
      </c>
      <c r="C340" s="824" t="s">
        <v>426</v>
      </c>
    </row>
    <row r="341" spans="1:3" x14ac:dyDescent="0.25">
      <c r="A341" s="824" t="s">
        <v>2704</v>
      </c>
      <c r="B341" s="824" t="s">
        <v>2703</v>
      </c>
      <c r="C341" s="824" t="s">
        <v>2702</v>
      </c>
    </row>
    <row r="342" spans="1:3" x14ac:dyDescent="0.25">
      <c r="A342" s="824" t="s">
        <v>2701</v>
      </c>
      <c r="B342" s="824" t="s">
        <v>2700</v>
      </c>
      <c r="C342" s="824" t="s">
        <v>2699</v>
      </c>
    </row>
    <row r="343" spans="1:3" x14ac:dyDescent="0.25">
      <c r="A343" s="824" t="s">
        <v>2698</v>
      </c>
      <c r="B343" s="824" t="s">
        <v>2697</v>
      </c>
      <c r="C343" s="824" t="s">
        <v>2696</v>
      </c>
    </row>
    <row r="344" spans="1:3" x14ac:dyDescent="0.25">
      <c r="A344" s="824" t="s">
        <v>2695</v>
      </c>
      <c r="B344" s="824" t="s">
        <v>889</v>
      </c>
      <c r="C344" s="824" t="s">
        <v>2694</v>
      </c>
    </row>
    <row r="345" spans="1:3" x14ac:dyDescent="0.25">
      <c r="A345" s="824" t="s">
        <v>2693</v>
      </c>
      <c r="B345" s="824" t="s">
        <v>2692</v>
      </c>
      <c r="C345" s="824" t="s">
        <v>671</v>
      </c>
    </row>
    <row r="346" spans="1:3" x14ac:dyDescent="0.25">
      <c r="A346" s="824" t="s">
        <v>2691</v>
      </c>
      <c r="B346" s="824" t="s">
        <v>2690</v>
      </c>
      <c r="C346" s="824" t="s">
        <v>2689</v>
      </c>
    </row>
    <row r="347" spans="1:3" x14ac:dyDescent="0.25">
      <c r="A347" s="824" t="s">
        <v>2688</v>
      </c>
      <c r="B347" s="824" t="s">
        <v>2687</v>
      </c>
      <c r="C347" s="824" t="s">
        <v>2686</v>
      </c>
    </row>
    <row r="348" spans="1:3" x14ac:dyDescent="0.25">
      <c r="A348" s="824" t="s">
        <v>2685</v>
      </c>
      <c r="B348" s="824" t="s">
        <v>488</v>
      </c>
      <c r="C348" s="824" t="s">
        <v>755</v>
      </c>
    </row>
    <row r="349" spans="1:3" x14ac:dyDescent="0.25">
      <c r="A349" s="824" t="s">
        <v>2684</v>
      </c>
      <c r="B349" s="824" t="s">
        <v>2683</v>
      </c>
      <c r="C349" s="824" t="s">
        <v>2682</v>
      </c>
    </row>
    <row r="350" spans="1:3" x14ac:dyDescent="0.25">
      <c r="A350" s="824" t="s">
        <v>2681</v>
      </c>
      <c r="B350" s="824" t="s">
        <v>2680</v>
      </c>
      <c r="C350" s="824" t="s">
        <v>341</v>
      </c>
    </row>
    <row r="351" spans="1:3" x14ac:dyDescent="0.25">
      <c r="A351" s="824" t="s">
        <v>2679</v>
      </c>
      <c r="B351" s="824" t="s">
        <v>2678</v>
      </c>
      <c r="C351" s="824" t="s">
        <v>2677</v>
      </c>
    </row>
    <row r="352" spans="1:3" x14ac:dyDescent="0.25">
      <c r="A352" s="824" t="s">
        <v>2676</v>
      </c>
      <c r="B352" s="824" t="s">
        <v>924</v>
      </c>
      <c r="C352" s="824" t="s">
        <v>2675</v>
      </c>
    </row>
    <row r="353" spans="1:3" x14ac:dyDescent="0.25">
      <c r="A353" s="824" t="s">
        <v>2674</v>
      </c>
      <c r="B353" s="824" t="s">
        <v>2673</v>
      </c>
      <c r="C353" s="824" t="s">
        <v>2672</v>
      </c>
    </row>
    <row r="354" spans="1:3" x14ac:dyDescent="0.25">
      <c r="A354" s="824" t="s">
        <v>2671</v>
      </c>
      <c r="B354" s="824" t="s">
        <v>2670</v>
      </c>
      <c r="C354" s="824" t="s">
        <v>2669</v>
      </c>
    </row>
    <row r="355" spans="1:3" x14ac:dyDescent="0.25">
      <c r="A355" s="824" t="s">
        <v>2668</v>
      </c>
      <c r="B355" s="824" t="s">
        <v>2667</v>
      </c>
      <c r="C355" s="824" t="s">
        <v>2666</v>
      </c>
    </row>
    <row r="356" spans="1:3" x14ac:dyDescent="0.25">
      <c r="A356" s="824" t="s">
        <v>75</v>
      </c>
      <c r="B356" s="824" t="s">
        <v>1676</v>
      </c>
      <c r="C356" s="824" t="s">
        <v>2665</v>
      </c>
    </row>
    <row r="357" spans="1:3" x14ac:dyDescent="0.25">
      <c r="A357" s="824" t="s">
        <v>2664</v>
      </c>
      <c r="B357" s="824" t="s">
        <v>2663</v>
      </c>
      <c r="C357" s="824" t="s">
        <v>2662</v>
      </c>
    </row>
    <row r="358" spans="1:3" x14ac:dyDescent="0.25">
      <c r="A358" s="824" t="s">
        <v>2661</v>
      </c>
      <c r="B358" s="824" t="s">
        <v>499</v>
      </c>
      <c r="C358" s="824" t="s">
        <v>156</v>
      </c>
    </row>
    <row r="359" spans="1:3" x14ac:dyDescent="0.25">
      <c r="A359" s="824" t="s">
        <v>2660</v>
      </c>
      <c r="B359" s="824" t="s">
        <v>2659</v>
      </c>
      <c r="C359" s="824" t="s">
        <v>2658</v>
      </c>
    </row>
    <row r="360" spans="1:3" x14ac:dyDescent="0.25">
      <c r="A360" s="824" t="s">
        <v>2657</v>
      </c>
      <c r="B360" s="824" t="s">
        <v>2656</v>
      </c>
      <c r="C360" s="824" t="s">
        <v>2655</v>
      </c>
    </row>
    <row r="361" spans="1:3" x14ac:dyDescent="0.25">
      <c r="A361" s="824" t="s">
        <v>2654</v>
      </c>
      <c r="B361" s="824" t="s">
        <v>2653</v>
      </c>
      <c r="C361" s="824" t="s">
        <v>2652</v>
      </c>
    </row>
    <row r="362" spans="1:3" x14ac:dyDescent="0.25">
      <c r="A362" s="824" t="s">
        <v>2651</v>
      </c>
      <c r="B362" s="824" t="s">
        <v>580</v>
      </c>
      <c r="C362" s="824" t="s">
        <v>2650</v>
      </c>
    </row>
    <row r="363" spans="1:3" x14ac:dyDescent="0.25">
      <c r="A363" s="824" t="s">
        <v>2649</v>
      </c>
      <c r="B363" s="824" t="s">
        <v>513</v>
      </c>
      <c r="C363" s="824" t="s">
        <v>60</v>
      </c>
    </row>
    <row r="364" spans="1:3" x14ac:dyDescent="0.25">
      <c r="A364" s="824" t="s">
        <v>2648</v>
      </c>
      <c r="B364" s="824" t="s">
        <v>2647</v>
      </c>
      <c r="C364" s="824" t="s">
        <v>2646</v>
      </c>
    </row>
    <row r="365" spans="1:3" x14ac:dyDescent="0.25">
      <c r="A365" s="824" t="s">
        <v>1176</v>
      </c>
      <c r="B365" s="824" t="s">
        <v>590</v>
      </c>
      <c r="C365" s="824" t="s">
        <v>656</v>
      </c>
    </row>
    <row r="366" spans="1:3" x14ac:dyDescent="0.25">
      <c r="A366" s="824" t="s">
        <v>2645</v>
      </c>
      <c r="B366" s="824" t="s">
        <v>2644</v>
      </c>
      <c r="C366" s="824" t="s">
        <v>2643</v>
      </c>
    </row>
    <row r="367" spans="1:3" x14ac:dyDescent="0.25">
      <c r="A367" s="824" t="s">
        <v>2642</v>
      </c>
      <c r="B367" s="824" t="s">
        <v>2641</v>
      </c>
      <c r="C367" s="824" t="s">
        <v>2640</v>
      </c>
    </row>
    <row r="368" spans="1:3" x14ac:dyDescent="0.25">
      <c r="A368" s="824" t="s">
        <v>2639</v>
      </c>
      <c r="B368" s="824" t="s">
        <v>2638</v>
      </c>
      <c r="C368" s="824" t="s">
        <v>2637</v>
      </c>
    </row>
    <row r="369" spans="1:3" x14ac:dyDescent="0.25">
      <c r="A369" s="824" t="s">
        <v>2636</v>
      </c>
      <c r="B369" s="824" t="s">
        <v>2635</v>
      </c>
      <c r="C369" s="824" t="s">
        <v>2634</v>
      </c>
    </row>
    <row r="370" spans="1:3" x14ac:dyDescent="0.25">
      <c r="A370" s="824" t="s">
        <v>2633</v>
      </c>
      <c r="B370" s="824" t="s">
        <v>612</v>
      </c>
      <c r="C370" s="824" t="s">
        <v>2632</v>
      </c>
    </row>
    <row r="371" spans="1:3" x14ac:dyDescent="0.25">
      <c r="A371" s="824" t="s">
        <v>2631</v>
      </c>
      <c r="B371" s="824" t="s">
        <v>2630</v>
      </c>
      <c r="C371" s="824" t="s">
        <v>77</v>
      </c>
    </row>
    <row r="372" spans="1:3" x14ac:dyDescent="0.25">
      <c r="A372" s="824" t="s">
        <v>2629</v>
      </c>
      <c r="B372" s="824" t="s">
        <v>492</v>
      </c>
      <c r="C372" s="824" t="s">
        <v>378</v>
      </c>
    </row>
    <row r="373" spans="1:3" x14ac:dyDescent="0.25">
      <c r="A373" s="824" t="s">
        <v>2628</v>
      </c>
      <c r="B373" s="824" t="s">
        <v>2627</v>
      </c>
      <c r="C373" s="824" t="s">
        <v>2626</v>
      </c>
    </row>
    <row r="374" spans="1:3" x14ac:dyDescent="0.25">
      <c r="A374" s="824" t="s">
        <v>2625</v>
      </c>
      <c r="B374" s="824" t="s">
        <v>2624</v>
      </c>
      <c r="C374" s="824" t="s">
        <v>2623</v>
      </c>
    </row>
    <row r="375" spans="1:3" x14ac:dyDescent="0.25">
      <c r="A375" s="824" t="s">
        <v>2622</v>
      </c>
      <c r="B375" s="824" t="s">
        <v>2621</v>
      </c>
      <c r="C375" s="824" t="s">
        <v>2620</v>
      </c>
    </row>
    <row r="376" spans="1:3" x14ac:dyDescent="0.25">
      <c r="A376" s="824" t="s">
        <v>2619</v>
      </c>
      <c r="B376" s="824" t="s">
        <v>582</v>
      </c>
      <c r="C376" s="824" t="s">
        <v>680</v>
      </c>
    </row>
    <row r="377" spans="1:3" x14ac:dyDescent="0.25">
      <c r="A377" s="824" t="s">
        <v>2618</v>
      </c>
      <c r="B377" s="824" t="s">
        <v>2617</v>
      </c>
      <c r="C377" s="824" t="s">
        <v>2616</v>
      </c>
    </row>
    <row r="378" spans="1:3" x14ac:dyDescent="0.25">
      <c r="A378" s="824" t="s">
        <v>2615</v>
      </c>
      <c r="B378" s="824" t="s">
        <v>2614</v>
      </c>
      <c r="C378" s="824" t="s">
        <v>2613</v>
      </c>
    </row>
    <row r="379" spans="1:3" x14ac:dyDescent="0.25">
      <c r="A379" s="824" t="s">
        <v>2612</v>
      </c>
      <c r="B379" s="824" t="s">
        <v>2611</v>
      </c>
      <c r="C379" s="824" t="s">
        <v>2610</v>
      </c>
    </row>
    <row r="380" spans="1:3" x14ac:dyDescent="0.25">
      <c r="A380" s="824" t="s">
        <v>2609</v>
      </c>
      <c r="B380" s="824" t="s">
        <v>2608</v>
      </c>
      <c r="C380" s="824" t="s">
        <v>2607</v>
      </c>
    </row>
    <row r="381" spans="1:3" x14ac:dyDescent="0.25">
      <c r="A381" s="824" t="s">
        <v>2606</v>
      </c>
      <c r="B381" s="824" t="s">
        <v>1055</v>
      </c>
      <c r="C381" s="824" t="s">
        <v>194</v>
      </c>
    </row>
    <row r="382" spans="1:3" x14ac:dyDescent="0.25">
      <c r="A382" s="824" t="s">
        <v>2605</v>
      </c>
      <c r="B382" s="824" t="s">
        <v>2604</v>
      </c>
      <c r="C382" s="824" t="s">
        <v>2603</v>
      </c>
    </row>
    <row r="383" spans="1:3" x14ac:dyDescent="0.25">
      <c r="A383" s="824" t="s">
        <v>2602</v>
      </c>
      <c r="B383" s="824" t="s">
        <v>608</v>
      </c>
      <c r="C383" s="824" t="s">
        <v>158</v>
      </c>
    </row>
    <row r="384" spans="1:3" x14ac:dyDescent="0.25">
      <c r="A384" s="824" t="s">
        <v>2601</v>
      </c>
      <c r="B384" s="824" t="s">
        <v>2600</v>
      </c>
      <c r="C384" s="824" t="s">
        <v>2599</v>
      </c>
    </row>
    <row r="385" spans="1:3" x14ac:dyDescent="0.25">
      <c r="A385" s="824" t="s">
        <v>2598</v>
      </c>
      <c r="B385" s="824" t="s">
        <v>2597</v>
      </c>
      <c r="C385" s="824" t="s">
        <v>2597</v>
      </c>
    </row>
    <row r="386" spans="1:3" x14ac:dyDescent="0.25">
      <c r="A386" s="824" t="s">
        <v>2596</v>
      </c>
      <c r="B386" s="824" t="s">
        <v>2595</v>
      </c>
      <c r="C386" s="824" t="s">
        <v>463</v>
      </c>
    </row>
    <row r="387" spans="1:3" x14ac:dyDescent="0.25">
      <c r="A387" s="824" t="s">
        <v>2594</v>
      </c>
      <c r="B387" s="824" t="s">
        <v>2593</v>
      </c>
      <c r="C387" s="824" t="s">
        <v>2592</v>
      </c>
    </row>
    <row r="388" spans="1:3" x14ac:dyDescent="0.25">
      <c r="A388" s="824" t="s">
        <v>2591</v>
      </c>
      <c r="B388" s="824" t="s">
        <v>2590</v>
      </c>
      <c r="C388" s="824" t="s">
        <v>2589</v>
      </c>
    </row>
    <row r="389" spans="1:3" x14ac:dyDescent="0.25">
      <c r="A389" s="824" t="s">
        <v>2588</v>
      </c>
      <c r="B389" s="824" t="s">
        <v>2587</v>
      </c>
      <c r="C389" s="824" t="s">
        <v>2586</v>
      </c>
    </row>
    <row r="390" spans="1:3" x14ac:dyDescent="0.25">
      <c r="A390" s="824" t="s">
        <v>2585</v>
      </c>
      <c r="B390" s="824" t="s">
        <v>574</v>
      </c>
      <c r="C390" s="824" t="s">
        <v>765</v>
      </c>
    </row>
    <row r="391" spans="1:3" x14ac:dyDescent="0.25">
      <c r="A391" s="824" t="s">
        <v>2584</v>
      </c>
      <c r="B391" s="824" t="s">
        <v>999</v>
      </c>
      <c r="C391" s="824" t="s">
        <v>702</v>
      </c>
    </row>
    <row r="392" spans="1:3" x14ac:dyDescent="0.25">
      <c r="A392" s="824" t="s">
        <v>2583</v>
      </c>
      <c r="B392" s="824" t="s">
        <v>865</v>
      </c>
      <c r="C392" s="824" t="s">
        <v>2582</v>
      </c>
    </row>
    <row r="393" spans="1:3" x14ac:dyDescent="0.25">
      <c r="A393" s="824" t="s">
        <v>2581</v>
      </c>
      <c r="B393" s="824" t="s">
        <v>511</v>
      </c>
      <c r="C393" s="824" t="s">
        <v>2580</v>
      </c>
    </row>
    <row r="394" spans="1:3" x14ac:dyDescent="0.25">
      <c r="A394" s="824" t="s">
        <v>2579</v>
      </c>
      <c r="B394" s="824" t="s">
        <v>2578</v>
      </c>
      <c r="C394" s="824" t="s">
        <v>2577</v>
      </c>
    </row>
    <row r="395" spans="1:3" x14ac:dyDescent="0.25">
      <c r="A395" s="824" t="s">
        <v>2576</v>
      </c>
      <c r="B395" s="824" t="s">
        <v>2575</v>
      </c>
      <c r="C395" s="824" t="s">
        <v>2574</v>
      </c>
    </row>
    <row r="396" spans="1:3" x14ac:dyDescent="0.25">
      <c r="A396" s="824" t="s">
        <v>2573</v>
      </c>
      <c r="B396" s="824" t="s">
        <v>954</v>
      </c>
      <c r="C396" s="824" t="s">
        <v>204</v>
      </c>
    </row>
    <row r="397" spans="1:3" x14ac:dyDescent="0.25">
      <c r="A397" s="824" t="s">
        <v>2572</v>
      </c>
      <c r="B397" s="824" t="s">
        <v>2571</v>
      </c>
      <c r="C397" s="824" t="s">
        <v>2570</v>
      </c>
    </row>
    <row r="398" spans="1:3" x14ac:dyDescent="0.25">
      <c r="A398" s="824" t="s">
        <v>2569</v>
      </c>
      <c r="B398" s="824" t="s">
        <v>848</v>
      </c>
      <c r="C398" s="824" t="s">
        <v>2568</v>
      </c>
    </row>
    <row r="399" spans="1:3" x14ac:dyDescent="0.25">
      <c r="A399" s="824" t="s">
        <v>2567</v>
      </c>
      <c r="B399" s="824" t="s">
        <v>2566</v>
      </c>
      <c r="C399" s="824" t="s">
        <v>2565</v>
      </c>
    </row>
    <row r="400" spans="1:3" x14ac:dyDescent="0.25">
      <c r="A400" s="824" t="s">
        <v>2564</v>
      </c>
      <c r="B400" s="824" t="s">
        <v>2563</v>
      </c>
      <c r="C400" s="824" t="s">
        <v>2562</v>
      </c>
    </row>
    <row r="401" spans="1:3" x14ac:dyDescent="0.25">
      <c r="A401" s="824" t="s">
        <v>2561</v>
      </c>
      <c r="B401" s="824" t="s">
        <v>2560</v>
      </c>
      <c r="C401" s="824" t="s">
        <v>2560</v>
      </c>
    </row>
    <row r="402" spans="1:3" x14ac:dyDescent="0.25">
      <c r="A402" s="824" t="s">
        <v>2559</v>
      </c>
      <c r="B402" s="824" t="s">
        <v>2558</v>
      </c>
      <c r="C402" s="824" t="s">
        <v>2557</v>
      </c>
    </row>
    <row r="403" spans="1:3" x14ac:dyDescent="0.25">
      <c r="A403" s="824" t="s">
        <v>2556</v>
      </c>
      <c r="B403" s="824" t="s">
        <v>2555</v>
      </c>
      <c r="C403" s="824" t="s">
        <v>2554</v>
      </c>
    </row>
    <row r="404" spans="1:3" x14ac:dyDescent="0.25">
      <c r="A404" s="824" t="s">
        <v>2553</v>
      </c>
      <c r="B404" s="824" t="s">
        <v>2552</v>
      </c>
      <c r="C404" s="824" t="s">
        <v>2551</v>
      </c>
    </row>
    <row r="405" spans="1:3" x14ac:dyDescent="0.25">
      <c r="A405" s="824" t="s">
        <v>2550</v>
      </c>
      <c r="B405" s="824" t="s">
        <v>2549</v>
      </c>
      <c r="C405" s="824" t="s">
        <v>2548</v>
      </c>
    </row>
    <row r="406" spans="1:3" x14ac:dyDescent="0.25">
      <c r="A406" s="824" t="s">
        <v>2547</v>
      </c>
      <c r="B406" s="824" t="s">
        <v>467</v>
      </c>
      <c r="C406" s="824" t="s">
        <v>2546</v>
      </c>
    </row>
    <row r="407" spans="1:3" x14ac:dyDescent="0.25">
      <c r="A407" s="824" t="s">
        <v>2545</v>
      </c>
      <c r="B407" s="824" t="s">
        <v>2544</v>
      </c>
      <c r="C407" s="824" t="s">
        <v>2543</v>
      </c>
    </row>
    <row r="408" spans="1:3" x14ac:dyDescent="0.25">
      <c r="A408" s="824" t="s">
        <v>1202</v>
      </c>
      <c r="B408" s="824" t="s">
        <v>494</v>
      </c>
      <c r="C408" s="824" t="s">
        <v>225</v>
      </c>
    </row>
    <row r="409" spans="1:3" x14ac:dyDescent="0.25">
      <c r="A409" s="824" t="s">
        <v>2542</v>
      </c>
      <c r="B409" s="824" t="s">
        <v>2541</v>
      </c>
      <c r="C409" s="824" t="s">
        <v>2540</v>
      </c>
    </row>
    <row r="410" spans="1:3" x14ac:dyDescent="0.25">
      <c r="A410" s="824" t="s">
        <v>2539</v>
      </c>
      <c r="B410" s="824" t="s">
        <v>2538</v>
      </c>
      <c r="C410" s="824" t="s">
        <v>2537</v>
      </c>
    </row>
    <row r="411" spans="1:3" x14ac:dyDescent="0.25">
      <c r="A411" s="824" t="s">
        <v>2536</v>
      </c>
      <c r="B411" s="824" t="s">
        <v>2535</v>
      </c>
      <c r="C411" s="824" t="s">
        <v>151</v>
      </c>
    </row>
    <row r="412" spans="1:3" x14ac:dyDescent="0.25">
      <c r="A412" s="824" t="s">
        <v>2534</v>
      </c>
      <c r="B412" s="824" t="s">
        <v>2533</v>
      </c>
      <c r="C412" s="824" t="s">
        <v>2532</v>
      </c>
    </row>
    <row r="413" spans="1:3" x14ac:dyDescent="0.25">
      <c r="A413" s="824" t="s">
        <v>2531</v>
      </c>
      <c r="B413" s="824" t="s">
        <v>483</v>
      </c>
      <c r="C413" s="824" t="s">
        <v>2530</v>
      </c>
    </row>
    <row r="414" spans="1:3" x14ac:dyDescent="0.25">
      <c r="A414" s="824" t="s">
        <v>2529</v>
      </c>
      <c r="B414" s="824" t="s">
        <v>2528</v>
      </c>
      <c r="C414" s="824" t="s">
        <v>2527</v>
      </c>
    </row>
    <row r="415" spans="1:3" x14ac:dyDescent="0.25">
      <c r="A415" s="824" t="s">
        <v>2526</v>
      </c>
      <c r="B415" s="824" t="s">
        <v>2525</v>
      </c>
      <c r="C415" s="824" t="s">
        <v>2524</v>
      </c>
    </row>
    <row r="416" spans="1:3" x14ac:dyDescent="0.25">
      <c r="A416" s="824" t="s">
        <v>2523</v>
      </c>
      <c r="B416" s="824" t="s">
        <v>2522</v>
      </c>
      <c r="C416" s="824" t="s">
        <v>2521</v>
      </c>
    </row>
    <row r="417" spans="1:3" x14ac:dyDescent="0.25">
      <c r="A417" s="824" t="s">
        <v>2520</v>
      </c>
      <c r="B417" s="824" t="s">
        <v>2519</v>
      </c>
      <c r="C417" s="824" t="s">
        <v>2518</v>
      </c>
    </row>
    <row r="418" spans="1:3" x14ac:dyDescent="0.25">
      <c r="A418" s="824" t="s">
        <v>2517</v>
      </c>
      <c r="B418" s="824" t="s">
        <v>2516</v>
      </c>
      <c r="C418" s="824" t="s">
        <v>2515</v>
      </c>
    </row>
    <row r="419" spans="1:3" x14ac:dyDescent="0.25">
      <c r="A419" s="824" t="s">
        <v>2514</v>
      </c>
      <c r="B419" s="824" t="s">
        <v>2513</v>
      </c>
      <c r="C419" s="824" t="s">
        <v>2512</v>
      </c>
    </row>
    <row r="420" spans="1:3" x14ac:dyDescent="0.25">
      <c r="A420" s="824" t="s">
        <v>2511</v>
      </c>
      <c r="B420" s="824" t="s">
        <v>2510</v>
      </c>
      <c r="C420" s="824" t="s">
        <v>2509</v>
      </c>
    </row>
    <row r="421" spans="1:3" x14ac:dyDescent="0.25">
      <c r="A421" s="824" t="s">
        <v>2508</v>
      </c>
      <c r="B421" s="824" t="s">
        <v>2507</v>
      </c>
      <c r="C421" s="824" t="s">
        <v>2506</v>
      </c>
    </row>
    <row r="422" spans="1:3" x14ac:dyDescent="0.25">
      <c r="A422" s="824" t="s">
        <v>1212</v>
      </c>
      <c r="B422" s="824" t="s">
        <v>2505</v>
      </c>
      <c r="C422" s="824" t="s">
        <v>2504</v>
      </c>
    </row>
    <row r="423" spans="1:3" x14ac:dyDescent="0.25">
      <c r="A423" s="824" t="s">
        <v>2503</v>
      </c>
      <c r="B423" s="824" t="s">
        <v>2502</v>
      </c>
      <c r="C423" s="824" t="s">
        <v>2501</v>
      </c>
    </row>
    <row r="424" spans="1:3" x14ac:dyDescent="0.25">
      <c r="A424" s="824" t="s">
        <v>2500</v>
      </c>
      <c r="B424" s="824" t="s">
        <v>2499</v>
      </c>
      <c r="C424" s="824" t="s">
        <v>2498</v>
      </c>
    </row>
    <row r="425" spans="1:3" x14ac:dyDescent="0.25">
      <c r="A425" s="824" t="s">
        <v>2497</v>
      </c>
      <c r="B425" s="824" t="s">
        <v>2496</v>
      </c>
      <c r="C425" s="824" t="s">
        <v>2495</v>
      </c>
    </row>
    <row r="426" spans="1:3" x14ac:dyDescent="0.25">
      <c r="A426" s="824" t="s">
        <v>2494</v>
      </c>
      <c r="B426" s="824" t="s">
        <v>957</v>
      </c>
      <c r="C426" s="824" t="s">
        <v>294</v>
      </c>
    </row>
    <row r="427" spans="1:3" x14ac:dyDescent="0.25">
      <c r="A427" s="824" t="s">
        <v>2493</v>
      </c>
      <c r="B427" s="824" t="s">
        <v>2492</v>
      </c>
      <c r="C427" s="824" t="s">
        <v>2491</v>
      </c>
    </row>
    <row r="428" spans="1:3" x14ac:dyDescent="0.25">
      <c r="A428" s="824" t="s">
        <v>2490</v>
      </c>
      <c r="B428" s="824" t="s">
        <v>2489</v>
      </c>
      <c r="C428" s="824" t="s">
        <v>2488</v>
      </c>
    </row>
    <row r="429" spans="1:3" x14ac:dyDescent="0.25">
      <c r="A429" s="824" t="s">
        <v>2487</v>
      </c>
      <c r="B429" s="824" t="s">
        <v>487</v>
      </c>
      <c r="C429" s="824" t="s">
        <v>413</v>
      </c>
    </row>
    <row r="430" spans="1:3" x14ac:dyDescent="0.25">
      <c r="A430" s="824" t="s">
        <v>2486</v>
      </c>
      <c r="B430" s="824" t="s">
        <v>2485</v>
      </c>
      <c r="C430" s="824" t="s">
        <v>2484</v>
      </c>
    </row>
    <row r="431" spans="1:3" x14ac:dyDescent="0.25">
      <c r="A431" s="824" t="s">
        <v>2483</v>
      </c>
      <c r="B431" s="824" t="s">
        <v>2482</v>
      </c>
      <c r="C431" s="824" t="s">
        <v>2481</v>
      </c>
    </row>
    <row r="432" spans="1:3" x14ac:dyDescent="0.25">
      <c r="A432" s="824" t="s">
        <v>2480</v>
      </c>
      <c r="B432" s="824" t="s">
        <v>2479</v>
      </c>
      <c r="C432" s="824" t="s">
        <v>2479</v>
      </c>
    </row>
    <row r="433" spans="1:3" x14ac:dyDescent="0.25">
      <c r="A433" s="824" t="s">
        <v>2478</v>
      </c>
      <c r="B433" s="824" t="s">
        <v>2477</v>
      </c>
      <c r="C433" s="824" t="s">
        <v>822</v>
      </c>
    </row>
    <row r="434" spans="1:3" x14ac:dyDescent="0.25">
      <c r="A434" s="824" t="s">
        <v>2476</v>
      </c>
      <c r="B434" s="824" t="s">
        <v>2475</v>
      </c>
      <c r="C434" s="824" t="s">
        <v>2474</v>
      </c>
    </row>
    <row r="435" spans="1:3" x14ac:dyDescent="0.25">
      <c r="A435" s="824" t="s">
        <v>2473</v>
      </c>
      <c r="B435" s="824" t="s">
        <v>2472</v>
      </c>
      <c r="C435" s="824" t="s">
        <v>2471</v>
      </c>
    </row>
    <row r="436" spans="1:3" x14ac:dyDescent="0.25">
      <c r="A436" s="824" t="s">
        <v>2470</v>
      </c>
      <c r="B436" s="824" t="s">
        <v>2469</v>
      </c>
      <c r="C436" s="824" t="s">
        <v>2468</v>
      </c>
    </row>
    <row r="437" spans="1:3" x14ac:dyDescent="0.25">
      <c r="A437" s="824" t="s">
        <v>2467</v>
      </c>
      <c r="B437" s="824" t="s">
        <v>2466</v>
      </c>
      <c r="C437" s="824" t="s">
        <v>2465</v>
      </c>
    </row>
    <row r="438" spans="1:3" x14ac:dyDescent="0.25">
      <c r="A438" s="824" t="s">
        <v>2464</v>
      </c>
      <c r="B438" s="824" t="s">
        <v>2463</v>
      </c>
      <c r="C438" s="824" t="s">
        <v>2462</v>
      </c>
    </row>
    <row r="439" spans="1:3" x14ac:dyDescent="0.25">
      <c r="A439" s="824" t="s">
        <v>2461</v>
      </c>
      <c r="B439" s="824" t="s">
        <v>2460</v>
      </c>
      <c r="C439" s="824" t="s">
        <v>2459</v>
      </c>
    </row>
    <row r="440" spans="1:3" x14ac:dyDescent="0.25">
      <c r="A440" s="824" t="s">
        <v>818</v>
      </c>
      <c r="B440" s="824" t="s">
        <v>2458</v>
      </c>
      <c r="C440" s="824" t="s">
        <v>819</v>
      </c>
    </row>
    <row r="441" spans="1:3" x14ac:dyDescent="0.25">
      <c r="A441" s="824" t="s">
        <v>2457</v>
      </c>
      <c r="B441" s="824" t="s">
        <v>2456</v>
      </c>
      <c r="C441" s="824" t="s">
        <v>2455</v>
      </c>
    </row>
    <row r="442" spans="1:3" x14ac:dyDescent="0.25">
      <c r="A442" s="824" t="s">
        <v>2454</v>
      </c>
      <c r="B442" s="824" t="s">
        <v>507</v>
      </c>
      <c r="C442" s="824" t="s">
        <v>653</v>
      </c>
    </row>
    <row r="443" spans="1:3" x14ac:dyDescent="0.25">
      <c r="A443" s="824" t="s">
        <v>2453</v>
      </c>
      <c r="B443" s="824" t="s">
        <v>2452</v>
      </c>
      <c r="C443" s="824" t="s">
        <v>2451</v>
      </c>
    </row>
    <row r="444" spans="1:3" x14ac:dyDescent="0.25">
      <c r="A444" s="824" t="s">
        <v>2450</v>
      </c>
      <c r="B444" s="824" t="s">
        <v>2449</v>
      </c>
      <c r="C444" s="824" t="s">
        <v>2448</v>
      </c>
    </row>
    <row r="445" spans="1:3" x14ac:dyDescent="0.25">
      <c r="A445" s="824" t="s">
        <v>2447</v>
      </c>
      <c r="B445" s="824" t="s">
        <v>2446</v>
      </c>
      <c r="C445" s="824" t="s">
        <v>2445</v>
      </c>
    </row>
    <row r="446" spans="1:3" x14ac:dyDescent="0.25">
      <c r="A446" s="824" t="s">
        <v>2444</v>
      </c>
      <c r="B446" s="824" t="s">
        <v>2443</v>
      </c>
      <c r="C446" s="824" t="s">
        <v>2442</v>
      </c>
    </row>
    <row r="447" spans="1:3" x14ac:dyDescent="0.25">
      <c r="A447" s="824" t="s">
        <v>2441</v>
      </c>
      <c r="B447" s="824" t="s">
        <v>2440</v>
      </c>
      <c r="C447" s="824" t="s">
        <v>2439</v>
      </c>
    </row>
    <row r="448" spans="1:3" x14ac:dyDescent="0.25">
      <c r="A448" s="824" t="s">
        <v>2438</v>
      </c>
      <c r="B448" s="824" t="s">
        <v>969</v>
      </c>
      <c r="C448" s="824" t="s">
        <v>2437</v>
      </c>
    </row>
    <row r="449" spans="1:3" x14ac:dyDescent="0.25">
      <c r="A449" s="824" t="s">
        <v>2436</v>
      </c>
      <c r="B449" s="824" t="s">
        <v>2435</v>
      </c>
      <c r="C449" s="824" t="s">
        <v>2434</v>
      </c>
    </row>
    <row r="450" spans="1:3" x14ac:dyDescent="0.25">
      <c r="A450" s="824" t="s">
        <v>2433</v>
      </c>
      <c r="B450" s="824" t="s">
        <v>1040</v>
      </c>
      <c r="C450" s="824" t="s">
        <v>53</v>
      </c>
    </row>
    <row r="451" spans="1:3" x14ac:dyDescent="0.25">
      <c r="A451" s="824" t="s">
        <v>2432</v>
      </c>
      <c r="B451" s="824" t="s">
        <v>2431</v>
      </c>
      <c r="C451" s="824" t="s">
        <v>2430</v>
      </c>
    </row>
    <row r="452" spans="1:3" x14ac:dyDescent="0.25">
      <c r="A452" s="824" t="s">
        <v>2429</v>
      </c>
      <c r="B452" s="824" t="s">
        <v>2428</v>
      </c>
      <c r="C452" s="824" t="s">
        <v>734</v>
      </c>
    </row>
    <row r="453" spans="1:3" x14ac:dyDescent="0.25">
      <c r="A453" s="824" t="s">
        <v>2427</v>
      </c>
      <c r="B453" s="824" t="s">
        <v>2426</v>
      </c>
      <c r="C453" s="824" t="s">
        <v>2425</v>
      </c>
    </row>
    <row r="454" spans="1:3" x14ac:dyDescent="0.25">
      <c r="A454" s="824" t="s">
        <v>2424</v>
      </c>
      <c r="B454" s="824" t="s">
        <v>585</v>
      </c>
      <c r="C454" s="824" t="s">
        <v>61</v>
      </c>
    </row>
    <row r="455" spans="1:3" x14ac:dyDescent="0.25">
      <c r="A455" s="824" t="s">
        <v>2423</v>
      </c>
      <c r="B455" s="824" t="s">
        <v>2422</v>
      </c>
      <c r="C455" s="824" t="s">
        <v>2421</v>
      </c>
    </row>
    <row r="456" spans="1:3" x14ac:dyDescent="0.25">
      <c r="A456" s="824" t="s">
        <v>2420</v>
      </c>
      <c r="B456" s="824" t="s">
        <v>951</v>
      </c>
      <c r="C456" s="824" t="s">
        <v>226</v>
      </c>
    </row>
    <row r="457" spans="1:3" x14ac:dyDescent="0.25">
      <c r="A457" s="824" t="s">
        <v>2419</v>
      </c>
      <c r="B457" s="824" t="s">
        <v>2418</v>
      </c>
      <c r="C457" s="824" t="s">
        <v>2417</v>
      </c>
    </row>
    <row r="458" spans="1:3" x14ac:dyDescent="0.25">
      <c r="A458" s="824" t="s">
        <v>2416</v>
      </c>
      <c r="B458" s="824" t="s">
        <v>2415</v>
      </c>
      <c r="C458" s="824" t="s">
        <v>2414</v>
      </c>
    </row>
    <row r="459" spans="1:3" x14ac:dyDescent="0.25">
      <c r="A459" s="824" t="s">
        <v>2413</v>
      </c>
      <c r="B459" s="824" t="s">
        <v>2412</v>
      </c>
      <c r="C459" s="824" t="s">
        <v>2411</v>
      </c>
    </row>
    <row r="460" spans="1:3" x14ac:dyDescent="0.25">
      <c r="A460" s="824" t="s">
        <v>2410</v>
      </c>
      <c r="B460" s="824" t="s">
        <v>557</v>
      </c>
      <c r="C460" s="824" t="s">
        <v>234</v>
      </c>
    </row>
    <row r="461" spans="1:3" x14ac:dyDescent="0.25">
      <c r="A461" s="824" t="s">
        <v>2409</v>
      </c>
      <c r="B461" s="824" t="s">
        <v>2408</v>
      </c>
      <c r="C461" s="824" t="s">
        <v>2407</v>
      </c>
    </row>
    <row r="462" spans="1:3" x14ac:dyDescent="0.25">
      <c r="A462" s="824" t="s">
        <v>2406</v>
      </c>
      <c r="B462" s="824" t="s">
        <v>2405</v>
      </c>
      <c r="C462" s="824" t="s">
        <v>2404</v>
      </c>
    </row>
    <row r="463" spans="1:3" x14ac:dyDescent="0.25">
      <c r="A463" s="824" t="s">
        <v>2403</v>
      </c>
      <c r="B463" s="824" t="s">
        <v>2402</v>
      </c>
      <c r="C463" s="824" t="s">
        <v>2401</v>
      </c>
    </row>
    <row r="464" spans="1:3" x14ac:dyDescent="0.25">
      <c r="A464" s="824" t="s">
        <v>2400</v>
      </c>
      <c r="B464" s="824" t="s">
        <v>2399</v>
      </c>
      <c r="C464" s="824" t="s">
        <v>2398</v>
      </c>
    </row>
    <row r="465" spans="1:3" x14ac:dyDescent="0.25">
      <c r="A465" s="824" t="s">
        <v>2397</v>
      </c>
      <c r="B465" s="824" t="s">
        <v>514</v>
      </c>
      <c r="C465" s="824" t="s">
        <v>2396</v>
      </c>
    </row>
    <row r="466" spans="1:3" x14ac:dyDescent="0.25">
      <c r="A466" s="824" t="s">
        <v>2395</v>
      </c>
      <c r="B466" s="824" t="s">
        <v>2394</v>
      </c>
      <c r="C466" s="824" t="s">
        <v>2393</v>
      </c>
    </row>
    <row r="467" spans="1:3" x14ac:dyDescent="0.25">
      <c r="A467" s="824" t="s">
        <v>2392</v>
      </c>
      <c r="B467" s="824" t="s">
        <v>2391</v>
      </c>
      <c r="C467" s="824" t="s">
        <v>2390</v>
      </c>
    </row>
    <row r="468" spans="1:3" x14ac:dyDescent="0.25">
      <c r="A468" s="824" t="s">
        <v>2389</v>
      </c>
      <c r="B468" s="824" t="s">
        <v>2388</v>
      </c>
      <c r="C468" s="824" t="s">
        <v>2387</v>
      </c>
    </row>
    <row r="469" spans="1:3" x14ac:dyDescent="0.25">
      <c r="A469" s="824" t="s">
        <v>2386</v>
      </c>
      <c r="B469" s="824" t="s">
        <v>1015</v>
      </c>
      <c r="C469" s="824" t="s">
        <v>146</v>
      </c>
    </row>
    <row r="470" spans="1:3" x14ac:dyDescent="0.25">
      <c r="A470" s="824" t="s">
        <v>2385</v>
      </c>
      <c r="B470" s="824" t="s">
        <v>2384</v>
      </c>
      <c r="C470" s="824" t="s">
        <v>2383</v>
      </c>
    </row>
    <row r="471" spans="1:3" x14ac:dyDescent="0.25">
      <c r="A471" s="824" t="s">
        <v>2382</v>
      </c>
      <c r="B471" s="824" t="s">
        <v>2381</v>
      </c>
      <c r="C471" s="824" t="s">
        <v>2380</v>
      </c>
    </row>
    <row r="472" spans="1:3" x14ac:dyDescent="0.25">
      <c r="A472" s="824" t="s">
        <v>2379</v>
      </c>
      <c r="B472" s="824" t="s">
        <v>2378</v>
      </c>
      <c r="C472" s="824" t="s">
        <v>2377</v>
      </c>
    </row>
    <row r="473" spans="1:3" x14ac:dyDescent="0.25">
      <c r="A473" s="824" t="s">
        <v>2376</v>
      </c>
      <c r="B473" s="824" t="s">
        <v>2375</v>
      </c>
      <c r="C473" s="824" t="s">
        <v>410</v>
      </c>
    </row>
    <row r="474" spans="1:3" x14ac:dyDescent="0.25">
      <c r="A474" s="824" t="s">
        <v>2374</v>
      </c>
      <c r="B474" s="824" t="s">
        <v>2373</v>
      </c>
      <c r="C474" s="824" t="s">
        <v>2372</v>
      </c>
    </row>
    <row r="475" spans="1:3" x14ac:dyDescent="0.25">
      <c r="A475" s="824" t="s">
        <v>2371</v>
      </c>
      <c r="B475" s="824" t="s">
        <v>2370</v>
      </c>
      <c r="C475" s="824" t="s">
        <v>2369</v>
      </c>
    </row>
    <row r="476" spans="1:3" x14ac:dyDescent="0.25">
      <c r="A476" s="824" t="s">
        <v>2368</v>
      </c>
      <c r="B476" s="824" t="s">
        <v>2367</v>
      </c>
      <c r="C476" s="824" t="s">
        <v>357</v>
      </c>
    </row>
    <row r="477" spans="1:3" x14ac:dyDescent="0.25">
      <c r="A477" s="824" t="s">
        <v>2366</v>
      </c>
      <c r="B477" s="824" t="s">
        <v>2365</v>
      </c>
      <c r="C477" s="824" t="s">
        <v>2364</v>
      </c>
    </row>
    <row r="478" spans="1:3" x14ac:dyDescent="0.25">
      <c r="A478" s="824" t="s">
        <v>2363</v>
      </c>
      <c r="B478" s="824" t="s">
        <v>610</v>
      </c>
      <c r="C478" s="824" t="s">
        <v>2362</v>
      </c>
    </row>
    <row r="479" spans="1:3" x14ac:dyDescent="0.25">
      <c r="A479" s="824" t="s">
        <v>2361</v>
      </c>
      <c r="B479" s="824" t="s">
        <v>2360</v>
      </c>
      <c r="C479" s="824" t="s">
        <v>2359</v>
      </c>
    </row>
    <row r="480" spans="1:3" x14ac:dyDescent="0.25">
      <c r="A480" s="824" t="s">
        <v>2358</v>
      </c>
      <c r="B480" s="824" t="s">
        <v>2357</v>
      </c>
      <c r="C480" s="824" t="s">
        <v>2356</v>
      </c>
    </row>
    <row r="481" spans="1:3" x14ac:dyDescent="0.25">
      <c r="A481" s="824" t="s">
        <v>2355</v>
      </c>
      <c r="B481" s="824" t="s">
        <v>2354</v>
      </c>
      <c r="C481" s="824" t="s">
        <v>2353</v>
      </c>
    </row>
    <row r="482" spans="1:3" x14ac:dyDescent="0.25">
      <c r="A482" s="824" t="s">
        <v>2352</v>
      </c>
      <c r="B482" s="824" t="s">
        <v>2351</v>
      </c>
      <c r="C482" s="824" t="s">
        <v>2350</v>
      </c>
    </row>
    <row r="483" spans="1:3" x14ac:dyDescent="0.25">
      <c r="A483" s="824" t="s">
        <v>2349</v>
      </c>
      <c r="B483" s="824" t="s">
        <v>997</v>
      </c>
      <c r="C483" s="824" t="s">
        <v>155</v>
      </c>
    </row>
    <row r="484" spans="1:3" x14ac:dyDescent="0.25">
      <c r="A484" s="824" t="s">
        <v>2348</v>
      </c>
      <c r="B484" s="824" t="s">
        <v>2347</v>
      </c>
      <c r="C484" s="824" t="s">
        <v>2346</v>
      </c>
    </row>
    <row r="485" spans="1:3" x14ac:dyDescent="0.25">
      <c r="A485" s="824" t="s">
        <v>2345</v>
      </c>
      <c r="B485" s="824" t="s">
        <v>2344</v>
      </c>
      <c r="C485" s="824" t="s">
        <v>2343</v>
      </c>
    </row>
    <row r="486" spans="1:3" x14ac:dyDescent="0.25">
      <c r="A486" s="824" t="s">
        <v>2342</v>
      </c>
      <c r="B486" s="824" t="s">
        <v>2341</v>
      </c>
      <c r="C486" s="824" t="s">
        <v>2341</v>
      </c>
    </row>
    <row r="487" spans="1:3" x14ac:dyDescent="0.25">
      <c r="A487" s="824" t="s">
        <v>2340</v>
      </c>
      <c r="B487" s="824" t="s">
        <v>2339</v>
      </c>
      <c r="C487" s="824" t="s">
        <v>2338</v>
      </c>
    </row>
    <row r="488" spans="1:3" x14ac:dyDescent="0.25">
      <c r="A488" s="824" t="s">
        <v>2337</v>
      </c>
      <c r="B488" s="824" t="s">
        <v>965</v>
      </c>
      <c r="C488" s="824" t="s">
        <v>222</v>
      </c>
    </row>
    <row r="489" spans="1:3" x14ac:dyDescent="0.25">
      <c r="A489" s="824" t="s">
        <v>2336</v>
      </c>
      <c r="B489" s="824" t="s">
        <v>2335</v>
      </c>
      <c r="C489" s="824" t="s">
        <v>2334</v>
      </c>
    </row>
    <row r="490" spans="1:3" x14ac:dyDescent="0.25">
      <c r="A490" s="824" t="s">
        <v>2333</v>
      </c>
      <c r="B490" s="824" t="s">
        <v>2332</v>
      </c>
      <c r="C490" s="824" t="s">
        <v>832</v>
      </c>
    </row>
    <row r="491" spans="1:3" x14ac:dyDescent="0.25">
      <c r="A491" s="824" t="s">
        <v>1302</v>
      </c>
      <c r="B491" s="824" t="s">
        <v>2331</v>
      </c>
      <c r="C491" s="824" t="s">
        <v>2330</v>
      </c>
    </row>
    <row r="492" spans="1:3" x14ac:dyDescent="0.25">
      <c r="A492" s="824" t="s">
        <v>2329</v>
      </c>
      <c r="B492" s="824" t="s">
        <v>2328</v>
      </c>
      <c r="C492" s="824" t="s">
        <v>2327</v>
      </c>
    </row>
    <row r="493" spans="1:3" x14ac:dyDescent="0.25">
      <c r="A493" s="824" t="s">
        <v>2326</v>
      </c>
      <c r="B493" s="824" t="s">
        <v>2325</v>
      </c>
      <c r="C493" s="824" t="s">
        <v>2324</v>
      </c>
    </row>
    <row r="494" spans="1:3" x14ac:dyDescent="0.25">
      <c r="A494" s="824" t="s">
        <v>2323</v>
      </c>
      <c r="B494" s="824" t="s">
        <v>1012</v>
      </c>
      <c r="C494" s="824" t="s">
        <v>2322</v>
      </c>
    </row>
    <row r="495" spans="1:3" x14ac:dyDescent="0.25">
      <c r="A495" s="824" t="s">
        <v>2321</v>
      </c>
      <c r="B495" s="824" t="s">
        <v>2320</v>
      </c>
      <c r="C495" s="824" t="s">
        <v>2319</v>
      </c>
    </row>
    <row r="496" spans="1:3" x14ac:dyDescent="0.25">
      <c r="A496" s="824" t="s">
        <v>2318</v>
      </c>
      <c r="B496" s="824" t="s">
        <v>2317</v>
      </c>
      <c r="C496" s="824" t="s">
        <v>2317</v>
      </c>
    </row>
    <row r="497" spans="1:3" x14ac:dyDescent="0.25">
      <c r="A497" s="824" t="s">
        <v>2316</v>
      </c>
      <c r="B497" s="824" t="s">
        <v>2315</v>
      </c>
      <c r="C497" s="824" t="s">
        <v>2314</v>
      </c>
    </row>
    <row r="498" spans="1:3" x14ac:dyDescent="0.25">
      <c r="A498" s="824" t="s">
        <v>2313</v>
      </c>
      <c r="B498" s="824" t="s">
        <v>2312</v>
      </c>
      <c r="C498" s="824" t="s">
        <v>2311</v>
      </c>
    </row>
    <row r="499" spans="1:3" x14ac:dyDescent="0.25">
      <c r="A499" s="824" t="s">
        <v>2310</v>
      </c>
      <c r="B499" s="824" t="s">
        <v>1026</v>
      </c>
      <c r="C499" s="824" t="s">
        <v>1027</v>
      </c>
    </row>
    <row r="500" spans="1:3" x14ac:dyDescent="0.25">
      <c r="A500" s="824" t="s">
        <v>2309</v>
      </c>
      <c r="B500" s="824" t="s">
        <v>2308</v>
      </c>
      <c r="C500" s="824" t="s">
        <v>2308</v>
      </c>
    </row>
    <row r="501" spans="1:3" x14ac:dyDescent="0.25">
      <c r="A501" s="824" t="s">
        <v>2307</v>
      </c>
      <c r="B501" s="824" t="s">
        <v>578</v>
      </c>
      <c r="C501" s="824" t="s">
        <v>2306</v>
      </c>
    </row>
    <row r="502" spans="1:3" x14ac:dyDescent="0.25">
      <c r="A502" s="824" t="s">
        <v>358</v>
      </c>
      <c r="B502" s="824" t="s">
        <v>1058</v>
      </c>
      <c r="C502" s="824" t="s">
        <v>55</v>
      </c>
    </row>
    <row r="503" spans="1:3" x14ac:dyDescent="0.25">
      <c r="A503" s="824" t="s">
        <v>2305</v>
      </c>
      <c r="B503" s="824" t="s">
        <v>589</v>
      </c>
      <c r="C503" s="824" t="s">
        <v>374</v>
      </c>
    </row>
    <row r="504" spans="1:3" x14ac:dyDescent="0.25">
      <c r="A504" s="824" t="s">
        <v>2304</v>
      </c>
      <c r="B504" s="824" t="s">
        <v>565</v>
      </c>
      <c r="C504" s="824" t="s">
        <v>761</v>
      </c>
    </row>
    <row r="505" spans="1:3" x14ac:dyDescent="0.25">
      <c r="A505" s="824" t="s">
        <v>2303</v>
      </c>
      <c r="B505" s="824" t="s">
        <v>2302</v>
      </c>
      <c r="C505" s="824" t="s">
        <v>684</v>
      </c>
    </row>
    <row r="506" spans="1:3" x14ac:dyDescent="0.25">
      <c r="A506" s="824" t="s">
        <v>2301</v>
      </c>
      <c r="B506" s="824" t="s">
        <v>2300</v>
      </c>
      <c r="C506" s="824" t="s">
        <v>2299</v>
      </c>
    </row>
    <row r="507" spans="1:3" x14ac:dyDescent="0.25">
      <c r="A507" s="824" t="s">
        <v>2298</v>
      </c>
      <c r="B507" s="824" t="s">
        <v>2297</v>
      </c>
      <c r="C507" s="824" t="s">
        <v>2296</v>
      </c>
    </row>
    <row r="508" spans="1:3" x14ac:dyDescent="0.25">
      <c r="A508" s="824" t="s">
        <v>2295</v>
      </c>
      <c r="B508" s="824" t="s">
        <v>2294</v>
      </c>
      <c r="C508" s="824" t="s">
        <v>2293</v>
      </c>
    </row>
    <row r="509" spans="1:3" x14ac:dyDescent="0.25">
      <c r="A509" s="824" t="s">
        <v>2292</v>
      </c>
      <c r="B509" s="824" t="s">
        <v>2291</v>
      </c>
      <c r="C509" s="824" t="s">
        <v>2290</v>
      </c>
    </row>
    <row r="510" spans="1:3" x14ac:dyDescent="0.25">
      <c r="A510" s="824" t="s">
        <v>2289</v>
      </c>
      <c r="B510" s="824" t="s">
        <v>2288</v>
      </c>
      <c r="C510" s="824" t="s">
        <v>2287</v>
      </c>
    </row>
    <row r="511" spans="1:3" x14ac:dyDescent="0.25">
      <c r="A511" s="824" t="s">
        <v>2286</v>
      </c>
      <c r="B511" s="824" t="s">
        <v>2285</v>
      </c>
      <c r="C511" s="824" t="s">
        <v>2284</v>
      </c>
    </row>
    <row r="512" spans="1:3" x14ac:dyDescent="0.25">
      <c r="A512" s="824" t="s">
        <v>2283</v>
      </c>
      <c r="B512" s="824" t="s">
        <v>592</v>
      </c>
      <c r="C512" s="824" t="s">
        <v>2282</v>
      </c>
    </row>
    <row r="513" spans="1:3" x14ac:dyDescent="0.25">
      <c r="A513" s="824" t="s">
        <v>2281</v>
      </c>
      <c r="B513" s="824" t="s">
        <v>2280</v>
      </c>
      <c r="C513" s="824" t="s">
        <v>2279</v>
      </c>
    </row>
    <row r="514" spans="1:3" x14ac:dyDescent="0.25">
      <c r="A514" s="824" t="s">
        <v>2278</v>
      </c>
      <c r="B514" s="824" t="s">
        <v>2277</v>
      </c>
      <c r="C514" s="824" t="s">
        <v>2276</v>
      </c>
    </row>
    <row r="515" spans="1:3" x14ac:dyDescent="0.25">
      <c r="A515" s="824" t="s">
        <v>2275</v>
      </c>
      <c r="B515" s="824" t="s">
        <v>2274</v>
      </c>
      <c r="C515" s="824" t="s">
        <v>2273</v>
      </c>
    </row>
    <row r="516" spans="1:3" x14ac:dyDescent="0.25">
      <c r="A516" s="824" t="s">
        <v>2272</v>
      </c>
      <c r="B516" s="824" t="s">
        <v>2271</v>
      </c>
      <c r="C516" s="824" t="s">
        <v>2270</v>
      </c>
    </row>
    <row r="517" spans="1:3" x14ac:dyDescent="0.25">
      <c r="A517" s="824" t="s">
        <v>2269</v>
      </c>
      <c r="B517" s="824" t="s">
        <v>2268</v>
      </c>
      <c r="C517" s="824" t="s">
        <v>2267</v>
      </c>
    </row>
    <row r="518" spans="1:3" x14ac:dyDescent="0.25">
      <c r="A518" s="824" t="s">
        <v>2266</v>
      </c>
      <c r="B518" s="824" t="s">
        <v>2265</v>
      </c>
      <c r="C518" s="824" t="s">
        <v>2264</v>
      </c>
    </row>
    <row r="519" spans="1:3" x14ac:dyDescent="0.25">
      <c r="A519" s="824" t="s">
        <v>2263</v>
      </c>
      <c r="B519" s="824" t="s">
        <v>2262</v>
      </c>
      <c r="C519" s="824" t="s">
        <v>2261</v>
      </c>
    </row>
    <row r="520" spans="1:3" x14ac:dyDescent="0.25">
      <c r="A520" s="824" t="s">
        <v>2260</v>
      </c>
      <c r="B520" s="824" t="s">
        <v>2259</v>
      </c>
      <c r="C520" s="824" t="s">
        <v>2258</v>
      </c>
    </row>
    <row r="521" spans="1:3" x14ac:dyDescent="0.25">
      <c r="A521" s="824" t="s">
        <v>2257</v>
      </c>
      <c r="B521" s="824" t="s">
        <v>2256</v>
      </c>
      <c r="C521" s="824" t="s">
        <v>2255</v>
      </c>
    </row>
    <row r="522" spans="1:3" x14ac:dyDescent="0.25">
      <c r="A522" s="824" t="s">
        <v>2254</v>
      </c>
      <c r="B522" s="824" t="s">
        <v>2253</v>
      </c>
      <c r="C522" s="824" t="s">
        <v>2252</v>
      </c>
    </row>
    <row r="523" spans="1:3" x14ac:dyDescent="0.25">
      <c r="A523" s="824" t="s">
        <v>2251</v>
      </c>
      <c r="B523" s="824" t="s">
        <v>2250</v>
      </c>
      <c r="C523" s="824" t="s">
        <v>735</v>
      </c>
    </row>
    <row r="524" spans="1:3" x14ac:dyDescent="0.25">
      <c r="A524" s="824" t="s">
        <v>2249</v>
      </c>
      <c r="B524" s="824" t="s">
        <v>2248</v>
      </c>
      <c r="C524" s="824" t="s">
        <v>2247</v>
      </c>
    </row>
    <row r="525" spans="1:3" x14ac:dyDescent="0.25">
      <c r="A525" s="824" t="s">
        <v>2246</v>
      </c>
      <c r="B525" s="824" t="s">
        <v>2245</v>
      </c>
      <c r="C525" s="824" t="s">
        <v>2244</v>
      </c>
    </row>
    <row r="526" spans="1:3" x14ac:dyDescent="0.25">
      <c r="A526" s="824" t="s">
        <v>2243</v>
      </c>
      <c r="B526" s="824" t="s">
        <v>2242</v>
      </c>
      <c r="C526" s="824" t="s">
        <v>2241</v>
      </c>
    </row>
    <row r="527" spans="1:3" x14ac:dyDescent="0.25">
      <c r="A527" s="824" t="s">
        <v>2240</v>
      </c>
      <c r="B527" s="824" t="s">
        <v>2239</v>
      </c>
      <c r="C527" s="824" t="s">
        <v>2238</v>
      </c>
    </row>
    <row r="528" spans="1:3" x14ac:dyDescent="0.25">
      <c r="A528" s="824" t="s">
        <v>2237</v>
      </c>
      <c r="B528" s="824" t="s">
        <v>579</v>
      </c>
      <c r="C528" s="824" t="s">
        <v>2236</v>
      </c>
    </row>
    <row r="529" spans="1:3" x14ac:dyDescent="0.25">
      <c r="A529" s="824" t="s">
        <v>2235</v>
      </c>
      <c r="B529" s="824" t="s">
        <v>2234</v>
      </c>
      <c r="C529" s="824" t="s">
        <v>2233</v>
      </c>
    </row>
    <row r="530" spans="1:3" x14ac:dyDescent="0.25">
      <c r="A530" s="824" t="s">
        <v>2232</v>
      </c>
      <c r="B530" s="824" t="s">
        <v>2231</v>
      </c>
      <c r="C530" s="824" t="s">
        <v>2230</v>
      </c>
    </row>
    <row r="531" spans="1:3" x14ac:dyDescent="0.25">
      <c r="A531" s="824" t="s">
        <v>2229</v>
      </c>
      <c r="B531" s="824" t="s">
        <v>2228</v>
      </c>
      <c r="C531" s="824" t="s">
        <v>2227</v>
      </c>
    </row>
    <row r="532" spans="1:3" x14ac:dyDescent="0.25">
      <c r="A532" s="824" t="s">
        <v>2226</v>
      </c>
      <c r="B532" s="824" t="s">
        <v>2225</v>
      </c>
      <c r="C532" s="824" t="s">
        <v>2224</v>
      </c>
    </row>
    <row r="533" spans="1:3" x14ac:dyDescent="0.25">
      <c r="A533" s="824" t="s">
        <v>2223</v>
      </c>
      <c r="B533" s="824" t="s">
        <v>2222</v>
      </c>
      <c r="C533" s="824" t="s">
        <v>2221</v>
      </c>
    </row>
    <row r="534" spans="1:3" x14ac:dyDescent="0.25">
      <c r="A534" s="824" t="s">
        <v>2220</v>
      </c>
      <c r="B534" s="824" t="s">
        <v>2219</v>
      </c>
      <c r="C534" s="824" t="s">
        <v>2218</v>
      </c>
    </row>
    <row r="535" spans="1:3" x14ac:dyDescent="0.25">
      <c r="A535" s="824" t="s">
        <v>2217</v>
      </c>
      <c r="B535" s="824" t="s">
        <v>2216</v>
      </c>
      <c r="C535" s="824" t="s">
        <v>2215</v>
      </c>
    </row>
    <row r="536" spans="1:3" x14ac:dyDescent="0.25">
      <c r="A536" s="824" t="s">
        <v>2214</v>
      </c>
      <c r="B536" s="824" t="s">
        <v>2213</v>
      </c>
      <c r="C536" s="824" t="s">
        <v>2212</v>
      </c>
    </row>
    <row r="537" spans="1:3" x14ac:dyDescent="0.25">
      <c r="A537" s="824" t="s">
        <v>2211</v>
      </c>
      <c r="B537" s="824" t="s">
        <v>2210</v>
      </c>
      <c r="C537" s="824" t="s">
        <v>2209</v>
      </c>
    </row>
    <row r="538" spans="1:3" x14ac:dyDescent="0.25">
      <c r="A538" s="824" t="s">
        <v>2208</v>
      </c>
      <c r="B538" s="824" t="s">
        <v>906</v>
      </c>
      <c r="C538" s="824" t="s">
        <v>2207</v>
      </c>
    </row>
    <row r="539" spans="1:3" x14ac:dyDescent="0.25">
      <c r="A539" s="824" t="s">
        <v>2206</v>
      </c>
      <c r="B539" s="824" t="s">
        <v>478</v>
      </c>
      <c r="C539" s="824" t="s">
        <v>375</v>
      </c>
    </row>
    <row r="540" spans="1:3" x14ac:dyDescent="0.25">
      <c r="A540" s="824" t="s">
        <v>2205</v>
      </c>
      <c r="B540" s="824" t="s">
        <v>2204</v>
      </c>
      <c r="C540" s="824" t="s">
        <v>2203</v>
      </c>
    </row>
    <row r="541" spans="1:3" x14ac:dyDescent="0.25">
      <c r="A541" s="824" t="s">
        <v>2202</v>
      </c>
      <c r="B541" s="824" t="s">
        <v>2201</v>
      </c>
      <c r="C541" s="824" t="s">
        <v>2201</v>
      </c>
    </row>
    <row r="542" spans="1:3" x14ac:dyDescent="0.25">
      <c r="A542" s="824" t="s">
        <v>2200</v>
      </c>
      <c r="B542" s="824" t="s">
        <v>2199</v>
      </c>
      <c r="C542" s="824" t="s">
        <v>2198</v>
      </c>
    </row>
    <row r="543" spans="1:3" x14ac:dyDescent="0.25">
      <c r="A543" s="824" t="s">
        <v>2197</v>
      </c>
      <c r="B543" s="824" t="s">
        <v>2196</v>
      </c>
      <c r="C543" s="824" t="s">
        <v>2195</v>
      </c>
    </row>
    <row r="544" spans="1:3" x14ac:dyDescent="0.25">
      <c r="A544" s="824" t="s">
        <v>2194</v>
      </c>
      <c r="B544" s="824" t="s">
        <v>928</v>
      </c>
      <c r="C544" s="824" t="s">
        <v>2193</v>
      </c>
    </row>
    <row r="545" spans="1:3" x14ac:dyDescent="0.25">
      <c r="A545" s="824" t="s">
        <v>2192</v>
      </c>
      <c r="B545" s="824" t="s">
        <v>2191</v>
      </c>
      <c r="C545" s="824" t="s">
        <v>2190</v>
      </c>
    </row>
    <row r="546" spans="1:3" x14ac:dyDescent="0.25">
      <c r="A546" s="824" t="s">
        <v>2189</v>
      </c>
      <c r="B546" s="824" t="s">
        <v>2188</v>
      </c>
      <c r="C546" s="824" t="s">
        <v>2188</v>
      </c>
    </row>
    <row r="547" spans="1:3" x14ac:dyDescent="0.25">
      <c r="A547" s="824" t="s">
        <v>2187</v>
      </c>
      <c r="B547" s="824" t="s">
        <v>2186</v>
      </c>
      <c r="C547" s="824" t="s">
        <v>2185</v>
      </c>
    </row>
    <row r="548" spans="1:3" x14ac:dyDescent="0.25">
      <c r="A548" s="824" t="s">
        <v>2184</v>
      </c>
      <c r="B548" s="824" t="s">
        <v>2183</v>
      </c>
      <c r="C548" s="824" t="s">
        <v>2182</v>
      </c>
    </row>
    <row r="549" spans="1:3" x14ac:dyDescent="0.25">
      <c r="A549" s="824" t="s">
        <v>2181</v>
      </c>
      <c r="B549" s="824" t="s">
        <v>519</v>
      </c>
      <c r="C549" s="824" t="s">
        <v>2180</v>
      </c>
    </row>
    <row r="550" spans="1:3" x14ac:dyDescent="0.25">
      <c r="A550" s="824" t="s">
        <v>2179</v>
      </c>
      <c r="B550" s="824" t="s">
        <v>2178</v>
      </c>
      <c r="C550" s="824" t="s">
        <v>2177</v>
      </c>
    </row>
    <row r="551" spans="1:3" x14ac:dyDescent="0.25">
      <c r="A551" s="824" t="s">
        <v>2176</v>
      </c>
      <c r="B551" s="824" t="s">
        <v>2175</v>
      </c>
      <c r="C551" s="824" t="s">
        <v>2174</v>
      </c>
    </row>
    <row r="552" spans="1:3" x14ac:dyDescent="0.25">
      <c r="A552" s="824" t="s">
        <v>2173</v>
      </c>
      <c r="B552" s="824" t="s">
        <v>2172</v>
      </c>
      <c r="C552" s="824" t="s">
        <v>2171</v>
      </c>
    </row>
    <row r="553" spans="1:3" x14ac:dyDescent="0.25">
      <c r="A553" s="824" t="s">
        <v>2170</v>
      </c>
      <c r="B553" s="824" t="s">
        <v>2169</v>
      </c>
      <c r="C553" s="824" t="s">
        <v>2168</v>
      </c>
    </row>
    <row r="554" spans="1:3" x14ac:dyDescent="0.25">
      <c r="A554" s="824" t="s">
        <v>2167</v>
      </c>
      <c r="B554" s="824" t="s">
        <v>985</v>
      </c>
      <c r="C554" s="824" t="s">
        <v>360</v>
      </c>
    </row>
    <row r="555" spans="1:3" x14ac:dyDescent="0.25">
      <c r="A555" s="824" t="s">
        <v>2166</v>
      </c>
      <c r="B555" s="824" t="s">
        <v>2165</v>
      </c>
      <c r="C555" s="824" t="s">
        <v>2164</v>
      </c>
    </row>
    <row r="556" spans="1:3" x14ac:dyDescent="0.25">
      <c r="A556" s="824" t="s">
        <v>2163</v>
      </c>
      <c r="B556" s="824" t="s">
        <v>2162</v>
      </c>
      <c r="C556" s="824" t="s">
        <v>2161</v>
      </c>
    </row>
    <row r="557" spans="1:3" x14ac:dyDescent="0.25">
      <c r="A557" s="824" t="s">
        <v>2160</v>
      </c>
      <c r="B557" s="824" t="s">
        <v>2159</v>
      </c>
      <c r="C557" s="824" t="s">
        <v>2158</v>
      </c>
    </row>
    <row r="558" spans="1:3" x14ac:dyDescent="0.25">
      <c r="A558" s="824" t="s">
        <v>2157</v>
      </c>
      <c r="B558" s="824" t="s">
        <v>1062</v>
      </c>
      <c r="C558" s="824" t="s">
        <v>210</v>
      </c>
    </row>
    <row r="559" spans="1:3" x14ac:dyDescent="0.25">
      <c r="A559" s="824" t="s">
        <v>2156</v>
      </c>
      <c r="B559" s="824" t="s">
        <v>2155</v>
      </c>
      <c r="C559" s="824" t="s">
        <v>2154</v>
      </c>
    </row>
    <row r="560" spans="1:3" x14ac:dyDescent="0.25">
      <c r="A560" s="824" t="s">
        <v>2153</v>
      </c>
      <c r="B560" s="824" t="s">
        <v>2152</v>
      </c>
      <c r="C560" s="824" t="s">
        <v>2151</v>
      </c>
    </row>
    <row r="561" spans="1:3" x14ac:dyDescent="0.25">
      <c r="A561" s="824" t="s">
        <v>2150</v>
      </c>
      <c r="B561" s="824" t="s">
        <v>2149</v>
      </c>
      <c r="C561" s="824" t="s">
        <v>2149</v>
      </c>
    </row>
    <row r="562" spans="1:3" x14ac:dyDescent="0.25">
      <c r="A562" s="824" t="s">
        <v>2148</v>
      </c>
      <c r="B562" s="824" t="s">
        <v>2147</v>
      </c>
      <c r="C562" s="824" t="s">
        <v>2147</v>
      </c>
    </row>
    <row r="563" spans="1:3" x14ac:dyDescent="0.25">
      <c r="A563" s="824" t="s">
        <v>2146</v>
      </c>
      <c r="B563" s="824" t="s">
        <v>2145</v>
      </c>
      <c r="C563" s="824" t="s">
        <v>2144</v>
      </c>
    </row>
    <row r="564" spans="1:3" x14ac:dyDescent="0.25">
      <c r="A564" s="824" t="s">
        <v>2143</v>
      </c>
      <c r="B564" s="824" t="s">
        <v>2142</v>
      </c>
      <c r="C564" s="824" t="s">
        <v>2141</v>
      </c>
    </row>
    <row r="565" spans="1:3" x14ac:dyDescent="0.25">
      <c r="A565" s="824" t="s">
        <v>2140</v>
      </c>
      <c r="B565" s="824" t="s">
        <v>2139</v>
      </c>
      <c r="C565" s="824" t="s">
        <v>2138</v>
      </c>
    </row>
    <row r="566" spans="1:3" x14ac:dyDescent="0.25">
      <c r="A566" s="824" t="s">
        <v>2137</v>
      </c>
      <c r="B566" s="824" t="s">
        <v>2136</v>
      </c>
      <c r="C566" s="824" t="s">
        <v>2135</v>
      </c>
    </row>
    <row r="567" spans="1:3" x14ac:dyDescent="0.25">
      <c r="A567" s="824" t="s">
        <v>2134</v>
      </c>
      <c r="B567" s="824" t="s">
        <v>2133</v>
      </c>
      <c r="C567" s="824" t="s">
        <v>2132</v>
      </c>
    </row>
    <row r="568" spans="1:3" x14ac:dyDescent="0.25">
      <c r="A568" s="824" t="s">
        <v>2131</v>
      </c>
      <c r="B568" s="824" t="s">
        <v>869</v>
      </c>
      <c r="C568" s="824" t="s">
        <v>2130</v>
      </c>
    </row>
    <row r="569" spans="1:3" x14ac:dyDescent="0.25">
      <c r="A569" s="824" t="s">
        <v>2129</v>
      </c>
      <c r="B569" s="824" t="s">
        <v>2128</v>
      </c>
      <c r="C569" s="824" t="s">
        <v>2127</v>
      </c>
    </row>
    <row r="570" spans="1:3" x14ac:dyDescent="0.25">
      <c r="A570" s="824" t="s">
        <v>2126</v>
      </c>
      <c r="B570" s="824" t="s">
        <v>2125</v>
      </c>
      <c r="C570" s="824" t="s">
        <v>2124</v>
      </c>
    </row>
    <row r="571" spans="1:3" x14ac:dyDescent="0.25">
      <c r="A571" s="824" t="s">
        <v>2123</v>
      </c>
      <c r="B571" s="824" t="s">
        <v>2122</v>
      </c>
      <c r="C571" s="824" t="s">
        <v>2121</v>
      </c>
    </row>
    <row r="572" spans="1:3" x14ac:dyDescent="0.25">
      <c r="A572" s="824" t="s">
        <v>2120</v>
      </c>
      <c r="B572" s="824" t="s">
        <v>2119</v>
      </c>
      <c r="C572" s="824" t="s">
        <v>389</v>
      </c>
    </row>
    <row r="573" spans="1:3" x14ac:dyDescent="0.25">
      <c r="A573" s="824" t="s">
        <v>2118</v>
      </c>
      <c r="B573" s="824" t="s">
        <v>2117</v>
      </c>
      <c r="C573" s="824" t="s">
        <v>2117</v>
      </c>
    </row>
    <row r="574" spans="1:3" x14ac:dyDescent="0.25">
      <c r="A574" s="824" t="s">
        <v>2116</v>
      </c>
      <c r="B574" s="824" t="s">
        <v>2115</v>
      </c>
      <c r="C574" s="824" t="s">
        <v>782</v>
      </c>
    </row>
    <row r="575" spans="1:3" x14ac:dyDescent="0.25">
      <c r="A575" s="824" t="s">
        <v>1196</v>
      </c>
      <c r="B575" s="824" t="s">
        <v>2114</v>
      </c>
      <c r="C575" s="824" t="s">
        <v>2113</v>
      </c>
    </row>
    <row r="576" spans="1:3" x14ac:dyDescent="0.25">
      <c r="A576" s="824" t="s">
        <v>2112</v>
      </c>
      <c r="B576" s="824" t="s">
        <v>961</v>
      </c>
      <c r="C576" s="824" t="s">
        <v>728</v>
      </c>
    </row>
    <row r="577" spans="1:3" x14ac:dyDescent="0.25">
      <c r="A577" s="824" t="s">
        <v>2111</v>
      </c>
      <c r="B577" s="824" t="s">
        <v>2110</v>
      </c>
      <c r="C577" s="824" t="s">
        <v>2109</v>
      </c>
    </row>
    <row r="578" spans="1:3" x14ac:dyDescent="0.25">
      <c r="A578" s="824" t="s">
        <v>1307</v>
      </c>
      <c r="B578" s="824" t="s">
        <v>2108</v>
      </c>
      <c r="C578" s="824" t="s">
        <v>2107</v>
      </c>
    </row>
    <row r="579" spans="1:3" x14ac:dyDescent="0.25">
      <c r="A579" s="824" t="s">
        <v>2106</v>
      </c>
      <c r="B579" s="824" t="s">
        <v>486</v>
      </c>
      <c r="C579" s="824" t="s">
        <v>377</v>
      </c>
    </row>
    <row r="580" spans="1:3" x14ac:dyDescent="0.25">
      <c r="A580" s="824" t="s">
        <v>2105</v>
      </c>
      <c r="B580" s="824" t="s">
        <v>2104</v>
      </c>
      <c r="C580" s="824" t="s">
        <v>2103</v>
      </c>
    </row>
    <row r="581" spans="1:3" x14ac:dyDescent="0.25">
      <c r="A581" s="824" t="s">
        <v>2102</v>
      </c>
      <c r="B581" s="824" t="s">
        <v>2101</v>
      </c>
      <c r="C581" s="824" t="s">
        <v>2100</v>
      </c>
    </row>
    <row r="582" spans="1:3" x14ac:dyDescent="0.25">
      <c r="A582" s="824" t="s">
        <v>2099</v>
      </c>
      <c r="B582" s="824" t="s">
        <v>2098</v>
      </c>
      <c r="C582" s="824" t="s">
        <v>2097</v>
      </c>
    </row>
    <row r="583" spans="1:3" x14ac:dyDescent="0.25">
      <c r="A583" s="824" t="s">
        <v>2096</v>
      </c>
      <c r="B583" s="824" t="s">
        <v>2095</v>
      </c>
      <c r="C583" s="824" t="s">
        <v>2094</v>
      </c>
    </row>
    <row r="584" spans="1:3" x14ac:dyDescent="0.25">
      <c r="A584" s="824" t="s">
        <v>2093</v>
      </c>
      <c r="B584" s="824" t="s">
        <v>2092</v>
      </c>
      <c r="C584" s="824" t="s">
        <v>2091</v>
      </c>
    </row>
    <row r="585" spans="1:3" x14ac:dyDescent="0.25">
      <c r="A585" s="824" t="s">
        <v>2090</v>
      </c>
      <c r="B585" s="824" t="s">
        <v>2089</v>
      </c>
      <c r="C585" s="824" t="s">
        <v>2089</v>
      </c>
    </row>
    <row r="586" spans="1:3" x14ac:dyDescent="0.25">
      <c r="A586" s="824" t="s">
        <v>2088</v>
      </c>
      <c r="B586" s="824" t="s">
        <v>2087</v>
      </c>
      <c r="C586" s="824" t="s">
        <v>2086</v>
      </c>
    </row>
    <row r="587" spans="1:3" x14ac:dyDescent="0.25">
      <c r="A587" s="824" t="s">
        <v>2085</v>
      </c>
      <c r="B587" s="824" t="s">
        <v>2084</v>
      </c>
      <c r="C587" s="824" t="s">
        <v>2083</v>
      </c>
    </row>
    <row r="588" spans="1:3" x14ac:dyDescent="0.25">
      <c r="A588" s="824" t="s">
        <v>2082</v>
      </c>
      <c r="B588" s="824" t="s">
        <v>2081</v>
      </c>
      <c r="C588" s="824" t="s">
        <v>2080</v>
      </c>
    </row>
    <row r="589" spans="1:3" x14ac:dyDescent="0.25">
      <c r="A589" s="824" t="s">
        <v>2079</v>
      </c>
      <c r="B589" s="824" t="s">
        <v>2078</v>
      </c>
      <c r="C589" s="824" t="s">
        <v>57</v>
      </c>
    </row>
    <row r="590" spans="1:3" x14ac:dyDescent="0.25">
      <c r="A590" s="824" t="s">
        <v>2077</v>
      </c>
      <c r="B590" s="824" t="s">
        <v>2076</v>
      </c>
      <c r="C590" s="824" t="s">
        <v>2075</v>
      </c>
    </row>
    <row r="591" spans="1:3" x14ac:dyDescent="0.25">
      <c r="A591" s="824" t="s">
        <v>2074</v>
      </c>
      <c r="B591" s="824" t="s">
        <v>2073</v>
      </c>
      <c r="C591" s="824" t="s">
        <v>2072</v>
      </c>
    </row>
    <row r="592" spans="1:3" x14ac:dyDescent="0.25">
      <c r="A592" s="824" t="s">
        <v>2071</v>
      </c>
      <c r="B592" s="824" t="s">
        <v>2070</v>
      </c>
      <c r="C592" s="824" t="s">
        <v>2069</v>
      </c>
    </row>
    <row r="593" spans="1:3" x14ac:dyDescent="0.25">
      <c r="A593" s="824" t="s">
        <v>2068</v>
      </c>
      <c r="B593" s="824" t="s">
        <v>2067</v>
      </c>
      <c r="C593" s="824" t="s">
        <v>2066</v>
      </c>
    </row>
    <row r="594" spans="1:3" x14ac:dyDescent="0.25">
      <c r="A594" s="824" t="s">
        <v>2065</v>
      </c>
      <c r="B594" s="824" t="s">
        <v>2064</v>
      </c>
      <c r="C594" s="824" t="s">
        <v>2063</v>
      </c>
    </row>
    <row r="595" spans="1:3" x14ac:dyDescent="0.25">
      <c r="A595" s="824" t="s">
        <v>2062</v>
      </c>
      <c r="B595" s="824" t="s">
        <v>2061</v>
      </c>
      <c r="C595" s="824" t="s">
        <v>2060</v>
      </c>
    </row>
    <row r="596" spans="1:3" x14ac:dyDescent="0.25">
      <c r="A596" s="824" t="s">
        <v>2059</v>
      </c>
      <c r="B596" s="824" t="s">
        <v>2058</v>
      </c>
      <c r="C596" s="824" t="s">
        <v>2057</v>
      </c>
    </row>
    <row r="597" spans="1:3" x14ac:dyDescent="0.25">
      <c r="A597" s="824" t="s">
        <v>2056</v>
      </c>
      <c r="B597" s="824" t="s">
        <v>2055</v>
      </c>
      <c r="C597" s="824" t="s">
        <v>2054</v>
      </c>
    </row>
    <row r="598" spans="1:3" x14ac:dyDescent="0.25">
      <c r="A598" s="824" t="s">
        <v>2053</v>
      </c>
      <c r="B598" s="824" t="s">
        <v>2052</v>
      </c>
      <c r="C598" s="824" t="s">
        <v>2051</v>
      </c>
    </row>
    <row r="599" spans="1:3" x14ac:dyDescent="0.25">
      <c r="A599" s="824" t="s">
        <v>2050</v>
      </c>
      <c r="B599" s="824" t="s">
        <v>2049</v>
      </c>
      <c r="C599" s="824" t="s">
        <v>2048</v>
      </c>
    </row>
    <row r="600" spans="1:3" x14ac:dyDescent="0.25">
      <c r="A600" s="824" t="s">
        <v>2047</v>
      </c>
      <c r="B600" s="824" t="s">
        <v>2046</v>
      </c>
      <c r="C600" s="824" t="s">
        <v>2045</v>
      </c>
    </row>
    <row r="601" spans="1:3" x14ac:dyDescent="0.25">
      <c r="A601" s="824" t="s">
        <v>2044</v>
      </c>
      <c r="B601" s="824" t="s">
        <v>489</v>
      </c>
      <c r="C601" s="824" t="s">
        <v>411</v>
      </c>
    </row>
    <row r="602" spans="1:3" x14ac:dyDescent="0.25">
      <c r="A602" s="824" t="s">
        <v>2043</v>
      </c>
      <c r="B602" s="824" t="s">
        <v>534</v>
      </c>
      <c r="C602" s="824" t="s">
        <v>2042</v>
      </c>
    </row>
    <row r="603" spans="1:3" x14ac:dyDescent="0.25">
      <c r="A603" s="824" t="s">
        <v>2041</v>
      </c>
      <c r="B603" s="824" t="s">
        <v>2040</v>
      </c>
      <c r="C603" s="824" t="s">
        <v>2040</v>
      </c>
    </row>
    <row r="604" spans="1:3" x14ac:dyDescent="0.25">
      <c r="A604" s="824" t="s">
        <v>2039</v>
      </c>
      <c r="B604" s="824" t="s">
        <v>939</v>
      </c>
      <c r="C604" s="824" t="s">
        <v>2038</v>
      </c>
    </row>
    <row r="605" spans="1:3" x14ac:dyDescent="0.25">
      <c r="A605" s="824" t="s">
        <v>2037</v>
      </c>
      <c r="B605" s="824" t="s">
        <v>583</v>
      </c>
      <c r="C605" s="824" t="s">
        <v>2036</v>
      </c>
    </row>
    <row r="606" spans="1:3" x14ac:dyDescent="0.25">
      <c r="A606" s="824" t="s">
        <v>2035</v>
      </c>
      <c r="B606" s="824" t="s">
        <v>2034</v>
      </c>
      <c r="C606" s="824" t="s">
        <v>272</v>
      </c>
    </row>
    <row r="607" spans="1:3" x14ac:dyDescent="0.25">
      <c r="A607" s="824" t="s">
        <v>2033</v>
      </c>
      <c r="B607" s="824" t="s">
        <v>2032</v>
      </c>
      <c r="C607" s="824" t="s">
        <v>2031</v>
      </c>
    </row>
    <row r="608" spans="1:3" x14ac:dyDescent="0.25">
      <c r="A608" s="824" t="s">
        <v>2030</v>
      </c>
      <c r="B608" s="824" t="s">
        <v>2029</v>
      </c>
      <c r="C608" s="824" t="s">
        <v>2028</v>
      </c>
    </row>
    <row r="609" spans="1:3" x14ac:dyDescent="0.25">
      <c r="A609" s="824" t="s">
        <v>2027</v>
      </c>
      <c r="B609" s="824" t="s">
        <v>2026</v>
      </c>
      <c r="C609" s="824" t="s">
        <v>76</v>
      </c>
    </row>
    <row r="610" spans="1:3" x14ac:dyDescent="0.25">
      <c r="A610" s="824" t="s">
        <v>2025</v>
      </c>
      <c r="B610" s="824" t="s">
        <v>2024</v>
      </c>
      <c r="C610" s="824" t="s">
        <v>2023</v>
      </c>
    </row>
    <row r="611" spans="1:3" x14ac:dyDescent="0.25">
      <c r="A611" s="824" t="s">
        <v>2022</v>
      </c>
      <c r="B611" s="824" t="s">
        <v>2021</v>
      </c>
      <c r="C611" s="824" t="s">
        <v>2020</v>
      </c>
    </row>
    <row r="612" spans="1:3" x14ac:dyDescent="0.25">
      <c r="A612" s="824" t="s">
        <v>2019</v>
      </c>
      <c r="B612" s="824" t="s">
        <v>2018</v>
      </c>
      <c r="C612" s="824" t="s">
        <v>2017</v>
      </c>
    </row>
    <row r="613" spans="1:3" x14ac:dyDescent="0.25">
      <c r="A613" s="824" t="s">
        <v>2016</v>
      </c>
      <c r="B613" s="824" t="s">
        <v>2015</v>
      </c>
      <c r="C613" s="824" t="s">
        <v>2014</v>
      </c>
    </row>
    <row r="614" spans="1:3" x14ac:dyDescent="0.25">
      <c r="A614" s="824" t="s">
        <v>2013</v>
      </c>
      <c r="B614" s="824" t="s">
        <v>2012</v>
      </c>
      <c r="C614" s="824" t="s">
        <v>2011</v>
      </c>
    </row>
    <row r="615" spans="1:3" x14ac:dyDescent="0.25">
      <c r="A615" s="824" t="s">
        <v>675</v>
      </c>
      <c r="B615" s="824" t="s">
        <v>2010</v>
      </c>
      <c r="C615" s="824" t="s">
        <v>74</v>
      </c>
    </row>
    <row r="616" spans="1:3" x14ac:dyDescent="0.25">
      <c r="A616" s="824" t="s">
        <v>2009</v>
      </c>
      <c r="B616" s="824" t="s">
        <v>2008</v>
      </c>
      <c r="C616" s="824" t="s">
        <v>2007</v>
      </c>
    </row>
    <row r="617" spans="1:3" x14ac:dyDescent="0.25">
      <c r="A617" s="824" t="s">
        <v>2006</v>
      </c>
      <c r="B617" s="824" t="s">
        <v>2005</v>
      </c>
      <c r="C617" s="824" t="s">
        <v>2004</v>
      </c>
    </row>
    <row r="618" spans="1:3" x14ac:dyDescent="0.25">
      <c r="A618" s="824" t="s">
        <v>2003</v>
      </c>
      <c r="B618" s="824" t="s">
        <v>2002</v>
      </c>
      <c r="C618" s="824" t="s">
        <v>2001</v>
      </c>
    </row>
    <row r="619" spans="1:3" x14ac:dyDescent="0.25">
      <c r="A619" s="824" t="s">
        <v>2000</v>
      </c>
      <c r="B619" s="824" t="s">
        <v>1999</v>
      </c>
      <c r="C619" s="824" t="s">
        <v>1998</v>
      </c>
    </row>
    <row r="620" spans="1:3" x14ac:dyDescent="0.25">
      <c r="A620" s="824" t="s">
        <v>1997</v>
      </c>
      <c r="B620" s="824" t="s">
        <v>1996</v>
      </c>
      <c r="C620" s="824" t="s">
        <v>1995</v>
      </c>
    </row>
    <row r="621" spans="1:3" x14ac:dyDescent="0.25">
      <c r="A621" s="824" t="s">
        <v>1994</v>
      </c>
      <c r="B621" s="824" t="s">
        <v>1993</v>
      </c>
      <c r="C621" s="824" t="s">
        <v>1993</v>
      </c>
    </row>
    <row r="622" spans="1:3" x14ac:dyDescent="0.25">
      <c r="A622" s="824" t="s">
        <v>1320</v>
      </c>
      <c r="B622" s="824" t="s">
        <v>1992</v>
      </c>
      <c r="C622" s="824" t="s">
        <v>1991</v>
      </c>
    </row>
    <row r="623" spans="1:3" x14ac:dyDescent="0.25">
      <c r="A623" s="824" t="s">
        <v>1990</v>
      </c>
      <c r="B623" s="824" t="s">
        <v>1989</v>
      </c>
      <c r="C623" s="824" t="s">
        <v>1989</v>
      </c>
    </row>
    <row r="624" spans="1:3" x14ac:dyDescent="0.25">
      <c r="A624" s="824" t="s">
        <v>1988</v>
      </c>
      <c r="B624" s="824" t="s">
        <v>1987</v>
      </c>
      <c r="C624" s="824" t="s">
        <v>1986</v>
      </c>
    </row>
    <row r="625" spans="1:3" x14ac:dyDescent="0.25">
      <c r="A625" s="824" t="s">
        <v>1985</v>
      </c>
      <c r="B625" s="824" t="s">
        <v>1984</v>
      </c>
      <c r="C625" s="824" t="s">
        <v>1983</v>
      </c>
    </row>
    <row r="626" spans="1:3" x14ac:dyDescent="0.25">
      <c r="A626" s="824" t="s">
        <v>1982</v>
      </c>
      <c r="B626" s="824" t="s">
        <v>1981</v>
      </c>
      <c r="C626" s="824" t="s">
        <v>1980</v>
      </c>
    </row>
    <row r="627" spans="1:3" x14ac:dyDescent="0.25">
      <c r="A627" s="824" t="s">
        <v>1979</v>
      </c>
      <c r="B627" s="824" t="s">
        <v>571</v>
      </c>
      <c r="C627" s="824" t="s">
        <v>1978</v>
      </c>
    </row>
    <row r="628" spans="1:3" x14ac:dyDescent="0.25">
      <c r="A628" s="824" t="s">
        <v>1977</v>
      </c>
      <c r="B628" s="824" t="s">
        <v>1976</v>
      </c>
      <c r="C628" s="824" t="s">
        <v>1975</v>
      </c>
    </row>
    <row r="629" spans="1:3" x14ac:dyDescent="0.25">
      <c r="A629" s="824" t="s">
        <v>1974</v>
      </c>
      <c r="B629" s="824" t="s">
        <v>899</v>
      </c>
      <c r="C629" s="824" t="s">
        <v>1973</v>
      </c>
    </row>
    <row r="630" spans="1:3" x14ac:dyDescent="0.25">
      <c r="A630" s="824" t="s">
        <v>1972</v>
      </c>
      <c r="B630" s="824" t="s">
        <v>1971</v>
      </c>
      <c r="C630" s="824" t="s">
        <v>1970</v>
      </c>
    </row>
    <row r="631" spans="1:3" x14ac:dyDescent="0.25">
      <c r="A631" s="824" t="s">
        <v>1969</v>
      </c>
      <c r="B631" s="824" t="s">
        <v>1968</v>
      </c>
      <c r="C631" s="824" t="s">
        <v>1967</v>
      </c>
    </row>
    <row r="632" spans="1:3" x14ac:dyDescent="0.25">
      <c r="A632" s="824" t="s">
        <v>1966</v>
      </c>
      <c r="B632" s="824" t="s">
        <v>1965</v>
      </c>
      <c r="C632" s="824" t="s">
        <v>351</v>
      </c>
    </row>
    <row r="633" spans="1:3" x14ac:dyDescent="0.25">
      <c r="A633" s="824" t="s">
        <v>1964</v>
      </c>
      <c r="B633" s="824" t="s">
        <v>1963</v>
      </c>
      <c r="C633" s="824" t="s">
        <v>1962</v>
      </c>
    </row>
    <row r="634" spans="1:3" x14ac:dyDescent="0.25">
      <c r="A634" s="824" t="s">
        <v>1961</v>
      </c>
      <c r="B634" s="824" t="s">
        <v>1960</v>
      </c>
      <c r="C634" s="824" t="s">
        <v>1959</v>
      </c>
    </row>
    <row r="635" spans="1:3" x14ac:dyDescent="0.25">
      <c r="A635" s="824" t="s">
        <v>1958</v>
      </c>
      <c r="B635" s="824" t="s">
        <v>910</v>
      </c>
      <c r="C635" s="824" t="s">
        <v>1957</v>
      </c>
    </row>
    <row r="636" spans="1:3" x14ac:dyDescent="0.25">
      <c r="A636" s="824" t="s">
        <v>1956</v>
      </c>
      <c r="B636" s="824" t="s">
        <v>1955</v>
      </c>
      <c r="C636" s="824" t="s">
        <v>1954</v>
      </c>
    </row>
    <row r="637" spans="1:3" x14ac:dyDescent="0.25">
      <c r="A637" s="824" t="s">
        <v>1953</v>
      </c>
      <c r="B637" s="824" t="s">
        <v>1070</v>
      </c>
      <c r="C637" s="824" t="s">
        <v>260</v>
      </c>
    </row>
    <row r="638" spans="1:3" x14ac:dyDescent="0.25">
      <c r="A638" s="824" t="s">
        <v>1952</v>
      </c>
      <c r="B638" s="824" t="s">
        <v>1951</v>
      </c>
      <c r="C638" s="824" t="s">
        <v>1950</v>
      </c>
    </row>
    <row r="639" spans="1:3" x14ac:dyDescent="0.25">
      <c r="A639" s="824" t="s">
        <v>1949</v>
      </c>
      <c r="B639" s="824" t="s">
        <v>615</v>
      </c>
      <c r="C639" s="824" t="s">
        <v>1948</v>
      </c>
    </row>
    <row r="640" spans="1:3" x14ac:dyDescent="0.25">
      <c r="A640" s="824" t="s">
        <v>1947</v>
      </c>
      <c r="B640" s="824" t="s">
        <v>1946</v>
      </c>
      <c r="C640" s="824" t="s">
        <v>1945</v>
      </c>
    </row>
    <row r="641" spans="1:3" x14ac:dyDescent="0.25">
      <c r="A641" s="824" t="s">
        <v>1944</v>
      </c>
      <c r="B641" s="824" t="s">
        <v>1943</v>
      </c>
      <c r="C641" s="824" t="s">
        <v>1942</v>
      </c>
    </row>
    <row r="642" spans="1:3" x14ac:dyDescent="0.25">
      <c r="A642" s="824" t="s">
        <v>1941</v>
      </c>
      <c r="B642" s="824" t="s">
        <v>1940</v>
      </c>
      <c r="C642" s="824" t="s">
        <v>1939</v>
      </c>
    </row>
    <row r="643" spans="1:3" x14ac:dyDescent="0.25">
      <c r="A643" s="824" t="s">
        <v>1938</v>
      </c>
      <c r="B643" s="824" t="s">
        <v>1937</v>
      </c>
      <c r="C643" s="824" t="s">
        <v>1936</v>
      </c>
    </row>
    <row r="644" spans="1:3" x14ac:dyDescent="0.25">
      <c r="A644" s="824" t="s">
        <v>259</v>
      </c>
      <c r="B644" s="824" t="s">
        <v>1004</v>
      </c>
      <c r="C644" s="824" t="s">
        <v>258</v>
      </c>
    </row>
    <row r="645" spans="1:3" x14ac:dyDescent="0.25">
      <c r="A645" s="824" t="s">
        <v>1935</v>
      </c>
      <c r="B645" s="824" t="s">
        <v>1934</v>
      </c>
      <c r="C645" s="824" t="s">
        <v>1933</v>
      </c>
    </row>
    <row r="646" spans="1:3" x14ac:dyDescent="0.25">
      <c r="A646" s="824" t="s">
        <v>1932</v>
      </c>
      <c r="B646" s="824" t="s">
        <v>1931</v>
      </c>
      <c r="C646" s="824" t="s">
        <v>1930</v>
      </c>
    </row>
    <row r="647" spans="1:3" x14ac:dyDescent="0.25">
      <c r="A647" s="824" t="s">
        <v>1929</v>
      </c>
      <c r="B647" s="824" t="s">
        <v>1928</v>
      </c>
      <c r="C647" s="824" t="s">
        <v>1927</v>
      </c>
    </row>
    <row r="648" spans="1:3" x14ac:dyDescent="0.25">
      <c r="A648" s="824" t="s">
        <v>1926</v>
      </c>
      <c r="B648" s="824" t="s">
        <v>1925</v>
      </c>
      <c r="C648" s="824" t="s">
        <v>1924</v>
      </c>
    </row>
    <row r="649" spans="1:3" x14ac:dyDescent="0.25">
      <c r="A649" s="824" t="s">
        <v>1923</v>
      </c>
      <c r="B649" s="824" t="s">
        <v>1922</v>
      </c>
      <c r="C649" s="824" t="s">
        <v>1921</v>
      </c>
    </row>
    <row r="650" spans="1:3" x14ac:dyDescent="0.25">
      <c r="A650" s="824" t="s">
        <v>1920</v>
      </c>
      <c r="B650" s="824" t="s">
        <v>1050</v>
      </c>
      <c r="C650" s="824" t="s">
        <v>460</v>
      </c>
    </row>
    <row r="651" spans="1:3" x14ac:dyDescent="0.25">
      <c r="A651" s="824" t="s">
        <v>1919</v>
      </c>
      <c r="B651" s="824" t="s">
        <v>1918</v>
      </c>
      <c r="C651" s="824" t="s">
        <v>1917</v>
      </c>
    </row>
    <row r="652" spans="1:3" x14ac:dyDescent="0.25">
      <c r="A652" s="824" t="s">
        <v>1916</v>
      </c>
      <c r="B652" s="824" t="s">
        <v>1915</v>
      </c>
      <c r="C652" s="824" t="s">
        <v>1914</v>
      </c>
    </row>
    <row r="653" spans="1:3" x14ac:dyDescent="0.25">
      <c r="A653" s="824" t="s">
        <v>1913</v>
      </c>
      <c r="B653" s="824" t="s">
        <v>1912</v>
      </c>
      <c r="C653" s="824" t="s">
        <v>1911</v>
      </c>
    </row>
    <row r="654" spans="1:3" x14ac:dyDescent="0.25">
      <c r="A654" s="824" t="s">
        <v>1910</v>
      </c>
      <c r="B654" s="824" t="s">
        <v>1909</v>
      </c>
      <c r="C654" s="824" t="s">
        <v>1908</v>
      </c>
    </row>
    <row r="655" spans="1:3" x14ac:dyDescent="0.25">
      <c r="A655" s="824" t="s">
        <v>1907</v>
      </c>
      <c r="B655" s="824" t="s">
        <v>517</v>
      </c>
      <c r="C655" s="824" t="s">
        <v>453</v>
      </c>
    </row>
    <row r="656" spans="1:3" x14ac:dyDescent="0.25">
      <c r="A656" s="824" t="s">
        <v>1906</v>
      </c>
      <c r="B656" s="824" t="s">
        <v>474</v>
      </c>
      <c r="C656" s="824" t="s">
        <v>1905</v>
      </c>
    </row>
    <row r="657" spans="1:3" x14ac:dyDescent="0.25">
      <c r="A657" s="824" t="s">
        <v>1904</v>
      </c>
      <c r="B657" s="824" t="s">
        <v>1903</v>
      </c>
      <c r="C657" s="824" t="s">
        <v>1902</v>
      </c>
    </row>
    <row r="658" spans="1:3" x14ac:dyDescent="0.25">
      <c r="A658" s="824" t="s">
        <v>1901</v>
      </c>
      <c r="B658" s="824" t="s">
        <v>1900</v>
      </c>
      <c r="C658" s="824" t="s">
        <v>364</v>
      </c>
    </row>
    <row r="659" spans="1:3" x14ac:dyDescent="0.25">
      <c r="A659" s="824" t="s">
        <v>1899</v>
      </c>
      <c r="B659" s="824" t="s">
        <v>1898</v>
      </c>
      <c r="C659" s="824" t="s">
        <v>1897</v>
      </c>
    </row>
    <row r="660" spans="1:3" x14ac:dyDescent="0.25">
      <c r="A660" s="824" t="s">
        <v>1896</v>
      </c>
      <c r="B660" s="824" t="s">
        <v>1895</v>
      </c>
      <c r="C660" s="824" t="s">
        <v>1894</v>
      </c>
    </row>
    <row r="661" spans="1:3" x14ac:dyDescent="0.25">
      <c r="A661" s="824" t="s">
        <v>1893</v>
      </c>
      <c r="B661" s="824" t="s">
        <v>1892</v>
      </c>
      <c r="C661" s="824" t="s">
        <v>1891</v>
      </c>
    </row>
    <row r="662" spans="1:3" x14ac:dyDescent="0.25">
      <c r="A662" s="824" t="s">
        <v>1890</v>
      </c>
      <c r="B662" s="824" t="s">
        <v>1889</v>
      </c>
      <c r="C662" s="824" t="s">
        <v>1888</v>
      </c>
    </row>
    <row r="663" spans="1:3" x14ac:dyDescent="0.25">
      <c r="A663" s="824" t="s">
        <v>1887</v>
      </c>
      <c r="B663" s="824" t="s">
        <v>1886</v>
      </c>
      <c r="C663" s="824" t="s">
        <v>202</v>
      </c>
    </row>
    <row r="664" spans="1:3" x14ac:dyDescent="0.25">
      <c r="A664" s="824" t="s">
        <v>1885</v>
      </c>
      <c r="B664" s="824" t="s">
        <v>1884</v>
      </c>
      <c r="C664" s="824" t="s">
        <v>1883</v>
      </c>
    </row>
    <row r="665" spans="1:3" x14ac:dyDescent="0.25">
      <c r="A665" s="824" t="s">
        <v>1882</v>
      </c>
      <c r="B665" s="824" t="s">
        <v>1881</v>
      </c>
      <c r="C665" s="824" t="s">
        <v>830</v>
      </c>
    </row>
    <row r="666" spans="1:3" x14ac:dyDescent="0.25">
      <c r="A666" s="824" t="s">
        <v>1880</v>
      </c>
      <c r="B666" s="824" t="s">
        <v>1879</v>
      </c>
      <c r="C666" s="824" t="s">
        <v>1878</v>
      </c>
    </row>
    <row r="667" spans="1:3" x14ac:dyDescent="0.25">
      <c r="A667" s="824" t="s">
        <v>1877</v>
      </c>
      <c r="B667" s="824" t="s">
        <v>1876</v>
      </c>
      <c r="C667" s="824" t="s">
        <v>1876</v>
      </c>
    </row>
    <row r="668" spans="1:3" x14ac:dyDescent="0.25">
      <c r="A668" s="824" t="s">
        <v>1875</v>
      </c>
      <c r="B668" s="824" t="s">
        <v>1874</v>
      </c>
      <c r="C668" s="824" t="s">
        <v>1873</v>
      </c>
    </row>
    <row r="669" spans="1:3" x14ac:dyDescent="0.25">
      <c r="A669" s="824" t="s">
        <v>1872</v>
      </c>
      <c r="B669" s="824" t="s">
        <v>902</v>
      </c>
      <c r="C669" s="824" t="s">
        <v>1871</v>
      </c>
    </row>
    <row r="670" spans="1:3" x14ac:dyDescent="0.25">
      <c r="A670" s="824" t="s">
        <v>1870</v>
      </c>
      <c r="B670" s="824" t="s">
        <v>1869</v>
      </c>
      <c r="C670" s="824" t="s">
        <v>1868</v>
      </c>
    </row>
    <row r="671" spans="1:3" x14ac:dyDescent="0.25">
      <c r="A671" s="824" t="s">
        <v>1867</v>
      </c>
      <c r="B671" s="824" t="s">
        <v>1866</v>
      </c>
      <c r="C671" s="824" t="s">
        <v>1865</v>
      </c>
    </row>
    <row r="672" spans="1:3" x14ac:dyDescent="0.25">
      <c r="A672" s="824" t="s">
        <v>1864</v>
      </c>
      <c r="B672" s="824" t="s">
        <v>1863</v>
      </c>
      <c r="C672" s="824" t="s">
        <v>1862</v>
      </c>
    </row>
    <row r="673" spans="1:3" x14ac:dyDescent="0.25">
      <c r="A673" s="824" t="s">
        <v>1861</v>
      </c>
      <c r="B673" s="824" t="s">
        <v>1860</v>
      </c>
      <c r="C673" s="824" t="s">
        <v>1859</v>
      </c>
    </row>
    <row r="674" spans="1:3" x14ac:dyDescent="0.25">
      <c r="A674" s="824" t="s">
        <v>1858</v>
      </c>
      <c r="B674" s="824" t="s">
        <v>1857</v>
      </c>
      <c r="C674" s="824" t="s">
        <v>1856</v>
      </c>
    </row>
    <row r="675" spans="1:3" x14ac:dyDescent="0.25">
      <c r="A675" s="824" t="s">
        <v>1855</v>
      </c>
      <c r="B675" s="824" t="s">
        <v>1854</v>
      </c>
      <c r="C675" s="824" t="s">
        <v>1853</v>
      </c>
    </row>
    <row r="676" spans="1:3" x14ac:dyDescent="0.25">
      <c r="A676" s="824" t="s">
        <v>1852</v>
      </c>
      <c r="B676" s="824" t="s">
        <v>1851</v>
      </c>
      <c r="C676" s="824" t="s">
        <v>1850</v>
      </c>
    </row>
    <row r="677" spans="1:3" x14ac:dyDescent="0.25">
      <c r="A677" s="824" t="s">
        <v>1849</v>
      </c>
      <c r="B677" s="824" t="s">
        <v>1848</v>
      </c>
      <c r="C677" s="824" t="s">
        <v>1847</v>
      </c>
    </row>
    <row r="678" spans="1:3" x14ac:dyDescent="0.25">
      <c r="A678" s="824" t="s">
        <v>1846</v>
      </c>
      <c r="B678" s="824" t="s">
        <v>1845</v>
      </c>
      <c r="C678" s="824" t="s">
        <v>1844</v>
      </c>
    </row>
    <row r="679" spans="1:3" x14ac:dyDescent="0.25">
      <c r="A679" s="824" t="s">
        <v>1843</v>
      </c>
      <c r="B679" s="824" t="s">
        <v>1082</v>
      </c>
      <c r="C679" s="824" t="s">
        <v>209</v>
      </c>
    </row>
    <row r="680" spans="1:3" x14ac:dyDescent="0.25">
      <c r="A680" s="824" t="s">
        <v>1842</v>
      </c>
      <c r="B680" s="824" t="s">
        <v>535</v>
      </c>
      <c r="C680" s="824" t="s">
        <v>241</v>
      </c>
    </row>
    <row r="681" spans="1:3" x14ac:dyDescent="0.25">
      <c r="A681" s="824" t="s">
        <v>1841</v>
      </c>
      <c r="B681" s="824" t="s">
        <v>1840</v>
      </c>
      <c r="C681" s="824" t="s">
        <v>1839</v>
      </c>
    </row>
    <row r="682" spans="1:3" x14ac:dyDescent="0.25">
      <c r="A682" s="824" t="s">
        <v>1838</v>
      </c>
      <c r="B682" s="824" t="s">
        <v>1837</v>
      </c>
      <c r="C682" s="824" t="s">
        <v>1836</v>
      </c>
    </row>
    <row r="683" spans="1:3" x14ac:dyDescent="0.25">
      <c r="A683" s="824" t="s">
        <v>1835</v>
      </c>
      <c r="B683" s="824" t="s">
        <v>1834</v>
      </c>
      <c r="C683" s="824" t="s">
        <v>1833</v>
      </c>
    </row>
    <row r="684" spans="1:3" x14ac:dyDescent="0.25">
      <c r="A684" s="824" t="s">
        <v>1832</v>
      </c>
      <c r="B684" s="824" t="s">
        <v>1831</v>
      </c>
      <c r="C684" s="824" t="s">
        <v>1830</v>
      </c>
    </row>
    <row r="685" spans="1:3" x14ac:dyDescent="0.25">
      <c r="A685" s="824" t="s">
        <v>1829</v>
      </c>
      <c r="B685" s="824" t="s">
        <v>1828</v>
      </c>
      <c r="C685" s="824" t="s">
        <v>1827</v>
      </c>
    </row>
    <row r="686" spans="1:3" x14ac:dyDescent="0.25">
      <c r="A686" s="824" t="s">
        <v>1826</v>
      </c>
      <c r="B686" s="824" t="s">
        <v>593</v>
      </c>
      <c r="C686" s="824" t="s">
        <v>1825</v>
      </c>
    </row>
    <row r="687" spans="1:3" x14ac:dyDescent="0.25">
      <c r="A687" s="824" t="s">
        <v>1824</v>
      </c>
      <c r="B687" s="824" t="s">
        <v>1823</v>
      </c>
      <c r="C687" s="824" t="s">
        <v>1822</v>
      </c>
    </row>
    <row r="688" spans="1:3" x14ac:dyDescent="0.25">
      <c r="A688" s="824" t="s">
        <v>1821</v>
      </c>
      <c r="B688" s="824" t="s">
        <v>1820</v>
      </c>
      <c r="C688" s="824" t="s">
        <v>1819</v>
      </c>
    </row>
    <row r="689" spans="1:3" x14ac:dyDescent="0.25">
      <c r="A689" s="824" t="s">
        <v>1818</v>
      </c>
      <c r="B689" s="824" t="s">
        <v>1817</v>
      </c>
      <c r="C689" s="824" t="s">
        <v>1816</v>
      </c>
    </row>
    <row r="690" spans="1:3" x14ac:dyDescent="0.25">
      <c r="A690" s="824" t="s">
        <v>1815</v>
      </c>
      <c r="B690" s="824" t="s">
        <v>1814</v>
      </c>
      <c r="C690" s="824" t="s">
        <v>1813</v>
      </c>
    </row>
    <row r="691" spans="1:3" x14ac:dyDescent="0.25">
      <c r="A691" s="824" t="s">
        <v>1812</v>
      </c>
      <c r="B691" s="824" t="s">
        <v>1811</v>
      </c>
      <c r="C691" s="824" t="s">
        <v>1810</v>
      </c>
    </row>
    <row r="692" spans="1:3" x14ac:dyDescent="0.25">
      <c r="A692" s="824" t="s">
        <v>1809</v>
      </c>
      <c r="B692" s="824" t="s">
        <v>1808</v>
      </c>
      <c r="C692" s="824" t="s">
        <v>1807</v>
      </c>
    </row>
    <row r="693" spans="1:3" x14ac:dyDescent="0.25">
      <c r="A693" s="824" t="s">
        <v>1806</v>
      </c>
      <c r="B693" s="824" t="s">
        <v>1805</v>
      </c>
      <c r="C693" s="824" t="s">
        <v>1804</v>
      </c>
    </row>
    <row r="694" spans="1:3" x14ac:dyDescent="0.25">
      <c r="A694" s="824" t="s">
        <v>1803</v>
      </c>
      <c r="B694" s="824" t="s">
        <v>1802</v>
      </c>
      <c r="C694" s="824" t="s">
        <v>1801</v>
      </c>
    </row>
    <row r="695" spans="1:3" x14ac:dyDescent="0.25">
      <c r="A695" s="824" t="s">
        <v>1800</v>
      </c>
      <c r="B695" s="824" t="s">
        <v>1799</v>
      </c>
      <c r="C695" s="824" t="s">
        <v>265</v>
      </c>
    </row>
    <row r="696" spans="1:3" x14ac:dyDescent="0.25">
      <c r="A696" s="824" t="s">
        <v>1798</v>
      </c>
      <c r="B696" s="824" t="s">
        <v>1797</v>
      </c>
      <c r="C696" s="824" t="s">
        <v>1796</v>
      </c>
    </row>
    <row r="697" spans="1:3" x14ac:dyDescent="0.25">
      <c r="A697" s="824" t="s">
        <v>1795</v>
      </c>
      <c r="B697" s="824" t="s">
        <v>1794</v>
      </c>
      <c r="C697" s="824" t="s">
        <v>1793</v>
      </c>
    </row>
    <row r="698" spans="1:3" x14ac:dyDescent="0.25">
      <c r="A698" s="824" t="s">
        <v>1792</v>
      </c>
      <c r="B698" s="824" t="s">
        <v>512</v>
      </c>
      <c r="C698" s="824" t="s">
        <v>214</v>
      </c>
    </row>
    <row r="699" spans="1:3" x14ac:dyDescent="0.25">
      <c r="A699" s="824" t="s">
        <v>1791</v>
      </c>
      <c r="B699" s="824" t="s">
        <v>1790</v>
      </c>
      <c r="C699" s="824" t="s">
        <v>1789</v>
      </c>
    </row>
    <row r="700" spans="1:3" x14ac:dyDescent="0.25">
      <c r="A700" s="824" t="s">
        <v>1788</v>
      </c>
      <c r="B700" s="824" t="s">
        <v>1787</v>
      </c>
      <c r="C700" s="824" t="s">
        <v>1786</v>
      </c>
    </row>
    <row r="701" spans="1:3" x14ac:dyDescent="0.25">
      <c r="A701" s="824" t="s">
        <v>1785</v>
      </c>
      <c r="B701" s="824" t="s">
        <v>1784</v>
      </c>
      <c r="C701" s="824" t="s">
        <v>1783</v>
      </c>
    </row>
    <row r="702" spans="1:3" x14ac:dyDescent="0.25">
      <c r="A702" s="824" t="s">
        <v>1782</v>
      </c>
      <c r="B702" s="824" t="s">
        <v>1781</v>
      </c>
      <c r="C702" s="824" t="s">
        <v>1780</v>
      </c>
    </row>
    <row r="703" spans="1:3" x14ac:dyDescent="0.25">
      <c r="A703" s="824" t="s">
        <v>1779</v>
      </c>
      <c r="B703" s="824" t="s">
        <v>1778</v>
      </c>
      <c r="C703" s="824" t="s">
        <v>1777</v>
      </c>
    </row>
    <row r="704" spans="1:3" x14ac:dyDescent="0.25">
      <c r="A704" s="824" t="s">
        <v>1776</v>
      </c>
      <c r="B704" s="824" t="s">
        <v>1775</v>
      </c>
      <c r="C704" s="824" t="s">
        <v>1774</v>
      </c>
    </row>
    <row r="705" spans="1:3" x14ac:dyDescent="0.25">
      <c r="A705" s="824" t="s">
        <v>1773</v>
      </c>
      <c r="B705" s="824" t="s">
        <v>1772</v>
      </c>
      <c r="C705" s="824" t="s">
        <v>1771</v>
      </c>
    </row>
    <row r="706" spans="1:3" x14ac:dyDescent="0.25">
      <c r="A706" s="824" t="s">
        <v>1770</v>
      </c>
      <c r="B706" s="824" t="s">
        <v>1769</v>
      </c>
      <c r="C706" s="824" t="s">
        <v>1768</v>
      </c>
    </row>
    <row r="707" spans="1:3" x14ac:dyDescent="0.25">
      <c r="A707" s="824" t="s">
        <v>1767</v>
      </c>
      <c r="B707" s="824" t="s">
        <v>1766</v>
      </c>
      <c r="C707" s="824" t="s">
        <v>1765</v>
      </c>
    </row>
    <row r="708" spans="1:3" x14ac:dyDescent="0.25">
      <c r="A708" s="824" t="s">
        <v>1764</v>
      </c>
      <c r="B708" s="824" t="s">
        <v>1763</v>
      </c>
      <c r="C708" s="824" t="s">
        <v>1762</v>
      </c>
    </row>
    <row r="709" spans="1:3" x14ac:dyDescent="0.25">
      <c r="A709" s="824" t="s">
        <v>1761</v>
      </c>
      <c r="B709" s="824" t="s">
        <v>1760</v>
      </c>
      <c r="C709" s="824" t="s">
        <v>1759</v>
      </c>
    </row>
    <row r="710" spans="1:3" x14ac:dyDescent="0.25">
      <c r="A710" s="824" t="s">
        <v>1758</v>
      </c>
      <c r="B710" s="824" t="s">
        <v>1757</v>
      </c>
      <c r="C710" s="824" t="s">
        <v>1756</v>
      </c>
    </row>
    <row r="711" spans="1:3" x14ac:dyDescent="0.25">
      <c r="A711" s="824" t="s">
        <v>1755</v>
      </c>
      <c r="B711" s="824" t="s">
        <v>1754</v>
      </c>
      <c r="C711" s="824" t="s">
        <v>1753</v>
      </c>
    </row>
    <row r="712" spans="1:3" x14ac:dyDescent="0.25">
      <c r="A712" s="824" t="s">
        <v>1752</v>
      </c>
      <c r="B712" s="824" t="s">
        <v>1751</v>
      </c>
      <c r="C712" s="824" t="s">
        <v>1750</v>
      </c>
    </row>
    <row r="713" spans="1:3" x14ac:dyDescent="0.25">
      <c r="A713" s="824" t="s">
        <v>1749</v>
      </c>
      <c r="B713" s="824" t="s">
        <v>1748</v>
      </c>
      <c r="C713" s="824" t="s">
        <v>1747</v>
      </c>
    </row>
    <row r="714" spans="1:3" x14ac:dyDescent="0.25">
      <c r="A714" s="824" t="s">
        <v>1746</v>
      </c>
      <c r="B714" s="824" t="s">
        <v>1745</v>
      </c>
      <c r="C714" s="824" t="s">
        <v>1744</v>
      </c>
    </row>
    <row r="715" spans="1:3" x14ac:dyDescent="0.25">
      <c r="A715" s="824" t="s">
        <v>1743</v>
      </c>
      <c r="B715" s="824" t="s">
        <v>1742</v>
      </c>
      <c r="C715" s="824" t="s">
        <v>1741</v>
      </c>
    </row>
    <row r="716" spans="1:3" x14ac:dyDescent="0.25">
      <c r="A716" s="824" t="s">
        <v>1740</v>
      </c>
      <c r="B716" s="824" t="s">
        <v>1739</v>
      </c>
      <c r="C716" s="824" t="s">
        <v>1738</v>
      </c>
    </row>
    <row r="717" spans="1:3" x14ac:dyDescent="0.25">
      <c r="A717" s="824" t="s">
        <v>1737</v>
      </c>
      <c r="B717" s="824" t="s">
        <v>861</v>
      </c>
      <c r="C717" s="824" t="s">
        <v>1736</v>
      </c>
    </row>
    <row r="718" spans="1:3" x14ac:dyDescent="0.25">
      <c r="A718" s="824" t="s">
        <v>1735</v>
      </c>
      <c r="B718" s="824" t="s">
        <v>1734</v>
      </c>
      <c r="C718" s="824" t="s">
        <v>1733</v>
      </c>
    </row>
    <row r="719" spans="1:3" x14ac:dyDescent="0.25">
      <c r="A719" s="824" t="s">
        <v>1732</v>
      </c>
      <c r="B719" s="824" t="s">
        <v>595</v>
      </c>
      <c r="C719" s="824" t="s">
        <v>1731</v>
      </c>
    </row>
    <row r="720" spans="1:3" x14ac:dyDescent="0.25">
      <c r="A720" s="824" t="s">
        <v>1730</v>
      </c>
      <c r="B720" s="824" t="s">
        <v>1729</v>
      </c>
      <c r="C720" s="824" t="s">
        <v>843</v>
      </c>
    </row>
    <row r="721" spans="1:3" x14ac:dyDescent="0.25">
      <c r="A721" s="824" t="s">
        <v>1728</v>
      </c>
      <c r="B721" s="824" t="s">
        <v>1727</v>
      </c>
      <c r="C721" s="824" t="s">
        <v>199</v>
      </c>
    </row>
    <row r="722" spans="1:3" x14ac:dyDescent="0.25">
      <c r="A722" s="824" t="s">
        <v>1726</v>
      </c>
      <c r="B722" s="824" t="s">
        <v>515</v>
      </c>
      <c r="C722" s="824" t="s">
        <v>373</v>
      </c>
    </row>
    <row r="723" spans="1:3" x14ac:dyDescent="0.25">
      <c r="A723" s="824" t="s">
        <v>1725</v>
      </c>
      <c r="B723" s="824" t="s">
        <v>1724</v>
      </c>
      <c r="C723" s="824" t="s">
        <v>1723</v>
      </c>
    </row>
    <row r="724" spans="1:3" x14ac:dyDescent="0.25">
      <c r="A724" s="824" t="s">
        <v>1722</v>
      </c>
      <c r="B724" s="824" t="s">
        <v>1721</v>
      </c>
      <c r="C724" s="824" t="s">
        <v>1720</v>
      </c>
    </row>
    <row r="725" spans="1:3" x14ac:dyDescent="0.25">
      <c r="A725" s="824" t="s">
        <v>1719</v>
      </c>
      <c r="B725" s="824" t="s">
        <v>475</v>
      </c>
      <c r="C725" s="824" t="s">
        <v>180</v>
      </c>
    </row>
    <row r="726" spans="1:3" x14ac:dyDescent="0.25">
      <c r="A726" s="824" t="s">
        <v>1718</v>
      </c>
      <c r="B726" s="824" t="s">
        <v>1717</v>
      </c>
      <c r="C726" s="824" t="s">
        <v>1716</v>
      </c>
    </row>
    <row r="727" spans="1:3" x14ac:dyDescent="0.25">
      <c r="A727" s="824" t="s">
        <v>1715</v>
      </c>
      <c r="B727" s="824" t="s">
        <v>1714</v>
      </c>
      <c r="C727" s="824" t="s">
        <v>1713</v>
      </c>
    </row>
    <row r="728" spans="1:3" x14ac:dyDescent="0.25">
      <c r="A728" s="824" t="s">
        <v>1712</v>
      </c>
      <c r="B728" s="824" t="s">
        <v>1711</v>
      </c>
      <c r="C728" s="824" t="s">
        <v>737</v>
      </c>
    </row>
    <row r="729" spans="1:3" x14ac:dyDescent="0.25">
      <c r="A729" s="824" t="s">
        <v>1710</v>
      </c>
      <c r="B729" s="824" t="s">
        <v>1709</v>
      </c>
      <c r="C729" s="824" t="s">
        <v>1708</v>
      </c>
    </row>
    <row r="730" spans="1:3" x14ac:dyDescent="0.25">
      <c r="A730" s="824" t="s">
        <v>1707</v>
      </c>
      <c r="B730" s="824" t="s">
        <v>1706</v>
      </c>
      <c r="C730" s="824" t="s">
        <v>1705</v>
      </c>
    </row>
    <row r="731" spans="1:3" x14ac:dyDescent="0.25">
      <c r="A731" s="824" t="s">
        <v>1704</v>
      </c>
      <c r="B731" s="824" t="s">
        <v>550</v>
      </c>
      <c r="C731" s="824" t="s">
        <v>1703</v>
      </c>
    </row>
    <row r="732" spans="1:3" x14ac:dyDescent="0.25">
      <c r="A732" s="824" t="s">
        <v>1702</v>
      </c>
      <c r="B732" s="824" t="s">
        <v>1701</v>
      </c>
      <c r="C732" s="824" t="s">
        <v>1700</v>
      </c>
    </row>
    <row r="733" spans="1:3" x14ac:dyDescent="0.25">
      <c r="A733" s="824" t="s">
        <v>1699</v>
      </c>
      <c r="B733" s="824" t="s">
        <v>1698</v>
      </c>
      <c r="C733" s="824" t="s">
        <v>1697</v>
      </c>
    </row>
    <row r="734" spans="1:3" x14ac:dyDescent="0.25">
      <c r="A734" s="824" t="s">
        <v>1696</v>
      </c>
      <c r="B734" s="824" t="s">
        <v>1695</v>
      </c>
      <c r="C734" s="824" t="s">
        <v>1694</v>
      </c>
    </row>
    <row r="735" spans="1:3" x14ac:dyDescent="0.25">
      <c r="A735" s="824" t="s">
        <v>1693</v>
      </c>
      <c r="B735" s="824" t="s">
        <v>1692</v>
      </c>
      <c r="C735" s="824" t="s">
        <v>424</v>
      </c>
    </row>
    <row r="736" spans="1:3" x14ac:dyDescent="0.25">
      <c r="A736" s="824" t="s">
        <v>1691</v>
      </c>
      <c r="B736" s="824" t="s">
        <v>1690</v>
      </c>
      <c r="C736" s="824" t="s">
        <v>1689</v>
      </c>
    </row>
    <row r="737" spans="1:3" x14ac:dyDescent="0.25">
      <c r="A737" s="824" t="s">
        <v>1688</v>
      </c>
      <c r="B737" s="824" t="s">
        <v>1687</v>
      </c>
      <c r="C737" s="824" t="s">
        <v>59</v>
      </c>
    </row>
    <row r="738" spans="1:3" x14ac:dyDescent="0.25">
      <c r="A738" s="824" t="s">
        <v>1686</v>
      </c>
      <c r="B738" s="824" t="s">
        <v>1685</v>
      </c>
      <c r="C738" s="824" t="s">
        <v>1684</v>
      </c>
    </row>
    <row r="739" spans="1:3" x14ac:dyDescent="0.25">
      <c r="A739" s="824" t="s">
        <v>1683</v>
      </c>
      <c r="B739" s="824" t="s">
        <v>1682</v>
      </c>
      <c r="C739" s="824" t="s">
        <v>1681</v>
      </c>
    </row>
    <row r="740" spans="1:3" x14ac:dyDescent="0.25">
      <c r="A740" s="824" t="s">
        <v>1680</v>
      </c>
      <c r="B740" s="824" t="s">
        <v>1679</v>
      </c>
      <c r="C740" s="824" t="s">
        <v>1678</v>
      </c>
    </row>
    <row r="741" spans="1:3" x14ac:dyDescent="0.25">
      <c r="A741" s="824" t="s">
        <v>73</v>
      </c>
      <c r="B741" s="824" t="s">
        <v>1677</v>
      </c>
      <c r="C741" s="824" t="s">
        <v>1676</v>
      </c>
    </row>
    <row r="742" spans="1:3" x14ac:dyDescent="0.25">
      <c r="A742" s="824" t="s">
        <v>1675</v>
      </c>
      <c r="B742" s="824" t="s">
        <v>942</v>
      </c>
      <c r="C742" s="824" t="s">
        <v>1674</v>
      </c>
    </row>
    <row r="743" spans="1:3" x14ac:dyDescent="0.25">
      <c r="A743" s="824" t="s">
        <v>1673</v>
      </c>
      <c r="B743" s="824" t="s">
        <v>1672</v>
      </c>
      <c r="C743" s="824" t="s">
        <v>292</v>
      </c>
    </row>
    <row r="744" spans="1:3" x14ac:dyDescent="0.25">
      <c r="A744" s="824" t="s">
        <v>1671</v>
      </c>
      <c r="B744" s="824" t="s">
        <v>1670</v>
      </c>
      <c r="C744" s="824" t="s">
        <v>1669</v>
      </c>
    </row>
    <row r="745" spans="1:3" x14ac:dyDescent="0.25">
      <c r="A745" s="824" t="s">
        <v>1668</v>
      </c>
      <c r="B745" s="824" t="s">
        <v>1667</v>
      </c>
      <c r="C745" s="824" t="s">
        <v>828</v>
      </c>
    </row>
    <row r="746" spans="1:3" x14ac:dyDescent="0.25">
      <c r="A746" s="824" t="s">
        <v>1666</v>
      </c>
      <c r="B746" s="824" t="s">
        <v>1665</v>
      </c>
      <c r="C746" s="824" t="s">
        <v>1664</v>
      </c>
    </row>
    <row r="747" spans="1:3" x14ac:dyDescent="0.25">
      <c r="A747" s="824" t="s">
        <v>1663</v>
      </c>
      <c r="B747" s="824" t="s">
        <v>1662</v>
      </c>
      <c r="C747" s="824" t="s">
        <v>1661</v>
      </c>
    </row>
    <row r="748" spans="1:3" x14ac:dyDescent="0.25">
      <c r="A748" s="824" t="s">
        <v>1660</v>
      </c>
      <c r="B748" s="824" t="s">
        <v>1659</v>
      </c>
      <c r="C748" s="824" t="s">
        <v>1659</v>
      </c>
    </row>
    <row r="749" spans="1:3" x14ac:dyDescent="0.25">
      <c r="A749" s="824" t="s">
        <v>1658</v>
      </c>
      <c r="B749" s="824" t="s">
        <v>1053</v>
      </c>
      <c r="C749" s="824" t="s">
        <v>142</v>
      </c>
    </row>
    <row r="750" spans="1:3" x14ac:dyDescent="0.25">
      <c r="A750" s="824" t="s">
        <v>1657</v>
      </c>
      <c r="B750" s="824" t="s">
        <v>1656</v>
      </c>
      <c r="C750" s="824" t="s">
        <v>1655</v>
      </c>
    </row>
    <row r="751" spans="1:3" x14ac:dyDescent="0.25">
      <c r="A751" s="824" t="s">
        <v>1654</v>
      </c>
      <c r="B751" s="824" t="s">
        <v>1653</v>
      </c>
      <c r="C751" s="824" t="s">
        <v>1652</v>
      </c>
    </row>
    <row r="752" spans="1:3" x14ac:dyDescent="0.25">
      <c r="A752" s="824" t="s">
        <v>1651</v>
      </c>
      <c r="B752" s="824" t="s">
        <v>597</v>
      </c>
      <c r="C752" s="824" t="s">
        <v>1650</v>
      </c>
    </row>
    <row r="753" spans="1:3" x14ac:dyDescent="0.25">
      <c r="A753" s="824" t="s">
        <v>1649</v>
      </c>
      <c r="B753" s="824" t="s">
        <v>1648</v>
      </c>
      <c r="C753" s="824" t="s">
        <v>1647</v>
      </c>
    </row>
    <row r="754" spans="1:3" x14ac:dyDescent="0.25">
      <c r="A754" s="824" t="s">
        <v>1646</v>
      </c>
      <c r="B754" s="824" t="s">
        <v>1645</v>
      </c>
      <c r="C754" s="824" t="s">
        <v>1644</v>
      </c>
    </row>
    <row r="755" spans="1:3" x14ac:dyDescent="0.25">
      <c r="A755" s="824" t="s">
        <v>1643</v>
      </c>
      <c r="B755" s="824" t="s">
        <v>1008</v>
      </c>
      <c r="C755" s="824" t="s">
        <v>1642</v>
      </c>
    </row>
    <row r="756" spans="1:3" x14ac:dyDescent="0.25">
      <c r="A756" s="824" t="s">
        <v>1641</v>
      </c>
      <c r="B756" s="824" t="s">
        <v>1640</v>
      </c>
      <c r="C756" s="824" t="s">
        <v>1639</v>
      </c>
    </row>
    <row r="757" spans="1:3" x14ac:dyDescent="0.25">
      <c r="A757" s="824" t="s">
        <v>1638</v>
      </c>
      <c r="B757" s="824" t="s">
        <v>1637</v>
      </c>
      <c r="C757" s="824" t="s">
        <v>79</v>
      </c>
    </row>
    <row r="758" spans="1:3" x14ac:dyDescent="0.25">
      <c r="A758" s="824" t="s">
        <v>1636</v>
      </c>
      <c r="B758" s="824" t="s">
        <v>1635</v>
      </c>
      <c r="C758" s="824" t="s">
        <v>109</v>
      </c>
    </row>
    <row r="759" spans="1:3" x14ac:dyDescent="0.25">
      <c r="A759" s="824" t="s">
        <v>1634</v>
      </c>
      <c r="B759" s="824" t="s">
        <v>1633</v>
      </c>
      <c r="C759" s="824" t="s">
        <v>1632</v>
      </c>
    </row>
    <row r="760" spans="1:3" x14ac:dyDescent="0.25">
      <c r="A760" s="824" t="s">
        <v>1631</v>
      </c>
      <c r="B760" s="824" t="s">
        <v>1630</v>
      </c>
      <c r="C760" s="824" t="s">
        <v>1629</v>
      </c>
    </row>
    <row r="761" spans="1:3" x14ac:dyDescent="0.25">
      <c r="A761" s="824" t="s">
        <v>1628</v>
      </c>
      <c r="B761" s="824" t="s">
        <v>1627</v>
      </c>
      <c r="C761" s="824" t="s">
        <v>1626</v>
      </c>
    </row>
    <row r="762" spans="1:3" x14ac:dyDescent="0.25">
      <c r="A762" s="824" t="s">
        <v>1625</v>
      </c>
      <c r="B762" s="824" t="s">
        <v>1624</v>
      </c>
      <c r="C762" s="824" t="s">
        <v>1623</v>
      </c>
    </row>
    <row r="763" spans="1:3" x14ac:dyDescent="0.25">
      <c r="A763" s="824" t="s">
        <v>1622</v>
      </c>
      <c r="B763" s="824" t="s">
        <v>1621</v>
      </c>
      <c r="C763" s="824" t="s">
        <v>1620</v>
      </c>
    </row>
    <row r="764" spans="1:3" x14ac:dyDescent="0.25">
      <c r="A764" s="824" t="s">
        <v>811</v>
      </c>
      <c r="B764" s="824" t="s">
        <v>1019</v>
      </c>
      <c r="C764" s="824" t="s">
        <v>78</v>
      </c>
    </row>
    <row r="765" spans="1:3" x14ac:dyDescent="0.25">
      <c r="A765" s="824" t="s">
        <v>1619</v>
      </c>
      <c r="B765" s="824" t="s">
        <v>1618</v>
      </c>
      <c r="C765" s="824" t="s">
        <v>1617</v>
      </c>
    </row>
    <row r="766" spans="1:3" x14ac:dyDescent="0.25">
      <c r="A766" s="824" t="s">
        <v>1616</v>
      </c>
      <c r="B766" s="824" t="s">
        <v>1615</v>
      </c>
      <c r="C766" s="824" t="s">
        <v>1614</v>
      </c>
    </row>
    <row r="767" spans="1:3" x14ac:dyDescent="0.25">
      <c r="A767" s="824" t="s">
        <v>1613</v>
      </c>
      <c r="B767" s="824" t="s">
        <v>502</v>
      </c>
      <c r="C767" s="824" t="s">
        <v>1612</v>
      </c>
    </row>
    <row r="768" spans="1:3" x14ac:dyDescent="0.25">
      <c r="A768" s="824" t="s">
        <v>1611</v>
      </c>
      <c r="B768" s="824" t="s">
        <v>1610</v>
      </c>
      <c r="C768" s="824" t="s">
        <v>1609</v>
      </c>
    </row>
    <row r="769" spans="1:3" x14ac:dyDescent="0.25">
      <c r="A769" s="824" t="s">
        <v>1608</v>
      </c>
      <c r="B769" s="824" t="s">
        <v>581</v>
      </c>
      <c r="C769" s="824" t="s">
        <v>429</v>
      </c>
    </row>
    <row r="770" spans="1:3" x14ac:dyDescent="0.25">
      <c r="A770" s="824" t="s">
        <v>1607</v>
      </c>
      <c r="B770" s="824" t="s">
        <v>1606</v>
      </c>
      <c r="C770" s="824" t="s">
        <v>1605</v>
      </c>
    </row>
    <row r="771" spans="1:3" x14ac:dyDescent="0.25">
      <c r="A771" s="824" t="s">
        <v>1604</v>
      </c>
      <c r="B771" s="824" t="s">
        <v>1603</v>
      </c>
      <c r="C771" s="824" t="s">
        <v>1602</v>
      </c>
    </row>
    <row r="772" spans="1:3" x14ac:dyDescent="0.25">
      <c r="A772" s="824" t="s">
        <v>1601</v>
      </c>
      <c r="B772" s="824" t="s">
        <v>1600</v>
      </c>
      <c r="C772" s="824" t="s">
        <v>1599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P24" sqref="P24"/>
    </sheetView>
  </sheetViews>
  <sheetFormatPr defaultRowHeight="15" x14ac:dyDescent="0.25"/>
  <cols>
    <col min="1" max="1" width="23.28515625" style="808" bestFit="1" customWidth="1"/>
    <col min="2" max="2" width="5.28515625" style="808" bestFit="1" customWidth="1"/>
    <col min="3" max="3" width="5.42578125" style="808" bestFit="1" customWidth="1"/>
    <col min="4" max="4" width="7.140625" style="808" bestFit="1" customWidth="1"/>
    <col min="5" max="5" width="15.28515625" style="808" bestFit="1" customWidth="1"/>
    <col min="6" max="6" width="11.42578125" style="808" bestFit="1" customWidth="1"/>
    <col min="7" max="8" width="10.140625" style="808" bestFit="1" customWidth="1"/>
    <col min="9" max="9" width="12.5703125" style="808" bestFit="1" customWidth="1"/>
    <col min="10" max="10" width="10.85546875" style="808" bestFit="1" customWidth="1"/>
    <col min="11" max="11" width="9.5703125" style="808" bestFit="1" customWidth="1"/>
    <col min="12" max="12" width="4.85546875" style="808" bestFit="1" customWidth="1"/>
    <col min="13" max="13" width="11.7109375" style="808" bestFit="1" customWidth="1"/>
    <col min="14" max="14" width="17.42578125" style="808" bestFit="1" customWidth="1"/>
    <col min="15" max="15" width="4.7109375" style="808" bestFit="1" customWidth="1"/>
    <col min="16" max="16" width="10.140625" style="808" bestFit="1" customWidth="1"/>
    <col min="17" max="18" width="7" style="808" bestFit="1" customWidth="1"/>
    <col min="19" max="19" width="8.7109375" style="808" bestFit="1" customWidth="1"/>
    <col min="20" max="21" width="10.140625" style="808" bestFit="1" customWidth="1"/>
    <col min="22" max="22" width="5.42578125" style="808" bestFit="1" customWidth="1"/>
    <col min="23" max="23" width="8.5703125" style="808" bestFit="1" customWidth="1"/>
    <col min="24" max="24" width="13.140625" style="808" bestFit="1" customWidth="1"/>
    <col min="25" max="25" width="7.7109375" style="808" bestFit="1" customWidth="1"/>
    <col min="26" max="26" width="5.7109375" style="808" bestFit="1" customWidth="1"/>
    <col min="27" max="27" width="9.85546875" style="808" bestFit="1" customWidth="1"/>
    <col min="28" max="28" width="9.42578125" style="808" bestFit="1" customWidth="1"/>
    <col min="29" max="29" width="23.28515625" style="808" bestFit="1" customWidth="1"/>
    <col min="30" max="30" width="39.28515625" style="808" bestFit="1" customWidth="1"/>
    <col min="31" max="16384" width="9.140625" style="808"/>
  </cols>
  <sheetData>
    <row r="1" spans="1:30" ht="15.75" x14ac:dyDescent="0.25">
      <c r="A1" s="807" t="s">
        <v>1107</v>
      </c>
    </row>
    <row r="2" spans="1:30" x14ac:dyDescent="0.25">
      <c r="A2" s="809" t="s">
        <v>1108</v>
      </c>
    </row>
    <row r="3" spans="1:30" x14ac:dyDescent="0.25">
      <c r="A3" s="809"/>
    </row>
    <row r="4" spans="1:30" ht="9.75" hidden="1" customHeight="1" x14ac:dyDescent="0.25">
      <c r="A4" s="810"/>
      <c r="B4" s="810"/>
      <c r="C4" s="810"/>
      <c r="D4" s="810"/>
      <c r="E4" s="810"/>
      <c r="F4" s="810"/>
      <c r="G4" s="810"/>
      <c r="H4" s="810"/>
      <c r="I4" s="810"/>
      <c r="J4" s="810"/>
      <c r="K4" s="811"/>
      <c r="L4" s="810"/>
      <c r="M4" s="811"/>
      <c r="N4" s="811"/>
      <c r="O4" s="810"/>
      <c r="P4" s="810"/>
      <c r="Q4" s="810"/>
      <c r="R4" s="810"/>
      <c r="S4" s="810"/>
      <c r="T4" s="810"/>
      <c r="U4" s="810"/>
      <c r="V4" s="811"/>
      <c r="W4" s="811"/>
      <c r="X4" s="810"/>
      <c r="Y4" s="810"/>
      <c r="Z4" s="811"/>
      <c r="AA4" s="810"/>
      <c r="AB4" s="811"/>
      <c r="AC4" s="810"/>
      <c r="AD4" s="810"/>
    </row>
    <row r="5" spans="1:30" ht="33.950000000000003" customHeight="1" thickBot="1" x14ac:dyDescent="0.3">
      <c r="A5" s="812" t="s">
        <v>1109</v>
      </c>
      <c r="B5" s="812" t="s">
        <v>1110</v>
      </c>
      <c r="C5" s="812" t="s">
        <v>1111</v>
      </c>
      <c r="D5" s="812" t="s">
        <v>1112</v>
      </c>
      <c r="E5" s="812" t="s">
        <v>1113</v>
      </c>
      <c r="F5" s="812" t="s">
        <v>1114</v>
      </c>
      <c r="G5" s="812" t="s">
        <v>1115</v>
      </c>
      <c r="H5" s="812" t="s">
        <v>1116</v>
      </c>
      <c r="I5" s="812" t="s">
        <v>1117</v>
      </c>
      <c r="J5" s="812" t="s">
        <v>1118</v>
      </c>
      <c r="K5" s="813" t="s">
        <v>1092</v>
      </c>
      <c r="L5" s="812" t="s">
        <v>1119</v>
      </c>
      <c r="M5" s="813" t="s">
        <v>1120</v>
      </c>
      <c r="N5" s="813" t="s">
        <v>1121</v>
      </c>
      <c r="O5" s="812" t="s">
        <v>1122</v>
      </c>
      <c r="P5" s="812" t="s">
        <v>1123</v>
      </c>
      <c r="Q5" s="812" t="s">
        <v>1124</v>
      </c>
      <c r="R5" s="812" t="s">
        <v>1125</v>
      </c>
      <c r="S5" s="812" t="s">
        <v>1126</v>
      </c>
      <c r="T5" s="812" t="s">
        <v>1127</v>
      </c>
      <c r="U5" s="812" t="s">
        <v>1128</v>
      </c>
      <c r="V5" s="813" t="s">
        <v>1129</v>
      </c>
      <c r="W5" s="813" t="s">
        <v>1130</v>
      </c>
      <c r="X5" s="812" t="s">
        <v>1131</v>
      </c>
      <c r="Y5" s="812" t="s">
        <v>1132</v>
      </c>
      <c r="Z5" s="813" t="s">
        <v>1133</v>
      </c>
      <c r="AA5" s="812" t="s">
        <v>1134</v>
      </c>
      <c r="AB5" s="813" t="s">
        <v>1135</v>
      </c>
      <c r="AC5" s="812" t="s">
        <v>1136</v>
      </c>
      <c r="AD5" s="812" t="s">
        <v>1137</v>
      </c>
    </row>
    <row r="6" spans="1:30" x14ac:dyDescent="0.25">
      <c r="A6" s="814" t="s">
        <v>1138</v>
      </c>
      <c r="B6" s="815"/>
      <c r="C6" s="815"/>
      <c r="D6" s="815"/>
      <c r="E6" s="815"/>
      <c r="F6" s="815"/>
      <c r="G6" s="815"/>
      <c r="H6" s="815"/>
      <c r="I6" s="815"/>
      <c r="J6" s="815"/>
      <c r="K6" s="816"/>
      <c r="L6" s="815"/>
      <c r="M6" s="816"/>
      <c r="N6" s="816"/>
      <c r="O6" s="815"/>
      <c r="P6" s="815"/>
      <c r="Q6" s="815"/>
      <c r="R6" s="815"/>
      <c r="S6" s="815"/>
      <c r="T6" s="815"/>
      <c r="U6" s="815"/>
      <c r="V6" s="816"/>
      <c r="W6" s="816"/>
      <c r="X6" s="815"/>
      <c r="Y6" s="815"/>
      <c r="Z6" s="816"/>
      <c r="AA6" s="815"/>
      <c r="AB6" s="816"/>
      <c r="AC6" s="815"/>
      <c r="AD6" s="815"/>
    </row>
    <row r="7" spans="1:30" x14ac:dyDescent="0.25">
      <c r="A7" s="814" t="s">
        <v>1139</v>
      </c>
      <c r="B7" s="815"/>
      <c r="C7" s="815"/>
      <c r="D7" s="815"/>
      <c r="E7" s="815"/>
      <c r="F7" s="815"/>
      <c r="G7" s="815"/>
      <c r="H7" s="815"/>
      <c r="I7" s="815"/>
      <c r="J7" s="815"/>
      <c r="K7" s="816"/>
      <c r="L7" s="815"/>
      <c r="M7" s="817">
        <v>72900</v>
      </c>
      <c r="N7" s="816"/>
      <c r="O7" s="815"/>
      <c r="P7" s="815"/>
      <c r="Q7" s="815"/>
      <c r="R7" s="815"/>
      <c r="S7" s="815"/>
      <c r="T7" s="815"/>
      <c r="U7" s="815"/>
      <c r="V7" s="816"/>
      <c r="W7" s="816"/>
      <c r="X7" s="815"/>
      <c r="Y7" s="815"/>
      <c r="Z7" s="816"/>
      <c r="AA7" s="815"/>
      <c r="AB7" s="816"/>
      <c r="AC7" s="815"/>
      <c r="AD7" s="815"/>
    </row>
    <row r="8" spans="1:30" x14ac:dyDescent="0.25">
      <c r="A8" s="814" t="s">
        <v>1140</v>
      </c>
      <c r="B8" s="815"/>
      <c r="C8" s="815"/>
      <c r="D8" s="815"/>
      <c r="E8" s="815"/>
      <c r="F8" s="815"/>
      <c r="G8" s="815"/>
      <c r="H8" s="815"/>
      <c r="I8" s="815"/>
      <c r="J8" s="815"/>
      <c r="K8" s="816"/>
      <c r="L8" s="815"/>
      <c r="M8" s="817">
        <v>72900</v>
      </c>
      <c r="N8" s="816"/>
      <c r="O8" s="815"/>
      <c r="P8" s="815"/>
      <c r="Q8" s="815"/>
      <c r="R8" s="815"/>
      <c r="S8" s="815"/>
      <c r="T8" s="815"/>
      <c r="U8" s="815"/>
      <c r="V8" s="816"/>
      <c r="W8" s="816"/>
      <c r="X8" s="815"/>
      <c r="Y8" s="815"/>
      <c r="Z8" s="816"/>
      <c r="AA8" s="815"/>
      <c r="AB8" s="816"/>
      <c r="AC8" s="815"/>
      <c r="AD8" s="815"/>
    </row>
    <row r="9" spans="1:30" x14ac:dyDescent="0.25">
      <c r="A9" s="818" t="s">
        <v>1141</v>
      </c>
      <c r="B9" s="818" t="s">
        <v>1142</v>
      </c>
      <c r="C9" s="818"/>
      <c r="D9" s="818" t="s">
        <v>1143</v>
      </c>
      <c r="E9" s="818" t="s">
        <v>1144</v>
      </c>
      <c r="F9" s="818" t="s">
        <v>1145</v>
      </c>
      <c r="G9" s="819">
        <v>42976.693912037037</v>
      </c>
      <c r="H9" s="819">
        <v>42976</v>
      </c>
      <c r="I9" s="818" t="s">
        <v>1146</v>
      </c>
      <c r="J9" s="818" t="s">
        <v>1147</v>
      </c>
      <c r="K9" s="820">
        <v>100.768</v>
      </c>
      <c r="L9" s="818" t="s">
        <v>1148</v>
      </c>
      <c r="M9" s="820">
        <v>15</v>
      </c>
      <c r="N9" s="820">
        <v>15405.445936</v>
      </c>
      <c r="O9" s="818" t="s">
        <v>1149</v>
      </c>
      <c r="P9" s="819">
        <v>42976</v>
      </c>
      <c r="Q9" s="818"/>
      <c r="R9" s="818"/>
      <c r="S9" s="818" t="s">
        <v>1150</v>
      </c>
      <c r="T9" s="818"/>
      <c r="U9" s="819">
        <v>43096</v>
      </c>
      <c r="V9" s="821"/>
      <c r="W9" s="821"/>
      <c r="X9" s="818" t="s">
        <v>1151</v>
      </c>
      <c r="Y9" s="818"/>
      <c r="Z9" s="821"/>
      <c r="AA9" s="818" t="s">
        <v>1152</v>
      </c>
      <c r="AB9" s="821" t="s">
        <v>1153</v>
      </c>
      <c r="AC9" s="818" t="s">
        <v>1154</v>
      </c>
      <c r="AD9" s="818" t="s">
        <v>1155</v>
      </c>
    </row>
    <row r="10" spans="1:30" x14ac:dyDescent="0.25">
      <c r="A10" s="818" t="s">
        <v>1156</v>
      </c>
      <c r="B10" s="818" t="s">
        <v>1142</v>
      </c>
      <c r="C10" s="818"/>
      <c r="D10" s="818" t="s">
        <v>1143</v>
      </c>
      <c r="E10" s="818" t="s">
        <v>1144</v>
      </c>
      <c r="F10" s="818" t="s">
        <v>1145</v>
      </c>
      <c r="G10" s="819">
        <v>42976.693912037037</v>
      </c>
      <c r="H10" s="819">
        <v>42976</v>
      </c>
      <c r="I10" s="818" t="s">
        <v>1146</v>
      </c>
      <c r="J10" s="818" t="s">
        <v>1147</v>
      </c>
      <c r="K10" s="820">
        <v>100.768</v>
      </c>
      <c r="L10" s="818" t="s">
        <v>1148</v>
      </c>
      <c r="M10" s="820">
        <v>1</v>
      </c>
      <c r="N10" s="820">
        <v>1027.0290620000001</v>
      </c>
      <c r="O10" s="818" t="s">
        <v>1149</v>
      </c>
      <c r="P10" s="819">
        <v>42976</v>
      </c>
      <c r="Q10" s="818"/>
      <c r="R10" s="818"/>
      <c r="S10" s="818" t="s">
        <v>1150</v>
      </c>
      <c r="T10" s="818"/>
      <c r="U10" s="819">
        <v>43096</v>
      </c>
      <c r="V10" s="821"/>
      <c r="W10" s="821"/>
      <c r="X10" s="818" t="s">
        <v>1151</v>
      </c>
      <c r="Y10" s="818"/>
      <c r="Z10" s="821"/>
      <c r="AA10" s="818" t="s">
        <v>1152</v>
      </c>
      <c r="AB10" s="821" t="s">
        <v>1153</v>
      </c>
      <c r="AC10" s="818" t="s">
        <v>1157</v>
      </c>
      <c r="AD10" s="818" t="s">
        <v>1155</v>
      </c>
    </row>
    <row r="11" spans="1:30" x14ac:dyDescent="0.25">
      <c r="A11" s="818" t="s">
        <v>1158</v>
      </c>
      <c r="B11" s="818" t="s">
        <v>1142</v>
      </c>
      <c r="C11" s="818"/>
      <c r="D11" s="818" t="s">
        <v>1143</v>
      </c>
      <c r="E11" s="818" t="s">
        <v>1144</v>
      </c>
      <c r="F11" s="818" t="s">
        <v>1145</v>
      </c>
      <c r="G11" s="819">
        <v>42976.693912037037</v>
      </c>
      <c r="H11" s="819">
        <v>42976</v>
      </c>
      <c r="I11" s="818" t="s">
        <v>1146</v>
      </c>
      <c r="J11" s="818" t="s">
        <v>1147</v>
      </c>
      <c r="K11" s="820">
        <v>100.767</v>
      </c>
      <c r="L11" s="818" t="s">
        <v>1148</v>
      </c>
      <c r="M11" s="820">
        <v>129</v>
      </c>
      <c r="N11" s="820">
        <v>132485.54752699999</v>
      </c>
      <c r="O11" s="818" t="s">
        <v>1149</v>
      </c>
      <c r="P11" s="819">
        <v>42976</v>
      </c>
      <c r="Q11" s="818"/>
      <c r="R11" s="818"/>
      <c r="S11" s="818" t="s">
        <v>1150</v>
      </c>
      <c r="T11" s="818"/>
      <c r="U11" s="819">
        <v>43096</v>
      </c>
      <c r="V11" s="821"/>
      <c r="W11" s="821"/>
      <c r="X11" s="818" t="s">
        <v>1151</v>
      </c>
      <c r="Y11" s="818"/>
      <c r="Z11" s="821"/>
      <c r="AA11" s="818" t="s">
        <v>1152</v>
      </c>
      <c r="AB11" s="821" t="s">
        <v>1153</v>
      </c>
      <c r="AC11" s="818" t="s">
        <v>1159</v>
      </c>
      <c r="AD11" s="818" t="s">
        <v>1155</v>
      </c>
    </row>
    <row r="12" spans="1:30" x14ac:dyDescent="0.25">
      <c r="A12" s="818" t="s">
        <v>1160</v>
      </c>
      <c r="B12" s="818" t="s">
        <v>1142</v>
      </c>
      <c r="C12" s="818"/>
      <c r="D12" s="818" t="s">
        <v>1143</v>
      </c>
      <c r="E12" s="818" t="s">
        <v>1144</v>
      </c>
      <c r="F12" s="818" t="s">
        <v>1145</v>
      </c>
      <c r="G12" s="819">
        <v>42976.694814814815</v>
      </c>
      <c r="H12" s="819">
        <v>42976</v>
      </c>
      <c r="I12" s="818" t="s">
        <v>1146</v>
      </c>
      <c r="J12" s="818" t="s">
        <v>1147</v>
      </c>
      <c r="K12" s="820">
        <v>100.768</v>
      </c>
      <c r="L12" s="818" t="s">
        <v>1148</v>
      </c>
      <c r="M12" s="820">
        <v>72670</v>
      </c>
      <c r="N12" s="820">
        <v>74634257.764607996</v>
      </c>
      <c r="O12" s="818" t="s">
        <v>1149</v>
      </c>
      <c r="P12" s="819">
        <v>42976</v>
      </c>
      <c r="Q12" s="818"/>
      <c r="R12" s="818"/>
      <c r="S12" s="818" t="s">
        <v>1150</v>
      </c>
      <c r="T12" s="818"/>
      <c r="U12" s="819">
        <v>43096</v>
      </c>
      <c r="V12" s="821"/>
      <c r="W12" s="821"/>
      <c r="X12" s="818" t="s">
        <v>1151</v>
      </c>
      <c r="Y12" s="818"/>
      <c r="Z12" s="821"/>
      <c r="AA12" s="818" t="s">
        <v>1152</v>
      </c>
      <c r="AB12" s="821" t="s">
        <v>1153</v>
      </c>
      <c r="AC12" s="818" t="s">
        <v>1161</v>
      </c>
      <c r="AD12" s="818" t="s">
        <v>1155</v>
      </c>
    </row>
    <row r="13" spans="1:30" x14ac:dyDescent="0.25">
      <c r="A13" s="818" t="s">
        <v>1162</v>
      </c>
      <c r="B13" s="818" t="s">
        <v>1142</v>
      </c>
      <c r="C13" s="818"/>
      <c r="D13" s="818" t="s">
        <v>1143</v>
      </c>
      <c r="E13" s="818" t="s">
        <v>1144</v>
      </c>
      <c r="F13" s="818" t="s">
        <v>1145</v>
      </c>
      <c r="G13" s="819">
        <v>42976.694120370368</v>
      </c>
      <c r="H13" s="819">
        <v>42976</v>
      </c>
      <c r="I13" s="818" t="s">
        <v>1146</v>
      </c>
      <c r="J13" s="818" t="s">
        <v>1147</v>
      </c>
      <c r="K13" s="820">
        <v>100.768</v>
      </c>
      <c r="L13" s="818" t="s">
        <v>1148</v>
      </c>
      <c r="M13" s="820">
        <v>75</v>
      </c>
      <c r="N13" s="820">
        <v>77027.229680000004</v>
      </c>
      <c r="O13" s="818" t="s">
        <v>1149</v>
      </c>
      <c r="P13" s="819">
        <v>42976</v>
      </c>
      <c r="Q13" s="818"/>
      <c r="R13" s="818"/>
      <c r="S13" s="818" t="s">
        <v>1150</v>
      </c>
      <c r="T13" s="818"/>
      <c r="U13" s="819">
        <v>43096</v>
      </c>
      <c r="V13" s="821"/>
      <c r="W13" s="821"/>
      <c r="X13" s="818" t="s">
        <v>1151</v>
      </c>
      <c r="Y13" s="818"/>
      <c r="Z13" s="821"/>
      <c r="AA13" s="818" t="s">
        <v>1152</v>
      </c>
      <c r="AB13" s="821" t="s">
        <v>1153</v>
      </c>
      <c r="AC13" s="818" t="s">
        <v>1163</v>
      </c>
      <c r="AD13" s="818" t="s">
        <v>1155</v>
      </c>
    </row>
    <row r="14" spans="1:30" x14ac:dyDescent="0.25">
      <c r="A14" s="818" t="s">
        <v>1164</v>
      </c>
      <c r="B14" s="818" t="s">
        <v>1142</v>
      </c>
      <c r="C14" s="818"/>
      <c r="D14" s="818" t="s">
        <v>1143</v>
      </c>
      <c r="E14" s="818" t="s">
        <v>1144</v>
      </c>
      <c r="F14" s="818" t="s">
        <v>1145</v>
      </c>
      <c r="G14" s="819">
        <v>42976.693912037037</v>
      </c>
      <c r="H14" s="819">
        <v>42976</v>
      </c>
      <c r="I14" s="818" t="s">
        <v>1146</v>
      </c>
      <c r="J14" s="818" t="s">
        <v>1147</v>
      </c>
      <c r="K14" s="820">
        <v>100.768</v>
      </c>
      <c r="L14" s="818" t="s">
        <v>1148</v>
      </c>
      <c r="M14" s="820">
        <v>5</v>
      </c>
      <c r="N14" s="820">
        <v>5135.1453119999996</v>
      </c>
      <c r="O14" s="818" t="s">
        <v>1149</v>
      </c>
      <c r="P14" s="819">
        <v>42976</v>
      </c>
      <c r="Q14" s="818"/>
      <c r="R14" s="818"/>
      <c r="S14" s="818" t="s">
        <v>1150</v>
      </c>
      <c r="T14" s="818"/>
      <c r="U14" s="819">
        <v>43096</v>
      </c>
      <c r="V14" s="821"/>
      <c r="W14" s="821"/>
      <c r="X14" s="818" t="s">
        <v>1151</v>
      </c>
      <c r="Y14" s="818"/>
      <c r="Z14" s="821"/>
      <c r="AA14" s="818" t="s">
        <v>1152</v>
      </c>
      <c r="AB14" s="821" t="s">
        <v>1153</v>
      </c>
      <c r="AC14" s="818" t="s">
        <v>1165</v>
      </c>
      <c r="AD14" s="818" t="s">
        <v>1155</v>
      </c>
    </row>
    <row r="15" spans="1:30" x14ac:dyDescent="0.25">
      <c r="A15" s="818" t="s">
        <v>1166</v>
      </c>
      <c r="B15" s="818" t="s">
        <v>1142</v>
      </c>
      <c r="C15" s="818"/>
      <c r="D15" s="818" t="s">
        <v>1143</v>
      </c>
      <c r="E15" s="818" t="s">
        <v>1144</v>
      </c>
      <c r="F15" s="818" t="s">
        <v>1145</v>
      </c>
      <c r="G15" s="819">
        <v>42976.693912037037</v>
      </c>
      <c r="H15" s="819">
        <v>42976</v>
      </c>
      <c r="I15" s="818" t="s">
        <v>1146</v>
      </c>
      <c r="J15" s="818" t="s">
        <v>1147</v>
      </c>
      <c r="K15" s="820">
        <v>100.768</v>
      </c>
      <c r="L15" s="818" t="s">
        <v>1148</v>
      </c>
      <c r="M15" s="820">
        <v>5</v>
      </c>
      <c r="N15" s="820">
        <v>5135.1453119999996</v>
      </c>
      <c r="O15" s="818" t="s">
        <v>1149</v>
      </c>
      <c r="P15" s="819">
        <v>42976</v>
      </c>
      <c r="Q15" s="818"/>
      <c r="R15" s="818"/>
      <c r="S15" s="818" t="s">
        <v>1150</v>
      </c>
      <c r="T15" s="818"/>
      <c r="U15" s="819">
        <v>43096</v>
      </c>
      <c r="V15" s="821"/>
      <c r="W15" s="821"/>
      <c r="X15" s="818" t="s">
        <v>1151</v>
      </c>
      <c r="Y15" s="818"/>
      <c r="Z15" s="821"/>
      <c r="AA15" s="818" t="s">
        <v>1152</v>
      </c>
      <c r="AB15" s="821" t="s">
        <v>1153</v>
      </c>
      <c r="AC15" s="818" t="s">
        <v>1167</v>
      </c>
      <c r="AD15" s="818" t="s">
        <v>1155</v>
      </c>
    </row>
    <row r="16" spans="1:30" x14ac:dyDescent="0.25">
      <c r="A16" s="814" t="s">
        <v>1168</v>
      </c>
      <c r="B16" s="815"/>
      <c r="C16" s="815"/>
      <c r="D16" s="815"/>
      <c r="E16" s="815"/>
      <c r="F16" s="815"/>
      <c r="G16" s="815"/>
      <c r="H16" s="815"/>
      <c r="I16" s="815"/>
      <c r="J16" s="815"/>
      <c r="K16" s="816"/>
      <c r="L16" s="815"/>
      <c r="M16" s="817">
        <v>-200000</v>
      </c>
      <c r="N16" s="816"/>
      <c r="O16" s="815"/>
      <c r="P16" s="815"/>
      <c r="Q16" s="815"/>
      <c r="R16" s="815"/>
      <c r="S16" s="815"/>
      <c r="T16" s="815"/>
      <c r="U16" s="815"/>
      <c r="V16" s="816"/>
      <c r="W16" s="816"/>
      <c r="X16" s="815"/>
      <c r="Y16" s="815"/>
      <c r="Z16" s="816"/>
      <c r="AA16" s="815"/>
      <c r="AB16" s="816"/>
      <c r="AC16" s="815"/>
      <c r="AD16" s="815"/>
    </row>
    <row r="17" spans="1:30" x14ac:dyDescent="0.25">
      <c r="A17" s="814" t="s">
        <v>1169</v>
      </c>
      <c r="B17" s="815"/>
      <c r="C17" s="815"/>
      <c r="D17" s="815"/>
      <c r="E17" s="815"/>
      <c r="F17" s="815"/>
      <c r="G17" s="815"/>
      <c r="H17" s="815"/>
      <c r="I17" s="815"/>
      <c r="J17" s="815"/>
      <c r="K17" s="816"/>
      <c r="L17" s="815"/>
      <c r="M17" s="817">
        <v>-200000</v>
      </c>
      <c r="N17" s="816"/>
      <c r="O17" s="815"/>
      <c r="P17" s="815"/>
      <c r="Q17" s="815"/>
      <c r="R17" s="815"/>
      <c r="S17" s="815"/>
      <c r="T17" s="815"/>
      <c r="U17" s="815"/>
      <c r="V17" s="816"/>
      <c r="W17" s="816"/>
      <c r="X17" s="815"/>
      <c r="Y17" s="815"/>
      <c r="Z17" s="816"/>
      <c r="AA17" s="815"/>
      <c r="AB17" s="816"/>
      <c r="AC17" s="815"/>
      <c r="AD17" s="815"/>
    </row>
    <row r="18" spans="1:30" x14ac:dyDescent="0.25">
      <c r="A18" s="818" t="s">
        <v>1170</v>
      </c>
      <c r="B18" s="818" t="s">
        <v>1142</v>
      </c>
      <c r="C18" s="818"/>
      <c r="D18" s="818" t="s">
        <v>1171</v>
      </c>
      <c r="E18" s="818" t="s">
        <v>1171</v>
      </c>
      <c r="F18" s="818" t="s">
        <v>1172</v>
      </c>
      <c r="G18" s="819">
        <v>42976.650335648148</v>
      </c>
      <c r="H18" s="819">
        <v>42976</v>
      </c>
      <c r="I18" s="818" t="s">
        <v>1173</v>
      </c>
      <c r="J18" s="818" t="s">
        <v>1174</v>
      </c>
      <c r="K18" s="820">
        <v>94.5</v>
      </c>
      <c r="L18" s="818" t="s">
        <v>1148</v>
      </c>
      <c r="M18" s="820">
        <v>-200000</v>
      </c>
      <c r="N18" s="820">
        <v>192938.33</v>
      </c>
      <c r="O18" s="818" t="s">
        <v>75</v>
      </c>
      <c r="P18" s="819">
        <v>42979</v>
      </c>
      <c r="Q18" s="818" t="s">
        <v>1175</v>
      </c>
      <c r="R18" s="818" t="s">
        <v>1175</v>
      </c>
      <c r="S18" s="818"/>
      <c r="T18" s="818"/>
      <c r="U18" s="819">
        <v>43602</v>
      </c>
      <c r="V18" s="821"/>
      <c r="W18" s="821"/>
      <c r="X18" s="818" t="s">
        <v>1176</v>
      </c>
      <c r="Y18" s="818"/>
      <c r="Z18" s="821"/>
      <c r="AA18" s="818" t="s">
        <v>1177</v>
      </c>
      <c r="AB18" s="821" t="s">
        <v>1178</v>
      </c>
      <c r="AC18" s="818"/>
      <c r="AD18" s="818"/>
    </row>
    <row r="19" spans="1:30" x14ac:dyDescent="0.25">
      <c r="A19" s="814" t="s">
        <v>1179</v>
      </c>
      <c r="B19" s="815"/>
      <c r="C19" s="815"/>
      <c r="D19" s="815"/>
      <c r="E19" s="815"/>
      <c r="F19" s="815"/>
      <c r="G19" s="815"/>
      <c r="H19" s="815"/>
      <c r="I19" s="815"/>
      <c r="J19" s="815"/>
      <c r="K19" s="816"/>
      <c r="L19" s="815"/>
      <c r="M19" s="817">
        <v>-294000</v>
      </c>
      <c r="N19" s="816"/>
      <c r="O19" s="815"/>
      <c r="P19" s="815"/>
      <c r="Q19" s="815"/>
      <c r="R19" s="815"/>
      <c r="S19" s="815"/>
      <c r="T19" s="815"/>
      <c r="U19" s="815"/>
      <c r="V19" s="816"/>
      <c r="W19" s="816"/>
      <c r="X19" s="815"/>
      <c r="Y19" s="815"/>
      <c r="Z19" s="816"/>
      <c r="AA19" s="815"/>
      <c r="AB19" s="816"/>
      <c r="AC19" s="815"/>
      <c r="AD19" s="815"/>
    </row>
    <row r="20" spans="1:30" x14ac:dyDescent="0.25">
      <c r="A20" s="814" t="s">
        <v>1169</v>
      </c>
      <c r="B20" s="815"/>
      <c r="C20" s="815"/>
      <c r="D20" s="815"/>
      <c r="E20" s="815"/>
      <c r="F20" s="815"/>
      <c r="G20" s="815"/>
      <c r="H20" s="815"/>
      <c r="I20" s="815"/>
      <c r="J20" s="815"/>
      <c r="K20" s="816"/>
      <c r="L20" s="815"/>
      <c r="M20" s="817">
        <v>-294000</v>
      </c>
      <c r="N20" s="816"/>
      <c r="O20" s="815"/>
      <c r="P20" s="815"/>
      <c r="Q20" s="815"/>
      <c r="R20" s="815"/>
      <c r="S20" s="815"/>
      <c r="T20" s="815"/>
      <c r="U20" s="815"/>
      <c r="V20" s="816"/>
      <c r="W20" s="816"/>
      <c r="X20" s="815"/>
      <c r="Y20" s="815"/>
      <c r="Z20" s="816"/>
      <c r="AA20" s="815"/>
      <c r="AB20" s="816"/>
      <c r="AC20" s="815"/>
      <c r="AD20" s="815"/>
    </row>
    <row r="21" spans="1:30" x14ac:dyDescent="0.25">
      <c r="A21" s="818" t="s">
        <v>1180</v>
      </c>
      <c r="B21" s="818" t="s">
        <v>1142</v>
      </c>
      <c r="C21" s="818"/>
      <c r="D21" s="818" t="s">
        <v>1181</v>
      </c>
      <c r="E21" s="818" t="s">
        <v>1181</v>
      </c>
      <c r="F21" s="818" t="s">
        <v>1182</v>
      </c>
      <c r="G21" s="819">
        <v>42976.520972222221</v>
      </c>
      <c r="H21" s="819">
        <v>42976</v>
      </c>
      <c r="I21" s="818" t="s">
        <v>1173</v>
      </c>
      <c r="J21" s="818" t="s">
        <v>1174</v>
      </c>
      <c r="K21" s="820">
        <v>101.32</v>
      </c>
      <c r="L21" s="818" t="s">
        <v>1148</v>
      </c>
      <c r="M21" s="820">
        <v>-294000</v>
      </c>
      <c r="N21" s="820">
        <v>297880.8</v>
      </c>
      <c r="O21" s="818" t="s">
        <v>1183</v>
      </c>
      <c r="P21" s="819">
        <v>42979</v>
      </c>
      <c r="Q21" s="818" t="s">
        <v>1175</v>
      </c>
      <c r="R21" s="818" t="s">
        <v>1175</v>
      </c>
      <c r="S21" s="818"/>
      <c r="T21" s="818"/>
      <c r="U21" s="819">
        <v>43630</v>
      </c>
      <c r="V21" s="821"/>
      <c r="W21" s="821"/>
      <c r="X21" s="818" t="s">
        <v>1184</v>
      </c>
      <c r="Y21" s="818"/>
      <c r="Z21" s="821"/>
      <c r="AA21" s="818" t="s">
        <v>1177</v>
      </c>
      <c r="AB21" s="821" t="s">
        <v>1185</v>
      </c>
      <c r="AC21" s="818"/>
      <c r="AD21" s="818"/>
    </row>
    <row r="22" spans="1:30" x14ac:dyDescent="0.25">
      <c r="A22" s="814" t="s">
        <v>1186</v>
      </c>
      <c r="B22" s="815"/>
      <c r="C22" s="815"/>
      <c r="D22" s="815"/>
      <c r="E22" s="815"/>
      <c r="F22" s="815"/>
      <c r="G22" s="815"/>
      <c r="H22" s="815"/>
      <c r="I22" s="815"/>
      <c r="J22" s="815"/>
      <c r="K22" s="816"/>
      <c r="L22" s="815"/>
      <c r="M22" s="817">
        <v>200000</v>
      </c>
      <c r="N22" s="816"/>
      <c r="O22" s="815"/>
      <c r="P22" s="815"/>
      <c r="Q22" s="815"/>
      <c r="R22" s="815"/>
      <c r="S22" s="815"/>
      <c r="T22" s="815"/>
      <c r="U22" s="815"/>
      <c r="V22" s="816"/>
      <c r="W22" s="816"/>
      <c r="X22" s="815"/>
      <c r="Y22" s="815"/>
      <c r="Z22" s="816"/>
      <c r="AA22" s="815"/>
      <c r="AB22" s="816"/>
      <c r="AC22" s="815"/>
      <c r="AD22" s="815"/>
    </row>
    <row r="23" spans="1:30" x14ac:dyDescent="0.25">
      <c r="A23" s="814" t="s">
        <v>1169</v>
      </c>
      <c r="B23" s="815"/>
      <c r="C23" s="815"/>
      <c r="D23" s="815"/>
      <c r="E23" s="815"/>
      <c r="F23" s="815"/>
      <c r="G23" s="815"/>
      <c r="H23" s="815"/>
      <c r="I23" s="815"/>
      <c r="J23" s="815"/>
      <c r="K23" s="816"/>
      <c r="L23" s="815"/>
      <c r="M23" s="817">
        <v>200000</v>
      </c>
      <c r="N23" s="816"/>
      <c r="O23" s="815"/>
      <c r="P23" s="815"/>
      <c r="Q23" s="815"/>
      <c r="R23" s="815"/>
      <c r="S23" s="815"/>
      <c r="T23" s="815"/>
      <c r="U23" s="815"/>
      <c r="V23" s="816"/>
      <c r="W23" s="816"/>
      <c r="X23" s="815"/>
      <c r="Y23" s="815"/>
      <c r="Z23" s="816"/>
      <c r="AA23" s="815"/>
      <c r="AB23" s="816"/>
      <c r="AC23" s="815"/>
      <c r="AD23" s="815"/>
    </row>
    <row r="24" spans="1:30" x14ac:dyDescent="0.25">
      <c r="A24" s="818" t="s">
        <v>1187</v>
      </c>
      <c r="B24" s="818" t="s">
        <v>1142</v>
      </c>
      <c r="C24" s="818"/>
      <c r="D24" s="818" t="s">
        <v>1188</v>
      </c>
      <c r="E24" s="818" t="s">
        <v>1188</v>
      </c>
      <c r="F24" s="818" t="s">
        <v>1189</v>
      </c>
      <c r="G24" s="819">
        <v>42976.757696759261</v>
      </c>
      <c r="H24" s="819">
        <v>42976</v>
      </c>
      <c r="I24" s="818" t="s">
        <v>1173</v>
      </c>
      <c r="J24" s="818" t="s">
        <v>1147</v>
      </c>
      <c r="K24" s="820">
        <v>103.75</v>
      </c>
      <c r="L24" s="818" t="s">
        <v>1148</v>
      </c>
      <c r="M24" s="820">
        <v>200000</v>
      </c>
      <c r="N24" s="820">
        <v>211188.89</v>
      </c>
      <c r="O24" s="818" t="s">
        <v>75</v>
      </c>
      <c r="P24" s="819">
        <v>42976</v>
      </c>
      <c r="Q24" s="818" t="s">
        <v>1175</v>
      </c>
      <c r="R24" s="818" t="s">
        <v>1175</v>
      </c>
      <c r="S24" s="818"/>
      <c r="T24" s="818"/>
      <c r="U24" s="819">
        <v>45085</v>
      </c>
      <c r="V24" s="821"/>
      <c r="W24" s="821"/>
      <c r="X24" s="818" t="s">
        <v>1190</v>
      </c>
      <c r="Y24" s="818"/>
      <c r="Z24" s="821"/>
      <c r="AA24" s="818" t="s">
        <v>1191</v>
      </c>
      <c r="AB24" s="821" t="s">
        <v>1192</v>
      </c>
      <c r="AC24" s="818"/>
      <c r="AD24" s="818" t="s">
        <v>1193</v>
      </c>
    </row>
    <row r="25" spans="1:30" x14ac:dyDescent="0.25">
      <c r="A25" s="814" t="s">
        <v>1194</v>
      </c>
      <c r="B25" s="815"/>
      <c r="C25" s="815"/>
      <c r="D25" s="815"/>
      <c r="E25" s="815"/>
      <c r="F25" s="815"/>
      <c r="G25" s="815"/>
      <c r="H25" s="815"/>
      <c r="I25" s="815"/>
      <c r="J25" s="815"/>
      <c r="K25" s="816"/>
      <c r="L25" s="815"/>
      <c r="M25" s="817">
        <v>200000</v>
      </c>
      <c r="N25" s="816"/>
      <c r="O25" s="815"/>
      <c r="P25" s="815"/>
      <c r="Q25" s="815"/>
      <c r="R25" s="815"/>
      <c r="S25" s="815"/>
      <c r="T25" s="815"/>
      <c r="U25" s="815"/>
      <c r="V25" s="816"/>
      <c r="W25" s="816"/>
      <c r="X25" s="815"/>
      <c r="Y25" s="815"/>
      <c r="Z25" s="816"/>
      <c r="AA25" s="815"/>
      <c r="AB25" s="816"/>
      <c r="AC25" s="815"/>
      <c r="AD25" s="815"/>
    </row>
    <row r="26" spans="1:30" x14ac:dyDescent="0.25">
      <c r="A26" s="814" t="s">
        <v>1169</v>
      </c>
      <c r="B26" s="815"/>
      <c r="C26" s="815"/>
      <c r="D26" s="815"/>
      <c r="E26" s="815"/>
      <c r="F26" s="815"/>
      <c r="G26" s="815"/>
      <c r="H26" s="815"/>
      <c r="I26" s="815"/>
      <c r="J26" s="815"/>
      <c r="K26" s="816"/>
      <c r="L26" s="815"/>
      <c r="M26" s="817">
        <v>200000</v>
      </c>
      <c r="N26" s="816"/>
      <c r="O26" s="815"/>
      <c r="P26" s="815"/>
      <c r="Q26" s="815"/>
      <c r="R26" s="815"/>
      <c r="S26" s="815"/>
      <c r="T26" s="815"/>
      <c r="U26" s="815"/>
      <c r="V26" s="816"/>
      <c r="W26" s="816"/>
      <c r="X26" s="815"/>
      <c r="Y26" s="815"/>
      <c r="Z26" s="816"/>
      <c r="AA26" s="815"/>
      <c r="AB26" s="816"/>
      <c r="AC26" s="815"/>
      <c r="AD26" s="815"/>
    </row>
    <row r="27" spans="1:30" x14ac:dyDescent="0.25">
      <c r="A27" s="818" t="s">
        <v>1195</v>
      </c>
      <c r="B27" s="818" t="s">
        <v>1142</v>
      </c>
      <c r="C27" s="818"/>
      <c r="D27" s="818" t="s">
        <v>1188</v>
      </c>
      <c r="E27" s="818" t="s">
        <v>1188</v>
      </c>
      <c r="F27" s="818" t="s">
        <v>1189</v>
      </c>
      <c r="G27" s="819">
        <v>42976.741562499999</v>
      </c>
      <c r="H27" s="819">
        <v>42976</v>
      </c>
      <c r="I27" s="818" t="s">
        <v>1173</v>
      </c>
      <c r="J27" s="818" t="s">
        <v>1147</v>
      </c>
      <c r="K27" s="820">
        <v>113.5</v>
      </c>
      <c r="L27" s="818" t="s">
        <v>1148</v>
      </c>
      <c r="M27" s="820">
        <v>200000</v>
      </c>
      <c r="N27" s="820">
        <v>231559.72</v>
      </c>
      <c r="O27" s="818" t="s">
        <v>75</v>
      </c>
      <c r="P27" s="819">
        <v>42976</v>
      </c>
      <c r="Q27" s="818" t="s">
        <v>1175</v>
      </c>
      <c r="R27" s="818" t="s">
        <v>1175</v>
      </c>
      <c r="S27" s="818"/>
      <c r="T27" s="818"/>
      <c r="U27" s="819">
        <v>44339</v>
      </c>
      <c r="V27" s="821"/>
      <c r="W27" s="821"/>
      <c r="X27" s="818" t="s">
        <v>1196</v>
      </c>
      <c r="Y27" s="818"/>
      <c r="Z27" s="821"/>
      <c r="AA27" s="818" t="s">
        <v>1197</v>
      </c>
      <c r="AB27" s="821" t="s">
        <v>1198</v>
      </c>
      <c r="AC27" s="818"/>
      <c r="AD27" s="818" t="s">
        <v>1193</v>
      </c>
    </row>
    <row r="28" spans="1:30" x14ac:dyDescent="0.25">
      <c r="A28" s="814" t="s">
        <v>1199</v>
      </c>
      <c r="B28" s="815"/>
      <c r="C28" s="815"/>
      <c r="D28" s="815"/>
      <c r="E28" s="815"/>
      <c r="F28" s="815"/>
      <c r="G28" s="815"/>
      <c r="H28" s="815"/>
      <c r="I28" s="815"/>
      <c r="J28" s="815"/>
      <c r="K28" s="816"/>
      <c r="L28" s="815"/>
      <c r="M28" s="817">
        <v>554000</v>
      </c>
      <c r="N28" s="816"/>
      <c r="O28" s="815"/>
      <c r="P28" s="815"/>
      <c r="Q28" s="815"/>
      <c r="R28" s="815"/>
      <c r="S28" s="815"/>
      <c r="T28" s="815"/>
      <c r="U28" s="815"/>
      <c r="V28" s="816"/>
      <c r="W28" s="816"/>
      <c r="X28" s="815"/>
      <c r="Y28" s="815"/>
      <c r="Z28" s="816"/>
      <c r="AA28" s="815"/>
      <c r="AB28" s="816"/>
      <c r="AC28" s="815"/>
      <c r="AD28" s="815"/>
    </row>
    <row r="29" spans="1:30" x14ac:dyDescent="0.25">
      <c r="A29" s="814" t="s">
        <v>1169</v>
      </c>
      <c r="B29" s="815"/>
      <c r="C29" s="815"/>
      <c r="D29" s="815"/>
      <c r="E29" s="815"/>
      <c r="F29" s="815"/>
      <c r="G29" s="815"/>
      <c r="H29" s="815"/>
      <c r="I29" s="815"/>
      <c r="J29" s="815"/>
      <c r="K29" s="816"/>
      <c r="L29" s="815"/>
      <c r="M29" s="817">
        <v>554000</v>
      </c>
      <c r="N29" s="816"/>
      <c r="O29" s="815"/>
      <c r="P29" s="815"/>
      <c r="Q29" s="815"/>
      <c r="R29" s="815"/>
      <c r="S29" s="815"/>
      <c r="T29" s="815"/>
      <c r="U29" s="815"/>
      <c r="V29" s="816"/>
      <c r="W29" s="816"/>
      <c r="X29" s="815"/>
      <c r="Y29" s="815"/>
      <c r="Z29" s="816"/>
      <c r="AA29" s="815"/>
      <c r="AB29" s="816"/>
      <c r="AC29" s="815"/>
      <c r="AD29" s="815"/>
    </row>
    <row r="30" spans="1:30" x14ac:dyDescent="0.25">
      <c r="A30" s="818" t="s">
        <v>1200</v>
      </c>
      <c r="B30" s="818" t="s">
        <v>1142</v>
      </c>
      <c r="C30" s="818"/>
      <c r="D30" s="818" t="s">
        <v>1201</v>
      </c>
      <c r="E30" s="818" t="s">
        <v>1201</v>
      </c>
      <c r="F30" s="818" t="s">
        <v>1189</v>
      </c>
      <c r="G30" s="819">
        <v>42976.755416666667</v>
      </c>
      <c r="H30" s="819">
        <v>42976</v>
      </c>
      <c r="I30" s="818" t="s">
        <v>1173</v>
      </c>
      <c r="J30" s="818" t="s">
        <v>1147</v>
      </c>
      <c r="K30" s="820">
        <v>102.625</v>
      </c>
      <c r="L30" s="818" t="s">
        <v>1148</v>
      </c>
      <c r="M30" s="820">
        <v>554000</v>
      </c>
      <c r="N30" s="820">
        <v>568965.68999999994</v>
      </c>
      <c r="O30" s="818" t="s">
        <v>75</v>
      </c>
      <c r="P30" s="819">
        <v>42976</v>
      </c>
      <c r="Q30" s="818" t="s">
        <v>1175</v>
      </c>
      <c r="R30" s="818" t="s">
        <v>1175</v>
      </c>
      <c r="S30" s="818"/>
      <c r="T30" s="818"/>
      <c r="U30" s="819">
        <v>45348</v>
      </c>
      <c r="V30" s="821"/>
      <c r="W30" s="821"/>
      <c r="X30" s="818" t="s">
        <v>1202</v>
      </c>
      <c r="Y30" s="818"/>
      <c r="Z30" s="821"/>
      <c r="AA30" s="818" t="s">
        <v>1203</v>
      </c>
      <c r="AB30" s="821" t="s">
        <v>1204</v>
      </c>
      <c r="AC30" s="818"/>
      <c r="AD30" s="818" t="s">
        <v>1205</v>
      </c>
    </row>
    <row r="31" spans="1:30" x14ac:dyDescent="0.25">
      <c r="A31" s="814" t="s">
        <v>1206</v>
      </c>
      <c r="B31" s="815"/>
      <c r="C31" s="815"/>
      <c r="D31" s="815"/>
      <c r="E31" s="815"/>
      <c r="F31" s="815"/>
      <c r="G31" s="815"/>
      <c r="H31" s="815"/>
      <c r="I31" s="815"/>
      <c r="J31" s="815"/>
      <c r="K31" s="816"/>
      <c r="L31" s="815"/>
      <c r="M31" s="816"/>
      <c r="N31" s="816"/>
      <c r="O31" s="815"/>
      <c r="P31" s="815"/>
      <c r="Q31" s="815"/>
      <c r="R31" s="815"/>
      <c r="S31" s="815"/>
      <c r="T31" s="815"/>
      <c r="U31" s="815"/>
      <c r="V31" s="816"/>
      <c r="W31" s="816"/>
      <c r="X31" s="815"/>
      <c r="Y31" s="815"/>
      <c r="Z31" s="816"/>
      <c r="AA31" s="815"/>
      <c r="AB31" s="816"/>
      <c r="AC31" s="815"/>
      <c r="AD31" s="815"/>
    </row>
    <row r="32" spans="1:30" x14ac:dyDescent="0.25">
      <c r="A32" s="814" t="s">
        <v>1207</v>
      </c>
      <c r="B32" s="815"/>
      <c r="C32" s="815"/>
      <c r="D32" s="815"/>
      <c r="E32" s="815"/>
      <c r="F32" s="815"/>
      <c r="G32" s="815"/>
      <c r="H32" s="815"/>
      <c r="I32" s="815"/>
      <c r="J32" s="815"/>
      <c r="K32" s="816"/>
      <c r="L32" s="815"/>
      <c r="M32" s="817">
        <v>1000</v>
      </c>
      <c r="N32" s="816"/>
      <c r="O32" s="815"/>
      <c r="P32" s="815"/>
      <c r="Q32" s="815"/>
      <c r="R32" s="815"/>
      <c r="S32" s="815"/>
      <c r="T32" s="815"/>
      <c r="U32" s="815"/>
      <c r="V32" s="816"/>
      <c r="W32" s="816"/>
      <c r="X32" s="815"/>
      <c r="Y32" s="815"/>
      <c r="Z32" s="816"/>
      <c r="AA32" s="815"/>
      <c r="AB32" s="816"/>
      <c r="AC32" s="815"/>
      <c r="AD32" s="815"/>
    </row>
    <row r="33" spans="1:30" x14ac:dyDescent="0.25">
      <c r="A33" s="814" t="s">
        <v>1169</v>
      </c>
      <c r="B33" s="815"/>
      <c r="C33" s="815"/>
      <c r="D33" s="815"/>
      <c r="E33" s="815"/>
      <c r="F33" s="815"/>
      <c r="G33" s="815"/>
      <c r="H33" s="815"/>
      <c r="I33" s="815"/>
      <c r="J33" s="815"/>
      <c r="K33" s="816"/>
      <c r="L33" s="815"/>
      <c r="M33" s="817">
        <v>1000</v>
      </c>
      <c r="N33" s="816"/>
      <c r="O33" s="815"/>
      <c r="P33" s="815"/>
      <c r="Q33" s="815"/>
      <c r="R33" s="815"/>
      <c r="S33" s="815"/>
      <c r="T33" s="815"/>
      <c r="U33" s="815"/>
      <c r="V33" s="816"/>
      <c r="W33" s="816"/>
      <c r="X33" s="815"/>
      <c r="Y33" s="815"/>
      <c r="Z33" s="816"/>
      <c r="AA33" s="815"/>
      <c r="AB33" s="816"/>
      <c r="AC33" s="815"/>
      <c r="AD33" s="815"/>
    </row>
    <row r="34" spans="1:30" x14ac:dyDescent="0.25">
      <c r="A34" s="818" t="s">
        <v>1208</v>
      </c>
      <c r="B34" s="818" t="s">
        <v>1142</v>
      </c>
      <c r="C34" s="818"/>
      <c r="D34" s="818" t="s">
        <v>1209</v>
      </c>
      <c r="E34" s="818" t="s">
        <v>1209</v>
      </c>
      <c r="F34" s="818" t="s">
        <v>1210</v>
      </c>
      <c r="G34" s="819">
        <v>42976.760358796295</v>
      </c>
      <c r="H34" s="819">
        <v>42976</v>
      </c>
      <c r="I34" s="818" t="s">
        <v>1211</v>
      </c>
      <c r="J34" s="818" t="s">
        <v>1147</v>
      </c>
      <c r="K34" s="820">
        <v>113.952</v>
      </c>
      <c r="L34" s="818" t="s">
        <v>75</v>
      </c>
      <c r="M34" s="820">
        <v>1000</v>
      </c>
      <c r="N34" s="820">
        <v>113952</v>
      </c>
      <c r="O34" s="818" t="s">
        <v>75</v>
      </c>
      <c r="P34" s="819">
        <v>42976</v>
      </c>
      <c r="Q34" s="818" t="s">
        <v>1175</v>
      </c>
      <c r="R34" s="818" t="s">
        <v>1175</v>
      </c>
      <c r="S34" s="818"/>
      <c r="T34" s="818"/>
      <c r="U34" s="818"/>
      <c r="V34" s="821"/>
      <c r="W34" s="821"/>
      <c r="X34" s="818" t="s">
        <v>1212</v>
      </c>
      <c r="Y34" s="818"/>
      <c r="Z34" s="821"/>
      <c r="AA34" s="818"/>
      <c r="AB34" s="821"/>
      <c r="AC34" s="818"/>
      <c r="AD34" s="818"/>
    </row>
    <row r="35" spans="1:30" x14ac:dyDescent="0.25">
      <c r="A35" s="814" t="s">
        <v>1213</v>
      </c>
      <c r="B35" s="815"/>
      <c r="C35" s="815"/>
      <c r="D35" s="815"/>
      <c r="E35" s="815"/>
      <c r="F35" s="815"/>
      <c r="G35" s="815"/>
      <c r="H35" s="815"/>
      <c r="I35" s="815"/>
      <c r="J35" s="815"/>
      <c r="K35" s="816"/>
      <c r="L35" s="815"/>
      <c r="M35" s="817">
        <v>10000</v>
      </c>
      <c r="N35" s="816"/>
      <c r="O35" s="815"/>
      <c r="P35" s="815"/>
      <c r="Q35" s="815"/>
      <c r="R35" s="815"/>
      <c r="S35" s="815"/>
      <c r="T35" s="815"/>
      <c r="U35" s="815"/>
      <c r="V35" s="816"/>
      <c r="W35" s="816"/>
      <c r="X35" s="815"/>
      <c r="Y35" s="815"/>
      <c r="Z35" s="816"/>
      <c r="AA35" s="815"/>
      <c r="AB35" s="816"/>
      <c r="AC35" s="815"/>
      <c r="AD35" s="815"/>
    </row>
    <row r="36" spans="1:30" x14ac:dyDescent="0.25">
      <c r="A36" s="814" t="s">
        <v>1169</v>
      </c>
      <c r="B36" s="815"/>
      <c r="C36" s="815"/>
      <c r="D36" s="815"/>
      <c r="E36" s="815"/>
      <c r="F36" s="815"/>
      <c r="G36" s="815"/>
      <c r="H36" s="815"/>
      <c r="I36" s="815"/>
      <c r="J36" s="815"/>
      <c r="K36" s="816"/>
      <c r="L36" s="815"/>
      <c r="M36" s="817">
        <v>10000</v>
      </c>
      <c r="N36" s="816"/>
      <c r="O36" s="815"/>
      <c r="P36" s="815"/>
      <c r="Q36" s="815"/>
      <c r="R36" s="815"/>
      <c r="S36" s="815"/>
      <c r="T36" s="815"/>
      <c r="U36" s="815"/>
      <c r="V36" s="816"/>
      <c r="W36" s="816"/>
      <c r="X36" s="815"/>
      <c r="Y36" s="815"/>
      <c r="Z36" s="816"/>
      <c r="AA36" s="815"/>
      <c r="AB36" s="816"/>
      <c r="AC36" s="815"/>
      <c r="AD36" s="815"/>
    </row>
    <row r="37" spans="1:30" x14ac:dyDescent="0.25">
      <c r="A37" s="818" t="s">
        <v>1214</v>
      </c>
      <c r="B37" s="818" t="s">
        <v>1142</v>
      </c>
      <c r="C37" s="818"/>
      <c r="D37" s="818" t="s">
        <v>1209</v>
      </c>
      <c r="E37" s="818" t="s">
        <v>1209</v>
      </c>
      <c r="F37" s="818" t="s">
        <v>1210</v>
      </c>
      <c r="G37" s="819">
        <v>42976.745775462965</v>
      </c>
      <c r="H37" s="819">
        <v>42976</v>
      </c>
      <c r="I37" s="818" t="s">
        <v>1211</v>
      </c>
      <c r="J37" s="818" t="s">
        <v>1147</v>
      </c>
      <c r="K37" s="820">
        <v>23.46</v>
      </c>
      <c r="L37" s="818" t="s">
        <v>75</v>
      </c>
      <c r="M37" s="820">
        <v>10000</v>
      </c>
      <c r="N37" s="820">
        <v>234600</v>
      </c>
      <c r="O37" s="818" t="s">
        <v>75</v>
      </c>
      <c r="P37" s="819">
        <v>42976</v>
      </c>
      <c r="Q37" s="818" t="s">
        <v>1175</v>
      </c>
      <c r="R37" s="818" t="s">
        <v>1175</v>
      </c>
      <c r="S37" s="818" t="s">
        <v>1215</v>
      </c>
      <c r="T37" s="818"/>
      <c r="U37" s="818"/>
      <c r="V37" s="821"/>
      <c r="W37" s="821"/>
      <c r="X37" s="818" t="s">
        <v>1216</v>
      </c>
      <c r="Y37" s="818"/>
      <c r="Z37" s="821"/>
      <c r="AA37" s="818"/>
      <c r="AB37" s="821"/>
      <c r="AC37" s="818" t="s">
        <v>1217</v>
      </c>
      <c r="AD37" s="818"/>
    </row>
    <row r="38" spans="1:30" x14ac:dyDescent="0.25">
      <c r="A38" s="814" t="s">
        <v>1218</v>
      </c>
      <c r="B38" s="815"/>
      <c r="C38" s="815"/>
      <c r="D38" s="815"/>
      <c r="E38" s="815"/>
      <c r="F38" s="815"/>
      <c r="G38" s="815"/>
      <c r="H38" s="815"/>
      <c r="I38" s="815"/>
      <c r="J38" s="815"/>
      <c r="K38" s="816"/>
      <c r="L38" s="815"/>
      <c r="M38" s="817">
        <v>-1482</v>
      </c>
      <c r="N38" s="816"/>
      <c r="O38" s="815"/>
      <c r="P38" s="815"/>
      <c r="Q38" s="815"/>
      <c r="R38" s="815"/>
      <c r="S38" s="815"/>
      <c r="T38" s="815"/>
      <c r="U38" s="815"/>
      <c r="V38" s="816"/>
      <c r="W38" s="816"/>
      <c r="X38" s="815"/>
      <c r="Y38" s="815"/>
      <c r="Z38" s="816"/>
      <c r="AA38" s="815"/>
      <c r="AB38" s="816"/>
      <c r="AC38" s="815"/>
      <c r="AD38" s="815"/>
    </row>
    <row r="39" spans="1:30" x14ac:dyDescent="0.25">
      <c r="A39" s="814" t="s">
        <v>1140</v>
      </c>
      <c r="B39" s="815"/>
      <c r="C39" s="815"/>
      <c r="D39" s="815"/>
      <c r="E39" s="815"/>
      <c r="F39" s="815"/>
      <c r="G39" s="815"/>
      <c r="H39" s="815"/>
      <c r="I39" s="815"/>
      <c r="J39" s="815"/>
      <c r="K39" s="816"/>
      <c r="L39" s="815"/>
      <c r="M39" s="817">
        <v>-1482</v>
      </c>
      <c r="N39" s="816"/>
      <c r="O39" s="815"/>
      <c r="P39" s="815"/>
      <c r="Q39" s="815"/>
      <c r="R39" s="815"/>
      <c r="S39" s="815"/>
      <c r="T39" s="815"/>
      <c r="U39" s="815"/>
      <c r="V39" s="816"/>
      <c r="W39" s="816"/>
      <c r="X39" s="815"/>
      <c r="Y39" s="815"/>
      <c r="Z39" s="816"/>
      <c r="AA39" s="815"/>
      <c r="AB39" s="816"/>
      <c r="AC39" s="815"/>
      <c r="AD39" s="815"/>
    </row>
    <row r="40" spans="1:30" x14ac:dyDescent="0.25">
      <c r="A40" s="818" t="s">
        <v>1219</v>
      </c>
      <c r="B40" s="818" t="s">
        <v>1142</v>
      </c>
      <c r="C40" s="818"/>
      <c r="D40" s="818" t="s">
        <v>1220</v>
      </c>
      <c r="E40" s="818" t="s">
        <v>1221</v>
      </c>
      <c r="F40" s="818" t="s">
        <v>1145</v>
      </c>
      <c r="G40" s="819">
        <v>42976.558854166666</v>
      </c>
      <c r="H40" s="819">
        <v>42976</v>
      </c>
      <c r="I40" s="818" t="s">
        <v>1222</v>
      </c>
      <c r="J40" s="818" t="s">
        <v>1174</v>
      </c>
      <c r="K40" s="820">
        <v>9400</v>
      </c>
      <c r="L40" s="818" t="s">
        <v>1149</v>
      </c>
      <c r="M40" s="820">
        <v>-17</v>
      </c>
      <c r="N40" s="820">
        <v>159314.68</v>
      </c>
      <c r="O40" s="818" t="s">
        <v>1149</v>
      </c>
      <c r="P40" s="819">
        <v>42976</v>
      </c>
      <c r="Q40" s="818"/>
      <c r="R40" s="818"/>
      <c r="S40" s="818" t="s">
        <v>1215</v>
      </c>
      <c r="T40" s="818"/>
      <c r="U40" s="818"/>
      <c r="V40" s="821"/>
      <c r="W40" s="821"/>
      <c r="X40" s="818" t="s">
        <v>358</v>
      </c>
      <c r="Y40" s="818"/>
      <c r="Z40" s="821"/>
      <c r="AA40" s="818"/>
      <c r="AB40" s="821"/>
      <c r="AC40" s="818" t="s">
        <v>1223</v>
      </c>
      <c r="AD40" s="818" t="s">
        <v>1224</v>
      </c>
    </row>
    <row r="41" spans="1:30" x14ac:dyDescent="0.25">
      <c r="A41" s="818" t="s">
        <v>1225</v>
      </c>
      <c r="B41" s="818" t="s">
        <v>1142</v>
      </c>
      <c r="C41" s="818"/>
      <c r="D41" s="818" t="s">
        <v>1220</v>
      </c>
      <c r="E41" s="818" t="s">
        <v>1221</v>
      </c>
      <c r="F41" s="818" t="s">
        <v>1145</v>
      </c>
      <c r="G41" s="819">
        <v>42976.558854166666</v>
      </c>
      <c r="H41" s="819">
        <v>42976</v>
      </c>
      <c r="I41" s="818" t="s">
        <v>1222</v>
      </c>
      <c r="J41" s="818" t="s">
        <v>1174</v>
      </c>
      <c r="K41" s="820">
        <v>9400</v>
      </c>
      <c r="L41" s="818" t="s">
        <v>1149</v>
      </c>
      <c r="M41" s="820">
        <v>-8</v>
      </c>
      <c r="N41" s="820">
        <v>74971.62</v>
      </c>
      <c r="O41" s="818" t="s">
        <v>1149</v>
      </c>
      <c r="P41" s="819">
        <v>42976</v>
      </c>
      <c r="Q41" s="818"/>
      <c r="R41" s="818"/>
      <c r="S41" s="818" t="s">
        <v>1215</v>
      </c>
      <c r="T41" s="818"/>
      <c r="U41" s="818"/>
      <c r="V41" s="821"/>
      <c r="W41" s="821"/>
      <c r="X41" s="818" t="s">
        <v>358</v>
      </c>
      <c r="Y41" s="818"/>
      <c r="Z41" s="821"/>
      <c r="AA41" s="818"/>
      <c r="AB41" s="821"/>
      <c r="AC41" s="818" t="s">
        <v>1226</v>
      </c>
      <c r="AD41" s="818" t="s">
        <v>1224</v>
      </c>
    </row>
    <row r="42" spans="1:30" x14ac:dyDescent="0.25">
      <c r="A42" s="818" t="s">
        <v>1227</v>
      </c>
      <c r="B42" s="818" t="s">
        <v>1142</v>
      </c>
      <c r="C42" s="818"/>
      <c r="D42" s="818" t="s">
        <v>1220</v>
      </c>
      <c r="E42" s="818" t="s">
        <v>1221</v>
      </c>
      <c r="F42" s="818" t="s">
        <v>1145</v>
      </c>
      <c r="G42" s="819">
        <v>42976.558854166666</v>
      </c>
      <c r="H42" s="819">
        <v>42976</v>
      </c>
      <c r="I42" s="818" t="s">
        <v>1222</v>
      </c>
      <c r="J42" s="818" t="s">
        <v>1174</v>
      </c>
      <c r="K42" s="820">
        <v>9400</v>
      </c>
      <c r="L42" s="818" t="s">
        <v>1149</v>
      </c>
      <c r="M42" s="820">
        <v>-10</v>
      </c>
      <c r="N42" s="820">
        <v>93714.51</v>
      </c>
      <c r="O42" s="818" t="s">
        <v>1149</v>
      </c>
      <c r="P42" s="819">
        <v>42976</v>
      </c>
      <c r="Q42" s="818"/>
      <c r="R42" s="818"/>
      <c r="S42" s="818" t="s">
        <v>1215</v>
      </c>
      <c r="T42" s="818"/>
      <c r="U42" s="818"/>
      <c r="V42" s="821"/>
      <c r="W42" s="821"/>
      <c r="X42" s="818" t="s">
        <v>358</v>
      </c>
      <c r="Y42" s="818"/>
      <c r="Z42" s="821"/>
      <c r="AA42" s="818"/>
      <c r="AB42" s="821"/>
      <c r="AC42" s="818" t="s">
        <v>1228</v>
      </c>
      <c r="AD42" s="818" t="s">
        <v>1224</v>
      </c>
    </row>
    <row r="43" spans="1:30" x14ac:dyDescent="0.25">
      <c r="A43" s="818" t="s">
        <v>1229</v>
      </c>
      <c r="B43" s="818" t="s">
        <v>1142</v>
      </c>
      <c r="C43" s="818"/>
      <c r="D43" s="818" t="s">
        <v>1220</v>
      </c>
      <c r="E43" s="818" t="s">
        <v>1221</v>
      </c>
      <c r="F43" s="818" t="s">
        <v>1145</v>
      </c>
      <c r="G43" s="819">
        <v>42976.558854166666</v>
      </c>
      <c r="H43" s="819">
        <v>42976</v>
      </c>
      <c r="I43" s="818" t="s">
        <v>1222</v>
      </c>
      <c r="J43" s="818" t="s">
        <v>1174</v>
      </c>
      <c r="K43" s="820">
        <v>9399</v>
      </c>
      <c r="L43" s="818" t="s">
        <v>1149</v>
      </c>
      <c r="M43" s="820">
        <v>-50</v>
      </c>
      <c r="N43" s="820">
        <v>468522.75750000001</v>
      </c>
      <c r="O43" s="818" t="s">
        <v>1149</v>
      </c>
      <c r="P43" s="819">
        <v>42976</v>
      </c>
      <c r="Q43" s="818"/>
      <c r="R43" s="818"/>
      <c r="S43" s="818" t="s">
        <v>1215</v>
      </c>
      <c r="T43" s="818"/>
      <c r="U43" s="818"/>
      <c r="V43" s="821"/>
      <c r="W43" s="821"/>
      <c r="X43" s="818" t="s">
        <v>358</v>
      </c>
      <c r="Y43" s="818"/>
      <c r="Z43" s="821"/>
      <c r="AA43" s="818"/>
      <c r="AB43" s="821"/>
      <c r="AC43" s="818" t="s">
        <v>1230</v>
      </c>
      <c r="AD43" s="818" t="s">
        <v>1224</v>
      </c>
    </row>
    <row r="44" spans="1:30" x14ac:dyDescent="0.25">
      <c r="A44" s="818" t="s">
        <v>1231</v>
      </c>
      <c r="B44" s="818" t="s">
        <v>1142</v>
      </c>
      <c r="C44" s="818"/>
      <c r="D44" s="818" t="s">
        <v>1220</v>
      </c>
      <c r="E44" s="818" t="s">
        <v>1221</v>
      </c>
      <c r="F44" s="818" t="s">
        <v>1145</v>
      </c>
      <c r="G44" s="819">
        <v>42976.558854166666</v>
      </c>
      <c r="H44" s="819">
        <v>42976</v>
      </c>
      <c r="I44" s="818" t="s">
        <v>1222</v>
      </c>
      <c r="J44" s="818" t="s">
        <v>1174</v>
      </c>
      <c r="K44" s="820">
        <v>9399</v>
      </c>
      <c r="L44" s="818" t="s">
        <v>1149</v>
      </c>
      <c r="M44" s="820">
        <v>-13</v>
      </c>
      <c r="N44" s="820">
        <v>121815.91835000001</v>
      </c>
      <c r="O44" s="818" t="s">
        <v>1149</v>
      </c>
      <c r="P44" s="819">
        <v>42976</v>
      </c>
      <c r="Q44" s="818"/>
      <c r="R44" s="818"/>
      <c r="S44" s="818" t="s">
        <v>1215</v>
      </c>
      <c r="T44" s="818"/>
      <c r="U44" s="818"/>
      <c r="V44" s="821"/>
      <c r="W44" s="821"/>
      <c r="X44" s="818" t="s">
        <v>358</v>
      </c>
      <c r="Y44" s="818"/>
      <c r="Z44" s="821"/>
      <c r="AA44" s="818"/>
      <c r="AB44" s="821"/>
      <c r="AC44" s="818" t="s">
        <v>1232</v>
      </c>
      <c r="AD44" s="818" t="s">
        <v>1224</v>
      </c>
    </row>
    <row r="45" spans="1:30" x14ac:dyDescent="0.25">
      <c r="A45" s="818" t="s">
        <v>1233</v>
      </c>
      <c r="B45" s="818" t="s">
        <v>1142</v>
      </c>
      <c r="C45" s="818"/>
      <c r="D45" s="818" t="s">
        <v>1220</v>
      </c>
      <c r="E45" s="818" t="s">
        <v>1221</v>
      </c>
      <c r="F45" s="818" t="s">
        <v>1145</v>
      </c>
      <c r="G45" s="819">
        <v>42976.558854166666</v>
      </c>
      <c r="H45" s="819">
        <v>42976</v>
      </c>
      <c r="I45" s="818" t="s">
        <v>1222</v>
      </c>
      <c r="J45" s="818" t="s">
        <v>1174</v>
      </c>
      <c r="K45" s="820">
        <v>9399</v>
      </c>
      <c r="L45" s="818" t="s">
        <v>1149</v>
      </c>
      <c r="M45" s="820">
        <v>-47</v>
      </c>
      <c r="N45" s="820">
        <v>440411.40865</v>
      </c>
      <c r="O45" s="818" t="s">
        <v>1149</v>
      </c>
      <c r="P45" s="819">
        <v>42976</v>
      </c>
      <c r="Q45" s="818"/>
      <c r="R45" s="818"/>
      <c r="S45" s="818" t="s">
        <v>1215</v>
      </c>
      <c r="T45" s="818"/>
      <c r="U45" s="818"/>
      <c r="V45" s="821"/>
      <c r="W45" s="821"/>
      <c r="X45" s="818" t="s">
        <v>358</v>
      </c>
      <c r="Y45" s="818"/>
      <c r="Z45" s="821"/>
      <c r="AA45" s="818"/>
      <c r="AB45" s="821"/>
      <c r="AC45" s="818" t="s">
        <v>1234</v>
      </c>
      <c r="AD45" s="818" t="s">
        <v>1224</v>
      </c>
    </row>
    <row r="46" spans="1:30" x14ac:dyDescent="0.25">
      <c r="A46" s="818" t="s">
        <v>1235</v>
      </c>
      <c r="B46" s="818" t="s">
        <v>1142</v>
      </c>
      <c r="C46" s="818"/>
      <c r="D46" s="818" t="s">
        <v>1220</v>
      </c>
      <c r="E46" s="818" t="s">
        <v>1221</v>
      </c>
      <c r="F46" s="818" t="s">
        <v>1145</v>
      </c>
      <c r="G46" s="819">
        <v>42976.558854166666</v>
      </c>
      <c r="H46" s="819">
        <v>42976</v>
      </c>
      <c r="I46" s="818" t="s">
        <v>1222</v>
      </c>
      <c r="J46" s="818" t="s">
        <v>1174</v>
      </c>
      <c r="K46" s="820">
        <v>9398</v>
      </c>
      <c r="L46" s="818" t="s">
        <v>1149</v>
      </c>
      <c r="M46" s="820">
        <v>-25</v>
      </c>
      <c r="N46" s="820">
        <v>234236.44750000001</v>
      </c>
      <c r="O46" s="818" t="s">
        <v>1149</v>
      </c>
      <c r="P46" s="819">
        <v>42976</v>
      </c>
      <c r="Q46" s="818"/>
      <c r="R46" s="818"/>
      <c r="S46" s="818" t="s">
        <v>1215</v>
      </c>
      <c r="T46" s="818"/>
      <c r="U46" s="818"/>
      <c r="V46" s="821"/>
      <c r="W46" s="821"/>
      <c r="X46" s="818" t="s">
        <v>358</v>
      </c>
      <c r="Y46" s="818"/>
      <c r="Z46" s="821"/>
      <c r="AA46" s="818"/>
      <c r="AB46" s="821"/>
      <c r="AC46" s="818" t="s">
        <v>1236</v>
      </c>
      <c r="AD46" s="818" t="s">
        <v>1224</v>
      </c>
    </row>
    <row r="47" spans="1:30" x14ac:dyDescent="0.25">
      <c r="A47" s="818" t="s">
        <v>1237</v>
      </c>
      <c r="B47" s="818" t="s">
        <v>1142</v>
      </c>
      <c r="C47" s="818"/>
      <c r="D47" s="818" t="s">
        <v>1220</v>
      </c>
      <c r="E47" s="818" t="s">
        <v>1221</v>
      </c>
      <c r="F47" s="818" t="s">
        <v>1145</v>
      </c>
      <c r="G47" s="819">
        <v>42976.558854166666</v>
      </c>
      <c r="H47" s="819">
        <v>42976</v>
      </c>
      <c r="I47" s="818" t="s">
        <v>1222</v>
      </c>
      <c r="J47" s="818" t="s">
        <v>1174</v>
      </c>
      <c r="K47" s="820">
        <v>9398</v>
      </c>
      <c r="L47" s="818" t="s">
        <v>1149</v>
      </c>
      <c r="M47" s="820">
        <v>-6</v>
      </c>
      <c r="N47" s="820">
        <v>56216.755400000002</v>
      </c>
      <c r="O47" s="818" t="s">
        <v>1149</v>
      </c>
      <c r="P47" s="819">
        <v>42976</v>
      </c>
      <c r="Q47" s="818"/>
      <c r="R47" s="818"/>
      <c r="S47" s="818" t="s">
        <v>1215</v>
      </c>
      <c r="T47" s="818"/>
      <c r="U47" s="818"/>
      <c r="V47" s="821"/>
      <c r="W47" s="821"/>
      <c r="X47" s="818" t="s">
        <v>358</v>
      </c>
      <c r="Y47" s="818"/>
      <c r="Z47" s="821"/>
      <c r="AA47" s="818"/>
      <c r="AB47" s="821"/>
      <c r="AC47" s="818" t="s">
        <v>1238</v>
      </c>
      <c r="AD47" s="818" t="s">
        <v>1224</v>
      </c>
    </row>
    <row r="48" spans="1:30" x14ac:dyDescent="0.25">
      <c r="A48" s="818" t="s">
        <v>1239</v>
      </c>
      <c r="B48" s="818" t="s">
        <v>1142</v>
      </c>
      <c r="C48" s="818"/>
      <c r="D48" s="818" t="s">
        <v>1220</v>
      </c>
      <c r="E48" s="818" t="s">
        <v>1221</v>
      </c>
      <c r="F48" s="818" t="s">
        <v>1145</v>
      </c>
      <c r="G48" s="819">
        <v>42976.558854166666</v>
      </c>
      <c r="H48" s="819">
        <v>42976</v>
      </c>
      <c r="I48" s="818" t="s">
        <v>1222</v>
      </c>
      <c r="J48" s="818" t="s">
        <v>1174</v>
      </c>
      <c r="K48" s="820">
        <v>9398</v>
      </c>
      <c r="L48" s="818" t="s">
        <v>1149</v>
      </c>
      <c r="M48" s="820">
        <v>-130</v>
      </c>
      <c r="N48" s="820">
        <v>1218029.5870000001</v>
      </c>
      <c r="O48" s="818" t="s">
        <v>1149</v>
      </c>
      <c r="P48" s="819">
        <v>42976</v>
      </c>
      <c r="Q48" s="818"/>
      <c r="R48" s="818"/>
      <c r="S48" s="818" t="s">
        <v>1215</v>
      </c>
      <c r="T48" s="818"/>
      <c r="U48" s="818"/>
      <c r="V48" s="821"/>
      <c r="W48" s="821"/>
      <c r="X48" s="818" t="s">
        <v>358</v>
      </c>
      <c r="Y48" s="818"/>
      <c r="Z48" s="821"/>
      <c r="AA48" s="818"/>
      <c r="AB48" s="821"/>
      <c r="AC48" s="818" t="s">
        <v>1240</v>
      </c>
      <c r="AD48" s="818" t="s">
        <v>1224</v>
      </c>
    </row>
    <row r="49" spans="1:30" x14ac:dyDescent="0.25">
      <c r="A49" s="818" t="s">
        <v>1241</v>
      </c>
      <c r="B49" s="818" t="s">
        <v>1142</v>
      </c>
      <c r="C49" s="818"/>
      <c r="D49" s="818" t="s">
        <v>1220</v>
      </c>
      <c r="E49" s="818" t="s">
        <v>1221</v>
      </c>
      <c r="F49" s="818" t="s">
        <v>1145</v>
      </c>
      <c r="G49" s="819">
        <v>42976.558854166666</v>
      </c>
      <c r="H49" s="819">
        <v>42976</v>
      </c>
      <c r="I49" s="818" t="s">
        <v>1222</v>
      </c>
      <c r="J49" s="818" t="s">
        <v>1174</v>
      </c>
      <c r="K49" s="820">
        <v>9397</v>
      </c>
      <c r="L49" s="818" t="s">
        <v>1149</v>
      </c>
      <c r="M49" s="820">
        <v>-55</v>
      </c>
      <c r="N49" s="820">
        <v>515265.37675</v>
      </c>
      <c r="O49" s="818" t="s">
        <v>1149</v>
      </c>
      <c r="P49" s="819">
        <v>42976</v>
      </c>
      <c r="Q49" s="818"/>
      <c r="R49" s="818"/>
      <c r="S49" s="818" t="s">
        <v>1215</v>
      </c>
      <c r="T49" s="818"/>
      <c r="U49" s="818"/>
      <c r="V49" s="821"/>
      <c r="W49" s="821"/>
      <c r="X49" s="818" t="s">
        <v>358</v>
      </c>
      <c r="Y49" s="818"/>
      <c r="Z49" s="821"/>
      <c r="AA49" s="818"/>
      <c r="AB49" s="821"/>
      <c r="AC49" s="818" t="s">
        <v>1242</v>
      </c>
      <c r="AD49" s="818" t="s">
        <v>1224</v>
      </c>
    </row>
    <row r="50" spans="1:30" x14ac:dyDescent="0.25">
      <c r="A50" s="818" t="s">
        <v>1243</v>
      </c>
      <c r="B50" s="818" t="s">
        <v>1142</v>
      </c>
      <c r="C50" s="818"/>
      <c r="D50" s="818" t="s">
        <v>1220</v>
      </c>
      <c r="E50" s="818" t="s">
        <v>1221</v>
      </c>
      <c r="F50" s="818" t="s">
        <v>1145</v>
      </c>
      <c r="G50" s="819">
        <v>42976.558865740742</v>
      </c>
      <c r="H50" s="819">
        <v>42976</v>
      </c>
      <c r="I50" s="818" t="s">
        <v>1222</v>
      </c>
      <c r="J50" s="818" t="s">
        <v>1174</v>
      </c>
      <c r="K50" s="820">
        <v>9397</v>
      </c>
      <c r="L50" s="818" t="s">
        <v>1149</v>
      </c>
      <c r="M50" s="820">
        <v>-250</v>
      </c>
      <c r="N50" s="820">
        <v>2342115.3325</v>
      </c>
      <c r="O50" s="818" t="s">
        <v>1149</v>
      </c>
      <c r="P50" s="819">
        <v>42976</v>
      </c>
      <c r="Q50" s="818"/>
      <c r="R50" s="818"/>
      <c r="S50" s="818" t="s">
        <v>1215</v>
      </c>
      <c r="T50" s="818"/>
      <c r="U50" s="818"/>
      <c r="V50" s="821"/>
      <c r="W50" s="821"/>
      <c r="X50" s="818" t="s">
        <v>358</v>
      </c>
      <c r="Y50" s="818"/>
      <c r="Z50" s="821"/>
      <c r="AA50" s="818"/>
      <c r="AB50" s="821"/>
      <c r="AC50" s="818" t="s">
        <v>1244</v>
      </c>
      <c r="AD50" s="818" t="s">
        <v>1224</v>
      </c>
    </row>
    <row r="51" spans="1:30" x14ac:dyDescent="0.25">
      <c r="A51" s="818" t="s">
        <v>1245</v>
      </c>
      <c r="B51" s="818" t="s">
        <v>1142</v>
      </c>
      <c r="C51" s="818"/>
      <c r="D51" s="818" t="s">
        <v>1220</v>
      </c>
      <c r="E51" s="818" t="s">
        <v>1221</v>
      </c>
      <c r="F51" s="818" t="s">
        <v>1145</v>
      </c>
      <c r="G51" s="819">
        <v>42976.558854166666</v>
      </c>
      <c r="H51" s="819">
        <v>42976</v>
      </c>
      <c r="I51" s="818" t="s">
        <v>1222</v>
      </c>
      <c r="J51" s="818" t="s">
        <v>1174</v>
      </c>
      <c r="K51" s="820">
        <v>9401</v>
      </c>
      <c r="L51" s="818" t="s">
        <v>1149</v>
      </c>
      <c r="M51" s="820">
        <v>-14</v>
      </c>
      <c r="N51" s="820">
        <v>131214.2787</v>
      </c>
      <c r="O51" s="818" t="s">
        <v>1149</v>
      </c>
      <c r="P51" s="819">
        <v>42976</v>
      </c>
      <c r="Q51" s="818"/>
      <c r="R51" s="818"/>
      <c r="S51" s="818" t="s">
        <v>1215</v>
      </c>
      <c r="T51" s="818"/>
      <c r="U51" s="818"/>
      <c r="V51" s="821"/>
      <c r="W51" s="821"/>
      <c r="X51" s="818" t="s">
        <v>358</v>
      </c>
      <c r="Y51" s="818"/>
      <c r="Z51" s="821"/>
      <c r="AA51" s="818"/>
      <c r="AB51" s="821"/>
      <c r="AC51" s="818" t="s">
        <v>1246</v>
      </c>
      <c r="AD51" s="818" t="s">
        <v>1224</v>
      </c>
    </row>
    <row r="52" spans="1:30" x14ac:dyDescent="0.25">
      <c r="A52" s="818" t="s">
        <v>1247</v>
      </c>
      <c r="B52" s="818" t="s">
        <v>1142</v>
      </c>
      <c r="C52" s="818"/>
      <c r="D52" s="818" t="s">
        <v>1220</v>
      </c>
      <c r="E52" s="818" t="s">
        <v>1221</v>
      </c>
      <c r="F52" s="818" t="s">
        <v>1145</v>
      </c>
      <c r="G52" s="819">
        <v>42976.558865740742</v>
      </c>
      <c r="H52" s="819">
        <v>42976</v>
      </c>
      <c r="I52" s="818" t="s">
        <v>1222</v>
      </c>
      <c r="J52" s="818" t="s">
        <v>1174</v>
      </c>
      <c r="K52" s="820">
        <v>9396</v>
      </c>
      <c r="L52" s="818" t="s">
        <v>1149</v>
      </c>
      <c r="M52" s="820">
        <v>-20</v>
      </c>
      <c r="N52" s="820">
        <v>187349.28599999999</v>
      </c>
      <c r="O52" s="818" t="s">
        <v>1149</v>
      </c>
      <c r="P52" s="819">
        <v>42976</v>
      </c>
      <c r="Q52" s="818"/>
      <c r="R52" s="818"/>
      <c r="S52" s="818" t="s">
        <v>1215</v>
      </c>
      <c r="T52" s="818"/>
      <c r="U52" s="818"/>
      <c r="V52" s="821"/>
      <c r="W52" s="821"/>
      <c r="X52" s="818" t="s">
        <v>358</v>
      </c>
      <c r="Y52" s="818"/>
      <c r="Z52" s="821"/>
      <c r="AA52" s="818"/>
      <c r="AB52" s="821"/>
      <c r="AC52" s="818" t="s">
        <v>1248</v>
      </c>
      <c r="AD52" s="818" t="s">
        <v>1224</v>
      </c>
    </row>
    <row r="53" spans="1:30" x14ac:dyDescent="0.25">
      <c r="A53" s="818" t="s">
        <v>1249</v>
      </c>
      <c r="B53" s="818" t="s">
        <v>1142</v>
      </c>
      <c r="C53" s="818"/>
      <c r="D53" s="818" t="s">
        <v>1220</v>
      </c>
      <c r="E53" s="818" t="s">
        <v>1221</v>
      </c>
      <c r="F53" s="818" t="s">
        <v>1145</v>
      </c>
      <c r="G53" s="819">
        <v>42976.558865740742</v>
      </c>
      <c r="H53" s="819">
        <v>42976</v>
      </c>
      <c r="I53" s="818" t="s">
        <v>1222</v>
      </c>
      <c r="J53" s="818" t="s">
        <v>1174</v>
      </c>
      <c r="K53" s="820">
        <v>9395</v>
      </c>
      <c r="L53" s="818" t="s">
        <v>1149</v>
      </c>
      <c r="M53" s="820">
        <v>-56</v>
      </c>
      <c r="N53" s="820">
        <v>524522.17599999998</v>
      </c>
      <c r="O53" s="818" t="s">
        <v>1149</v>
      </c>
      <c r="P53" s="819">
        <v>42976</v>
      </c>
      <c r="Q53" s="818"/>
      <c r="R53" s="818"/>
      <c r="S53" s="818" t="s">
        <v>1215</v>
      </c>
      <c r="T53" s="818"/>
      <c r="U53" s="818"/>
      <c r="V53" s="821"/>
      <c r="W53" s="821"/>
      <c r="X53" s="818" t="s">
        <v>358</v>
      </c>
      <c r="Y53" s="818"/>
      <c r="Z53" s="821"/>
      <c r="AA53" s="818"/>
      <c r="AB53" s="821"/>
      <c r="AC53" s="818" t="s">
        <v>1250</v>
      </c>
      <c r="AD53" s="818" t="s">
        <v>1224</v>
      </c>
    </row>
    <row r="54" spans="1:30" x14ac:dyDescent="0.25">
      <c r="A54" s="818" t="s">
        <v>1251</v>
      </c>
      <c r="B54" s="818" t="s">
        <v>1142</v>
      </c>
      <c r="C54" s="818"/>
      <c r="D54" s="818" t="s">
        <v>1220</v>
      </c>
      <c r="E54" s="818" t="s">
        <v>1221</v>
      </c>
      <c r="F54" s="818" t="s">
        <v>1145</v>
      </c>
      <c r="G54" s="819">
        <v>42976.558865740742</v>
      </c>
      <c r="H54" s="819">
        <v>42976</v>
      </c>
      <c r="I54" s="818" t="s">
        <v>1222</v>
      </c>
      <c r="J54" s="818" t="s">
        <v>1174</v>
      </c>
      <c r="K54" s="820">
        <v>9395</v>
      </c>
      <c r="L54" s="818" t="s">
        <v>1149</v>
      </c>
      <c r="M54" s="820">
        <v>-70</v>
      </c>
      <c r="N54" s="820">
        <v>655652.71250000002</v>
      </c>
      <c r="O54" s="818" t="s">
        <v>1149</v>
      </c>
      <c r="P54" s="819">
        <v>42976</v>
      </c>
      <c r="Q54" s="818"/>
      <c r="R54" s="818"/>
      <c r="S54" s="818" t="s">
        <v>1215</v>
      </c>
      <c r="T54" s="818"/>
      <c r="U54" s="818"/>
      <c r="V54" s="821"/>
      <c r="W54" s="821"/>
      <c r="X54" s="818" t="s">
        <v>358</v>
      </c>
      <c r="Y54" s="818"/>
      <c r="Z54" s="821"/>
      <c r="AA54" s="818"/>
      <c r="AB54" s="821"/>
      <c r="AC54" s="818" t="s">
        <v>1252</v>
      </c>
      <c r="AD54" s="818" t="s">
        <v>1224</v>
      </c>
    </row>
    <row r="55" spans="1:30" x14ac:dyDescent="0.25">
      <c r="A55" s="818" t="s">
        <v>1253</v>
      </c>
      <c r="B55" s="818" t="s">
        <v>1142</v>
      </c>
      <c r="C55" s="818"/>
      <c r="D55" s="818" t="s">
        <v>1220</v>
      </c>
      <c r="E55" s="818" t="s">
        <v>1221</v>
      </c>
      <c r="F55" s="818" t="s">
        <v>1145</v>
      </c>
      <c r="G55" s="819">
        <v>42976.558854166666</v>
      </c>
      <c r="H55" s="819">
        <v>42976</v>
      </c>
      <c r="I55" s="818" t="s">
        <v>1222</v>
      </c>
      <c r="J55" s="818" t="s">
        <v>1174</v>
      </c>
      <c r="K55" s="820">
        <v>9400</v>
      </c>
      <c r="L55" s="818" t="s">
        <v>1149</v>
      </c>
      <c r="M55" s="820">
        <v>-2</v>
      </c>
      <c r="N55" s="820">
        <v>18742.89</v>
      </c>
      <c r="O55" s="818" t="s">
        <v>1149</v>
      </c>
      <c r="P55" s="819">
        <v>42976</v>
      </c>
      <c r="Q55" s="818"/>
      <c r="R55" s="818"/>
      <c r="S55" s="818" t="s">
        <v>1215</v>
      </c>
      <c r="T55" s="818"/>
      <c r="U55" s="818"/>
      <c r="V55" s="821"/>
      <c r="W55" s="821"/>
      <c r="X55" s="818" t="s">
        <v>358</v>
      </c>
      <c r="Y55" s="818"/>
      <c r="Z55" s="821"/>
      <c r="AA55" s="818"/>
      <c r="AB55" s="821"/>
      <c r="AC55" s="818" t="s">
        <v>1254</v>
      </c>
      <c r="AD55" s="818" t="s">
        <v>1224</v>
      </c>
    </row>
    <row r="56" spans="1:30" x14ac:dyDescent="0.25">
      <c r="A56" s="818" t="s">
        <v>1255</v>
      </c>
      <c r="B56" s="818" t="s">
        <v>1142</v>
      </c>
      <c r="C56" s="818"/>
      <c r="D56" s="818" t="s">
        <v>1220</v>
      </c>
      <c r="E56" s="818" t="s">
        <v>1221</v>
      </c>
      <c r="F56" s="818" t="s">
        <v>1145</v>
      </c>
      <c r="G56" s="819">
        <v>42976.558865740742</v>
      </c>
      <c r="H56" s="819">
        <v>42976</v>
      </c>
      <c r="I56" s="818" t="s">
        <v>1222</v>
      </c>
      <c r="J56" s="818" t="s">
        <v>1174</v>
      </c>
      <c r="K56" s="820">
        <v>9394</v>
      </c>
      <c r="L56" s="818" t="s">
        <v>1149</v>
      </c>
      <c r="M56" s="820">
        <v>-6</v>
      </c>
      <c r="N56" s="820">
        <v>56192.826200000003</v>
      </c>
      <c r="O56" s="818" t="s">
        <v>1149</v>
      </c>
      <c r="P56" s="819">
        <v>42976</v>
      </c>
      <c r="Q56" s="818"/>
      <c r="R56" s="818"/>
      <c r="S56" s="818" t="s">
        <v>1215</v>
      </c>
      <c r="T56" s="818"/>
      <c r="U56" s="818"/>
      <c r="V56" s="821"/>
      <c r="W56" s="821"/>
      <c r="X56" s="818" t="s">
        <v>358</v>
      </c>
      <c r="Y56" s="818"/>
      <c r="Z56" s="821"/>
      <c r="AA56" s="818"/>
      <c r="AB56" s="821"/>
      <c r="AC56" s="818" t="s">
        <v>1256</v>
      </c>
      <c r="AD56" s="818" t="s">
        <v>1224</v>
      </c>
    </row>
    <row r="57" spans="1:30" x14ac:dyDescent="0.25">
      <c r="A57" s="818" t="s">
        <v>1257</v>
      </c>
      <c r="B57" s="818" t="s">
        <v>1142</v>
      </c>
      <c r="C57" s="818"/>
      <c r="D57" s="818" t="s">
        <v>1220</v>
      </c>
      <c r="E57" s="818" t="s">
        <v>1221</v>
      </c>
      <c r="F57" s="818" t="s">
        <v>1145</v>
      </c>
      <c r="G57" s="819">
        <v>42976.558865740742</v>
      </c>
      <c r="H57" s="819">
        <v>42976</v>
      </c>
      <c r="I57" s="818" t="s">
        <v>1222</v>
      </c>
      <c r="J57" s="818" t="s">
        <v>1174</v>
      </c>
      <c r="K57" s="820">
        <v>9393</v>
      </c>
      <c r="L57" s="818" t="s">
        <v>1149</v>
      </c>
      <c r="M57" s="820">
        <v>-65</v>
      </c>
      <c r="N57" s="820">
        <v>608690.78225000005</v>
      </c>
      <c r="O57" s="818" t="s">
        <v>1149</v>
      </c>
      <c r="P57" s="819">
        <v>42976</v>
      </c>
      <c r="Q57" s="818"/>
      <c r="R57" s="818"/>
      <c r="S57" s="818" t="s">
        <v>1215</v>
      </c>
      <c r="T57" s="818"/>
      <c r="U57" s="818"/>
      <c r="V57" s="821"/>
      <c r="W57" s="821"/>
      <c r="X57" s="818" t="s">
        <v>358</v>
      </c>
      <c r="Y57" s="818"/>
      <c r="Z57" s="821"/>
      <c r="AA57" s="818"/>
      <c r="AB57" s="821"/>
      <c r="AC57" s="818" t="s">
        <v>1258</v>
      </c>
      <c r="AD57" s="818" t="s">
        <v>1224</v>
      </c>
    </row>
    <row r="58" spans="1:30" x14ac:dyDescent="0.25">
      <c r="A58" s="818" t="s">
        <v>1259</v>
      </c>
      <c r="B58" s="818" t="s">
        <v>1142</v>
      </c>
      <c r="C58" s="818"/>
      <c r="D58" s="818" t="s">
        <v>1220</v>
      </c>
      <c r="E58" s="818" t="s">
        <v>1221</v>
      </c>
      <c r="F58" s="818" t="s">
        <v>1145</v>
      </c>
      <c r="G58" s="819">
        <v>42976.558865740742</v>
      </c>
      <c r="H58" s="819">
        <v>42976</v>
      </c>
      <c r="I58" s="818" t="s">
        <v>1222</v>
      </c>
      <c r="J58" s="818" t="s">
        <v>1174</v>
      </c>
      <c r="K58" s="820">
        <v>9392</v>
      </c>
      <c r="L58" s="818" t="s">
        <v>1149</v>
      </c>
      <c r="M58" s="820">
        <v>-10</v>
      </c>
      <c r="N58" s="820">
        <v>93634.766000000003</v>
      </c>
      <c r="O58" s="818" t="s">
        <v>1149</v>
      </c>
      <c r="P58" s="819">
        <v>42976</v>
      </c>
      <c r="Q58" s="818"/>
      <c r="R58" s="818"/>
      <c r="S58" s="818" t="s">
        <v>1215</v>
      </c>
      <c r="T58" s="818"/>
      <c r="U58" s="818"/>
      <c r="V58" s="821"/>
      <c r="W58" s="821"/>
      <c r="X58" s="818" t="s">
        <v>358</v>
      </c>
      <c r="Y58" s="818"/>
      <c r="Z58" s="821"/>
      <c r="AA58" s="818"/>
      <c r="AB58" s="821"/>
      <c r="AC58" s="818" t="s">
        <v>1260</v>
      </c>
      <c r="AD58" s="818" t="s">
        <v>1224</v>
      </c>
    </row>
    <row r="59" spans="1:30" x14ac:dyDescent="0.25">
      <c r="A59" s="818" t="s">
        <v>1261</v>
      </c>
      <c r="B59" s="818" t="s">
        <v>1142</v>
      </c>
      <c r="C59" s="818"/>
      <c r="D59" s="818" t="s">
        <v>1220</v>
      </c>
      <c r="E59" s="818" t="s">
        <v>1221</v>
      </c>
      <c r="F59" s="818" t="s">
        <v>1145</v>
      </c>
      <c r="G59" s="819">
        <v>42976.558865740742</v>
      </c>
      <c r="H59" s="819">
        <v>42976</v>
      </c>
      <c r="I59" s="818" t="s">
        <v>1222</v>
      </c>
      <c r="J59" s="818" t="s">
        <v>1174</v>
      </c>
      <c r="K59" s="820">
        <v>9392</v>
      </c>
      <c r="L59" s="818" t="s">
        <v>1149</v>
      </c>
      <c r="M59" s="820">
        <v>-30</v>
      </c>
      <c r="N59" s="820">
        <v>280904.288</v>
      </c>
      <c r="O59" s="818" t="s">
        <v>1149</v>
      </c>
      <c r="P59" s="819">
        <v>42976</v>
      </c>
      <c r="Q59" s="818"/>
      <c r="R59" s="818"/>
      <c r="S59" s="818" t="s">
        <v>1215</v>
      </c>
      <c r="T59" s="818"/>
      <c r="U59" s="818"/>
      <c r="V59" s="821"/>
      <c r="W59" s="821"/>
      <c r="X59" s="818" t="s">
        <v>358</v>
      </c>
      <c r="Y59" s="818"/>
      <c r="Z59" s="821"/>
      <c r="AA59" s="818"/>
      <c r="AB59" s="821"/>
      <c r="AC59" s="818" t="s">
        <v>1262</v>
      </c>
      <c r="AD59" s="818" t="s">
        <v>1224</v>
      </c>
    </row>
    <row r="60" spans="1:30" x14ac:dyDescent="0.25">
      <c r="A60" s="818" t="s">
        <v>1263</v>
      </c>
      <c r="B60" s="818" t="s">
        <v>1142</v>
      </c>
      <c r="C60" s="818"/>
      <c r="D60" s="818" t="s">
        <v>1220</v>
      </c>
      <c r="E60" s="818" t="s">
        <v>1221</v>
      </c>
      <c r="F60" s="818" t="s">
        <v>1145</v>
      </c>
      <c r="G60" s="819">
        <v>42976.558865740742</v>
      </c>
      <c r="H60" s="819">
        <v>42976</v>
      </c>
      <c r="I60" s="818" t="s">
        <v>1222</v>
      </c>
      <c r="J60" s="818" t="s">
        <v>1174</v>
      </c>
      <c r="K60" s="820">
        <v>9392</v>
      </c>
      <c r="L60" s="818" t="s">
        <v>1149</v>
      </c>
      <c r="M60" s="820">
        <v>-37</v>
      </c>
      <c r="N60" s="820">
        <v>346448.63319999998</v>
      </c>
      <c r="O60" s="818" t="s">
        <v>1149</v>
      </c>
      <c r="P60" s="819">
        <v>42976</v>
      </c>
      <c r="Q60" s="818"/>
      <c r="R60" s="818"/>
      <c r="S60" s="818" t="s">
        <v>1215</v>
      </c>
      <c r="T60" s="818"/>
      <c r="U60" s="818"/>
      <c r="V60" s="821"/>
      <c r="W60" s="821"/>
      <c r="X60" s="818" t="s">
        <v>358</v>
      </c>
      <c r="Y60" s="818"/>
      <c r="Z60" s="821"/>
      <c r="AA60" s="818"/>
      <c r="AB60" s="821"/>
      <c r="AC60" s="818" t="s">
        <v>1264</v>
      </c>
      <c r="AD60" s="818" t="s">
        <v>1224</v>
      </c>
    </row>
    <row r="61" spans="1:30" x14ac:dyDescent="0.25">
      <c r="A61" s="818" t="s">
        <v>1265</v>
      </c>
      <c r="B61" s="818" t="s">
        <v>1142</v>
      </c>
      <c r="C61" s="818"/>
      <c r="D61" s="818" t="s">
        <v>1220</v>
      </c>
      <c r="E61" s="818" t="s">
        <v>1221</v>
      </c>
      <c r="F61" s="818" t="s">
        <v>1145</v>
      </c>
      <c r="G61" s="819">
        <v>42976.558865740742</v>
      </c>
      <c r="H61" s="819">
        <v>42976</v>
      </c>
      <c r="I61" s="818" t="s">
        <v>1222</v>
      </c>
      <c r="J61" s="818" t="s">
        <v>1174</v>
      </c>
      <c r="K61" s="820">
        <v>9392</v>
      </c>
      <c r="L61" s="818" t="s">
        <v>1149</v>
      </c>
      <c r="M61" s="820">
        <v>-30</v>
      </c>
      <c r="N61" s="820">
        <v>280904.288</v>
      </c>
      <c r="O61" s="818" t="s">
        <v>1149</v>
      </c>
      <c r="P61" s="819">
        <v>42976</v>
      </c>
      <c r="Q61" s="818"/>
      <c r="R61" s="818"/>
      <c r="S61" s="818" t="s">
        <v>1215</v>
      </c>
      <c r="T61" s="818"/>
      <c r="U61" s="818"/>
      <c r="V61" s="821"/>
      <c r="W61" s="821"/>
      <c r="X61" s="818" t="s">
        <v>358</v>
      </c>
      <c r="Y61" s="818"/>
      <c r="Z61" s="821"/>
      <c r="AA61" s="818"/>
      <c r="AB61" s="821"/>
      <c r="AC61" s="818" t="s">
        <v>1266</v>
      </c>
      <c r="AD61" s="818" t="s">
        <v>1224</v>
      </c>
    </row>
    <row r="62" spans="1:30" x14ac:dyDescent="0.25">
      <c r="A62" s="818" t="s">
        <v>1267</v>
      </c>
      <c r="B62" s="818" t="s">
        <v>1142</v>
      </c>
      <c r="C62" s="818"/>
      <c r="D62" s="818" t="s">
        <v>1220</v>
      </c>
      <c r="E62" s="818" t="s">
        <v>1221</v>
      </c>
      <c r="F62" s="818" t="s">
        <v>1145</v>
      </c>
      <c r="G62" s="819">
        <v>42976.558865740742</v>
      </c>
      <c r="H62" s="819">
        <v>42976</v>
      </c>
      <c r="I62" s="818" t="s">
        <v>1222</v>
      </c>
      <c r="J62" s="818" t="s">
        <v>1174</v>
      </c>
      <c r="K62" s="820">
        <v>9391</v>
      </c>
      <c r="L62" s="818" t="s">
        <v>1149</v>
      </c>
      <c r="M62" s="820">
        <v>-66</v>
      </c>
      <c r="N62" s="820">
        <v>617923.64229999995</v>
      </c>
      <c r="O62" s="818" t="s">
        <v>1149</v>
      </c>
      <c r="P62" s="819">
        <v>42976</v>
      </c>
      <c r="Q62" s="818"/>
      <c r="R62" s="818"/>
      <c r="S62" s="818" t="s">
        <v>1215</v>
      </c>
      <c r="T62" s="818"/>
      <c r="U62" s="818"/>
      <c r="V62" s="821"/>
      <c r="W62" s="821"/>
      <c r="X62" s="818" t="s">
        <v>358</v>
      </c>
      <c r="Y62" s="818"/>
      <c r="Z62" s="821"/>
      <c r="AA62" s="818"/>
      <c r="AB62" s="821"/>
      <c r="AC62" s="818" t="s">
        <v>1268</v>
      </c>
      <c r="AD62" s="818" t="s">
        <v>1224</v>
      </c>
    </row>
    <row r="63" spans="1:30" x14ac:dyDescent="0.25">
      <c r="A63" s="818" t="s">
        <v>1269</v>
      </c>
      <c r="B63" s="818" t="s">
        <v>1142</v>
      </c>
      <c r="C63" s="818"/>
      <c r="D63" s="818" t="s">
        <v>1220</v>
      </c>
      <c r="E63" s="818" t="s">
        <v>1221</v>
      </c>
      <c r="F63" s="818" t="s">
        <v>1145</v>
      </c>
      <c r="G63" s="819">
        <v>42976.558865740742</v>
      </c>
      <c r="H63" s="819">
        <v>42976</v>
      </c>
      <c r="I63" s="818" t="s">
        <v>1222</v>
      </c>
      <c r="J63" s="818" t="s">
        <v>1174</v>
      </c>
      <c r="K63" s="820">
        <v>9391</v>
      </c>
      <c r="L63" s="818" t="s">
        <v>1149</v>
      </c>
      <c r="M63" s="820">
        <v>-147</v>
      </c>
      <c r="N63" s="820">
        <v>1376284.49285</v>
      </c>
      <c r="O63" s="818" t="s">
        <v>1149</v>
      </c>
      <c r="P63" s="819">
        <v>42976</v>
      </c>
      <c r="Q63" s="818"/>
      <c r="R63" s="818"/>
      <c r="S63" s="818" t="s">
        <v>1215</v>
      </c>
      <c r="T63" s="818"/>
      <c r="U63" s="818"/>
      <c r="V63" s="821"/>
      <c r="W63" s="821"/>
      <c r="X63" s="818" t="s">
        <v>358</v>
      </c>
      <c r="Y63" s="818"/>
      <c r="Z63" s="821"/>
      <c r="AA63" s="818"/>
      <c r="AB63" s="821"/>
      <c r="AC63" s="818" t="s">
        <v>1270</v>
      </c>
      <c r="AD63" s="818" t="s">
        <v>1224</v>
      </c>
    </row>
    <row r="64" spans="1:30" x14ac:dyDescent="0.25">
      <c r="A64" s="818" t="s">
        <v>1271</v>
      </c>
      <c r="B64" s="818" t="s">
        <v>1142</v>
      </c>
      <c r="C64" s="818"/>
      <c r="D64" s="818" t="s">
        <v>1220</v>
      </c>
      <c r="E64" s="818" t="s">
        <v>1221</v>
      </c>
      <c r="F64" s="818" t="s">
        <v>1145</v>
      </c>
      <c r="G64" s="819">
        <v>42976.558865740742</v>
      </c>
      <c r="H64" s="819">
        <v>42976</v>
      </c>
      <c r="I64" s="818" t="s">
        <v>1222</v>
      </c>
      <c r="J64" s="818" t="s">
        <v>1174</v>
      </c>
      <c r="K64" s="820">
        <v>9390</v>
      </c>
      <c r="L64" s="818" t="s">
        <v>1149</v>
      </c>
      <c r="M64" s="820">
        <v>-50</v>
      </c>
      <c r="N64" s="820">
        <v>468074.125</v>
      </c>
      <c r="O64" s="818" t="s">
        <v>1149</v>
      </c>
      <c r="P64" s="819">
        <v>42976</v>
      </c>
      <c r="Q64" s="818"/>
      <c r="R64" s="818"/>
      <c r="S64" s="818" t="s">
        <v>1215</v>
      </c>
      <c r="T64" s="818"/>
      <c r="U64" s="818"/>
      <c r="V64" s="821"/>
      <c r="W64" s="821"/>
      <c r="X64" s="818" t="s">
        <v>358</v>
      </c>
      <c r="Y64" s="818"/>
      <c r="Z64" s="821"/>
      <c r="AA64" s="818"/>
      <c r="AB64" s="821"/>
      <c r="AC64" s="818" t="s">
        <v>1272</v>
      </c>
      <c r="AD64" s="818" t="s">
        <v>1224</v>
      </c>
    </row>
    <row r="65" spans="1:30" x14ac:dyDescent="0.25">
      <c r="A65" s="818" t="s">
        <v>1273</v>
      </c>
      <c r="B65" s="818" t="s">
        <v>1142</v>
      </c>
      <c r="C65" s="818"/>
      <c r="D65" s="818" t="s">
        <v>1220</v>
      </c>
      <c r="E65" s="818" t="s">
        <v>1221</v>
      </c>
      <c r="F65" s="818" t="s">
        <v>1145</v>
      </c>
      <c r="G65" s="819">
        <v>42976.558865740742</v>
      </c>
      <c r="H65" s="819">
        <v>42976</v>
      </c>
      <c r="I65" s="818" t="s">
        <v>1222</v>
      </c>
      <c r="J65" s="818" t="s">
        <v>1174</v>
      </c>
      <c r="K65" s="820">
        <v>9389</v>
      </c>
      <c r="L65" s="818" t="s">
        <v>1149</v>
      </c>
      <c r="M65" s="820">
        <v>-71</v>
      </c>
      <c r="N65" s="820">
        <v>664594.47395000001</v>
      </c>
      <c r="O65" s="818" t="s">
        <v>1149</v>
      </c>
      <c r="P65" s="819">
        <v>42976</v>
      </c>
      <c r="Q65" s="818"/>
      <c r="R65" s="818"/>
      <c r="S65" s="818" t="s">
        <v>1215</v>
      </c>
      <c r="T65" s="818"/>
      <c r="U65" s="818"/>
      <c r="V65" s="821"/>
      <c r="W65" s="821"/>
      <c r="X65" s="818" t="s">
        <v>358</v>
      </c>
      <c r="Y65" s="818"/>
      <c r="Z65" s="821"/>
      <c r="AA65" s="818"/>
      <c r="AB65" s="821"/>
      <c r="AC65" s="818" t="s">
        <v>1274</v>
      </c>
      <c r="AD65" s="818" t="s">
        <v>1224</v>
      </c>
    </row>
    <row r="66" spans="1:30" x14ac:dyDescent="0.25">
      <c r="A66" s="818" t="s">
        <v>1275</v>
      </c>
      <c r="B66" s="818" t="s">
        <v>1142</v>
      </c>
      <c r="C66" s="818"/>
      <c r="D66" s="818" t="s">
        <v>1220</v>
      </c>
      <c r="E66" s="818" t="s">
        <v>1221</v>
      </c>
      <c r="F66" s="818" t="s">
        <v>1145</v>
      </c>
      <c r="G66" s="819">
        <v>42976.558865740742</v>
      </c>
      <c r="H66" s="819">
        <v>42976</v>
      </c>
      <c r="I66" s="818" t="s">
        <v>1222</v>
      </c>
      <c r="J66" s="818" t="s">
        <v>1174</v>
      </c>
      <c r="K66" s="820">
        <v>9389</v>
      </c>
      <c r="L66" s="818" t="s">
        <v>1149</v>
      </c>
      <c r="M66" s="820">
        <v>-2</v>
      </c>
      <c r="N66" s="820">
        <v>18720.974900000001</v>
      </c>
      <c r="O66" s="818" t="s">
        <v>1149</v>
      </c>
      <c r="P66" s="819">
        <v>42976</v>
      </c>
      <c r="Q66" s="818"/>
      <c r="R66" s="818"/>
      <c r="S66" s="818" t="s">
        <v>1215</v>
      </c>
      <c r="T66" s="818"/>
      <c r="U66" s="818"/>
      <c r="V66" s="821"/>
      <c r="W66" s="821"/>
      <c r="X66" s="818" t="s">
        <v>358</v>
      </c>
      <c r="Y66" s="818"/>
      <c r="Z66" s="821"/>
      <c r="AA66" s="818"/>
      <c r="AB66" s="821"/>
      <c r="AC66" s="818" t="s">
        <v>1276</v>
      </c>
      <c r="AD66" s="818" t="s">
        <v>1224</v>
      </c>
    </row>
    <row r="67" spans="1:30" x14ac:dyDescent="0.25">
      <c r="A67" s="818" t="s">
        <v>1277</v>
      </c>
      <c r="B67" s="818" t="s">
        <v>1142</v>
      </c>
      <c r="C67" s="818"/>
      <c r="D67" s="818" t="s">
        <v>1220</v>
      </c>
      <c r="E67" s="818" t="s">
        <v>1221</v>
      </c>
      <c r="F67" s="818" t="s">
        <v>1145</v>
      </c>
      <c r="G67" s="819">
        <v>42976.558865740742</v>
      </c>
      <c r="H67" s="819">
        <v>42976</v>
      </c>
      <c r="I67" s="818" t="s">
        <v>1222</v>
      </c>
      <c r="J67" s="818" t="s">
        <v>1174</v>
      </c>
      <c r="K67" s="820">
        <v>9389</v>
      </c>
      <c r="L67" s="818" t="s">
        <v>1149</v>
      </c>
      <c r="M67" s="820">
        <v>-132</v>
      </c>
      <c r="N67" s="820">
        <v>1235584.1133999999</v>
      </c>
      <c r="O67" s="818" t="s">
        <v>1149</v>
      </c>
      <c r="P67" s="819">
        <v>42976</v>
      </c>
      <c r="Q67" s="818"/>
      <c r="R67" s="818"/>
      <c r="S67" s="818" t="s">
        <v>1215</v>
      </c>
      <c r="T67" s="818"/>
      <c r="U67" s="818"/>
      <c r="V67" s="821"/>
      <c r="W67" s="821"/>
      <c r="X67" s="818" t="s">
        <v>358</v>
      </c>
      <c r="Y67" s="818"/>
      <c r="Z67" s="821"/>
      <c r="AA67" s="818"/>
      <c r="AB67" s="821"/>
      <c r="AC67" s="818" t="s">
        <v>1278</v>
      </c>
      <c r="AD67" s="818" t="s">
        <v>1224</v>
      </c>
    </row>
    <row r="68" spans="1:30" x14ac:dyDescent="0.25">
      <c r="A68" s="818" t="s">
        <v>1279</v>
      </c>
      <c r="B68" s="818" t="s">
        <v>1142</v>
      </c>
      <c r="C68" s="818"/>
      <c r="D68" s="818" t="s">
        <v>1220</v>
      </c>
      <c r="E68" s="818" t="s">
        <v>1221</v>
      </c>
      <c r="F68" s="818" t="s">
        <v>1145</v>
      </c>
      <c r="G68" s="819">
        <v>42976.558854166666</v>
      </c>
      <c r="H68" s="819">
        <v>42976</v>
      </c>
      <c r="I68" s="818" t="s">
        <v>1222</v>
      </c>
      <c r="J68" s="818" t="s">
        <v>1174</v>
      </c>
      <c r="K68" s="820">
        <v>9401</v>
      </c>
      <c r="L68" s="818" t="s">
        <v>1149</v>
      </c>
      <c r="M68" s="820">
        <v>-4</v>
      </c>
      <c r="N68" s="820">
        <v>37489.798199999997</v>
      </c>
      <c r="O68" s="818" t="s">
        <v>1149</v>
      </c>
      <c r="P68" s="819">
        <v>42976</v>
      </c>
      <c r="Q68" s="818"/>
      <c r="R68" s="818"/>
      <c r="S68" s="818" t="s">
        <v>1215</v>
      </c>
      <c r="T68" s="818"/>
      <c r="U68" s="818"/>
      <c r="V68" s="821"/>
      <c r="W68" s="821"/>
      <c r="X68" s="818" t="s">
        <v>358</v>
      </c>
      <c r="Y68" s="818"/>
      <c r="Z68" s="821"/>
      <c r="AA68" s="818"/>
      <c r="AB68" s="821"/>
      <c r="AC68" s="818" t="s">
        <v>1280</v>
      </c>
      <c r="AD68" s="818" t="s">
        <v>1224</v>
      </c>
    </row>
    <row r="69" spans="1:30" x14ac:dyDescent="0.25">
      <c r="A69" s="818" t="s">
        <v>1281</v>
      </c>
      <c r="B69" s="818" t="s">
        <v>1142</v>
      </c>
      <c r="C69" s="818"/>
      <c r="D69" s="818" t="s">
        <v>1220</v>
      </c>
      <c r="E69" s="818" t="s">
        <v>1221</v>
      </c>
      <c r="F69" s="818" t="s">
        <v>1145</v>
      </c>
      <c r="G69" s="819">
        <v>42976.558842592596</v>
      </c>
      <c r="H69" s="819">
        <v>42976</v>
      </c>
      <c r="I69" s="818" t="s">
        <v>1222</v>
      </c>
      <c r="J69" s="818" t="s">
        <v>1174</v>
      </c>
      <c r="K69" s="820">
        <v>9401</v>
      </c>
      <c r="L69" s="818" t="s">
        <v>1149</v>
      </c>
      <c r="M69" s="820">
        <v>-1</v>
      </c>
      <c r="N69" s="820">
        <v>9372.4470500000007</v>
      </c>
      <c r="O69" s="818" t="s">
        <v>1149</v>
      </c>
      <c r="P69" s="819">
        <v>42976</v>
      </c>
      <c r="Q69" s="818"/>
      <c r="R69" s="818"/>
      <c r="S69" s="818" t="s">
        <v>1215</v>
      </c>
      <c r="T69" s="818"/>
      <c r="U69" s="818"/>
      <c r="V69" s="821"/>
      <c r="W69" s="821"/>
      <c r="X69" s="818" t="s">
        <v>358</v>
      </c>
      <c r="Y69" s="818"/>
      <c r="Z69" s="821"/>
      <c r="AA69" s="818"/>
      <c r="AB69" s="821"/>
      <c r="AC69" s="818" t="s">
        <v>1282</v>
      </c>
      <c r="AD69" s="818" t="s">
        <v>1224</v>
      </c>
    </row>
    <row r="70" spans="1:30" x14ac:dyDescent="0.25">
      <c r="A70" s="818" t="s">
        <v>1283</v>
      </c>
      <c r="B70" s="818" t="s">
        <v>1142</v>
      </c>
      <c r="C70" s="818"/>
      <c r="D70" s="818" t="s">
        <v>1220</v>
      </c>
      <c r="E70" s="818" t="s">
        <v>1221</v>
      </c>
      <c r="F70" s="818" t="s">
        <v>1145</v>
      </c>
      <c r="G70" s="819">
        <v>42976.558842592596</v>
      </c>
      <c r="H70" s="819">
        <v>42976</v>
      </c>
      <c r="I70" s="818" t="s">
        <v>1222</v>
      </c>
      <c r="J70" s="818" t="s">
        <v>1174</v>
      </c>
      <c r="K70" s="820">
        <v>9401</v>
      </c>
      <c r="L70" s="818" t="s">
        <v>1149</v>
      </c>
      <c r="M70" s="820">
        <v>-23</v>
      </c>
      <c r="N70" s="820">
        <v>215566.34215000001</v>
      </c>
      <c r="O70" s="818" t="s">
        <v>1149</v>
      </c>
      <c r="P70" s="819">
        <v>42976</v>
      </c>
      <c r="Q70" s="818"/>
      <c r="R70" s="818"/>
      <c r="S70" s="818" t="s">
        <v>1215</v>
      </c>
      <c r="T70" s="818"/>
      <c r="U70" s="818"/>
      <c r="V70" s="821"/>
      <c r="W70" s="821"/>
      <c r="X70" s="818" t="s">
        <v>358</v>
      </c>
      <c r="Y70" s="818"/>
      <c r="Z70" s="821"/>
      <c r="AA70" s="818"/>
      <c r="AB70" s="821"/>
      <c r="AC70" s="818" t="s">
        <v>1284</v>
      </c>
      <c r="AD70" s="818" t="s">
        <v>1224</v>
      </c>
    </row>
    <row r="71" spans="1:30" x14ac:dyDescent="0.25">
      <c r="A71" s="818" t="s">
        <v>1285</v>
      </c>
      <c r="B71" s="818" t="s">
        <v>1142</v>
      </c>
      <c r="C71" s="818"/>
      <c r="D71" s="818" t="s">
        <v>1220</v>
      </c>
      <c r="E71" s="818" t="s">
        <v>1221</v>
      </c>
      <c r="F71" s="818" t="s">
        <v>1145</v>
      </c>
      <c r="G71" s="819">
        <v>42976.558854166666</v>
      </c>
      <c r="H71" s="819">
        <v>42976</v>
      </c>
      <c r="I71" s="818" t="s">
        <v>1222</v>
      </c>
      <c r="J71" s="818" t="s">
        <v>1174</v>
      </c>
      <c r="K71" s="820">
        <v>9400</v>
      </c>
      <c r="L71" s="818" t="s">
        <v>1149</v>
      </c>
      <c r="M71" s="820">
        <v>-2</v>
      </c>
      <c r="N71" s="820">
        <v>18742.89</v>
      </c>
      <c r="O71" s="818" t="s">
        <v>1149</v>
      </c>
      <c r="P71" s="819">
        <v>42976</v>
      </c>
      <c r="Q71" s="818"/>
      <c r="R71" s="818"/>
      <c r="S71" s="818" t="s">
        <v>1215</v>
      </c>
      <c r="T71" s="818"/>
      <c r="U71" s="818"/>
      <c r="V71" s="821"/>
      <c r="W71" s="821"/>
      <c r="X71" s="818" t="s">
        <v>358</v>
      </c>
      <c r="Y71" s="818"/>
      <c r="Z71" s="821"/>
      <c r="AA71" s="818"/>
      <c r="AB71" s="821"/>
      <c r="AC71" s="818" t="s">
        <v>1286</v>
      </c>
      <c r="AD71" s="818" t="s">
        <v>1224</v>
      </c>
    </row>
    <row r="72" spans="1:30" x14ac:dyDescent="0.25">
      <c r="A72" s="818" t="s">
        <v>1287</v>
      </c>
      <c r="B72" s="818" t="s">
        <v>1142</v>
      </c>
      <c r="C72" s="818"/>
      <c r="D72" s="818" t="s">
        <v>1220</v>
      </c>
      <c r="E72" s="818" t="s">
        <v>1221</v>
      </c>
      <c r="F72" s="818" t="s">
        <v>1145</v>
      </c>
      <c r="G72" s="819">
        <v>42976.558854166666</v>
      </c>
      <c r="H72" s="819">
        <v>42976</v>
      </c>
      <c r="I72" s="818" t="s">
        <v>1222</v>
      </c>
      <c r="J72" s="818" t="s">
        <v>1174</v>
      </c>
      <c r="K72" s="820">
        <v>9400</v>
      </c>
      <c r="L72" s="818" t="s">
        <v>1149</v>
      </c>
      <c r="M72" s="820">
        <v>-1</v>
      </c>
      <c r="N72" s="820">
        <v>9371.4500000000007</v>
      </c>
      <c r="O72" s="818" t="s">
        <v>1149</v>
      </c>
      <c r="P72" s="819">
        <v>42976</v>
      </c>
      <c r="Q72" s="818"/>
      <c r="R72" s="818"/>
      <c r="S72" s="818" t="s">
        <v>1215</v>
      </c>
      <c r="T72" s="818"/>
      <c r="U72" s="818"/>
      <c r="V72" s="821"/>
      <c r="W72" s="821"/>
      <c r="X72" s="818" t="s">
        <v>358</v>
      </c>
      <c r="Y72" s="818"/>
      <c r="Z72" s="821"/>
      <c r="AA72" s="818"/>
      <c r="AB72" s="821"/>
      <c r="AC72" s="818" t="s">
        <v>1288</v>
      </c>
      <c r="AD72" s="818" t="s">
        <v>1224</v>
      </c>
    </row>
    <row r="73" spans="1:30" x14ac:dyDescent="0.25">
      <c r="A73" s="818" t="s">
        <v>1289</v>
      </c>
      <c r="B73" s="818" t="s">
        <v>1142</v>
      </c>
      <c r="C73" s="818"/>
      <c r="D73" s="818" t="s">
        <v>1220</v>
      </c>
      <c r="E73" s="818" t="s">
        <v>1221</v>
      </c>
      <c r="F73" s="818" t="s">
        <v>1145</v>
      </c>
      <c r="G73" s="819">
        <v>42976.558865740742</v>
      </c>
      <c r="H73" s="819">
        <v>42976</v>
      </c>
      <c r="I73" s="818" t="s">
        <v>1222</v>
      </c>
      <c r="J73" s="818" t="s">
        <v>1174</v>
      </c>
      <c r="K73" s="820">
        <v>9395</v>
      </c>
      <c r="L73" s="818" t="s">
        <v>1149</v>
      </c>
      <c r="M73" s="820">
        <v>-1</v>
      </c>
      <c r="N73" s="820">
        <v>9366.4647499999992</v>
      </c>
      <c r="O73" s="818" t="s">
        <v>1149</v>
      </c>
      <c r="P73" s="819">
        <v>42976</v>
      </c>
      <c r="Q73" s="818"/>
      <c r="R73" s="818"/>
      <c r="S73" s="818" t="s">
        <v>1215</v>
      </c>
      <c r="T73" s="818"/>
      <c r="U73" s="818"/>
      <c r="V73" s="821"/>
      <c r="W73" s="821"/>
      <c r="X73" s="818" t="s">
        <v>358</v>
      </c>
      <c r="Y73" s="818"/>
      <c r="Z73" s="821"/>
      <c r="AA73" s="818"/>
      <c r="AB73" s="821"/>
      <c r="AC73" s="818" t="s">
        <v>1290</v>
      </c>
      <c r="AD73" s="818" t="s">
        <v>1224</v>
      </c>
    </row>
    <row r="74" spans="1:30" x14ac:dyDescent="0.25">
      <c r="A74" s="818" t="s">
        <v>1291</v>
      </c>
      <c r="B74" s="818" t="s">
        <v>1142</v>
      </c>
      <c r="C74" s="818"/>
      <c r="D74" s="818" t="s">
        <v>1220</v>
      </c>
      <c r="E74" s="818" t="s">
        <v>1221</v>
      </c>
      <c r="F74" s="818" t="s">
        <v>1145</v>
      </c>
      <c r="G74" s="819">
        <v>42976.558854166666</v>
      </c>
      <c r="H74" s="819">
        <v>42976</v>
      </c>
      <c r="I74" s="818" t="s">
        <v>1222</v>
      </c>
      <c r="J74" s="818" t="s">
        <v>1174</v>
      </c>
      <c r="K74" s="820">
        <v>9401</v>
      </c>
      <c r="L74" s="818" t="s">
        <v>1149</v>
      </c>
      <c r="M74" s="820">
        <v>-6</v>
      </c>
      <c r="N74" s="820">
        <v>56234.6823</v>
      </c>
      <c r="O74" s="818" t="s">
        <v>1149</v>
      </c>
      <c r="P74" s="819">
        <v>42976</v>
      </c>
      <c r="Q74" s="818"/>
      <c r="R74" s="818"/>
      <c r="S74" s="818" t="s">
        <v>1215</v>
      </c>
      <c r="T74" s="818"/>
      <c r="U74" s="818"/>
      <c r="V74" s="821"/>
      <c r="W74" s="821"/>
      <c r="X74" s="818" t="s">
        <v>358</v>
      </c>
      <c r="Y74" s="818"/>
      <c r="Z74" s="821"/>
      <c r="AA74" s="818"/>
      <c r="AB74" s="821"/>
      <c r="AC74" s="818" t="s">
        <v>1292</v>
      </c>
      <c r="AD74" s="818" t="s">
        <v>1224</v>
      </c>
    </row>
    <row r="75" spans="1:30" x14ac:dyDescent="0.25">
      <c r="A75" s="818" t="s">
        <v>1293</v>
      </c>
      <c r="B75" s="818" t="s">
        <v>1142</v>
      </c>
      <c r="C75" s="818"/>
      <c r="D75" s="818" t="s">
        <v>1220</v>
      </c>
      <c r="E75" s="818" t="s">
        <v>1221</v>
      </c>
      <c r="F75" s="818" t="s">
        <v>1145</v>
      </c>
      <c r="G75" s="819">
        <v>42976.558865740742</v>
      </c>
      <c r="H75" s="819">
        <v>42976</v>
      </c>
      <c r="I75" s="818" t="s">
        <v>1222</v>
      </c>
      <c r="J75" s="818" t="s">
        <v>1174</v>
      </c>
      <c r="K75" s="820">
        <v>9396</v>
      </c>
      <c r="L75" s="818" t="s">
        <v>1149</v>
      </c>
      <c r="M75" s="820">
        <v>-25</v>
      </c>
      <c r="N75" s="820">
        <v>234186.595</v>
      </c>
      <c r="O75" s="818" t="s">
        <v>1149</v>
      </c>
      <c r="P75" s="819">
        <v>42976</v>
      </c>
      <c r="Q75" s="818"/>
      <c r="R75" s="818"/>
      <c r="S75" s="818" t="s">
        <v>1215</v>
      </c>
      <c r="T75" s="818"/>
      <c r="U75" s="818"/>
      <c r="V75" s="821"/>
      <c r="W75" s="821"/>
      <c r="X75" s="818" t="s">
        <v>358</v>
      </c>
      <c r="Y75" s="818"/>
      <c r="Z75" s="821"/>
      <c r="AA75" s="818"/>
      <c r="AB75" s="821"/>
      <c r="AC75" s="818" t="s">
        <v>1294</v>
      </c>
      <c r="AD75" s="818" t="s">
        <v>1224</v>
      </c>
    </row>
    <row r="76" spans="1:30" x14ac:dyDescent="0.25">
      <c r="A76" s="814" t="s">
        <v>1295</v>
      </c>
      <c r="B76" s="815"/>
      <c r="C76" s="815"/>
      <c r="D76" s="815"/>
      <c r="E76" s="815"/>
      <c r="F76" s="815"/>
      <c r="G76" s="815"/>
      <c r="H76" s="815"/>
      <c r="I76" s="815"/>
      <c r="J76" s="815"/>
      <c r="K76" s="816"/>
      <c r="L76" s="815"/>
      <c r="M76" s="817">
        <v>1000</v>
      </c>
      <c r="N76" s="816"/>
      <c r="O76" s="815"/>
      <c r="P76" s="815"/>
      <c r="Q76" s="815"/>
      <c r="R76" s="815"/>
      <c r="S76" s="815"/>
      <c r="T76" s="815"/>
      <c r="U76" s="815"/>
      <c r="V76" s="816"/>
      <c r="W76" s="816"/>
      <c r="X76" s="815"/>
      <c r="Y76" s="815"/>
      <c r="Z76" s="816"/>
      <c r="AA76" s="815"/>
      <c r="AB76" s="816"/>
      <c r="AC76" s="815"/>
      <c r="AD76" s="815"/>
    </row>
    <row r="77" spans="1:30" x14ac:dyDescent="0.25">
      <c r="A77" s="814" t="s">
        <v>1169</v>
      </c>
      <c r="B77" s="815"/>
      <c r="C77" s="815"/>
      <c r="D77" s="815"/>
      <c r="E77" s="815"/>
      <c r="F77" s="815"/>
      <c r="G77" s="815"/>
      <c r="H77" s="815"/>
      <c r="I77" s="815"/>
      <c r="J77" s="815"/>
      <c r="K77" s="816"/>
      <c r="L77" s="815"/>
      <c r="M77" s="817">
        <v>1000</v>
      </c>
      <c r="N77" s="816"/>
      <c r="O77" s="815"/>
      <c r="P77" s="815"/>
      <c r="Q77" s="815"/>
      <c r="R77" s="815"/>
      <c r="S77" s="815"/>
      <c r="T77" s="815"/>
      <c r="U77" s="815"/>
      <c r="V77" s="816"/>
      <c r="W77" s="816"/>
      <c r="X77" s="815"/>
      <c r="Y77" s="815"/>
      <c r="Z77" s="816"/>
      <c r="AA77" s="815"/>
      <c r="AB77" s="816"/>
      <c r="AC77" s="815"/>
      <c r="AD77" s="815"/>
    </row>
    <row r="78" spans="1:30" x14ac:dyDescent="0.25">
      <c r="A78" s="818" t="s">
        <v>1296</v>
      </c>
      <c r="B78" s="818" t="s">
        <v>1142</v>
      </c>
      <c r="C78" s="818"/>
      <c r="D78" s="818" t="s">
        <v>1209</v>
      </c>
      <c r="E78" s="818" t="s">
        <v>1209</v>
      </c>
      <c r="F78" s="818" t="s">
        <v>1182</v>
      </c>
      <c r="G78" s="819">
        <v>42976.688078703701</v>
      </c>
      <c r="H78" s="819">
        <v>42976</v>
      </c>
      <c r="I78" s="818" t="s">
        <v>1211</v>
      </c>
      <c r="J78" s="818" t="s">
        <v>1147</v>
      </c>
      <c r="K78" s="820">
        <v>217</v>
      </c>
      <c r="L78" s="818" t="s">
        <v>75</v>
      </c>
      <c r="M78" s="820">
        <v>1000</v>
      </c>
      <c r="N78" s="820">
        <v>217000</v>
      </c>
      <c r="O78" s="818" t="s">
        <v>75</v>
      </c>
      <c r="P78" s="819">
        <v>42976</v>
      </c>
      <c r="Q78" s="818" t="s">
        <v>1175</v>
      </c>
      <c r="R78" s="818" t="s">
        <v>1175</v>
      </c>
      <c r="S78" s="818" t="s">
        <v>1215</v>
      </c>
      <c r="T78" s="818"/>
      <c r="U78" s="818"/>
      <c r="V78" s="821"/>
      <c r="W78" s="821"/>
      <c r="X78" s="818" t="s">
        <v>1297</v>
      </c>
      <c r="Y78" s="818"/>
      <c r="Z78" s="821"/>
      <c r="AA78" s="818"/>
      <c r="AB78" s="821"/>
      <c r="AC78" s="818" t="s">
        <v>1298</v>
      </c>
      <c r="AD78" s="818"/>
    </row>
    <row r="79" spans="1:30" x14ac:dyDescent="0.25">
      <c r="A79" s="814" t="s">
        <v>1299</v>
      </c>
      <c r="B79" s="815"/>
      <c r="C79" s="815"/>
      <c r="D79" s="815"/>
      <c r="E79" s="815"/>
      <c r="F79" s="815"/>
      <c r="G79" s="815"/>
      <c r="H79" s="815"/>
      <c r="I79" s="815"/>
      <c r="J79" s="815"/>
      <c r="K79" s="816"/>
      <c r="L79" s="815"/>
      <c r="M79" s="817">
        <v>780</v>
      </c>
      <c r="N79" s="816"/>
      <c r="O79" s="815"/>
      <c r="P79" s="815"/>
      <c r="Q79" s="815"/>
      <c r="R79" s="815"/>
      <c r="S79" s="815"/>
      <c r="T79" s="815"/>
      <c r="U79" s="815"/>
      <c r="V79" s="816"/>
      <c r="W79" s="816"/>
      <c r="X79" s="815"/>
      <c r="Y79" s="815"/>
      <c r="Z79" s="816"/>
      <c r="AA79" s="815"/>
      <c r="AB79" s="816"/>
      <c r="AC79" s="815"/>
      <c r="AD79" s="815"/>
    </row>
    <row r="80" spans="1:30" x14ac:dyDescent="0.25">
      <c r="A80" s="814" t="s">
        <v>1169</v>
      </c>
      <c r="B80" s="815"/>
      <c r="C80" s="815"/>
      <c r="D80" s="815"/>
      <c r="E80" s="815"/>
      <c r="F80" s="815"/>
      <c r="G80" s="815"/>
      <c r="H80" s="815"/>
      <c r="I80" s="815"/>
      <c r="J80" s="815"/>
      <c r="K80" s="816"/>
      <c r="L80" s="815"/>
      <c r="M80" s="817">
        <v>780</v>
      </c>
      <c r="N80" s="816"/>
      <c r="O80" s="815"/>
      <c r="P80" s="815"/>
      <c r="Q80" s="815"/>
      <c r="R80" s="815"/>
      <c r="S80" s="815"/>
      <c r="T80" s="815"/>
      <c r="U80" s="815"/>
      <c r="V80" s="816"/>
      <c r="W80" s="816"/>
      <c r="X80" s="815"/>
      <c r="Y80" s="815"/>
      <c r="Z80" s="816"/>
      <c r="AA80" s="815"/>
      <c r="AB80" s="816"/>
      <c r="AC80" s="815"/>
      <c r="AD80" s="815"/>
    </row>
    <row r="81" spans="1:30" x14ac:dyDescent="0.25">
      <c r="A81" s="818" t="s">
        <v>1300</v>
      </c>
      <c r="B81" s="818" t="s">
        <v>1142</v>
      </c>
      <c r="C81" s="818"/>
      <c r="D81" s="818" t="s">
        <v>693</v>
      </c>
      <c r="E81" s="818" t="s">
        <v>693</v>
      </c>
      <c r="F81" s="818" t="s">
        <v>1301</v>
      </c>
      <c r="G81" s="819">
        <v>42976.63622685185</v>
      </c>
      <c r="H81" s="819">
        <v>42976</v>
      </c>
      <c r="I81" s="818" t="s">
        <v>1211</v>
      </c>
      <c r="J81" s="818" t="s">
        <v>1147</v>
      </c>
      <c r="K81" s="820">
        <v>3750.54</v>
      </c>
      <c r="L81" s="818" t="s">
        <v>1149</v>
      </c>
      <c r="M81" s="820">
        <v>780</v>
      </c>
      <c r="N81" s="820">
        <v>2934197.46</v>
      </c>
      <c r="O81" s="818" t="s">
        <v>1149</v>
      </c>
      <c r="P81" s="819">
        <v>42976</v>
      </c>
      <c r="Q81" s="818" t="s">
        <v>1175</v>
      </c>
      <c r="R81" s="818" t="s">
        <v>1175</v>
      </c>
      <c r="S81" s="818" t="s">
        <v>1215</v>
      </c>
      <c r="T81" s="818"/>
      <c r="U81" s="818"/>
      <c r="V81" s="821"/>
      <c r="W81" s="821"/>
      <c r="X81" s="818" t="s">
        <v>1302</v>
      </c>
      <c r="Y81" s="818"/>
      <c r="Z81" s="821"/>
      <c r="AA81" s="818"/>
      <c r="AB81" s="821"/>
      <c r="AC81" s="818"/>
      <c r="AD81" s="818" t="s">
        <v>1303</v>
      </c>
    </row>
    <row r="82" spans="1:30" x14ac:dyDescent="0.25">
      <c r="A82" s="814" t="s">
        <v>1304</v>
      </c>
      <c r="B82" s="815"/>
      <c r="C82" s="815"/>
      <c r="D82" s="815"/>
      <c r="E82" s="815"/>
      <c r="F82" s="815"/>
      <c r="G82" s="815"/>
      <c r="H82" s="815"/>
      <c r="I82" s="815"/>
      <c r="J82" s="815"/>
      <c r="K82" s="816"/>
      <c r="L82" s="815"/>
      <c r="M82" s="817">
        <v>-3500000</v>
      </c>
      <c r="N82" s="816"/>
      <c r="O82" s="815"/>
      <c r="P82" s="815"/>
      <c r="Q82" s="815"/>
      <c r="R82" s="815"/>
      <c r="S82" s="815"/>
      <c r="T82" s="815"/>
      <c r="U82" s="815"/>
      <c r="V82" s="816"/>
      <c r="W82" s="816"/>
      <c r="X82" s="815"/>
      <c r="Y82" s="815"/>
      <c r="Z82" s="816"/>
      <c r="AA82" s="815"/>
      <c r="AB82" s="816"/>
      <c r="AC82" s="815"/>
      <c r="AD82" s="815"/>
    </row>
    <row r="83" spans="1:30" x14ac:dyDescent="0.25">
      <c r="A83" s="814" t="s">
        <v>1169</v>
      </c>
      <c r="B83" s="815"/>
      <c r="C83" s="815"/>
      <c r="D83" s="815"/>
      <c r="E83" s="815"/>
      <c r="F83" s="815"/>
      <c r="G83" s="815"/>
      <c r="H83" s="815"/>
      <c r="I83" s="815"/>
      <c r="J83" s="815"/>
      <c r="K83" s="816"/>
      <c r="L83" s="815"/>
      <c r="M83" s="817">
        <v>-3500000</v>
      </c>
      <c r="N83" s="816"/>
      <c r="O83" s="815"/>
      <c r="P83" s="815"/>
      <c r="Q83" s="815"/>
      <c r="R83" s="815"/>
      <c r="S83" s="815"/>
      <c r="T83" s="815"/>
      <c r="U83" s="815"/>
      <c r="V83" s="816"/>
      <c r="W83" s="816"/>
      <c r="X83" s="815"/>
      <c r="Y83" s="815"/>
      <c r="Z83" s="816"/>
      <c r="AA83" s="815"/>
      <c r="AB83" s="816"/>
      <c r="AC83" s="815"/>
      <c r="AD83" s="815"/>
    </row>
    <row r="84" spans="1:30" x14ac:dyDescent="0.25">
      <c r="A84" s="818" t="s">
        <v>1305</v>
      </c>
      <c r="B84" s="818" t="s">
        <v>1142</v>
      </c>
      <c r="C84" s="818"/>
      <c r="D84" s="818" t="s">
        <v>1306</v>
      </c>
      <c r="E84" s="818" t="s">
        <v>1306</v>
      </c>
      <c r="F84" s="818" t="s">
        <v>1182</v>
      </c>
      <c r="G84" s="819">
        <v>42976.434004629627</v>
      </c>
      <c r="H84" s="819">
        <v>42976</v>
      </c>
      <c r="I84" s="818" t="s">
        <v>1222</v>
      </c>
      <c r="J84" s="818" t="s">
        <v>1174</v>
      </c>
      <c r="K84" s="820">
        <v>1.72E-2</v>
      </c>
      <c r="L84" s="818" t="s">
        <v>75</v>
      </c>
      <c r="M84" s="820">
        <v>-3500000</v>
      </c>
      <c r="N84" s="820">
        <v>60200</v>
      </c>
      <c r="O84" s="818" t="s">
        <v>75</v>
      </c>
      <c r="P84" s="819">
        <v>42978</v>
      </c>
      <c r="Q84" s="818" t="s">
        <v>1175</v>
      </c>
      <c r="R84" s="818" t="s">
        <v>1175</v>
      </c>
      <c r="S84" s="818"/>
      <c r="T84" s="818"/>
      <c r="U84" s="818"/>
      <c r="V84" s="821"/>
      <c r="W84" s="821"/>
      <c r="X84" s="818" t="s">
        <v>1307</v>
      </c>
      <c r="Y84" s="818"/>
      <c r="Z84" s="821"/>
      <c r="AA84" s="818"/>
      <c r="AB84" s="821"/>
      <c r="AC84" s="818"/>
      <c r="AD84" s="818" t="s">
        <v>1308</v>
      </c>
    </row>
    <row r="85" spans="1:30" x14ac:dyDescent="0.25">
      <c r="A85" s="814" t="s">
        <v>1309</v>
      </c>
      <c r="B85" s="815"/>
      <c r="C85" s="815"/>
      <c r="D85" s="815"/>
      <c r="E85" s="815"/>
      <c r="F85" s="815"/>
      <c r="G85" s="815"/>
      <c r="H85" s="815"/>
      <c r="I85" s="815"/>
      <c r="J85" s="815"/>
      <c r="K85" s="816"/>
      <c r="L85" s="815"/>
      <c r="M85" s="817">
        <v>-4762</v>
      </c>
      <c r="N85" s="816"/>
      <c r="O85" s="815"/>
      <c r="P85" s="815"/>
      <c r="Q85" s="815"/>
      <c r="R85" s="815"/>
      <c r="S85" s="815"/>
      <c r="T85" s="815"/>
      <c r="U85" s="815"/>
      <c r="V85" s="816"/>
      <c r="W85" s="816"/>
      <c r="X85" s="815"/>
      <c r="Y85" s="815"/>
      <c r="Z85" s="816"/>
      <c r="AA85" s="815"/>
      <c r="AB85" s="816"/>
      <c r="AC85" s="815"/>
      <c r="AD85" s="815"/>
    </row>
    <row r="86" spans="1:30" x14ac:dyDescent="0.25">
      <c r="A86" s="814" t="s">
        <v>1169</v>
      </c>
      <c r="B86" s="815"/>
      <c r="C86" s="815"/>
      <c r="D86" s="815"/>
      <c r="E86" s="815"/>
      <c r="F86" s="815"/>
      <c r="G86" s="815"/>
      <c r="H86" s="815"/>
      <c r="I86" s="815"/>
      <c r="J86" s="815"/>
      <c r="K86" s="816"/>
      <c r="L86" s="815"/>
      <c r="M86" s="817">
        <v>-4762</v>
      </c>
      <c r="N86" s="816"/>
      <c r="O86" s="815"/>
      <c r="P86" s="815"/>
      <c r="Q86" s="815"/>
      <c r="R86" s="815"/>
      <c r="S86" s="815"/>
      <c r="T86" s="815"/>
      <c r="U86" s="815"/>
      <c r="V86" s="816"/>
      <c r="W86" s="816"/>
      <c r="X86" s="815"/>
      <c r="Y86" s="815"/>
      <c r="Z86" s="816"/>
      <c r="AA86" s="815"/>
      <c r="AB86" s="816"/>
      <c r="AC86" s="815"/>
      <c r="AD86" s="815"/>
    </row>
    <row r="87" spans="1:30" x14ac:dyDescent="0.25">
      <c r="A87" s="818" t="s">
        <v>1310</v>
      </c>
      <c r="B87" s="818" t="s">
        <v>1142</v>
      </c>
      <c r="C87" s="818"/>
      <c r="D87" s="818" t="s">
        <v>1311</v>
      </c>
      <c r="E87" s="818" t="s">
        <v>1311</v>
      </c>
      <c r="F87" s="818" t="s">
        <v>1210</v>
      </c>
      <c r="G87" s="819">
        <v>42976.732025462959</v>
      </c>
      <c r="H87" s="819">
        <v>42976</v>
      </c>
      <c r="I87" s="818" t="s">
        <v>1211</v>
      </c>
      <c r="J87" s="818" t="s">
        <v>1174</v>
      </c>
      <c r="K87" s="820">
        <v>42</v>
      </c>
      <c r="L87" s="818" t="s">
        <v>75</v>
      </c>
      <c r="M87" s="820">
        <v>-4762</v>
      </c>
      <c r="N87" s="820">
        <v>200004</v>
      </c>
      <c r="O87" s="818" t="s">
        <v>75</v>
      </c>
      <c r="P87" s="819">
        <v>42979</v>
      </c>
      <c r="Q87" s="818" t="s">
        <v>1175</v>
      </c>
      <c r="R87" s="818" t="s">
        <v>1175</v>
      </c>
      <c r="S87" s="818"/>
      <c r="T87" s="818"/>
      <c r="U87" s="818"/>
      <c r="V87" s="821"/>
      <c r="W87" s="821"/>
      <c r="X87" s="818" t="s">
        <v>1312</v>
      </c>
      <c r="Y87" s="818"/>
      <c r="Z87" s="821"/>
      <c r="AA87" s="818"/>
      <c r="AB87" s="821"/>
      <c r="AC87" s="818"/>
      <c r="AD87" s="818"/>
    </row>
    <row r="88" spans="1:30" x14ac:dyDescent="0.25">
      <c r="A88" s="814" t="s">
        <v>1313</v>
      </c>
      <c r="B88" s="815"/>
      <c r="C88" s="815"/>
      <c r="D88" s="815"/>
      <c r="E88" s="815"/>
      <c r="F88" s="815"/>
      <c r="G88" s="815"/>
      <c r="H88" s="815"/>
      <c r="I88" s="815"/>
      <c r="J88" s="815"/>
      <c r="K88" s="816"/>
      <c r="L88" s="815"/>
      <c r="M88" s="817">
        <v>1450</v>
      </c>
      <c r="N88" s="816"/>
      <c r="O88" s="815"/>
      <c r="P88" s="815"/>
      <c r="Q88" s="815"/>
      <c r="R88" s="815"/>
      <c r="S88" s="815"/>
      <c r="T88" s="815"/>
      <c r="U88" s="815"/>
      <c r="V88" s="816"/>
      <c r="W88" s="816"/>
      <c r="X88" s="815"/>
      <c r="Y88" s="815"/>
      <c r="Z88" s="816"/>
      <c r="AA88" s="815"/>
      <c r="AB88" s="816"/>
      <c r="AC88" s="815"/>
      <c r="AD88" s="815"/>
    </row>
    <row r="89" spans="1:30" x14ac:dyDescent="0.25">
      <c r="A89" s="814" t="s">
        <v>1169</v>
      </c>
      <c r="B89" s="815"/>
      <c r="C89" s="815"/>
      <c r="D89" s="815"/>
      <c r="E89" s="815"/>
      <c r="F89" s="815"/>
      <c r="G89" s="815"/>
      <c r="H89" s="815"/>
      <c r="I89" s="815"/>
      <c r="J89" s="815"/>
      <c r="K89" s="816"/>
      <c r="L89" s="815"/>
      <c r="M89" s="817">
        <v>1450</v>
      </c>
      <c r="N89" s="816"/>
      <c r="O89" s="815"/>
      <c r="P89" s="815"/>
      <c r="Q89" s="815"/>
      <c r="R89" s="815"/>
      <c r="S89" s="815"/>
      <c r="T89" s="815"/>
      <c r="U89" s="815"/>
      <c r="V89" s="816"/>
      <c r="W89" s="816"/>
      <c r="X89" s="815"/>
      <c r="Y89" s="815"/>
      <c r="Z89" s="816"/>
      <c r="AA89" s="815"/>
      <c r="AB89" s="816"/>
      <c r="AC89" s="815"/>
      <c r="AD89" s="815"/>
    </row>
    <row r="90" spans="1:30" x14ac:dyDescent="0.25">
      <c r="A90" s="818" t="s">
        <v>1314</v>
      </c>
      <c r="B90" s="818" t="s">
        <v>1142</v>
      </c>
      <c r="C90" s="818"/>
      <c r="D90" s="818" t="s">
        <v>693</v>
      </c>
      <c r="E90" s="818" t="s">
        <v>693</v>
      </c>
      <c r="F90" s="818" t="s">
        <v>1301</v>
      </c>
      <c r="G90" s="819">
        <v>42976.636412037034</v>
      </c>
      <c r="H90" s="819">
        <v>42976</v>
      </c>
      <c r="I90" s="818" t="s">
        <v>1211</v>
      </c>
      <c r="J90" s="818" t="s">
        <v>1147</v>
      </c>
      <c r="K90" s="820">
        <v>2019.53</v>
      </c>
      <c r="L90" s="818" t="s">
        <v>1149</v>
      </c>
      <c r="M90" s="820">
        <v>1450</v>
      </c>
      <c r="N90" s="820">
        <v>2937103.46</v>
      </c>
      <c r="O90" s="818" t="s">
        <v>1149</v>
      </c>
      <c r="P90" s="819">
        <v>42976</v>
      </c>
      <c r="Q90" s="818" t="s">
        <v>1175</v>
      </c>
      <c r="R90" s="818" t="s">
        <v>1175</v>
      </c>
      <c r="S90" s="818" t="s">
        <v>1215</v>
      </c>
      <c r="T90" s="818"/>
      <c r="U90" s="818"/>
      <c r="V90" s="821"/>
      <c r="W90" s="821"/>
      <c r="X90" s="818" t="s">
        <v>1315</v>
      </c>
      <c r="Y90" s="818"/>
      <c r="Z90" s="821"/>
      <c r="AA90" s="818"/>
      <c r="AB90" s="821"/>
      <c r="AC90" s="818"/>
      <c r="AD90" s="818" t="s">
        <v>1316</v>
      </c>
    </row>
    <row r="91" spans="1:30" x14ac:dyDescent="0.25">
      <c r="A91" s="814" t="s">
        <v>1317</v>
      </c>
      <c r="B91" s="815"/>
      <c r="C91" s="815"/>
      <c r="D91" s="815"/>
      <c r="E91" s="815"/>
      <c r="F91" s="815"/>
      <c r="G91" s="815"/>
      <c r="H91" s="815"/>
      <c r="I91" s="815"/>
      <c r="J91" s="815"/>
      <c r="K91" s="816"/>
      <c r="L91" s="815"/>
      <c r="M91" s="817">
        <v>-8715</v>
      </c>
      <c r="N91" s="816"/>
      <c r="O91" s="815"/>
      <c r="P91" s="815"/>
      <c r="Q91" s="815"/>
      <c r="R91" s="815"/>
      <c r="S91" s="815"/>
      <c r="T91" s="815"/>
      <c r="U91" s="815"/>
      <c r="V91" s="816"/>
      <c r="W91" s="816"/>
      <c r="X91" s="815"/>
      <c r="Y91" s="815"/>
      <c r="Z91" s="816"/>
      <c r="AA91" s="815"/>
      <c r="AB91" s="816"/>
      <c r="AC91" s="815"/>
      <c r="AD91" s="815"/>
    </row>
    <row r="92" spans="1:30" x14ac:dyDescent="0.25">
      <c r="A92" s="814" t="s">
        <v>1169</v>
      </c>
      <c r="B92" s="815"/>
      <c r="C92" s="815"/>
      <c r="D92" s="815"/>
      <c r="E92" s="815"/>
      <c r="F92" s="815"/>
      <c r="G92" s="815"/>
      <c r="H92" s="815"/>
      <c r="I92" s="815"/>
      <c r="J92" s="815"/>
      <c r="K92" s="816"/>
      <c r="L92" s="815"/>
      <c r="M92" s="817">
        <v>-8715</v>
      </c>
      <c r="N92" s="816"/>
      <c r="O92" s="815"/>
      <c r="P92" s="815"/>
      <c r="Q92" s="815"/>
      <c r="R92" s="815"/>
      <c r="S92" s="815"/>
      <c r="T92" s="815"/>
      <c r="U92" s="815"/>
      <c r="V92" s="816"/>
      <c r="W92" s="816"/>
      <c r="X92" s="815"/>
      <c r="Y92" s="815"/>
      <c r="Z92" s="816"/>
      <c r="AA92" s="815"/>
      <c r="AB92" s="816"/>
      <c r="AC92" s="815"/>
      <c r="AD92" s="815"/>
    </row>
    <row r="93" spans="1:30" x14ac:dyDescent="0.25">
      <c r="A93" s="818" t="s">
        <v>1318</v>
      </c>
      <c r="B93" s="818" t="s">
        <v>1142</v>
      </c>
      <c r="C93" s="818"/>
      <c r="D93" s="818" t="s">
        <v>1220</v>
      </c>
      <c r="E93" s="818" t="s">
        <v>1220</v>
      </c>
      <c r="F93" s="818" t="s">
        <v>1182</v>
      </c>
      <c r="G93" s="819">
        <v>42976.556944444441</v>
      </c>
      <c r="H93" s="819">
        <v>42976</v>
      </c>
      <c r="I93" s="818" t="s">
        <v>1319</v>
      </c>
      <c r="J93" s="818" t="s">
        <v>1174</v>
      </c>
      <c r="K93" s="820">
        <v>14.173379000000001</v>
      </c>
      <c r="L93" s="818" t="s">
        <v>75</v>
      </c>
      <c r="M93" s="820">
        <v>-8715</v>
      </c>
      <c r="N93" s="820">
        <v>123521</v>
      </c>
      <c r="O93" s="818" t="s">
        <v>75</v>
      </c>
      <c r="P93" s="819">
        <v>42979</v>
      </c>
      <c r="Q93" s="818" t="s">
        <v>1175</v>
      </c>
      <c r="R93" s="818" t="s">
        <v>1175</v>
      </c>
      <c r="S93" s="818"/>
      <c r="T93" s="818"/>
      <c r="U93" s="818"/>
      <c r="V93" s="821"/>
      <c r="W93" s="821"/>
      <c r="X93" s="818" t="s">
        <v>1320</v>
      </c>
      <c r="Y93" s="818"/>
      <c r="Z93" s="821"/>
      <c r="AA93" s="818"/>
      <c r="AB93" s="821"/>
      <c r="AC93" s="818"/>
      <c r="AD93" s="818"/>
    </row>
    <row r="94" spans="1:30" x14ac:dyDescent="0.25">
      <c r="A94" s="814" t="s">
        <v>1321</v>
      </c>
      <c r="B94" s="815"/>
      <c r="C94" s="815"/>
      <c r="D94" s="815"/>
      <c r="E94" s="815"/>
      <c r="F94" s="815"/>
      <c r="G94" s="815"/>
      <c r="H94" s="815"/>
      <c r="I94" s="815"/>
      <c r="J94" s="815"/>
      <c r="K94" s="816"/>
      <c r="L94" s="815"/>
      <c r="M94" s="817">
        <v>-1000</v>
      </c>
      <c r="N94" s="816"/>
      <c r="O94" s="815"/>
      <c r="P94" s="815"/>
      <c r="Q94" s="815"/>
      <c r="R94" s="815"/>
      <c r="S94" s="815"/>
      <c r="T94" s="815"/>
      <c r="U94" s="815"/>
      <c r="V94" s="816"/>
      <c r="W94" s="816"/>
      <c r="X94" s="815"/>
      <c r="Y94" s="815"/>
      <c r="Z94" s="816"/>
      <c r="AA94" s="815"/>
      <c r="AB94" s="816"/>
      <c r="AC94" s="815"/>
      <c r="AD94" s="815"/>
    </row>
    <row r="95" spans="1:30" x14ac:dyDescent="0.25">
      <c r="A95" s="814" t="s">
        <v>1169</v>
      </c>
      <c r="B95" s="815"/>
      <c r="C95" s="815"/>
      <c r="D95" s="815"/>
      <c r="E95" s="815"/>
      <c r="F95" s="815"/>
      <c r="G95" s="815"/>
      <c r="H95" s="815"/>
      <c r="I95" s="815"/>
      <c r="J95" s="815"/>
      <c r="K95" s="816"/>
      <c r="L95" s="815"/>
      <c r="M95" s="817">
        <v>-1000</v>
      </c>
      <c r="N95" s="816"/>
      <c r="O95" s="815"/>
      <c r="P95" s="815"/>
      <c r="Q95" s="815"/>
      <c r="R95" s="815"/>
      <c r="S95" s="815"/>
      <c r="T95" s="815"/>
      <c r="U95" s="815"/>
      <c r="V95" s="816"/>
      <c r="W95" s="816"/>
      <c r="X95" s="815"/>
      <c r="Y95" s="815"/>
      <c r="Z95" s="816"/>
      <c r="AA95" s="815"/>
      <c r="AB95" s="816"/>
      <c r="AC95" s="815"/>
      <c r="AD95" s="815"/>
    </row>
    <row r="96" spans="1:30" x14ac:dyDescent="0.25">
      <c r="A96" s="818" t="s">
        <v>1322</v>
      </c>
      <c r="B96" s="818" t="s">
        <v>1142</v>
      </c>
      <c r="C96" s="818"/>
      <c r="D96" s="818" t="s">
        <v>1209</v>
      </c>
      <c r="E96" s="818" t="s">
        <v>1209</v>
      </c>
      <c r="F96" s="818" t="s">
        <v>1210</v>
      </c>
      <c r="G96" s="819">
        <v>42976.710914351854</v>
      </c>
      <c r="H96" s="819">
        <v>42976</v>
      </c>
      <c r="I96" s="818" t="s">
        <v>1211</v>
      </c>
      <c r="J96" s="818" t="s">
        <v>1174</v>
      </c>
      <c r="K96" s="820">
        <v>342</v>
      </c>
      <c r="L96" s="818" t="s">
        <v>75</v>
      </c>
      <c r="M96" s="820">
        <v>-1000</v>
      </c>
      <c r="N96" s="820">
        <v>342000</v>
      </c>
      <c r="O96" s="818" t="s">
        <v>75</v>
      </c>
      <c r="P96" s="819">
        <v>42976</v>
      </c>
      <c r="Q96" s="818" t="s">
        <v>1175</v>
      </c>
      <c r="R96" s="818" t="s">
        <v>1175</v>
      </c>
      <c r="S96" s="818"/>
      <c r="T96" s="818"/>
      <c r="U96" s="818"/>
      <c r="V96" s="821"/>
      <c r="W96" s="821"/>
      <c r="X96" s="818" t="s">
        <v>1323</v>
      </c>
      <c r="Y96" s="818"/>
      <c r="Z96" s="821"/>
      <c r="AA96" s="818"/>
      <c r="AB96" s="821"/>
      <c r="AC96" s="818"/>
      <c r="AD96" s="818"/>
    </row>
    <row r="97" spans="1:30" x14ac:dyDescent="0.25">
      <c r="A97" s="814" t="s">
        <v>1324</v>
      </c>
      <c r="B97" s="815"/>
      <c r="C97" s="815"/>
      <c r="D97" s="815"/>
      <c r="E97" s="815"/>
      <c r="F97" s="815"/>
      <c r="G97" s="815"/>
      <c r="H97" s="815"/>
      <c r="I97" s="815"/>
      <c r="J97" s="815"/>
      <c r="K97" s="816"/>
      <c r="L97" s="815"/>
      <c r="M97" s="816"/>
      <c r="N97" s="816"/>
      <c r="O97" s="815"/>
      <c r="P97" s="815"/>
      <c r="Q97" s="815"/>
      <c r="R97" s="815"/>
      <c r="S97" s="815"/>
      <c r="T97" s="815"/>
      <c r="U97" s="815"/>
      <c r="V97" s="816"/>
      <c r="W97" s="816"/>
      <c r="X97" s="815"/>
      <c r="Y97" s="815"/>
      <c r="Z97" s="816"/>
      <c r="AA97" s="815"/>
      <c r="AB97" s="816"/>
      <c r="AC97" s="815"/>
      <c r="AD97" s="815"/>
    </row>
    <row r="98" spans="1:30" x14ac:dyDescent="0.25">
      <c r="A98" s="814" t="s">
        <v>1325</v>
      </c>
      <c r="B98" s="815"/>
      <c r="C98" s="815"/>
      <c r="D98" s="815"/>
      <c r="E98" s="815"/>
      <c r="F98" s="815"/>
      <c r="G98" s="815"/>
      <c r="H98" s="815"/>
      <c r="I98" s="815"/>
      <c r="J98" s="815"/>
      <c r="K98" s="816"/>
      <c r="L98" s="815"/>
      <c r="M98" s="817">
        <v>3486072.1100000003</v>
      </c>
      <c r="N98" s="816"/>
      <c r="O98" s="815"/>
      <c r="P98" s="815"/>
      <c r="Q98" s="815"/>
      <c r="R98" s="815"/>
      <c r="S98" s="815"/>
      <c r="T98" s="815"/>
      <c r="U98" s="815"/>
      <c r="V98" s="816"/>
      <c r="W98" s="816"/>
      <c r="X98" s="815"/>
      <c r="Y98" s="815"/>
      <c r="Z98" s="816"/>
      <c r="AA98" s="815"/>
      <c r="AB98" s="816"/>
      <c r="AC98" s="815"/>
      <c r="AD98" s="815"/>
    </row>
    <row r="99" spans="1:30" x14ac:dyDescent="0.25">
      <c r="A99" s="814" t="s">
        <v>1169</v>
      </c>
      <c r="B99" s="815"/>
      <c r="C99" s="815"/>
      <c r="D99" s="815"/>
      <c r="E99" s="815"/>
      <c r="F99" s="815"/>
      <c r="G99" s="815"/>
      <c r="H99" s="815"/>
      <c r="I99" s="815"/>
      <c r="J99" s="815"/>
      <c r="K99" s="816"/>
      <c r="L99" s="815"/>
      <c r="M99" s="817">
        <v>3486072.1100000003</v>
      </c>
      <c r="N99" s="816"/>
      <c r="O99" s="815"/>
      <c r="P99" s="815"/>
      <c r="Q99" s="815"/>
      <c r="R99" s="815"/>
      <c r="S99" s="815"/>
      <c r="T99" s="815"/>
      <c r="U99" s="815"/>
      <c r="V99" s="816"/>
      <c r="W99" s="816"/>
      <c r="X99" s="815"/>
      <c r="Y99" s="815"/>
      <c r="Z99" s="816"/>
      <c r="AA99" s="815"/>
      <c r="AB99" s="816"/>
      <c r="AC99" s="815"/>
      <c r="AD99" s="815"/>
    </row>
    <row r="100" spans="1:30" x14ac:dyDescent="0.25">
      <c r="A100" s="818" t="s">
        <v>1326</v>
      </c>
      <c r="B100" s="818" t="s">
        <v>1142</v>
      </c>
      <c r="C100" s="818"/>
      <c r="D100" s="818"/>
      <c r="E100" s="818" t="s">
        <v>1327</v>
      </c>
      <c r="F100" s="818"/>
      <c r="G100" s="819">
        <v>42976.586134259262</v>
      </c>
      <c r="H100" s="819">
        <v>42976</v>
      </c>
      <c r="I100" s="818" t="s">
        <v>1328</v>
      </c>
      <c r="J100" s="818" t="s">
        <v>1329</v>
      </c>
      <c r="K100" s="821"/>
      <c r="L100" s="818"/>
      <c r="M100" s="820">
        <v>-1066.8</v>
      </c>
      <c r="N100" s="820">
        <v>-1066.8</v>
      </c>
      <c r="O100" s="818"/>
      <c r="P100" s="818"/>
      <c r="Q100" s="818"/>
      <c r="R100" s="818"/>
      <c r="S100" s="818"/>
      <c r="T100" s="818"/>
      <c r="U100" s="818"/>
      <c r="V100" s="821"/>
      <c r="W100" s="821"/>
      <c r="X100" s="818" t="s">
        <v>1149</v>
      </c>
      <c r="Y100" s="818"/>
      <c r="Z100" s="821"/>
      <c r="AA100" s="818"/>
      <c r="AB100" s="821"/>
      <c r="AC100" s="818" t="s">
        <v>1330</v>
      </c>
      <c r="AD100" s="818" t="s">
        <v>1331</v>
      </c>
    </row>
    <row r="101" spans="1:30" x14ac:dyDescent="0.25">
      <c r="A101" s="818" t="s">
        <v>1332</v>
      </c>
      <c r="B101" s="818" t="s">
        <v>1142</v>
      </c>
      <c r="C101" s="818"/>
      <c r="D101" s="818"/>
      <c r="E101" s="818" t="s">
        <v>1333</v>
      </c>
      <c r="F101" s="818"/>
      <c r="G101" s="819">
        <v>42976.586134259262</v>
      </c>
      <c r="H101" s="819">
        <v>42976</v>
      </c>
      <c r="I101" s="818" t="s">
        <v>1328</v>
      </c>
      <c r="J101" s="818" t="s">
        <v>1329</v>
      </c>
      <c r="K101" s="821"/>
      <c r="L101" s="818"/>
      <c r="M101" s="820">
        <v>-10548.56</v>
      </c>
      <c r="N101" s="820">
        <v>-10548.56</v>
      </c>
      <c r="O101" s="818"/>
      <c r="P101" s="818"/>
      <c r="Q101" s="818"/>
      <c r="R101" s="818"/>
      <c r="S101" s="818"/>
      <c r="T101" s="818"/>
      <c r="U101" s="818"/>
      <c r="V101" s="821"/>
      <c r="W101" s="821"/>
      <c r="X101" s="818" t="s">
        <v>1149</v>
      </c>
      <c r="Y101" s="818"/>
      <c r="Z101" s="821"/>
      <c r="AA101" s="818"/>
      <c r="AB101" s="821"/>
      <c r="AC101" s="818" t="s">
        <v>1334</v>
      </c>
      <c r="AD101" s="818" t="s">
        <v>1335</v>
      </c>
    </row>
    <row r="102" spans="1:30" x14ac:dyDescent="0.25">
      <c r="A102" s="818" t="s">
        <v>1336</v>
      </c>
      <c r="B102" s="818" t="s">
        <v>1142</v>
      </c>
      <c r="C102" s="818"/>
      <c r="D102" s="818"/>
      <c r="E102" s="818" t="s">
        <v>1337</v>
      </c>
      <c r="F102" s="818"/>
      <c r="G102" s="819">
        <v>42976.586134259262</v>
      </c>
      <c r="H102" s="819">
        <v>42976</v>
      </c>
      <c r="I102" s="818" t="s">
        <v>1328</v>
      </c>
      <c r="J102" s="818" t="s">
        <v>1329</v>
      </c>
      <c r="K102" s="821"/>
      <c r="L102" s="818"/>
      <c r="M102" s="820">
        <v>-548.33000000000004</v>
      </c>
      <c r="N102" s="820">
        <v>-548.33000000000004</v>
      </c>
      <c r="O102" s="818"/>
      <c r="P102" s="818"/>
      <c r="Q102" s="818"/>
      <c r="R102" s="818"/>
      <c r="S102" s="818"/>
      <c r="T102" s="818"/>
      <c r="U102" s="818"/>
      <c r="V102" s="821"/>
      <c r="W102" s="821"/>
      <c r="X102" s="818" t="s">
        <v>1149</v>
      </c>
      <c r="Y102" s="818"/>
      <c r="Z102" s="821"/>
      <c r="AA102" s="818"/>
      <c r="AB102" s="821"/>
      <c r="AC102" s="818" t="s">
        <v>1338</v>
      </c>
      <c r="AD102" s="818" t="s">
        <v>1339</v>
      </c>
    </row>
    <row r="103" spans="1:30" x14ac:dyDescent="0.25">
      <c r="A103" s="818" t="s">
        <v>1340</v>
      </c>
      <c r="B103" s="818" t="s">
        <v>1142</v>
      </c>
      <c r="C103" s="818"/>
      <c r="D103" s="818"/>
      <c r="E103" s="818" t="s">
        <v>1341</v>
      </c>
      <c r="F103" s="818"/>
      <c r="G103" s="819">
        <v>42976.586134259262</v>
      </c>
      <c r="H103" s="819">
        <v>42976</v>
      </c>
      <c r="I103" s="818" t="s">
        <v>1328</v>
      </c>
      <c r="J103" s="818" t="s">
        <v>1329</v>
      </c>
      <c r="K103" s="821"/>
      <c r="L103" s="818"/>
      <c r="M103" s="820">
        <v>-6341.08</v>
      </c>
      <c r="N103" s="820">
        <v>-6341.08</v>
      </c>
      <c r="O103" s="818"/>
      <c r="P103" s="818"/>
      <c r="Q103" s="818"/>
      <c r="R103" s="818"/>
      <c r="S103" s="818"/>
      <c r="T103" s="818"/>
      <c r="U103" s="818"/>
      <c r="V103" s="821"/>
      <c r="W103" s="821"/>
      <c r="X103" s="818" t="s">
        <v>1149</v>
      </c>
      <c r="Y103" s="818"/>
      <c r="Z103" s="821"/>
      <c r="AA103" s="818"/>
      <c r="AB103" s="821"/>
      <c r="AC103" s="818" t="s">
        <v>1342</v>
      </c>
      <c r="AD103" s="818" t="s">
        <v>1343</v>
      </c>
    </row>
    <row r="104" spans="1:30" x14ac:dyDescent="0.25">
      <c r="A104" s="818" t="s">
        <v>1344</v>
      </c>
      <c r="B104" s="818" t="s">
        <v>1142</v>
      </c>
      <c r="C104" s="818"/>
      <c r="D104" s="818"/>
      <c r="E104" s="818" t="s">
        <v>1345</v>
      </c>
      <c r="F104" s="818"/>
      <c r="G104" s="819">
        <v>42976.586134259262</v>
      </c>
      <c r="H104" s="819">
        <v>42976</v>
      </c>
      <c r="I104" s="818" t="s">
        <v>1328</v>
      </c>
      <c r="J104" s="818" t="s">
        <v>1346</v>
      </c>
      <c r="K104" s="821"/>
      <c r="L104" s="818"/>
      <c r="M104" s="820">
        <v>182286</v>
      </c>
      <c r="N104" s="820">
        <v>182286</v>
      </c>
      <c r="O104" s="818"/>
      <c r="P104" s="818"/>
      <c r="Q104" s="818"/>
      <c r="R104" s="818"/>
      <c r="S104" s="818"/>
      <c r="T104" s="818"/>
      <c r="U104" s="818"/>
      <c r="V104" s="821"/>
      <c r="W104" s="821"/>
      <c r="X104" s="818" t="s">
        <v>1149</v>
      </c>
      <c r="Y104" s="818"/>
      <c r="Z104" s="821"/>
      <c r="AA104" s="818"/>
      <c r="AB104" s="821"/>
      <c r="AC104" s="818" t="s">
        <v>1347</v>
      </c>
      <c r="AD104" s="818" t="s">
        <v>1348</v>
      </c>
    </row>
    <row r="105" spans="1:30" x14ac:dyDescent="0.25">
      <c r="A105" s="818" t="s">
        <v>1349</v>
      </c>
      <c r="B105" s="818" t="s">
        <v>1142</v>
      </c>
      <c r="C105" s="818"/>
      <c r="D105" s="818"/>
      <c r="E105" s="818" t="s">
        <v>1350</v>
      </c>
      <c r="F105" s="818"/>
      <c r="G105" s="819">
        <v>42976.586134259262</v>
      </c>
      <c r="H105" s="819">
        <v>42976</v>
      </c>
      <c r="I105" s="818" t="s">
        <v>1328</v>
      </c>
      <c r="J105" s="818" t="s">
        <v>1329</v>
      </c>
      <c r="K105" s="821"/>
      <c r="L105" s="818"/>
      <c r="M105" s="820">
        <v>-10548.56</v>
      </c>
      <c r="N105" s="820">
        <v>-10548.56</v>
      </c>
      <c r="O105" s="818"/>
      <c r="P105" s="818"/>
      <c r="Q105" s="818"/>
      <c r="R105" s="818"/>
      <c r="S105" s="818"/>
      <c r="T105" s="818"/>
      <c r="U105" s="818"/>
      <c r="V105" s="821"/>
      <c r="W105" s="821"/>
      <c r="X105" s="818" t="s">
        <v>1149</v>
      </c>
      <c r="Y105" s="818"/>
      <c r="Z105" s="821"/>
      <c r="AA105" s="818"/>
      <c r="AB105" s="821"/>
      <c r="AC105" s="818" t="s">
        <v>1351</v>
      </c>
      <c r="AD105" s="818" t="s">
        <v>1352</v>
      </c>
    </row>
    <row r="106" spans="1:30" x14ac:dyDescent="0.25">
      <c r="A106" s="818" t="s">
        <v>1353</v>
      </c>
      <c r="B106" s="818" t="s">
        <v>1142</v>
      </c>
      <c r="C106" s="818"/>
      <c r="D106" s="818"/>
      <c r="E106" s="818" t="s">
        <v>1354</v>
      </c>
      <c r="F106" s="818"/>
      <c r="G106" s="819">
        <v>42976.586134259262</v>
      </c>
      <c r="H106" s="819">
        <v>42976</v>
      </c>
      <c r="I106" s="818" t="s">
        <v>1328</v>
      </c>
      <c r="J106" s="818" t="s">
        <v>1329</v>
      </c>
      <c r="K106" s="821"/>
      <c r="L106" s="818"/>
      <c r="M106" s="820">
        <v>-3401.26</v>
      </c>
      <c r="N106" s="820">
        <v>-3401.26</v>
      </c>
      <c r="O106" s="818"/>
      <c r="P106" s="818"/>
      <c r="Q106" s="818"/>
      <c r="R106" s="818"/>
      <c r="S106" s="818"/>
      <c r="T106" s="818"/>
      <c r="U106" s="818"/>
      <c r="V106" s="821"/>
      <c r="W106" s="821"/>
      <c r="X106" s="818" t="s">
        <v>1149</v>
      </c>
      <c r="Y106" s="818"/>
      <c r="Z106" s="821"/>
      <c r="AA106" s="818"/>
      <c r="AB106" s="821"/>
      <c r="AC106" s="818" t="s">
        <v>1355</v>
      </c>
      <c r="AD106" s="818" t="s">
        <v>1356</v>
      </c>
    </row>
    <row r="107" spans="1:30" x14ac:dyDescent="0.25">
      <c r="A107" s="818" t="s">
        <v>1357</v>
      </c>
      <c r="B107" s="818" t="s">
        <v>1142</v>
      </c>
      <c r="C107" s="818"/>
      <c r="D107" s="818"/>
      <c r="E107" s="818" t="s">
        <v>1358</v>
      </c>
      <c r="F107" s="818"/>
      <c r="G107" s="819">
        <v>42976.586134259262</v>
      </c>
      <c r="H107" s="819">
        <v>42976</v>
      </c>
      <c r="I107" s="818" t="s">
        <v>1328</v>
      </c>
      <c r="J107" s="818" t="s">
        <v>1329</v>
      </c>
      <c r="K107" s="821"/>
      <c r="L107" s="818"/>
      <c r="M107" s="820">
        <v>-4136.91</v>
      </c>
      <c r="N107" s="820">
        <v>-4136.91</v>
      </c>
      <c r="O107" s="818"/>
      <c r="P107" s="818"/>
      <c r="Q107" s="818"/>
      <c r="R107" s="818"/>
      <c r="S107" s="818"/>
      <c r="T107" s="818"/>
      <c r="U107" s="818"/>
      <c r="V107" s="821"/>
      <c r="W107" s="821"/>
      <c r="X107" s="818" t="s">
        <v>1149</v>
      </c>
      <c r="Y107" s="818"/>
      <c r="Z107" s="821"/>
      <c r="AA107" s="818"/>
      <c r="AB107" s="821"/>
      <c r="AC107" s="818" t="s">
        <v>1359</v>
      </c>
      <c r="AD107" s="818" t="s">
        <v>1360</v>
      </c>
    </row>
    <row r="108" spans="1:30" x14ac:dyDescent="0.25">
      <c r="A108" s="818" t="s">
        <v>1361</v>
      </c>
      <c r="B108" s="818" t="s">
        <v>1142</v>
      </c>
      <c r="C108" s="818"/>
      <c r="D108" s="818"/>
      <c r="E108" s="818" t="s">
        <v>1362</v>
      </c>
      <c r="F108" s="818"/>
      <c r="G108" s="819">
        <v>42976.586134259262</v>
      </c>
      <c r="H108" s="819">
        <v>42976</v>
      </c>
      <c r="I108" s="818" t="s">
        <v>1328</v>
      </c>
      <c r="J108" s="818" t="s">
        <v>1329</v>
      </c>
      <c r="K108" s="821"/>
      <c r="L108" s="818"/>
      <c r="M108" s="820">
        <v>-27436.73</v>
      </c>
      <c r="N108" s="820">
        <v>-27436.73</v>
      </c>
      <c r="O108" s="818"/>
      <c r="P108" s="818"/>
      <c r="Q108" s="818"/>
      <c r="R108" s="818"/>
      <c r="S108" s="818"/>
      <c r="T108" s="818"/>
      <c r="U108" s="818"/>
      <c r="V108" s="821"/>
      <c r="W108" s="821"/>
      <c r="X108" s="818" t="s">
        <v>1149</v>
      </c>
      <c r="Y108" s="818"/>
      <c r="Z108" s="821"/>
      <c r="AA108" s="818"/>
      <c r="AB108" s="821"/>
      <c r="AC108" s="818" t="s">
        <v>1363</v>
      </c>
      <c r="AD108" s="818" t="s">
        <v>1364</v>
      </c>
    </row>
    <row r="109" spans="1:30" x14ac:dyDescent="0.25">
      <c r="A109" s="818" t="s">
        <v>1365</v>
      </c>
      <c r="B109" s="818" t="s">
        <v>1142</v>
      </c>
      <c r="C109" s="818"/>
      <c r="D109" s="818"/>
      <c r="E109" s="818" t="s">
        <v>1366</v>
      </c>
      <c r="F109" s="818"/>
      <c r="G109" s="819">
        <v>42976.586134259262</v>
      </c>
      <c r="H109" s="819">
        <v>42976</v>
      </c>
      <c r="I109" s="818" t="s">
        <v>1328</v>
      </c>
      <c r="J109" s="818" t="s">
        <v>1329</v>
      </c>
      <c r="K109" s="821"/>
      <c r="L109" s="818"/>
      <c r="M109" s="820">
        <v>-2532.63</v>
      </c>
      <c r="N109" s="820">
        <v>-2532.63</v>
      </c>
      <c r="O109" s="818"/>
      <c r="P109" s="818"/>
      <c r="Q109" s="818"/>
      <c r="R109" s="818"/>
      <c r="S109" s="818"/>
      <c r="T109" s="818"/>
      <c r="U109" s="818"/>
      <c r="V109" s="821"/>
      <c r="W109" s="821"/>
      <c r="X109" s="818" t="s">
        <v>1149</v>
      </c>
      <c r="Y109" s="818"/>
      <c r="Z109" s="821"/>
      <c r="AA109" s="818"/>
      <c r="AB109" s="821"/>
      <c r="AC109" s="818" t="s">
        <v>1367</v>
      </c>
      <c r="AD109" s="818" t="s">
        <v>1368</v>
      </c>
    </row>
    <row r="110" spans="1:30" x14ac:dyDescent="0.25">
      <c r="A110" s="818" t="s">
        <v>1369</v>
      </c>
      <c r="B110" s="818" t="s">
        <v>1142</v>
      </c>
      <c r="C110" s="818"/>
      <c r="D110" s="818"/>
      <c r="E110" s="818" t="s">
        <v>1370</v>
      </c>
      <c r="F110" s="818"/>
      <c r="G110" s="819">
        <v>42976.586134259262</v>
      </c>
      <c r="H110" s="819">
        <v>42976</v>
      </c>
      <c r="I110" s="818" t="s">
        <v>1328</v>
      </c>
      <c r="J110" s="818" t="s">
        <v>1329</v>
      </c>
      <c r="K110" s="821"/>
      <c r="L110" s="818"/>
      <c r="M110" s="820">
        <v>-3949.59</v>
      </c>
      <c r="N110" s="820">
        <v>-3949.59</v>
      </c>
      <c r="O110" s="818"/>
      <c r="P110" s="818"/>
      <c r="Q110" s="818"/>
      <c r="R110" s="818"/>
      <c r="S110" s="818"/>
      <c r="T110" s="818"/>
      <c r="U110" s="818"/>
      <c r="V110" s="821"/>
      <c r="W110" s="821"/>
      <c r="X110" s="818" t="s">
        <v>1149</v>
      </c>
      <c r="Y110" s="818"/>
      <c r="Z110" s="821"/>
      <c r="AA110" s="818"/>
      <c r="AB110" s="821"/>
      <c r="AC110" s="818" t="s">
        <v>1371</v>
      </c>
      <c r="AD110" s="818" t="s">
        <v>1372</v>
      </c>
    </row>
    <row r="111" spans="1:30" x14ac:dyDescent="0.25">
      <c r="A111" s="818" t="s">
        <v>1373</v>
      </c>
      <c r="B111" s="818" t="s">
        <v>1142</v>
      </c>
      <c r="C111" s="818"/>
      <c r="D111" s="818"/>
      <c r="E111" s="818" t="s">
        <v>1374</v>
      </c>
      <c r="F111" s="818"/>
      <c r="G111" s="819">
        <v>42976.586134259262</v>
      </c>
      <c r="H111" s="819">
        <v>42976</v>
      </c>
      <c r="I111" s="818" t="s">
        <v>1328</v>
      </c>
      <c r="J111" s="818" t="s">
        <v>1329</v>
      </c>
      <c r="K111" s="821"/>
      <c r="L111" s="818"/>
      <c r="M111" s="820">
        <v>-11848.77</v>
      </c>
      <c r="N111" s="820">
        <v>-11848.77</v>
      </c>
      <c r="O111" s="818"/>
      <c r="P111" s="818"/>
      <c r="Q111" s="818"/>
      <c r="R111" s="818"/>
      <c r="S111" s="818"/>
      <c r="T111" s="818"/>
      <c r="U111" s="818"/>
      <c r="V111" s="821"/>
      <c r="W111" s="821"/>
      <c r="X111" s="818" t="s">
        <v>1149</v>
      </c>
      <c r="Y111" s="818"/>
      <c r="Z111" s="821"/>
      <c r="AA111" s="818"/>
      <c r="AB111" s="821"/>
      <c r="AC111" s="818" t="s">
        <v>1375</v>
      </c>
      <c r="AD111" s="818" t="s">
        <v>1376</v>
      </c>
    </row>
    <row r="112" spans="1:30" x14ac:dyDescent="0.25">
      <c r="A112" s="818" t="s">
        <v>1377</v>
      </c>
      <c r="B112" s="818" t="s">
        <v>1142</v>
      </c>
      <c r="C112" s="818"/>
      <c r="D112" s="818"/>
      <c r="E112" s="818" t="s">
        <v>1378</v>
      </c>
      <c r="F112" s="818"/>
      <c r="G112" s="819">
        <v>42976.586134259262</v>
      </c>
      <c r="H112" s="819">
        <v>42976</v>
      </c>
      <c r="I112" s="818" t="s">
        <v>1328</v>
      </c>
      <c r="J112" s="818" t="s">
        <v>1346</v>
      </c>
      <c r="K112" s="821"/>
      <c r="L112" s="818"/>
      <c r="M112" s="820">
        <v>266760</v>
      </c>
      <c r="N112" s="820">
        <v>266760</v>
      </c>
      <c r="O112" s="818"/>
      <c r="P112" s="818"/>
      <c r="Q112" s="818"/>
      <c r="R112" s="818"/>
      <c r="S112" s="818"/>
      <c r="T112" s="818"/>
      <c r="U112" s="818"/>
      <c r="V112" s="821"/>
      <c r="W112" s="821"/>
      <c r="X112" s="818" t="s">
        <v>1149</v>
      </c>
      <c r="Y112" s="818"/>
      <c r="Z112" s="821"/>
      <c r="AA112" s="818"/>
      <c r="AB112" s="821"/>
      <c r="AC112" s="818" t="s">
        <v>1379</v>
      </c>
      <c r="AD112" s="818" t="s">
        <v>1380</v>
      </c>
    </row>
    <row r="113" spans="1:30" x14ac:dyDescent="0.25">
      <c r="A113" s="818" t="s">
        <v>1381</v>
      </c>
      <c r="B113" s="818" t="s">
        <v>1142</v>
      </c>
      <c r="C113" s="818"/>
      <c r="D113" s="818"/>
      <c r="E113" s="818" t="s">
        <v>1382</v>
      </c>
      <c r="F113" s="818"/>
      <c r="G113" s="819">
        <v>42976.586134259262</v>
      </c>
      <c r="H113" s="819">
        <v>42976</v>
      </c>
      <c r="I113" s="818" t="s">
        <v>1328</v>
      </c>
      <c r="J113" s="818" t="s">
        <v>1329</v>
      </c>
      <c r="K113" s="821"/>
      <c r="L113" s="818"/>
      <c r="M113" s="820">
        <v>-3241.11</v>
      </c>
      <c r="N113" s="820">
        <v>-3241.11</v>
      </c>
      <c r="O113" s="818"/>
      <c r="P113" s="818"/>
      <c r="Q113" s="818"/>
      <c r="R113" s="818"/>
      <c r="S113" s="818"/>
      <c r="T113" s="818"/>
      <c r="U113" s="818"/>
      <c r="V113" s="821"/>
      <c r="W113" s="821"/>
      <c r="X113" s="818" t="s">
        <v>1149</v>
      </c>
      <c r="Y113" s="818"/>
      <c r="Z113" s="821"/>
      <c r="AA113" s="818"/>
      <c r="AB113" s="821"/>
      <c r="AC113" s="818" t="s">
        <v>1383</v>
      </c>
      <c r="AD113" s="818" t="s">
        <v>1384</v>
      </c>
    </row>
    <row r="114" spans="1:30" x14ac:dyDescent="0.25">
      <c r="A114" s="818" t="s">
        <v>1385</v>
      </c>
      <c r="B114" s="818" t="s">
        <v>1142</v>
      </c>
      <c r="C114" s="818"/>
      <c r="D114" s="818"/>
      <c r="E114" s="818" t="s">
        <v>1386</v>
      </c>
      <c r="F114" s="818"/>
      <c r="G114" s="819">
        <v>42976.586134259262</v>
      </c>
      <c r="H114" s="819">
        <v>42976</v>
      </c>
      <c r="I114" s="818" t="s">
        <v>1328</v>
      </c>
      <c r="J114" s="818" t="s">
        <v>1346</v>
      </c>
      <c r="K114" s="821"/>
      <c r="L114" s="818"/>
      <c r="M114" s="820">
        <v>42750</v>
      </c>
      <c r="N114" s="820">
        <v>42750</v>
      </c>
      <c r="O114" s="818"/>
      <c r="P114" s="818"/>
      <c r="Q114" s="818"/>
      <c r="R114" s="818"/>
      <c r="S114" s="818"/>
      <c r="T114" s="818"/>
      <c r="U114" s="818"/>
      <c r="V114" s="821"/>
      <c r="W114" s="821"/>
      <c r="X114" s="818" t="s">
        <v>1149</v>
      </c>
      <c r="Y114" s="818"/>
      <c r="Z114" s="821"/>
      <c r="AA114" s="818"/>
      <c r="AB114" s="821"/>
      <c r="AC114" s="818" t="s">
        <v>1387</v>
      </c>
      <c r="AD114" s="818" t="s">
        <v>1388</v>
      </c>
    </row>
    <row r="115" spans="1:30" x14ac:dyDescent="0.25">
      <c r="A115" s="818" t="s">
        <v>1389</v>
      </c>
      <c r="B115" s="818" t="s">
        <v>1142</v>
      </c>
      <c r="C115" s="818"/>
      <c r="D115" s="818"/>
      <c r="E115" s="818" t="s">
        <v>1390</v>
      </c>
      <c r="F115" s="818"/>
      <c r="G115" s="819">
        <v>42976.586134259262</v>
      </c>
      <c r="H115" s="819">
        <v>42976</v>
      </c>
      <c r="I115" s="818" t="s">
        <v>1328</v>
      </c>
      <c r="J115" s="818" t="s">
        <v>1346</v>
      </c>
      <c r="K115" s="821"/>
      <c r="L115" s="818"/>
      <c r="M115" s="820">
        <v>288806</v>
      </c>
      <c r="N115" s="820">
        <v>288806</v>
      </c>
      <c r="O115" s="818"/>
      <c r="P115" s="818"/>
      <c r="Q115" s="818"/>
      <c r="R115" s="818"/>
      <c r="S115" s="818"/>
      <c r="T115" s="818"/>
      <c r="U115" s="818"/>
      <c r="V115" s="821"/>
      <c r="W115" s="821"/>
      <c r="X115" s="818" t="s">
        <v>1149</v>
      </c>
      <c r="Y115" s="818"/>
      <c r="Z115" s="821"/>
      <c r="AA115" s="818"/>
      <c r="AB115" s="821"/>
      <c r="AC115" s="818" t="s">
        <v>1391</v>
      </c>
      <c r="AD115" s="818" t="s">
        <v>1392</v>
      </c>
    </row>
    <row r="116" spans="1:30" x14ac:dyDescent="0.25">
      <c r="A116" s="818" t="s">
        <v>1393</v>
      </c>
      <c r="B116" s="818" t="s">
        <v>1142</v>
      </c>
      <c r="C116" s="818"/>
      <c r="D116" s="818"/>
      <c r="E116" s="818" t="s">
        <v>1394</v>
      </c>
      <c r="F116" s="818"/>
      <c r="G116" s="819">
        <v>42976.548807870371</v>
      </c>
      <c r="H116" s="819">
        <v>42976</v>
      </c>
      <c r="I116" s="818" t="s">
        <v>1328</v>
      </c>
      <c r="J116" s="818" t="s">
        <v>1329</v>
      </c>
      <c r="K116" s="821"/>
      <c r="L116" s="818"/>
      <c r="M116" s="820">
        <v>-421.95</v>
      </c>
      <c r="N116" s="820">
        <v>-421.95</v>
      </c>
      <c r="O116" s="818"/>
      <c r="P116" s="818"/>
      <c r="Q116" s="818"/>
      <c r="R116" s="818"/>
      <c r="S116" s="818"/>
      <c r="T116" s="818"/>
      <c r="U116" s="818"/>
      <c r="V116" s="821"/>
      <c r="W116" s="821"/>
      <c r="X116" s="818" t="s">
        <v>1149</v>
      </c>
      <c r="Y116" s="818"/>
      <c r="Z116" s="821"/>
      <c r="AA116" s="818"/>
      <c r="AB116" s="821"/>
      <c r="AC116" s="818" t="s">
        <v>1395</v>
      </c>
      <c r="AD116" s="818" t="s">
        <v>1396</v>
      </c>
    </row>
    <row r="117" spans="1:30" x14ac:dyDescent="0.25">
      <c r="A117" s="818" t="s">
        <v>1397</v>
      </c>
      <c r="B117" s="818" t="s">
        <v>1142</v>
      </c>
      <c r="C117" s="818"/>
      <c r="D117" s="818"/>
      <c r="E117" s="818" t="s">
        <v>1398</v>
      </c>
      <c r="F117" s="818"/>
      <c r="G117" s="819">
        <v>42976.586157407408</v>
      </c>
      <c r="H117" s="819">
        <v>42976</v>
      </c>
      <c r="I117" s="818" t="s">
        <v>1328</v>
      </c>
      <c r="J117" s="818" t="s">
        <v>1346</v>
      </c>
      <c r="K117" s="821"/>
      <c r="L117" s="818"/>
      <c r="M117" s="820">
        <v>102524.81</v>
      </c>
      <c r="N117" s="820">
        <v>102524.81</v>
      </c>
      <c r="O117" s="818"/>
      <c r="P117" s="818"/>
      <c r="Q117" s="818"/>
      <c r="R117" s="818"/>
      <c r="S117" s="818"/>
      <c r="T117" s="818"/>
      <c r="U117" s="818"/>
      <c r="V117" s="821"/>
      <c r="W117" s="821"/>
      <c r="X117" s="818" t="s">
        <v>1149</v>
      </c>
      <c r="Y117" s="818"/>
      <c r="Z117" s="821"/>
      <c r="AA117" s="818"/>
      <c r="AB117" s="821"/>
      <c r="AC117" s="818" t="s">
        <v>1399</v>
      </c>
      <c r="AD117" s="818" t="s">
        <v>1400</v>
      </c>
    </row>
    <row r="118" spans="1:30" x14ac:dyDescent="0.25">
      <c r="A118" s="818" t="s">
        <v>1401</v>
      </c>
      <c r="B118" s="818" t="s">
        <v>1142</v>
      </c>
      <c r="C118" s="818"/>
      <c r="D118" s="818"/>
      <c r="E118" s="818" t="s">
        <v>1402</v>
      </c>
      <c r="F118" s="818"/>
      <c r="G118" s="819">
        <v>42976.548807870371</v>
      </c>
      <c r="H118" s="819">
        <v>42976</v>
      </c>
      <c r="I118" s="818" t="s">
        <v>1328</v>
      </c>
      <c r="J118" s="818" t="s">
        <v>1329</v>
      </c>
      <c r="K118" s="821"/>
      <c r="L118" s="818"/>
      <c r="M118" s="820">
        <v>-480.15</v>
      </c>
      <c r="N118" s="820">
        <v>-480.15</v>
      </c>
      <c r="O118" s="818"/>
      <c r="P118" s="818"/>
      <c r="Q118" s="818"/>
      <c r="R118" s="818"/>
      <c r="S118" s="818"/>
      <c r="T118" s="818"/>
      <c r="U118" s="818"/>
      <c r="V118" s="821"/>
      <c r="W118" s="821"/>
      <c r="X118" s="818" t="s">
        <v>1149</v>
      </c>
      <c r="Y118" s="818"/>
      <c r="Z118" s="821"/>
      <c r="AA118" s="818"/>
      <c r="AB118" s="821"/>
      <c r="AC118" s="818" t="s">
        <v>1403</v>
      </c>
      <c r="AD118" s="818" t="s">
        <v>1404</v>
      </c>
    </row>
    <row r="119" spans="1:30" x14ac:dyDescent="0.25">
      <c r="A119" s="818" t="s">
        <v>1405</v>
      </c>
      <c r="B119" s="818" t="s">
        <v>1142</v>
      </c>
      <c r="C119" s="818"/>
      <c r="D119" s="818"/>
      <c r="E119" s="818" t="s">
        <v>1394</v>
      </c>
      <c r="F119" s="818"/>
      <c r="G119" s="819">
        <v>42976.548807870371</v>
      </c>
      <c r="H119" s="819">
        <v>42976</v>
      </c>
      <c r="I119" s="818" t="s">
        <v>1328</v>
      </c>
      <c r="J119" s="818" t="s">
        <v>1329</v>
      </c>
      <c r="K119" s="821"/>
      <c r="L119" s="818"/>
      <c r="M119" s="820">
        <v>-158886.26</v>
      </c>
      <c r="N119" s="820">
        <v>-158886.26</v>
      </c>
      <c r="O119" s="818"/>
      <c r="P119" s="818"/>
      <c r="Q119" s="818"/>
      <c r="R119" s="818"/>
      <c r="S119" s="818"/>
      <c r="T119" s="818"/>
      <c r="U119" s="818"/>
      <c r="V119" s="821"/>
      <c r="W119" s="821"/>
      <c r="X119" s="818" t="s">
        <v>1149</v>
      </c>
      <c r="Y119" s="818"/>
      <c r="Z119" s="821"/>
      <c r="AA119" s="818"/>
      <c r="AB119" s="821"/>
      <c r="AC119" s="818" t="s">
        <v>1406</v>
      </c>
      <c r="AD119" s="818" t="s">
        <v>1407</v>
      </c>
    </row>
    <row r="120" spans="1:30" x14ac:dyDescent="0.25">
      <c r="A120" s="818" t="s">
        <v>1408</v>
      </c>
      <c r="B120" s="818" t="s">
        <v>1142</v>
      </c>
      <c r="C120" s="818"/>
      <c r="D120" s="818"/>
      <c r="E120" s="818" t="s">
        <v>1402</v>
      </c>
      <c r="F120" s="818"/>
      <c r="G120" s="819">
        <v>42976.548807870371</v>
      </c>
      <c r="H120" s="819">
        <v>42976</v>
      </c>
      <c r="I120" s="818" t="s">
        <v>1328</v>
      </c>
      <c r="J120" s="818" t="s">
        <v>1329</v>
      </c>
      <c r="K120" s="821"/>
      <c r="L120" s="818"/>
      <c r="M120" s="820">
        <v>-84635.85</v>
      </c>
      <c r="N120" s="820">
        <v>-84635.85</v>
      </c>
      <c r="O120" s="818"/>
      <c r="P120" s="818"/>
      <c r="Q120" s="818"/>
      <c r="R120" s="818"/>
      <c r="S120" s="818"/>
      <c r="T120" s="818"/>
      <c r="U120" s="818"/>
      <c r="V120" s="821"/>
      <c r="W120" s="821"/>
      <c r="X120" s="818" t="s">
        <v>1149</v>
      </c>
      <c r="Y120" s="818"/>
      <c r="Z120" s="821"/>
      <c r="AA120" s="818"/>
      <c r="AB120" s="821"/>
      <c r="AC120" s="818" t="s">
        <v>1409</v>
      </c>
      <c r="AD120" s="818" t="s">
        <v>1410</v>
      </c>
    </row>
    <row r="121" spans="1:30" x14ac:dyDescent="0.25">
      <c r="A121" s="818" t="s">
        <v>1411</v>
      </c>
      <c r="B121" s="818" t="s">
        <v>1142</v>
      </c>
      <c r="C121" s="818"/>
      <c r="D121" s="818"/>
      <c r="E121" s="818" t="s">
        <v>1412</v>
      </c>
      <c r="F121" s="818"/>
      <c r="G121" s="819">
        <v>42976.548113425924</v>
      </c>
      <c r="H121" s="819">
        <v>42976</v>
      </c>
      <c r="I121" s="818" t="s">
        <v>1328</v>
      </c>
      <c r="J121" s="818" t="s">
        <v>1329</v>
      </c>
      <c r="K121" s="821"/>
      <c r="L121" s="818"/>
      <c r="M121" s="820">
        <v>-421.95</v>
      </c>
      <c r="N121" s="820">
        <v>-421.95</v>
      </c>
      <c r="O121" s="818"/>
      <c r="P121" s="818"/>
      <c r="Q121" s="818"/>
      <c r="R121" s="818"/>
      <c r="S121" s="818"/>
      <c r="T121" s="818"/>
      <c r="U121" s="818"/>
      <c r="V121" s="821"/>
      <c r="W121" s="821"/>
      <c r="X121" s="818" t="s">
        <v>1149</v>
      </c>
      <c r="Y121" s="818"/>
      <c r="Z121" s="821"/>
      <c r="AA121" s="818"/>
      <c r="AB121" s="821"/>
      <c r="AC121" s="818" t="s">
        <v>1413</v>
      </c>
      <c r="AD121" s="818" t="s">
        <v>1414</v>
      </c>
    </row>
    <row r="122" spans="1:30" x14ac:dyDescent="0.25">
      <c r="A122" s="818" t="s">
        <v>1415</v>
      </c>
      <c r="B122" s="818" t="s">
        <v>1142</v>
      </c>
      <c r="C122" s="818"/>
      <c r="D122" s="818"/>
      <c r="E122" s="818" t="s">
        <v>1416</v>
      </c>
      <c r="F122" s="818"/>
      <c r="G122" s="819">
        <v>42976.548113425924</v>
      </c>
      <c r="H122" s="819">
        <v>42976</v>
      </c>
      <c r="I122" s="818" t="s">
        <v>1328</v>
      </c>
      <c r="J122" s="818" t="s">
        <v>1329</v>
      </c>
      <c r="K122" s="821"/>
      <c r="L122" s="818"/>
      <c r="M122" s="820">
        <v>-712.95</v>
      </c>
      <c r="N122" s="820">
        <v>-712.95</v>
      </c>
      <c r="O122" s="818"/>
      <c r="P122" s="818"/>
      <c r="Q122" s="818"/>
      <c r="R122" s="818"/>
      <c r="S122" s="818"/>
      <c r="T122" s="818"/>
      <c r="U122" s="818"/>
      <c r="V122" s="821"/>
      <c r="W122" s="821"/>
      <c r="X122" s="818" t="s">
        <v>1149</v>
      </c>
      <c r="Y122" s="818"/>
      <c r="Z122" s="821"/>
      <c r="AA122" s="818"/>
      <c r="AB122" s="821"/>
      <c r="AC122" s="818" t="s">
        <v>1417</v>
      </c>
      <c r="AD122" s="818" t="s">
        <v>1418</v>
      </c>
    </row>
    <row r="123" spans="1:30" x14ac:dyDescent="0.25">
      <c r="A123" s="818" t="s">
        <v>1419</v>
      </c>
      <c r="B123" s="818" t="s">
        <v>1142</v>
      </c>
      <c r="C123" s="818"/>
      <c r="D123" s="818"/>
      <c r="E123" s="818" t="s">
        <v>1412</v>
      </c>
      <c r="F123" s="818"/>
      <c r="G123" s="819">
        <v>42976.548113425924</v>
      </c>
      <c r="H123" s="819">
        <v>42976</v>
      </c>
      <c r="I123" s="818" t="s">
        <v>1328</v>
      </c>
      <c r="J123" s="818" t="s">
        <v>1329</v>
      </c>
      <c r="K123" s="821"/>
      <c r="L123" s="818"/>
      <c r="M123" s="820">
        <v>-138143.54</v>
      </c>
      <c r="N123" s="820">
        <v>-138143.54</v>
      </c>
      <c r="O123" s="818"/>
      <c r="P123" s="818"/>
      <c r="Q123" s="818"/>
      <c r="R123" s="818"/>
      <c r="S123" s="818"/>
      <c r="T123" s="818"/>
      <c r="U123" s="818"/>
      <c r="V123" s="821"/>
      <c r="W123" s="821"/>
      <c r="X123" s="818" t="s">
        <v>1149</v>
      </c>
      <c r="Y123" s="818"/>
      <c r="Z123" s="821"/>
      <c r="AA123" s="818"/>
      <c r="AB123" s="821"/>
      <c r="AC123" s="818" t="s">
        <v>1420</v>
      </c>
      <c r="AD123" s="818" t="s">
        <v>1421</v>
      </c>
    </row>
    <row r="124" spans="1:30" x14ac:dyDescent="0.25">
      <c r="A124" s="818" t="s">
        <v>1422</v>
      </c>
      <c r="B124" s="818" t="s">
        <v>1142</v>
      </c>
      <c r="C124" s="818"/>
      <c r="D124" s="818"/>
      <c r="E124" s="818" t="s">
        <v>1416</v>
      </c>
      <c r="F124" s="818"/>
      <c r="G124" s="819">
        <v>42976.548113425924</v>
      </c>
      <c r="H124" s="819">
        <v>42976</v>
      </c>
      <c r="I124" s="818" t="s">
        <v>1328</v>
      </c>
      <c r="J124" s="818" t="s">
        <v>1329</v>
      </c>
      <c r="K124" s="821"/>
      <c r="L124" s="818"/>
      <c r="M124" s="820">
        <v>-254054.21</v>
      </c>
      <c r="N124" s="820">
        <v>-254054.21</v>
      </c>
      <c r="O124" s="818"/>
      <c r="P124" s="818"/>
      <c r="Q124" s="818"/>
      <c r="R124" s="818"/>
      <c r="S124" s="818"/>
      <c r="T124" s="818"/>
      <c r="U124" s="818"/>
      <c r="V124" s="821"/>
      <c r="W124" s="821"/>
      <c r="X124" s="818" t="s">
        <v>1149</v>
      </c>
      <c r="Y124" s="818"/>
      <c r="Z124" s="821"/>
      <c r="AA124" s="818"/>
      <c r="AB124" s="821"/>
      <c r="AC124" s="818" t="s">
        <v>1423</v>
      </c>
      <c r="AD124" s="818" t="s">
        <v>1424</v>
      </c>
    </row>
    <row r="125" spans="1:30" x14ac:dyDescent="0.25">
      <c r="A125" s="818" t="s">
        <v>1425</v>
      </c>
      <c r="B125" s="818" t="s">
        <v>1142</v>
      </c>
      <c r="C125" s="818"/>
      <c r="D125" s="818"/>
      <c r="E125" s="818" t="s">
        <v>1398</v>
      </c>
      <c r="F125" s="818"/>
      <c r="G125" s="819">
        <v>42976.421064814815</v>
      </c>
      <c r="H125" s="819">
        <v>42976.801759259259</v>
      </c>
      <c r="I125" s="818" t="s">
        <v>1328</v>
      </c>
      <c r="J125" s="818" t="s">
        <v>1329</v>
      </c>
      <c r="K125" s="821"/>
      <c r="L125" s="818"/>
      <c r="M125" s="820">
        <v>-8372.92</v>
      </c>
      <c r="N125" s="820">
        <v>-8372.92</v>
      </c>
      <c r="O125" s="818"/>
      <c r="P125" s="818"/>
      <c r="Q125" s="818"/>
      <c r="R125" s="818"/>
      <c r="S125" s="818"/>
      <c r="T125" s="818"/>
      <c r="U125" s="818"/>
      <c r="V125" s="821"/>
      <c r="W125" s="821"/>
      <c r="X125" s="818" t="s">
        <v>1149</v>
      </c>
      <c r="Y125" s="818"/>
      <c r="Z125" s="821"/>
      <c r="AA125" s="818"/>
      <c r="AB125" s="821"/>
      <c r="AC125" s="818" t="s">
        <v>1426</v>
      </c>
      <c r="AD125" s="818" t="s">
        <v>1427</v>
      </c>
    </row>
    <row r="126" spans="1:30" x14ac:dyDescent="0.25">
      <c r="A126" s="818" t="s">
        <v>1428</v>
      </c>
      <c r="B126" s="818" t="s">
        <v>1142</v>
      </c>
      <c r="C126" s="818"/>
      <c r="D126" s="818"/>
      <c r="E126" s="818" t="s">
        <v>1412</v>
      </c>
      <c r="F126" s="818"/>
      <c r="G126" s="819">
        <v>42976.421064814815</v>
      </c>
      <c r="H126" s="819">
        <v>42976.801064814812</v>
      </c>
      <c r="I126" s="818" t="s">
        <v>1328</v>
      </c>
      <c r="J126" s="818" t="s">
        <v>1346</v>
      </c>
      <c r="K126" s="821"/>
      <c r="L126" s="818"/>
      <c r="M126" s="820">
        <v>715919.82</v>
      </c>
      <c r="N126" s="820">
        <v>715919.82</v>
      </c>
      <c r="O126" s="818"/>
      <c r="P126" s="818"/>
      <c r="Q126" s="818"/>
      <c r="R126" s="818"/>
      <c r="S126" s="818"/>
      <c r="T126" s="818"/>
      <c r="U126" s="818"/>
      <c r="V126" s="821"/>
      <c r="W126" s="821"/>
      <c r="X126" s="818" t="s">
        <v>1149</v>
      </c>
      <c r="Y126" s="818"/>
      <c r="Z126" s="821"/>
      <c r="AA126" s="818"/>
      <c r="AB126" s="821"/>
      <c r="AC126" s="818" t="s">
        <v>1429</v>
      </c>
      <c r="AD126" s="818" t="s">
        <v>1430</v>
      </c>
    </row>
    <row r="127" spans="1:30" x14ac:dyDescent="0.25">
      <c r="A127" s="818" t="s">
        <v>1431</v>
      </c>
      <c r="B127" s="818" t="s">
        <v>1142</v>
      </c>
      <c r="C127" s="818"/>
      <c r="D127" s="818"/>
      <c r="E127" s="818" t="s">
        <v>1327</v>
      </c>
      <c r="F127" s="818"/>
      <c r="G127" s="819">
        <v>42976.421064814815</v>
      </c>
      <c r="H127" s="819">
        <v>42976.801064814812</v>
      </c>
      <c r="I127" s="818" t="s">
        <v>1328</v>
      </c>
      <c r="J127" s="818" t="s">
        <v>1329</v>
      </c>
      <c r="K127" s="821"/>
      <c r="L127" s="818"/>
      <c r="M127" s="820">
        <v>-1768.99</v>
      </c>
      <c r="N127" s="820">
        <v>-1768.99</v>
      </c>
      <c r="O127" s="818"/>
      <c r="P127" s="818"/>
      <c r="Q127" s="818"/>
      <c r="R127" s="818"/>
      <c r="S127" s="818"/>
      <c r="T127" s="818"/>
      <c r="U127" s="818"/>
      <c r="V127" s="821"/>
      <c r="W127" s="821"/>
      <c r="X127" s="818" t="s">
        <v>1149</v>
      </c>
      <c r="Y127" s="818"/>
      <c r="Z127" s="821"/>
      <c r="AA127" s="818"/>
      <c r="AB127" s="821"/>
      <c r="AC127" s="818" t="s">
        <v>1432</v>
      </c>
      <c r="AD127" s="818" t="s">
        <v>1433</v>
      </c>
    </row>
    <row r="128" spans="1:30" x14ac:dyDescent="0.25">
      <c r="A128" s="818" t="s">
        <v>1434</v>
      </c>
      <c r="B128" s="818" t="s">
        <v>1142</v>
      </c>
      <c r="C128" s="818"/>
      <c r="D128" s="818"/>
      <c r="E128" s="818" t="s">
        <v>1394</v>
      </c>
      <c r="F128" s="818"/>
      <c r="G128" s="819">
        <v>42976.421064814815</v>
      </c>
      <c r="H128" s="819">
        <v>42976.801759259259</v>
      </c>
      <c r="I128" s="818" t="s">
        <v>1328</v>
      </c>
      <c r="J128" s="818" t="s">
        <v>1346</v>
      </c>
      <c r="K128" s="821"/>
      <c r="L128" s="818"/>
      <c r="M128" s="820">
        <v>729210.14</v>
      </c>
      <c r="N128" s="820">
        <v>729210.14</v>
      </c>
      <c r="O128" s="818"/>
      <c r="P128" s="818"/>
      <c r="Q128" s="818"/>
      <c r="R128" s="818"/>
      <c r="S128" s="818"/>
      <c r="T128" s="818"/>
      <c r="U128" s="818"/>
      <c r="V128" s="821"/>
      <c r="W128" s="821"/>
      <c r="X128" s="818" t="s">
        <v>1149</v>
      </c>
      <c r="Y128" s="818"/>
      <c r="Z128" s="821"/>
      <c r="AA128" s="818"/>
      <c r="AB128" s="821"/>
      <c r="AC128" s="818" t="s">
        <v>1435</v>
      </c>
      <c r="AD128" s="818" t="s">
        <v>1436</v>
      </c>
    </row>
    <row r="129" spans="1:30" x14ac:dyDescent="0.25">
      <c r="A129" s="818" t="s">
        <v>1437</v>
      </c>
      <c r="B129" s="818" t="s">
        <v>1142</v>
      </c>
      <c r="C129" s="818"/>
      <c r="D129" s="818"/>
      <c r="E129" s="818" t="s">
        <v>1333</v>
      </c>
      <c r="F129" s="818"/>
      <c r="G129" s="819">
        <v>42976.421064814815</v>
      </c>
      <c r="H129" s="819">
        <v>42976.801064814812</v>
      </c>
      <c r="I129" s="818" t="s">
        <v>1328</v>
      </c>
      <c r="J129" s="818" t="s">
        <v>1329</v>
      </c>
      <c r="K129" s="821"/>
      <c r="L129" s="818"/>
      <c r="M129" s="820">
        <v>-17455.36</v>
      </c>
      <c r="N129" s="820">
        <v>-17455.36</v>
      </c>
      <c r="O129" s="818"/>
      <c r="P129" s="818"/>
      <c r="Q129" s="818"/>
      <c r="R129" s="818"/>
      <c r="S129" s="818"/>
      <c r="T129" s="818"/>
      <c r="U129" s="818"/>
      <c r="V129" s="821"/>
      <c r="W129" s="821"/>
      <c r="X129" s="818" t="s">
        <v>1149</v>
      </c>
      <c r="Y129" s="818"/>
      <c r="Z129" s="821"/>
      <c r="AA129" s="818"/>
      <c r="AB129" s="821"/>
      <c r="AC129" s="818" t="s">
        <v>1438</v>
      </c>
      <c r="AD129" s="818" t="s">
        <v>1439</v>
      </c>
    </row>
    <row r="130" spans="1:30" x14ac:dyDescent="0.25">
      <c r="A130" s="818" t="s">
        <v>1440</v>
      </c>
      <c r="B130" s="818" t="s">
        <v>1142</v>
      </c>
      <c r="C130" s="818"/>
      <c r="D130" s="818"/>
      <c r="E130" s="818" t="s">
        <v>1337</v>
      </c>
      <c r="F130" s="818"/>
      <c r="G130" s="819">
        <v>42976.421064814815</v>
      </c>
      <c r="H130" s="819">
        <v>42976.801759259259</v>
      </c>
      <c r="I130" s="818" t="s">
        <v>1328</v>
      </c>
      <c r="J130" s="818" t="s">
        <v>1329</v>
      </c>
      <c r="K130" s="821"/>
      <c r="L130" s="818"/>
      <c r="M130" s="820">
        <v>-913.81</v>
      </c>
      <c r="N130" s="820">
        <v>-913.81</v>
      </c>
      <c r="O130" s="818"/>
      <c r="P130" s="818"/>
      <c r="Q130" s="818"/>
      <c r="R130" s="818"/>
      <c r="S130" s="818"/>
      <c r="T130" s="818"/>
      <c r="U130" s="818"/>
      <c r="V130" s="821"/>
      <c r="W130" s="821"/>
      <c r="X130" s="818" t="s">
        <v>1149</v>
      </c>
      <c r="Y130" s="818"/>
      <c r="Z130" s="821"/>
      <c r="AA130" s="818"/>
      <c r="AB130" s="821"/>
      <c r="AC130" s="818" t="s">
        <v>1441</v>
      </c>
      <c r="AD130" s="818" t="s">
        <v>1442</v>
      </c>
    </row>
    <row r="131" spans="1:30" x14ac:dyDescent="0.25">
      <c r="A131" s="818" t="s">
        <v>1443</v>
      </c>
      <c r="B131" s="818" t="s">
        <v>1142</v>
      </c>
      <c r="C131" s="818"/>
      <c r="D131" s="818"/>
      <c r="E131" s="818" t="s">
        <v>1341</v>
      </c>
      <c r="F131" s="818"/>
      <c r="G131" s="819">
        <v>42976.421064814815</v>
      </c>
      <c r="H131" s="819">
        <v>42976.801759259259</v>
      </c>
      <c r="I131" s="818" t="s">
        <v>1328</v>
      </c>
      <c r="J131" s="818" t="s">
        <v>1329</v>
      </c>
      <c r="K131" s="821"/>
      <c r="L131" s="818"/>
      <c r="M131" s="820">
        <v>-10496.67</v>
      </c>
      <c r="N131" s="820">
        <v>-10496.67</v>
      </c>
      <c r="O131" s="818"/>
      <c r="P131" s="818"/>
      <c r="Q131" s="818"/>
      <c r="R131" s="818"/>
      <c r="S131" s="818"/>
      <c r="T131" s="818"/>
      <c r="U131" s="818"/>
      <c r="V131" s="821"/>
      <c r="W131" s="821"/>
      <c r="X131" s="818" t="s">
        <v>1149</v>
      </c>
      <c r="Y131" s="818"/>
      <c r="Z131" s="821"/>
      <c r="AA131" s="818"/>
      <c r="AB131" s="821"/>
      <c r="AC131" s="818" t="s">
        <v>1444</v>
      </c>
      <c r="AD131" s="818" t="s">
        <v>1445</v>
      </c>
    </row>
    <row r="132" spans="1:30" x14ac:dyDescent="0.25">
      <c r="A132" s="818" t="s">
        <v>1446</v>
      </c>
      <c r="B132" s="818" t="s">
        <v>1142</v>
      </c>
      <c r="C132" s="818"/>
      <c r="D132" s="818"/>
      <c r="E132" s="818" t="s">
        <v>1345</v>
      </c>
      <c r="F132" s="818"/>
      <c r="G132" s="819">
        <v>42976.421064814815</v>
      </c>
      <c r="H132" s="819">
        <v>42976.801759259259</v>
      </c>
      <c r="I132" s="818" t="s">
        <v>1328</v>
      </c>
      <c r="J132" s="818" t="s">
        <v>1329</v>
      </c>
      <c r="K132" s="821"/>
      <c r="L132" s="818"/>
      <c r="M132" s="820">
        <v>-10660</v>
      </c>
      <c r="N132" s="820">
        <v>-10660</v>
      </c>
      <c r="O132" s="818"/>
      <c r="P132" s="818"/>
      <c r="Q132" s="818"/>
      <c r="R132" s="818"/>
      <c r="S132" s="818"/>
      <c r="T132" s="818"/>
      <c r="U132" s="818"/>
      <c r="V132" s="821"/>
      <c r="W132" s="821"/>
      <c r="X132" s="818" t="s">
        <v>1149</v>
      </c>
      <c r="Y132" s="818"/>
      <c r="Z132" s="821"/>
      <c r="AA132" s="818"/>
      <c r="AB132" s="821"/>
      <c r="AC132" s="818" t="s">
        <v>1447</v>
      </c>
      <c r="AD132" s="818" t="s">
        <v>1448</v>
      </c>
    </row>
    <row r="133" spans="1:30" x14ac:dyDescent="0.25">
      <c r="A133" s="818" t="s">
        <v>1449</v>
      </c>
      <c r="B133" s="818" t="s">
        <v>1142</v>
      </c>
      <c r="C133" s="818"/>
      <c r="D133" s="818"/>
      <c r="E133" s="818" t="s">
        <v>1350</v>
      </c>
      <c r="F133" s="818"/>
      <c r="G133" s="819">
        <v>42976.421064814815</v>
      </c>
      <c r="H133" s="819">
        <v>42976.801759259259</v>
      </c>
      <c r="I133" s="818" t="s">
        <v>1328</v>
      </c>
      <c r="J133" s="818" t="s">
        <v>1329</v>
      </c>
      <c r="K133" s="821"/>
      <c r="L133" s="818"/>
      <c r="M133" s="820">
        <v>-17455.36</v>
      </c>
      <c r="N133" s="820">
        <v>-17455.36</v>
      </c>
      <c r="O133" s="818"/>
      <c r="P133" s="818"/>
      <c r="Q133" s="818"/>
      <c r="R133" s="818"/>
      <c r="S133" s="818"/>
      <c r="T133" s="818"/>
      <c r="U133" s="818"/>
      <c r="V133" s="821"/>
      <c r="W133" s="821"/>
      <c r="X133" s="818" t="s">
        <v>1149</v>
      </c>
      <c r="Y133" s="818"/>
      <c r="Z133" s="821"/>
      <c r="AA133" s="818"/>
      <c r="AB133" s="821"/>
      <c r="AC133" s="818" t="s">
        <v>1450</v>
      </c>
      <c r="AD133" s="818" t="s">
        <v>1451</v>
      </c>
    </row>
    <row r="134" spans="1:30" x14ac:dyDescent="0.25">
      <c r="A134" s="818" t="s">
        <v>1452</v>
      </c>
      <c r="B134" s="818" t="s">
        <v>1142</v>
      </c>
      <c r="C134" s="818"/>
      <c r="D134" s="818"/>
      <c r="E134" s="818" t="s">
        <v>1354</v>
      </c>
      <c r="F134" s="818"/>
      <c r="G134" s="819">
        <v>42976.421064814815</v>
      </c>
      <c r="H134" s="819">
        <v>42976.801759259259</v>
      </c>
      <c r="I134" s="818" t="s">
        <v>1328</v>
      </c>
      <c r="J134" s="818" t="s">
        <v>1329</v>
      </c>
      <c r="K134" s="821"/>
      <c r="L134" s="818"/>
      <c r="M134" s="820">
        <v>-5375.6</v>
      </c>
      <c r="N134" s="820">
        <v>-5375.6</v>
      </c>
      <c r="O134" s="818"/>
      <c r="P134" s="818"/>
      <c r="Q134" s="818"/>
      <c r="R134" s="818"/>
      <c r="S134" s="818"/>
      <c r="T134" s="818"/>
      <c r="U134" s="818"/>
      <c r="V134" s="821"/>
      <c r="W134" s="821"/>
      <c r="X134" s="818" t="s">
        <v>1149</v>
      </c>
      <c r="Y134" s="818"/>
      <c r="Z134" s="821"/>
      <c r="AA134" s="818"/>
      <c r="AB134" s="821"/>
      <c r="AC134" s="818" t="s">
        <v>1453</v>
      </c>
      <c r="AD134" s="818" t="s">
        <v>1454</v>
      </c>
    </row>
    <row r="135" spans="1:30" x14ac:dyDescent="0.25">
      <c r="A135" s="818" t="s">
        <v>1455</v>
      </c>
      <c r="B135" s="818" t="s">
        <v>1142</v>
      </c>
      <c r="C135" s="818"/>
      <c r="D135" s="818"/>
      <c r="E135" s="818" t="s">
        <v>1402</v>
      </c>
      <c r="F135" s="818"/>
      <c r="G135" s="819">
        <v>42976.421064814815</v>
      </c>
      <c r="H135" s="819">
        <v>42976.801759259259</v>
      </c>
      <c r="I135" s="818" t="s">
        <v>1328</v>
      </c>
      <c r="J135" s="818" t="s">
        <v>1346</v>
      </c>
      <c r="K135" s="821"/>
      <c r="L135" s="818"/>
      <c r="M135" s="820">
        <v>797040.18</v>
      </c>
      <c r="N135" s="820">
        <v>797040.18</v>
      </c>
      <c r="O135" s="818"/>
      <c r="P135" s="818"/>
      <c r="Q135" s="818"/>
      <c r="R135" s="818"/>
      <c r="S135" s="818"/>
      <c r="T135" s="818"/>
      <c r="U135" s="818"/>
      <c r="V135" s="821"/>
      <c r="W135" s="821"/>
      <c r="X135" s="818" t="s">
        <v>1149</v>
      </c>
      <c r="Y135" s="818"/>
      <c r="Z135" s="821"/>
      <c r="AA135" s="818"/>
      <c r="AB135" s="821"/>
      <c r="AC135" s="818" t="s">
        <v>1456</v>
      </c>
      <c r="AD135" s="818" t="s">
        <v>1457</v>
      </c>
    </row>
    <row r="136" spans="1:30" x14ac:dyDescent="0.25">
      <c r="A136" s="818" t="s">
        <v>1458</v>
      </c>
      <c r="B136" s="818" t="s">
        <v>1142</v>
      </c>
      <c r="C136" s="818"/>
      <c r="D136" s="818"/>
      <c r="E136" s="818" t="s">
        <v>1358</v>
      </c>
      <c r="F136" s="818"/>
      <c r="G136" s="819">
        <v>42976.421064814815</v>
      </c>
      <c r="H136" s="819">
        <v>42976.801759259259</v>
      </c>
      <c r="I136" s="818" t="s">
        <v>1328</v>
      </c>
      <c r="J136" s="818" t="s">
        <v>1329</v>
      </c>
      <c r="K136" s="821"/>
      <c r="L136" s="818"/>
      <c r="M136" s="820">
        <v>-6983.01</v>
      </c>
      <c r="N136" s="820">
        <v>-6983.01</v>
      </c>
      <c r="O136" s="818"/>
      <c r="P136" s="818"/>
      <c r="Q136" s="818"/>
      <c r="R136" s="818"/>
      <c r="S136" s="818"/>
      <c r="T136" s="818"/>
      <c r="U136" s="818"/>
      <c r="V136" s="821"/>
      <c r="W136" s="821"/>
      <c r="X136" s="818" t="s">
        <v>1149</v>
      </c>
      <c r="Y136" s="818"/>
      <c r="Z136" s="821"/>
      <c r="AA136" s="818"/>
      <c r="AB136" s="821"/>
      <c r="AC136" s="818" t="s">
        <v>1459</v>
      </c>
      <c r="AD136" s="818" t="s">
        <v>1460</v>
      </c>
    </row>
    <row r="137" spans="1:30" x14ac:dyDescent="0.25">
      <c r="A137" s="818" t="s">
        <v>1461</v>
      </c>
      <c r="B137" s="818" t="s">
        <v>1142</v>
      </c>
      <c r="C137" s="818"/>
      <c r="D137" s="818"/>
      <c r="E137" s="818" t="s">
        <v>1362</v>
      </c>
      <c r="F137" s="818"/>
      <c r="G137" s="819">
        <v>42976.421064814815</v>
      </c>
      <c r="H137" s="819">
        <v>42976.801759259259</v>
      </c>
      <c r="I137" s="818" t="s">
        <v>1328</v>
      </c>
      <c r="J137" s="818" t="s">
        <v>1329</v>
      </c>
      <c r="K137" s="821"/>
      <c r="L137" s="818"/>
      <c r="M137" s="820">
        <v>-3756.19</v>
      </c>
      <c r="N137" s="820">
        <v>-3756.19</v>
      </c>
      <c r="O137" s="818"/>
      <c r="P137" s="818"/>
      <c r="Q137" s="818"/>
      <c r="R137" s="818"/>
      <c r="S137" s="818"/>
      <c r="T137" s="818"/>
      <c r="U137" s="818"/>
      <c r="V137" s="821"/>
      <c r="W137" s="821"/>
      <c r="X137" s="818" t="s">
        <v>1149</v>
      </c>
      <c r="Y137" s="818"/>
      <c r="Z137" s="821"/>
      <c r="AA137" s="818"/>
      <c r="AB137" s="821"/>
      <c r="AC137" s="818" t="s">
        <v>1462</v>
      </c>
      <c r="AD137" s="818" t="s">
        <v>1463</v>
      </c>
    </row>
    <row r="138" spans="1:30" x14ac:dyDescent="0.25">
      <c r="A138" s="818" t="s">
        <v>1464</v>
      </c>
      <c r="B138" s="818" t="s">
        <v>1142</v>
      </c>
      <c r="C138" s="818"/>
      <c r="D138" s="818"/>
      <c r="E138" s="818" t="s">
        <v>1366</v>
      </c>
      <c r="F138" s="818"/>
      <c r="G138" s="819">
        <v>42976.421064814815</v>
      </c>
      <c r="H138" s="819">
        <v>42976.801759259259</v>
      </c>
      <c r="I138" s="818" t="s">
        <v>1328</v>
      </c>
      <c r="J138" s="818" t="s">
        <v>1329</v>
      </c>
      <c r="K138" s="821"/>
      <c r="L138" s="818"/>
      <c r="M138" s="820">
        <v>-4158.63</v>
      </c>
      <c r="N138" s="820">
        <v>-4158.63</v>
      </c>
      <c r="O138" s="818"/>
      <c r="P138" s="818"/>
      <c r="Q138" s="818"/>
      <c r="R138" s="818"/>
      <c r="S138" s="818"/>
      <c r="T138" s="818"/>
      <c r="U138" s="818"/>
      <c r="V138" s="821"/>
      <c r="W138" s="821"/>
      <c r="X138" s="818" t="s">
        <v>1149</v>
      </c>
      <c r="Y138" s="818"/>
      <c r="Z138" s="821"/>
      <c r="AA138" s="818"/>
      <c r="AB138" s="821"/>
      <c r="AC138" s="818" t="s">
        <v>1465</v>
      </c>
      <c r="AD138" s="818" t="s">
        <v>1466</v>
      </c>
    </row>
    <row r="139" spans="1:30" x14ac:dyDescent="0.25">
      <c r="A139" s="818" t="s">
        <v>1467</v>
      </c>
      <c r="B139" s="818" t="s">
        <v>1142</v>
      </c>
      <c r="C139" s="818"/>
      <c r="D139" s="818"/>
      <c r="E139" s="818" t="s">
        <v>1370</v>
      </c>
      <c r="F139" s="818"/>
      <c r="G139" s="819">
        <v>42976.421064814815</v>
      </c>
      <c r="H139" s="819">
        <v>42976.801759259259</v>
      </c>
      <c r="I139" s="818" t="s">
        <v>1328</v>
      </c>
      <c r="J139" s="818" t="s">
        <v>1329</v>
      </c>
      <c r="K139" s="821"/>
      <c r="L139" s="818"/>
      <c r="M139" s="820">
        <v>-6289.41</v>
      </c>
      <c r="N139" s="820">
        <v>-6289.41</v>
      </c>
      <c r="O139" s="818"/>
      <c r="P139" s="818"/>
      <c r="Q139" s="818"/>
      <c r="R139" s="818"/>
      <c r="S139" s="818"/>
      <c r="T139" s="818"/>
      <c r="U139" s="818"/>
      <c r="V139" s="821"/>
      <c r="W139" s="821"/>
      <c r="X139" s="818" t="s">
        <v>1149</v>
      </c>
      <c r="Y139" s="818"/>
      <c r="Z139" s="821"/>
      <c r="AA139" s="818"/>
      <c r="AB139" s="821"/>
      <c r="AC139" s="818" t="s">
        <v>1468</v>
      </c>
      <c r="AD139" s="818" t="s">
        <v>1469</v>
      </c>
    </row>
    <row r="140" spans="1:30" x14ac:dyDescent="0.25">
      <c r="A140" s="818" t="s">
        <v>1470</v>
      </c>
      <c r="B140" s="818" t="s">
        <v>1142</v>
      </c>
      <c r="C140" s="818"/>
      <c r="D140" s="818"/>
      <c r="E140" s="818" t="s">
        <v>1374</v>
      </c>
      <c r="F140" s="818"/>
      <c r="G140" s="819">
        <v>42976.421064814815</v>
      </c>
      <c r="H140" s="819">
        <v>42976.801759259259</v>
      </c>
      <c r="I140" s="818" t="s">
        <v>1328</v>
      </c>
      <c r="J140" s="818" t="s">
        <v>1329</v>
      </c>
      <c r="K140" s="821"/>
      <c r="L140" s="818"/>
      <c r="M140" s="820">
        <v>-18868.23</v>
      </c>
      <c r="N140" s="820">
        <v>-18868.23</v>
      </c>
      <c r="O140" s="818"/>
      <c r="P140" s="818"/>
      <c r="Q140" s="818"/>
      <c r="R140" s="818"/>
      <c r="S140" s="818"/>
      <c r="T140" s="818"/>
      <c r="U140" s="818"/>
      <c r="V140" s="821"/>
      <c r="W140" s="821"/>
      <c r="X140" s="818" t="s">
        <v>1149</v>
      </c>
      <c r="Y140" s="818"/>
      <c r="Z140" s="821"/>
      <c r="AA140" s="818"/>
      <c r="AB140" s="821"/>
      <c r="AC140" s="818" t="s">
        <v>1471</v>
      </c>
      <c r="AD140" s="818" t="s">
        <v>1472</v>
      </c>
    </row>
    <row r="141" spans="1:30" x14ac:dyDescent="0.25">
      <c r="A141" s="818" t="s">
        <v>1473</v>
      </c>
      <c r="B141" s="818" t="s">
        <v>1142</v>
      </c>
      <c r="C141" s="818"/>
      <c r="D141" s="818"/>
      <c r="E141" s="818" t="s">
        <v>1378</v>
      </c>
      <c r="F141" s="818"/>
      <c r="G141" s="819">
        <v>42976.421064814815</v>
      </c>
      <c r="H141" s="819">
        <v>42976.801759259259</v>
      </c>
      <c r="I141" s="818" t="s">
        <v>1328</v>
      </c>
      <c r="J141" s="818" t="s">
        <v>1329</v>
      </c>
      <c r="K141" s="821"/>
      <c r="L141" s="818"/>
      <c r="M141" s="820">
        <v>-15600</v>
      </c>
      <c r="N141" s="820">
        <v>-15600</v>
      </c>
      <c r="O141" s="818"/>
      <c r="P141" s="818"/>
      <c r="Q141" s="818"/>
      <c r="R141" s="818"/>
      <c r="S141" s="818"/>
      <c r="T141" s="818"/>
      <c r="U141" s="818"/>
      <c r="V141" s="821"/>
      <c r="W141" s="821"/>
      <c r="X141" s="818" t="s">
        <v>1149</v>
      </c>
      <c r="Y141" s="818"/>
      <c r="Z141" s="821"/>
      <c r="AA141" s="818"/>
      <c r="AB141" s="821"/>
      <c r="AC141" s="818" t="s">
        <v>1474</v>
      </c>
      <c r="AD141" s="818" t="s">
        <v>1475</v>
      </c>
    </row>
    <row r="142" spans="1:30" x14ac:dyDescent="0.25">
      <c r="A142" s="818" t="s">
        <v>1476</v>
      </c>
      <c r="B142" s="818" t="s">
        <v>1142</v>
      </c>
      <c r="C142" s="818"/>
      <c r="D142" s="818"/>
      <c r="E142" s="818" t="s">
        <v>1382</v>
      </c>
      <c r="F142" s="818"/>
      <c r="G142" s="819">
        <v>42976.421064814815</v>
      </c>
      <c r="H142" s="819">
        <v>42976.801759259259</v>
      </c>
      <c r="I142" s="818" t="s">
        <v>1328</v>
      </c>
      <c r="J142" s="818" t="s">
        <v>1329</v>
      </c>
      <c r="K142" s="821"/>
      <c r="L142" s="818"/>
      <c r="M142" s="820">
        <v>-5224.0200000000004</v>
      </c>
      <c r="N142" s="820">
        <v>-5224.0200000000004</v>
      </c>
      <c r="O142" s="818"/>
      <c r="P142" s="818"/>
      <c r="Q142" s="818"/>
      <c r="R142" s="818"/>
      <c r="S142" s="818"/>
      <c r="T142" s="818"/>
      <c r="U142" s="818"/>
      <c r="V142" s="821"/>
      <c r="W142" s="821"/>
      <c r="X142" s="818" t="s">
        <v>1149</v>
      </c>
      <c r="Y142" s="818"/>
      <c r="Z142" s="821"/>
      <c r="AA142" s="818"/>
      <c r="AB142" s="821"/>
      <c r="AC142" s="818" t="s">
        <v>1477</v>
      </c>
      <c r="AD142" s="818" t="s">
        <v>1478</v>
      </c>
    </row>
    <row r="143" spans="1:30" x14ac:dyDescent="0.25">
      <c r="A143" s="818" t="s">
        <v>1479</v>
      </c>
      <c r="B143" s="818" t="s">
        <v>1142</v>
      </c>
      <c r="C143" s="818"/>
      <c r="D143" s="818"/>
      <c r="E143" s="818" t="s">
        <v>1386</v>
      </c>
      <c r="F143" s="818"/>
      <c r="G143" s="819">
        <v>42976.421064814815</v>
      </c>
      <c r="H143" s="819">
        <v>42976.801759259259</v>
      </c>
      <c r="I143" s="818" t="s">
        <v>1328</v>
      </c>
      <c r="J143" s="818" t="s">
        <v>1329</v>
      </c>
      <c r="K143" s="821"/>
      <c r="L143" s="818"/>
      <c r="M143" s="820">
        <v>-2500</v>
      </c>
      <c r="N143" s="820">
        <v>-2500</v>
      </c>
      <c r="O143" s="818"/>
      <c r="P143" s="818"/>
      <c r="Q143" s="818"/>
      <c r="R143" s="818"/>
      <c r="S143" s="818"/>
      <c r="T143" s="818"/>
      <c r="U143" s="818"/>
      <c r="V143" s="821"/>
      <c r="W143" s="821"/>
      <c r="X143" s="818" t="s">
        <v>1149</v>
      </c>
      <c r="Y143" s="818"/>
      <c r="Z143" s="821"/>
      <c r="AA143" s="818"/>
      <c r="AB143" s="821"/>
      <c r="AC143" s="818" t="s">
        <v>1480</v>
      </c>
      <c r="AD143" s="818" t="s">
        <v>1481</v>
      </c>
    </row>
    <row r="144" spans="1:30" x14ac:dyDescent="0.25">
      <c r="A144" s="818" t="s">
        <v>1482</v>
      </c>
      <c r="B144" s="818" t="s">
        <v>1142</v>
      </c>
      <c r="C144" s="818"/>
      <c r="D144" s="818"/>
      <c r="E144" s="818" t="s">
        <v>1390</v>
      </c>
      <c r="F144" s="818"/>
      <c r="G144" s="819">
        <v>42976.421064814815</v>
      </c>
      <c r="H144" s="819">
        <v>42976.801759259259</v>
      </c>
      <c r="I144" s="818" t="s">
        <v>1328</v>
      </c>
      <c r="J144" s="818" t="s">
        <v>1329</v>
      </c>
      <c r="K144" s="821"/>
      <c r="L144" s="818"/>
      <c r="M144" s="820">
        <v>-16304</v>
      </c>
      <c r="N144" s="820">
        <v>-16304</v>
      </c>
      <c r="O144" s="818"/>
      <c r="P144" s="818"/>
      <c r="Q144" s="818"/>
      <c r="R144" s="818"/>
      <c r="S144" s="818"/>
      <c r="T144" s="818"/>
      <c r="U144" s="818"/>
      <c r="V144" s="821"/>
      <c r="W144" s="821"/>
      <c r="X144" s="818" t="s">
        <v>1149</v>
      </c>
      <c r="Y144" s="818"/>
      <c r="Z144" s="821"/>
      <c r="AA144" s="818"/>
      <c r="AB144" s="821"/>
      <c r="AC144" s="818" t="s">
        <v>1483</v>
      </c>
      <c r="AD144" s="818" t="s">
        <v>1484</v>
      </c>
    </row>
    <row r="145" spans="1:30" x14ac:dyDescent="0.25">
      <c r="A145" s="818" t="s">
        <v>1485</v>
      </c>
      <c r="B145" s="818" t="s">
        <v>1142</v>
      </c>
      <c r="C145" s="818"/>
      <c r="D145" s="818"/>
      <c r="E145" s="818" t="s">
        <v>1416</v>
      </c>
      <c r="F145" s="818"/>
      <c r="G145" s="819">
        <v>42976.421064814815</v>
      </c>
      <c r="H145" s="819">
        <v>42976.801759259259</v>
      </c>
      <c r="I145" s="818" t="s">
        <v>1328</v>
      </c>
      <c r="J145" s="818" t="s">
        <v>1346</v>
      </c>
      <c r="K145" s="821"/>
      <c r="L145" s="818"/>
      <c r="M145" s="820">
        <v>1236314.55</v>
      </c>
      <c r="N145" s="820">
        <v>1236314.55</v>
      </c>
      <c r="O145" s="818"/>
      <c r="P145" s="818"/>
      <c r="Q145" s="818"/>
      <c r="R145" s="818"/>
      <c r="S145" s="818"/>
      <c r="T145" s="818"/>
      <c r="U145" s="818"/>
      <c r="V145" s="821"/>
      <c r="W145" s="821"/>
      <c r="X145" s="818" t="s">
        <v>1149</v>
      </c>
      <c r="Y145" s="818"/>
      <c r="Z145" s="821"/>
      <c r="AA145" s="818"/>
      <c r="AB145" s="821"/>
      <c r="AC145" s="818" t="s">
        <v>1486</v>
      </c>
      <c r="AD145" s="818" t="s">
        <v>1487</v>
      </c>
    </row>
    <row r="146" spans="1:30" x14ac:dyDescent="0.25">
      <c r="A146" s="814" t="s">
        <v>1488</v>
      </c>
      <c r="B146" s="815"/>
      <c r="C146" s="815"/>
      <c r="D146" s="815"/>
      <c r="E146" s="815"/>
      <c r="F146" s="815"/>
      <c r="G146" s="815"/>
      <c r="H146" s="815"/>
      <c r="I146" s="815"/>
      <c r="J146" s="815"/>
      <c r="K146" s="816"/>
      <c r="L146" s="815"/>
      <c r="M146" s="816"/>
      <c r="N146" s="816"/>
      <c r="O146" s="815"/>
      <c r="P146" s="815"/>
      <c r="Q146" s="815"/>
      <c r="R146" s="815"/>
      <c r="S146" s="815"/>
      <c r="T146" s="815"/>
      <c r="U146" s="815"/>
      <c r="V146" s="816"/>
      <c r="W146" s="816"/>
      <c r="X146" s="815"/>
      <c r="Y146" s="815"/>
      <c r="Z146" s="816"/>
      <c r="AA146" s="815"/>
      <c r="AB146" s="816"/>
      <c r="AC146" s="815"/>
      <c r="AD146" s="815"/>
    </row>
    <row r="147" spans="1:30" x14ac:dyDescent="0.25">
      <c r="A147" s="814" t="s">
        <v>1489</v>
      </c>
      <c r="B147" s="815"/>
      <c r="C147" s="815"/>
      <c r="D147" s="815"/>
      <c r="E147" s="815"/>
      <c r="F147" s="815"/>
      <c r="G147" s="815"/>
      <c r="H147" s="815"/>
      <c r="I147" s="815"/>
      <c r="J147" s="815"/>
      <c r="K147" s="816"/>
      <c r="L147" s="815"/>
      <c r="M147" s="817">
        <v>700</v>
      </c>
      <c r="N147" s="816"/>
      <c r="O147" s="815"/>
      <c r="P147" s="815"/>
      <c r="Q147" s="815"/>
      <c r="R147" s="815"/>
      <c r="S147" s="815"/>
      <c r="T147" s="815"/>
      <c r="U147" s="815"/>
      <c r="V147" s="816"/>
      <c r="W147" s="816"/>
      <c r="X147" s="815"/>
      <c r="Y147" s="815"/>
      <c r="Z147" s="816"/>
      <c r="AA147" s="815"/>
      <c r="AB147" s="816"/>
      <c r="AC147" s="815"/>
      <c r="AD147" s="815"/>
    </row>
    <row r="148" spans="1:30" x14ac:dyDescent="0.25">
      <c r="A148" s="814" t="s">
        <v>1490</v>
      </c>
      <c r="B148" s="815"/>
      <c r="C148" s="815"/>
      <c r="D148" s="815"/>
      <c r="E148" s="815"/>
      <c r="F148" s="815"/>
      <c r="G148" s="815"/>
      <c r="H148" s="815"/>
      <c r="I148" s="815"/>
      <c r="J148" s="815"/>
      <c r="K148" s="816"/>
      <c r="L148" s="815"/>
      <c r="M148" s="817">
        <v>700</v>
      </c>
      <c r="N148" s="816"/>
      <c r="O148" s="815"/>
      <c r="P148" s="815"/>
      <c r="Q148" s="815"/>
      <c r="R148" s="815"/>
      <c r="S148" s="815"/>
      <c r="T148" s="815"/>
      <c r="U148" s="815"/>
      <c r="V148" s="816"/>
      <c r="W148" s="816"/>
      <c r="X148" s="815"/>
      <c r="Y148" s="815"/>
      <c r="Z148" s="816"/>
      <c r="AA148" s="815"/>
      <c r="AB148" s="816"/>
      <c r="AC148" s="815"/>
      <c r="AD148" s="815"/>
    </row>
    <row r="149" spans="1:30" x14ac:dyDescent="0.25">
      <c r="A149" s="818" t="s">
        <v>1491</v>
      </c>
      <c r="B149" s="818" t="s">
        <v>1142</v>
      </c>
      <c r="C149" s="818"/>
      <c r="D149" s="818" t="s">
        <v>1492</v>
      </c>
      <c r="E149" s="818" t="s">
        <v>1402</v>
      </c>
      <c r="F149" s="818" t="s">
        <v>1145</v>
      </c>
      <c r="G149" s="819">
        <v>42976.547719907408</v>
      </c>
      <c r="H149" s="819">
        <v>42976</v>
      </c>
      <c r="I149" s="818" t="s">
        <v>1493</v>
      </c>
      <c r="J149" s="818" t="s">
        <v>1147</v>
      </c>
      <c r="K149" s="820">
        <v>1323.6</v>
      </c>
      <c r="L149" s="818" t="s">
        <v>1149</v>
      </c>
      <c r="M149" s="820">
        <v>42</v>
      </c>
      <c r="N149" s="820">
        <v>55597.65862923571</v>
      </c>
      <c r="O149" s="818" t="s">
        <v>1149</v>
      </c>
      <c r="P149" s="819">
        <v>42976</v>
      </c>
      <c r="Q149" s="818"/>
      <c r="R149" s="818"/>
      <c r="S149" s="818"/>
      <c r="T149" s="818"/>
      <c r="U149" s="819">
        <v>42999</v>
      </c>
      <c r="V149" s="821"/>
      <c r="W149" s="821"/>
      <c r="X149" s="818" t="s">
        <v>1494</v>
      </c>
      <c r="Y149" s="818"/>
      <c r="Z149" s="821"/>
      <c r="AA149" s="818" t="s">
        <v>1495</v>
      </c>
      <c r="AB149" s="821" t="s">
        <v>1496</v>
      </c>
      <c r="AC149" s="818" t="s">
        <v>1497</v>
      </c>
      <c r="AD149" s="818"/>
    </row>
    <row r="150" spans="1:30" x14ac:dyDescent="0.25">
      <c r="A150" s="818" t="s">
        <v>1498</v>
      </c>
      <c r="B150" s="818" t="s">
        <v>1142</v>
      </c>
      <c r="C150" s="818"/>
      <c r="D150" s="818" t="s">
        <v>1492</v>
      </c>
      <c r="E150" s="818" t="s">
        <v>1402</v>
      </c>
      <c r="F150" s="818" t="s">
        <v>1145</v>
      </c>
      <c r="G150" s="819">
        <v>42976.547719907408</v>
      </c>
      <c r="H150" s="819">
        <v>42976</v>
      </c>
      <c r="I150" s="818" t="s">
        <v>1493</v>
      </c>
      <c r="J150" s="818" t="s">
        <v>1147</v>
      </c>
      <c r="K150" s="820">
        <v>1323.6</v>
      </c>
      <c r="L150" s="818" t="s">
        <v>1149</v>
      </c>
      <c r="M150" s="820">
        <v>3</v>
      </c>
      <c r="N150" s="820">
        <v>3971.26133065969</v>
      </c>
      <c r="O150" s="818" t="s">
        <v>1149</v>
      </c>
      <c r="P150" s="819">
        <v>42976</v>
      </c>
      <c r="Q150" s="818"/>
      <c r="R150" s="818"/>
      <c r="S150" s="818"/>
      <c r="T150" s="818"/>
      <c r="U150" s="819">
        <v>42999</v>
      </c>
      <c r="V150" s="821"/>
      <c r="W150" s="821"/>
      <c r="X150" s="818" t="s">
        <v>1494</v>
      </c>
      <c r="Y150" s="818"/>
      <c r="Z150" s="821"/>
      <c r="AA150" s="818" t="s">
        <v>1495</v>
      </c>
      <c r="AB150" s="821" t="s">
        <v>1496</v>
      </c>
      <c r="AC150" s="818" t="s">
        <v>1499</v>
      </c>
      <c r="AD150" s="818"/>
    </row>
    <row r="151" spans="1:30" x14ac:dyDescent="0.25">
      <c r="A151" s="818" t="s">
        <v>1500</v>
      </c>
      <c r="B151" s="818" t="s">
        <v>1142</v>
      </c>
      <c r="C151" s="818"/>
      <c r="D151" s="818" t="s">
        <v>1492</v>
      </c>
      <c r="E151" s="818" t="s">
        <v>1402</v>
      </c>
      <c r="F151" s="818" t="s">
        <v>1145</v>
      </c>
      <c r="G151" s="819">
        <v>42976.547719907408</v>
      </c>
      <c r="H151" s="819">
        <v>42976</v>
      </c>
      <c r="I151" s="818" t="s">
        <v>1493</v>
      </c>
      <c r="J151" s="818" t="s">
        <v>1147</v>
      </c>
      <c r="K151" s="820">
        <v>1323.6</v>
      </c>
      <c r="L151" s="818" t="s">
        <v>1149</v>
      </c>
      <c r="M151" s="820">
        <v>2</v>
      </c>
      <c r="N151" s="820">
        <v>2647.50755377313</v>
      </c>
      <c r="O151" s="818" t="s">
        <v>1149</v>
      </c>
      <c r="P151" s="819">
        <v>42976</v>
      </c>
      <c r="Q151" s="818"/>
      <c r="R151" s="818"/>
      <c r="S151" s="818"/>
      <c r="T151" s="818"/>
      <c r="U151" s="819">
        <v>42999</v>
      </c>
      <c r="V151" s="821"/>
      <c r="W151" s="821"/>
      <c r="X151" s="818" t="s">
        <v>1494</v>
      </c>
      <c r="Y151" s="818"/>
      <c r="Z151" s="821"/>
      <c r="AA151" s="818" t="s">
        <v>1495</v>
      </c>
      <c r="AB151" s="821" t="s">
        <v>1496</v>
      </c>
      <c r="AC151" s="818" t="s">
        <v>1501</v>
      </c>
      <c r="AD151" s="818"/>
    </row>
    <row r="152" spans="1:30" x14ac:dyDescent="0.25">
      <c r="A152" s="818" t="s">
        <v>1502</v>
      </c>
      <c r="B152" s="818" t="s">
        <v>1142</v>
      </c>
      <c r="C152" s="818"/>
      <c r="D152" s="818" t="s">
        <v>1492</v>
      </c>
      <c r="E152" s="818" t="s">
        <v>1402</v>
      </c>
      <c r="F152" s="818" t="s">
        <v>1145</v>
      </c>
      <c r="G152" s="819">
        <v>42976.547719907408</v>
      </c>
      <c r="H152" s="819">
        <v>42976</v>
      </c>
      <c r="I152" s="818" t="s">
        <v>1493</v>
      </c>
      <c r="J152" s="818" t="s">
        <v>1147</v>
      </c>
      <c r="K152" s="820">
        <v>1323.5</v>
      </c>
      <c r="L152" s="818" t="s">
        <v>1149</v>
      </c>
      <c r="M152" s="820">
        <v>6</v>
      </c>
      <c r="N152" s="820">
        <v>7941.9221171402796</v>
      </c>
      <c r="O152" s="818" t="s">
        <v>1149</v>
      </c>
      <c r="P152" s="819">
        <v>42976</v>
      </c>
      <c r="Q152" s="818"/>
      <c r="R152" s="818"/>
      <c r="S152" s="818"/>
      <c r="T152" s="818"/>
      <c r="U152" s="819">
        <v>42999</v>
      </c>
      <c r="V152" s="821"/>
      <c r="W152" s="821"/>
      <c r="X152" s="818" t="s">
        <v>1494</v>
      </c>
      <c r="Y152" s="818"/>
      <c r="Z152" s="821"/>
      <c r="AA152" s="818" t="s">
        <v>1495</v>
      </c>
      <c r="AB152" s="821" t="s">
        <v>1496</v>
      </c>
      <c r="AC152" s="818" t="s">
        <v>1503</v>
      </c>
      <c r="AD152" s="818"/>
    </row>
    <row r="153" spans="1:30" x14ac:dyDescent="0.25">
      <c r="A153" s="818" t="s">
        <v>1504</v>
      </c>
      <c r="B153" s="818" t="s">
        <v>1142</v>
      </c>
      <c r="C153" s="818"/>
      <c r="D153" s="818" t="s">
        <v>1492</v>
      </c>
      <c r="E153" s="818" t="s">
        <v>1402</v>
      </c>
      <c r="F153" s="818" t="s">
        <v>1145</v>
      </c>
      <c r="G153" s="819">
        <v>42976.547719907408</v>
      </c>
      <c r="H153" s="819">
        <v>42976</v>
      </c>
      <c r="I153" s="818" t="s">
        <v>1493</v>
      </c>
      <c r="J153" s="818" t="s">
        <v>1147</v>
      </c>
      <c r="K153" s="820">
        <v>1323.5</v>
      </c>
      <c r="L153" s="818" t="s">
        <v>1149</v>
      </c>
      <c r="M153" s="820">
        <v>67</v>
      </c>
      <c r="N153" s="820">
        <v>88684.796974733079</v>
      </c>
      <c r="O153" s="818" t="s">
        <v>1149</v>
      </c>
      <c r="P153" s="819">
        <v>42976</v>
      </c>
      <c r="Q153" s="818"/>
      <c r="R153" s="818"/>
      <c r="S153" s="818"/>
      <c r="T153" s="818"/>
      <c r="U153" s="819">
        <v>42999</v>
      </c>
      <c r="V153" s="821"/>
      <c r="W153" s="821"/>
      <c r="X153" s="818" t="s">
        <v>1494</v>
      </c>
      <c r="Y153" s="818"/>
      <c r="Z153" s="821"/>
      <c r="AA153" s="818" t="s">
        <v>1495</v>
      </c>
      <c r="AB153" s="821" t="s">
        <v>1496</v>
      </c>
      <c r="AC153" s="818" t="s">
        <v>1505</v>
      </c>
      <c r="AD153" s="818"/>
    </row>
    <row r="154" spans="1:30" x14ac:dyDescent="0.25">
      <c r="A154" s="818" t="s">
        <v>1506</v>
      </c>
      <c r="B154" s="818" t="s">
        <v>1142</v>
      </c>
      <c r="C154" s="818"/>
      <c r="D154" s="818" t="s">
        <v>1492</v>
      </c>
      <c r="E154" s="818" t="s">
        <v>1402</v>
      </c>
      <c r="F154" s="818" t="s">
        <v>1145</v>
      </c>
      <c r="G154" s="819">
        <v>42976.547719907408</v>
      </c>
      <c r="H154" s="819">
        <v>42976</v>
      </c>
      <c r="I154" s="818" t="s">
        <v>1493</v>
      </c>
      <c r="J154" s="818" t="s">
        <v>1147</v>
      </c>
      <c r="K154" s="820">
        <v>1323.5</v>
      </c>
      <c r="L154" s="818" t="s">
        <v>1149</v>
      </c>
      <c r="M154" s="820">
        <v>2</v>
      </c>
      <c r="N154" s="820">
        <v>2647.3073723800899</v>
      </c>
      <c r="O154" s="818" t="s">
        <v>1149</v>
      </c>
      <c r="P154" s="819">
        <v>42976</v>
      </c>
      <c r="Q154" s="818"/>
      <c r="R154" s="818"/>
      <c r="S154" s="818"/>
      <c r="T154" s="818"/>
      <c r="U154" s="819">
        <v>42999</v>
      </c>
      <c r="V154" s="821"/>
      <c r="W154" s="821"/>
      <c r="X154" s="818" t="s">
        <v>1494</v>
      </c>
      <c r="Y154" s="818"/>
      <c r="Z154" s="821"/>
      <c r="AA154" s="818" t="s">
        <v>1495</v>
      </c>
      <c r="AB154" s="821" t="s">
        <v>1496</v>
      </c>
      <c r="AC154" s="818" t="s">
        <v>1507</v>
      </c>
      <c r="AD154" s="818"/>
    </row>
    <row r="155" spans="1:30" x14ac:dyDescent="0.25">
      <c r="A155" s="818" t="s">
        <v>1508</v>
      </c>
      <c r="B155" s="818" t="s">
        <v>1142</v>
      </c>
      <c r="C155" s="818"/>
      <c r="D155" s="818" t="s">
        <v>1492</v>
      </c>
      <c r="E155" s="818" t="s">
        <v>1402</v>
      </c>
      <c r="F155" s="818" t="s">
        <v>1145</v>
      </c>
      <c r="G155" s="819">
        <v>42976.547719907408</v>
      </c>
      <c r="H155" s="819">
        <v>42976</v>
      </c>
      <c r="I155" s="818" t="s">
        <v>1493</v>
      </c>
      <c r="J155" s="818" t="s">
        <v>1147</v>
      </c>
      <c r="K155" s="820">
        <v>1323.5</v>
      </c>
      <c r="L155" s="818" t="s">
        <v>1149</v>
      </c>
      <c r="M155" s="820">
        <v>25</v>
      </c>
      <c r="N155" s="820">
        <v>33091.342154751153</v>
      </c>
      <c r="O155" s="818" t="s">
        <v>1149</v>
      </c>
      <c r="P155" s="819">
        <v>42976</v>
      </c>
      <c r="Q155" s="818"/>
      <c r="R155" s="818"/>
      <c r="S155" s="818"/>
      <c r="T155" s="818"/>
      <c r="U155" s="819">
        <v>42999</v>
      </c>
      <c r="V155" s="821"/>
      <c r="W155" s="821"/>
      <c r="X155" s="818" t="s">
        <v>1494</v>
      </c>
      <c r="Y155" s="818"/>
      <c r="Z155" s="821"/>
      <c r="AA155" s="818" t="s">
        <v>1495</v>
      </c>
      <c r="AB155" s="821" t="s">
        <v>1496</v>
      </c>
      <c r="AC155" s="818" t="s">
        <v>1509</v>
      </c>
      <c r="AD155" s="818"/>
    </row>
    <row r="156" spans="1:30" x14ac:dyDescent="0.25">
      <c r="A156" s="818" t="s">
        <v>1510</v>
      </c>
      <c r="B156" s="818" t="s">
        <v>1142</v>
      </c>
      <c r="C156" s="818"/>
      <c r="D156" s="818" t="s">
        <v>1492</v>
      </c>
      <c r="E156" s="818" t="s">
        <v>1402</v>
      </c>
      <c r="F156" s="818" t="s">
        <v>1145</v>
      </c>
      <c r="G156" s="819">
        <v>42976.547719907408</v>
      </c>
      <c r="H156" s="819">
        <v>42976</v>
      </c>
      <c r="I156" s="818" t="s">
        <v>1493</v>
      </c>
      <c r="J156" s="818" t="s">
        <v>1147</v>
      </c>
      <c r="K156" s="820">
        <v>1323.5</v>
      </c>
      <c r="L156" s="818" t="s">
        <v>1149</v>
      </c>
      <c r="M156" s="820">
        <v>2</v>
      </c>
      <c r="N156" s="820">
        <v>2647.3073723800899</v>
      </c>
      <c r="O156" s="818" t="s">
        <v>1149</v>
      </c>
      <c r="P156" s="819">
        <v>42976</v>
      </c>
      <c r="Q156" s="818"/>
      <c r="R156" s="818"/>
      <c r="S156" s="818"/>
      <c r="T156" s="818"/>
      <c r="U156" s="819">
        <v>42999</v>
      </c>
      <c r="V156" s="821"/>
      <c r="W156" s="821"/>
      <c r="X156" s="818" t="s">
        <v>1494</v>
      </c>
      <c r="Y156" s="818"/>
      <c r="Z156" s="821"/>
      <c r="AA156" s="818" t="s">
        <v>1495</v>
      </c>
      <c r="AB156" s="821" t="s">
        <v>1496</v>
      </c>
      <c r="AC156" s="818" t="s">
        <v>1511</v>
      </c>
      <c r="AD156" s="818"/>
    </row>
    <row r="157" spans="1:30" x14ac:dyDescent="0.25">
      <c r="A157" s="818" t="s">
        <v>1512</v>
      </c>
      <c r="B157" s="818" t="s">
        <v>1142</v>
      </c>
      <c r="C157" s="818"/>
      <c r="D157" s="818" t="s">
        <v>1492</v>
      </c>
      <c r="E157" s="818" t="s">
        <v>1402</v>
      </c>
      <c r="F157" s="818" t="s">
        <v>1145</v>
      </c>
      <c r="G157" s="819">
        <v>42976.547719907408</v>
      </c>
      <c r="H157" s="819">
        <v>42976</v>
      </c>
      <c r="I157" s="818" t="s">
        <v>1493</v>
      </c>
      <c r="J157" s="818" t="s">
        <v>1147</v>
      </c>
      <c r="K157" s="820">
        <v>1323.5</v>
      </c>
      <c r="L157" s="818" t="s">
        <v>1149</v>
      </c>
      <c r="M157" s="820">
        <v>3</v>
      </c>
      <c r="N157" s="820">
        <v>3970.9610585701398</v>
      </c>
      <c r="O157" s="818" t="s">
        <v>1149</v>
      </c>
      <c r="P157" s="819">
        <v>42976</v>
      </c>
      <c r="Q157" s="818"/>
      <c r="R157" s="818"/>
      <c r="S157" s="818"/>
      <c r="T157" s="818"/>
      <c r="U157" s="819">
        <v>42999</v>
      </c>
      <c r="V157" s="821"/>
      <c r="W157" s="821"/>
      <c r="X157" s="818" t="s">
        <v>1494</v>
      </c>
      <c r="Y157" s="818"/>
      <c r="Z157" s="821"/>
      <c r="AA157" s="818" t="s">
        <v>1495</v>
      </c>
      <c r="AB157" s="821" t="s">
        <v>1496</v>
      </c>
      <c r="AC157" s="818" t="s">
        <v>1513</v>
      </c>
      <c r="AD157" s="818"/>
    </row>
    <row r="158" spans="1:30" x14ac:dyDescent="0.25">
      <c r="A158" s="818" t="s">
        <v>1514</v>
      </c>
      <c r="B158" s="818" t="s">
        <v>1142</v>
      </c>
      <c r="C158" s="818"/>
      <c r="D158" s="818" t="s">
        <v>1492</v>
      </c>
      <c r="E158" s="818" t="s">
        <v>1402</v>
      </c>
      <c r="F158" s="818" t="s">
        <v>1145</v>
      </c>
      <c r="G158" s="819">
        <v>42976.547719907408</v>
      </c>
      <c r="H158" s="819">
        <v>42976</v>
      </c>
      <c r="I158" s="818" t="s">
        <v>1493</v>
      </c>
      <c r="J158" s="818" t="s">
        <v>1147</v>
      </c>
      <c r="K158" s="820">
        <v>1323.5</v>
      </c>
      <c r="L158" s="818" t="s">
        <v>1149</v>
      </c>
      <c r="M158" s="820">
        <v>13</v>
      </c>
      <c r="N158" s="820">
        <v>17207.4979204706</v>
      </c>
      <c r="O158" s="818" t="s">
        <v>1149</v>
      </c>
      <c r="P158" s="819">
        <v>42976</v>
      </c>
      <c r="Q158" s="818"/>
      <c r="R158" s="818"/>
      <c r="S158" s="818"/>
      <c r="T158" s="818"/>
      <c r="U158" s="819">
        <v>42999</v>
      </c>
      <c r="V158" s="821"/>
      <c r="W158" s="821"/>
      <c r="X158" s="818" t="s">
        <v>1494</v>
      </c>
      <c r="Y158" s="818"/>
      <c r="Z158" s="821"/>
      <c r="AA158" s="818" t="s">
        <v>1495</v>
      </c>
      <c r="AB158" s="821" t="s">
        <v>1496</v>
      </c>
      <c r="AC158" s="818" t="s">
        <v>1515</v>
      </c>
      <c r="AD158" s="818"/>
    </row>
    <row r="159" spans="1:30" x14ac:dyDescent="0.25">
      <c r="A159" s="818" t="s">
        <v>1516</v>
      </c>
      <c r="B159" s="818" t="s">
        <v>1142</v>
      </c>
      <c r="C159" s="818"/>
      <c r="D159" s="818" t="s">
        <v>1517</v>
      </c>
      <c r="E159" s="818" t="s">
        <v>1394</v>
      </c>
      <c r="F159" s="818" t="s">
        <v>1145</v>
      </c>
      <c r="G159" s="819">
        <v>42976.548078703701</v>
      </c>
      <c r="H159" s="819">
        <v>42976</v>
      </c>
      <c r="I159" s="818" t="s">
        <v>1493</v>
      </c>
      <c r="J159" s="818" t="s">
        <v>1147</v>
      </c>
      <c r="K159" s="820">
        <v>1323.8</v>
      </c>
      <c r="L159" s="818" t="s">
        <v>1149</v>
      </c>
      <c r="M159" s="820">
        <v>68</v>
      </c>
      <c r="N159" s="820">
        <v>90028.857548392814</v>
      </c>
      <c r="O159" s="818" t="s">
        <v>1149</v>
      </c>
      <c r="P159" s="819">
        <v>42976</v>
      </c>
      <c r="Q159" s="818"/>
      <c r="R159" s="818"/>
      <c r="S159" s="818"/>
      <c r="T159" s="818"/>
      <c r="U159" s="819">
        <v>42999</v>
      </c>
      <c r="V159" s="821"/>
      <c r="W159" s="821"/>
      <c r="X159" s="818" t="s">
        <v>1494</v>
      </c>
      <c r="Y159" s="818"/>
      <c r="Z159" s="821"/>
      <c r="AA159" s="818" t="s">
        <v>1495</v>
      </c>
      <c r="AB159" s="821" t="s">
        <v>1496</v>
      </c>
      <c r="AC159" s="818" t="s">
        <v>1518</v>
      </c>
      <c r="AD159" s="818"/>
    </row>
    <row r="160" spans="1:30" x14ac:dyDescent="0.25">
      <c r="A160" s="818" t="s">
        <v>1519</v>
      </c>
      <c r="B160" s="818" t="s">
        <v>1142</v>
      </c>
      <c r="C160" s="818"/>
      <c r="D160" s="818" t="s">
        <v>1517</v>
      </c>
      <c r="E160" s="818" t="s">
        <v>1394</v>
      </c>
      <c r="F160" s="818" t="s">
        <v>1145</v>
      </c>
      <c r="G160" s="819">
        <v>42976.548078703701</v>
      </c>
      <c r="H160" s="819">
        <v>42976</v>
      </c>
      <c r="I160" s="818" t="s">
        <v>1493</v>
      </c>
      <c r="J160" s="818" t="s">
        <v>1147</v>
      </c>
      <c r="K160" s="820">
        <v>1323.8</v>
      </c>
      <c r="L160" s="818" t="s">
        <v>1149</v>
      </c>
      <c r="M160" s="820">
        <v>2</v>
      </c>
      <c r="N160" s="820">
        <v>2647.9075749527301</v>
      </c>
      <c r="O160" s="818" t="s">
        <v>1149</v>
      </c>
      <c r="P160" s="819">
        <v>42976</v>
      </c>
      <c r="Q160" s="818"/>
      <c r="R160" s="818"/>
      <c r="S160" s="818"/>
      <c r="T160" s="818"/>
      <c r="U160" s="819">
        <v>42999</v>
      </c>
      <c r="V160" s="821"/>
      <c r="W160" s="821"/>
      <c r="X160" s="818" t="s">
        <v>1494</v>
      </c>
      <c r="Y160" s="818"/>
      <c r="Z160" s="821"/>
      <c r="AA160" s="818" t="s">
        <v>1495</v>
      </c>
      <c r="AB160" s="821" t="s">
        <v>1496</v>
      </c>
      <c r="AC160" s="818" t="s">
        <v>1520</v>
      </c>
      <c r="AD160" s="818"/>
    </row>
    <row r="161" spans="1:30" x14ac:dyDescent="0.25">
      <c r="A161" s="818" t="s">
        <v>1521</v>
      </c>
      <c r="B161" s="818" t="s">
        <v>1142</v>
      </c>
      <c r="C161" s="818"/>
      <c r="D161" s="818" t="s">
        <v>1517</v>
      </c>
      <c r="E161" s="818" t="s">
        <v>1394</v>
      </c>
      <c r="F161" s="818" t="s">
        <v>1145</v>
      </c>
      <c r="G161" s="819">
        <v>42976.548078703701</v>
      </c>
      <c r="H161" s="819">
        <v>42976</v>
      </c>
      <c r="I161" s="818" t="s">
        <v>1493</v>
      </c>
      <c r="J161" s="818" t="s">
        <v>1147</v>
      </c>
      <c r="K161" s="820">
        <v>1323.8</v>
      </c>
      <c r="L161" s="818" t="s">
        <v>1149</v>
      </c>
      <c r="M161" s="820">
        <v>1</v>
      </c>
      <c r="N161" s="820">
        <v>1323.9537874763701</v>
      </c>
      <c r="O161" s="818" t="s">
        <v>1149</v>
      </c>
      <c r="P161" s="819">
        <v>42976</v>
      </c>
      <c r="Q161" s="818"/>
      <c r="R161" s="818"/>
      <c r="S161" s="818"/>
      <c r="T161" s="818"/>
      <c r="U161" s="819">
        <v>42999</v>
      </c>
      <c r="V161" s="821"/>
      <c r="W161" s="821"/>
      <c r="X161" s="818" t="s">
        <v>1494</v>
      </c>
      <c r="Y161" s="818"/>
      <c r="Z161" s="821"/>
      <c r="AA161" s="818" t="s">
        <v>1495</v>
      </c>
      <c r="AB161" s="821" t="s">
        <v>1496</v>
      </c>
      <c r="AC161" s="818" t="s">
        <v>1522</v>
      </c>
      <c r="AD161" s="818"/>
    </row>
    <row r="162" spans="1:30" x14ac:dyDescent="0.25">
      <c r="A162" s="818" t="s">
        <v>1523</v>
      </c>
      <c r="B162" s="818" t="s">
        <v>1142</v>
      </c>
      <c r="C162" s="818"/>
      <c r="D162" s="818" t="s">
        <v>1517</v>
      </c>
      <c r="E162" s="818" t="s">
        <v>1394</v>
      </c>
      <c r="F162" s="818" t="s">
        <v>1145</v>
      </c>
      <c r="G162" s="819">
        <v>42976.548078703701</v>
      </c>
      <c r="H162" s="819">
        <v>42976</v>
      </c>
      <c r="I162" s="818" t="s">
        <v>1493</v>
      </c>
      <c r="J162" s="818" t="s">
        <v>1147</v>
      </c>
      <c r="K162" s="820">
        <v>1323.8</v>
      </c>
      <c r="L162" s="818" t="s">
        <v>1149</v>
      </c>
      <c r="M162" s="820">
        <v>20</v>
      </c>
      <c r="N162" s="820">
        <v>26479.075749527299</v>
      </c>
      <c r="O162" s="818" t="s">
        <v>1149</v>
      </c>
      <c r="P162" s="819">
        <v>42976</v>
      </c>
      <c r="Q162" s="818"/>
      <c r="R162" s="818"/>
      <c r="S162" s="818"/>
      <c r="T162" s="818"/>
      <c r="U162" s="819">
        <v>42999</v>
      </c>
      <c r="V162" s="821"/>
      <c r="W162" s="821"/>
      <c r="X162" s="818" t="s">
        <v>1494</v>
      </c>
      <c r="Y162" s="818"/>
      <c r="Z162" s="821"/>
      <c r="AA162" s="818" t="s">
        <v>1495</v>
      </c>
      <c r="AB162" s="821" t="s">
        <v>1496</v>
      </c>
      <c r="AC162" s="818" t="s">
        <v>1524</v>
      </c>
      <c r="AD162" s="818"/>
    </row>
    <row r="163" spans="1:30" x14ac:dyDescent="0.25">
      <c r="A163" s="818" t="s">
        <v>1525</v>
      </c>
      <c r="B163" s="818" t="s">
        <v>1142</v>
      </c>
      <c r="C163" s="818"/>
      <c r="D163" s="818" t="s">
        <v>1517</v>
      </c>
      <c r="E163" s="818" t="s">
        <v>1394</v>
      </c>
      <c r="F163" s="818" t="s">
        <v>1145</v>
      </c>
      <c r="G163" s="819">
        <v>42976.548078703701</v>
      </c>
      <c r="H163" s="819">
        <v>42976</v>
      </c>
      <c r="I163" s="818" t="s">
        <v>1493</v>
      </c>
      <c r="J163" s="818" t="s">
        <v>1147</v>
      </c>
      <c r="K163" s="820">
        <v>1323.8</v>
      </c>
      <c r="L163" s="818" t="s">
        <v>1149</v>
      </c>
      <c r="M163" s="820">
        <v>14</v>
      </c>
      <c r="N163" s="820">
        <v>18535.353024669112</v>
      </c>
      <c r="O163" s="818" t="s">
        <v>1149</v>
      </c>
      <c r="P163" s="819">
        <v>42976</v>
      </c>
      <c r="Q163" s="818"/>
      <c r="R163" s="818"/>
      <c r="S163" s="818"/>
      <c r="T163" s="818"/>
      <c r="U163" s="819">
        <v>42999</v>
      </c>
      <c r="V163" s="821"/>
      <c r="W163" s="821"/>
      <c r="X163" s="818" t="s">
        <v>1494</v>
      </c>
      <c r="Y163" s="818"/>
      <c r="Z163" s="821"/>
      <c r="AA163" s="818" t="s">
        <v>1495</v>
      </c>
      <c r="AB163" s="821" t="s">
        <v>1496</v>
      </c>
      <c r="AC163" s="818" t="s">
        <v>1526</v>
      </c>
      <c r="AD163" s="818"/>
    </row>
    <row r="164" spans="1:30" x14ac:dyDescent="0.25">
      <c r="A164" s="818" t="s">
        <v>1527</v>
      </c>
      <c r="B164" s="818" t="s">
        <v>1142</v>
      </c>
      <c r="C164" s="818"/>
      <c r="D164" s="818" t="s">
        <v>1517</v>
      </c>
      <c r="E164" s="818" t="s">
        <v>1394</v>
      </c>
      <c r="F164" s="818" t="s">
        <v>1145</v>
      </c>
      <c r="G164" s="819">
        <v>42976.548078703701</v>
      </c>
      <c r="H164" s="819">
        <v>42976</v>
      </c>
      <c r="I164" s="818" t="s">
        <v>1493</v>
      </c>
      <c r="J164" s="818" t="s">
        <v>1147</v>
      </c>
      <c r="K164" s="820">
        <v>1323.8</v>
      </c>
      <c r="L164" s="818" t="s">
        <v>1149</v>
      </c>
      <c r="M164" s="820">
        <v>2</v>
      </c>
      <c r="N164" s="820">
        <v>2647.9075749527301</v>
      </c>
      <c r="O164" s="818" t="s">
        <v>1149</v>
      </c>
      <c r="P164" s="819">
        <v>42976</v>
      </c>
      <c r="Q164" s="818"/>
      <c r="R164" s="818"/>
      <c r="S164" s="818"/>
      <c r="T164" s="818"/>
      <c r="U164" s="819">
        <v>42999</v>
      </c>
      <c r="V164" s="821"/>
      <c r="W164" s="821"/>
      <c r="X164" s="818" t="s">
        <v>1494</v>
      </c>
      <c r="Y164" s="818"/>
      <c r="Z164" s="821"/>
      <c r="AA164" s="818" t="s">
        <v>1495</v>
      </c>
      <c r="AB164" s="821" t="s">
        <v>1496</v>
      </c>
      <c r="AC164" s="818" t="s">
        <v>1528</v>
      </c>
      <c r="AD164" s="818"/>
    </row>
    <row r="165" spans="1:30" x14ac:dyDescent="0.25">
      <c r="A165" s="818" t="s">
        <v>1529</v>
      </c>
      <c r="B165" s="818" t="s">
        <v>1142</v>
      </c>
      <c r="C165" s="818"/>
      <c r="D165" s="818" t="s">
        <v>1517</v>
      </c>
      <c r="E165" s="818" t="s">
        <v>1394</v>
      </c>
      <c r="F165" s="818" t="s">
        <v>1145</v>
      </c>
      <c r="G165" s="819">
        <v>42976.548078703701</v>
      </c>
      <c r="H165" s="819">
        <v>42976</v>
      </c>
      <c r="I165" s="818" t="s">
        <v>1493</v>
      </c>
      <c r="J165" s="818" t="s">
        <v>1147</v>
      </c>
      <c r="K165" s="820">
        <v>1323.8</v>
      </c>
      <c r="L165" s="818" t="s">
        <v>1149</v>
      </c>
      <c r="M165" s="820">
        <v>2</v>
      </c>
      <c r="N165" s="820">
        <v>2647.9075749527301</v>
      </c>
      <c r="O165" s="818" t="s">
        <v>1149</v>
      </c>
      <c r="P165" s="819">
        <v>42976</v>
      </c>
      <c r="Q165" s="818"/>
      <c r="R165" s="818"/>
      <c r="S165" s="818"/>
      <c r="T165" s="818"/>
      <c r="U165" s="819">
        <v>42999</v>
      </c>
      <c r="V165" s="821"/>
      <c r="W165" s="821"/>
      <c r="X165" s="818" t="s">
        <v>1494</v>
      </c>
      <c r="Y165" s="818"/>
      <c r="Z165" s="821"/>
      <c r="AA165" s="818" t="s">
        <v>1495</v>
      </c>
      <c r="AB165" s="821" t="s">
        <v>1496</v>
      </c>
      <c r="AC165" s="818" t="s">
        <v>1530</v>
      </c>
      <c r="AD165" s="818"/>
    </row>
    <row r="166" spans="1:30" x14ac:dyDescent="0.25">
      <c r="A166" s="818" t="s">
        <v>1531</v>
      </c>
      <c r="B166" s="818" t="s">
        <v>1142</v>
      </c>
      <c r="C166" s="818"/>
      <c r="D166" s="818" t="s">
        <v>1517</v>
      </c>
      <c r="E166" s="818" t="s">
        <v>1394</v>
      </c>
      <c r="F166" s="818" t="s">
        <v>1145</v>
      </c>
      <c r="G166" s="819">
        <v>42976.548078703701</v>
      </c>
      <c r="H166" s="819">
        <v>42976</v>
      </c>
      <c r="I166" s="818" t="s">
        <v>1493</v>
      </c>
      <c r="J166" s="818" t="s">
        <v>1147</v>
      </c>
      <c r="K166" s="820">
        <v>1323.8</v>
      </c>
      <c r="L166" s="818" t="s">
        <v>1149</v>
      </c>
      <c r="M166" s="820">
        <v>2</v>
      </c>
      <c r="N166" s="820">
        <v>2647.9075749527301</v>
      </c>
      <c r="O166" s="818" t="s">
        <v>1149</v>
      </c>
      <c r="P166" s="819">
        <v>42976</v>
      </c>
      <c r="Q166" s="818"/>
      <c r="R166" s="818"/>
      <c r="S166" s="818"/>
      <c r="T166" s="818"/>
      <c r="U166" s="819">
        <v>42999</v>
      </c>
      <c r="V166" s="821"/>
      <c r="W166" s="821"/>
      <c r="X166" s="818" t="s">
        <v>1494</v>
      </c>
      <c r="Y166" s="818"/>
      <c r="Z166" s="821"/>
      <c r="AA166" s="818" t="s">
        <v>1495</v>
      </c>
      <c r="AB166" s="821" t="s">
        <v>1496</v>
      </c>
      <c r="AC166" s="818" t="s">
        <v>1532</v>
      </c>
      <c r="AD166" s="818"/>
    </row>
    <row r="167" spans="1:30" x14ac:dyDescent="0.25">
      <c r="A167" s="818" t="s">
        <v>1533</v>
      </c>
      <c r="B167" s="818" t="s">
        <v>1142</v>
      </c>
      <c r="C167" s="818"/>
      <c r="D167" s="818" t="s">
        <v>1517</v>
      </c>
      <c r="E167" s="818" t="s">
        <v>1394</v>
      </c>
      <c r="F167" s="818" t="s">
        <v>1145</v>
      </c>
      <c r="G167" s="819">
        <v>42976.548078703701</v>
      </c>
      <c r="H167" s="819">
        <v>42976</v>
      </c>
      <c r="I167" s="818" t="s">
        <v>1493</v>
      </c>
      <c r="J167" s="818" t="s">
        <v>1147</v>
      </c>
      <c r="K167" s="820">
        <v>1323.8</v>
      </c>
      <c r="L167" s="818" t="s">
        <v>1149</v>
      </c>
      <c r="M167" s="820">
        <v>1</v>
      </c>
      <c r="N167" s="820">
        <v>1323.9537874763701</v>
      </c>
      <c r="O167" s="818" t="s">
        <v>1149</v>
      </c>
      <c r="P167" s="819">
        <v>42976</v>
      </c>
      <c r="Q167" s="818"/>
      <c r="R167" s="818"/>
      <c r="S167" s="818"/>
      <c r="T167" s="818"/>
      <c r="U167" s="819">
        <v>42999</v>
      </c>
      <c r="V167" s="821"/>
      <c r="W167" s="821"/>
      <c r="X167" s="818" t="s">
        <v>1494</v>
      </c>
      <c r="Y167" s="818"/>
      <c r="Z167" s="821"/>
      <c r="AA167" s="818" t="s">
        <v>1495</v>
      </c>
      <c r="AB167" s="821" t="s">
        <v>1496</v>
      </c>
      <c r="AC167" s="818" t="s">
        <v>1534</v>
      </c>
      <c r="AD167" s="818"/>
    </row>
    <row r="168" spans="1:30" x14ac:dyDescent="0.25">
      <c r="A168" s="818" t="s">
        <v>1535</v>
      </c>
      <c r="B168" s="818" t="s">
        <v>1142</v>
      </c>
      <c r="C168" s="818"/>
      <c r="D168" s="818" t="s">
        <v>1517</v>
      </c>
      <c r="E168" s="818" t="s">
        <v>1394</v>
      </c>
      <c r="F168" s="818" t="s">
        <v>1145</v>
      </c>
      <c r="G168" s="819">
        <v>42976.548078703701</v>
      </c>
      <c r="H168" s="819">
        <v>42976</v>
      </c>
      <c r="I168" s="818" t="s">
        <v>1493</v>
      </c>
      <c r="J168" s="818" t="s">
        <v>1147</v>
      </c>
      <c r="K168" s="820">
        <v>1323.7</v>
      </c>
      <c r="L168" s="818" t="s">
        <v>1149</v>
      </c>
      <c r="M168" s="820">
        <v>25</v>
      </c>
      <c r="N168" s="820">
        <v>33096.342419496163</v>
      </c>
      <c r="O168" s="818" t="s">
        <v>1149</v>
      </c>
      <c r="P168" s="819">
        <v>42976</v>
      </c>
      <c r="Q168" s="818"/>
      <c r="R168" s="818"/>
      <c r="S168" s="818"/>
      <c r="T168" s="818"/>
      <c r="U168" s="819">
        <v>42999</v>
      </c>
      <c r="V168" s="821"/>
      <c r="W168" s="821"/>
      <c r="X168" s="818" t="s">
        <v>1494</v>
      </c>
      <c r="Y168" s="818"/>
      <c r="Z168" s="821"/>
      <c r="AA168" s="818" t="s">
        <v>1495</v>
      </c>
      <c r="AB168" s="821" t="s">
        <v>1496</v>
      </c>
      <c r="AC168" s="818" t="s">
        <v>1536</v>
      </c>
      <c r="AD168" s="818"/>
    </row>
    <row r="169" spans="1:30" x14ac:dyDescent="0.25">
      <c r="A169" s="818" t="s">
        <v>1537</v>
      </c>
      <c r="B169" s="818" t="s">
        <v>1142</v>
      </c>
      <c r="C169" s="818"/>
      <c r="D169" s="818" t="s">
        <v>1517</v>
      </c>
      <c r="E169" s="818" t="s">
        <v>1394</v>
      </c>
      <c r="F169" s="818" t="s">
        <v>1145</v>
      </c>
      <c r="G169" s="819">
        <v>42976.548078703701</v>
      </c>
      <c r="H169" s="819">
        <v>42976</v>
      </c>
      <c r="I169" s="818" t="s">
        <v>1493</v>
      </c>
      <c r="J169" s="818" t="s">
        <v>1147</v>
      </c>
      <c r="K169" s="820">
        <v>1323.7</v>
      </c>
      <c r="L169" s="818" t="s">
        <v>1149</v>
      </c>
      <c r="M169" s="820">
        <v>1</v>
      </c>
      <c r="N169" s="820">
        <v>1323.85369677985</v>
      </c>
      <c r="O169" s="818" t="s">
        <v>1149</v>
      </c>
      <c r="P169" s="819">
        <v>42976</v>
      </c>
      <c r="Q169" s="818"/>
      <c r="R169" s="818"/>
      <c r="S169" s="818"/>
      <c r="T169" s="818"/>
      <c r="U169" s="819">
        <v>42999</v>
      </c>
      <c r="V169" s="821"/>
      <c r="W169" s="821"/>
      <c r="X169" s="818" t="s">
        <v>1494</v>
      </c>
      <c r="Y169" s="818"/>
      <c r="Z169" s="821"/>
      <c r="AA169" s="818" t="s">
        <v>1495</v>
      </c>
      <c r="AB169" s="821" t="s">
        <v>1496</v>
      </c>
      <c r="AC169" s="818" t="s">
        <v>1538</v>
      </c>
      <c r="AD169" s="818"/>
    </row>
    <row r="170" spans="1:30" x14ac:dyDescent="0.25">
      <c r="A170" s="818" t="s">
        <v>1539</v>
      </c>
      <c r="B170" s="818" t="s">
        <v>1142</v>
      </c>
      <c r="C170" s="818"/>
      <c r="D170" s="818" t="s">
        <v>1517</v>
      </c>
      <c r="E170" s="818" t="s">
        <v>1394</v>
      </c>
      <c r="F170" s="818" t="s">
        <v>1145</v>
      </c>
      <c r="G170" s="819">
        <v>42976.548067129632</v>
      </c>
      <c r="H170" s="819">
        <v>42976</v>
      </c>
      <c r="I170" s="818" t="s">
        <v>1493</v>
      </c>
      <c r="J170" s="818" t="s">
        <v>1147</v>
      </c>
      <c r="K170" s="820">
        <v>1323.7</v>
      </c>
      <c r="L170" s="818" t="s">
        <v>1149</v>
      </c>
      <c r="M170" s="820">
        <v>1</v>
      </c>
      <c r="N170" s="820">
        <v>1323.85369677985</v>
      </c>
      <c r="O170" s="818" t="s">
        <v>1149</v>
      </c>
      <c r="P170" s="819">
        <v>42976</v>
      </c>
      <c r="Q170" s="818"/>
      <c r="R170" s="818"/>
      <c r="S170" s="818"/>
      <c r="T170" s="818"/>
      <c r="U170" s="819">
        <v>42999</v>
      </c>
      <c r="V170" s="821"/>
      <c r="W170" s="821"/>
      <c r="X170" s="818" t="s">
        <v>1494</v>
      </c>
      <c r="Y170" s="818"/>
      <c r="Z170" s="821"/>
      <c r="AA170" s="818" t="s">
        <v>1495</v>
      </c>
      <c r="AB170" s="821" t="s">
        <v>1496</v>
      </c>
      <c r="AC170" s="818" t="s">
        <v>1540</v>
      </c>
      <c r="AD170" s="818"/>
    </row>
    <row r="171" spans="1:30" x14ac:dyDescent="0.25">
      <c r="A171" s="818" t="s">
        <v>1541</v>
      </c>
      <c r="B171" s="818" t="s">
        <v>1142</v>
      </c>
      <c r="C171" s="818"/>
      <c r="D171" s="818" t="s">
        <v>1517</v>
      </c>
      <c r="E171" s="818" t="s">
        <v>1394</v>
      </c>
      <c r="F171" s="818" t="s">
        <v>1145</v>
      </c>
      <c r="G171" s="819">
        <v>42976.548067129632</v>
      </c>
      <c r="H171" s="819">
        <v>42976</v>
      </c>
      <c r="I171" s="818" t="s">
        <v>1493</v>
      </c>
      <c r="J171" s="818" t="s">
        <v>1147</v>
      </c>
      <c r="K171" s="820">
        <v>1323.7</v>
      </c>
      <c r="L171" s="818" t="s">
        <v>1149</v>
      </c>
      <c r="M171" s="820">
        <v>1</v>
      </c>
      <c r="N171" s="820">
        <v>1323.85369677985</v>
      </c>
      <c r="O171" s="818" t="s">
        <v>1149</v>
      </c>
      <c r="P171" s="819">
        <v>42976</v>
      </c>
      <c r="Q171" s="818"/>
      <c r="R171" s="818"/>
      <c r="S171" s="818"/>
      <c r="T171" s="818"/>
      <c r="U171" s="819">
        <v>42999</v>
      </c>
      <c r="V171" s="821"/>
      <c r="W171" s="821"/>
      <c r="X171" s="818" t="s">
        <v>1494</v>
      </c>
      <c r="Y171" s="818"/>
      <c r="Z171" s="821"/>
      <c r="AA171" s="818" t="s">
        <v>1495</v>
      </c>
      <c r="AB171" s="821" t="s">
        <v>1496</v>
      </c>
      <c r="AC171" s="818" t="s">
        <v>1542</v>
      </c>
      <c r="AD171" s="818"/>
    </row>
    <row r="172" spans="1:30" x14ac:dyDescent="0.25">
      <c r="A172" s="818" t="s">
        <v>1543</v>
      </c>
      <c r="B172" s="818" t="s">
        <v>1142</v>
      </c>
      <c r="C172" s="818"/>
      <c r="D172" s="818" t="s">
        <v>1517</v>
      </c>
      <c r="E172" s="818" t="s">
        <v>1394</v>
      </c>
      <c r="F172" s="818" t="s">
        <v>1145</v>
      </c>
      <c r="G172" s="819">
        <v>42976.548067129632</v>
      </c>
      <c r="H172" s="819">
        <v>42976</v>
      </c>
      <c r="I172" s="818" t="s">
        <v>1493</v>
      </c>
      <c r="J172" s="818" t="s">
        <v>1147</v>
      </c>
      <c r="K172" s="820">
        <v>1323.7</v>
      </c>
      <c r="L172" s="818" t="s">
        <v>1149</v>
      </c>
      <c r="M172" s="820">
        <v>2</v>
      </c>
      <c r="N172" s="820">
        <v>2647.70739355969</v>
      </c>
      <c r="O172" s="818" t="s">
        <v>1149</v>
      </c>
      <c r="P172" s="819">
        <v>42976</v>
      </c>
      <c r="Q172" s="818"/>
      <c r="R172" s="818"/>
      <c r="S172" s="818"/>
      <c r="T172" s="818"/>
      <c r="U172" s="819">
        <v>42999</v>
      </c>
      <c r="V172" s="821"/>
      <c r="W172" s="821"/>
      <c r="X172" s="818" t="s">
        <v>1494</v>
      </c>
      <c r="Y172" s="818"/>
      <c r="Z172" s="821"/>
      <c r="AA172" s="818" t="s">
        <v>1495</v>
      </c>
      <c r="AB172" s="821" t="s">
        <v>1496</v>
      </c>
      <c r="AC172" s="818" t="s">
        <v>1544</v>
      </c>
      <c r="AD172" s="818"/>
    </row>
    <row r="173" spans="1:30" x14ac:dyDescent="0.25">
      <c r="A173" s="818" t="s">
        <v>1545</v>
      </c>
      <c r="B173" s="818" t="s">
        <v>1142</v>
      </c>
      <c r="C173" s="818"/>
      <c r="D173" s="818" t="s">
        <v>1517</v>
      </c>
      <c r="E173" s="818" t="s">
        <v>1394</v>
      </c>
      <c r="F173" s="818" t="s">
        <v>1145</v>
      </c>
      <c r="G173" s="819">
        <v>42976.548067129632</v>
      </c>
      <c r="H173" s="819">
        <v>42976</v>
      </c>
      <c r="I173" s="818" t="s">
        <v>1493</v>
      </c>
      <c r="J173" s="818" t="s">
        <v>1147</v>
      </c>
      <c r="K173" s="820">
        <v>1323.7</v>
      </c>
      <c r="L173" s="818" t="s">
        <v>1149</v>
      </c>
      <c r="M173" s="820">
        <v>3</v>
      </c>
      <c r="N173" s="820">
        <v>3971.56109033954</v>
      </c>
      <c r="O173" s="818" t="s">
        <v>1149</v>
      </c>
      <c r="P173" s="819">
        <v>42976</v>
      </c>
      <c r="Q173" s="818"/>
      <c r="R173" s="818"/>
      <c r="S173" s="818"/>
      <c r="T173" s="818"/>
      <c r="U173" s="819">
        <v>42999</v>
      </c>
      <c r="V173" s="821"/>
      <c r="W173" s="821"/>
      <c r="X173" s="818" t="s">
        <v>1494</v>
      </c>
      <c r="Y173" s="818"/>
      <c r="Z173" s="821"/>
      <c r="AA173" s="818" t="s">
        <v>1495</v>
      </c>
      <c r="AB173" s="821" t="s">
        <v>1496</v>
      </c>
      <c r="AC173" s="818" t="s">
        <v>1546</v>
      </c>
      <c r="AD173" s="818"/>
    </row>
    <row r="174" spans="1:30" x14ac:dyDescent="0.25">
      <c r="A174" s="818" t="s">
        <v>1547</v>
      </c>
      <c r="B174" s="818" t="s">
        <v>1142</v>
      </c>
      <c r="C174" s="818"/>
      <c r="D174" s="818" t="s">
        <v>1548</v>
      </c>
      <c r="E174" s="818" t="s">
        <v>1412</v>
      </c>
      <c r="F174" s="818" t="s">
        <v>1145</v>
      </c>
      <c r="G174" s="819">
        <v>42976.547442129631</v>
      </c>
      <c r="H174" s="819">
        <v>42976</v>
      </c>
      <c r="I174" s="818" t="s">
        <v>1493</v>
      </c>
      <c r="J174" s="818" t="s">
        <v>1147</v>
      </c>
      <c r="K174" s="820">
        <v>1323.7</v>
      </c>
      <c r="L174" s="818" t="s">
        <v>1149</v>
      </c>
      <c r="M174" s="820">
        <v>46</v>
      </c>
      <c r="N174" s="820">
        <v>60897.27005187294</v>
      </c>
      <c r="O174" s="818" t="s">
        <v>1149</v>
      </c>
      <c r="P174" s="819">
        <v>42976</v>
      </c>
      <c r="Q174" s="818"/>
      <c r="R174" s="818"/>
      <c r="S174" s="818"/>
      <c r="T174" s="818"/>
      <c r="U174" s="819">
        <v>42999</v>
      </c>
      <c r="V174" s="821"/>
      <c r="W174" s="821"/>
      <c r="X174" s="818" t="s">
        <v>1494</v>
      </c>
      <c r="Y174" s="818"/>
      <c r="Z174" s="821"/>
      <c r="AA174" s="818" t="s">
        <v>1495</v>
      </c>
      <c r="AB174" s="821" t="s">
        <v>1496</v>
      </c>
      <c r="AC174" s="818" t="s">
        <v>1549</v>
      </c>
      <c r="AD174" s="818"/>
    </row>
    <row r="175" spans="1:30" x14ac:dyDescent="0.25">
      <c r="A175" s="818" t="s">
        <v>1550</v>
      </c>
      <c r="B175" s="818" t="s">
        <v>1142</v>
      </c>
      <c r="C175" s="818"/>
      <c r="D175" s="818" t="s">
        <v>1548</v>
      </c>
      <c r="E175" s="818" t="s">
        <v>1412</v>
      </c>
      <c r="F175" s="818" t="s">
        <v>1145</v>
      </c>
      <c r="G175" s="819">
        <v>42976.547442129631</v>
      </c>
      <c r="H175" s="819">
        <v>42976</v>
      </c>
      <c r="I175" s="818" t="s">
        <v>1493</v>
      </c>
      <c r="J175" s="818" t="s">
        <v>1147</v>
      </c>
      <c r="K175" s="820">
        <v>1323.6</v>
      </c>
      <c r="L175" s="818" t="s">
        <v>1149</v>
      </c>
      <c r="M175" s="820">
        <v>1</v>
      </c>
      <c r="N175" s="820">
        <v>1323.75377688656</v>
      </c>
      <c r="O175" s="818" t="s">
        <v>1149</v>
      </c>
      <c r="P175" s="819">
        <v>42976</v>
      </c>
      <c r="Q175" s="818"/>
      <c r="R175" s="818"/>
      <c r="S175" s="818"/>
      <c r="T175" s="818"/>
      <c r="U175" s="819">
        <v>42999</v>
      </c>
      <c r="V175" s="821"/>
      <c r="W175" s="821"/>
      <c r="X175" s="818" t="s">
        <v>1494</v>
      </c>
      <c r="Y175" s="818"/>
      <c r="Z175" s="821"/>
      <c r="AA175" s="818" t="s">
        <v>1495</v>
      </c>
      <c r="AB175" s="821" t="s">
        <v>1496</v>
      </c>
      <c r="AC175" s="818" t="s">
        <v>1551</v>
      </c>
      <c r="AD175" s="818"/>
    </row>
    <row r="176" spans="1:30" x14ac:dyDescent="0.25">
      <c r="A176" s="818" t="s">
        <v>1552</v>
      </c>
      <c r="B176" s="818" t="s">
        <v>1142</v>
      </c>
      <c r="C176" s="818"/>
      <c r="D176" s="818" t="s">
        <v>1548</v>
      </c>
      <c r="E176" s="818" t="s">
        <v>1412</v>
      </c>
      <c r="F176" s="818" t="s">
        <v>1145</v>
      </c>
      <c r="G176" s="819">
        <v>42976.547442129631</v>
      </c>
      <c r="H176" s="819">
        <v>42976</v>
      </c>
      <c r="I176" s="818" t="s">
        <v>1493</v>
      </c>
      <c r="J176" s="818" t="s">
        <v>1147</v>
      </c>
      <c r="K176" s="820">
        <v>1323.6</v>
      </c>
      <c r="L176" s="818" t="s">
        <v>1149</v>
      </c>
      <c r="M176" s="820">
        <v>10</v>
      </c>
      <c r="N176" s="820">
        <v>13237.537768865641</v>
      </c>
      <c r="O176" s="818" t="s">
        <v>1149</v>
      </c>
      <c r="P176" s="819">
        <v>42976</v>
      </c>
      <c r="Q176" s="818"/>
      <c r="R176" s="818"/>
      <c r="S176" s="818"/>
      <c r="T176" s="818"/>
      <c r="U176" s="819">
        <v>42999</v>
      </c>
      <c r="V176" s="821"/>
      <c r="W176" s="821"/>
      <c r="X176" s="818" t="s">
        <v>1494</v>
      </c>
      <c r="Y176" s="818"/>
      <c r="Z176" s="821"/>
      <c r="AA176" s="818" t="s">
        <v>1495</v>
      </c>
      <c r="AB176" s="821" t="s">
        <v>1496</v>
      </c>
      <c r="AC176" s="818" t="s">
        <v>1553</v>
      </c>
      <c r="AD176" s="818"/>
    </row>
    <row r="177" spans="1:30" x14ac:dyDescent="0.25">
      <c r="A177" s="818" t="s">
        <v>1554</v>
      </c>
      <c r="B177" s="818" t="s">
        <v>1142</v>
      </c>
      <c r="C177" s="818"/>
      <c r="D177" s="818" t="s">
        <v>1555</v>
      </c>
      <c r="E177" s="818" t="s">
        <v>1416</v>
      </c>
      <c r="F177" s="818" t="s">
        <v>1145</v>
      </c>
      <c r="G177" s="819">
        <v>42976.54724537037</v>
      </c>
      <c r="H177" s="819">
        <v>42976</v>
      </c>
      <c r="I177" s="818" t="s">
        <v>1493</v>
      </c>
      <c r="J177" s="818" t="s">
        <v>1147</v>
      </c>
      <c r="K177" s="820">
        <v>1323.7</v>
      </c>
      <c r="L177" s="818" t="s">
        <v>1149</v>
      </c>
      <c r="M177" s="820">
        <v>13</v>
      </c>
      <c r="N177" s="820">
        <v>17210.09805813801</v>
      </c>
      <c r="O177" s="818" t="s">
        <v>1149</v>
      </c>
      <c r="P177" s="819">
        <v>42976</v>
      </c>
      <c r="Q177" s="818"/>
      <c r="R177" s="818"/>
      <c r="S177" s="818"/>
      <c r="T177" s="818"/>
      <c r="U177" s="819">
        <v>42999</v>
      </c>
      <c r="V177" s="821"/>
      <c r="W177" s="821"/>
      <c r="X177" s="818" t="s">
        <v>1494</v>
      </c>
      <c r="Y177" s="818"/>
      <c r="Z177" s="821"/>
      <c r="AA177" s="818" t="s">
        <v>1495</v>
      </c>
      <c r="AB177" s="821" t="s">
        <v>1496</v>
      </c>
      <c r="AC177" s="818" t="s">
        <v>1556</v>
      </c>
      <c r="AD177" s="818"/>
    </row>
    <row r="178" spans="1:30" x14ac:dyDescent="0.25">
      <c r="A178" s="818" t="s">
        <v>1557</v>
      </c>
      <c r="B178" s="818" t="s">
        <v>1142</v>
      </c>
      <c r="C178" s="818"/>
      <c r="D178" s="818" t="s">
        <v>1555</v>
      </c>
      <c r="E178" s="818" t="s">
        <v>1416</v>
      </c>
      <c r="F178" s="818" t="s">
        <v>1145</v>
      </c>
      <c r="G178" s="819">
        <v>42976.54724537037</v>
      </c>
      <c r="H178" s="819">
        <v>42976</v>
      </c>
      <c r="I178" s="818" t="s">
        <v>1493</v>
      </c>
      <c r="J178" s="818" t="s">
        <v>1147</v>
      </c>
      <c r="K178" s="820">
        <v>1323.7</v>
      </c>
      <c r="L178" s="818" t="s">
        <v>1149</v>
      </c>
      <c r="M178" s="820">
        <v>2</v>
      </c>
      <c r="N178" s="820">
        <v>2647.70739355969</v>
      </c>
      <c r="O178" s="818" t="s">
        <v>1149</v>
      </c>
      <c r="P178" s="819">
        <v>42976</v>
      </c>
      <c r="Q178" s="818"/>
      <c r="R178" s="818"/>
      <c r="S178" s="818"/>
      <c r="T178" s="818"/>
      <c r="U178" s="819">
        <v>42999</v>
      </c>
      <c r="V178" s="821"/>
      <c r="W178" s="821"/>
      <c r="X178" s="818" t="s">
        <v>1494</v>
      </c>
      <c r="Y178" s="818"/>
      <c r="Z178" s="821"/>
      <c r="AA178" s="818" t="s">
        <v>1495</v>
      </c>
      <c r="AB178" s="821" t="s">
        <v>1496</v>
      </c>
      <c r="AC178" s="818" t="s">
        <v>1558</v>
      </c>
      <c r="AD178" s="818"/>
    </row>
    <row r="179" spans="1:30" x14ac:dyDescent="0.25">
      <c r="A179" s="818" t="s">
        <v>1559</v>
      </c>
      <c r="B179" s="818" t="s">
        <v>1142</v>
      </c>
      <c r="C179" s="818"/>
      <c r="D179" s="818" t="s">
        <v>1555</v>
      </c>
      <c r="E179" s="818" t="s">
        <v>1416</v>
      </c>
      <c r="F179" s="818" t="s">
        <v>1145</v>
      </c>
      <c r="G179" s="819">
        <v>42976.54724537037</v>
      </c>
      <c r="H179" s="819">
        <v>42976</v>
      </c>
      <c r="I179" s="818" t="s">
        <v>1493</v>
      </c>
      <c r="J179" s="818" t="s">
        <v>1147</v>
      </c>
      <c r="K179" s="820">
        <v>1323.7</v>
      </c>
      <c r="L179" s="818" t="s">
        <v>1149</v>
      </c>
      <c r="M179" s="820">
        <v>2</v>
      </c>
      <c r="N179" s="820">
        <v>2647.70739355969</v>
      </c>
      <c r="O179" s="818" t="s">
        <v>1149</v>
      </c>
      <c r="P179" s="819">
        <v>42976</v>
      </c>
      <c r="Q179" s="818"/>
      <c r="R179" s="818"/>
      <c r="S179" s="818"/>
      <c r="T179" s="818"/>
      <c r="U179" s="819">
        <v>42999</v>
      </c>
      <c r="V179" s="821"/>
      <c r="W179" s="821"/>
      <c r="X179" s="818" t="s">
        <v>1494</v>
      </c>
      <c r="Y179" s="818"/>
      <c r="Z179" s="821"/>
      <c r="AA179" s="818" t="s">
        <v>1495</v>
      </c>
      <c r="AB179" s="821" t="s">
        <v>1496</v>
      </c>
      <c r="AC179" s="818" t="s">
        <v>1560</v>
      </c>
      <c r="AD179" s="818"/>
    </row>
    <row r="180" spans="1:30" x14ac:dyDescent="0.25">
      <c r="A180" s="818" t="s">
        <v>1561</v>
      </c>
      <c r="B180" s="818" t="s">
        <v>1142</v>
      </c>
      <c r="C180" s="818"/>
      <c r="D180" s="818" t="s">
        <v>1555</v>
      </c>
      <c r="E180" s="818" t="s">
        <v>1416</v>
      </c>
      <c r="F180" s="818" t="s">
        <v>1145</v>
      </c>
      <c r="G180" s="819">
        <v>42976.54724537037</v>
      </c>
      <c r="H180" s="819">
        <v>42976</v>
      </c>
      <c r="I180" s="818" t="s">
        <v>1493</v>
      </c>
      <c r="J180" s="818" t="s">
        <v>1147</v>
      </c>
      <c r="K180" s="820">
        <v>1323.7</v>
      </c>
      <c r="L180" s="818" t="s">
        <v>1149</v>
      </c>
      <c r="M180" s="820">
        <v>20</v>
      </c>
      <c r="N180" s="820">
        <v>26477.073935596931</v>
      </c>
      <c r="O180" s="818" t="s">
        <v>1149</v>
      </c>
      <c r="P180" s="819">
        <v>42976</v>
      </c>
      <c r="Q180" s="818"/>
      <c r="R180" s="818"/>
      <c r="S180" s="818"/>
      <c r="T180" s="818"/>
      <c r="U180" s="819">
        <v>42999</v>
      </c>
      <c r="V180" s="821"/>
      <c r="W180" s="821"/>
      <c r="X180" s="818" t="s">
        <v>1494</v>
      </c>
      <c r="Y180" s="818"/>
      <c r="Z180" s="821"/>
      <c r="AA180" s="818" t="s">
        <v>1495</v>
      </c>
      <c r="AB180" s="821" t="s">
        <v>1496</v>
      </c>
      <c r="AC180" s="818" t="s">
        <v>1562</v>
      </c>
      <c r="AD180" s="818"/>
    </row>
    <row r="181" spans="1:30" x14ac:dyDescent="0.25">
      <c r="A181" s="818" t="s">
        <v>1563</v>
      </c>
      <c r="B181" s="818" t="s">
        <v>1142</v>
      </c>
      <c r="C181" s="818"/>
      <c r="D181" s="818" t="s">
        <v>1555</v>
      </c>
      <c r="E181" s="818" t="s">
        <v>1416</v>
      </c>
      <c r="F181" s="818" t="s">
        <v>1145</v>
      </c>
      <c r="G181" s="819">
        <v>42976.54724537037</v>
      </c>
      <c r="H181" s="819">
        <v>42976</v>
      </c>
      <c r="I181" s="818" t="s">
        <v>1493</v>
      </c>
      <c r="J181" s="818" t="s">
        <v>1147</v>
      </c>
      <c r="K181" s="820">
        <v>1323.7</v>
      </c>
      <c r="L181" s="818" t="s">
        <v>1149</v>
      </c>
      <c r="M181" s="820">
        <v>14</v>
      </c>
      <c r="N181" s="820">
        <v>18533.951754917849</v>
      </c>
      <c r="O181" s="818" t="s">
        <v>1149</v>
      </c>
      <c r="P181" s="819">
        <v>42976</v>
      </c>
      <c r="Q181" s="818"/>
      <c r="R181" s="818"/>
      <c r="S181" s="818"/>
      <c r="T181" s="818"/>
      <c r="U181" s="819">
        <v>42999</v>
      </c>
      <c r="V181" s="821"/>
      <c r="W181" s="821"/>
      <c r="X181" s="818" t="s">
        <v>1494</v>
      </c>
      <c r="Y181" s="818"/>
      <c r="Z181" s="821"/>
      <c r="AA181" s="818" t="s">
        <v>1495</v>
      </c>
      <c r="AB181" s="821" t="s">
        <v>1496</v>
      </c>
      <c r="AC181" s="818" t="s">
        <v>1564</v>
      </c>
      <c r="AD181" s="818"/>
    </row>
    <row r="182" spans="1:30" x14ac:dyDescent="0.25">
      <c r="A182" s="818" t="s">
        <v>1565</v>
      </c>
      <c r="B182" s="818" t="s">
        <v>1142</v>
      </c>
      <c r="C182" s="818"/>
      <c r="D182" s="818" t="s">
        <v>1555</v>
      </c>
      <c r="E182" s="818" t="s">
        <v>1416</v>
      </c>
      <c r="F182" s="818" t="s">
        <v>1145</v>
      </c>
      <c r="G182" s="819">
        <v>42976.54724537037</v>
      </c>
      <c r="H182" s="819">
        <v>42976</v>
      </c>
      <c r="I182" s="818" t="s">
        <v>1493</v>
      </c>
      <c r="J182" s="818" t="s">
        <v>1147</v>
      </c>
      <c r="K182" s="820">
        <v>1323.7</v>
      </c>
      <c r="L182" s="818" t="s">
        <v>1149</v>
      </c>
      <c r="M182" s="820">
        <v>1</v>
      </c>
      <c r="N182" s="820">
        <v>1323.85369677985</v>
      </c>
      <c r="O182" s="818" t="s">
        <v>1149</v>
      </c>
      <c r="P182" s="819">
        <v>42976</v>
      </c>
      <c r="Q182" s="818"/>
      <c r="R182" s="818"/>
      <c r="S182" s="818"/>
      <c r="T182" s="818"/>
      <c r="U182" s="819">
        <v>42999</v>
      </c>
      <c r="V182" s="821"/>
      <c r="W182" s="821"/>
      <c r="X182" s="818" t="s">
        <v>1494</v>
      </c>
      <c r="Y182" s="818"/>
      <c r="Z182" s="821"/>
      <c r="AA182" s="818" t="s">
        <v>1495</v>
      </c>
      <c r="AB182" s="821" t="s">
        <v>1496</v>
      </c>
      <c r="AC182" s="818" t="s">
        <v>1566</v>
      </c>
      <c r="AD182" s="818"/>
    </row>
    <row r="183" spans="1:30" x14ac:dyDescent="0.25">
      <c r="A183" s="818" t="s">
        <v>1567</v>
      </c>
      <c r="B183" s="818" t="s">
        <v>1142</v>
      </c>
      <c r="C183" s="818"/>
      <c r="D183" s="818" t="s">
        <v>1555</v>
      </c>
      <c r="E183" s="818" t="s">
        <v>1416</v>
      </c>
      <c r="F183" s="818" t="s">
        <v>1145</v>
      </c>
      <c r="G183" s="819">
        <v>42976.54724537037</v>
      </c>
      <c r="H183" s="819">
        <v>42976</v>
      </c>
      <c r="I183" s="818" t="s">
        <v>1493</v>
      </c>
      <c r="J183" s="818" t="s">
        <v>1147</v>
      </c>
      <c r="K183" s="820">
        <v>1323.7</v>
      </c>
      <c r="L183" s="818" t="s">
        <v>1149</v>
      </c>
      <c r="M183" s="820">
        <v>2</v>
      </c>
      <c r="N183" s="820">
        <v>2647.70739355969</v>
      </c>
      <c r="O183" s="818" t="s">
        <v>1149</v>
      </c>
      <c r="P183" s="819">
        <v>42976</v>
      </c>
      <c r="Q183" s="818"/>
      <c r="R183" s="818"/>
      <c r="S183" s="818"/>
      <c r="T183" s="818"/>
      <c r="U183" s="819">
        <v>42999</v>
      </c>
      <c r="V183" s="821"/>
      <c r="W183" s="821"/>
      <c r="X183" s="818" t="s">
        <v>1494</v>
      </c>
      <c r="Y183" s="818"/>
      <c r="Z183" s="821"/>
      <c r="AA183" s="818" t="s">
        <v>1495</v>
      </c>
      <c r="AB183" s="821" t="s">
        <v>1496</v>
      </c>
      <c r="AC183" s="818" t="s">
        <v>1568</v>
      </c>
      <c r="AD183" s="818"/>
    </row>
    <row r="184" spans="1:30" x14ac:dyDescent="0.25">
      <c r="A184" s="818" t="s">
        <v>1569</v>
      </c>
      <c r="B184" s="818" t="s">
        <v>1142</v>
      </c>
      <c r="C184" s="818"/>
      <c r="D184" s="818" t="s">
        <v>1555</v>
      </c>
      <c r="E184" s="818" t="s">
        <v>1416</v>
      </c>
      <c r="F184" s="818" t="s">
        <v>1145</v>
      </c>
      <c r="G184" s="819">
        <v>42976.54724537037</v>
      </c>
      <c r="H184" s="819">
        <v>42976</v>
      </c>
      <c r="I184" s="818" t="s">
        <v>1493</v>
      </c>
      <c r="J184" s="818" t="s">
        <v>1147</v>
      </c>
      <c r="K184" s="820">
        <v>1323.7</v>
      </c>
      <c r="L184" s="818" t="s">
        <v>1149</v>
      </c>
      <c r="M184" s="820">
        <v>2</v>
      </c>
      <c r="N184" s="820">
        <v>2647.70739355969</v>
      </c>
      <c r="O184" s="818" t="s">
        <v>1149</v>
      </c>
      <c r="P184" s="819">
        <v>42976</v>
      </c>
      <c r="Q184" s="818"/>
      <c r="R184" s="818"/>
      <c r="S184" s="818"/>
      <c r="T184" s="818"/>
      <c r="U184" s="819">
        <v>42999</v>
      </c>
      <c r="V184" s="821"/>
      <c r="W184" s="821"/>
      <c r="X184" s="818" t="s">
        <v>1494</v>
      </c>
      <c r="Y184" s="818"/>
      <c r="Z184" s="821"/>
      <c r="AA184" s="818" t="s">
        <v>1495</v>
      </c>
      <c r="AB184" s="821" t="s">
        <v>1496</v>
      </c>
      <c r="AC184" s="818" t="s">
        <v>1570</v>
      </c>
      <c r="AD184" s="818"/>
    </row>
    <row r="185" spans="1:30" x14ac:dyDescent="0.25">
      <c r="A185" s="818" t="s">
        <v>1571</v>
      </c>
      <c r="B185" s="818" t="s">
        <v>1142</v>
      </c>
      <c r="C185" s="818"/>
      <c r="D185" s="818" t="s">
        <v>1555</v>
      </c>
      <c r="E185" s="818" t="s">
        <v>1416</v>
      </c>
      <c r="F185" s="818" t="s">
        <v>1145</v>
      </c>
      <c r="G185" s="819">
        <v>42976.54724537037</v>
      </c>
      <c r="H185" s="819">
        <v>42976</v>
      </c>
      <c r="I185" s="818" t="s">
        <v>1493</v>
      </c>
      <c r="J185" s="818" t="s">
        <v>1147</v>
      </c>
      <c r="K185" s="820">
        <v>1323.6</v>
      </c>
      <c r="L185" s="818" t="s">
        <v>1149</v>
      </c>
      <c r="M185" s="820">
        <v>14</v>
      </c>
      <c r="N185" s="820">
        <v>18532.552876411901</v>
      </c>
      <c r="O185" s="818" t="s">
        <v>1149</v>
      </c>
      <c r="P185" s="819">
        <v>42976</v>
      </c>
      <c r="Q185" s="818"/>
      <c r="R185" s="818"/>
      <c r="S185" s="818"/>
      <c r="T185" s="818"/>
      <c r="U185" s="819">
        <v>42999</v>
      </c>
      <c r="V185" s="821"/>
      <c r="W185" s="821"/>
      <c r="X185" s="818" t="s">
        <v>1494</v>
      </c>
      <c r="Y185" s="818"/>
      <c r="Z185" s="821"/>
      <c r="AA185" s="818" t="s">
        <v>1495</v>
      </c>
      <c r="AB185" s="821" t="s">
        <v>1496</v>
      </c>
      <c r="AC185" s="818" t="s">
        <v>1572</v>
      </c>
      <c r="AD185" s="818"/>
    </row>
    <row r="186" spans="1:30" x14ac:dyDescent="0.25">
      <c r="A186" s="818" t="s">
        <v>1573</v>
      </c>
      <c r="B186" s="818" t="s">
        <v>1142</v>
      </c>
      <c r="C186" s="818"/>
      <c r="D186" s="818" t="s">
        <v>1555</v>
      </c>
      <c r="E186" s="818" t="s">
        <v>1416</v>
      </c>
      <c r="F186" s="818" t="s">
        <v>1145</v>
      </c>
      <c r="G186" s="819">
        <v>42976.54724537037</v>
      </c>
      <c r="H186" s="819">
        <v>42976</v>
      </c>
      <c r="I186" s="818" t="s">
        <v>1493</v>
      </c>
      <c r="J186" s="818" t="s">
        <v>1147</v>
      </c>
      <c r="K186" s="820">
        <v>1323.6</v>
      </c>
      <c r="L186" s="818" t="s">
        <v>1149</v>
      </c>
      <c r="M186" s="820">
        <v>20</v>
      </c>
      <c r="N186" s="820">
        <v>26475.075537731289</v>
      </c>
      <c r="O186" s="818" t="s">
        <v>1149</v>
      </c>
      <c r="P186" s="819">
        <v>42976</v>
      </c>
      <c r="Q186" s="818"/>
      <c r="R186" s="818"/>
      <c r="S186" s="818"/>
      <c r="T186" s="818"/>
      <c r="U186" s="819">
        <v>42999</v>
      </c>
      <c r="V186" s="821"/>
      <c r="W186" s="821"/>
      <c r="X186" s="818" t="s">
        <v>1494</v>
      </c>
      <c r="Y186" s="818"/>
      <c r="Z186" s="821"/>
      <c r="AA186" s="818" t="s">
        <v>1495</v>
      </c>
      <c r="AB186" s="821" t="s">
        <v>1496</v>
      </c>
      <c r="AC186" s="818" t="s">
        <v>1574</v>
      </c>
      <c r="AD186" s="818"/>
    </row>
    <row r="187" spans="1:30" x14ac:dyDescent="0.25">
      <c r="A187" s="818" t="s">
        <v>1575</v>
      </c>
      <c r="B187" s="818" t="s">
        <v>1142</v>
      </c>
      <c r="C187" s="818"/>
      <c r="D187" s="818" t="s">
        <v>1555</v>
      </c>
      <c r="E187" s="818" t="s">
        <v>1416</v>
      </c>
      <c r="F187" s="818" t="s">
        <v>1145</v>
      </c>
      <c r="G187" s="819">
        <v>42976.547233796293</v>
      </c>
      <c r="H187" s="819">
        <v>42976</v>
      </c>
      <c r="I187" s="818" t="s">
        <v>1493</v>
      </c>
      <c r="J187" s="818" t="s">
        <v>1147</v>
      </c>
      <c r="K187" s="820">
        <v>1323.6</v>
      </c>
      <c r="L187" s="818" t="s">
        <v>1149</v>
      </c>
      <c r="M187" s="820">
        <v>5</v>
      </c>
      <c r="N187" s="820">
        <v>6618.7688844328204</v>
      </c>
      <c r="O187" s="818" t="s">
        <v>1149</v>
      </c>
      <c r="P187" s="819">
        <v>42976</v>
      </c>
      <c r="Q187" s="818"/>
      <c r="R187" s="818"/>
      <c r="S187" s="818"/>
      <c r="T187" s="818"/>
      <c r="U187" s="819">
        <v>42999</v>
      </c>
      <c r="V187" s="821"/>
      <c r="W187" s="821"/>
      <c r="X187" s="818" t="s">
        <v>1494</v>
      </c>
      <c r="Y187" s="818"/>
      <c r="Z187" s="821"/>
      <c r="AA187" s="818" t="s">
        <v>1495</v>
      </c>
      <c r="AB187" s="821" t="s">
        <v>1496</v>
      </c>
      <c r="AC187" s="818" t="s">
        <v>1576</v>
      </c>
      <c r="AD187" s="818"/>
    </row>
    <row r="188" spans="1:30" x14ac:dyDescent="0.25">
      <c r="A188" s="818" t="s">
        <v>1577</v>
      </c>
      <c r="B188" s="818" t="s">
        <v>1142</v>
      </c>
      <c r="C188" s="818"/>
      <c r="D188" s="818" t="s">
        <v>1555</v>
      </c>
      <c r="E188" s="818" t="s">
        <v>1416</v>
      </c>
      <c r="F188" s="818" t="s">
        <v>1145</v>
      </c>
      <c r="G188" s="819">
        <v>42976.547233796293</v>
      </c>
      <c r="H188" s="819">
        <v>42976</v>
      </c>
      <c r="I188" s="818" t="s">
        <v>1493</v>
      </c>
      <c r="J188" s="818" t="s">
        <v>1147</v>
      </c>
      <c r="K188" s="820">
        <v>1323.6</v>
      </c>
      <c r="L188" s="818" t="s">
        <v>1149</v>
      </c>
      <c r="M188" s="820">
        <v>50</v>
      </c>
      <c r="N188" s="820">
        <v>66187.688844328222</v>
      </c>
      <c r="O188" s="818" t="s">
        <v>1149</v>
      </c>
      <c r="P188" s="819">
        <v>42976</v>
      </c>
      <c r="Q188" s="818"/>
      <c r="R188" s="818"/>
      <c r="S188" s="818"/>
      <c r="T188" s="818"/>
      <c r="U188" s="819">
        <v>42999</v>
      </c>
      <c r="V188" s="821"/>
      <c r="W188" s="821"/>
      <c r="X188" s="818" t="s">
        <v>1494</v>
      </c>
      <c r="Y188" s="818"/>
      <c r="Z188" s="821"/>
      <c r="AA188" s="818" t="s">
        <v>1495</v>
      </c>
      <c r="AB188" s="821" t="s">
        <v>1496</v>
      </c>
      <c r="AC188" s="818" t="s">
        <v>1578</v>
      </c>
      <c r="AD188" s="818"/>
    </row>
    <row r="189" spans="1:30" x14ac:dyDescent="0.25">
      <c r="A189" s="818" t="s">
        <v>1579</v>
      </c>
      <c r="B189" s="818" t="s">
        <v>1142</v>
      </c>
      <c r="C189" s="818"/>
      <c r="D189" s="818" t="s">
        <v>1555</v>
      </c>
      <c r="E189" s="818" t="s">
        <v>1416</v>
      </c>
      <c r="F189" s="818" t="s">
        <v>1145</v>
      </c>
      <c r="G189" s="819">
        <v>42976.547233796293</v>
      </c>
      <c r="H189" s="819">
        <v>42976</v>
      </c>
      <c r="I189" s="818" t="s">
        <v>1493</v>
      </c>
      <c r="J189" s="818" t="s">
        <v>1147</v>
      </c>
      <c r="K189" s="820">
        <v>1323.6</v>
      </c>
      <c r="L189" s="818" t="s">
        <v>1149</v>
      </c>
      <c r="M189" s="820">
        <v>18</v>
      </c>
      <c r="N189" s="820">
        <v>23827.567983958161</v>
      </c>
      <c r="O189" s="818" t="s">
        <v>1149</v>
      </c>
      <c r="P189" s="819">
        <v>42976</v>
      </c>
      <c r="Q189" s="818"/>
      <c r="R189" s="818"/>
      <c r="S189" s="818"/>
      <c r="T189" s="818"/>
      <c r="U189" s="819">
        <v>42999</v>
      </c>
      <c r="V189" s="821"/>
      <c r="W189" s="821"/>
      <c r="X189" s="818" t="s">
        <v>1494</v>
      </c>
      <c r="Y189" s="818"/>
      <c r="Z189" s="821"/>
      <c r="AA189" s="818" t="s">
        <v>1495</v>
      </c>
      <c r="AB189" s="821" t="s">
        <v>1496</v>
      </c>
      <c r="AC189" s="818" t="s">
        <v>1580</v>
      </c>
      <c r="AD189" s="818"/>
    </row>
    <row r="190" spans="1:30" x14ac:dyDescent="0.25">
      <c r="A190" s="818" t="s">
        <v>1581</v>
      </c>
      <c r="B190" s="818" t="s">
        <v>1142</v>
      </c>
      <c r="C190" s="818"/>
      <c r="D190" s="818" t="s">
        <v>1555</v>
      </c>
      <c r="E190" s="818" t="s">
        <v>1416</v>
      </c>
      <c r="F190" s="818" t="s">
        <v>1145</v>
      </c>
      <c r="G190" s="819">
        <v>42976.547233796293</v>
      </c>
      <c r="H190" s="819">
        <v>42976</v>
      </c>
      <c r="I190" s="818" t="s">
        <v>1493</v>
      </c>
      <c r="J190" s="818" t="s">
        <v>1147</v>
      </c>
      <c r="K190" s="820">
        <v>1323.6</v>
      </c>
      <c r="L190" s="818" t="s">
        <v>1149</v>
      </c>
      <c r="M190" s="820">
        <v>82</v>
      </c>
      <c r="N190" s="820">
        <v>108547.80970469827</v>
      </c>
      <c r="O190" s="818" t="s">
        <v>1149</v>
      </c>
      <c r="P190" s="819">
        <v>42976</v>
      </c>
      <c r="Q190" s="818"/>
      <c r="R190" s="818"/>
      <c r="S190" s="818"/>
      <c r="T190" s="818"/>
      <c r="U190" s="819">
        <v>42999</v>
      </c>
      <c r="V190" s="821"/>
      <c r="W190" s="821"/>
      <c r="X190" s="818" t="s">
        <v>1494</v>
      </c>
      <c r="Y190" s="818"/>
      <c r="Z190" s="821"/>
      <c r="AA190" s="818" t="s">
        <v>1495</v>
      </c>
      <c r="AB190" s="821" t="s">
        <v>1496</v>
      </c>
      <c r="AC190" s="818" t="s">
        <v>1582</v>
      </c>
      <c r="AD190" s="818"/>
    </row>
    <row r="191" spans="1:30" x14ac:dyDescent="0.25">
      <c r="A191" s="818" t="s">
        <v>1583</v>
      </c>
      <c r="B191" s="818" t="s">
        <v>1142</v>
      </c>
      <c r="C191" s="818"/>
      <c r="D191" s="818" t="s">
        <v>1548</v>
      </c>
      <c r="E191" s="818" t="s">
        <v>1412</v>
      </c>
      <c r="F191" s="818" t="s">
        <v>1145</v>
      </c>
      <c r="G191" s="819">
        <v>42976.547442129631</v>
      </c>
      <c r="H191" s="819">
        <v>42976</v>
      </c>
      <c r="I191" s="818" t="s">
        <v>1493</v>
      </c>
      <c r="J191" s="818" t="s">
        <v>1147</v>
      </c>
      <c r="K191" s="820">
        <v>1323.6</v>
      </c>
      <c r="L191" s="818" t="s">
        <v>1149</v>
      </c>
      <c r="M191" s="820">
        <v>88</v>
      </c>
      <c r="N191" s="820">
        <v>116490.33236601768</v>
      </c>
      <c r="O191" s="818" t="s">
        <v>1149</v>
      </c>
      <c r="P191" s="819">
        <v>42976</v>
      </c>
      <c r="Q191" s="818"/>
      <c r="R191" s="818"/>
      <c r="S191" s="818"/>
      <c r="T191" s="818"/>
      <c r="U191" s="819">
        <v>42999</v>
      </c>
      <c r="V191" s="821"/>
      <c r="W191" s="821"/>
      <c r="X191" s="818" t="s">
        <v>1494</v>
      </c>
      <c r="Y191" s="818"/>
      <c r="Z191" s="821"/>
      <c r="AA191" s="818" t="s">
        <v>1495</v>
      </c>
      <c r="AB191" s="821" t="s">
        <v>1496</v>
      </c>
      <c r="AC191" s="818" t="s">
        <v>1584</v>
      </c>
      <c r="AD191" s="818"/>
    </row>
    <row r="192" spans="1:30" x14ac:dyDescent="0.25">
      <c r="A192" s="814" t="s">
        <v>1585</v>
      </c>
      <c r="B192" s="815"/>
      <c r="C192" s="815"/>
      <c r="D192" s="815"/>
      <c r="E192" s="815"/>
      <c r="F192" s="815"/>
      <c r="G192" s="815"/>
      <c r="H192" s="815"/>
      <c r="I192" s="815"/>
      <c r="J192" s="815"/>
      <c r="K192" s="816"/>
      <c r="L192" s="815"/>
      <c r="M192" s="816"/>
      <c r="N192" s="816"/>
      <c r="O192" s="815"/>
      <c r="P192" s="815"/>
      <c r="Q192" s="815"/>
      <c r="R192" s="815"/>
      <c r="S192" s="815"/>
      <c r="T192" s="815"/>
      <c r="U192" s="815"/>
      <c r="V192" s="816"/>
      <c r="W192" s="816"/>
      <c r="X192" s="815"/>
      <c r="Y192" s="815"/>
      <c r="Z192" s="816"/>
      <c r="AA192" s="815"/>
      <c r="AB192" s="816"/>
      <c r="AC192" s="815"/>
      <c r="AD192" s="815"/>
    </row>
    <row r="193" spans="1:30" x14ac:dyDescent="0.25">
      <c r="A193" s="814" t="s">
        <v>1586</v>
      </c>
      <c r="B193" s="815"/>
      <c r="C193" s="815"/>
      <c r="D193" s="815"/>
      <c r="E193" s="815"/>
      <c r="F193" s="815"/>
      <c r="G193" s="815"/>
      <c r="H193" s="815"/>
      <c r="I193" s="815"/>
      <c r="J193" s="815"/>
      <c r="K193" s="816"/>
      <c r="L193" s="815"/>
      <c r="M193" s="817">
        <v>11400</v>
      </c>
      <c r="N193" s="816"/>
      <c r="O193" s="815"/>
      <c r="P193" s="815"/>
      <c r="Q193" s="815"/>
      <c r="R193" s="815"/>
      <c r="S193" s="815"/>
      <c r="T193" s="815"/>
      <c r="U193" s="815"/>
      <c r="V193" s="816"/>
      <c r="W193" s="816"/>
      <c r="X193" s="815"/>
      <c r="Y193" s="815"/>
      <c r="Z193" s="816"/>
      <c r="AA193" s="815"/>
      <c r="AB193" s="816"/>
      <c r="AC193" s="815"/>
      <c r="AD193" s="815"/>
    </row>
    <row r="194" spans="1:30" x14ac:dyDescent="0.25">
      <c r="A194" s="814" t="s">
        <v>1169</v>
      </c>
      <c r="B194" s="815"/>
      <c r="C194" s="815"/>
      <c r="D194" s="815"/>
      <c r="E194" s="815"/>
      <c r="F194" s="815"/>
      <c r="G194" s="815"/>
      <c r="H194" s="815"/>
      <c r="I194" s="815"/>
      <c r="J194" s="815"/>
      <c r="K194" s="816"/>
      <c r="L194" s="815"/>
      <c r="M194" s="817">
        <v>11400</v>
      </c>
      <c r="N194" s="816"/>
      <c r="O194" s="815"/>
      <c r="P194" s="815"/>
      <c r="Q194" s="815"/>
      <c r="R194" s="815"/>
      <c r="S194" s="815"/>
      <c r="T194" s="815"/>
      <c r="U194" s="815"/>
      <c r="V194" s="816"/>
      <c r="W194" s="816"/>
      <c r="X194" s="815"/>
      <c r="Y194" s="815"/>
      <c r="Z194" s="816"/>
      <c r="AA194" s="815"/>
      <c r="AB194" s="816"/>
      <c r="AC194" s="815"/>
      <c r="AD194" s="815"/>
    </row>
    <row r="195" spans="1:30" x14ac:dyDescent="0.25">
      <c r="A195" s="818" t="s">
        <v>1587</v>
      </c>
      <c r="B195" s="818" t="s">
        <v>1588</v>
      </c>
      <c r="C195" s="818"/>
      <c r="D195" s="818" t="s">
        <v>1589</v>
      </c>
      <c r="E195" s="818" t="s">
        <v>1589</v>
      </c>
      <c r="F195" s="818" t="s">
        <v>1189</v>
      </c>
      <c r="G195" s="819">
        <v>42976.677615740744</v>
      </c>
      <c r="H195" s="819">
        <v>42975</v>
      </c>
      <c r="I195" s="818" t="s">
        <v>1222</v>
      </c>
      <c r="J195" s="818" t="s">
        <v>1590</v>
      </c>
      <c r="K195" s="820">
        <v>250.45</v>
      </c>
      <c r="L195" s="818" t="s">
        <v>75</v>
      </c>
      <c r="M195" s="820">
        <v>11400</v>
      </c>
      <c r="N195" s="820">
        <v>48849.48</v>
      </c>
      <c r="O195" s="818" t="s">
        <v>1149</v>
      </c>
      <c r="P195" s="819">
        <v>42975</v>
      </c>
      <c r="Q195" s="818"/>
      <c r="R195" s="818"/>
      <c r="S195" s="818"/>
      <c r="T195" s="819">
        <v>42975</v>
      </c>
      <c r="U195" s="819">
        <v>42976</v>
      </c>
      <c r="V195" s="820">
        <v>1</v>
      </c>
      <c r="W195" s="822">
        <v>224.54</v>
      </c>
      <c r="X195" s="818" t="s">
        <v>811</v>
      </c>
      <c r="Y195" s="818"/>
      <c r="Z195" s="821"/>
      <c r="AA195" s="818" t="s">
        <v>1591</v>
      </c>
      <c r="AB195" s="821" t="s">
        <v>1592</v>
      </c>
      <c r="AC195" s="818"/>
      <c r="AD195" s="818" t="s">
        <v>1593</v>
      </c>
    </row>
    <row r="196" spans="1:30" x14ac:dyDescent="0.25">
      <c r="A196" s="814" t="s">
        <v>1594</v>
      </c>
      <c r="B196" s="815"/>
      <c r="C196" s="815"/>
      <c r="D196" s="815"/>
      <c r="E196" s="815"/>
      <c r="F196" s="815"/>
      <c r="G196" s="815"/>
      <c r="H196" s="815"/>
      <c r="I196" s="815"/>
      <c r="J196" s="815"/>
      <c r="K196" s="816"/>
      <c r="L196" s="815"/>
      <c r="M196" s="817">
        <v>149310</v>
      </c>
      <c r="N196" s="816"/>
      <c r="O196" s="815"/>
      <c r="P196" s="815"/>
      <c r="Q196" s="815"/>
      <c r="R196" s="815"/>
      <c r="S196" s="815"/>
      <c r="T196" s="815"/>
      <c r="U196" s="815"/>
      <c r="V196" s="816"/>
      <c r="W196" s="816"/>
      <c r="X196" s="815"/>
      <c r="Y196" s="815"/>
      <c r="Z196" s="816"/>
      <c r="AA196" s="815"/>
      <c r="AB196" s="816"/>
      <c r="AC196" s="815"/>
      <c r="AD196" s="815"/>
    </row>
    <row r="197" spans="1:30" x14ac:dyDescent="0.25">
      <c r="A197" s="814" t="s">
        <v>1169</v>
      </c>
      <c r="B197" s="815"/>
      <c r="C197" s="815"/>
      <c r="D197" s="815"/>
      <c r="E197" s="815"/>
      <c r="F197" s="815"/>
      <c r="G197" s="815"/>
      <c r="H197" s="815"/>
      <c r="I197" s="815"/>
      <c r="J197" s="815"/>
      <c r="K197" s="816"/>
      <c r="L197" s="815"/>
      <c r="M197" s="817">
        <v>149310</v>
      </c>
      <c r="N197" s="816"/>
      <c r="O197" s="815"/>
      <c r="P197" s="815"/>
      <c r="Q197" s="815"/>
      <c r="R197" s="815"/>
      <c r="S197" s="815"/>
      <c r="T197" s="815"/>
      <c r="U197" s="815"/>
      <c r="V197" s="816"/>
      <c r="W197" s="816"/>
      <c r="X197" s="815"/>
      <c r="Y197" s="815"/>
      <c r="Z197" s="816"/>
      <c r="AA197" s="815"/>
      <c r="AB197" s="816"/>
      <c r="AC197" s="815"/>
      <c r="AD197" s="815"/>
    </row>
    <row r="198" spans="1:30" x14ac:dyDescent="0.25">
      <c r="A198" s="818" t="s">
        <v>1595</v>
      </c>
      <c r="B198" s="818" t="s">
        <v>1142</v>
      </c>
      <c r="C198" s="818" t="s">
        <v>1596</v>
      </c>
      <c r="D198" s="818" t="s">
        <v>1589</v>
      </c>
      <c r="E198" s="818" t="s">
        <v>1589</v>
      </c>
      <c r="F198" s="818" t="s">
        <v>1189</v>
      </c>
      <c r="G198" s="819">
        <v>42976.416307870371</v>
      </c>
      <c r="H198" s="819">
        <v>42976</v>
      </c>
      <c r="I198" s="818" t="s">
        <v>1222</v>
      </c>
      <c r="J198" s="818" t="s">
        <v>1590</v>
      </c>
      <c r="K198" s="820">
        <v>127.9</v>
      </c>
      <c r="L198" s="818" t="s">
        <v>75</v>
      </c>
      <c r="M198" s="820">
        <v>149310</v>
      </c>
      <c r="N198" s="820">
        <v>326116.82</v>
      </c>
      <c r="O198" s="818" t="s">
        <v>1149</v>
      </c>
      <c r="P198" s="819">
        <v>42976</v>
      </c>
      <c r="Q198" s="818"/>
      <c r="R198" s="818"/>
      <c r="S198" s="818"/>
      <c r="T198" s="819">
        <v>42976</v>
      </c>
      <c r="U198" s="819">
        <v>43021</v>
      </c>
      <c r="V198" s="820">
        <v>45</v>
      </c>
      <c r="W198" s="822">
        <v>226.17</v>
      </c>
      <c r="X198" s="818" t="s">
        <v>188</v>
      </c>
      <c r="Y198" s="818"/>
      <c r="Z198" s="821"/>
      <c r="AA198" s="818" t="s">
        <v>1597</v>
      </c>
      <c r="AB198" s="821" t="s">
        <v>1598</v>
      </c>
      <c r="AC198" s="818"/>
      <c r="AD198" s="8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Y340"/>
  <sheetViews>
    <sheetView topLeftCell="A49" zoomScaleNormal="100" workbookViewId="0">
      <selection activeCell="D3" sqref="D3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9.710937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6" width="11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0.7109375" style="32" customWidth="1"/>
    <col min="25" max="25" width="10.5703125" style="32" customWidth="1"/>
    <col min="26" max="16384" width="9.140625" style="32"/>
  </cols>
  <sheetData>
    <row r="1" spans="1:2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724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  <c r="I2" s="32" t="s">
        <v>696</v>
      </c>
      <c r="J2" s="32" t="e">
        <f ca="1">_xll.BDP($I$2,"PX last")</f>
        <v>#NAME?</v>
      </c>
    </row>
    <row r="3" spans="1:25" s="626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283</v>
      </c>
      <c r="Y3" s="394" t="s">
        <v>284</v>
      </c>
    </row>
    <row r="4" spans="1:25" s="196" customFormat="1" x14ac:dyDescent="0.2">
      <c r="A4" s="196" t="s">
        <v>690</v>
      </c>
      <c r="B4" s="197" t="s">
        <v>205</v>
      </c>
      <c r="C4" s="196" t="s">
        <v>42</v>
      </c>
      <c r="D4" s="198" t="e">
        <f t="shared" ref="D4:D11" ca="1" si="0">Q4/$Q$21</f>
        <v>#NAME?</v>
      </c>
      <c r="E4" s="123">
        <f>$F$51</f>
        <v>25700</v>
      </c>
      <c r="F4" s="268">
        <f>$H$51</f>
        <v>3.5</v>
      </c>
      <c r="G4" s="268" t="e">
        <f ca="1">_xll.BDP($C4,"PX_LAST")</f>
        <v>#NAME?</v>
      </c>
      <c r="H4" s="686" t="e">
        <f ca="1">_xll.BDP($C4,"BEST_TARGET_PRICE")</f>
        <v>#NAME?</v>
      </c>
      <c r="I4" s="119" t="e">
        <f t="shared" ref="I4:I11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ca="1">G4/F4-1</f>
        <v>#NAME?</v>
      </c>
      <c r="M4" s="198" t="e">
        <f ca="1">Q4/O4-1</f>
        <v>#NAME?</v>
      </c>
      <c r="N4" s="123" t="e">
        <f ca="1">$K$51</f>
        <v>#NAME?</v>
      </c>
      <c r="O4" s="123">
        <f>E4*F4</f>
        <v>89950</v>
      </c>
      <c r="P4" s="123" t="e">
        <f ca="1">E4*G4*$I$1</f>
        <v>#NAME?</v>
      </c>
      <c r="Q4" s="123" t="e">
        <f t="shared" ref="Q4:Q11" ca="1" si="2">P4/$I$1</f>
        <v>#NAME?</v>
      </c>
      <c r="R4" s="123" t="e">
        <f t="shared" ref="R4:S11" ca="1" si="3">P4-N4</f>
        <v>#NAME?</v>
      </c>
      <c r="S4" s="123" t="e">
        <f t="shared" ca="1" si="3"/>
        <v>#NAME?</v>
      </c>
      <c r="T4" s="268" t="e">
        <f ca="1">_xll.BDP($C4,"EQY_DVD_YLD_EST")</f>
        <v>#NAME?</v>
      </c>
      <c r="U4" s="200" t="e">
        <f t="shared" ref="U4:U11" ca="1" si="4">Q4</f>
        <v>#NAME?</v>
      </c>
      <c r="V4" s="263" t="e">
        <f ca="1">_xll.BDP($C4,"CHG_PCT_YTD")</f>
        <v>#NAME?</v>
      </c>
      <c r="W4" s="263" t="e">
        <f ca="1">_xll.BDP($C4,"CHG_PCT_1YR")</f>
        <v>#NAME?</v>
      </c>
      <c r="X4" s="263" t="e">
        <f ca="1">_xll.BDP($C4,"EXPECTED_REPORT_DT")</f>
        <v>#NAME?</v>
      </c>
      <c r="Y4" s="263" t="e">
        <f ca="1">_xll.BDP($C4,"DVD_EX_DT")</f>
        <v>#NAME?</v>
      </c>
    </row>
    <row r="5" spans="1:25" s="196" customFormat="1" x14ac:dyDescent="0.2">
      <c r="A5" s="196" t="s">
        <v>690</v>
      </c>
      <c r="B5" s="730" t="s">
        <v>96</v>
      </c>
      <c r="C5" s="196" t="s">
        <v>2</v>
      </c>
      <c r="D5" s="198" t="e">
        <f t="shared" ca="1" si="0"/>
        <v>#NAME?</v>
      </c>
      <c r="E5" s="123">
        <f>$F$77</f>
        <v>3570</v>
      </c>
      <c r="F5" s="268">
        <f>$H$77</f>
        <v>700</v>
      </c>
      <c r="G5" s="268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ca="1">G5/F5-1</f>
        <v>#NAME?</v>
      </c>
      <c r="M5" s="198" t="e">
        <f ca="1">Q5/O5-1</f>
        <v>#NAME?</v>
      </c>
      <c r="N5" s="123">
        <f>E5*F5</f>
        <v>2499000</v>
      </c>
      <c r="O5" s="123" t="e">
        <f ca="1">$J$77</f>
        <v>#NAME?</v>
      </c>
      <c r="P5" s="123" t="e">
        <f ca="1">E5*G5</f>
        <v>#NAME?</v>
      </c>
      <c r="Q5" s="123" t="e">
        <f t="shared" ca="1" si="2"/>
        <v>#NAME?</v>
      </c>
      <c r="R5" s="697" t="e">
        <f t="shared" ca="1" si="3"/>
        <v>#NAME?</v>
      </c>
      <c r="S5" s="123" t="e">
        <f t="shared" ca="1" si="3"/>
        <v>#NAME?</v>
      </c>
      <c r="T5" s="268" t="e">
        <f ca="1">_xll.BDP($C5,"EQY_DVD_YLD_EST")</f>
        <v>#NAME?</v>
      </c>
      <c r="U5" s="200" t="e">
        <f t="shared" ca="1" si="4"/>
        <v>#NAME?</v>
      </c>
      <c r="V5" s="263" t="e">
        <f ca="1">_xll.BDP($C5,"CHG_PCT_YTD")</f>
        <v>#NAME?</v>
      </c>
      <c r="W5" s="263" t="e">
        <f ca="1">_xll.BDP($C5,"CHG_PCT_1YR")</f>
        <v>#NAME?</v>
      </c>
      <c r="X5" s="263" t="e">
        <f ca="1">_xll.BDP($C5,"EXPECTED_REPORT_DT")</f>
        <v>#NAME?</v>
      </c>
      <c r="Y5" s="263" t="e">
        <f ca="1">_xll.BDP($C5,"DVD_EX_DT")</f>
        <v>#NAME?</v>
      </c>
    </row>
    <row r="6" spans="1:25" s="196" customFormat="1" x14ac:dyDescent="0.2">
      <c r="A6" s="196" t="s">
        <v>693</v>
      </c>
      <c r="B6" s="730" t="s">
        <v>196</v>
      </c>
      <c r="C6" s="196" t="s">
        <v>197</v>
      </c>
      <c r="D6" s="198" t="e">
        <f t="shared" ca="1" si="0"/>
        <v>#NAME?</v>
      </c>
      <c r="E6" s="123">
        <f>$F$86</f>
        <v>2855</v>
      </c>
      <c r="F6" s="268">
        <f>$H$86</f>
        <v>8.51</v>
      </c>
      <c r="G6" s="268" t="e">
        <f ca="1">_xll.BDP($C6,"PX_LAST")/100</f>
        <v>#NAME?</v>
      </c>
      <c r="H6" s="686" t="e">
        <f ca="1">_xll.BDP($C6,"BEST_TARGET_PRICE")/100</f>
        <v>#NAME?</v>
      </c>
      <c r="I6" s="119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ca="1">P6/N6-1</f>
        <v>#NAME?</v>
      </c>
      <c r="M6" s="198" t="e">
        <f ca="1">Q6/O6-1</f>
        <v>#NAME?</v>
      </c>
      <c r="N6" s="123" t="e">
        <f ca="1">$K$86</f>
        <v>#NAME?</v>
      </c>
      <c r="O6" s="123" t="e">
        <f ca="1">$J$86</f>
        <v>#NAME?</v>
      </c>
      <c r="P6" s="123" t="e">
        <f ca="1">E6*G6*$I$1*$K$1</f>
        <v>#NAME?</v>
      </c>
      <c r="Q6" s="123" t="e">
        <f t="shared" ca="1" si="2"/>
        <v>#NAME?</v>
      </c>
      <c r="R6" s="697" t="e">
        <f t="shared" ca="1" si="3"/>
        <v>#NAME?</v>
      </c>
      <c r="S6" s="123" t="e">
        <f t="shared" ca="1" si="3"/>
        <v>#NAME?</v>
      </c>
      <c r="T6" s="268" t="e">
        <f ca="1">_xll.BDP($C6,"EQY_DVD_YLD_EST")</f>
        <v>#NAME?</v>
      </c>
      <c r="U6" s="200" t="e">
        <f t="shared" ca="1" si="4"/>
        <v>#NAME?</v>
      </c>
      <c r="V6" s="263" t="e">
        <f ca="1">_xll.BDP($C6,"CHG_PCT_YTD")</f>
        <v>#NAME?</v>
      </c>
      <c r="W6" s="263" t="e">
        <f ca="1">_xll.BDP($C6,"CHG_PCT_1YR")</f>
        <v>#NAME?</v>
      </c>
      <c r="X6" s="263" t="e">
        <f ca="1">_xll.BDP($C6,"EXPECTED_REPORT_DT")</f>
        <v>#NAME?</v>
      </c>
      <c r="Y6" s="263" t="e">
        <f ca="1">_xll.BDP($C6,"DVD_EX_DT")</f>
        <v>#NAME?</v>
      </c>
    </row>
    <row r="7" spans="1:25" s="196" customFormat="1" x14ac:dyDescent="0.2">
      <c r="A7" s="196" t="s">
        <v>693</v>
      </c>
      <c r="B7" s="197" t="s">
        <v>695</v>
      </c>
      <c r="C7" s="196" t="s">
        <v>694</v>
      </c>
      <c r="D7" s="198" t="e">
        <f t="shared" ca="1" si="0"/>
        <v>#NAME?</v>
      </c>
      <c r="E7" s="123">
        <f>$F$36</f>
        <v>8590</v>
      </c>
      <c r="F7" s="268">
        <f>$H$36</f>
        <v>23.258900000000001</v>
      </c>
      <c r="G7" s="268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ca="1">P7/N7-1</f>
        <v>#NAME?</v>
      </c>
      <c r="M7" s="198" t="e">
        <f ca="1">G7/F7-1</f>
        <v>#NAME?</v>
      </c>
      <c r="N7" s="123" t="e">
        <f ca="1">$K$36</f>
        <v>#NAME?</v>
      </c>
      <c r="O7" s="123">
        <f>E7*F7</f>
        <v>199793.951</v>
      </c>
      <c r="P7" s="123" t="e">
        <f ca="1">E7*G7*$I$1</f>
        <v>#NAME?</v>
      </c>
      <c r="Q7" s="123" t="e">
        <f t="shared" ca="1" si="2"/>
        <v>#NAME?</v>
      </c>
      <c r="R7" s="123" t="e">
        <f t="shared" ca="1" si="3"/>
        <v>#NAME?</v>
      </c>
      <c r="S7" s="123" t="e">
        <f t="shared" ca="1" si="3"/>
        <v>#NAME?</v>
      </c>
      <c r="T7" s="268" t="e">
        <f ca="1">_xll.BDP($C7,"EQY_DVD_YLD_EST")</f>
        <v>#NAME?</v>
      </c>
      <c r="U7" s="200" t="e">
        <f t="shared" ca="1" si="4"/>
        <v>#NAME?</v>
      </c>
      <c r="V7" s="263" t="e">
        <f ca="1">_xll.BDP($C7,"CHG_PCT_YTD")</f>
        <v>#NAME?</v>
      </c>
      <c r="W7" s="263" t="e">
        <f ca="1">_xll.BDP($C7,"CHG_PCT_1YR")</f>
        <v>#NAME?</v>
      </c>
      <c r="X7" s="263" t="e">
        <f ca="1">_xll.BDP($C7,"EXPECTED_REPORT_DT")</f>
        <v>#NAME?</v>
      </c>
      <c r="Y7" s="263" t="e">
        <f ca="1">_xll.BDP($C7,"DVD_EX_DT")</f>
        <v>#NAME?</v>
      </c>
    </row>
    <row r="8" spans="1:25" s="196" customFormat="1" x14ac:dyDescent="0.2">
      <c r="A8" s="196" t="s">
        <v>693</v>
      </c>
      <c r="B8" s="197" t="s">
        <v>227</v>
      </c>
      <c r="C8" s="196" t="s">
        <v>226</v>
      </c>
      <c r="D8" s="198" t="e">
        <f t="shared" ca="1" si="0"/>
        <v>#NAME?</v>
      </c>
      <c r="E8" s="123">
        <f>$F$45</f>
        <v>3770</v>
      </c>
      <c r="F8" s="268">
        <f>$H$45</f>
        <v>26.5091</v>
      </c>
      <c r="G8" s="268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ca="1">P8/N8-1</f>
        <v>#NAME?</v>
      </c>
      <c r="M8" s="198" t="e">
        <f ca="1">G8/F8-1</f>
        <v>#NAME?</v>
      </c>
      <c r="N8" s="123" t="e">
        <f ca="1">$K$45</f>
        <v>#NAME?</v>
      </c>
      <c r="O8" s="123">
        <f>E8*F8</f>
        <v>99939.307000000001</v>
      </c>
      <c r="P8" s="123" t="e">
        <f ca="1">E8*G8*$I$1</f>
        <v>#NAME?</v>
      </c>
      <c r="Q8" s="123" t="e">
        <f t="shared" ca="1" si="2"/>
        <v>#NAME?</v>
      </c>
      <c r="R8" s="123" t="e">
        <f t="shared" ca="1" si="3"/>
        <v>#NAME?</v>
      </c>
      <c r="S8" s="123" t="e">
        <f t="shared" ca="1" si="3"/>
        <v>#NAME?</v>
      </c>
      <c r="T8" s="268" t="e">
        <f ca="1">_xll.BDP($C8,"EQY_DVD_YLD_EST")</f>
        <v>#NAME?</v>
      </c>
      <c r="U8" s="200" t="e">
        <f t="shared" ca="1" si="4"/>
        <v>#NAME?</v>
      </c>
      <c r="V8" s="263" t="e">
        <f ca="1">_xll.BDP($C8,"CHG_PCT_YTD")</f>
        <v>#NAME?</v>
      </c>
      <c r="W8" s="263" t="e">
        <f ca="1">_xll.BDP($C8,"CHG_PCT_1YR")</f>
        <v>#NAME?</v>
      </c>
      <c r="X8" s="263" t="e">
        <f ca="1">_xll.BDP($C8,"EXPECTED_REPORT_DT")</f>
        <v>#NAME?</v>
      </c>
      <c r="Y8" s="263" t="e">
        <f ca="1">_xll.BDP($C8,"DVD_EX_DT")</f>
        <v>#NAME?</v>
      </c>
    </row>
    <row r="9" spans="1:25" s="196" customFormat="1" x14ac:dyDescent="0.2">
      <c r="A9" s="196" t="s">
        <v>693</v>
      </c>
      <c r="B9" s="197" t="s">
        <v>388</v>
      </c>
      <c r="C9" s="196" t="s">
        <v>736</v>
      </c>
      <c r="D9" s="198" t="e">
        <f t="shared" ca="1" si="0"/>
        <v>#NAME?</v>
      </c>
      <c r="E9" s="123">
        <f>$F$39</f>
        <v>330</v>
      </c>
      <c r="F9" s="123">
        <f>$H$39</f>
        <v>10300</v>
      </c>
      <c r="G9" s="123" t="e">
        <f ca="1">_xll.BDP($C9,"PX_LAST")</f>
        <v>#NAME?</v>
      </c>
      <c r="H9" s="753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ca="1">G9/F9-1</f>
        <v>#NAME?</v>
      </c>
      <c r="M9" s="198" t="e">
        <f ca="1">Q9/O9-1</f>
        <v>#NAME?</v>
      </c>
      <c r="N9" s="123" t="e">
        <f ca="1">$K$39</f>
        <v>#NAME?</v>
      </c>
      <c r="O9" s="123" t="e">
        <f ca="1">$J$39</f>
        <v>#NAME?</v>
      </c>
      <c r="P9" s="123" t="e">
        <f ca="1">E9*G9</f>
        <v>#NAME?</v>
      </c>
      <c r="Q9" s="123" t="e">
        <f t="shared" ca="1" si="2"/>
        <v>#NAME?</v>
      </c>
      <c r="R9" s="123" t="e">
        <f t="shared" ca="1" si="3"/>
        <v>#NAME?</v>
      </c>
      <c r="S9" s="123" t="e">
        <f t="shared" ca="1" si="3"/>
        <v>#NAME?</v>
      </c>
      <c r="T9" s="268" t="e">
        <f ca="1">_xll.BDP($C9,"EQY_DVD_YLD_EST")</f>
        <v>#NAME?</v>
      </c>
      <c r="U9" s="200" t="e">
        <f t="shared" ca="1" si="4"/>
        <v>#NAME?</v>
      </c>
      <c r="V9" s="263" t="e">
        <f ca="1">_xll.BDP($C9,"CHG_PCT_YTD")</f>
        <v>#NAME?</v>
      </c>
      <c r="W9" s="263" t="e">
        <f ca="1">_xll.BDP($C9,"CHG_PCT_1YR")</f>
        <v>#NAME?</v>
      </c>
      <c r="X9" s="263" t="e">
        <f ca="1">_xll.BDP($C9,"EXPECTED_REPORT_DT")</f>
        <v>#NAME?</v>
      </c>
      <c r="Y9" s="263" t="e">
        <f ca="1">_xll.BDP($C9,"DVD_EX_DT")</f>
        <v>#NAME?</v>
      </c>
    </row>
    <row r="10" spans="1:25" s="196" customFormat="1" x14ac:dyDescent="0.2">
      <c r="A10" s="196" t="s">
        <v>690</v>
      </c>
      <c r="B10" s="730" t="s">
        <v>183</v>
      </c>
      <c r="C10" s="196" t="s">
        <v>44</v>
      </c>
      <c r="D10" s="198" t="e">
        <f t="shared" ca="1" si="0"/>
        <v>#NAME?</v>
      </c>
      <c r="E10" s="123">
        <f>$F$80</f>
        <v>35800</v>
      </c>
      <c r="F10" s="268">
        <f>$H$80</f>
        <v>38.329413410000001</v>
      </c>
      <c r="G10" s="268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ca="1">G10/F10-1</f>
        <v>#NAME?</v>
      </c>
      <c r="M10" s="198" t="e">
        <f ca="1">Q10/O10-1</f>
        <v>#NAME?</v>
      </c>
      <c r="N10" s="123">
        <f>E10*F10</f>
        <v>1372193.0000780001</v>
      </c>
      <c r="O10" s="123" t="e">
        <f ca="1">$J$80</f>
        <v>#NAME?</v>
      </c>
      <c r="P10" s="123" t="e">
        <f ca="1">E10*G10</f>
        <v>#NAME?</v>
      </c>
      <c r="Q10" s="123" t="e">
        <f t="shared" ca="1" si="2"/>
        <v>#NAME?</v>
      </c>
      <c r="R10" s="697" t="e">
        <f t="shared" ca="1" si="3"/>
        <v>#NAME?</v>
      </c>
      <c r="S10" s="123" t="e">
        <f t="shared" ca="1" si="3"/>
        <v>#NAME?</v>
      </c>
      <c r="T10" s="268" t="e">
        <f ca="1">_xll.BDP($C10,"EQY_DVD_YLD_EST")</f>
        <v>#NAME?</v>
      </c>
      <c r="U10" s="200" t="e">
        <f t="shared" ca="1" si="4"/>
        <v>#NAME?</v>
      </c>
      <c r="V10" s="263" t="e">
        <f ca="1">_xll.BDP($C10,"CHG_PCT_YTD")</f>
        <v>#NAME?</v>
      </c>
      <c r="W10" s="263" t="e">
        <f ca="1">_xll.BDP($C10,"CHG_PCT_1YR")</f>
        <v>#NAME?</v>
      </c>
      <c r="X10" s="263" t="e">
        <f ca="1">_xll.BDP($C10,"EXPECTED_REPORT_DT")</f>
        <v>#NAME?</v>
      </c>
      <c r="Y10" s="263" t="e">
        <f ca="1">_xll.BDP($C10,"DVD_EX_DT")</f>
        <v>#NAME?</v>
      </c>
    </row>
    <row r="11" spans="1:25" s="196" customFormat="1" x14ac:dyDescent="0.2">
      <c r="A11" s="196" t="s">
        <v>690</v>
      </c>
      <c r="B11" s="197" t="s">
        <v>333</v>
      </c>
      <c r="C11" s="196" t="s">
        <v>334</v>
      </c>
      <c r="D11" s="198" t="e">
        <f t="shared" ca="1" si="0"/>
        <v>#NAME?</v>
      </c>
      <c r="E11" s="123">
        <f>$F$48</f>
        <v>48900</v>
      </c>
      <c r="F11" s="268">
        <f>$H$48</f>
        <v>248.2628</v>
      </c>
      <c r="G11" s="268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ca="1">G11/F11-1</f>
        <v>#NAME?</v>
      </c>
      <c r="M11" s="198" t="e">
        <f ca="1">Q11/O11-1</f>
        <v>#NAME?</v>
      </c>
      <c r="N11" s="123">
        <f>E11*F11</f>
        <v>12140050.92</v>
      </c>
      <c r="O11" s="123" t="e">
        <f ca="1">$J$48</f>
        <v>#NAME?</v>
      </c>
      <c r="P11" s="123" t="e">
        <f ca="1">E11*G11</f>
        <v>#NAME?</v>
      </c>
      <c r="Q11" s="123" t="e">
        <f t="shared" ca="1" si="2"/>
        <v>#NAME?</v>
      </c>
      <c r="R11" s="123" t="e">
        <f t="shared" ca="1" si="3"/>
        <v>#NAME?</v>
      </c>
      <c r="S11" s="123" t="e">
        <f t="shared" ca="1" si="3"/>
        <v>#NAME?</v>
      </c>
      <c r="T11" s="268">
        <v>5</v>
      </c>
      <c r="U11" s="200" t="e">
        <f t="shared" ca="1" si="4"/>
        <v>#NAME?</v>
      </c>
      <c r="V11" s="263" t="e">
        <f ca="1">_xll.BDP($C11,"CHG_PCT_YTD")</f>
        <v>#NAME?</v>
      </c>
      <c r="W11" s="263" t="e">
        <f ca="1">_xll.BDP($C11,"CHG_PCT_1YR")</f>
        <v>#NAME?</v>
      </c>
      <c r="X11" s="263" t="e">
        <f ca="1">_xll.BDP($C11,"EXPECTED_REPORT_DT")</f>
        <v>#NAME?</v>
      </c>
      <c r="Y11" s="263" t="e">
        <f ca="1">_xll.BDP($C11,"DVD_EX_DT")</f>
        <v>#NAME?</v>
      </c>
    </row>
    <row r="12" spans="1:25" s="450" customFormat="1" x14ac:dyDescent="0.2">
      <c r="A12" s="450" t="s">
        <v>690</v>
      </c>
      <c r="B12" s="467" t="e">
        <f ca="1">_xll.BDP(C12,"SECURITY_NAME")</f>
        <v>#NAME?</v>
      </c>
      <c r="C12" s="450" t="s">
        <v>692</v>
      </c>
      <c r="D12" s="488" t="e">
        <f t="shared" ref="D12:D20" ca="1" si="5">Q12/$Q$21</f>
        <v>#NAME?</v>
      </c>
      <c r="E12" s="446">
        <f>$F$54</f>
        <v>200000</v>
      </c>
      <c r="F12" s="490">
        <f>$H$54</f>
        <v>83.2</v>
      </c>
      <c r="G12" s="482" t="e">
        <f ca="1">_xll.BDP(C12,"PX LAST")</f>
        <v>#NAME?</v>
      </c>
      <c r="K12" s="489" t="e">
        <f ca="1">_xll.BDP($C12,"CRNCY")</f>
        <v>#NAME?</v>
      </c>
      <c r="L12" s="488" t="e">
        <f t="shared" ref="L12:L19" ca="1" si="6">P12/N12-1</f>
        <v>#NAME?</v>
      </c>
      <c r="M12" s="488" t="e">
        <f t="shared" ref="M12:M19" ca="1" si="7">G12/F12-1</f>
        <v>#NAME?</v>
      </c>
      <c r="N12" s="446" t="e">
        <f ca="1">$K$54</f>
        <v>#NAME?</v>
      </c>
      <c r="O12" s="446">
        <f t="shared" ref="O12:O19" si="8">E12*F12/100</f>
        <v>166400</v>
      </c>
      <c r="P12" s="446" t="e">
        <f t="shared" ref="P12:P19" ca="1" si="9">E12*G12/100*$I$1</f>
        <v>#NAME?</v>
      </c>
      <c r="Q12" s="446" t="e">
        <f t="shared" ref="Q12:Q19" ca="1" si="10">E12*G12/100</f>
        <v>#NAME?</v>
      </c>
      <c r="R12" s="446" t="e">
        <f t="shared" ref="R12:R19" ca="1" si="11">P12-N12</f>
        <v>#NAME?</v>
      </c>
      <c r="S12" s="446" t="e">
        <f t="shared" ref="S12:S19" ca="1" si="12">Q12-O12</f>
        <v>#NAME?</v>
      </c>
      <c r="T12" s="482" t="e">
        <f ca="1">_xll.BDP(C12,"YLD_YTM_ASK")</f>
        <v>#NAME?</v>
      </c>
      <c r="U12" s="463" t="e">
        <f ca="1">E12*_xll.BDP(C12,"PX_GROSS_BID")/100</f>
        <v>#NAME?</v>
      </c>
      <c r="V12" s="490" t="e">
        <f ca="1">_xll.BDP($C12,"CHG_PCT_YTD")</f>
        <v>#NAME?</v>
      </c>
      <c r="W12" s="490" t="e">
        <f ca="1">_xll.BDP($C12,"CHG_PCT_1YR")</f>
        <v>#NAME?</v>
      </c>
      <c r="X12" s="490"/>
    </row>
    <row r="13" spans="1:25" s="450" customFormat="1" x14ac:dyDescent="0.2">
      <c r="A13" s="450" t="s">
        <v>690</v>
      </c>
      <c r="B13" s="467" t="e">
        <f ca="1">_xll.BDP(C13,"SECURITY_NAME")</f>
        <v>#NAME?</v>
      </c>
      <c r="C13" s="450" t="s">
        <v>60</v>
      </c>
      <c r="D13" s="488" t="e">
        <f t="shared" ca="1" si="5"/>
        <v>#NAME?</v>
      </c>
      <c r="E13" s="446">
        <f>$F$57</f>
        <v>200000</v>
      </c>
      <c r="F13" s="490">
        <f>$H$57</f>
        <v>102.89999999999999</v>
      </c>
      <c r="G13" s="482" t="e">
        <f ca="1">_xll.BDP(C13,"PX LAST")</f>
        <v>#NAME?</v>
      </c>
      <c r="K13" s="489" t="e">
        <f ca="1">_xll.BDP($C13,"CRNCY")</f>
        <v>#NAME?</v>
      </c>
      <c r="L13" s="488" t="e">
        <f t="shared" ca="1" si="6"/>
        <v>#NAME?</v>
      </c>
      <c r="M13" s="488" t="e">
        <f t="shared" ca="1" si="7"/>
        <v>#NAME?</v>
      </c>
      <c r="N13" s="446" t="e">
        <f ca="1">$K$57</f>
        <v>#NAME?</v>
      </c>
      <c r="O13" s="446">
        <f t="shared" si="8"/>
        <v>205800</v>
      </c>
      <c r="P13" s="446" t="e">
        <f t="shared" ca="1" si="9"/>
        <v>#NAME?</v>
      </c>
      <c r="Q13" s="446" t="e">
        <f t="shared" ca="1" si="10"/>
        <v>#NAME?</v>
      </c>
      <c r="R13" s="446" t="e">
        <f t="shared" ca="1" si="11"/>
        <v>#NAME?</v>
      </c>
      <c r="S13" s="446" t="e">
        <f t="shared" ca="1" si="12"/>
        <v>#NAME?</v>
      </c>
      <c r="T13" s="482" t="e">
        <f ca="1">_xll.BDP(C13,"YLD_YTM_ASK")</f>
        <v>#NAME?</v>
      </c>
      <c r="U13" s="463" t="e">
        <f ca="1">E13*_xll.BDP(C13,"PX_GROSS_BID")/100</f>
        <v>#NAME?</v>
      </c>
      <c r="V13" s="490" t="e">
        <f ca="1">_xll.BDP($C13,"CHG_PCT_YTD")</f>
        <v>#NAME?</v>
      </c>
      <c r="W13" s="490" t="e">
        <f ca="1">_xll.BDP($C13,"CHG_PCT_1YR")</f>
        <v>#NAME?</v>
      </c>
      <c r="X13" s="490"/>
    </row>
    <row r="14" spans="1:25" s="450" customFormat="1" x14ac:dyDescent="0.2">
      <c r="A14" s="450" t="s">
        <v>690</v>
      </c>
      <c r="B14" s="467" t="e">
        <f ca="1">_xll.BDP(C14,"SECURITY_NAME")</f>
        <v>#NAME?</v>
      </c>
      <c r="C14" s="450" t="s">
        <v>321</v>
      </c>
      <c r="D14" s="488" t="e">
        <f t="shared" ca="1" si="5"/>
        <v>#NAME?</v>
      </c>
      <c r="E14" s="446">
        <f>$F$60</f>
        <v>200000</v>
      </c>
      <c r="F14" s="490">
        <f>$H$60</f>
        <v>89.600000000000009</v>
      </c>
      <c r="G14" s="482" t="e">
        <f ca="1">_xll.BDP(C14,"PX LAST")</f>
        <v>#NAME?</v>
      </c>
      <c r="K14" s="489" t="e">
        <f ca="1">_xll.BDP($C14,"CRNCY")</f>
        <v>#NAME?</v>
      </c>
      <c r="L14" s="488" t="e">
        <f t="shared" ca="1" si="6"/>
        <v>#NAME?</v>
      </c>
      <c r="M14" s="488" t="e">
        <f t="shared" ca="1" si="7"/>
        <v>#NAME?</v>
      </c>
      <c r="N14" s="446" t="e">
        <f ca="1">$K$60</f>
        <v>#NAME?</v>
      </c>
      <c r="O14" s="446">
        <f t="shared" si="8"/>
        <v>179200</v>
      </c>
      <c r="P14" s="446" t="e">
        <f t="shared" ca="1" si="9"/>
        <v>#NAME?</v>
      </c>
      <c r="Q14" s="446" t="e">
        <f t="shared" ca="1" si="10"/>
        <v>#NAME?</v>
      </c>
      <c r="R14" s="446" t="e">
        <f t="shared" ca="1" si="11"/>
        <v>#NAME?</v>
      </c>
      <c r="S14" s="446" t="e">
        <f t="shared" ca="1" si="12"/>
        <v>#NAME?</v>
      </c>
      <c r="T14" s="482" t="e">
        <f ca="1">_xll.BDP(C14,"YLD_YTM_ASK")</f>
        <v>#NAME?</v>
      </c>
      <c r="U14" s="463" t="e">
        <f ca="1">E14*_xll.BDP(C14,"PX_GROSS_BID")/100</f>
        <v>#NAME?</v>
      </c>
      <c r="V14" s="490" t="e">
        <f ca="1">_xll.BDP($C14,"CHG_PCT_YTD")</f>
        <v>#NAME?</v>
      </c>
      <c r="W14" s="490" t="e">
        <f ca="1">_xll.BDP($C14,"CHG_PCT_1YR")</f>
        <v>#NAME?</v>
      </c>
      <c r="X14" s="490"/>
    </row>
    <row r="15" spans="1:25" s="450" customFormat="1" x14ac:dyDescent="0.2">
      <c r="A15" s="450" t="s">
        <v>690</v>
      </c>
      <c r="B15" s="467" t="e">
        <f ca="1">_xll.BDP(C15,"SECURITY_NAME")</f>
        <v>#NAME?</v>
      </c>
      <c r="C15" s="450" t="s">
        <v>691</v>
      </c>
      <c r="D15" s="488" t="e">
        <f t="shared" ca="1" si="5"/>
        <v>#NAME?</v>
      </c>
      <c r="E15" s="446">
        <f>$F$63</f>
        <v>200000</v>
      </c>
      <c r="F15" s="490">
        <f>$H$63</f>
        <v>95.53</v>
      </c>
      <c r="G15" s="482" t="e">
        <f ca="1">_xll.BDP(C15,"PX LAST")</f>
        <v>#NAME?</v>
      </c>
      <c r="K15" s="489" t="e">
        <f ca="1">_xll.BDP($C15,"CRNCY")</f>
        <v>#NAME?</v>
      </c>
      <c r="L15" s="488" t="e">
        <f t="shared" ca="1" si="6"/>
        <v>#NAME?</v>
      </c>
      <c r="M15" s="488" t="e">
        <f t="shared" ca="1" si="7"/>
        <v>#NAME?</v>
      </c>
      <c r="N15" s="446" t="e">
        <f ca="1">$K$63</f>
        <v>#NAME?</v>
      </c>
      <c r="O15" s="446">
        <f t="shared" si="8"/>
        <v>191060</v>
      </c>
      <c r="P15" s="446" t="e">
        <f t="shared" ca="1" si="9"/>
        <v>#NAME?</v>
      </c>
      <c r="Q15" s="446" t="e">
        <f t="shared" ca="1" si="10"/>
        <v>#NAME?</v>
      </c>
      <c r="R15" s="446" t="e">
        <f t="shared" ca="1" si="11"/>
        <v>#NAME?</v>
      </c>
      <c r="S15" s="446" t="e">
        <f t="shared" ca="1" si="12"/>
        <v>#NAME?</v>
      </c>
      <c r="T15" s="482" t="e">
        <f ca="1">_xll.BDP(C15,"YLD_YTM_ASK")</f>
        <v>#NAME?</v>
      </c>
      <c r="U15" s="463" t="e">
        <f ca="1">E15*_xll.BDP(C15,"PX_GROSS_BID")/100</f>
        <v>#NAME?</v>
      </c>
      <c r="V15" s="490" t="e">
        <f ca="1">_xll.BDP($C15,"CHG_PCT_YTD")</f>
        <v>#NAME?</v>
      </c>
      <c r="W15" s="490" t="e">
        <f ca="1">_xll.BDP($C15,"CHG_PCT_1YR")</f>
        <v>#NAME?</v>
      </c>
      <c r="X15" s="490"/>
    </row>
    <row r="16" spans="1:25" s="450" customFormat="1" ht="12" customHeight="1" x14ac:dyDescent="0.2">
      <c r="A16" s="450" t="s">
        <v>690</v>
      </c>
      <c r="B16" s="467" t="e">
        <f ca="1">_xll.BDP(C16,"SECURITY_NAME")</f>
        <v>#NAME?</v>
      </c>
      <c r="C16" s="450" t="s">
        <v>180</v>
      </c>
      <c r="D16" s="488" t="e">
        <f t="shared" ca="1" si="5"/>
        <v>#NAME?</v>
      </c>
      <c r="E16" s="446">
        <f>$F$66</f>
        <v>200000</v>
      </c>
      <c r="F16" s="490">
        <f>$H$66</f>
        <v>101.15</v>
      </c>
      <c r="G16" s="482" t="e">
        <f ca="1">_xll.BDP(C16,"PX LAST")</f>
        <v>#NAME?</v>
      </c>
      <c r="K16" s="489" t="e">
        <f ca="1">_xll.BDP($C16,"CRNCY")</f>
        <v>#NAME?</v>
      </c>
      <c r="L16" s="488" t="e">
        <f t="shared" ca="1" si="6"/>
        <v>#NAME?</v>
      </c>
      <c r="M16" s="488" t="e">
        <f t="shared" ca="1" si="7"/>
        <v>#NAME?</v>
      </c>
      <c r="N16" s="446" t="e">
        <f ca="1">$K$66</f>
        <v>#NAME?</v>
      </c>
      <c r="O16" s="446">
        <f t="shared" si="8"/>
        <v>202300</v>
      </c>
      <c r="P16" s="446" t="e">
        <f t="shared" ca="1" si="9"/>
        <v>#NAME?</v>
      </c>
      <c r="Q16" s="446" t="e">
        <f t="shared" ca="1" si="10"/>
        <v>#NAME?</v>
      </c>
      <c r="R16" s="446" t="e">
        <f t="shared" ca="1" si="11"/>
        <v>#NAME?</v>
      </c>
      <c r="S16" s="446" t="e">
        <f t="shared" ca="1" si="12"/>
        <v>#NAME?</v>
      </c>
      <c r="T16" s="482" t="e">
        <f ca="1">_xll.BDP(C16,"YLD_YTM_ASK")</f>
        <v>#NAME?</v>
      </c>
      <c r="U16" s="463" t="e">
        <f ca="1">E16*_xll.BDP(C16,"PX_GROSS_BID")/100</f>
        <v>#NAME?</v>
      </c>
      <c r="V16" s="490" t="e">
        <f ca="1">_xll.BDP($C16,"CHG_PCT_YTD")</f>
        <v>#NAME?</v>
      </c>
      <c r="W16" s="490" t="e">
        <f ca="1">_xll.BDP($C16,"CHG_PCT_1YR")</f>
        <v>#NAME?</v>
      </c>
      <c r="X16" s="490"/>
    </row>
    <row r="17" spans="1:25" s="450" customFormat="1" x14ac:dyDescent="0.2">
      <c r="A17" s="450" t="s">
        <v>690</v>
      </c>
      <c r="B17" s="467" t="e">
        <f ca="1">_xll.BDP(C17,"SECURITY_NAME")</f>
        <v>#NAME?</v>
      </c>
      <c r="C17" s="450" t="s">
        <v>225</v>
      </c>
      <c r="D17" s="488" t="e">
        <f t="shared" ca="1" si="5"/>
        <v>#NAME?</v>
      </c>
      <c r="E17" s="446">
        <f>$F$71</f>
        <v>600000</v>
      </c>
      <c r="F17" s="490">
        <f>$H$71</f>
        <v>90.833333333333329</v>
      </c>
      <c r="G17" s="482" t="e">
        <f ca="1">_xll.BDP(C17,"PX LAST")</f>
        <v>#NAME?</v>
      </c>
      <c r="K17" s="489" t="e">
        <f ca="1">_xll.BDP($C17,"CRNCY")</f>
        <v>#NAME?</v>
      </c>
      <c r="L17" s="488" t="e">
        <f t="shared" ca="1" si="6"/>
        <v>#NAME?</v>
      </c>
      <c r="M17" s="488" t="e">
        <f t="shared" ca="1" si="7"/>
        <v>#NAME?</v>
      </c>
      <c r="N17" s="446" t="e">
        <f ca="1">$K$71</f>
        <v>#NAME?</v>
      </c>
      <c r="O17" s="446">
        <f t="shared" si="8"/>
        <v>545000</v>
      </c>
      <c r="P17" s="446" t="e">
        <f t="shared" ca="1" si="9"/>
        <v>#NAME?</v>
      </c>
      <c r="Q17" s="446" t="e">
        <f t="shared" ca="1" si="10"/>
        <v>#NAME?</v>
      </c>
      <c r="R17" s="446" t="e">
        <f t="shared" ca="1" si="11"/>
        <v>#NAME?</v>
      </c>
      <c r="S17" s="446" t="e">
        <f t="shared" ca="1" si="12"/>
        <v>#NAME?</v>
      </c>
      <c r="T17" s="482" t="e">
        <f ca="1">_xll.BDP(C17,"YLD_YTM_ASK")</f>
        <v>#NAME?</v>
      </c>
      <c r="U17" s="463" t="e">
        <f ca="1">E17*_xll.BDP(C17,"PX_GROSS_BID")/100</f>
        <v>#NAME?</v>
      </c>
      <c r="V17" s="490" t="e">
        <f ca="1">_xll.BDP($C17,"CHG_PCT_YTD")</f>
        <v>#NAME?</v>
      </c>
      <c r="W17" s="490" t="e">
        <f ca="1">_xll.BDP($C17,"CHG_PCT_1YR")</f>
        <v>#NAME?</v>
      </c>
      <c r="X17" s="490"/>
    </row>
    <row r="18" spans="1:25" s="491" customFormat="1" x14ac:dyDescent="0.2">
      <c r="A18" s="450" t="s">
        <v>690</v>
      </c>
      <c r="B18" s="467" t="e">
        <f ca="1">_xll.BDP(C18,"SECURITY_NAME")</f>
        <v>#NAME?</v>
      </c>
      <c r="C18" s="450" t="s">
        <v>373</v>
      </c>
      <c r="D18" s="488" t="e">
        <f t="shared" ca="1" si="5"/>
        <v>#NAME?</v>
      </c>
      <c r="E18" s="446">
        <f>$F$74</f>
        <v>200000</v>
      </c>
      <c r="F18" s="490">
        <f>$H$74</f>
        <v>104.3</v>
      </c>
      <c r="G18" s="482" t="e">
        <f ca="1">_xll.BDP(C18,"PX LAST")</f>
        <v>#NAME?</v>
      </c>
      <c r="H18" s="450"/>
      <c r="I18" s="450"/>
      <c r="J18" s="450"/>
      <c r="K18" s="489" t="e">
        <f ca="1">_xll.BDP($C18,"CRNCY")</f>
        <v>#NAME?</v>
      </c>
      <c r="L18" s="488" t="e">
        <f ca="1">P18/N18-1</f>
        <v>#NAME?</v>
      </c>
      <c r="M18" s="488" t="e">
        <f t="shared" ca="1" si="7"/>
        <v>#NAME?</v>
      </c>
      <c r="N18" s="446" t="e">
        <f ca="1">$K$74</f>
        <v>#NAME?</v>
      </c>
      <c r="O18" s="446">
        <f t="shared" si="8"/>
        <v>208600</v>
      </c>
      <c r="P18" s="446" t="e">
        <f t="shared" ca="1" si="9"/>
        <v>#NAME?</v>
      </c>
      <c r="Q18" s="446" t="e">
        <f t="shared" ca="1" si="10"/>
        <v>#NAME?</v>
      </c>
      <c r="R18" s="446" t="e">
        <f ca="1">P18-N18</f>
        <v>#NAME?</v>
      </c>
      <c r="S18" s="446" t="e">
        <f ca="1">Q18-O18</f>
        <v>#NAME?</v>
      </c>
      <c r="T18" s="482" t="e">
        <f ca="1">_xll.BDP(C18,"YLD_YTM_ASK")</f>
        <v>#NAME?</v>
      </c>
      <c r="U18" s="463" t="e">
        <f ca="1">E18*_xll.BDP(C18,"PX_GROSS_BID")/100</f>
        <v>#NAME?</v>
      </c>
      <c r="V18" s="490" t="e">
        <f ca="1">_xll.BDP($C18,"CHG_PCT_YTD")</f>
        <v>#NAME?</v>
      </c>
      <c r="W18" s="490" t="e">
        <f ca="1">_xll.BDP($C18,"CHG_PCT_1YR")</f>
        <v>#NAME?</v>
      </c>
      <c r="X18" s="490"/>
      <c r="Y18" s="450"/>
    </row>
    <row r="19" spans="1:25" s="491" customFormat="1" x14ac:dyDescent="0.2">
      <c r="A19" s="450" t="s">
        <v>690</v>
      </c>
      <c r="B19" s="467" t="e">
        <f ca="1">_xll.BDP(C19,"SECURITY_NAME")</f>
        <v>#NAME?</v>
      </c>
      <c r="C19" s="450" t="s">
        <v>697</v>
      </c>
      <c r="D19" s="488" t="e">
        <f t="shared" ca="1" si="5"/>
        <v>#NAME?</v>
      </c>
      <c r="E19" s="446">
        <f>$F$83</f>
        <v>200000</v>
      </c>
      <c r="F19" s="490">
        <f>$H$83</f>
        <v>91</v>
      </c>
      <c r="G19" s="482" t="e">
        <f ca="1">_xll.BDP(C19,"PX LAST")</f>
        <v>#NAME?</v>
      </c>
      <c r="H19" s="450"/>
      <c r="I19" s="450"/>
      <c r="J19" s="450"/>
      <c r="K19" s="489" t="e">
        <f ca="1">_xll.BDP($C19,"CRNCY")</f>
        <v>#NAME?</v>
      </c>
      <c r="L19" s="488" t="e">
        <f t="shared" ca="1" si="6"/>
        <v>#NAME?</v>
      </c>
      <c r="M19" s="488" t="e">
        <f t="shared" ca="1" si="7"/>
        <v>#NAME?</v>
      </c>
      <c r="N19" s="446" t="e">
        <f ca="1">$K$83</f>
        <v>#NAME?</v>
      </c>
      <c r="O19" s="446">
        <f t="shared" si="8"/>
        <v>182000</v>
      </c>
      <c r="P19" s="446" t="e">
        <f t="shared" ca="1" si="9"/>
        <v>#NAME?</v>
      </c>
      <c r="Q19" s="446" t="e">
        <f t="shared" ca="1" si="10"/>
        <v>#NAME?</v>
      </c>
      <c r="R19" s="446" t="e">
        <f t="shared" ca="1" si="11"/>
        <v>#NAME?</v>
      </c>
      <c r="S19" s="446" t="e">
        <f t="shared" ca="1" si="12"/>
        <v>#NAME?</v>
      </c>
      <c r="T19" s="482" t="e">
        <f ca="1">_xll.BDP(C19,"YLD_YTM_ASK")</f>
        <v>#NAME?</v>
      </c>
      <c r="U19" s="463" t="e">
        <f ca="1">E19*_xll.BDP(C19,"PX_GROSS_BID")/100</f>
        <v>#NAME?</v>
      </c>
      <c r="V19" s="490" t="e">
        <f ca="1">_xll.BDP($C19,"CHG_PCT_YTD")</f>
        <v>#NAME?</v>
      </c>
      <c r="W19" s="490" t="e">
        <f ca="1">_xll.BDP($C19,"CHG_PCT_1YR")</f>
        <v>#NAME?</v>
      </c>
      <c r="X19" s="490"/>
      <c r="Y19" s="450"/>
    </row>
    <row r="20" spans="1:25" x14ac:dyDescent="0.2">
      <c r="B20" s="68" t="s">
        <v>106</v>
      </c>
      <c r="C20" s="68" t="s">
        <v>106</v>
      </c>
      <c r="D20" s="262" t="e">
        <f t="shared" ca="1" si="5"/>
        <v>#NAME?</v>
      </c>
      <c r="E20" s="262"/>
      <c r="F20" s="262"/>
      <c r="G20" s="66"/>
      <c r="H20" s="66"/>
      <c r="I20" s="66"/>
      <c r="J20" s="66"/>
      <c r="K20" s="177"/>
      <c r="L20" s="179"/>
      <c r="M20" s="179"/>
      <c r="N20" s="64"/>
      <c r="O20" s="322"/>
      <c r="P20" s="64"/>
      <c r="Q20" s="64">
        <v>205000</v>
      </c>
      <c r="R20" s="61"/>
      <c r="S20" s="61"/>
      <c r="T20" s="61"/>
      <c r="U20" s="187">
        <f>Q20</f>
        <v>205000</v>
      </c>
      <c r="V20" s="177"/>
      <c r="W20" s="177"/>
      <c r="X20" s="177"/>
      <c r="Y20" s="177"/>
    </row>
    <row r="21" spans="1:25" ht="13.5" customHeight="1" thickBot="1" x14ac:dyDescent="0.25">
      <c r="B21" s="175"/>
      <c r="C21" s="175"/>
      <c r="D21" s="59" t="e">
        <f ca="1">SUM(D5:D20)</f>
        <v>#NAME?</v>
      </c>
      <c r="E21" s="176"/>
      <c r="F21" s="176"/>
      <c r="G21" s="175"/>
      <c r="H21" s="175"/>
      <c r="I21" s="570" t="e">
        <f ca="1">SUMPRODUCT(D4:D11,I4:I11)</f>
        <v>#NAME?</v>
      </c>
      <c r="J21" s="175"/>
      <c r="K21" s="55"/>
      <c r="L21" s="687" t="e">
        <f ca="1">SUMPRODUCT($D$4:$D$19,L4:L19)</f>
        <v>#NAME?</v>
      </c>
      <c r="M21" s="687" t="e">
        <f ca="1">SUMPRODUCT($D$4:$D$19,M4:M19)</f>
        <v>#NAME?</v>
      </c>
      <c r="N21" s="184" t="e">
        <f t="shared" ref="N21:S21" ca="1" si="13">SUM(N4:N20)</f>
        <v>#NAME?</v>
      </c>
      <c r="O21" s="184" t="e">
        <f t="shared" ca="1" si="13"/>
        <v>#NAME?</v>
      </c>
      <c r="P21" s="184" t="e">
        <f t="shared" ca="1" si="13"/>
        <v>#NAME?</v>
      </c>
      <c r="Q21" s="184" t="e">
        <f t="shared" ca="1" si="13"/>
        <v>#NAME?</v>
      </c>
      <c r="R21" s="184" t="e">
        <f t="shared" ca="1" si="13"/>
        <v>#NAME?</v>
      </c>
      <c r="S21" s="184" t="e">
        <f t="shared" ca="1" si="13"/>
        <v>#NAME?</v>
      </c>
      <c r="T21" s="492" t="e">
        <f ca="1">SUMPRODUCT(D4:D19,T4:T19)</f>
        <v>#NAME?</v>
      </c>
      <c r="U21" s="55" t="e">
        <f ca="1">SUM(U4:U20)</f>
        <v>#NAME?</v>
      </c>
      <c r="V21" s="55"/>
      <c r="W21" s="55"/>
      <c r="X21" s="55"/>
      <c r="Y21" s="55"/>
    </row>
    <row r="22" spans="1:25" ht="13.5" customHeight="1" x14ac:dyDescent="0.2">
      <c r="B22" s="35"/>
      <c r="C22" s="35"/>
      <c r="D22" s="54"/>
      <c r="E22" s="46"/>
      <c r="F22" s="46"/>
      <c r="G22" s="35"/>
      <c r="I22" s="33" t="s">
        <v>837</v>
      </c>
      <c r="K22" s="35"/>
      <c r="L22" s="40"/>
      <c r="M22" s="40"/>
      <c r="N22" s="40"/>
      <c r="O22" s="130"/>
      <c r="P22" s="52"/>
      <c r="Q22" s="53"/>
      <c r="R22" s="261"/>
      <c r="S22" s="261"/>
      <c r="T22" s="826" t="s">
        <v>773</v>
      </c>
      <c r="U22" s="826"/>
    </row>
    <row r="23" spans="1:25" x14ac:dyDescent="0.2">
      <c r="E23" s="155"/>
      <c r="L23" s="32"/>
      <c r="N23" s="30"/>
      <c r="O23" s="148"/>
      <c r="P23" s="35"/>
      <c r="Q23" s="34"/>
      <c r="R23" s="34"/>
      <c r="S23" s="30"/>
      <c r="T23" s="827"/>
      <c r="U23" s="827"/>
    </row>
    <row r="24" spans="1:25" x14ac:dyDescent="0.2">
      <c r="B24" s="32" t="s">
        <v>276</v>
      </c>
      <c r="E24" s="155"/>
      <c r="L24" s="32"/>
      <c r="O24" s="49"/>
      <c r="P24" s="35"/>
      <c r="Q24" s="34"/>
      <c r="R24" s="34"/>
      <c r="S24" s="30"/>
      <c r="T24" s="827"/>
      <c r="U24" s="827"/>
    </row>
    <row r="25" spans="1:25" x14ac:dyDescent="0.2">
      <c r="B25" s="32">
        <v>2016</v>
      </c>
      <c r="L25" s="32"/>
      <c r="O25" s="49"/>
      <c r="P25" s="35"/>
      <c r="Q25" s="34"/>
      <c r="R25" s="34"/>
      <c r="S25" s="30"/>
      <c r="T25" s="681"/>
      <c r="U25" s="681"/>
    </row>
    <row r="26" spans="1:25" ht="40.5" customHeight="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107</v>
      </c>
      <c r="C27" s="103" t="s">
        <v>433</v>
      </c>
      <c r="D27" s="244" t="s">
        <v>51</v>
      </c>
      <c r="E27" s="43" t="e">
        <f ca="1">F27*_xll.BDP(C27,"PX_LAST")</f>
        <v>#NAME?</v>
      </c>
      <c r="F27" s="43">
        <v>1000</v>
      </c>
      <c r="G27" s="43">
        <v>1000</v>
      </c>
      <c r="H27" s="47">
        <f>G27/F27</f>
        <v>1</v>
      </c>
      <c r="I27" s="43">
        <f>G27*K27</f>
        <v>100140</v>
      </c>
      <c r="J27" s="45">
        <f>G27*L27</f>
        <v>110240.5</v>
      </c>
      <c r="K27" s="38">
        <v>100.14</v>
      </c>
      <c r="L27" s="38">
        <v>110.2405</v>
      </c>
      <c r="M27" s="44">
        <f>L27/K27-1</f>
        <v>0.10086379069302964</v>
      </c>
      <c r="N27" s="43">
        <f>J27-I27</f>
        <v>10100.5</v>
      </c>
      <c r="O27" s="106" t="e">
        <f ca="1">_xll.BDP($C27,"CRNCY")</f>
        <v>#NAME?</v>
      </c>
      <c r="P27" s="43">
        <f>N27</f>
        <v>10100.5</v>
      </c>
      <c r="Q27" s="239">
        <v>42608</v>
      </c>
      <c r="R27" s="250" t="e">
        <f ca="1">_xll.BDH("RUB curncy","PX_LAST",$Q27)</f>
        <v>#NAME?</v>
      </c>
    </row>
    <row r="28" spans="1:25" x14ac:dyDescent="0.2">
      <c r="B28" s="35"/>
      <c r="C28" s="35"/>
      <c r="D28" s="40"/>
      <c r="G28" s="35"/>
      <c r="H28" s="35"/>
      <c r="I28" s="35"/>
      <c r="J28" s="35"/>
      <c r="K28" s="35"/>
      <c r="L28" s="46"/>
      <c r="M28" s="35" t="s">
        <v>94</v>
      </c>
      <c r="N28" s="40"/>
      <c r="O28" s="34" t="s">
        <v>75</v>
      </c>
      <c r="P28" s="40">
        <f>SUM(P27:P27)</f>
        <v>10100.5</v>
      </c>
    </row>
    <row r="29" spans="1:25" x14ac:dyDescent="0.2">
      <c r="B29" s="35"/>
      <c r="C29" s="35"/>
      <c r="D29" s="40"/>
      <c r="G29" s="35"/>
      <c r="H29" s="35"/>
      <c r="I29" s="35"/>
      <c r="J29" s="35"/>
      <c r="K29" s="35"/>
      <c r="L29" s="46"/>
      <c r="N29" s="35"/>
      <c r="O29" s="34"/>
      <c r="P29" s="40"/>
    </row>
    <row r="30" spans="1:25" x14ac:dyDescent="0.2">
      <c r="B30" s="32" t="s">
        <v>93</v>
      </c>
      <c r="C30" s="151"/>
      <c r="D30" s="105"/>
      <c r="H30" s="105"/>
      <c r="I30" s="151"/>
      <c r="J30" s="151"/>
      <c r="K30" s="30"/>
    </row>
    <row r="31" spans="1:25" ht="13.5" thickBot="1" x14ac:dyDescent="0.25">
      <c r="C31" s="30"/>
      <c r="D31" s="30"/>
      <c r="G31" s="30"/>
      <c r="H31" s="151"/>
      <c r="I31" s="30"/>
      <c r="J31" s="151"/>
      <c r="K31" s="30"/>
      <c r="U31" s="357"/>
    </row>
    <row r="32" spans="1:25" ht="15" x14ac:dyDescent="0.35">
      <c r="B32" s="258"/>
      <c r="C32" s="258"/>
      <c r="D32" s="258"/>
      <c r="E32" s="258"/>
      <c r="F32" s="258"/>
      <c r="G32" s="258"/>
      <c r="H32" s="260" t="s">
        <v>92</v>
      </c>
      <c r="I32" s="259" t="s">
        <v>91</v>
      </c>
      <c r="J32" s="259" t="s">
        <v>90</v>
      </c>
      <c r="K32" s="259"/>
      <c r="L32" s="259"/>
      <c r="M32" s="258"/>
      <c r="N32" s="258"/>
      <c r="Q32" s="174">
        <v>6</v>
      </c>
      <c r="R32" s="32">
        <f>30</f>
        <v>30</v>
      </c>
    </row>
    <row r="33" spans="2:18" ht="15" x14ac:dyDescent="0.35">
      <c r="B33" s="255" t="s">
        <v>89</v>
      </c>
      <c r="C33" s="255" t="s">
        <v>88</v>
      </c>
      <c r="D33" s="255" t="s">
        <v>87</v>
      </c>
      <c r="E33" s="255" t="s">
        <v>86</v>
      </c>
      <c r="F33" s="255" t="s">
        <v>85</v>
      </c>
      <c r="G33" s="255" t="s">
        <v>84</v>
      </c>
      <c r="H33" s="257" t="s">
        <v>83</v>
      </c>
      <c r="I33" s="256" t="s">
        <v>83</v>
      </c>
      <c r="J33" s="256" t="s">
        <v>75</v>
      </c>
      <c r="K33" s="256" t="s">
        <v>73</v>
      </c>
      <c r="L33" s="256" t="s">
        <v>82</v>
      </c>
      <c r="M33" s="255" t="s">
        <v>81</v>
      </c>
      <c r="N33" s="255" t="s">
        <v>80</v>
      </c>
      <c r="Q33" s="32">
        <v>0.6</v>
      </c>
      <c r="R33" s="32">
        <f>1-Q33</f>
        <v>0.4</v>
      </c>
    </row>
    <row r="34" spans="2:18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  <c r="R34" s="32">
        <f>Q32*Q33+R32*R33</f>
        <v>15.6</v>
      </c>
    </row>
    <row r="35" spans="2:18" ht="15" customHeight="1" x14ac:dyDescent="0.2">
      <c r="B35" s="226" t="s">
        <v>693</v>
      </c>
      <c r="C35" s="253" t="s">
        <v>694</v>
      </c>
      <c r="D35" s="251" t="e">
        <f ca="1">_xll.BDP(C35,"SECURITY_NAME")</f>
        <v>#NAME?</v>
      </c>
      <c r="E35" s="251" t="s">
        <v>50</v>
      </c>
      <c r="F35" s="242">
        <v>8590</v>
      </c>
      <c r="G35" s="251" t="e">
        <f ca="1">_xll.BDP(C35,"CRNCY")</f>
        <v>#NAME?</v>
      </c>
      <c r="H35" s="250">
        <v>23.258900000000001</v>
      </c>
      <c r="I35" s="248">
        <f>F35*H35</f>
        <v>199793.951</v>
      </c>
      <c r="J35" s="249">
        <f>I35</f>
        <v>199793.951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41955</v>
      </c>
      <c r="O35" s="33"/>
    </row>
    <row r="36" spans="2:18" ht="15" customHeight="1" x14ac:dyDescent="0.2">
      <c r="B36" s="217"/>
      <c r="D36" s="215"/>
      <c r="E36" s="215"/>
      <c r="F36" s="213">
        <f>SUM(F35)</f>
        <v>8590</v>
      </c>
      <c r="G36" s="215"/>
      <c r="H36" s="214">
        <f>I36/F36</f>
        <v>23.258900000000001</v>
      </c>
      <c r="I36" s="213">
        <f>SUM(I35)</f>
        <v>199793.951</v>
      </c>
      <c r="J36" s="213">
        <f>SUM(J35)</f>
        <v>199793.951</v>
      </c>
      <c r="K36" s="213" t="e">
        <f ca="1">SUM(K35)</f>
        <v>#NAME?</v>
      </c>
      <c r="L36" s="212"/>
      <c r="M36" s="211"/>
      <c r="N36" s="210"/>
    </row>
    <row r="37" spans="2:18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8" ht="15" customHeight="1" x14ac:dyDescent="0.2">
      <c r="B38" s="226" t="s">
        <v>693</v>
      </c>
      <c r="C38" s="253" t="s">
        <v>736</v>
      </c>
      <c r="D38" s="251" t="e">
        <f ca="1">_xll.BDP(C38,"SECURITY_NAME")</f>
        <v>#NAME?</v>
      </c>
      <c r="E38" s="251" t="s">
        <v>50</v>
      </c>
      <c r="F38" s="242">
        <v>330</v>
      </c>
      <c r="G38" s="251" t="e">
        <f ca="1">_xll.BDP(C38,"CRNCY")</f>
        <v>#NAME?</v>
      </c>
      <c r="H38" s="250">
        <v>10300</v>
      </c>
      <c r="I38" s="248">
        <f>F38*H38</f>
        <v>3399000</v>
      </c>
      <c r="J38" s="249" t="e">
        <f ca="1">I38/L38</f>
        <v>#NAME?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42655</v>
      </c>
      <c r="O38" s="33"/>
    </row>
    <row r="39" spans="2:18" ht="15" customHeight="1" x14ac:dyDescent="0.2">
      <c r="B39" s="217"/>
      <c r="D39" s="215"/>
      <c r="E39" s="215"/>
      <c r="F39" s="213">
        <f>SUM(F38)</f>
        <v>330</v>
      </c>
      <c r="G39" s="215"/>
      <c r="H39" s="214">
        <f>I39/F39</f>
        <v>10300</v>
      </c>
      <c r="I39" s="213">
        <f>SUM(I38)</f>
        <v>3399000</v>
      </c>
      <c r="J39" s="213" t="e">
        <f ca="1">SUM(J38)</f>
        <v>#NAME?</v>
      </c>
      <c r="K39" s="213" t="e">
        <f ca="1">SUM(K38)</f>
        <v>#NAME?</v>
      </c>
      <c r="L39" s="212"/>
      <c r="M39" s="211"/>
      <c r="N39" s="210"/>
    </row>
    <row r="40" spans="2:18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8" ht="15" customHeight="1" x14ac:dyDescent="0.2">
      <c r="B41" s="226" t="s">
        <v>693</v>
      </c>
      <c r="C41" s="253" t="s">
        <v>79</v>
      </c>
      <c r="D41" s="251" t="e">
        <f ca="1">_xll.BDP(C41,"SECURITY_NAME")</f>
        <v>#NAME?</v>
      </c>
      <c r="E41" s="251" t="s">
        <v>50</v>
      </c>
      <c r="F41" s="242">
        <v>1000</v>
      </c>
      <c r="G41" s="251" t="e">
        <f ca="1">_xll.BDP(C41,"CRNCY")</f>
        <v>#NAME?</v>
      </c>
      <c r="H41" s="250">
        <v>100.13979999999999</v>
      </c>
      <c r="I41" s="248">
        <f>F41*H41</f>
        <v>100139.79999999999</v>
      </c>
      <c r="J41" s="249">
        <f>I41</f>
        <v>100139.79999999999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41955</v>
      </c>
      <c r="O41" s="33"/>
    </row>
    <row r="42" spans="2:18" ht="15" customHeight="1" x14ac:dyDescent="0.2">
      <c r="B42" s="217"/>
      <c r="D42" s="215"/>
      <c r="E42" s="215"/>
      <c r="F42" s="213">
        <f>SUM(F41)</f>
        <v>1000</v>
      </c>
      <c r="G42" s="215"/>
      <c r="H42" s="214">
        <f>I42/F42</f>
        <v>100.13979999999999</v>
      </c>
      <c r="I42" s="213">
        <f>SUM(I41)</f>
        <v>100139.79999999999</v>
      </c>
      <c r="J42" s="213">
        <f>SUM(J41)</f>
        <v>100139.79999999999</v>
      </c>
      <c r="K42" s="213" t="e">
        <f ca="1">SUM(K41)</f>
        <v>#NAME?</v>
      </c>
      <c r="L42" s="212"/>
      <c r="M42" s="211"/>
      <c r="N42" s="210"/>
    </row>
    <row r="43" spans="2:18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8" ht="15" customHeight="1" x14ac:dyDescent="0.2">
      <c r="B44" s="226" t="s">
        <v>693</v>
      </c>
      <c r="C44" s="253" t="s">
        <v>226</v>
      </c>
      <c r="D44" s="251" t="e">
        <f ca="1">_xll.BDP(C44,"SECURITY_NAME")</f>
        <v>#NAME?</v>
      </c>
      <c r="E44" s="251" t="s">
        <v>50</v>
      </c>
      <c r="F44" s="242">
        <v>3770</v>
      </c>
      <c r="G44" s="251" t="e">
        <f ca="1">_xll.BDP(C44,"CRNCY")</f>
        <v>#NAME?</v>
      </c>
      <c r="H44" s="250">
        <v>26.5091</v>
      </c>
      <c r="I44" s="248">
        <f>F44*H44</f>
        <v>99939.307000000001</v>
      </c>
      <c r="J44" s="249">
        <f>I44</f>
        <v>99939.307000000001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41955</v>
      </c>
      <c r="O44" s="33"/>
    </row>
    <row r="45" spans="2:18" ht="15" customHeight="1" x14ac:dyDescent="0.2">
      <c r="B45" s="217"/>
      <c r="D45" s="215"/>
      <c r="E45" s="215"/>
      <c r="F45" s="213">
        <f>SUM(F44)</f>
        <v>3770</v>
      </c>
      <c r="G45" s="215"/>
      <c r="H45" s="214">
        <f>I45/F45</f>
        <v>26.5091</v>
      </c>
      <c r="I45" s="213">
        <f>SUM(I44)</f>
        <v>99939.307000000001</v>
      </c>
      <c r="J45" s="213">
        <f>SUM(J44)</f>
        <v>99939.307000000001</v>
      </c>
      <c r="K45" s="213" t="e">
        <f ca="1">SUM(K44)</f>
        <v>#NAME?</v>
      </c>
      <c r="L45" s="212"/>
      <c r="M45" s="211"/>
      <c r="N45" s="210"/>
    </row>
    <row r="46" spans="2:18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8" ht="15" customHeight="1" x14ac:dyDescent="0.2">
      <c r="B47" s="226" t="s">
        <v>690</v>
      </c>
      <c r="C47" s="253" t="s">
        <v>334</v>
      </c>
      <c r="D47" s="251" t="e">
        <f ca="1">_xll.BDP(C47,"SECURITY_NAME")</f>
        <v>#NAME?</v>
      </c>
      <c r="E47" s="251" t="s">
        <v>50</v>
      </c>
      <c r="F47" s="252">
        <v>48900</v>
      </c>
      <c r="G47" s="251" t="e">
        <f ca="1">_xll.BDP(C47,"CRNCY")</f>
        <v>#NAME?</v>
      </c>
      <c r="H47" s="250">
        <v>248.2628</v>
      </c>
      <c r="I47" s="248">
        <f>F47*H47</f>
        <v>12140050.92</v>
      </c>
      <c r="J47" s="249" t="e">
        <f ca="1">I47/L47</f>
        <v>#NAME?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42451</v>
      </c>
      <c r="O47" s="33"/>
    </row>
    <row r="48" spans="2:18" x14ac:dyDescent="0.2">
      <c r="B48" s="217"/>
      <c r="D48" s="215"/>
      <c r="E48" s="215"/>
      <c r="F48" s="213">
        <f>SUM(F47:F47)</f>
        <v>48900</v>
      </c>
      <c r="G48" s="215"/>
      <c r="H48" s="214">
        <f>I48/F48</f>
        <v>248.2628</v>
      </c>
      <c r="I48" s="213">
        <f>SUM(I47:I47)</f>
        <v>12140050.92</v>
      </c>
      <c r="J48" s="213" t="e">
        <f ca="1">SUM(J47:J47)</f>
        <v>#NAME?</v>
      </c>
      <c r="K48" s="213" t="e">
        <f ca="1">SUM(K47:K47)</f>
        <v>#NAME?</v>
      </c>
      <c r="L48" s="212"/>
      <c r="M48" s="211"/>
      <c r="N48" s="210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ht="15" customHeight="1" x14ac:dyDescent="0.2">
      <c r="B50" s="226" t="s">
        <v>690</v>
      </c>
      <c r="C50" s="253" t="s">
        <v>204</v>
      </c>
      <c r="D50" s="251" t="e">
        <f ca="1">_xll.BDP(C50,"SECURITY_NAME")</f>
        <v>#NAME?</v>
      </c>
      <c r="E50" s="251" t="s">
        <v>50</v>
      </c>
      <c r="F50" s="242">
        <v>25700</v>
      </c>
      <c r="G50" s="251" t="e">
        <f ca="1">_xll.BDP(C50,"CRNCY")</f>
        <v>#NAME?</v>
      </c>
      <c r="H50" s="250">
        <v>3.5</v>
      </c>
      <c r="I50" s="248">
        <f>F50*H50</f>
        <v>89950</v>
      </c>
      <c r="J50" s="249">
        <f>I50</f>
        <v>89950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42634</v>
      </c>
      <c r="O50" s="33"/>
    </row>
    <row r="51" spans="2:15" ht="15" customHeight="1" x14ac:dyDescent="0.2">
      <c r="B51" s="217"/>
      <c r="D51" s="215"/>
      <c r="E51" s="215"/>
      <c r="F51" s="213">
        <f>SUM(F50)</f>
        <v>25700</v>
      </c>
      <c r="G51" s="215"/>
      <c r="H51" s="214">
        <f>I51/F51</f>
        <v>3.5</v>
      </c>
      <c r="I51" s="213">
        <f>SUM(I50)</f>
        <v>89950</v>
      </c>
      <c r="J51" s="213">
        <f>SUM(J50)</f>
        <v>89950</v>
      </c>
      <c r="K51" s="213" t="e">
        <f ca="1">SUM(K50)</f>
        <v>#NAME?</v>
      </c>
      <c r="L51" s="212"/>
      <c r="M51" s="211"/>
      <c r="N51" s="210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s="33" customFormat="1" x14ac:dyDescent="0.2">
      <c r="B53" s="226" t="s">
        <v>690</v>
      </c>
      <c r="C53" s="253" t="s">
        <v>692</v>
      </c>
      <c r="D53" s="251" t="e">
        <f ca="1">_xll.BDP(C53,"SECURITY_NAME")</f>
        <v>#NAME?</v>
      </c>
      <c r="E53" s="251" t="s">
        <v>50</v>
      </c>
      <c r="F53" s="252">
        <v>200000</v>
      </c>
      <c r="G53" s="251" t="e">
        <f ca="1">_xll.BDP(C53,"CRNCY")</f>
        <v>#NAME?</v>
      </c>
      <c r="H53" s="250">
        <v>83.2</v>
      </c>
      <c r="I53" s="248">
        <f>F53*H53/100</f>
        <v>166400</v>
      </c>
      <c r="J53" s="249">
        <f>I53</f>
        <v>166400</v>
      </c>
      <c r="K53" s="248" t="e">
        <f ca="1">J53*L53</f>
        <v>#NAME?</v>
      </c>
      <c r="L53" s="247" t="e">
        <f ca="1">_xll.BDH("RUB curncy","PX_LAST",$N53)</f>
        <v>#NAME?</v>
      </c>
      <c r="M53" s="246" t="e">
        <f ca="1">1/_xll.BDH("RUB curncy","PX_LAST",$N53)</f>
        <v>#NAME?</v>
      </c>
      <c r="N53" s="239">
        <v>41922</v>
      </c>
    </row>
    <row r="54" spans="2:15" x14ac:dyDescent="0.2">
      <c r="B54" s="217"/>
      <c r="D54" s="215"/>
      <c r="E54" s="215"/>
      <c r="F54" s="213">
        <f>SUM(F53)</f>
        <v>200000</v>
      </c>
      <c r="G54" s="215"/>
      <c r="H54" s="214">
        <f>I54/F54*100</f>
        <v>83.2</v>
      </c>
      <c r="I54" s="213">
        <f>SUM(I53)</f>
        <v>166400</v>
      </c>
      <c r="J54" s="213">
        <f>SUM(J53)</f>
        <v>166400</v>
      </c>
      <c r="K54" s="213" t="e">
        <f ca="1">SUM(K53)</f>
        <v>#NAME?</v>
      </c>
      <c r="L54" s="212"/>
      <c r="M54" s="211"/>
      <c r="N54" s="210"/>
      <c r="O54" s="33"/>
    </row>
    <row r="55" spans="2:15" x14ac:dyDescent="0.2">
      <c r="B55" s="226"/>
      <c r="C55" s="225"/>
      <c r="D55" s="223"/>
      <c r="E55" s="223"/>
      <c r="F55" s="224"/>
      <c r="G55" s="223"/>
      <c r="H55" s="222"/>
      <c r="I55" s="220"/>
      <c r="J55" s="221"/>
      <c r="K55" s="220"/>
      <c r="L55" s="219"/>
      <c r="M55" s="218"/>
      <c r="N55" s="210"/>
    </row>
    <row r="56" spans="2:15" s="33" customFormat="1" x14ac:dyDescent="0.2">
      <c r="B56" s="226" t="s">
        <v>690</v>
      </c>
      <c r="C56" s="253" t="s">
        <v>60</v>
      </c>
      <c r="D56" s="251" t="e">
        <f ca="1">_xll.BDP(C56,"SECURITY_NAME")</f>
        <v>#NAME?</v>
      </c>
      <c r="E56" s="251" t="s">
        <v>50</v>
      </c>
      <c r="F56" s="252">
        <v>200000</v>
      </c>
      <c r="G56" s="251" t="e">
        <f ca="1">_xll.BDP(C56,"CRNCY")</f>
        <v>#NAME?</v>
      </c>
      <c r="H56" s="250">
        <v>102.9</v>
      </c>
      <c r="I56" s="248">
        <f>F56*H56/100</f>
        <v>205800</v>
      </c>
      <c r="J56" s="249">
        <f>I56</f>
        <v>205800</v>
      </c>
      <c r="K56" s="248" t="e">
        <f ca="1">J56*L56</f>
        <v>#NAME?</v>
      </c>
      <c r="L56" s="247" t="e">
        <f ca="1">_xll.BDH("RUB curncy","PX_LAST",$N56)</f>
        <v>#NAME?</v>
      </c>
      <c r="M56" s="246" t="e">
        <f ca="1">1/_xll.BDH("RUB curncy","PX_LAST",$N56)</f>
        <v>#NAME?</v>
      </c>
      <c r="N56" s="239">
        <v>41922</v>
      </c>
    </row>
    <row r="57" spans="2:15" x14ac:dyDescent="0.2">
      <c r="B57" s="217"/>
      <c r="D57" s="215"/>
      <c r="E57" s="215"/>
      <c r="F57" s="213">
        <f>SUM(F56)</f>
        <v>200000</v>
      </c>
      <c r="G57" s="215"/>
      <c r="H57" s="214">
        <f>I57/F57*100</f>
        <v>102.89999999999999</v>
      </c>
      <c r="I57" s="213">
        <f>SUM(I56)</f>
        <v>205800</v>
      </c>
      <c r="J57" s="213">
        <f>SUM(J56)</f>
        <v>205800</v>
      </c>
      <c r="K57" s="213" t="e">
        <f ca="1">SUM(K56)</f>
        <v>#NAME?</v>
      </c>
      <c r="L57" s="212"/>
      <c r="M57" s="211"/>
      <c r="N57" s="210"/>
      <c r="O57" s="33"/>
    </row>
    <row r="58" spans="2:15" x14ac:dyDescent="0.2">
      <c r="B58" s="226"/>
      <c r="C58" s="225"/>
      <c r="D58" s="223"/>
      <c r="E58" s="223"/>
      <c r="F58" s="224"/>
      <c r="G58" s="223"/>
      <c r="H58" s="222"/>
      <c r="I58" s="220"/>
      <c r="J58" s="221"/>
      <c r="K58" s="220"/>
      <c r="L58" s="219"/>
      <c r="M58" s="218"/>
      <c r="N58" s="210"/>
    </row>
    <row r="59" spans="2:15" s="33" customFormat="1" x14ac:dyDescent="0.2">
      <c r="B59" s="226" t="s">
        <v>690</v>
      </c>
      <c r="C59" s="253" t="s">
        <v>321</v>
      </c>
      <c r="D59" s="251" t="e">
        <f ca="1">_xll.BDP(C59,"SECURITY_NAME")</f>
        <v>#NAME?</v>
      </c>
      <c r="E59" s="251" t="s">
        <v>50</v>
      </c>
      <c r="F59" s="252">
        <v>200000</v>
      </c>
      <c r="G59" s="251" t="e">
        <f ca="1">_xll.BDP(C59,"CRNCY")</f>
        <v>#NAME?</v>
      </c>
      <c r="H59" s="250">
        <v>89.6</v>
      </c>
      <c r="I59" s="248">
        <f>F59*H59/100</f>
        <v>179200</v>
      </c>
      <c r="J59" s="249">
        <f>I59</f>
        <v>179200</v>
      </c>
      <c r="K59" s="248" t="e">
        <f ca="1">J59*L59</f>
        <v>#NAME?</v>
      </c>
      <c r="L59" s="247" t="e">
        <f ca="1">_xll.BDH("RUB curncy","PX_LAST",$N59)</f>
        <v>#NAME?</v>
      </c>
      <c r="M59" s="246" t="e">
        <f ca="1">1/_xll.BDH("RUB curncy","PX_LAST",$N59)</f>
        <v>#NAME?</v>
      </c>
      <c r="N59" s="239">
        <v>42328</v>
      </c>
    </row>
    <row r="60" spans="2:15" x14ac:dyDescent="0.2">
      <c r="B60" s="217"/>
      <c r="D60" s="215"/>
      <c r="E60" s="215"/>
      <c r="F60" s="213">
        <f>SUM(F59)</f>
        <v>200000</v>
      </c>
      <c r="G60" s="215"/>
      <c r="H60" s="214">
        <f>I60/F60*100</f>
        <v>89.600000000000009</v>
      </c>
      <c r="I60" s="213">
        <f>SUM(I59)</f>
        <v>179200</v>
      </c>
      <c r="J60" s="213">
        <f>SUM(J59)</f>
        <v>179200</v>
      </c>
      <c r="K60" s="213" t="e">
        <f ca="1">SUM(K59)</f>
        <v>#NAME?</v>
      </c>
      <c r="L60" s="212"/>
      <c r="M60" s="211"/>
      <c r="N60" s="210"/>
      <c r="O60" s="33"/>
    </row>
    <row r="62" spans="2:15" s="33" customFormat="1" x14ac:dyDescent="0.2">
      <c r="B62" s="226" t="s">
        <v>690</v>
      </c>
      <c r="C62" s="253" t="s">
        <v>691</v>
      </c>
      <c r="D62" s="251" t="e">
        <f ca="1">_xll.BDP(C62,"SECURITY_NAME")</f>
        <v>#NAME?</v>
      </c>
      <c r="E62" s="251" t="s">
        <v>50</v>
      </c>
      <c r="F62" s="252">
        <v>200000</v>
      </c>
      <c r="G62" s="251" t="e">
        <f ca="1">_xll.BDP(C62,"CRNCY")</f>
        <v>#NAME?</v>
      </c>
      <c r="H62" s="250">
        <v>95.53</v>
      </c>
      <c r="I62" s="248">
        <f>F62*H62/100</f>
        <v>191060</v>
      </c>
      <c r="J62" s="249">
        <f>I62</f>
        <v>191060</v>
      </c>
      <c r="K62" s="248" t="e">
        <f ca="1">J62*L62</f>
        <v>#NAME?</v>
      </c>
      <c r="L62" s="247" t="e">
        <f ca="1">_xll.BDH("RUB curncy","PX_LAST",$N62)</f>
        <v>#NAME?</v>
      </c>
      <c r="M62" s="246" t="e">
        <f ca="1">1/_xll.BDH("RUB curncy","PX_LAST",$N62)</f>
        <v>#NAME?</v>
      </c>
      <c r="N62" s="239">
        <v>41922</v>
      </c>
    </row>
    <row r="63" spans="2:15" x14ac:dyDescent="0.2">
      <c r="B63" s="217"/>
      <c r="D63" s="215"/>
      <c r="E63" s="215"/>
      <c r="F63" s="213">
        <f>SUM(F62)</f>
        <v>200000</v>
      </c>
      <c r="G63" s="215"/>
      <c r="H63" s="214">
        <f>I63/F63*100</f>
        <v>95.53</v>
      </c>
      <c r="I63" s="213">
        <f>SUM(I62)</f>
        <v>191060</v>
      </c>
      <c r="J63" s="213">
        <f>SUM(J62)</f>
        <v>191060</v>
      </c>
      <c r="K63" s="213" t="e">
        <f ca="1">SUM(K62)</f>
        <v>#NAME?</v>
      </c>
      <c r="L63" s="212"/>
      <c r="M63" s="211"/>
      <c r="N63" s="210"/>
      <c r="O63" s="33"/>
    </row>
    <row r="64" spans="2:15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5" s="33" customFormat="1" x14ac:dyDescent="0.2">
      <c r="B65" s="226" t="s">
        <v>690</v>
      </c>
      <c r="C65" s="253" t="s">
        <v>180</v>
      </c>
      <c r="D65" s="251" t="e">
        <f ca="1">_xll.BDP(C65,"SECURITY_NAME")</f>
        <v>#NAME?</v>
      </c>
      <c r="E65" s="251" t="s">
        <v>50</v>
      </c>
      <c r="F65" s="252">
        <v>200000</v>
      </c>
      <c r="G65" s="251" t="e">
        <f ca="1">_xll.BDP(C65,"CRNCY")</f>
        <v>#NAME?</v>
      </c>
      <c r="H65" s="250">
        <v>101.15</v>
      </c>
      <c r="I65" s="248">
        <f>F65*H65/100</f>
        <v>202300</v>
      </c>
      <c r="J65" s="249">
        <f>I65</f>
        <v>202300</v>
      </c>
      <c r="K65" s="248" t="e">
        <f ca="1">J65*L65</f>
        <v>#NAME?</v>
      </c>
      <c r="L65" s="247" t="e">
        <f ca="1">_xll.BDH("RUB curncy","PX_LAST",$N65)</f>
        <v>#NAME?</v>
      </c>
      <c r="M65" s="246" t="e">
        <f ca="1">1/_xll.BDH("RUB curncy","PX_LAST",$N65)</f>
        <v>#NAME?</v>
      </c>
      <c r="N65" s="239">
        <v>42359</v>
      </c>
    </row>
    <row r="66" spans="2:15" x14ac:dyDescent="0.2">
      <c r="B66" s="217"/>
      <c r="D66" s="215"/>
      <c r="E66" s="215"/>
      <c r="F66" s="213">
        <f>SUM(F65)</f>
        <v>200000</v>
      </c>
      <c r="G66" s="215"/>
      <c r="H66" s="214">
        <f>I66/F66*100</f>
        <v>101.15</v>
      </c>
      <c r="I66" s="213">
        <f>SUM(I65)</f>
        <v>202300</v>
      </c>
      <c r="J66" s="213">
        <f>SUM(J65)</f>
        <v>202300</v>
      </c>
      <c r="K66" s="213" t="e">
        <f ca="1">SUM(K65)</f>
        <v>#NAME?</v>
      </c>
      <c r="L66" s="212"/>
      <c r="M66" s="211"/>
      <c r="N66" s="210"/>
      <c r="O66" s="33"/>
    </row>
    <row r="67" spans="2:15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5" s="33" customFormat="1" x14ac:dyDescent="0.2">
      <c r="B68" s="226" t="s">
        <v>690</v>
      </c>
      <c r="C68" s="253" t="s">
        <v>225</v>
      </c>
      <c r="D68" s="251" t="e">
        <f ca="1">_xll.BDP(C68,"SECURITY_NAME")</f>
        <v>#NAME?</v>
      </c>
      <c r="E68" s="251" t="s">
        <v>50</v>
      </c>
      <c r="F68" s="252">
        <v>200000</v>
      </c>
      <c r="G68" s="251" t="e">
        <f ca="1">_xll.BDP(C68,"CRNCY")</f>
        <v>#NAME?</v>
      </c>
      <c r="H68" s="250">
        <v>89.5</v>
      </c>
      <c r="I68" s="248">
        <f>F68*H68/100</f>
        <v>179000</v>
      </c>
      <c r="J68" s="249">
        <f>I68</f>
        <v>179000</v>
      </c>
      <c r="K68" s="248" t="e">
        <f ca="1">J68*L68</f>
        <v>#NAME?</v>
      </c>
      <c r="L68" s="247" t="e">
        <f ca="1">_xll.BDH("RUB curncy","PX_LAST",$N68)</f>
        <v>#NAME?</v>
      </c>
      <c r="M68" s="246" t="e">
        <f ca="1">1/_xll.BDH("RUB curncy","PX_LAST",$N68)</f>
        <v>#NAME?</v>
      </c>
      <c r="N68" s="239">
        <v>42367</v>
      </c>
    </row>
    <row r="69" spans="2:15" s="33" customFormat="1" x14ac:dyDescent="0.2">
      <c r="B69" s="226" t="s">
        <v>690</v>
      </c>
      <c r="C69" s="253" t="s">
        <v>225</v>
      </c>
      <c r="D69" s="251" t="e">
        <f ca="1">_xll.BDP(C69,"SECURITY_NAME")</f>
        <v>#NAME?</v>
      </c>
      <c r="E69" s="251" t="s">
        <v>50</v>
      </c>
      <c r="F69" s="252">
        <v>200000</v>
      </c>
      <c r="G69" s="251" t="e">
        <f ca="1">_xll.BDP(C69,"CRNCY")</f>
        <v>#NAME?</v>
      </c>
      <c r="H69" s="250">
        <v>90.7</v>
      </c>
      <c r="I69" s="248">
        <f>F69*H69/100</f>
        <v>181400</v>
      </c>
      <c r="J69" s="249">
        <f>I69</f>
        <v>181400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42348</v>
      </c>
    </row>
    <row r="70" spans="2:15" s="33" customFormat="1" x14ac:dyDescent="0.2">
      <c r="B70" s="226" t="s">
        <v>690</v>
      </c>
      <c r="C70" s="253" t="s">
        <v>225</v>
      </c>
      <c r="D70" s="251" t="e">
        <f ca="1">_xll.BDP(C70,"SECURITY_NAME")</f>
        <v>#NAME?</v>
      </c>
      <c r="E70" s="251" t="s">
        <v>50</v>
      </c>
      <c r="F70" s="252">
        <v>200000</v>
      </c>
      <c r="G70" s="251" t="e">
        <f ca="1">_xll.BDP(C70,"CRNCY")</f>
        <v>#NAME?</v>
      </c>
      <c r="H70" s="250">
        <v>92.3</v>
      </c>
      <c r="I70" s="248">
        <f>F70*H70/100</f>
        <v>184600</v>
      </c>
      <c r="J70" s="249">
        <f>I70</f>
        <v>184600</v>
      </c>
      <c r="K70" s="248" t="e">
        <f ca="1">J70*L70</f>
        <v>#NAME?</v>
      </c>
      <c r="L70" s="247" t="e">
        <f ca="1">_xll.BDH("RUB curncy","PX_LAST",$N70)</f>
        <v>#NAME?</v>
      </c>
      <c r="M70" s="246" t="e">
        <f ca="1">1/_xll.BDH("RUB curncy","PX_LAST",$N70)</f>
        <v>#NAME?</v>
      </c>
      <c r="N70" s="239">
        <v>42326</v>
      </c>
    </row>
    <row r="71" spans="2:15" x14ac:dyDescent="0.2">
      <c r="B71" s="217"/>
      <c r="D71" s="215"/>
      <c r="E71" s="215"/>
      <c r="F71" s="213">
        <f>SUM(F68:F70)</f>
        <v>600000</v>
      </c>
      <c r="G71" s="215"/>
      <c r="H71" s="214">
        <f>I71/F71*100</f>
        <v>90.833333333333329</v>
      </c>
      <c r="I71" s="213">
        <f>SUM(I68:I70)</f>
        <v>545000</v>
      </c>
      <c r="J71" s="213">
        <f>SUM(J68:J70)</f>
        <v>545000</v>
      </c>
      <c r="K71" s="213" t="e">
        <f ca="1">SUM(K68:K70)</f>
        <v>#NAME?</v>
      </c>
      <c r="L71" s="212"/>
      <c r="M71" s="211"/>
      <c r="N71" s="210"/>
      <c r="O71" s="33"/>
    </row>
    <row r="72" spans="2:15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5" s="33" customFormat="1" x14ac:dyDescent="0.2">
      <c r="B73" s="226" t="s">
        <v>690</v>
      </c>
      <c r="C73" s="253" t="s">
        <v>373</v>
      </c>
      <c r="D73" s="251" t="e">
        <f ca="1">_xll.BDP(C73,"SECURITY_NAME")</f>
        <v>#NAME?</v>
      </c>
      <c r="E73" s="251" t="s">
        <v>50</v>
      </c>
      <c r="F73" s="252">
        <v>200000</v>
      </c>
      <c r="G73" s="251" t="e">
        <f ca="1">_xll.BDP(C73,"CRNCY")</f>
        <v>#NAME?</v>
      </c>
      <c r="H73" s="250">
        <v>104.3</v>
      </c>
      <c r="I73" s="248">
        <f>F73*H73/100</f>
        <v>208600</v>
      </c>
      <c r="J73" s="249">
        <f>I73</f>
        <v>208600</v>
      </c>
      <c r="K73" s="248" t="e">
        <f ca="1">J73*L73</f>
        <v>#NAME?</v>
      </c>
      <c r="L73" s="247" t="e">
        <f ca="1">_xll.BDH("RUB curncy","PX_LAST",$N73)</f>
        <v>#NAME?</v>
      </c>
      <c r="M73" s="246" t="e">
        <f ca="1">1/_xll.BDH("RUB curncy","PX_LAST",$N73)</f>
        <v>#NAME?</v>
      </c>
      <c r="N73" s="239">
        <v>42326</v>
      </c>
    </row>
    <row r="74" spans="2:15" x14ac:dyDescent="0.2">
      <c r="B74" s="217"/>
      <c r="D74" s="215"/>
      <c r="E74" s="215"/>
      <c r="F74" s="213">
        <f>SUM(F73)</f>
        <v>200000</v>
      </c>
      <c r="G74" s="215"/>
      <c r="H74" s="214">
        <f>I74/F74*100</f>
        <v>104.3</v>
      </c>
      <c r="I74" s="213">
        <f>SUM(I73)</f>
        <v>208600</v>
      </c>
      <c r="J74" s="213">
        <f>SUM(J73)</f>
        <v>208600</v>
      </c>
      <c r="K74" s="213" t="e">
        <f ca="1">SUM(K73)</f>
        <v>#NAME?</v>
      </c>
      <c r="L74" s="212"/>
      <c r="M74" s="211"/>
      <c r="N74" s="210"/>
      <c r="O74" s="33"/>
    </row>
    <row r="75" spans="2:15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5" x14ac:dyDescent="0.2">
      <c r="B76" s="226" t="s">
        <v>690</v>
      </c>
      <c r="C76" s="253" t="s">
        <v>334</v>
      </c>
      <c r="D76" s="251" t="e">
        <f ca="1">_xll.BDP(C76,"SECURITY_NAME")</f>
        <v>#NAME?</v>
      </c>
      <c r="E76" s="251" t="s">
        <v>50</v>
      </c>
      <c r="F76" s="252">
        <v>3570</v>
      </c>
      <c r="G76" s="251" t="e">
        <f ca="1">_xll.BDP(C76,"CRNCY")</f>
        <v>#NAME?</v>
      </c>
      <c r="H76" s="250">
        <v>700</v>
      </c>
      <c r="I76" s="248">
        <f>F76*H76</f>
        <v>2499000</v>
      </c>
      <c r="J76" s="249" t="e">
        <f ca="1">I76/L76</f>
        <v>#NAME?</v>
      </c>
      <c r="K76" s="248" t="e">
        <f ca="1">J76*L76</f>
        <v>#NAME?</v>
      </c>
      <c r="L76" s="247" t="e">
        <f ca="1">_xll.BDH("RUB curncy","PX_LAST",$N76)</f>
        <v>#NAME?</v>
      </c>
      <c r="M76" s="246" t="e">
        <f ca="1">1/_xll.BDH("RUB curncy","PX_LAST",$N76)</f>
        <v>#NAME?</v>
      </c>
      <c r="N76" s="239">
        <v>42465</v>
      </c>
    </row>
    <row r="77" spans="2:15" x14ac:dyDescent="0.2">
      <c r="B77" s="217"/>
      <c r="D77" s="215"/>
      <c r="E77" s="215"/>
      <c r="F77" s="213">
        <f>SUM(F76:F76)</f>
        <v>3570</v>
      </c>
      <c r="G77" s="215"/>
      <c r="H77" s="214">
        <f>I77/F77</f>
        <v>700</v>
      </c>
      <c r="I77" s="213">
        <f>SUM(I76:I76)</f>
        <v>2499000</v>
      </c>
      <c r="J77" s="213" t="e">
        <f ca="1">SUM(J76:J76)</f>
        <v>#NAME?</v>
      </c>
      <c r="K77" s="213" t="e">
        <f ca="1">SUM(K76:K76)</f>
        <v>#NAME?</v>
      </c>
      <c r="L77" s="212"/>
      <c r="M77" s="211"/>
      <c r="N77" s="210"/>
    </row>
    <row r="78" spans="2:15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5" x14ac:dyDescent="0.2">
      <c r="B79" s="226" t="s">
        <v>690</v>
      </c>
      <c r="C79" s="253" t="s">
        <v>44</v>
      </c>
      <c r="D79" s="251" t="e">
        <f ca="1">_xll.BDP(C79,"SECURITY_NAME")</f>
        <v>#NAME?</v>
      </c>
      <c r="E79" s="251" t="s">
        <v>50</v>
      </c>
      <c r="F79" s="252">
        <v>35800</v>
      </c>
      <c r="G79" s="251" t="e">
        <f ca="1">_xll.BDP(C79,"CRNCY")</f>
        <v>#NAME?</v>
      </c>
      <c r="H79" s="250">
        <v>38.329413410000001</v>
      </c>
      <c r="I79" s="248">
        <f>F79*H79</f>
        <v>1372193.0000780001</v>
      </c>
      <c r="J79" s="249" t="e">
        <f ca="1">I79/L79</f>
        <v>#NAME?</v>
      </c>
      <c r="K79" s="248" t="e">
        <f ca="1">J79*L79</f>
        <v>#NAME?</v>
      </c>
      <c r="L79" s="247" t="e">
        <f ca="1">_xll.BDH("RUB curncy","PX_LAST",$N79)</f>
        <v>#NAME?</v>
      </c>
      <c r="M79" s="246" t="e">
        <f ca="1">1/_xll.BDH("RUB curncy","PX_LAST",$N79)</f>
        <v>#NAME?</v>
      </c>
      <c r="N79" s="239">
        <v>42537</v>
      </c>
    </row>
    <row r="80" spans="2:15" x14ac:dyDescent="0.2">
      <c r="B80" s="217"/>
      <c r="D80" s="215"/>
      <c r="E80" s="215"/>
      <c r="F80" s="213">
        <f>SUM(F79:F79)</f>
        <v>35800</v>
      </c>
      <c r="G80" s="215"/>
      <c r="H80" s="214">
        <f>I80/F80</f>
        <v>38.329413410000001</v>
      </c>
      <c r="I80" s="213">
        <f>SUM(I79:I79)</f>
        <v>1372193.0000780001</v>
      </c>
      <c r="J80" s="213" t="e">
        <f ca="1">SUM(J79:J79)</f>
        <v>#NAME?</v>
      </c>
      <c r="K80" s="213" t="e">
        <f ca="1">SUM(K79:K79)</f>
        <v>#NAME?</v>
      </c>
      <c r="L80" s="212"/>
      <c r="M80" s="211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26" t="s">
        <v>690</v>
      </c>
      <c r="C82" s="284" t="s">
        <v>697</v>
      </c>
      <c r="D82" s="251" t="e">
        <f ca="1">_xll.BDP(C82,"SECURITY_NAME")</f>
        <v>#NAME?</v>
      </c>
      <c r="E82" s="251" t="s">
        <v>50</v>
      </c>
      <c r="F82" s="252">
        <v>200000</v>
      </c>
      <c r="G82" s="251" t="e">
        <f ca="1">_xll.BDP(C82,"CRNCY")</f>
        <v>#NAME?</v>
      </c>
      <c r="H82" s="250">
        <v>91</v>
      </c>
      <c r="I82" s="248">
        <f>F82*H82/100</f>
        <v>182000</v>
      </c>
      <c r="J82" s="249">
        <f>I82</f>
        <v>182000</v>
      </c>
      <c r="K82" s="248" t="e">
        <f ca="1">J82*L82</f>
        <v>#NAME?</v>
      </c>
      <c r="L82" s="247" t="e">
        <f ca="1">_xll.BDH("RUB curncy","PX_LAST",$N82)</f>
        <v>#NAME?</v>
      </c>
      <c r="M82" s="246" t="e">
        <f ca="1">1/_xll.BDH("RUB curncy","PX_LAST",$N82)</f>
        <v>#NAME?</v>
      </c>
      <c r="N82" s="239">
        <v>42544</v>
      </c>
    </row>
    <row r="83" spans="2:14" x14ac:dyDescent="0.2">
      <c r="B83" s="217"/>
      <c r="D83" s="215"/>
      <c r="E83" s="215"/>
      <c r="F83" s="213">
        <f>SUM(F82)</f>
        <v>200000</v>
      </c>
      <c r="G83" s="215"/>
      <c r="H83" s="214">
        <f>I83/F83*100</f>
        <v>91</v>
      </c>
      <c r="I83" s="213">
        <f>SUM(I82)</f>
        <v>182000</v>
      </c>
      <c r="J83" s="213">
        <f>SUM(J82)</f>
        <v>182000</v>
      </c>
      <c r="K83" s="213" t="e">
        <f ca="1">SUM(K82)</f>
        <v>#NAME?</v>
      </c>
      <c r="L83" s="212"/>
      <c r="M83" s="211"/>
      <c r="N83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26" t="s">
        <v>693</v>
      </c>
      <c r="C85" s="253" t="s">
        <v>197</v>
      </c>
      <c r="D85" s="251" t="e">
        <f ca="1">_xll.BDP(C85,"SECURITY_NAME")</f>
        <v>#NAME?</v>
      </c>
      <c r="E85" s="251" t="s">
        <v>50</v>
      </c>
      <c r="F85" s="242">
        <v>2855</v>
      </c>
      <c r="G85" s="251" t="e">
        <f ca="1">_xll.BDP(C85,"CRNCY")</f>
        <v>#NAME?</v>
      </c>
      <c r="H85" s="250">
        <v>8.51</v>
      </c>
      <c r="I85" s="248">
        <f>F85*H85</f>
        <v>24296.05</v>
      </c>
      <c r="J85" s="249" t="e">
        <f ca="1">I85*L85</f>
        <v>#NAME?</v>
      </c>
      <c r="K85" s="248" t="e">
        <f ca="1">J85/M85</f>
        <v>#NAME?</v>
      </c>
      <c r="L85" s="247" t="e">
        <f ca="1">_xll.BDH("GBP curncy","PX_LAST",$N85)</f>
        <v>#NAME?</v>
      </c>
      <c r="M85" s="246" t="e">
        <f ca="1">1/_xll.BDH("RUB curncy","PX_LAST",$N85)</f>
        <v>#NAME?</v>
      </c>
      <c r="N85" s="239">
        <v>42655</v>
      </c>
    </row>
    <row r="86" spans="2:14" x14ac:dyDescent="0.2">
      <c r="B86" s="217"/>
      <c r="D86" s="215"/>
      <c r="E86" s="215"/>
      <c r="F86" s="213">
        <f>SUM(F85)</f>
        <v>2855</v>
      </c>
      <c r="G86" s="215"/>
      <c r="H86" s="214">
        <f>I86/F86</f>
        <v>8.51</v>
      </c>
      <c r="I86" s="213">
        <f>SUM(I85)</f>
        <v>24296.05</v>
      </c>
      <c r="J86" s="213" t="e">
        <f ca="1">SUM(J85)</f>
        <v>#NAME?</v>
      </c>
      <c r="K86" s="213" t="e">
        <f ca="1">SUM(K85)</f>
        <v>#NAME?</v>
      </c>
      <c r="L86" s="212"/>
      <c r="M86" s="211"/>
      <c r="N86" s="210"/>
    </row>
    <row r="87" spans="2:14" x14ac:dyDescent="0.2">
      <c r="F87" s="213"/>
      <c r="H87" s="214"/>
      <c r="I87" s="213"/>
      <c r="J87" s="213"/>
      <c r="K87" s="213"/>
    </row>
    <row r="89" spans="2:14" x14ac:dyDescent="0.2">
      <c r="B89" s="226"/>
      <c r="C89" s="225"/>
      <c r="D89" s="223"/>
      <c r="E89" s="223"/>
      <c r="F89" s="224"/>
      <c r="G89" s="223"/>
      <c r="H89" s="222"/>
      <c r="I89" s="220"/>
      <c r="J89" s="221"/>
      <c r="K89" s="220"/>
      <c r="L89" s="219"/>
      <c r="M89" s="218"/>
      <c r="N89" s="210"/>
    </row>
    <row r="90" spans="2:14" x14ac:dyDescent="0.2">
      <c r="B90" s="217"/>
      <c r="D90" s="215"/>
      <c r="E90" s="215"/>
      <c r="F90" s="213"/>
      <c r="G90" s="215"/>
      <c r="H90" s="214"/>
      <c r="I90" s="213"/>
      <c r="J90" s="213"/>
      <c r="K90" s="213"/>
      <c r="L90" s="212"/>
      <c r="M90" s="211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17"/>
      <c r="D94" s="215"/>
      <c r="E94" s="215"/>
      <c r="F94" s="213"/>
      <c r="G94" s="215"/>
      <c r="H94" s="214"/>
      <c r="I94" s="213"/>
      <c r="J94" s="213"/>
      <c r="K94" s="213"/>
      <c r="L94" s="212"/>
      <c r="M94" s="211"/>
      <c r="N94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F102" s="213"/>
      <c r="H102" s="214"/>
      <c r="I102" s="213"/>
      <c r="J102" s="213"/>
      <c r="K102" s="213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F106" s="213"/>
      <c r="G106" s="213"/>
      <c r="H106" s="214"/>
      <c r="I106" s="213"/>
      <c r="J106" s="213"/>
      <c r="K106" s="213"/>
    </row>
    <row r="107" spans="2:14" x14ac:dyDescent="0.2">
      <c r="G107" s="213"/>
      <c r="H107" s="214"/>
      <c r="I107" s="213"/>
      <c r="J107" s="213"/>
      <c r="K107" s="213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17"/>
      <c r="C111" s="216"/>
      <c r="D111" s="215"/>
      <c r="E111" s="215"/>
      <c r="F111" s="213"/>
      <c r="G111" s="215"/>
      <c r="H111" s="213"/>
      <c r="I111" s="213"/>
      <c r="J111" s="213"/>
      <c r="K111" s="213"/>
      <c r="L111" s="212"/>
      <c r="M111" s="211"/>
      <c r="N111" s="210"/>
    </row>
    <row r="113" spans="2:14" x14ac:dyDescent="0.2">
      <c r="B113" s="226"/>
      <c r="C113" s="225"/>
      <c r="D113" s="223"/>
      <c r="E113" s="223"/>
      <c r="F113" s="224"/>
      <c r="G113" s="223"/>
      <c r="H113" s="222"/>
      <c r="I113" s="220"/>
      <c r="J113" s="221"/>
      <c r="K113" s="220"/>
      <c r="L113" s="219"/>
      <c r="M113" s="218"/>
      <c r="N113" s="210"/>
    </row>
    <row r="114" spans="2:14" x14ac:dyDescent="0.2">
      <c r="B114" s="217"/>
      <c r="C114" s="216"/>
      <c r="D114" s="215"/>
      <c r="E114" s="215"/>
      <c r="F114" s="213"/>
      <c r="G114" s="215"/>
      <c r="H114" s="214"/>
      <c r="I114" s="213"/>
      <c r="J114" s="213"/>
      <c r="K114" s="213"/>
      <c r="L114" s="212"/>
      <c r="M114" s="211"/>
      <c r="N114" s="210"/>
    </row>
    <row r="116" spans="2:14" x14ac:dyDescent="0.2">
      <c r="B116" s="226"/>
      <c r="C116" s="225"/>
      <c r="D116" s="223"/>
      <c r="E116" s="223"/>
      <c r="F116" s="224"/>
      <c r="G116" s="223"/>
      <c r="H116" s="222"/>
      <c r="I116" s="220"/>
      <c r="J116" s="221"/>
      <c r="K116" s="220"/>
      <c r="L116" s="219"/>
      <c r="M116" s="218"/>
      <c r="N116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17"/>
      <c r="C120" s="216"/>
      <c r="D120" s="215"/>
      <c r="E120" s="215"/>
      <c r="F120" s="213"/>
      <c r="G120" s="215"/>
      <c r="H120" s="214"/>
      <c r="I120" s="213"/>
      <c r="J120" s="213"/>
      <c r="K120" s="213"/>
      <c r="L120" s="212"/>
      <c r="M120" s="211"/>
      <c r="N120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17"/>
      <c r="C125" s="216"/>
      <c r="D125" s="215"/>
      <c r="E125" s="215"/>
      <c r="F125" s="213"/>
      <c r="G125" s="215"/>
      <c r="H125" s="214"/>
      <c r="I125" s="213"/>
      <c r="J125" s="213"/>
      <c r="K125" s="213"/>
      <c r="L125" s="212"/>
      <c r="M125" s="211"/>
      <c r="N125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17"/>
      <c r="C130" s="216"/>
      <c r="D130" s="215"/>
      <c r="E130" s="215"/>
      <c r="F130" s="213"/>
      <c r="G130" s="215"/>
      <c r="H130" s="213"/>
      <c r="I130" s="213"/>
      <c r="J130" s="213"/>
      <c r="K130" s="213"/>
      <c r="L130" s="212"/>
      <c r="M130" s="211"/>
      <c r="N130" s="210"/>
    </row>
    <row r="131" spans="2:14" x14ac:dyDescent="0.2">
      <c r="B131" s="217"/>
      <c r="C131" s="216"/>
      <c r="D131" s="215"/>
      <c r="E131" s="215"/>
      <c r="F131" s="213"/>
      <c r="G131" s="215"/>
      <c r="H131" s="214"/>
      <c r="I131" s="213"/>
      <c r="J131" s="213"/>
      <c r="K131" s="213"/>
      <c r="L131" s="212"/>
      <c r="M131" s="211"/>
      <c r="N131" s="210"/>
    </row>
    <row r="132" spans="2:14" x14ac:dyDescent="0.2">
      <c r="B132" s="226"/>
      <c r="C132" s="225"/>
      <c r="D132" s="223"/>
      <c r="E132" s="223"/>
      <c r="F132" s="224"/>
      <c r="G132" s="223"/>
      <c r="H132" s="222"/>
      <c r="I132" s="220"/>
      <c r="J132" s="221"/>
      <c r="K132" s="220"/>
      <c r="L132" s="219"/>
      <c r="M132" s="218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17"/>
      <c r="C141" s="216"/>
      <c r="D141" s="215"/>
      <c r="E141" s="215"/>
      <c r="F141" s="213"/>
      <c r="G141" s="215"/>
      <c r="H141" s="214"/>
      <c r="I141" s="213"/>
      <c r="J141" s="213"/>
      <c r="K141" s="213"/>
      <c r="L141" s="212"/>
      <c r="M141" s="211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4"/>
      <c r="I142" s="213"/>
      <c r="J142" s="213"/>
      <c r="K142" s="213"/>
      <c r="L142" s="212"/>
      <c r="M142" s="211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B144" s="217"/>
      <c r="C144" s="216"/>
      <c r="D144" s="215"/>
      <c r="E144" s="215"/>
      <c r="F144" s="213"/>
      <c r="G144" s="215"/>
      <c r="H144" s="214"/>
      <c r="I144" s="213"/>
      <c r="J144" s="213"/>
      <c r="K144" s="213"/>
      <c r="L144" s="212"/>
      <c r="M144" s="211"/>
      <c r="N144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17"/>
      <c r="C149" s="216"/>
      <c r="D149" s="215"/>
      <c r="E149" s="215"/>
      <c r="F149" s="213"/>
      <c r="G149" s="215"/>
      <c r="H149" s="214"/>
      <c r="I149" s="213"/>
      <c r="J149" s="213"/>
      <c r="K149" s="213"/>
      <c r="L149" s="212"/>
      <c r="M149" s="211"/>
      <c r="N149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17"/>
      <c r="C152" s="216"/>
      <c r="D152" s="215"/>
      <c r="E152" s="215"/>
      <c r="F152" s="213"/>
      <c r="G152" s="215"/>
      <c r="H152" s="214"/>
      <c r="I152" s="213"/>
      <c r="J152" s="213"/>
      <c r="K152" s="213"/>
      <c r="L152" s="212"/>
      <c r="M152" s="211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14"/>
      <c r="I161" s="213"/>
      <c r="J161" s="213"/>
      <c r="K161" s="213"/>
      <c r="L161" s="212"/>
      <c r="M161" s="211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14"/>
      <c r="I164" s="213"/>
      <c r="J164" s="213"/>
      <c r="K164" s="213"/>
      <c r="L164" s="212"/>
      <c r="M164" s="211"/>
      <c r="N164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F167" s="213"/>
      <c r="H167" s="212"/>
      <c r="I167" s="213"/>
      <c r="J167" s="213"/>
      <c r="K167" s="213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14"/>
      <c r="I171" s="213"/>
      <c r="J171" s="213"/>
      <c r="K171" s="213"/>
      <c r="L171" s="212"/>
      <c r="M171" s="236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4"/>
      <c r="I172" s="213"/>
      <c r="J172" s="213"/>
      <c r="K172" s="213"/>
      <c r="L172" s="212"/>
      <c r="M172" s="236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12"/>
      <c r="I174" s="213"/>
      <c r="J174" s="213"/>
      <c r="K174" s="213"/>
      <c r="L174" s="212"/>
      <c r="M174" s="236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4"/>
      <c r="I175" s="213"/>
      <c r="J175" s="213"/>
      <c r="K175" s="213"/>
      <c r="L175" s="212"/>
      <c r="M175" s="236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14"/>
      <c r="I189" s="213"/>
      <c r="J189" s="213"/>
      <c r="K189" s="213"/>
      <c r="L189" s="212"/>
      <c r="M189" s="211"/>
      <c r="N189" s="210"/>
    </row>
    <row r="190" spans="2:14" x14ac:dyDescent="0.2">
      <c r="B190" s="217"/>
      <c r="C190" s="216"/>
      <c r="D190" s="215"/>
      <c r="E190" s="215"/>
      <c r="F190" s="213"/>
      <c r="G190" s="215"/>
      <c r="H190" s="214"/>
      <c r="I190" s="227"/>
      <c r="J190" s="228"/>
      <c r="K190" s="227"/>
      <c r="L190" s="212"/>
      <c r="M190" s="211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13"/>
      <c r="J202" s="213"/>
      <c r="K202" s="213"/>
      <c r="L202" s="212"/>
      <c r="M202" s="236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36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17"/>
      <c r="C205" s="216"/>
      <c r="D205" s="215"/>
      <c r="E205" s="215"/>
      <c r="F205" s="213"/>
      <c r="G205" s="215"/>
      <c r="H205" s="214"/>
      <c r="I205" s="213"/>
      <c r="J205" s="213"/>
      <c r="K205" s="213"/>
      <c r="L205" s="212"/>
      <c r="M205" s="211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27"/>
      <c r="J206" s="228"/>
      <c r="K206" s="227"/>
      <c r="L206" s="212"/>
      <c r="M206" s="211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17"/>
      <c r="C211" s="216"/>
      <c r="D211" s="215"/>
      <c r="E211" s="215"/>
      <c r="F211" s="213"/>
      <c r="G211" s="215"/>
      <c r="H211" s="214"/>
      <c r="I211" s="213"/>
      <c r="J211" s="213"/>
      <c r="K211" s="213"/>
      <c r="L211" s="212"/>
      <c r="M211" s="236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4"/>
      <c r="I216" s="213"/>
      <c r="J216" s="213"/>
      <c r="K216" s="213"/>
      <c r="L216" s="212"/>
      <c r="M216" s="236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17"/>
      <c r="C219" s="216"/>
      <c r="D219" s="215"/>
      <c r="E219" s="215"/>
      <c r="F219" s="213"/>
      <c r="G219" s="215"/>
      <c r="H219" s="214"/>
      <c r="I219" s="213"/>
      <c r="J219" s="213"/>
      <c r="K219" s="213"/>
      <c r="L219" s="212"/>
      <c r="M219" s="236"/>
      <c r="N219" s="210"/>
    </row>
    <row r="220" spans="2:14" x14ac:dyDescent="0.2">
      <c r="B220" s="217"/>
      <c r="C220" s="216"/>
      <c r="D220" s="215"/>
      <c r="E220" s="215"/>
      <c r="F220" s="213"/>
      <c r="G220" s="215"/>
      <c r="H220" s="214"/>
      <c r="I220" s="213"/>
      <c r="J220" s="213"/>
      <c r="K220" s="213"/>
      <c r="L220" s="212"/>
      <c r="M220" s="236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17"/>
      <c r="C223" s="216"/>
      <c r="D223" s="215"/>
      <c r="E223" s="215"/>
      <c r="F223" s="213"/>
      <c r="G223" s="215"/>
      <c r="H223" s="214"/>
      <c r="I223" s="213"/>
      <c r="J223" s="213"/>
      <c r="K223" s="213"/>
      <c r="L223" s="212"/>
      <c r="M223" s="211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27"/>
      <c r="J224" s="228"/>
      <c r="K224" s="227"/>
      <c r="L224" s="212"/>
      <c r="M224" s="236"/>
      <c r="N224" s="210"/>
    </row>
    <row r="225" spans="2:14" x14ac:dyDescent="0.2">
      <c r="B225" s="217"/>
      <c r="C225" s="216"/>
      <c r="D225" s="215"/>
      <c r="E225" s="215"/>
      <c r="F225" s="213"/>
      <c r="G225" s="215"/>
      <c r="H225" s="235"/>
      <c r="I225" s="213"/>
      <c r="J225" s="213"/>
      <c r="K225" s="213"/>
      <c r="L225" s="212"/>
      <c r="M225" s="211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11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35"/>
      <c r="I229" s="213"/>
      <c r="J229" s="213"/>
      <c r="K229" s="213"/>
      <c r="L229" s="212"/>
      <c r="M229" s="211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34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33"/>
      <c r="I231" s="213"/>
      <c r="J231" s="213"/>
      <c r="K231" s="213"/>
      <c r="L231" s="212"/>
      <c r="M231" s="211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31"/>
      <c r="I232" s="213"/>
      <c r="J232" s="213"/>
      <c r="K232" s="213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32"/>
      <c r="I233" s="220"/>
      <c r="J233" s="221"/>
      <c r="K233" s="220"/>
      <c r="L233" s="219"/>
      <c r="M233" s="218"/>
      <c r="N233" s="210"/>
    </row>
    <row r="234" spans="2:14" x14ac:dyDescent="0.2">
      <c r="B234" s="217"/>
      <c r="C234" s="216"/>
      <c r="D234" s="215"/>
      <c r="E234" s="215"/>
      <c r="F234" s="213"/>
      <c r="G234" s="215"/>
      <c r="H234" s="231"/>
      <c r="I234" s="213"/>
      <c r="J234" s="213"/>
      <c r="K234" s="213"/>
      <c r="L234" s="212"/>
      <c r="M234" s="211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31"/>
      <c r="I235" s="213"/>
      <c r="J235" s="213"/>
      <c r="K235" s="213"/>
      <c r="L235" s="212"/>
      <c r="M235" s="211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30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30"/>
      <c r="I237" s="220"/>
      <c r="J237" s="221"/>
      <c r="K237" s="220"/>
      <c r="L237" s="219"/>
      <c r="M237" s="218"/>
      <c r="N237" s="210"/>
    </row>
    <row r="238" spans="2:14" x14ac:dyDescent="0.2">
      <c r="B238" s="217"/>
      <c r="C238" s="216"/>
      <c r="D238" s="215"/>
      <c r="E238" s="215"/>
      <c r="F238" s="213"/>
      <c r="G238" s="215"/>
      <c r="H238" s="229"/>
      <c r="I238" s="213"/>
      <c r="J238" s="213"/>
      <c r="K238" s="213"/>
      <c r="L238" s="212"/>
      <c r="M238" s="211"/>
      <c r="N238" s="210"/>
    </row>
    <row r="239" spans="2:14" x14ac:dyDescent="0.2">
      <c r="B239" s="217"/>
      <c r="C239" s="216"/>
      <c r="D239" s="215"/>
      <c r="E239" s="215"/>
      <c r="F239" s="213"/>
      <c r="G239" s="215"/>
      <c r="H239" s="214"/>
      <c r="I239" s="227"/>
      <c r="J239" s="228"/>
      <c r="K239" s="227"/>
      <c r="L239" s="212"/>
      <c r="M239" s="211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14"/>
      <c r="I244" s="213"/>
      <c r="J244" s="213"/>
      <c r="K244" s="213"/>
      <c r="L244" s="212"/>
      <c r="M244" s="211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27"/>
      <c r="J245" s="228"/>
      <c r="K245" s="227"/>
      <c r="L245" s="212"/>
      <c r="M245" s="211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4"/>
      <c r="J261" s="224"/>
      <c r="K261" s="224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4"/>
      <c r="J262" s="224"/>
      <c r="K262" s="224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17"/>
      <c r="C264" s="216"/>
      <c r="D264" s="215"/>
      <c r="E264" s="215"/>
      <c r="F264" s="213"/>
      <c r="G264" s="215"/>
      <c r="H264" s="214"/>
      <c r="I264" s="213"/>
      <c r="J264" s="213"/>
      <c r="K264" s="213"/>
      <c r="L264" s="212"/>
      <c r="M264" s="211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14"/>
      <c r="I272" s="213"/>
      <c r="J272" s="213"/>
      <c r="K272" s="213"/>
      <c r="L272" s="212"/>
      <c r="M272" s="211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14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25"/>
      <c r="D274" s="223"/>
      <c r="E274" s="223"/>
      <c r="F274" s="224"/>
      <c r="G274" s="223"/>
      <c r="H274" s="222"/>
      <c r="I274" s="220"/>
      <c r="J274" s="221"/>
      <c r="K274" s="220"/>
      <c r="L274" s="219"/>
      <c r="M274" s="218"/>
      <c r="N274" s="210"/>
    </row>
    <row r="275" spans="2:14" x14ac:dyDescent="0.2">
      <c r="B275" s="217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14"/>
      <c r="I278" s="213"/>
      <c r="J278" s="213"/>
      <c r="K278" s="213"/>
      <c r="L278" s="212"/>
      <c r="M278" s="211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17"/>
      <c r="C281" s="216"/>
      <c r="D281" s="215"/>
      <c r="E281" s="215"/>
      <c r="F281" s="213"/>
      <c r="G281" s="215"/>
      <c r="H281" s="214"/>
      <c r="I281" s="213"/>
      <c r="J281" s="213"/>
      <c r="K281" s="213"/>
      <c r="L281" s="212"/>
      <c r="M281" s="211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26"/>
      <c r="C285" s="225"/>
      <c r="D285" s="223"/>
      <c r="E285" s="223"/>
      <c r="F285" s="224"/>
      <c r="G285" s="223"/>
      <c r="H285" s="222"/>
      <c r="I285" s="220"/>
      <c r="J285" s="221"/>
      <c r="K285" s="220"/>
      <c r="L285" s="219"/>
      <c r="M285" s="218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16"/>
      <c r="D288" s="215"/>
      <c r="E288" s="215"/>
      <c r="F288" s="213"/>
      <c r="G288" s="215"/>
      <c r="H288" s="214"/>
      <c r="I288" s="213"/>
      <c r="J288" s="213"/>
      <c r="K288" s="213"/>
      <c r="L288" s="212"/>
      <c r="M288" s="211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17"/>
      <c r="C295" s="216"/>
      <c r="D295" s="215"/>
      <c r="E295" s="215"/>
      <c r="F295" s="213"/>
      <c r="G295" s="215"/>
      <c r="H295" s="214"/>
      <c r="I295" s="213"/>
      <c r="J295" s="213"/>
      <c r="K295" s="213"/>
      <c r="L295" s="212"/>
      <c r="M295" s="211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17"/>
      <c r="C298" s="216"/>
      <c r="D298" s="215"/>
      <c r="E298" s="215"/>
      <c r="F298" s="213"/>
      <c r="G298" s="215"/>
      <c r="H298" s="214"/>
      <c r="I298" s="213"/>
      <c r="J298" s="213"/>
      <c r="K298" s="213"/>
      <c r="L298" s="212"/>
      <c r="M298" s="211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17"/>
      <c r="C301" s="216"/>
      <c r="D301" s="215"/>
      <c r="E301" s="215"/>
      <c r="F301" s="213"/>
      <c r="G301" s="215"/>
      <c r="H301" s="214"/>
      <c r="I301" s="213"/>
      <c r="J301" s="213"/>
      <c r="K301" s="213"/>
      <c r="L301" s="212"/>
      <c r="M301" s="211"/>
      <c r="N301" s="210"/>
    </row>
    <row r="302" spans="2:14" x14ac:dyDescent="0.2">
      <c r="B302" s="217"/>
      <c r="C302" s="216"/>
      <c r="D302" s="215"/>
      <c r="E302" s="215"/>
      <c r="F302" s="213"/>
      <c r="G302" s="215"/>
      <c r="H302" s="214"/>
      <c r="I302" s="227"/>
      <c r="J302" s="228"/>
      <c r="K302" s="227"/>
      <c r="L302" s="212"/>
      <c r="M302" s="211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17"/>
      <c r="C304" s="216"/>
      <c r="D304" s="215"/>
      <c r="E304" s="215"/>
      <c r="F304" s="213"/>
      <c r="G304" s="215"/>
      <c r="H304" s="214"/>
      <c r="I304" s="213"/>
      <c r="J304" s="213"/>
      <c r="K304" s="213"/>
      <c r="L304" s="212"/>
      <c r="M304" s="211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27"/>
      <c r="J305" s="228"/>
      <c r="K305" s="227"/>
      <c r="L305" s="212"/>
      <c r="M305" s="211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27"/>
      <c r="J311" s="228"/>
      <c r="K311" s="227"/>
      <c r="L311" s="212"/>
      <c r="M311" s="211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17"/>
      <c r="C315" s="216"/>
      <c r="D315" s="215"/>
      <c r="E315" s="215"/>
      <c r="F315" s="213"/>
      <c r="G315" s="215"/>
      <c r="H315" s="214"/>
      <c r="I315" s="213"/>
      <c r="J315" s="213"/>
      <c r="K315" s="213"/>
      <c r="L315" s="212"/>
      <c r="M315" s="211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27"/>
      <c r="J316" s="228"/>
      <c r="K316" s="227"/>
      <c r="L316" s="212"/>
      <c r="M316" s="211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16"/>
      <c r="D318" s="215"/>
      <c r="E318" s="215"/>
      <c r="F318" s="213"/>
      <c r="G318" s="215"/>
      <c r="H318" s="214"/>
      <c r="I318" s="213"/>
      <c r="J318" s="213"/>
      <c r="K318" s="213"/>
      <c r="L318" s="212"/>
      <c r="M318" s="211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27"/>
      <c r="J319" s="228"/>
      <c r="K319" s="227"/>
      <c r="L319" s="212"/>
      <c r="M319" s="211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17"/>
      <c r="C321" s="216"/>
      <c r="D321" s="215"/>
      <c r="E321" s="215"/>
      <c r="F321" s="213"/>
      <c r="G321" s="215"/>
      <c r="H321" s="214"/>
      <c r="I321" s="213"/>
      <c r="J321" s="213"/>
      <c r="K321" s="213"/>
      <c r="L321" s="212"/>
      <c r="M321" s="211"/>
      <c r="N321" s="210"/>
    </row>
    <row r="322" spans="2:14" x14ac:dyDescent="0.2">
      <c r="B322" s="156"/>
      <c r="C322" s="156"/>
      <c r="D322" s="156"/>
      <c r="E322" s="102"/>
      <c r="F322" s="102"/>
      <c r="G322" s="156"/>
      <c r="H322" s="156"/>
      <c r="I322" s="156"/>
      <c r="J322" s="156"/>
      <c r="K322" s="156"/>
      <c r="L322" s="102"/>
      <c r="M322" s="156"/>
      <c r="N322" s="156"/>
    </row>
    <row r="323" spans="2:14" x14ac:dyDescent="0.2">
      <c r="H323" s="151"/>
    </row>
    <row r="324" spans="2:14" x14ac:dyDescent="0.2">
      <c r="H324" s="151"/>
    </row>
    <row r="326" spans="2:14" x14ac:dyDescent="0.2">
      <c r="H326" s="151"/>
    </row>
    <row r="327" spans="2:14" x14ac:dyDescent="0.2">
      <c r="H327" s="151"/>
    </row>
    <row r="328" spans="2:14" x14ac:dyDescent="0.2">
      <c r="E328" s="32"/>
      <c r="F328" s="32"/>
      <c r="L328" s="155"/>
    </row>
    <row r="329" spans="2:14" x14ac:dyDescent="0.2">
      <c r="E329" s="32"/>
      <c r="F329" s="32"/>
      <c r="L329" s="155"/>
    </row>
    <row r="330" spans="2:14" x14ac:dyDescent="0.2">
      <c r="E330" s="32"/>
      <c r="F330" s="32"/>
      <c r="L330" s="154"/>
    </row>
    <row r="332" spans="2:14" x14ac:dyDescent="0.2">
      <c r="E332" s="32"/>
      <c r="F332" s="32"/>
      <c r="L332" s="209"/>
    </row>
    <row r="336" spans="2:14" x14ac:dyDescent="0.2">
      <c r="E336" s="32"/>
      <c r="F336" s="32"/>
      <c r="G336" s="151"/>
      <c r="L336" s="32"/>
    </row>
    <row r="337" spans="5:12" x14ac:dyDescent="0.2">
      <c r="E337" s="32"/>
      <c r="F337" s="32"/>
      <c r="G337" s="152"/>
      <c r="L337" s="32"/>
    </row>
    <row r="340" spans="5:12" x14ac:dyDescent="0.2">
      <c r="E340" s="32"/>
      <c r="F340" s="32"/>
      <c r="G340" s="151"/>
      <c r="L340" s="32"/>
    </row>
  </sheetData>
  <sortState ref="A4:Y11">
    <sortCondition descending="1" ref="I4:I11"/>
  </sortState>
  <mergeCells count="1">
    <mergeCell ref="T22:U24"/>
  </mergeCells>
  <conditionalFormatting sqref="E171:E172 E219:E220 E212 E202:E203 E174:E175 E215:E216 E223:E225">
    <cfRule type="containsText" dxfId="11580" priority="1226" operator="containsText" text="Buy">
      <formula>NOT(ISERROR(SEARCH("Buy",E171)))</formula>
    </cfRule>
    <cfRule type="containsText" dxfId="11579" priority="1227" operator="containsText" text="Sell">
      <formula>NOT(ISERROR(SEARCH("Sell",E171)))</formula>
    </cfRule>
  </conditionalFormatting>
  <conditionalFormatting sqref="E244:E245 E234:E235 E239">
    <cfRule type="containsText" dxfId="11578" priority="1224" operator="containsText" text="Buy">
      <formula>NOT(ISERROR(SEARCH("Buy",E234)))</formula>
    </cfRule>
    <cfRule type="containsText" dxfId="11577" priority="1225" operator="containsText" text="Sell">
      <formula>NOT(ISERROR(SEARCH("Sell",E234)))</formula>
    </cfRule>
  </conditionalFormatting>
  <conditionalFormatting sqref="E260:E262 E319 E316 E311 E305 E302 E299 E296 E289 E285 E279 E269">
    <cfRule type="containsText" dxfId="11576" priority="1222" operator="containsText" text="Buy">
      <formula>NOT(ISERROR(SEARCH("Buy",E260)))</formula>
    </cfRule>
    <cfRule type="containsText" dxfId="11575" priority="1223" operator="containsText" text="Sell">
      <formula>NOT(ISERROR(SEARCH("Sell",E260)))</formula>
    </cfRule>
  </conditionalFormatting>
  <conditionalFormatting sqref="E259">
    <cfRule type="containsText" dxfId="11574" priority="1220" operator="containsText" text="Buy">
      <formula>NOT(ISERROR(SEARCH("Buy",E259)))</formula>
    </cfRule>
    <cfRule type="containsText" dxfId="11573" priority="1221" operator="containsText" text="Sell">
      <formula>NOT(ISERROR(SEARCH("Sell",E259)))</formula>
    </cfRule>
  </conditionalFormatting>
  <conditionalFormatting sqref="E258">
    <cfRule type="containsText" dxfId="11572" priority="1218" operator="containsText" text="Buy">
      <formula>NOT(ISERROR(SEARCH("Buy",E258)))</formula>
    </cfRule>
    <cfRule type="containsText" dxfId="11571" priority="1219" operator="containsText" text="Sell">
      <formula>NOT(ISERROR(SEARCH("Sell",E258)))</formula>
    </cfRule>
  </conditionalFormatting>
  <conditionalFormatting sqref="E257">
    <cfRule type="containsText" dxfId="11570" priority="1216" operator="containsText" text="Buy">
      <formula>NOT(ISERROR(SEARCH("Buy",E257)))</formula>
    </cfRule>
    <cfRule type="containsText" dxfId="11569" priority="1217" operator="containsText" text="Sell">
      <formula>NOT(ISERROR(SEARCH("Sell",E257)))</formula>
    </cfRule>
  </conditionalFormatting>
  <conditionalFormatting sqref="E170">
    <cfRule type="containsText" dxfId="11568" priority="1214" operator="containsText" text="Buy">
      <formula>NOT(ISERROR(SEARCH("Buy",E170)))</formula>
    </cfRule>
    <cfRule type="containsText" dxfId="11567" priority="1215" operator="containsText" text="Sell">
      <formula>NOT(ISERROR(SEARCH("Sell",E170)))</formula>
    </cfRule>
  </conditionalFormatting>
  <conditionalFormatting sqref="E169">
    <cfRule type="containsText" dxfId="11566" priority="1212" operator="containsText" text="Buy">
      <formula>NOT(ISERROR(SEARCH("Buy",E169)))</formula>
    </cfRule>
    <cfRule type="containsText" dxfId="11565" priority="1213" operator="containsText" text="Sell">
      <formula>NOT(ISERROR(SEARCH("Sell",E169)))</formula>
    </cfRule>
  </conditionalFormatting>
  <conditionalFormatting sqref="E218">
    <cfRule type="containsText" dxfId="11564" priority="1210" operator="containsText" text="Buy">
      <formula>NOT(ISERROR(SEARCH("Buy",E218)))</formula>
    </cfRule>
    <cfRule type="containsText" dxfId="11563" priority="1211" operator="containsText" text="Sell">
      <formula>NOT(ISERROR(SEARCH("Sell",E218)))</formula>
    </cfRule>
  </conditionalFormatting>
  <conditionalFormatting sqref="E217">
    <cfRule type="containsText" dxfId="11562" priority="1208" operator="containsText" text="Buy">
      <formula>NOT(ISERROR(SEARCH("Buy",E217)))</formula>
    </cfRule>
    <cfRule type="containsText" dxfId="11561" priority="1209" operator="containsText" text="Sell">
      <formula>NOT(ISERROR(SEARCH("Sell",E217)))</formula>
    </cfRule>
  </conditionalFormatting>
  <conditionalFormatting sqref="E204:E206">
    <cfRule type="containsText" dxfId="11560" priority="1206" operator="containsText" text="Buy">
      <formula>NOT(ISERROR(SEARCH("Buy",E204)))</formula>
    </cfRule>
    <cfRule type="containsText" dxfId="11559" priority="1207" operator="containsText" text="Sell">
      <formula>NOT(ISERROR(SEARCH("Sell",E204)))</formula>
    </cfRule>
  </conditionalFormatting>
  <conditionalFormatting sqref="E201">
    <cfRule type="containsText" dxfId="11558" priority="1204" operator="containsText" text="Buy">
      <formula>NOT(ISERROR(SEARCH("Buy",E201)))</formula>
    </cfRule>
    <cfRule type="containsText" dxfId="11557" priority="1205" operator="containsText" text="Sell">
      <formula>NOT(ISERROR(SEARCH("Sell",E201)))</formula>
    </cfRule>
  </conditionalFormatting>
  <conditionalFormatting sqref="E200">
    <cfRule type="containsText" dxfId="11556" priority="1202" operator="containsText" text="Buy">
      <formula>NOT(ISERROR(SEARCH("Buy",E200)))</formula>
    </cfRule>
    <cfRule type="containsText" dxfId="11555" priority="1203" operator="containsText" text="Sell">
      <formula>NOT(ISERROR(SEARCH("Sell",E200)))</formula>
    </cfRule>
  </conditionalFormatting>
  <conditionalFormatting sqref="E199">
    <cfRule type="containsText" dxfId="11554" priority="1200" operator="containsText" text="Buy">
      <formula>NOT(ISERROR(SEARCH("Buy",E199)))</formula>
    </cfRule>
    <cfRule type="containsText" dxfId="11553" priority="1201" operator="containsText" text="Sell">
      <formula>NOT(ISERROR(SEARCH("Sell",E199)))</formula>
    </cfRule>
  </conditionalFormatting>
  <conditionalFormatting sqref="E198">
    <cfRule type="containsText" dxfId="11552" priority="1198" operator="containsText" text="Buy">
      <formula>NOT(ISERROR(SEARCH("Buy",E198)))</formula>
    </cfRule>
    <cfRule type="containsText" dxfId="11551" priority="1199" operator="containsText" text="Sell">
      <formula>NOT(ISERROR(SEARCH("Sell",E198)))</formula>
    </cfRule>
  </conditionalFormatting>
  <conditionalFormatting sqref="E197">
    <cfRule type="containsText" dxfId="11550" priority="1196" operator="containsText" text="Buy">
      <formula>NOT(ISERROR(SEARCH("Buy",E197)))</formula>
    </cfRule>
    <cfRule type="containsText" dxfId="11549" priority="1197" operator="containsText" text="Sell">
      <formula>NOT(ISERROR(SEARCH("Sell",E197)))</formula>
    </cfRule>
  </conditionalFormatting>
  <conditionalFormatting sqref="E196">
    <cfRule type="containsText" dxfId="11548" priority="1194" operator="containsText" text="Buy">
      <formula>NOT(ISERROR(SEARCH("Buy",E196)))</formula>
    </cfRule>
    <cfRule type="containsText" dxfId="11547" priority="1195" operator="containsText" text="Sell">
      <formula>NOT(ISERROR(SEARCH("Sell",E196)))</formula>
    </cfRule>
  </conditionalFormatting>
  <conditionalFormatting sqref="E195">
    <cfRule type="containsText" dxfId="11546" priority="1192" operator="containsText" text="Buy">
      <formula>NOT(ISERROR(SEARCH("Buy",E195)))</formula>
    </cfRule>
    <cfRule type="containsText" dxfId="11545" priority="1193" operator="containsText" text="Sell">
      <formula>NOT(ISERROR(SEARCH("Sell",E195)))</formula>
    </cfRule>
  </conditionalFormatting>
  <conditionalFormatting sqref="E188:E190">
    <cfRule type="containsText" dxfId="11544" priority="1190" operator="containsText" text="Buy">
      <formula>NOT(ISERROR(SEARCH("Buy",E188)))</formula>
    </cfRule>
    <cfRule type="containsText" dxfId="11543" priority="1191" operator="containsText" text="Sell">
      <formula>NOT(ISERROR(SEARCH("Sell",E188)))</formula>
    </cfRule>
  </conditionalFormatting>
  <conditionalFormatting sqref="E187">
    <cfRule type="containsText" dxfId="11542" priority="1188" operator="containsText" text="Buy">
      <formula>NOT(ISERROR(SEARCH("Buy",E187)))</formula>
    </cfRule>
    <cfRule type="containsText" dxfId="11541" priority="1189" operator="containsText" text="Sell">
      <formula>NOT(ISERROR(SEARCH("Sell",E187)))</formula>
    </cfRule>
  </conditionalFormatting>
  <conditionalFormatting sqref="E186">
    <cfRule type="containsText" dxfId="11540" priority="1186" operator="containsText" text="Buy">
      <formula>NOT(ISERROR(SEARCH("Buy",E186)))</formula>
    </cfRule>
    <cfRule type="containsText" dxfId="11539" priority="1187" operator="containsText" text="Sell">
      <formula>NOT(ISERROR(SEARCH("Sell",E186)))</formula>
    </cfRule>
  </conditionalFormatting>
  <conditionalFormatting sqref="E185">
    <cfRule type="containsText" dxfId="11538" priority="1184" operator="containsText" text="Buy">
      <formula>NOT(ISERROR(SEARCH("Buy",E185)))</formula>
    </cfRule>
    <cfRule type="containsText" dxfId="11537" priority="1185" operator="containsText" text="Sell">
      <formula>NOT(ISERROR(SEARCH("Sell",E185)))</formula>
    </cfRule>
  </conditionalFormatting>
  <conditionalFormatting sqref="E184">
    <cfRule type="containsText" dxfId="11536" priority="1182" operator="containsText" text="Buy">
      <formula>NOT(ISERROR(SEARCH("Buy",E184)))</formula>
    </cfRule>
    <cfRule type="containsText" dxfId="11535" priority="1183" operator="containsText" text="Sell">
      <formula>NOT(ISERROR(SEARCH("Sell",E184)))</formula>
    </cfRule>
  </conditionalFormatting>
  <conditionalFormatting sqref="E183">
    <cfRule type="containsText" dxfId="11534" priority="1180" operator="containsText" text="Buy">
      <formula>NOT(ISERROR(SEARCH("Buy",E183)))</formula>
    </cfRule>
    <cfRule type="containsText" dxfId="11533" priority="1181" operator="containsText" text="Sell">
      <formula>NOT(ISERROR(SEARCH("Sell",E183)))</formula>
    </cfRule>
  </conditionalFormatting>
  <conditionalFormatting sqref="E182">
    <cfRule type="containsText" dxfId="11532" priority="1178" operator="containsText" text="Buy">
      <formula>NOT(ISERROR(SEARCH("Buy",E182)))</formula>
    </cfRule>
    <cfRule type="containsText" dxfId="11531" priority="1179" operator="containsText" text="Sell">
      <formula>NOT(ISERROR(SEARCH("Sell",E182)))</formula>
    </cfRule>
  </conditionalFormatting>
  <conditionalFormatting sqref="E181">
    <cfRule type="containsText" dxfId="11530" priority="1176" operator="containsText" text="Buy">
      <formula>NOT(ISERROR(SEARCH("Buy",E181)))</formula>
    </cfRule>
    <cfRule type="containsText" dxfId="11529" priority="1177" operator="containsText" text="Sell">
      <formula>NOT(ISERROR(SEARCH("Sell",E181)))</formula>
    </cfRule>
  </conditionalFormatting>
  <conditionalFormatting sqref="E180">
    <cfRule type="containsText" dxfId="11528" priority="1174" operator="containsText" text="Buy">
      <formula>NOT(ISERROR(SEARCH("Buy",E180)))</formula>
    </cfRule>
    <cfRule type="containsText" dxfId="11527" priority="1175" operator="containsText" text="Sell">
      <formula>NOT(ISERROR(SEARCH("Sell",E180)))</formula>
    </cfRule>
  </conditionalFormatting>
  <conditionalFormatting sqref="E179">
    <cfRule type="containsText" dxfId="11526" priority="1172" operator="containsText" text="Buy">
      <formula>NOT(ISERROR(SEARCH("Buy",E179)))</formula>
    </cfRule>
    <cfRule type="containsText" dxfId="11525" priority="1173" operator="containsText" text="Sell">
      <formula>NOT(ISERROR(SEARCH("Sell",E179)))</formula>
    </cfRule>
  </conditionalFormatting>
  <conditionalFormatting sqref="E178">
    <cfRule type="containsText" dxfId="11524" priority="1170" operator="containsText" text="Buy">
      <formula>NOT(ISERROR(SEARCH("Buy",E178)))</formula>
    </cfRule>
    <cfRule type="containsText" dxfId="11523" priority="1171" operator="containsText" text="Sell">
      <formula>NOT(ISERROR(SEARCH("Sell",E178)))</formula>
    </cfRule>
  </conditionalFormatting>
  <conditionalFormatting sqref="E177">
    <cfRule type="containsText" dxfId="11522" priority="1168" operator="containsText" text="Buy">
      <formula>NOT(ISERROR(SEARCH("Buy",E177)))</formula>
    </cfRule>
    <cfRule type="containsText" dxfId="11521" priority="1169" operator="containsText" text="Sell">
      <formula>NOT(ISERROR(SEARCH("Sell",E177)))</formula>
    </cfRule>
  </conditionalFormatting>
  <conditionalFormatting sqref="E173">
    <cfRule type="containsText" dxfId="11520" priority="1166" operator="containsText" text="Buy">
      <formula>NOT(ISERROR(SEARCH("Buy",E173)))</formula>
    </cfRule>
    <cfRule type="containsText" dxfId="11519" priority="1167" operator="containsText" text="Sell">
      <formula>NOT(ISERROR(SEARCH("Sell",E173)))</formula>
    </cfRule>
  </conditionalFormatting>
  <conditionalFormatting sqref="E233">
    <cfRule type="containsText" dxfId="11518" priority="1164" operator="containsText" text="Buy">
      <formula>NOT(ISERROR(SEARCH("Buy",E233)))</formula>
    </cfRule>
    <cfRule type="containsText" dxfId="11517" priority="1165" operator="containsText" text="Sell">
      <formula>NOT(ISERROR(SEARCH("Sell",E233)))</formula>
    </cfRule>
  </conditionalFormatting>
  <conditionalFormatting sqref="E232 E229">
    <cfRule type="containsText" dxfId="11516" priority="1162" operator="containsText" text="Buy">
      <formula>NOT(ISERROR(SEARCH("Buy",E229)))</formula>
    </cfRule>
    <cfRule type="containsText" dxfId="11515" priority="1163" operator="containsText" text="Sell">
      <formula>NOT(ISERROR(SEARCH("Sell",E229)))</formula>
    </cfRule>
  </conditionalFormatting>
  <conditionalFormatting sqref="E238">
    <cfRule type="containsText" dxfId="11514" priority="1160" operator="containsText" text="Buy">
      <formula>NOT(ISERROR(SEARCH("Buy",E238)))</formula>
    </cfRule>
    <cfRule type="containsText" dxfId="11513" priority="1161" operator="containsText" text="Sell">
      <formula>NOT(ISERROR(SEARCH("Sell",E238)))</formula>
    </cfRule>
  </conditionalFormatting>
  <conditionalFormatting sqref="E320:E321">
    <cfRule type="containsText" dxfId="11512" priority="1158" operator="containsText" text="Buy">
      <formula>NOT(ISERROR(SEARCH("Buy",E320)))</formula>
    </cfRule>
    <cfRule type="containsText" dxfId="11511" priority="1159" operator="containsText" text="Sell">
      <formula>NOT(ISERROR(SEARCH("Sell",E320)))</formula>
    </cfRule>
  </conditionalFormatting>
  <conditionalFormatting sqref="E231">
    <cfRule type="containsText" dxfId="11510" priority="1156" operator="containsText" text="Buy">
      <formula>NOT(ISERROR(SEARCH("Buy",E231)))</formula>
    </cfRule>
    <cfRule type="containsText" dxfId="11509" priority="1157" operator="containsText" text="Sell">
      <formula>NOT(ISERROR(SEARCH("Sell",E231)))</formula>
    </cfRule>
  </conditionalFormatting>
  <conditionalFormatting sqref="E228">
    <cfRule type="containsText" dxfId="11508" priority="1154" operator="containsText" text="Buy">
      <formula>NOT(ISERROR(SEARCH("Buy",E228)))</formula>
    </cfRule>
    <cfRule type="containsText" dxfId="11507" priority="1155" operator="containsText" text="Sell">
      <formula>NOT(ISERROR(SEARCH("Sell",E228)))</formula>
    </cfRule>
  </conditionalFormatting>
  <conditionalFormatting sqref="E227">
    <cfRule type="containsText" dxfId="11506" priority="1152" operator="containsText" text="Buy">
      <formula>NOT(ISERROR(SEARCH("Buy",E227)))</formula>
    </cfRule>
    <cfRule type="containsText" dxfId="11505" priority="1153" operator="containsText" text="Sell">
      <formula>NOT(ISERROR(SEARCH("Sell",E227)))</formula>
    </cfRule>
  </conditionalFormatting>
  <conditionalFormatting sqref="E214">
    <cfRule type="containsText" dxfId="11504" priority="1150" operator="containsText" text="Buy">
      <formula>NOT(ISERROR(SEARCH("Buy",E214)))</formula>
    </cfRule>
    <cfRule type="containsText" dxfId="11503" priority="1151" operator="containsText" text="Sell">
      <formula>NOT(ISERROR(SEARCH("Sell",E214)))</formula>
    </cfRule>
  </conditionalFormatting>
  <conditionalFormatting sqref="E151:E154 E164 E161:E162">
    <cfRule type="containsText" dxfId="11502" priority="1148" operator="containsText" text="Buy">
      <formula>NOT(ISERROR(SEARCH("Buy",E151)))</formula>
    </cfRule>
    <cfRule type="containsText" dxfId="11501" priority="1149" operator="containsText" text="Sell">
      <formula>NOT(ISERROR(SEARCH("Sell",E151)))</formula>
    </cfRule>
  </conditionalFormatting>
  <conditionalFormatting sqref="E317:E318">
    <cfRule type="containsText" dxfId="11500" priority="1146" operator="containsText" text="Buy">
      <formula>NOT(ISERROR(SEARCH("Buy",E317)))</formula>
    </cfRule>
    <cfRule type="containsText" dxfId="11499" priority="1147" operator="containsText" text="Sell">
      <formula>NOT(ISERROR(SEARCH("Sell",E317)))</formula>
    </cfRule>
  </conditionalFormatting>
  <conditionalFormatting sqref="E314:E315">
    <cfRule type="containsText" dxfId="11498" priority="1144" operator="containsText" text="Buy">
      <formula>NOT(ISERROR(SEARCH("Buy",E314)))</formula>
    </cfRule>
    <cfRule type="containsText" dxfId="11497" priority="1145" operator="containsText" text="Sell">
      <formula>NOT(ISERROR(SEARCH("Sell",E314)))</formula>
    </cfRule>
  </conditionalFormatting>
  <conditionalFormatting sqref="E312:E313">
    <cfRule type="containsText" dxfId="11496" priority="1142" operator="containsText" text="Buy">
      <formula>NOT(ISERROR(SEARCH("Buy",E312)))</formula>
    </cfRule>
    <cfRule type="containsText" dxfId="11495" priority="1143" operator="containsText" text="Sell">
      <formula>NOT(ISERROR(SEARCH("Sell",E312)))</formula>
    </cfRule>
  </conditionalFormatting>
  <conditionalFormatting sqref="E309:E310">
    <cfRule type="containsText" dxfId="11494" priority="1140" operator="containsText" text="Buy">
      <formula>NOT(ISERROR(SEARCH("Buy",E309)))</formula>
    </cfRule>
    <cfRule type="containsText" dxfId="11493" priority="1141" operator="containsText" text="Sell">
      <formula>NOT(ISERROR(SEARCH("Sell",E309)))</formula>
    </cfRule>
  </conditionalFormatting>
  <conditionalFormatting sqref="E306:E308">
    <cfRule type="containsText" dxfId="11492" priority="1138" operator="containsText" text="Buy">
      <formula>NOT(ISERROR(SEARCH("Buy",E306)))</formula>
    </cfRule>
    <cfRule type="containsText" dxfId="11491" priority="1139" operator="containsText" text="Sell">
      <formula>NOT(ISERROR(SEARCH("Sell",E306)))</formula>
    </cfRule>
  </conditionalFormatting>
  <conditionalFormatting sqref="E303:E304">
    <cfRule type="containsText" dxfId="11490" priority="1136" operator="containsText" text="Buy">
      <formula>NOT(ISERROR(SEARCH("Buy",E303)))</formula>
    </cfRule>
    <cfRule type="containsText" dxfId="11489" priority="1137" operator="containsText" text="Sell">
      <formula>NOT(ISERROR(SEARCH("Sell",E303)))</formula>
    </cfRule>
  </conditionalFormatting>
  <conditionalFormatting sqref="E300:E301">
    <cfRule type="containsText" dxfId="11488" priority="1134" operator="containsText" text="Buy">
      <formula>NOT(ISERROR(SEARCH("Buy",E300)))</formula>
    </cfRule>
    <cfRule type="containsText" dxfId="11487" priority="1135" operator="containsText" text="Sell">
      <formula>NOT(ISERROR(SEARCH("Sell",E300)))</formula>
    </cfRule>
  </conditionalFormatting>
  <conditionalFormatting sqref="E297:E298">
    <cfRule type="containsText" dxfId="11486" priority="1132" operator="containsText" text="Buy">
      <formula>NOT(ISERROR(SEARCH("Buy",E297)))</formula>
    </cfRule>
    <cfRule type="containsText" dxfId="11485" priority="1133" operator="containsText" text="Sell">
      <formula>NOT(ISERROR(SEARCH("Sell",E297)))</formula>
    </cfRule>
  </conditionalFormatting>
  <conditionalFormatting sqref="E293">
    <cfRule type="containsText" dxfId="11484" priority="1128" operator="containsText" text="Buy">
      <formula>NOT(ISERROR(SEARCH("Buy",E293)))</formula>
    </cfRule>
    <cfRule type="containsText" dxfId="11483" priority="1129" operator="containsText" text="Sell">
      <formula>NOT(ISERROR(SEARCH("Sell",E293)))</formula>
    </cfRule>
  </conditionalFormatting>
  <conditionalFormatting sqref="E294:E295">
    <cfRule type="containsText" dxfId="11482" priority="1130" operator="containsText" text="Buy">
      <formula>NOT(ISERROR(SEARCH("Buy",E294)))</formula>
    </cfRule>
    <cfRule type="containsText" dxfId="11481" priority="1131" operator="containsText" text="Sell">
      <formula>NOT(ISERROR(SEARCH("Sell",E294)))</formula>
    </cfRule>
  </conditionalFormatting>
  <conditionalFormatting sqref="E287:E288">
    <cfRule type="containsText" dxfId="11480" priority="1126" operator="containsText" text="Buy">
      <formula>NOT(ISERROR(SEARCH("Buy",E287)))</formula>
    </cfRule>
    <cfRule type="containsText" dxfId="11479" priority="1127" operator="containsText" text="Sell">
      <formula>NOT(ISERROR(SEARCH("Sell",E287)))</formula>
    </cfRule>
  </conditionalFormatting>
  <conditionalFormatting sqref="E283:E284">
    <cfRule type="containsText" dxfId="11478" priority="1124" operator="containsText" text="Buy">
      <formula>NOT(ISERROR(SEARCH("Buy",E283)))</formula>
    </cfRule>
    <cfRule type="containsText" dxfId="11477" priority="1125" operator="containsText" text="Sell">
      <formula>NOT(ISERROR(SEARCH("Sell",E283)))</formula>
    </cfRule>
  </conditionalFormatting>
  <conditionalFormatting sqref="E148:E149">
    <cfRule type="containsText" dxfId="11476" priority="1122" operator="containsText" text="Buy">
      <formula>NOT(ISERROR(SEARCH("Buy",E148)))</formula>
    </cfRule>
    <cfRule type="containsText" dxfId="11475" priority="1123" operator="containsText" text="Sell">
      <formula>NOT(ISERROR(SEARCH("Sell",E148)))</formula>
    </cfRule>
  </conditionalFormatting>
  <conditionalFormatting sqref="E143:E144">
    <cfRule type="containsText" dxfId="11474" priority="1120" operator="containsText" text="Buy">
      <formula>NOT(ISERROR(SEARCH("Buy",E143)))</formula>
    </cfRule>
    <cfRule type="containsText" dxfId="11473" priority="1121" operator="containsText" text="Sell">
      <formula>NOT(ISERROR(SEARCH("Sell",E143)))</formula>
    </cfRule>
  </conditionalFormatting>
  <conditionalFormatting sqref="E160">
    <cfRule type="containsText" dxfId="11472" priority="1118" operator="containsText" text="Buy">
      <formula>NOT(ISERROR(SEARCH("Buy",E160)))</formula>
    </cfRule>
    <cfRule type="containsText" dxfId="11471" priority="1119" operator="containsText" text="Sell">
      <formula>NOT(ISERROR(SEARCH("Sell",E160)))</formula>
    </cfRule>
  </conditionalFormatting>
  <conditionalFormatting sqref="E159">
    <cfRule type="containsText" dxfId="11470" priority="1116" operator="containsText" text="Buy">
      <formula>NOT(ISERROR(SEARCH("Buy",E159)))</formula>
    </cfRule>
    <cfRule type="containsText" dxfId="11469" priority="1117" operator="containsText" text="Sell">
      <formula>NOT(ISERROR(SEARCH("Sell",E159)))</formula>
    </cfRule>
  </conditionalFormatting>
  <conditionalFormatting sqref="E155">
    <cfRule type="containsText" dxfId="11468" priority="1114" operator="containsText" text="Buy">
      <formula>NOT(ISERROR(SEARCH("Buy",E155)))</formula>
    </cfRule>
    <cfRule type="containsText" dxfId="11467" priority="1115" operator="containsText" text="Sell">
      <formula>NOT(ISERROR(SEARCH("Sell",E155)))</formula>
    </cfRule>
  </conditionalFormatting>
  <conditionalFormatting sqref="E280:E282">
    <cfRule type="containsText" dxfId="11466" priority="1112" operator="containsText" text="Buy">
      <formula>NOT(ISERROR(SEARCH("Buy",E280)))</formula>
    </cfRule>
    <cfRule type="containsText" dxfId="11465" priority="1113" operator="containsText" text="Sell">
      <formula>NOT(ISERROR(SEARCH("Sell",E280)))</formula>
    </cfRule>
  </conditionalFormatting>
  <conditionalFormatting sqref="E277:E278">
    <cfRule type="containsText" dxfId="11464" priority="1110" operator="containsText" text="Buy">
      <formula>NOT(ISERROR(SEARCH("Buy",E277)))</formula>
    </cfRule>
    <cfRule type="containsText" dxfId="11463" priority="1111" operator="containsText" text="Sell">
      <formula>NOT(ISERROR(SEARCH("Sell",E277)))</formula>
    </cfRule>
  </conditionalFormatting>
  <conditionalFormatting sqref="E271:E273">
    <cfRule type="containsText" dxfId="11462" priority="1108" operator="containsText" text="Buy">
      <formula>NOT(ISERROR(SEARCH("Buy",E271)))</formula>
    </cfRule>
    <cfRule type="containsText" dxfId="11461" priority="1109" operator="containsText" text="Sell">
      <formula>NOT(ISERROR(SEARCH("Sell",E271)))</formula>
    </cfRule>
  </conditionalFormatting>
  <conditionalFormatting sqref="E267:E268">
    <cfRule type="containsText" dxfId="11460" priority="1106" operator="containsText" text="Buy">
      <formula>NOT(ISERROR(SEARCH("Buy",E267)))</formula>
    </cfRule>
    <cfRule type="containsText" dxfId="11459" priority="1107" operator="containsText" text="Sell">
      <formula>NOT(ISERROR(SEARCH("Sell",E267)))</formula>
    </cfRule>
  </conditionalFormatting>
  <conditionalFormatting sqref="E276">
    <cfRule type="containsText" dxfId="11458" priority="1104" operator="containsText" text="Buy">
      <formula>NOT(ISERROR(SEARCH("Buy",E276)))</formula>
    </cfRule>
    <cfRule type="containsText" dxfId="11457" priority="1105" operator="containsText" text="Sell">
      <formula>NOT(ISERROR(SEARCH("Sell",E276)))</formula>
    </cfRule>
  </conditionalFormatting>
  <conditionalFormatting sqref="E256">
    <cfRule type="containsText" dxfId="11456" priority="1102" operator="containsText" text="Buy">
      <formula>NOT(ISERROR(SEARCH("Buy",E256)))</formula>
    </cfRule>
    <cfRule type="containsText" dxfId="11455" priority="1103" operator="containsText" text="Sell">
      <formula>NOT(ISERROR(SEARCH("Sell",E256)))</formula>
    </cfRule>
  </conditionalFormatting>
  <conditionalFormatting sqref="E255">
    <cfRule type="containsText" dxfId="11454" priority="1100" operator="containsText" text="Buy">
      <formula>NOT(ISERROR(SEARCH("Buy",E255)))</formula>
    </cfRule>
    <cfRule type="containsText" dxfId="11453" priority="1101" operator="containsText" text="Sell">
      <formula>NOT(ISERROR(SEARCH("Sell",E255)))</formula>
    </cfRule>
  </conditionalFormatting>
  <conditionalFormatting sqref="E254">
    <cfRule type="containsText" dxfId="11452" priority="1098" operator="containsText" text="Buy">
      <formula>NOT(ISERROR(SEARCH("Buy",E254)))</formula>
    </cfRule>
    <cfRule type="containsText" dxfId="11451" priority="1099" operator="containsText" text="Sell">
      <formula>NOT(ISERROR(SEARCH("Sell",E254)))</formula>
    </cfRule>
  </conditionalFormatting>
  <conditionalFormatting sqref="E211">
    <cfRule type="containsText" dxfId="11450" priority="1096" operator="containsText" text="Buy">
      <formula>NOT(ISERROR(SEARCH("Buy",E211)))</formula>
    </cfRule>
    <cfRule type="containsText" dxfId="11449" priority="1097" operator="containsText" text="Sell">
      <formula>NOT(ISERROR(SEARCH("Sell",E211)))</formula>
    </cfRule>
  </conditionalFormatting>
  <conditionalFormatting sqref="E230">
    <cfRule type="containsText" dxfId="11448" priority="1094" operator="containsText" text="Buy">
      <formula>NOT(ISERROR(SEARCH("Buy",E230)))</formula>
    </cfRule>
    <cfRule type="containsText" dxfId="11447" priority="1095" operator="containsText" text="Sell">
      <formula>NOT(ISERROR(SEARCH("Sell",E230)))</formula>
    </cfRule>
  </conditionalFormatting>
  <conditionalFormatting sqref="E124:E125">
    <cfRule type="containsText" dxfId="11446" priority="1092" operator="containsText" text="Buy">
      <formula>NOT(ISERROR(SEARCH("Buy",E124)))</formula>
    </cfRule>
    <cfRule type="containsText" dxfId="11445" priority="1093" operator="containsText" text="Sell">
      <formula>NOT(ISERROR(SEARCH("Sell",E124)))</formula>
    </cfRule>
  </conditionalFormatting>
  <conditionalFormatting sqref="E253">
    <cfRule type="containsText" dxfId="11444" priority="1088" operator="containsText" text="Buy">
      <formula>NOT(ISERROR(SEARCH("Buy",E253)))</formula>
    </cfRule>
    <cfRule type="containsText" dxfId="11443" priority="1089" operator="containsText" text="Sell">
      <formula>NOT(ISERROR(SEARCH("Sell",E253)))</formula>
    </cfRule>
  </conditionalFormatting>
  <conditionalFormatting sqref="E163">
    <cfRule type="containsText" dxfId="11442" priority="1090" operator="containsText" text="Buy">
      <formula>NOT(ISERROR(SEARCH("Buy",E163)))</formula>
    </cfRule>
    <cfRule type="containsText" dxfId="11441" priority="1091" operator="containsText" text="Sell">
      <formula>NOT(ISERROR(SEARCH("Sell",E163)))</formula>
    </cfRule>
  </conditionalFormatting>
  <conditionalFormatting sqref="E252">
    <cfRule type="containsText" dxfId="11440" priority="1086" operator="containsText" text="Buy">
      <formula>NOT(ISERROR(SEARCH("Buy",E252)))</formula>
    </cfRule>
    <cfRule type="containsText" dxfId="11439" priority="1087" operator="containsText" text="Sell">
      <formula>NOT(ISERROR(SEARCH("Sell",E252)))</formula>
    </cfRule>
  </conditionalFormatting>
  <conditionalFormatting sqref="E251">
    <cfRule type="containsText" dxfId="11438" priority="1084" operator="containsText" text="Buy">
      <formula>NOT(ISERROR(SEARCH("Buy",E251)))</formula>
    </cfRule>
    <cfRule type="containsText" dxfId="11437" priority="1085" operator="containsText" text="Sell">
      <formula>NOT(ISERROR(SEARCH("Sell",E251)))</formula>
    </cfRule>
  </conditionalFormatting>
  <conditionalFormatting sqref="E250">
    <cfRule type="containsText" dxfId="11436" priority="1082" operator="containsText" text="Buy">
      <formula>NOT(ISERROR(SEARCH("Buy",E250)))</formula>
    </cfRule>
    <cfRule type="containsText" dxfId="11435" priority="1083" operator="containsText" text="Sell">
      <formula>NOT(ISERROR(SEARCH("Sell",E250)))</formula>
    </cfRule>
  </conditionalFormatting>
  <conditionalFormatting sqref="E249">
    <cfRule type="containsText" dxfId="11434" priority="1080" operator="containsText" text="Buy">
      <formula>NOT(ISERROR(SEARCH("Buy",E249)))</formula>
    </cfRule>
    <cfRule type="containsText" dxfId="11433" priority="1081" operator="containsText" text="Sell">
      <formula>NOT(ISERROR(SEARCH("Sell",E249)))</formula>
    </cfRule>
  </conditionalFormatting>
  <conditionalFormatting sqref="E129:E131 E142">
    <cfRule type="containsText" dxfId="11432" priority="1078" operator="containsText" text="Buy">
      <formula>NOT(ISERROR(SEARCH("Buy",E129)))</formula>
    </cfRule>
    <cfRule type="containsText" dxfId="11431" priority="1079" operator="containsText" text="Sell">
      <formula>NOT(ISERROR(SEARCH("Sell",E129)))</formula>
    </cfRule>
  </conditionalFormatting>
  <conditionalFormatting sqref="E119:E120">
    <cfRule type="containsText" dxfId="11430" priority="1076" operator="containsText" text="Buy">
      <formula>NOT(ISERROR(SEARCH("Buy",E119)))</formula>
    </cfRule>
    <cfRule type="containsText" dxfId="11429" priority="1077" operator="containsText" text="Sell">
      <formula>NOT(ISERROR(SEARCH("Sell",E119)))</formula>
    </cfRule>
  </conditionalFormatting>
  <conditionalFormatting sqref="E113:E114">
    <cfRule type="containsText" dxfId="11428" priority="1074" operator="containsText" text="Buy">
      <formula>NOT(ISERROR(SEARCH("Buy",E113)))</formula>
    </cfRule>
    <cfRule type="containsText" dxfId="11427" priority="1075" operator="containsText" text="Sell">
      <formula>NOT(ISERROR(SEARCH("Sell",E113)))</formula>
    </cfRule>
  </conditionalFormatting>
  <conditionalFormatting sqref="E140:E141">
    <cfRule type="containsText" dxfId="11426" priority="1072" operator="containsText" text="Buy">
      <formula>NOT(ISERROR(SEARCH("Buy",E140)))</formula>
    </cfRule>
    <cfRule type="containsText" dxfId="11425" priority="1073" operator="containsText" text="Sell">
      <formula>NOT(ISERROR(SEARCH("Sell",E140)))</formula>
    </cfRule>
  </conditionalFormatting>
  <conditionalFormatting sqref="E139">
    <cfRule type="containsText" dxfId="11424" priority="1070" operator="containsText" text="Buy">
      <formula>NOT(ISERROR(SEARCH("Buy",E139)))</formula>
    </cfRule>
    <cfRule type="containsText" dxfId="11423" priority="1071" operator="containsText" text="Sell">
      <formula>NOT(ISERROR(SEARCH("Sell",E139)))</formula>
    </cfRule>
  </conditionalFormatting>
  <conditionalFormatting sqref="E222">
    <cfRule type="containsText" dxfId="11422" priority="1068" operator="containsText" text="Buy">
      <formula>NOT(ISERROR(SEARCH("Buy",E222)))</formula>
    </cfRule>
    <cfRule type="containsText" dxfId="11421" priority="1069" operator="containsText" text="Sell">
      <formula>NOT(ISERROR(SEARCH("Sell",E222)))</formula>
    </cfRule>
  </conditionalFormatting>
  <conditionalFormatting sqref="E221">
    <cfRule type="containsText" dxfId="11420" priority="1066" operator="containsText" text="Buy">
      <formula>NOT(ISERROR(SEARCH("Buy",E221)))</formula>
    </cfRule>
    <cfRule type="containsText" dxfId="11419" priority="1067" operator="containsText" text="Sell">
      <formula>NOT(ISERROR(SEARCH("Sell",E221)))</formula>
    </cfRule>
  </conditionalFormatting>
  <conditionalFormatting sqref="E110:E111">
    <cfRule type="containsText" dxfId="11418" priority="1064" operator="containsText" text="Buy">
      <formula>NOT(ISERROR(SEARCH("Buy",E110)))</formula>
    </cfRule>
    <cfRule type="containsText" dxfId="11417" priority="1065" operator="containsText" text="Sell">
      <formula>NOT(ISERROR(SEARCH("Sell",E110)))</formula>
    </cfRule>
  </conditionalFormatting>
  <conditionalFormatting sqref="E109">
    <cfRule type="containsText" dxfId="11416" priority="1062" operator="containsText" text="Buy">
      <formula>NOT(ISERROR(SEARCH("Buy",E109)))</formula>
    </cfRule>
    <cfRule type="containsText" dxfId="11415" priority="1063" operator="containsText" text="Sell">
      <formula>NOT(ISERROR(SEARCH("Sell",E109)))</formula>
    </cfRule>
  </conditionalFormatting>
  <conditionalFormatting sqref="E108">
    <cfRule type="containsText" dxfId="11414" priority="1060" operator="containsText" text="Buy">
      <formula>NOT(ISERROR(SEARCH("Buy",E108)))</formula>
    </cfRule>
    <cfRule type="containsText" dxfId="11413" priority="1061" operator="containsText" text="Sell">
      <formula>NOT(ISERROR(SEARCH("Sell",E108)))</formula>
    </cfRule>
  </conditionalFormatting>
  <conditionalFormatting sqref="E105">
    <cfRule type="containsText" dxfId="11412" priority="1058" operator="containsText" text="Buy">
      <formula>NOT(ISERROR(SEARCH("Buy",E105)))</formula>
    </cfRule>
    <cfRule type="containsText" dxfId="11411" priority="1059" operator="containsText" text="Sell">
      <formula>NOT(ISERROR(SEARCH("Sell",E105)))</formula>
    </cfRule>
  </conditionalFormatting>
  <conditionalFormatting sqref="E104">
    <cfRule type="containsText" dxfId="11410" priority="1056" operator="containsText" text="Buy">
      <formula>NOT(ISERROR(SEARCH("Buy",E104)))</formula>
    </cfRule>
    <cfRule type="containsText" dxfId="11409" priority="1057" operator="containsText" text="Sell">
      <formula>NOT(ISERROR(SEARCH("Sell",E104)))</formula>
    </cfRule>
  </conditionalFormatting>
  <conditionalFormatting sqref="E101">
    <cfRule type="containsText" dxfId="11408" priority="1054" operator="containsText" text="Buy">
      <formula>NOT(ISERROR(SEARCH("Buy",E101)))</formula>
    </cfRule>
    <cfRule type="containsText" dxfId="11407" priority="1055" operator="containsText" text="Sell">
      <formula>NOT(ISERROR(SEARCH("Sell",E101)))</formula>
    </cfRule>
  </conditionalFormatting>
  <conditionalFormatting sqref="E100">
    <cfRule type="containsText" dxfId="11406" priority="1052" operator="containsText" text="Buy">
      <formula>NOT(ISERROR(SEARCH("Buy",E100)))</formula>
    </cfRule>
    <cfRule type="containsText" dxfId="11405" priority="1053" operator="containsText" text="Sell">
      <formula>NOT(ISERROR(SEARCH("Sell",E100)))</formula>
    </cfRule>
  </conditionalFormatting>
  <conditionalFormatting sqref="E99">
    <cfRule type="containsText" dxfId="11404" priority="1050" operator="containsText" text="Buy">
      <formula>NOT(ISERROR(SEARCH("Buy",E99)))</formula>
    </cfRule>
    <cfRule type="containsText" dxfId="11403" priority="1051" operator="containsText" text="Sell">
      <formula>NOT(ISERROR(SEARCH("Sell",E99)))</formula>
    </cfRule>
  </conditionalFormatting>
  <conditionalFormatting sqref="E97:E98">
    <cfRule type="containsText" dxfId="11402" priority="1048" operator="containsText" text="Buy">
      <formula>NOT(ISERROR(SEARCH("Buy",E97)))</formula>
    </cfRule>
    <cfRule type="containsText" dxfId="11401" priority="1049" operator="containsText" text="Sell">
      <formula>NOT(ISERROR(SEARCH("Sell",E97)))</formula>
    </cfRule>
  </conditionalFormatting>
  <conditionalFormatting sqref="E94 E90:E91">
    <cfRule type="containsText" dxfId="11400" priority="1046" operator="containsText" text="Buy">
      <formula>NOT(ISERROR(SEARCH("Buy",E90)))</formula>
    </cfRule>
    <cfRule type="containsText" dxfId="11399" priority="1047" operator="containsText" text="Sell">
      <formula>NOT(ISERROR(SEARCH("Sell",E90)))</formula>
    </cfRule>
  </conditionalFormatting>
  <conditionalFormatting sqref="E93">
    <cfRule type="containsText" dxfId="11398" priority="1040" operator="containsText" text="Buy">
      <formula>NOT(ISERROR(SEARCH("Buy",E93)))</formula>
    </cfRule>
    <cfRule type="containsText" dxfId="11397" priority="1041" operator="containsText" text="Sell">
      <formula>NOT(ISERROR(SEARCH("Sell",E93)))</formula>
    </cfRule>
  </conditionalFormatting>
  <conditionalFormatting sqref="E92">
    <cfRule type="containsText" dxfId="11396" priority="1038" operator="containsText" text="Buy">
      <formula>NOT(ISERROR(SEARCH("Buy",E92)))</formula>
    </cfRule>
    <cfRule type="containsText" dxfId="11395" priority="1039" operator="containsText" text="Sell">
      <formula>NOT(ISERROR(SEARCH("Sell",E92)))</formula>
    </cfRule>
  </conditionalFormatting>
  <conditionalFormatting sqref="E226">
    <cfRule type="containsText" dxfId="11394" priority="1036" operator="containsText" text="Buy">
      <formula>NOT(ISERROR(SEARCH("Buy",E226)))</formula>
    </cfRule>
    <cfRule type="containsText" dxfId="11393" priority="1037" operator="containsText" text="Sell">
      <formula>NOT(ISERROR(SEARCH("Sell",E226)))</formula>
    </cfRule>
  </conditionalFormatting>
  <conditionalFormatting sqref="E147">
    <cfRule type="containsText" dxfId="11392" priority="1034" operator="containsText" text="Buy">
      <formula>NOT(ISERROR(SEARCH("Buy",E147)))</formula>
    </cfRule>
    <cfRule type="containsText" dxfId="11391" priority="1035" operator="containsText" text="Sell">
      <formula>NOT(ISERROR(SEARCH("Sell",E147)))</formula>
    </cfRule>
  </conditionalFormatting>
  <conditionalFormatting sqref="E194">
    <cfRule type="containsText" dxfId="11390" priority="1032" operator="containsText" text="Buy">
      <formula>NOT(ISERROR(SEARCH("Buy",E194)))</formula>
    </cfRule>
    <cfRule type="containsText" dxfId="11389" priority="1033" operator="containsText" text="Sell">
      <formula>NOT(ISERROR(SEARCH("Sell",E194)))</formula>
    </cfRule>
  </conditionalFormatting>
  <conditionalFormatting sqref="E89">
    <cfRule type="containsText" dxfId="11388" priority="1030" operator="containsText" text="Buy">
      <formula>NOT(ISERROR(SEARCH("Buy",E89)))</formula>
    </cfRule>
    <cfRule type="containsText" dxfId="11387" priority="1031" operator="containsText" text="Sell">
      <formula>NOT(ISERROR(SEARCH("Sell",E89)))</formula>
    </cfRule>
  </conditionalFormatting>
  <conditionalFormatting sqref="E292">
    <cfRule type="containsText" dxfId="11386" priority="994" operator="containsText" text="Buy">
      <formula>NOT(ISERROR(SEARCH("Buy",E292)))</formula>
    </cfRule>
    <cfRule type="containsText" dxfId="11385" priority="995" operator="containsText" text="Sell">
      <formula>NOT(ISERROR(SEARCH("Sell",E292)))</formula>
    </cfRule>
  </conditionalFormatting>
  <conditionalFormatting sqref="E193">
    <cfRule type="containsText" dxfId="11384" priority="1026" operator="containsText" text="Buy">
      <formula>NOT(ISERROR(SEARCH("Buy",E193)))</formula>
    </cfRule>
    <cfRule type="containsText" dxfId="11383" priority="1027" operator="containsText" text="Sell">
      <formula>NOT(ISERROR(SEARCH("Sell",E193)))</formula>
    </cfRule>
  </conditionalFormatting>
  <conditionalFormatting sqref="E192">
    <cfRule type="containsText" dxfId="11382" priority="1024" operator="containsText" text="Buy">
      <formula>NOT(ISERROR(SEARCH("Buy",E192)))</formula>
    </cfRule>
    <cfRule type="containsText" dxfId="11381" priority="1025" operator="containsText" text="Sell">
      <formula>NOT(ISERROR(SEARCH("Sell",E192)))</formula>
    </cfRule>
  </conditionalFormatting>
  <conditionalFormatting sqref="E263:E265">
    <cfRule type="containsText" dxfId="11380" priority="1022" operator="containsText" text="Buy">
      <formula>NOT(ISERROR(SEARCH("Buy",E263)))</formula>
    </cfRule>
    <cfRule type="containsText" dxfId="11379" priority="1023" operator="containsText" text="Sell">
      <formula>NOT(ISERROR(SEARCH("Sell",E263)))</formula>
    </cfRule>
  </conditionalFormatting>
  <conditionalFormatting sqref="E248">
    <cfRule type="containsText" dxfId="11378" priority="1020" operator="containsText" text="Buy">
      <formula>NOT(ISERROR(SEARCH("Buy",E248)))</formula>
    </cfRule>
    <cfRule type="containsText" dxfId="11377" priority="1021" operator="containsText" text="Sell">
      <formula>NOT(ISERROR(SEARCH("Sell",E248)))</formula>
    </cfRule>
  </conditionalFormatting>
  <conditionalFormatting sqref="E247">
    <cfRule type="containsText" dxfId="11376" priority="1018" operator="containsText" text="Buy">
      <formula>NOT(ISERROR(SEARCH("Buy",E247)))</formula>
    </cfRule>
    <cfRule type="containsText" dxfId="11375" priority="1019" operator="containsText" text="Sell">
      <formula>NOT(ISERROR(SEARCH("Sell",E247)))</formula>
    </cfRule>
  </conditionalFormatting>
  <conditionalFormatting sqref="E84">
    <cfRule type="containsText" dxfId="11374" priority="1016" operator="containsText" text="Buy">
      <formula>NOT(ISERROR(SEARCH("Buy",E84)))</formula>
    </cfRule>
    <cfRule type="containsText" dxfId="11373" priority="1017" operator="containsText" text="Sell">
      <formula>NOT(ISERROR(SEARCH("Sell",E84)))</formula>
    </cfRule>
  </conditionalFormatting>
  <conditionalFormatting sqref="E213">
    <cfRule type="containsText" dxfId="11372" priority="1014" operator="containsText" text="Buy">
      <formula>NOT(ISERROR(SEARCH("Buy",E213)))</formula>
    </cfRule>
    <cfRule type="containsText" dxfId="11371" priority="1015" operator="containsText" text="Sell">
      <formula>NOT(ISERROR(SEARCH("Sell",E213)))</formula>
    </cfRule>
  </conditionalFormatting>
  <conditionalFormatting sqref="E210">
    <cfRule type="containsText" dxfId="11370" priority="1012" operator="containsText" text="Buy">
      <formula>NOT(ISERROR(SEARCH("Buy",E210)))</formula>
    </cfRule>
    <cfRule type="containsText" dxfId="11369" priority="1013" operator="containsText" text="Sell">
      <formula>NOT(ISERROR(SEARCH("Sell",E210)))</formula>
    </cfRule>
  </conditionalFormatting>
  <conditionalFormatting sqref="E75">
    <cfRule type="containsText" dxfId="11368" priority="1010" operator="containsText" text="Buy">
      <formula>NOT(ISERROR(SEARCH("Buy",E75)))</formula>
    </cfRule>
    <cfRule type="containsText" dxfId="11367" priority="1011" operator="containsText" text="Sell">
      <formula>NOT(ISERROR(SEARCH("Sell",E75)))</formula>
    </cfRule>
  </conditionalFormatting>
  <conditionalFormatting sqref="E72">
    <cfRule type="containsText" dxfId="11366" priority="1008" operator="containsText" text="Buy">
      <formula>NOT(ISERROR(SEARCH("Buy",E72)))</formula>
    </cfRule>
    <cfRule type="containsText" dxfId="11365" priority="1009" operator="containsText" text="Sell">
      <formula>NOT(ISERROR(SEARCH("Sell",E72)))</formula>
    </cfRule>
  </conditionalFormatting>
  <conditionalFormatting sqref="E246">
    <cfRule type="containsText" dxfId="11364" priority="1006" operator="containsText" text="Buy">
      <formula>NOT(ISERROR(SEARCH("Buy",E246)))</formula>
    </cfRule>
    <cfRule type="containsText" dxfId="11363" priority="1007" operator="containsText" text="Sell">
      <formula>NOT(ISERROR(SEARCH("Sell",E246)))</formula>
    </cfRule>
  </conditionalFormatting>
  <conditionalFormatting sqref="E67">
    <cfRule type="containsText" dxfId="11362" priority="1004" operator="containsText" text="Buy">
      <formula>NOT(ISERROR(SEARCH("Buy",E67)))</formula>
    </cfRule>
    <cfRule type="containsText" dxfId="11361" priority="1005" operator="containsText" text="Sell">
      <formula>NOT(ISERROR(SEARCH("Sell",E67)))</formula>
    </cfRule>
  </conditionalFormatting>
  <conditionalFormatting sqref="E138">
    <cfRule type="containsText" dxfId="11360" priority="1000" operator="containsText" text="Buy">
      <formula>NOT(ISERROR(SEARCH("Buy",E138)))</formula>
    </cfRule>
    <cfRule type="containsText" dxfId="11359" priority="1001" operator="containsText" text="Sell">
      <formula>NOT(ISERROR(SEARCH("Sell",E138)))</formula>
    </cfRule>
  </conditionalFormatting>
  <conditionalFormatting sqref="E266">
    <cfRule type="containsText" dxfId="11358" priority="990" operator="containsText" text="Buy">
      <formula>NOT(ISERROR(SEARCH("Buy",E266)))</formula>
    </cfRule>
    <cfRule type="containsText" dxfId="11357" priority="991" operator="containsText" text="Sell">
      <formula>NOT(ISERROR(SEARCH("Sell",E266)))</formula>
    </cfRule>
  </conditionalFormatting>
  <conditionalFormatting sqref="E275">
    <cfRule type="containsText" dxfId="11356" priority="996" operator="containsText" text="Buy">
      <formula>NOT(ISERROR(SEARCH("Buy",E275)))</formula>
    </cfRule>
    <cfRule type="containsText" dxfId="11355" priority="997" operator="containsText" text="Sell">
      <formula>NOT(ISERROR(SEARCH("Sell",E275)))</formula>
    </cfRule>
  </conditionalFormatting>
  <conditionalFormatting sqref="E136">
    <cfRule type="containsText" dxfId="11354" priority="972" operator="containsText" text="Buy">
      <formula>NOT(ISERROR(SEARCH("Buy",E136)))</formula>
    </cfRule>
    <cfRule type="containsText" dxfId="11353" priority="973" operator="containsText" text="Sell">
      <formula>NOT(ISERROR(SEARCH("Sell",E136)))</formula>
    </cfRule>
  </conditionalFormatting>
  <conditionalFormatting sqref="E270">
    <cfRule type="containsText" dxfId="11352" priority="992" operator="containsText" text="Buy">
      <formula>NOT(ISERROR(SEARCH("Buy",E270)))</formula>
    </cfRule>
    <cfRule type="containsText" dxfId="11351" priority="993" operator="containsText" text="Sell">
      <formula>NOT(ISERROR(SEARCH("Sell",E270)))</formula>
    </cfRule>
  </conditionalFormatting>
  <conditionalFormatting sqref="E34 E52 E49 E37 E46">
    <cfRule type="containsText" dxfId="11350" priority="988" operator="containsText" text="Buy">
      <formula>NOT(ISERROR(SEARCH("Buy",E34)))</formula>
    </cfRule>
    <cfRule type="containsText" dxfId="11349" priority="989" operator="containsText" text="Sell">
      <formula>NOT(ISERROR(SEARCH("Sell",E34)))</formula>
    </cfRule>
  </conditionalFormatting>
  <conditionalFormatting sqref="E146">
    <cfRule type="containsText" dxfId="11348" priority="982" operator="containsText" text="Buy">
      <formula>NOT(ISERROR(SEARCH("Buy",E146)))</formula>
    </cfRule>
    <cfRule type="containsText" dxfId="11347" priority="983" operator="containsText" text="Sell">
      <formula>NOT(ISERROR(SEARCH("Sell",E146)))</formula>
    </cfRule>
  </conditionalFormatting>
  <conditionalFormatting sqref="E137">
    <cfRule type="containsText" dxfId="11346" priority="986" operator="containsText" text="Buy">
      <formula>NOT(ISERROR(SEARCH("Buy",E137)))</formula>
    </cfRule>
    <cfRule type="containsText" dxfId="11345" priority="987" operator="containsText" text="Sell">
      <formula>NOT(ISERROR(SEARCH("Sell",E137)))</formula>
    </cfRule>
  </conditionalFormatting>
  <conditionalFormatting sqref="E191">
    <cfRule type="containsText" dxfId="11344" priority="984" operator="containsText" text="Buy">
      <formula>NOT(ISERROR(SEARCH("Buy",E191)))</formula>
    </cfRule>
    <cfRule type="containsText" dxfId="11343" priority="985" operator="containsText" text="Sell">
      <formula>NOT(ISERROR(SEARCH("Sell",E191)))</formula>
    </cfRule>
  </conditionalFormatting>
  <conditionalFormatting sqref="E290">
    <cfRule type="containsText" dxfId="11342" priority="962" operator="containsText" text="Buy">
      <formula>NOT(ISERROR(SEARCH("Buy",E290)))</formula>
    </cfRule>
    <cfRule type="containsText" dxfId="11341" priority="963" operator="containsText" text="Sell">
      <formula>NOT(ISERROR(SEARCH("Sell",E290)))</formula>
    </cfRule>
  </conditionalFormatting>
  <conditionalFormatting sqref="E81">
    <cfRule type="containsText" dxfId="11340" priority="980" operator="containsText" text="Buy">
      <formula>NOT(ISERROR(SEARCH("Buy",E81)))</formula>
    </cfRule>
    <cfRule type="containsText" dxfId="11339" priority="981" operator="containsText" text="Sell">
      <formula>NOT(ISERROR(SEARCH("Sell",E81)))</formula>
    </cfRule>
  </conditionalFormatting>
  <conditionalFormatting sqref="E237">
    <cfRule type="containsText" dxfId="11338" priority="978" operator="containsText" text="Buy">
      <formula>NOT(ISERROR(SEARCH("Buy",E237)))</formula>
    </cfRule>
    <cfRule type="containsText" dxfId="11337" priority="979" operator="containsText" text="Sell">
      <formula>NOT(ISERROR(SEARCH("Sell",E237)))</formula>
    </cfRule>
  </conditionalFormatting>
  <conditionalFormatting sqref="E274">
    <cfRule type="containsText" dxfId="11336" priority="960" operator="containsText" text="Buy">
      <formula>NOT(ISERROR(SEARCH("Buy",E274)))</formula>
    </cfRule>
    <cfRule type="containsText" dxfId="11335" priority="961" operator="containsText" text="Sell">
      <formula>NOT(ISERROR(SEARCH("Sell",E274)))</formula>
    </cfRule>
  </conditionalFormatting>
  <conditionalFormatting sqref="E55">
    <cfRule type="containsText" dxfId="11334" priority="968" operator="containsText" text="Buy">
      <formula>NOT(ISERROR(SEARCH("Buy",E55)))</formula>
    </cfRule>
    <cfRule type="containsText" dxfId="11333" priority="969" operator="containsText" text="Sell">
      <formula>NOT(ISERROR(SEARCH("Sell",E55)))</formula>
    </cfRule>
  </conditionalFormatting>
  <conditionalFormatting sqref="E291">
    <cfRule type="containsText" dxfId="11332" priority="974" operator="containsText" text="Buy">
      <formula>NOT(ISERROR(SEARCH("Buy",E291)))</formula>
    </cfRule>
    <cfRule type="containsText" dxfId="11331" priority="975" operator="containsText" text="Sell">
      <formula>NOT(ISERROR(SEARCH("Sell",E291)))</formula>
    </cfRule>
  </conditionalFormatting>
  <conditionalFormatting sqref="E236">
    <cfRule type="containsText" dxfId="11330" priority="954" operator="containsText" text="Buy">
      <formula>NOT(ISERROR(SEARCH("Buy",E236)))</formula>
    </cfRule>
    <cfRule type="containsText" dxfId="11329" priority="955" operator="containsText" text="Sell">
      <formula>NOT(ISERROR(SEARCH("Sell",E236)))</formula>
    </cfRule>
  </conditionalFormatting>
  <conditionalFormatting sqref="E40">
    <cfRule type="containsText" dxfId="11328" priority="942" operator="containsText" text="Buy">
      <formula>NOT(ISERROR(SEARCH("Buy",E40)))</formula>
    </cfRule>
    <cfRule type="containsText" dxfId="11327" priority="943" operator="containsText" text="Sell">
      <formula>NOT(ISERROR(SEARCH("Sell",E40)))</formula>
    </cfRule>
  </conditionalFormatting>
  <conditionalFormatting sqref="E209">
    <cfRule type="containsText" dxfId="11326" priority="970" operator="containsText" text="Buy">
      <formula>NOT(ISERROR(SEARCH("Buy",E209)))</formula>
    </cfRule>
    <cfRule type="containsText" dxfId="11325" priority="971" operator="containsText" text="Sell">
      <formula>NOT(ISERROR(SEARCH("Sell",E209)))</formula>
    </cfRule>
  </conditionalFormatting>
  <conditionalFormatting sqref="E286">
    <cfRule type="containsText" dxfId="11324" priority="966" operator="containsText" text="Buy">
      <formula>NOT(ISERROR(SEARCH("Buy",E286)))</formula>
    </cfRule>
    <cfRule type="containsText" dxfId="11323" priority="967" operator="containsText" text="Sell">
      <formula>NOT(ISERROR(SEARCH("Sell",E286)))</formula>
    </cfRule>
  </conditionalFormatting>
  <conditionalFormatting sqref="E58">
    <cfRule type="containsText" dxfId="11322" priority="958" operator="containsText" text="Buy">
      <formula>NOT(ISERROR(SEARCH("Buy",E58)))</formula>
    </cfRule>
    <cfRule type="containsText" dxfId="11321" priority="959" operator="containsText" text="Sell">
      <formula>NOT(ISERROR(SEARCH("Sell",E58)))</formula>
    </cfRule>
  </conditionalFormatting>
  <conditionalFormatting sqref="E176">
    <cfRule type="containsText" dxfId="11320" priority="964" operator="containsText" text="Buy">
      <formula>NOT(ISERROR(SEARCH("Buy",E176)))</formula>
    </cfRule>
    <cfRule type="containsText" dxfId="11319" priority="965" operator="containsText" text="Sell">
      <formula>NOT(ISERROR(SEARCH("Sell",E176)))</formula>
    </cfRule>
  </conditionalFormatting>
  <conditionalFormatting sqref="E123">
    <cfRule type="containsText" dxfId="11318" priority="902" operator="containsText" text="Buy">
      <formula>NOT(ISERROR(SEARCH("Buy",E123)))</formula>
    </cfRule>
    <cfRule type="containsText" dxfId="11317" priority="903" operator="containsText" text="Sell">
      <formula>NOT(ISERROR(SEARCH("Sell",E123)))</formula>
    </cfRule>
  </conditionalFormatting>
  <conditionalFormatting sqref="E166">
    <cfRule type="containsText" dxfId="11316" priority="948" operator="containsText" text="Buy">
      <formula>NOT(ISERROR(SEARCH("Buy",E166)))</formula>
    </cfRule>
    <cfRule type="containsText" dxfId="11315" priority="949" operator="containsText" text="Sell">
      <formula>NOT(ISERROR(SEARCH("Sell",E166)))</formula>
    </cfRule>
  </conditionalFormatting>
  <conditionalFormatting sqref="E243">
    <cfRule type="containsText" dxfId="11314" priority="932" operator="containsText" text="Buy">
      <formula>NOT(ISERROR(SEARCH("Buy",E243)))</formula>
    </cfRule>
    <cfRule type="containsText" dxfId="11313" priority="933" operator="containsText" text="Sell">
      <formula>NOT(ISERROR(SEARCH("Sell",E243)))</formula>
    </cfRule>
  </conditionalFormatting>
  <conditionalFormatting sqref="E242">
    <cfRule type="containsText" dxfId="11312" priority="914" operator="containsText" text="Buy">
      <formula>NOT(ISERROR(SEARCH("Buy",E242)))</formula>
    </cfRule>
    <cfRule type="containsText" dxfId="11311" priority="915" operator="containsText" text="Sell">
      <formula>NOT(ISERROR(SEARCH("Sell",E242)))</formula>
    </cfRule>
  </conditionalFormatting>
  <conditionalFormatting sqref="E207">
    <cfRule type="containsText" dxfId="11310" priority="950" operator="containsText" text="Buy">
      <formula>NOT(ISERROR(SEARCH("Buy",E207)))</formula>
    </cfRule>
    <cfRule type="containsText" dxfId="11309" priority="951" operator="containsText" text="Sell">
      <formula>NOT(ISERROR(SEARCH("Sell",E207)))</formula>
    </cfRule>
  </conditionalFormatting>
  <conditionalFormatting sqref="E208">
    <cfRule type="containsText" dxfId="11308" priority="952" operator="containsText" text="Buy">
      <formula>NOT(ISERROR(SEARCH("Buy",E208)))</formula>
    </cfRule>
    <cfRule type="containsText" dxfId="11307" priority="953" operator="containsText" text="Sell">
      <formula>NOT(ISERROR(SEARCH("Sell",E208)))</formula>
    </cfRule>
  </conditionalFormatting>
  <conditionalFormatting sqref="E117:E118">
    <cfRule type="containsText" dxfId="11306" priority="912" operator="containsText" text="Buy">
      <formula>NOT(ISERROR(SEARCH("Buy",E117)))</formula>
    </cfRule>
    <cfRule type="containsText" dxfId="11305" priority="913" operator="containsText" text="Sell">
      <formula>NOT(ISERROR(SEARCH("Sell",E117)))</formula>
    </cfRule>
  </conditionalFormatting>
  <conditionalFormatting sqref="E96">
    <cfRule type="containsText" dxfId="11304" priority="946" operator="containsText" text="Buy">
      <formula>NOT(ISERROR(SEARCH("Buy",E96)))</formula>
    </cfRule>
    <cfRule type="containsText" dxfId="11303" priority="947" operator="containsText" text="Sell">
      <formula>NOT(ISERROR(SEARCH("Sell",E96)))</formula>
    </cfRule>
  </conditionalFormatting>
  <conditionalFormatting sqref="E241">
    <cfRule type="containsText" dxfId="11302" priority="910" operator="containsText" text="Buy">
      <formula>NOT(ISERROR(SEARCH("Buy",E241)))</formula>
    </cfRule>
    <cfRule type="containsText" dxfId="11301" priority="911" operator="containsText" text="Sell">
      <formula>NOT(ISERROR(SEARCH("Sell",E241)))</formula>
    </cfRule>
  </conditionalFormatting>
  <conditionalFormatting sqref="E43">
    <cfRule type="containsText" dxfId="11300" priority="940" operator="containsText" text="Buy">
      <formula>NOT(ISERROR(SEARCH("Buy",E43)))</formula>
    </cfRule>
    <cfRule type="containsText" dxfId="11299" priority="941" operator="containsText" text="Sell">
      <formula>NOT(ISERROR(SEARCH("Sell",E43)))</formula>
    </cfRule>
  </conditionalFormatting>
  <conditionalFormatting sqref="E134">
    <cfRule type="containsText" dxfId="11298" priority="922" operator="containsText" text="Buy">
      <formula>NOT(ISERROR(SEARCH("Buy",E134)))</formula>
    </cfRule>
    <cfRule type="containsText" dxfId="11297" priority="923" operator="containsText" text="Sell">
      <formula>NOT(ISERROR(SEARCH("Sell",E134)))</formula>
    </cfRule>
  </conditionalFormatting>
  <conditionalFormatting sqref="E156:E158">
    <cfRule type="containsText" dxfId="11296" priority="926" operator="containsText" text="Buy">
      <formula>NOT(ISERROR(SEARCH("Buy",E156)))</formula>
    </cfRule>
    <cfRule type="containsText" dxfId="11295" priority="927" operator="containsText" text="Sell">
      <formula>NOT(ISERROR(SEARCH("Sell",E156)))</formula>
    </cfRule>
  </conditionalFormatting>
  <conditionalFormatting sqref="E133">
    <cfRule type="containsText" dxfId="11294" priority="918" operator="containsText" text="Buy">
      <formula>NOT(ISERROR(SEARCH("Buy",E133)))</formula>
    </cfRule>
    <cfRule type="containsText" dxfId="11293" priority="919" operator="containsText" text="Sell">
      <formula>NOT(ISERROR(SEARCH("Sell",E133)))</formula>
    </cfRule>
  </conditionalFormatting>
  <conditionalFormatting sqref="E128">
    <cfRule type="containsText" dxfId="11292" priority="920" operator="containsText" text="Buy">
      <formula>NOT(ISERROR(SEARCH("Buy",E128)))</formula>
    </cfRule>
    <cfRule type="containsText" dxfId="11291" priority="921" operator="containsText" text="Sell">
      <formula>NOT(ISERROR(SEARCH("Sell",E128)))</formula>
    </cfRule>
  </conditionalFormatting>
  <conditionalFormatting sqref="E78">
    <cfRule type="containsText" dxfId="11290" priority="934" operator="containsText" text="Buy">
      <formula>NOT(ISERROR(SEARCH("Buy",E78)))</formula>
    </cfRule>
    <cfRule type="containsText" dxfId="11289" priority="935" operator="containsText" text="Sell">
      <formula>NOT(ISERROR(SEARCH("Sell",E78)))</formula>
    </cfRule>
  </conditionalFormatting>
  <conditionalFormatting sqref="E64">
    <cfRule type="containsText" dxfId="11288" priority="930" operator="containsText" text="Buy">
      <formula>NOT(ISERROR(SEARCH("Buy",E64)))</formula>
    </cfRule>
    <cfRule type="containsText" dxfId="11287" priority="931" operator="containsText" text="Sell">
      <formula>NOT(ISERROR(SEARCH("Sell",E64)))</formula>
    </cfRule>
  </conditionalFormatting>
  <conditionalFormatting sqref="E240">
    <cfRule type="containsText" dxfId="11286" priority="904" operator="containsText" text="Buy">
      <formula>NOT(ISERROR(SEARCH("Buy",E240)))</formula>
    </cfRule>
    <cfRule type="containsText" dxfId="11285" priority="905" operator="containsText" text="Sell">
      <formula>NOT(ISERROR(SEARCH("Sell",E240)))</formula>
    </cfRule>
  </conditionalFormatting>
  <conditionalFormatting sqref="E135">
    <cfRule type="containsText" dxfId="11284" priority="924" operator="containsText" text="Buy">
      <formula>NOT(ISERROR(SEARCH("Buy",E135)))</formula>
    </cfRule>
    <cfRule type="containsText" dxfId="11283" priority="925" operator="containsText" text="Sell">
      <formula>NOT(ISERROR(SEARCH("Sell",E135)))</formula>
    </cfRule>
  </conditionalFormatting>
  <conditionalFormatting sqref="E122">
    <cfRule type="containsText" dxfId="11282" priority="898" operator="containsText" text="Buy">
      <formula>NOT(ISERROR(SEARCH("Buy",E122)))</formula>
    </cfRule>
    <cfRule type="containsText" dxfId="11281" priority="899" operator="containsText" text="Sell">
      <formula>NOT(ISERROR(SEARCH("Sell",E122)))</formula>
    </cfRule>
  </conditionalFormatting>
  <conditionalFormatting sqref="E132">
    <cfRule type="containsText" dxfId="11280" priority="916" operator="containsText" text="Buy">
      <formula>NOT(ISERROR(SEARCH("Buy",E132)))</formula>
    </cfRule>
    <cfRule type="containsText" dxfId="11279" priority="917" operator="containsText" text="Sell">
      <formula>NOT(ISERROR(SEARCH("Sell",E132)))</formula>
    </cfRule>
  </conditionalFormatting>
  <conditionalFormatting sqref="E116">
    <cfRule type="containsText" dxfId="11278" priority="908" operator="containsText" text="Buy">
      <formula>NOT(ISERROR(SEARCH("Buy",E116)))</formula>
    </cfRule>
    <cfRule type="containsText" dxfId="11277" priority="909" operator="containsText" text="Sell">
      <formula>NOT(ISERROR(SEARCH("Sell",E116)))</formula>
    </cfRule>
  </conditionalFormatting>
  <conditionalFormatting sqref="E127">
    <cfRule type="containsText" dxfId="11276" priority="900" operator="containsText" text="Buy">
      <formula>NOT(ISERROR(SEARCH("Buy",E127)))</formula>
    </cfRule>
    <cfRule type="containsText" dxfId="11275" priority="901" operator="containsText" text="Sell">
      <formula>NOT(ISERROR(SEARCH("Sell",E127)))</formula>
    </cfRule>
  </conditionalFormatting>
  <conditionalFormatting sqref="H27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{F1044001-5C41-4D6C-83E3-019FD89682CB}</x14:id>
        </ext>
      </extLst>
    </cfRule>
    <cfRule type="cellIs" dxfId="11274" priority="869" operator="equal">
      <formula>1</formula>
    </cfRule>
  </conditionalFormatting>
  <conditionalFormatting sqref="D27">
    <cfRule type="containsText" dxfId="11273" priority="867" operator="containsText" text="Buy">
      <formula>NOT(ISERROR(SEARCH("Buy",D27)))</formula>
    </cfRule>
    <cfRule type="containsText" dxfId="11272" priority="868" operator="containsText" text="Sell">
      <formula>NOT(ISERROR(SEARCH("Sell",D27)))</formula>
    </cfRule>
  </conditionalFormatting>
  <conditionalFormatting sqref="E41">
    <cfRule type="containsText" dxfId="11271" priority="842" operator="containsText" text="Buy">
      <formula>NOT(ISERROR(SEARCH("Buy",E41)))</formula>
    </cfRule>
    <cfRule type="containsText" dxfId="11270" priority="843" operator="containsText" text="Sell">
      <formula>NOT(ISERROR(SEARCH("Sell",E41)))</formula>
    </cfRule>
  </conditionalFormatting>
  <conditionalFormatting sqref="E36">
    <cfRule type="containsText" dxfId="11269" priority="852" operator="containsText" text="Buy">
      <formula>NOT(ISERROR(SEARCH("Buy",E36)))</formula>
    </cfRule>
    <cfRule type="containsText" dxfId="11268" priority="853" operator="containsText" text="Sell">
      <formula>NOT(ISERROR(SEARCH("Sell",E36)))</formula>
    </cfRule>
  </conditionalFormatting>
  <conditionalFormatting sqref="E35">
    <cfRule type="containsText" dxfId="11267" priority="850" operator="containsText" text="Buy">
      <formula>NOT(ISERROR(SEARCH("Buy",E35)))</formula>
    </cfRule>
    <cfRule type="containsText" dxfId="11266" priority="851" operator="containsText" text="Sell">
      <formula>NOT(ISERROR(SEARCH("Sell",E35)))</formula>
    </cfRule>
  </conditionalFormatting>
  <conditionalFormatting sqref="E39">
    <cfRule type="containsText" dxfId="11265" priority="848" operator="containsText" text="Buy">
      <formula>NOT(ISERROR(SEARCH("Buy",E39)))</formula>
    </cfRule>
    <cfRule type="containsText" dxfId="11264" priority="849" operator="containsText" text="Sell">
      <formula>NOT(ISERROR(SEARCH("Sell",E39)))</formula>
    </cfRule>
  </conditionalFormatting>
  <conditionalFormatting sqref="E38">
    <cfRule type="containsText" dxfId="11263" priority="846" operator="containsText" text="Buy">
      <formula>NOT(ISERROR(SEARCH("Buy",E38)))</formula>
    </cfRule>
    <cfRule type="containsText" dxfId="11262" priority="847" operator="containsText" text="Sell">
      <formula>NOT(ISERROR(SEARCH("Sell",E38)))</formula>
    </cfRule>
  </conditionalFormatting>
  <conditionalFormatting sqref="E42">
    <cfRule type="containsText" dxfId="11261" priority="844" operator="containsText" text="Buy">
      <formula>NOT(ISERROR(SEARCH("Buy",E42)))</formula>
    </cfRule>
    <cfRule type="containsText" dxfId="11260" priority="845" operator="containsText" text="Sell">
      <formula>NOT(ISERROR(SEARCH("Sell",E42)))</formula>
    </cfRule>
  </conditionalFormatting>
  <conditionalFormatting sqref="E45">
    <cfRule type="containsText" dxfId="11259" priority="828" operator="containsText" text="Buy">
      <formula>NOT(ISERROR(SEARCH("Buy",E45)))</formula>
    </cfRule>
    <cfRule type="containsText" dxfId="11258" priority="829" operator="containsText" text="Sell">
      <formula>NOT(ISERROR(SEARCH("Sell",E45)))</formula>
    </cfRule>
  </conditionalFormatting>
  <conditionalFormatting sqref="E44">
    <cfRule type="containsText" dxfId="11257" priority="826" operator="containsText" text="Buy">
      <formula>NOT(ISERROR(SEARCH("Buy",E44)))</formula>
    </cfRule>
    <cfRule type="containsText" dxfId="11256" priority="827" operator="containsText" text="Sell">
      <formula>NOT(ISERROR(SEARCH("Sell",E44)))</formula>
    </cfRule>
  </conditionalFormatting>
  <conditionalFormatting sqref="L5:M5">
    <cfRule type="dataBar" priority="7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{E488F915-1C3D-47BB-86EF-9C8ACF41DA0A}</x14:id>
        </ext>
      </extLst>
    </cfRule>
  </conditionalFormatting>
  <conditionalFormatting sqref="L5">
    <cfRule type="dataBar" priority="7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{B726EF1A-793A-4E2F-8D4D-AE21ADFAA1F1}</x14:id>
        </ext>
      </extLst>
    </cfRule>
  </conditionalFormatting>
  <conditionalFormatting sqref="M5">
    <cfRule type="dataBar" priority="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{C0C8C393-AE43-49CF-B21C-D573117452B0}</x14:id>
        </ext>
      </extLst>
    </cfRule>
  </conditionalFormatting>
  <conditionalFormatting sqref="V5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{19FD5E0B-CED8-41A7-ADAF-B9BBAC90DBB1}</x14:id>
        </ext>
      </extLst>
    </cfRule>
  </conditionalFormatting>
  <conditionalFormatting sqref="W5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{8EAD6FB6-BA9C-4F18-9C20-D6A7F2460881}</x14:id>
        </ext>
      </extLst>
    </cfRule>
  </conditionalFormatting>
  <conditionalFormatting sqref="L5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{AAF2ADF1-F523-4631-B1D1-119ABAF82506}</x14:id>
        </ext>
      </extLst>
    </cfRule>
  </conditionalFormatting>
  <conditionalFormatting sqref="M5">
    <cfRule type="dataBar" priority="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{1A0C2878-5EDF-4908-9547-6CABABE6467C}</x14:id>
        </ext>
      </extLst>
    </cfRule>
  </conditionalFormatting>
  <conditionalFormatting sqref="X5">
    <cfRule type="dataBar" priority="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{343E65B9-639F-49E0-9258-46587D9A5BC6}</x14:id>
        </ext>
      </extLst>
    </cfRule>
  </conditionalFormatting>
  <conditionalFormatting sqref="L5">
    <cfRule type="dataBar" priority="7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{86C0957B-4695-4478-8DE0-3F862440A136}</x14:id>
        </ext>
      </extLst>
    </cfRule>
  </conditionalFormatting>
  <conditionalFormatting sqref="M5">
    <cfRule type="dataBar" priority="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{FA2F95E1-DD57-4A22-BEB5-A404259C9C6A}</x14:id>
        </ext>
      </extLst>
    </cfRule>
  </conditionalFormatting>
  <conditionalFormatting sqref="M5">
    <cfRule type="dataBar" priority="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{87D6FA95-7206-42FF-B394-159D1AAD6A08}</x14:id>
        </ext>
      </extLst>
    </cfRule>
  </conditionalFormatting>
  <conditionalFormatting sqref="M5">
    <cfRule type="dataBar" priority="7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{0E05BE1E-BC91-41AA-B1F7-79416F009F9A}</x14:id>
        </ext>
      </extLst>
    </cfRule>
  </conditionalFormatting>
  <conditionalFormatting sqref="M5">
    <cfRule type="dataBar" priority="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{074BDBFF-0746-4062-8DA2-A76C3718119B}</x14:id>
        </ext>
      </extLst>
    </cfRule>
  </conditionalFormatting>
  <conditionalFormatting sqref="Y5">
    <cfRule type="dataBar" priority="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{2B515C02-C5A7-4744-870E-88B9FB78CC26}</x14:id>
        </ext>
      </extLst>
    </cfRule>
  </conditionalFormatting>
  <conditionalFormatting sqref="Y5">
    <cfRule type="dataBar" priority="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{3D7321FC-94B7-42EA-BACB-00762D66AD06}</x14:id>
        </ext>
      </extLst>
    </cfRule>
  </conditionalFormatting>
  <conditionalFormatting sqref="L5:M5">
    <cfRule type="dataBar" priority="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{8AE911D2-5374-4B6E-B516-9E495A6976A5}</x14:id>
        </ext>
      </extLst>
    </cfRule>
  </conditionalFormatting>
  <conditionalFormatting sqref="L5:M5">
    <cfRule type="dataBar" priority="7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{5FC54664-625E-44AE-BF67-49815C3CBEB7}</x14:id>
        </ext>
      </extLst>
    </cfRule>
  </conditionalFormatting>
  <conditionalFormatting sqref="L5:M5">
    <cfRule type="dataBar" priority="7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{6B5201A0-85A3-4BEE-ACBE-9FC960D375EC}</x14:id>
        </ext>
      </extLst>
    </cfRule>
  </conditionalFormatting>
  <conditionalFormatting sqref="L5:M5">
    <cfRule type="dataBar" priority="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{F43F34C2-342C-49BD-968D-6C222810F615}</x14:id>
        </ext>
      </extLst>
    </cfRule>
  </conditionalFormatting>
  <conditionalFormatting sqref="V6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{E33CF32F-ACE6-4A9F-B86E-5EE420B1D4D9}</x14:id>
        </ext>
      </extLst>
    </cfRule>
  </conditionalFormatting>
  <conditionalFormatting sqref="W6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{D1E2C1B1-69A3-438A-9241-6A49A97BD0C1}</x14:id>
        </ext>
      </extLst>
    </cfRule>
  </conditionalFormatting>
  <conditionalFormatting sqref="X6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{64081C63-6F9F-4B97-A412-32AF934DCD61}</x14:id>
        </ext>
      </extLst>
    </cfRule>
  </conditionalFormatting>
  <conditionalFormatting sqref="Y6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{4E00379B-186B-4958-B0B1-9BC07F592861}</x14:id>
        </ext>
      </extLst>
    </cfRule>
  </conditionalFormatting>
  <conditionalFormatting sqref="Y6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{0249815F-8B03-4719-8FF6-B754C98331FB}</x14:id>
        </ext>
      </extLst>
    </cfRule>
  </conditionalFormatting>
  <conditionalFormatting sqref="L7:M7">
    <cfRule type="dataBar" priority="5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{6BE161FF-3B88-4042-BB5A-DB7B32639BB9}</x14:id>
        </ext>
      </extLst>
    </cfRule>
  </conditionalFormatting>
  <conditionalFormatting sqref="L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{A4B136EF-3473-4BF0-8C1B-7297D37C2A63}</x14:id>
        </ext>
      </extLst>
    </cfRule>
  </conditionalFormatting>
  <conditionalFormatting sqref="M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{8F30CFC5-0EF9-42E3-A450-7F6B94A2CC4E}</x14:id>
        </ext>
      </extLst>
    </cfRule>
  </conditionalFormatting>
  <conditionalFormatting sqref="V7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{1329B8AA-DA33-4434-9997-3C63B7A04FB0}</x14:id>
        </ext>
      </extLst>
    </cfRule>
  </conditionalFormatting>
  <conditionalFormatting sqref="W7">
    <cfRule type="dataBar" priority="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{D2E2DB35-A4AF-495E-869B-D351AEF89C55}</x14:id>
        </ext>
      </extLst>
    </cfRule>
  </conditionalFormatting>
  <conditionalFormatting sqref="L7">
    <cfRule type="dataBar" priority="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{A40A0E6D-793E-4203-B830-F14B0A688917}</x14:id>
        </ext>
      </extLst>
    </cfRule>
  </conditionalFormatting>
  <conditionalFormatting sqref="M7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{6CD03877-9853-40B1-B1B0-A67B2FCDA928}</x14:id>
        </ext>
      </extLst>
    </cfRule>
  </conditionalFormatting>
  <conditionalFormatting sqref="X7">
    <cfRule type="dataBar" priority="6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{5A83B978-0558-4922-8382-FE12DA3B34C5}</x14:id>
        </ext>
      </extLst>
    </cfRule>
  </conditionalFormatting>
  <conditionalFormatting sqref="L7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{44EF5B58-4082-47C8-A91A-7B23C8E64036}</x14:id>
        </ext>
      </extLst>
    </cfRule>
  </conditionalFormatting>
  <conditionalFormatting sqref="M7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{F4259D9B-9542-4F94-9F68-FE760F5DD46D}</x14:id>
        </ext>
      </extLst>
    </cfRule>
  </conditionalFormatting>
  <conditionalFormatting sqref="M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{B5E7A161-57C1-4E64-A00B-C84C2BB5AB68}</x14:id>
        </ext>
      </extLst>
    </cfRule>
  </conditionalFormatting>
  <conditionalFormatting sqref="M7">
    <cfRule type="dataBar" priority="5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{3BE05407-F6C1-4C3C-B342-2DFE7DDA8566}</x14:id>
        </ext>
      </extLst>
    </cfRule>
  </conditionalFormatting>
  <conditionalFormatting sqref="M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{B9AE7566-8571-4A44-8D04-41F25E0B309A}</x14:id>
        </ext>
      </extLst>
    </cfRule>
  </conditionalFormatting>
  <conditionalFormatting sqref="Y7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{880D8665-BD09-4D9D-AF6F-01A3A1DC8980}</x14:id>
        </ext>
      </extLst>
    </cfRule>
  </conditionalFormatting>
  <conditionalFormatting sqref="Y7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{19B37101-3F5E-4F1E-A58F-F3AEB8AFFE55}</x14:id>
        </ext>
      </extLst>
    </cfRule>
  </conditionalFormatting>
  <conditionalFormatting sqref="L7:M7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{20AAFA94-E8A0-4200-B147-9F4B700A90C6}</x14:id>
        </ext>
      </extLst>
    </cfRule>
  </conditionalFormatting>
  <conditionalFormatting sqref="L7:M7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{AF73B18C-DC7D-4ECE-9FF5-CB684C056AFC}</x14:id>
        </ext>
      </extLst>
    </cfRule>
  </conditionalFormatting>
  <conditionalFormatting sqref="L7:M7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{5B572D26-C6D5-4AA9-BF9A-D13FA591C05D}</x14:id>
        </ext>
      </extLst>
    </cfRule>
  </conditionalFormatting>
  <conditionalFormatting sqref="L7:M7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{A3DC1F5F-125D-44A9-96D9-AF1E8440EC5F}</x14:id>
        </ext>
      </extLst>
    </cfRule>
  </conditionalFormatting>
  <conditionalFormatting sqref="E53">
    <cfRule type="containsText" dxfId="11255" priority="554" operator="containsText" text="Buy">
      <formula>NOT(ISERROR(SEARCH("Buy",E53)))</formula>
    </cfRule>
    <cfRule type="containsText" dxfId="11254" priority="555" operator="containsText" text="Sell">
      <formula>NOT(ISERROR(SEARCH("Sell",E53)))</formula>
    </cfRule>
  </conditionalFormatting>
  <conditionalFormatting sqref="E54">
    <cfRule type="containsText" dxfId="11253" priority="556" operator="containsText" text="Buy">
      <formula>NOT(ISERROR(SEARCH("Buy",E54)))</formula>
    </cfRule>
    <cfRule type="containsText" dxfId="11252" priority="557" operator="containsText" text="Sell">
      <formula>NOT(ISERROR(SEARCH("Sell",E54)))</formula>
    </cfRule>
  </conditionalFormatting>
  <conditionalFormatting sqref="E47">
    <cfRule type="containsText" dxfId="11251" priority="566" operator="containsText" text="Buy">
      <formula>NOT(ISERROR(SEARCH("Buy",E47)))</formula>
    </cfRule>
    <cfRule type="containsText" dxfId="11250" priority="567" operator="containsText" text="Sell">
      <formula>NOT(ISERROR(SEARCH("Sell",E47)))</formula>
    </cfRule>
  </conditionalFormatting>
  <conditionalFormatting sqref="E48">
    <cfRule type="containsText" dxfId="11249" priority="568" operator="containsText" text="Buy">
      <formula>NOT(ISERROR(SEARCH("Buy",E48)))</formula>
    </cfRule>
    <cfRule type="containsText" dxfId="11248" priority="569" operator="containsText" text="Sell">
      <formula>NOT(ISERROR(SEARCH("Sell",E48)))</formula>
    </cfRule>
  </conditionalFormatting>
  <conditionalFormatting sqref="E51">
    <cfRule type="containsText" dxfId="11247" priority="560" operator="containsText" text="Buy">
      <formula>NOT(ISERROR(SEARCH("Buy",E51)))</formula>
    </cfRule>
    <cfRule type="containsText" dxfId="11246" priority="561" operator="containsText" text="Sell">
      <formula>NOT(ISERROR(SEARCH("Sell",E51)))</formula>
    </cfRule>
  </conditionalFormatting>
  <conditionalFormatting sqref="E50">
    <cfRule type="containsText" dxfId="11245" priority="558" operator="containsText" text="Buy">
      <formula>NOT(ISERROR(SEARCH("Buy",E50)))</formula>
    </cfRule>
    <cfRule type="containsText" dxfId="11244" priority="559" operator="containsText" text="Sell">
      <formula>NOT(ISERROR(SEARCH("Sell",E50)))</formula>
    </cfRule>
  </conditionalFormatting>
  <conditionalFormatting sqref="E68">
    <cfRule type="containsText" dxfId="11243" priority="522" operator="containsText" text="Buy">
      <formula>NOT(ISERROR(SEARCH("Buy",E68)))</formula>
    </cfRule>
    <cfRule type="containsText" dxfId="11242" priority="523" operator="containsText" text="Sell">
      <formula>NOT(ISERROR(SEARCH("Sell",E68)))</formula>
    </cfRule>
  </conditionalFormatting>
  <conditionalFormatting sqref="E69">
    <cfRule type="containsText" dxfId="11241" priority="520" operator="containsText" text="Buy">
      <formula>NOT(ISERROR(SEARCH("Buy",E69)))</formula>
    </cfRule>
    <cfRule type="containsText" dxfId="11240" priority="521" operator="containsText" text="Sell">
      <formula>NOT(ISERROR(SEARCH("Sell",E69)))</formula>
    </cfRule>
  </conditionalFormatting>
  <conditionalFormatting sqref="E73">
    <cfRule type="containsText" dxfId="11239" priority="514" operator="containsText" text="Buy">
      <formula>NOT(ISERROR(SEARCH("Buy",E73)))</formula>
    </cfRule>
    <cfRule type="containsText" dxfId="11238" priority="515" operator="containsText" text="Sell">
      <formula>NOT(ISERROR(SEARCH("Sell",E73)))</formula>
    </cfRule>
  </conditionalFormatting>
  <conditionalFormatting sqref="E71">
    <cfRule type="containsText" dxfId="11237" priority="524" operator="containsText" text="Buy">
      <formula>NOT(ISERROR(SEARCH("Buy",E71)))</formula>
    </cfRule>
    <cfRule type="containsText" dxfId="11236" priority="525" operator="containsText" text="Sell">
      <formula>NOT(ISERROR(SEARCH("Sell",E71)))</formula>
    </cfRule>
  </conditionalFormatting>
  <conditionalFormatting sqref="E56">
    <cfRule type="containsText" dxfId="11235" priority="550" operator="containsText" text="Buy">
      <formula>NOT(ISERROR(SEARCH("Buy",E56)))</formula>
    </cfRule>
    <cfRule type="containsText" dxfId="11234" priority="551" operator="containsText" text="Sell">
      <formula>NOT(ISERROR(SEARCH("Sell",E56)))</formula>
    </cfRule>
  </conditionalFormatting>
  <conditionalFormatting sqref="E57">
    <cfRule type="containsText" dxfId="11233" priority="552" operator="containsText" text="Buy">
      <formula>NOT(ISERROR(SEARCH("Buy",E57)))</formula>
    </cfRule>
    <cfRule type="containsText" dxfId="11232" priority="553" operator="containsText" text="Sell">
      <formula>NOT(ISERROR(SEARCH("Sell",E57)))</formula>
    </cfRule>
  </conditionalFormatting>
  <conditionalFormatting sqref="E59">
    <cfRule type="containsText" dxfId="11231" priority="542" operator="containsText" text="Buy">
      <formula>NOT(ISERROR(SEARCH("Buy",E59)))</formula>
    </cfRule>
    <cfRule type="containsText" dxfId="11230" priority="543" operator="containsText" text="Sell">
      <formula>NOT(ISERROR(SEARCH("Sell",E59)))</formula>
    </cfRule>
  </conditionalFormatting>
  <conditionalFormatting sqref="E60">
    <cfRule type="containsText" dxfId="11229" priority="544" operator="containsText" text="Buy">
      <formula>NOT(ISERROR(SEARCH("Buy",E60)))</formula>
    </cfRule>
    <cfRule type="containsText" dxfId="11228" priority="545" operator="containsText" text="Sell">
      <formula>NOT(ISERROR(SEARCH("Sell",E60)))</formula>
    </cfRule>
  </conditionalFormatting>
  <conditionalFormatting sqref="E62">
    <cfRule type="containsText" dxfId="11227" priority="538" operator="containsText" text="Buy">
      <formula>NOT(ISERROR(SEARCH("Buy",E62)))</formula>
    </cfRule>
    <cfRule type="containsText" dxfId="11226" priority="539" operator="containsText" text="Sell">
      <formula>NOT(ISERROR(SEARCH("Sell",E62)))</formula>
    </cfRule>
  </conditionalFormatting>
  <conditionalFormatting sqref="E63">
    <cfRule type="containsText" dxfId="11225" priority="540" operator="containsText" text="Buy">
      <formula>NOT(ISERROR(SEARCH("Buy",E63)))</formula>
    </cfRule>
    <cfRule type="containsText" dxfId="11224" priority="541" operator="containsText" text="Sell">
      <formula>NOT(ISERROR(SEARCH("Sell",E63)))</formula>
    </cfRule>
  </conditionalFormatting>
  <conditionalFormatting sqref="E65">
    <cfRule type="containsText" dxfId="11223" priority="530" operator="containsText" text="Buy">
      <formula>NOT(ISERROR(SEARCH("Buy",E65)))</formula>
    </cfRule>
    <cfRule type="containsText" dxfId="11222" priority="531" operator="containsText" text="Sell">
      <formula>NOT(ISERROR(SEARCH("Sell",E65)))</formula>
    </cfRule>
  </conditionalFormatting>
  <conditionalFormatting sqref="E66">
    <cfRule type="containsText" dxfId="11221" priority="532" operator="containsText" text="Buy">
      <formula>NOT(ISERROR(SEARCH("Buy",E66)))</formula>
    </cfRule>
    <cfRule type="containsText" dxfId="11220" priority="533" operator="containsText" text="Sell">
      <formula>NOT(ISERROR(SEARCH("Sell",E66)))</formula>
    </cfRule>
  </conditionalFormatting>
  <conditionalFormatting sqref="E74">
    <cfRule type="containsText" dxfId="11219" priority="516" operator="containsText" text="Buy">
      <formula>NOT(ISERROR(SEARCH("Buy",E74)))</formula>
    </cfRule>
    <cfRule type="containsText" dxfId="11218" priority="517" operator="containsText" text="Sell">
      <formula>NOT(ISERROR(SEARCH("Sell",E74)))</formula>
    </cfRule>
  </conditionalFormatting>
  <conditionalFormatting sqref="E70">
    <cfRule type="containsText" dxfId="11217" priority="518" operator="containsText" text="Buy">
      <formula>NOT(ISERROR(SEARCH("Buy",E70)))</formula>
    </cfRule>
    <cfRule type="containsText" dxfId="11216" priority="519" operator="containsText" text="Sell">
      <formula>NOT(ISERROR(SEARCH("Sell",E70)))</formula>
    </cfRule>
  </conditionalFormatting>
  <conditionalFormatting sqref="X12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{A0F4FB7D-AE6E-41B9-9E87-B46397F5BC95}</x14:id>
        </ext>
      </extLst>
    </cfRule>
  </conditionalFormatting>
  <conditionalFormatting sqref="V1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{ACAF35B9-C277-48DB-B420-E7775EA2C533}</x14:id>
        </ext>
      </extLst>
    </cfRule>
  </conditionalFormatting>
  <conditionalFormatting sqref="W1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{7588D3A7-C033-4EDC-AC0C-CBE601DB5655}</x14:id>
        </ext>
      </extLst>
    </cfRule>
  </conditionalFormatting>
  <conditionalFormatting sqref="L12:M12">
    <cfRule type="dataBar" priority="5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{7281CC92-9803-457F-99C0-60C3832BD864}</x14:id>
        </ext>
      </extLst>
    </cfRule>
  </conditionalFormatting>
  <conditionalFormatting sqref="L12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{A7B7B855-A12A-4E58-A176-010B0006A9D2}</x14:id>
        </ext>
      </extLst>
    </cfRule>
  </conditionalFormatting>
  <conditionalFormatting sqref="M12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{C744EDD5-B32B-4253-8CB6-AECEA05A8D03}</x14:id>
        </ext>
      </extLst>
    </cfRule>
  </conditionalFormatting>
  <conditionalFormatting sqref="L12:M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{7B4B9D24-BE07-44FE-96FF-9A1AB76AF199}</x14:id>
        </ext>
      </extLst>
    </cfRule>
  </conditionalFormatting>
  <conditionalFormatting sqref="X13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{77A3FD9E-1480-4D53-8143-DF10C27FFE4C}</x14:id>
        </ext>
      </extLst>
    </cfRule>
  </conditionalFormatting>
  <conditionalFormatting sqref="V13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{AFAEA434-2156-462E-8E92-53DB490B02E8}</x14:id>
        </ext>
      </extLst>
    </cfRule>
  </conditionalFormatting>
  <conditionalFormatting sqref="W13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{E54C47A8-1261-4E17-B1F1-7A4A1D84BA1D}</x14:id>
        </ext>
      </extLst>
    </cfRule>
  </conditionalFormatting>
  <conditionalFormatting sqref="L13:M13">
    <cfRule type="dataBar" priority="4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{A22F8045-4956-48B9-960D-AA5981404F00}</x14:id>
        </ext>
      </extLst>
    </cfRule>
  </conditionalFormatting>
  <conditionalFormatting sqref="L13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{18028FBE-EAA8-46F0-B04A-9F9D3B82E83B}</x14:id>
        </ext>
      </extLst>
    </cfRule>
  </conditionalFormatting>
  <conditionalFormatting sqref="M13">
    <cfRule type="dataBar" priority="4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{8980283E-AC7E-4C49-B1C6-C446F534D1AB}</x14:id>
        </ext>
      </extLst>
    </cfRule>
  </conditionalFormatting>
  <conditionalFormatting sqref="L13:M13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{89725396-B35E-4C1B-A91D-75E03744D6C9}</x14:id>
        </ext>
      </extLst>
    </cfRule>
  </conditionalFormatting>
  <conditionalFormatting sqref="X14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{691B4D12-AB0C-4258-8E48-209A84DEE96B}</x14:id>
        </ext>
      </extLst>
    </cfRule>
  </conditionalFormatting>
  <conditionalFormatting sqref="V14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{CEAE64FA-EEC8-4CC0-833A-72DE6210ADB8}</x14:id>
        </ext>
      </extLst>
    </cfRule>
  </conditionalFormatting>
  <conditionalFormatting sqref="W14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{5AA8DC69-CC31-4864-BD33-BABAFB8B97CE}</x14:id>
        </ext>
      </extLst>
    </cfRule>
  </conditionalFormatting>
  <conditionalFormatting sqref="L14:M14">
    <cfRule type="dataBar" priority="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{63047067-F191-422C-8F99-633567C3BE3F}</x14:id>
        </ext>
      </extLst>
    </cfRule>
  </conditionalFormatting>
  <conditionalFormatting sqref="L14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{72118290-B197-44CC-86F1-982F0EA05FA7}</x14:id>
        </ext>
      </extLst>
    </cfRule>
  </conditionalFormatting>
  <conditionalFormatting sqref="M14">
    <cfRule type="dataBar" priority="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{E68AC4A5-D72F-4E00-AD6F-308150B4A4E0}</x14:id>
        </ext>
      </extLst>
    </cfRule>
  </conditionalFormatting>
  <conditionalFormatting sqref="L14:M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{C68153F5-0B6D-421D-9171-66DAC6289CDC}</x14:id>
        </ext>
      </extLst>
    </cfRule>
  </conditionalFormatting>
  <conditionalFormatting sqref="X16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{3E8E8FD1-9719-48A4-9BC7-6C129732FDE1}</x14:id>
        </ext>
      </extLst>
    </cfRule>
  </conditionalFormatting>
  <conditionalFormatting sqref="V16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{7001A3AB-9C90-4580-89C8-1728D1F1E900}</x14:id>
        </ext>
      </extLst>
    </cfRule>
  </conditionalFormatting>
  <conditionalFormatting sqref="W16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{14F79D59-2413-484B-890C-68316AC60A56}</x14:id>
        </ext>
      </extLst>
    </cfRule>
  </conditionalFormatting>
  <conditionalFormatting sqref="L16:M16">
    <cfRule type="dataBar" priority="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{B4EA738A-BD78-461C-AEC6-66FD2F5E97AF}</x14:id>
        </ext>
      </extLst>
    </cfRule>
  </conditionalFormatting>
  <conditionalFormatting sqref="L16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{7D79DA4D-FDD0-4B82-98DA-7F8430BAC00B}</x14:id>
        </ext>
      </extLst>
    </cfRule>
  </conditionalFormatting>
  <conditionalFormatting sqref="M16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{FF6168B7-8A7F-4E8C-8606-01BF739719F4}</x14:id>
        </ext>
      </extLst>
    </cfRule>
  </conditionalFormatting>
  <conditionalFormatting sqref="L16:M16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{5AFDD0C9-0C50-4852-9E23-8F4B37A5A2E4}</x14:id>
        </ext>
      </extLst>
    </cfRule>
  </conditionalFormatting>
  <conditionalFormatting sqref="X17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{A5B96EE6-DBC2-4938-AD2E-7EBB4BB5DFDE}</x14:id>
        </ext>
      </extLst>
    </cfRule>
  </conditionalFormatting>
  <conditionalFormatting sqref="V17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{910121FF-DF75-436F-A54F-3A8576F0FC27}</x14:id>
        </ext>
      </extLst>
    </cfRule>
  </conditionalFormatting>
  <conditionalFormatting sqref="W17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{51C60543-A29E-4B01-AA4E-77A29B07F203}</x14:id>
        </ext>
      </extLst>
    </cfRule>
  </conditionalFormatting>
  <conditionalFormatting sqref="L17:M17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{C3265403-7148-433C-9E95-302B2CE1C626}</x14:id>
        </ext>
      </extLst>
    </cfRule>
  </conditionalFormatting>
  <conditionalFormatting sqref="L17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{561BF13E-06BC-4558-AA98-A8424BC2B6D9}</x14:id>
        </ext>
      </extLst>
    </cfRule>
  </conditionalFormatting>
  <conditionalFormatting sqref="M17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{DBA2122C-63F1-45C0-8BA8-699D7770DA9B}</x14:id>
        </ext>
      </extLst>
    </cfRule>
  </conditionalFormatting>
  <conditionalFormatting sqref="L17:M17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{9C10A78D-750B-4CA4-B5C2-9FC31C539AD4}</x14:id>
        </ext>
      </extLst>
    </cfRule>
  </conditionalFormatting>
  <conditionalFormatting sqref="X1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{995BAAB0-1743-4769-8CDF-FDF7241CC700}</x14:id>
        </ext>
      </extLst>
    </cfRule>
  </conditionalFormatting>
  <conditionalFormatting sqref="V19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{DFB88A46-5981-40D0-AB70-BE5A77C6451B}</x14:id>
        </ext>
      </extLst>
    </cfRule>
  </conditionalFormatting>
  <conditionalFormatting sqref="W19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{88B17F81-2754-4CF4-A92D-6C83D8CD2A00}</x14:id>
        </ext>
      </extLst>
    </cfRule>
  </conditionalFormatting>
  <conditionalFormatting sqref="L19:M19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{5F4FE92A-CCF5-4CBA-B389-255A2E77AE76}</x14:id>
        </ext>
      </extLst>
    </cfRule>
  </conditionalFormatting>
  <conditionalFormatting sqref="L19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{5437B25A-F1F5-467F-9F1F-7D45D6B072BA}</x14:id>
        </ext>
      </extLst>
    </cfRule>
  </conditionalFormatting>
  <conditionalFormatting sqref="M19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{5D397A2E-D11A-4E22-A1AF-1F06BE3B38D9}</x14:id>
        </ext>
      </extLst>
    </cfRule>
  </conditionalFormatting>
  <conditionalFormatting sqref="L19:M19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{6F317626-BACA-4280-8AA8-FCC1E222DEC5}</x14:id>
        </ext>
      </extLst>
    </cfRule>
  </conditionalFormatting>
  <conditionalFormatting sqref="L11:M11">
    <cfRule type="dataBar" priority="2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{FCA597F1-4A57-4054-B27C-62CCB9D59A6D}</x14:id>
        </ext>
      </extLst>
    </cfRule>
  </conditionalFormatting>
  <conditionalFormatting sqref="L11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{58C59544-54D1-45AE-B906-DE5BE86167F5}</x14:id>
        </ext>
      </extLst>
    </cfRule>
  </conditionalFormatting>
  <conditionalFormatting sqref="M11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{3094A2C6-C914-4B51-B7F8-661FFE3D2AC4}</x14:id>
        </ext>
      </extLst>
    </cfRule>
  </conditionalFormatting>
  <conditionalFormatting sqref="V1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{03775914-B6AC-4264-B1BC-3A5B505E499F}</x14:id>
        </ext>
      </extLst>
    </cfRule>
  </conditionalFormatting>
  <conditionalFormatting sqref="W11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{208AAC19-C38A-4D46-9082-196DBE00A054}</x14:id>
        </ext>
      </extLst>
    </cfRule>
  </conditionalFormatting>
  <conditionalFormatting sqref="L11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{BC25E095-F319-4AD5-8405-817E116FFCD0}</x14:id>
        </ext>
      </extLst>
    </cfRule>
  </conditionalFormatting>
  <conditionalFormatting sqref="M11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{B827714C-E25D-4E21-80F8-C62AADF9EF54}</x14:id>
        </ext>
      </extLst>
    </cfRule>
  </conditionalFormatting>
  <conditionalFormatting sqref="X11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{AC4BDEA5-8683-48DE-97E9-D039DC63EC23}</x14:id>
        </ext>
      </extLst>
    </cfRule>
  </conditionalFormatting>
  <conditionalFormatting sqref="L11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{49743BF9-7F65-4733-AA72-F68ECA505EE5}</x14:id>
        </ext>
      </extLst>
    </cfRule>
  </conditionalFormatting>
  <conditionalFormatting sqref="M11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{BA4CC18F-FE6D-4EC8-95F7-C299F8B1FADA}</x14:id>
        </ext>
      </extLst>
    </cfRule>
  </conditionalFormatting>
  <conditionalFormatting sqref="M11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{2D901A4D-3543-44D9-B577-E066195F9EBE}</x14:id>
        </ext>
      </extLst>
    </cfRule>
  </conditionalFormatting>
  <conditionalFormatting sqref="M11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{F01C2E1A-1FA5-46B5-A242-092C00CDF6F4}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{9B540961-827B-401C-B802-762D7AF80504}</x14:id>
        </ext>
      </extLst>
    </cfRule>
  </conditionalFormatting>
  <conditionalFormatting sqref="Y11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{CABEA256-F857-4288-B176-8FCF0CB72A3C}</x14:id>
        </ext>
      </extLst>
    </cfRule>
  </conditionalFormatting>
  <conditionalFormatting sqref="Y11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{3E143A93-A61C-4464-A926-572EA9F129A9}</x14:id>
        </ext>
      </extLst>
    </cfRule>
  </conditionalFormatting>
  <conditionalFormatting sqref="L11:M11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{DC5C977D-9172-4AA9-9204-50C8FBC8BC47}</x14:id>
        </ext>
      </extLst>
    </cfRule>
  </conditionalFormatting>
  <conditionalFormatting sqref="L11:M11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{75F541A8-4E41-4035-9CC0-9C0747E21233}</x14:id>
        </ext>
      </extLst>
    </cfRule>
  </conditionalFormatting>
  <conditionalFormatting sqref="L11: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{9D842393-4BBA-4A3C-8665-B799979DDCFF}</x14:id>
        </ext>
      </extLst>
    </cfRule>
  </conditionalFormatting>
  <conditionalFormatting sqref="L11: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{3EE241A2-B791-4578-B60C-9E9AD6BE9B09}</x14:id>
        </ext>
      </extLst>
    </cfRule>
  </conditionalFormatting>
  <conditionalFormatting sqref="X15">
    <cfRule type="dataBar" priority="1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{DE455D3D-9E76-45A2-B653-20C2CE3880BB}</x14:id>
        </ext>
      </extLst>
    </cfRule>
  </conditionalFormatting>
  <conditionalFormatting sqref="V15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{FEB0A6A7-3301-47B3-9236-C446E0A2D3DD}</x14:id>
        </ext>
      </extLst>
    </cfRule>
  </conditionalFormatting>
  <conditionalFormatting sqref="W15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{4A750F0F-F5A5-42C6-9721-9AE0A39D1EBD}</x14:id>
        </ext>
      </extLst>
    </cfRule>
  </conditionalFormatting>
  <conditionalFormatting sqref="L15:M15">
    <cfRule type="dataBar" priority="1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{7C243698-F870-4E4D-8570-EFC8515C5D69}</x14:id>
        </ext>
      </extLst>
    </cfRule>
  </conditionalFormatting>
  <conditionalFormatting sqref="L15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{0BAEEAB5-FEA5-4552-9D9D-226AB12F61DA}</x14:id>
        </ext>
      </extLst>
    </cfRule>
  </conditionalFormatting>
  <conditionalFormatting sqref="M15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{2023B3DF-10B1-4A49-A9BA-4E477DD1FAB7}</x14:id>
        </ext>
      </extLst>
    </cfRule>
  </conditionalFormatting>
  <conditionalFormatting sqref="L15:M15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{DB7D0620-7AAE-4E41-87B8-377241EAC223}</x14:id>
        </ext>
      </extLst>
    </cfRule>
  </conditionalFormatting>
  <conditionalFormatting sqref="L9:M9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{38F3AA0F-7BFA-49F2-9306-A70E3583D77C}</x14:id>
        </ext>
      </extLst>
    </cfRule>
  </conditionalFormatting>
  <conditionalFormatting sqref="L9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{50ACFAB6-FC9F-46F9-A096-350C6818F620}</x14:id>
        </ext>
      </extLst>
    </cfRule>
  </conditionalFormatting>
  <conditionalFormatting sqref="M9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{D94B95AA-9472-4428-AC92-99153B0BFE2C}</x14:id>
        </ext>
      </extLst>
    </cfRule>
  </conditionalFormatting>
  <conditionalFormatting sqref="V9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{DFBBE0FE-7093-4AE0-852B-B739092D65C4}</x14:id>
        </ext>
      </extLst>
    </cfRule>
  </conditionalFormatting>
  <conditionalFormatting sqref="W9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{C40DD93B-B264-4DE4-8E8D-109DC5FF654B}</x14:id>
        </ext>
      </extLst>
    </cfRule>
  </conditionalFormatting>
  <conditionalFormatting sqref="L9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{FCA0CE7A-439B-4971-9380-D4B3ECABCCE4}</x14:id>
        </ext>
      </extLst>
    </cfRule>
  </conditionalFormatting>
  <conditionalFormatting sqref="M9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{A051F9AD-F0B4-4FD6-AE09-5349E8C32FF4}</x14:id>
        </ext>
      </extLst>
    </cfRule>
  </conditionalFormatting>
  <conditionalFormatting sqref="X9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{2DCDF391-A212-4290-BE34-5CA4E1D4D47F}</x14:id>
        </ext>
      </extLst>
    </cfRule>
  </conditionalFormatting>
  <conditionalFormatting sqref="L9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{493FAFBA-DEB0-4494-85A1-6C1B56C91B8A}</x14:id>
        </ext>
      </extLst>
    </cfRule>
  </conditionalFormatting>
  <conditionalFormatting sqref="M9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{57DB9024-B9CF-4E32-A1E1-DC22D7699440}</x14:id>
        </ext>
      </extLst>
    </cfRule>
  </conditionalFormatting>
  <conditionalFormatting sqref="M9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{74569A6F-4C58-4DE0-B1E1-6CAD700114C6}</x14:id>
        </ext>
      </extLst>
    </cfRule>
  </conditionalFormatting>
  <conditionalFormatting sqref="M9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{484F842E-69C4-49D5-9A12-14C5B3E789FA}</x14:id>
        </ext>
      </extLst>
    </cfRule>
  </conditionalFormatting>
  <conditionalFormatting sqref="M9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{702CE2FE-C518-47E3-B934-BCEE1CA1550D}</x14:id>
        </ext>
      </extLst>
    </cfRule>
  </conditionalFormatting>
  <conditionalFormatting sqref="Y9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{2766678E-9769-4A19-9EC1-62829AC7B5AC}</x14:id>
        </ext>
      </extLst>
    </cfRule>
  </conditionalFormatting>
  <conditionalFormatting sqref="Y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{29505E9F-CB54-4F96-837D-9F6A595E25DD}</x14:id>
        </ext>
      </extLst>
    </cfRule>
  </conditionalFormatting>
  <conditionalFormatting sqref="L9:M9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{38229471-2D23-487F-89B0-CC096B003562}</x14:id>
        </ext>
      </extLst>
    </cfRule>
  </conditionalFormatting>
  <conditionalFormatting sqref="L9:M9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{A5BBE459-BF18-41CB-86B0-A844CAB3670C}</x14:id>
        </ext>
      </extLst>
    </cfRule>
  </conditionalFormatting>
  <conditionalFormatting sqref="L9:M9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{5C7C5FF0-FEFC-477E-8B32-6921FF2E693E}</x14:id>
        </ext>
      </extLst>
    </cfRule>
  </conditionalFormatting>
  <conditionalFormatting sqref="L9:M9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{8A31897B-02EC-49CE-9A51-2AAD6E7AE6ED}</x14:id>
        </ext>
      </extLst>
    </cfRule>
  </conditionalFormatting>
  <conditionalFormatting sqref="E76">
    <cfRule type="containsText" dxfId="11215" priority="180" operator="containsText" text="Buy">
      <formula>NOT(ISERROR(SEARCH("Buy",E76)))</formula>
    </cfRule>
    <cfRule type="containsText" dxfId="11214" priority="181" operator="containsText" text="Sell">
      <formula>NOT(ISERROR(SEARCH("Sell",E76)))</formula>
    </cfRule>
  </conditionalFormatting>
  <conditionalFormatting sqref="E77">
    <cfRule type="containsText" dxfId="11213" priority="182" operator="containsText" text="Buy">
      <formula>NOT(ISERROR(SEARCH("Buy",E77)))</formula>
    </cfRule>
    <cfRule type="containsText" dxfId="11212" priority="183" operator="containsText" text="Sell">
      <formula>NOT(ISERROR(SEARCH("Sell",E77)))</formula>
    </cfRule>
  </conditionalFormatting>
  <conditionalFormatting sqref="E79">
    <cfRule type="containsText" dxfId="11211" priority="146" operator="containsText" text="Buy">
      <formula>NOT(ISERROR(SEARCH("Buy",E79)))</formula>
    </cfRule>
    <cfRule type="containsText" dxfId="11210" priority="147" operator="containsText" text="Sell">
      <formula>NOT(ISERROR(SEARCH("Sell",E79)))</formula>
    </cfRule>
  </conditionalFormatting>
  <conditionalFormatting sqref="E80">
    <cfRule type="containsText" dxfId="11209" priority="148" operator="containsText" text="Buy">
      <formula>NOT(ISERROR(SEARCH("Buy",E80)))</formula>
    </cfRule>
    <cfRule type="containsText" dxfId="11208" priority="149" operator="containsText" text="Sell">
      <formula>NOT(ISERROR(SEARCH("Sell",E80)))</formula>
    </cfRule>
  </conditionalFormatting>
  <conditionalFormatting sqref="L10:M10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{9734A564-8393-406F-A500-28D53B8F6C59}</x14:id>
        </ext>
      </extLst>
    </cfRule>
  </conditionalFormatting>
  <conditionalFormatting sqref="L10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{D40C3667-EF41-4F5E-BF37-9C5CDF7D346C}</x14:id>
        </ext>
      </extLst>
    </cfRule>
  </conditionalFormatting>
  <conditionalFormatting sqref="M1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{C84C06E4-902B-409B-9E35-466B5E76A967}</x14:id>
        </ext>
      </extLst>
    </cfRule>
  </conditionalFormatting>
  <conditionalFormatting sqref="V10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{2167E517-E554-4D8A-BF7C-F35873F72176}</x14:id>
        </ext>
      </extLst>
    </cfRule>
  </conditionalFormatting>
  <conditionalFormatting sqref="W10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{8AA3137C-46A6-4C6B-AFF8-123666E912B1}</x14:id>
        </ext>
      </extLst>
    </cfRule>
  </conditionalFormatting>
  <conditionalFormatting sqref="L10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{8508FBC6-8B60-428C-8374-AB003E8E13C2}</x14:id>
        </ext>
      </extLst>
    </cfRule>
  </conditionalFormatting>
  <conditionalFormatting sqref="M10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{1C96939A-F892-49A2-A92E-3B3567B00E11}</x14:id>
        </ext>
      </extLst>
    </cfRule>
  </conditionalFormatting>
  <conditionalFormatting sqref="X10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{497B377A-10D2-441B-A60F-C2419549B46B}</x14:id>
        </ext>
      </extLst>
    </cfRule>
  </conditionalFormatting>
  <conditionalFormatting sqref="L10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{458645C8-56BD-4117-BF17-CD4858855A3B}</x14:id>
        </ext>
      </extLst>
    </cfRule>
  </conditionalFormatting>
  <conditionalFormatting sqref="M10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{A203B281-9925-4976-BB97-EE5FC47C14F9}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{D2064DB7-E31B-453C-BC96-9336F3D9D984}</x14:id>
        </ext>
      </extLst>
    </cfRule>
  </conditionalFormatting>
  <conditionalFormatting sqref="M10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{DAEBD08B-DB90-4045-856A-DD4C87F017ED}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{A4C4032F-86D9-4B1E-A460-2F3678CE11F7}</x14:id>
        </ext>
      </extLst>
    </cfRule>
  </conditionalFormatting>
  <conditionalFormatting sqref="Y10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{1C339B60-88AE-41E1-9393-9B4AD52DC8FC}</x14:id>
        </ext>
      </extLst>
    </cfRule>
  </conditionalFormatting>
  <conditionalFormatting sqref="Y10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{1FDDD0B7-EFD7-4DB4-96B0-CCD7687D1DB9}</x14:id>
        </ext>
      </extLst>
    </cfRule>
  </conditionalFormatting>
  <conditionalFormatting sqref="L10:M10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{97049F76-799F-4ACA-ACCB-791AC8FA5E80}</x14:id>
        </ext>
      </extLst>
    </cfRule>
  </conditionalFormatting>
  <conditionalFormatting sqref="L10:M10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{6E93EE24-9035-4601-8C10-596254DDEF29}</x14:id>
        </ext>
      </extLst>
    </cfRule>
  </conditionalFormatting>
  <conditionalFormatting sqref="L10:M10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{369AB0FD-A765-4242-8B07-C571FC6710F3}</x14:id>
        </ext>
      </extLst>
    </cfRule>
  </conditionalFormatting>
  <conditionalFormatting sqref="L10:M10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{92917036-CEB9-46A8-A30F-7967417214E7}</x14:id>
        </ext>
      </extLst>
    </cfRule>
  </conditionalFormatting>
  <conditionalFormatting sqref="X18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{D3CC166B-3661-47D1-BF5B-E7132EDB2BE0}</x14:id>
        </ext>
      </extLst>
    </cfRule>
  </conditionalFormatting>
  <conditionalFormatting sqref="V1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{918D522B-4E2A-4D77-BC72-FD9CA265CAE3}</x14:id>
        </ext>
      </extLst>
    </cfRule>
  </conditionalFormatting>
  <conditionalFormatting sqref="W18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{34F7E8B2-A233-4600-A047-DA9E3B378FF3}</x14:id>
        </ext>
      </extLst>
    </cfRule>
  </conditionalFormatting>
  <conditionalFormatting sqref="L18:M18">
    <cfRule type="dataBar" priority="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{0BCA1AAF-5B88-4DE4-AABB-D383D4FF4CEC}</x14:id>
        </ext>
      </extLst>
    </cfRule>
  </conditionalFormatting>
  <conditionalFormatting sqref="L1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{82F2E322-0144-465A-BA2B-62E7E9201F22}</x14:id>
        </ext>
      </extLst>
    </cfRule>
  </conditionalFormatting>
  <conditionalFormatting sqref="M1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{3B76511D-E450-4524-85BD-710A01FD5396}</x14:id>
        </ext>
      </extLst>
    </cfRule>
  </conditionalFormatting>
  <conditionalFormatting sqref="L18:M1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{9C687C00-8054-4131-AC06-7D828CCA9E9A}</x14:id>
        </ext>
      </extLst>
    </cfRule>
  </conditionalFormatting>
  <conditionalFormatting sqref="E82">
    <cfRule type="containsText" dxfId="11207" priority="97" operator="containsText" text="Buy">
      <formula>NOT(ISERROR(SEARCH("Buy",E82)))</formula>
    </cfRule>
    <cfRule type="containsText" dxfId="11206" priority="98" operator="containsText" text="Sell">
      <formula>NOT(ISERROR(SEARCH("Sell",E82)))</formula>
    </cfRule>
  </conditionalFormatting>
  <conditionalFormatting sqref="E83">
    <cfRule type="containsText" dxfId="11205" priority="99" operator="containsText" text="Buy">
      <formula>NOT(ISERROR(SEARCH("Buy",E83)))</formula>
    </cfRule>
    <cfRule type="containsText" dxfId="11204" priority="100" operator="containsText" text="Sell">
      <formula>NOT(ISERROR(SEARCH("Sell",E83)))</formula>
    </cfRule>
  </conditionalFormatting>
  <conditionalFormatting sqref="L8:M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{9A0731A0-9AB4-4C42-818D-9FB3C91EB72C}</x14:id>
        </ext>
      </extLst>
    </cfRule>
  </conditionalFormatting>
  <conditionalFormatting sqref="L8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{1900B5EC-C246-4B2B-8669-23D54F600266}</x14:id>
        </ext>
      </extLst>
    </cfRule>
  </conditionalFormatting>
  <conditionalFormatting sqref="M8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{92A264E1-3C0A-4BE0-A98C-549F6037F18D}</x14:id>
        </ext>
      </extLst>
    </cfRule>
  </conditionalFormatting>
  <conditionalFormatting sqref="V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{A6E410EA-9CC0-4DD7-8283-A6BA60A7EE6D}</x14:id>
        </ext>
      </extLst>
    </cfRule>
  </conditionalFormatting>
  <conditionalFormatting sqref="W8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{F50901A5-3FDD-4DA5-AA7E-43A77CADED9B}</x14:id>
        </ext>
      </extLst>
    </cfRule>
  </conditionalFormatting>
  <conditionalFormatting sqref="L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{C538C99F-F57C-4566-B5FB-99CCF5312FAA}</x14:id>
        </ext>
      </extLst>
    </cfRule>
  </conditionalFormatting>
  <conditionalFormatting sqref="M8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{AE549A4D-16F1-4030-A516-F89F5893B3A7}</x14:id>
        </ext>
      </extLst>
    </cfRule>
  </conditionalFormatting>
  <conditionalFormatting sqref="X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{4DAA21B0-2018-4BFB-BDCA-AF87D8077A8A}</x14:id>
        </ext>
      </extLst>
    </cfRule>
  </conditionalFormatting>
  <conditionalFormatting sqref="L8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{30570498-7441-40E7-8FB2-1138106B9BC7}</x14:id>
        </ext>
      </extLst>
    </cfRule>
  </conditionalFormatting>
  <conditionalFormatting sqref="M8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{A18ED77D-B8F4-44CC-A6B1-344F06C59B0C}</x14:id>
        </ext>
      </extLst>
    </cfRule>
  </conditionalFormatting>
  <conditionalFormatting sqref="M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{2F3AC87D-3EC3-43C0-80FF-31450422CF03}</x14:id>
        </ext>
      </extLst>
    </cfRule>
  </conditionalFormatting>
  <conditionalFormatting sqref="M8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{A8EE533B-395A-4F4A-8CC8-4116AF66E34D}</x14:id>
        </ext>
      </extLst>
    </cfRule>
  </conditionalFormatting>
  <conditionalFormatting sqref="M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{D5F44D2E-9965-4474-ABC4-13F8F454189F}</x14:id>
        </ext>
      </extLst>
    </cfRule>
  </conditionalFormatting>
  <conditionalFormatting sqref="Y8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{1611A950-5F7A-46AD-B702-9C93BF049255}</x14:id>
        </ext>
      </extLst>
    </cfRule>
  </conditionalFormatting>
  <conditionalFormatting sqref="Y8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{961DFAA5-F079-46E8-8EF1-2F730E50EE3D}</x14:id>
        </ext>
      </extLst>
    </cfRule>
  </conditionalFormatting>
  <conditionalFormatting sqref="L8:M8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{D577F205-4B14-4191-9C68-B7B33097A066}</x14:id>
        </ext>
      </extLst>
    </cfRule>
  </conditionalFormatting>
  <conditionalFormatting sqref="L8:M8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{D828F826-89D6-493E-92BB-27EB2B171A01}</x14:id>
        </ext>
      </extLst>
    </cfRule>
  </conditionalFormatting>
  <conditionalFormatting sqref="L8:M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{6F126C35-0E5C-48FC-A498-889A2B5EE776}</x14:id>
        </ext>
      </extLst>
    </cfRule>
  </conditionalFormatting>
  <conditionalFormatting sqref="L8:M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{8C80C2D6-36B3-40AD-BEAD-27AD29810BB3}</x14:id>
        </ext>
      </extLst>
    </cfRule>
  </conditionalFormatting>
  <conditionalFormatting sqref="L6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{93F231E3-E9CC-4A1C-B443-0935157233B0}</x14:id>
        </ext>
      </extLst>
    </cfRule>
  </conditionalFormatting>
  <conditionalFormatting sqref="L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{AC358FC3-533B-440E-9611-1C12435B86F7}</x14:id>
        </ext>
      </extLst>
    </cfRule>
  </conditionalFormatting>
  <conditionalFormatting sqref="L6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{A9CF9CDD-CA7B-4DFC-AF28-601DFC437CB9}</x14:id>
        </ext>
      </extLst>
    </cfRule>
  </conditionalFormatting>
  <conditionalFormatting sqref="L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{3FC24769-043A-44DA-97AF-4B8414B2F7F4}</x14:id>
        </ext>
      </extLst>
    </cfRule>
  </conditionalFormatting>
  <conditionalFormatting sqref="L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{6B5F7E46-4664-4783-B741-F2427C99F9C2}</x14:id>
        </ext>
      </extLst>
    </cfRule>
  </conditionalFormatting>
  <conditionalFormatting sqref="L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{690E3556-33C2-490E-8ABB-175C5B103D79}</x14:id>
        </ext>
      </extLst>
    </cfRule>
  </conditionalFormatting>
  <conditionalFormatting sqref="L6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{CFE8CCCD-E38D-4938-A348-115D5728007B}</x14:id>
        </ext>
      </extLst>
    </cfRule>
  </conditionalFormatting>
  <conditionalFormatting sqref="L6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{A6EE5BC6-893B-4324-AFBE-61D20A57E2A9}</x14:id>
        </ext>
      </extLst>
    </cfRule>
  </conditionalFormatting>
  <conditionalFormatting sqref="M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{8E620781-3A88-4F3B-AE2B-30F67AB13388}</x14:id>
        </ext>
      </extLst>
    </cfRule>
  </conditionalFormatting>
  <conditionalFormatting sqref="M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{8D4723D7-8ACC-4B80-885F-2E0BD5874372}</x14:id>
        </ext>
      </extLst>
    </cfRule>
  </conditionalFormatting>
  <conditionalFormatting sqref="M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{A89DAA8F-1AC5-4A56-B730-E87AEB7893BA}</x14:id>
        </ext>
      </extLst>
    </cfRule>
  </conditionalFormatting>
  <conditionalFormatting sqref="M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{0391017B-BB3A-4203-9301-FDEEA3CC605F}</x14:id>
        </ext>
      </extLst>
    </cfRule>
  </conditionalFormatting>
  <conditionalFormatting sqref="M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{239E020A-358A-4FCE-A02B-5A79B41F9094}</x14:id>
        </ext>
      </extLst>
    </cfRule>
  </conditionalFormatting>
  <conditionalFormatting sqref="M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{AD09F228-E6F0-42EB-9335-83BFF77E557B}</x14:id>
        </ext>
      </extLst>
    </cfRule>
  </conditionalFormatting>
  <conditionalFormatting sqref="M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{CC6C270B-6451-4C43-97F5-9ED15EB5358D}</x14:id>
        </ext>
      </extLst>
    </cfRule>
  </conditionalFormatting>
  <conditionalFormatting sqref="M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{18D314F2-C86F-467F-B6E2-254CE3A65543}</x14:id>
        </ext>
      </extLst>
    </cfRule>
  </conditionalFormatting>
  <conditionalFormatting sqref="M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{799DA732-A6E9-4AE2-A37F-5BF9B3DAC8E3}</x14:id>
        </ext>
      </extLst>
    </cfRule>
  </conditionalFormatting>
  <conditionalFormatting sqref="M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{732AC3B5-7637-4D54-9A0F-7F00840FFE06}</x14:id>
        </ext>
      </extLst>
    </cfRule>
  </conditionalFormatting>
  <conditionalFormatting sqref="M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{8E3F7950-AE9A-4AEE-B4B2-0A93CE967A76}</x14:id>
        </ext>
      </extLst>
    </cfRule>
  </conditionalFormatting>
  <conditionalFormatting sqref="L5:M19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{9907540F-A608-4140-BFA1-B90F033BBBDE}</x14:id>
        </ext>
      </extLst>
    </cfRule>
  </conditionalFormatting>
  <conditionalFormatting sqref="L4:M4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{886BC36E-18E4-47FD-96A8-400CF84FB00A}</x14:id>
        </ext>
      </extLst>
    </cfRule>
  </conditionalFormatting>
  <conditionalFormatting sqref="L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{5D7C80FC-550F-4BBF-AD7E-4F1DAC1417BB}</x14:id>
        </ext>
      </extLst>
    </cfRule>
  </conditionalFormatting>
  <conditionalFormatting sqref="M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{4E26A657-14DF-4FB4-9DD6-3EBC3A80DB51}</x14:id>
        </ext>
      </extLst>
    </cfRule>
  </conditionalFormatting>
  <conditionalFormatting sqref="V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{90549280-C397-4D4E-BA90-1D5D96933419}</x14:id>
        </ext>
      </extLst>
    </cfRule>
  </conditionalFormatting>
  <conditionalFormatting sqref="W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{DA0FD64D-1814-4E4A-872D-0AAA64FF742F}</x14:id>
        </ext>
      </extLst>
    </cfRule>
  </conditionalFormatting>
  <conditionalFormatting sqref="L4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{D08BCF4C-79AE-42A0-97C6-C41930B1E078}</x14:id>
        </ext>
      </extLst>
    </cfRule>
  </conditionalFormatting>
  <conditionalFormatting sqref="M4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{EC6F98BF-CB0F-4CC9-A2EB-9109BFCF8074}</x14:id>
        </ext>
      </extLst>
    </cfRule>
  </conditionalFormatting>
  <conditionalFormatting sqref="X4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{757EFC62-BC40-4159-806E-BB4F0E53C783}</x14:id>
        </ext>
      </extLst>
    </cfRule>
  </conditionalFormatting>
  <conditionalFormatting sqref="L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{907A8395-A2C0-4C0E-908E-0DDAB79B0AE8}</x14:id>
        </ext>
      </extLst>
    </cfRule>
  </conditionalFormatting>
  <conditionalFormatting sqref="M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{1AD884A9-7F66-41CA-81A7-C6689F785C17}</x14:id>
        </ext>
      </extLst>
    </cfRule>
  </conditionalFormatting>
  <conditionalFormatting sqref="M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{5DE9E1DE-6B35-47F9-BEAA-C851EBEB9C48}</x14:id>
        </ext>
      </extLst>
    </cfRule>
  </conditionalFormatting>
  <conditionalFormatting sqref="M4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{5B749022-EEF2-4760-9018-218861CBD19B}</x14:id>
        </ext>
      </extLst>
    </cfRule>
  </conditionalFormatting>
  <conditionalFormatting sqref="M4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{E16250FC-7F72-43F1-A981-781E943196F9}</x14:id>
        </ext>
      </extLst>
    </cfRule>
  </conditionalFormatting>
  <conditionalFormatting sqref="Y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{E48F4B8E-8400-49BB-8476-8AA4CFDD954D}</x14:id>
        </ext>
      </extLst>
    </cfRule>
  </conditionalFormatting>
  <conditionalFormatting sqref="Y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{2BA2BC9F-4E2E-46B0-86DB-13C28D12C645}</x14:id>
        </ext>
      </extLst>
    </cfRule>
  </conditionalFormatting>
  <conditionalFormatting sqref="L4:M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{23B066D2-C323-4134-9876-C1BFB2439E51}</x14:id>
        </ext>
      </extLst>
    </cfRule>
  </conditionalFormatting>
  <conditionalFormatting sqref="L4:M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{9DBCE909-B6E3-4793-80D2-87B7B7DD2279}</x14:id>
        </ext>
      </extLst>
    </cfRule>
  </conditionalFormatting>
  <conditionalFormatting sqref="L4: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{AC5FD3EA-85D3-47CF-96C0-D0490CD570C5}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{8CE3C6F7-4481-4419-802F-39822E313C82}</x14:id>
        </ext>
      </extLst>
    </cfRule>
  </conditionalFormatting>
  <conditionalFormatting sqref="L4:M4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{3515E2D4-6337-46F1-9885-4C3DD576327B}</x14:id>
        </ext>
      </extLst>
    </cfRule>
  </conditionalFormatting>
  <conditionalFormatting sqref="E86">
    <cfRule type="containsText" dxfId="11203" priority="18" operator="containsText" text="Buy">
      <formula>NOT(ISERROR(SEARCH("Buy",E86)))</formula>
    </cfRule>
    <cfRule type="containsText" dxfId="11202" priority="19" operator="containsText" text="Sell">
      <formula>NOT(ISERROR(SEARCH("Sell",E86)))</formula>
    </cfRule>
  </conditionalFormatting>
  <conditionalFormatting sqref="E85">
    <cfRule type="containsText" dxfId="11201" priority="16" operator="containsText" text="Buy">
      <formula>NOT(ISERROR(SEARCH("Buy",E85)))</formula>
    </cfRule>
    <cfRule type="containsText" dxfId="11200" priority="17" operator="containsText" text="Sell">
      <formula>NOT(ISERROR(SEARCH("Sell",E85)))</formula>
    </cfRule>
  </conditionalFormatting>
  <conditionalFormatting sqref="I4:I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{DB632613-81F0-4D74-BF7F-E6A5C18CE271}</x14:id>
        </ext>
      </extLst>
    </cfRule>
  </conditionalFormatting>
  <conditionalFormatting sqref="I4:I1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{208FE291-DEAD-4323-B637-A81C25507E27}</x14:id>
        </ext>
      </extLst>
    </cfRule>
  </conditionalFormatting>
  <conditionalFormatting sqref="I4:I1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{9704348B-9B74-4702-BE25-54ACE2E39A64}</x14:id>
        </ext>
      </extLst>
    </cfRule>
  </conditionalFormatting>
  <conditionalFormatting sqref="I4:I11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{BEDF3D6D-3212-485B-9CD0-99B0892549E5}</x14:id>
        </ext>
      </extLst>
    </cfRule>
  </conditionalFormatting>
  <conditionalFormatting sqref="I4:I11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{E0AA587B-3FE2-4738-880B-3ECF1526D799}</x14:id>
        </ext>
      </extLst>
    </cfRule>
  </conditionalFormatting>
  <conditionalFormatting sqref="I4:I1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{E8B44A93-3791-4EE5-B470-7B0D371CD99C}</x14:id>
        </ext>
      </extLst>
    </cfRule>
  </conditionalFormatting>
  <conditionalFormatting sqref="I4:I11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{CAA15099-B692-4E03-A03D-7E0905557491}</x14:id>
        </ext>
      </extLst>
    </cfRule>
  </conditionalFormatting>
  <conditionalFormatting sqref="I4:I1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{1D36EDF1-C4A9-491A-8647-CB1895F3806E}</x14:id>
        </ext>
      </extLst>
    </cfRule>
  </conditionalFormatting>
  <conditionalFormatting sqref="I4:I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{34EBBC56-E16B-427E-A647-E0850E108CB5}</x14:id>
        </ext>
      </extLst>
    </cfRule>
  </conditionalFormatting>
  <conditionalFormatting sqref="I4:I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{E421A01C-76F0-4C54-B557-C493E0008B5F}</x14:id>
        </ext>
      </extLst>
    </cfRule>
  </conditionalFormatting>
  <conditionalFormatting sqref="V5:W5">
    <cfRule type="dataBar" priority="32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{F38ABA3A-C73F-4326-B13C-877BE4F69A19}</x14:id>
        </ext>
      </extLst>
    </cfRule>
  </conditionalFormatting>
  <conditionalFormatting sqref="V5:W5">
    <cfRule type="dataBar" priority="32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{C6059910-BAC4-43D1-88BE-051CE7F0B3B7}</x14:id>
        </ext>
      </extLst>
    </cfRule>
  </conditionalFormatting>
  <conditionalFormatting sqref="V6:W6">
    <cfRule type="dataBar" priority="32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{17C97900-5D95-4CCA-A137-24149445988A}</x14:id>
        </ext>
      </extLst>
    </cfRule>
  </conditionalFormatting>
  <conditionalFormatting sqref="V6:W6">
    <cfRule type="dataBar" priority="327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{45855930-AD26-448D-AF8D-85962B410716}</x14:id>
        </ext>
      </extLst>
    </cfRule>
  </conditionalFormatting>
  <conditionalFormatting sqref="V7:W7">
    <cfRule type="dataBar" priority="32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{D5D5CB61-4800-442E-A008-5460759C9749}</x14:id>
        </ext>
      </extLst>
    </cfRule>
  </conditionalFormatting>
  <conditionalFormatting sqref="V7:W7">
    <cfRule type="dataBar" priority="32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{3E49807C-CB73-4208-B03C-CF3B74D7AC8F}</x14:id>
        </ext>
      </extLst>
    </cfRule>
  </conditionalFormatting>
  <conditionalFormatting sqref="V12:W12">
    <cfRule type="dataBar" priority="32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{1A971B82-4C28-431A-B449-41770F9E870C}</x14:id>
        </ext>
      </extLst>
    </cfRule>
  </conditionalFormatting>
  <conditionalFormatting sqref="V12:W12">
    <cfRule type="dataBar" priority="327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{D7AD3E19-9E80-40C7-AC23-63447B8C955F}</x14:id>
        </ext>
      </extLst>
    </cfRule>
  </conditionalFormatting>
  <conditionalFormatting sqref="V13:W13">
    <cfRule type="dataBar" priority="327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{F6188EE4-2B0D-4EA7-A636-06CAC3ADCAAA}</x14:id>
        </ext>
      </extLst>
    </cfRule>
  </conditionalFormatting>
  <conditionalFormatting sqref="V13:W13">
    <cfRule type="dataBar" priority="327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{DFA395CF-54C6-42C0-B7C9-422C8DB61168}</x14:id>
        </ext>
      </extLst>
    </cfRule>
  </conditionalFormatting>
  <conditionalFormatting sqref="V14:W14">
    <cfRule type="dataBar" priority="32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{D482DE66-B274-4663-A0E8-0B2948FB95EC}</x14:id>
        </ext>
      </extLst>
    </cfRule>
  </conditionalFormatting>
  <conditionalFormatting sqref="V14:W14">
    <cfRule type="dataBar" priority="32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{8D788F8B-93B4-4C16-959A-2D7C966FA9A4}</x14:id>
        </ext>
      </extLst>
    </cfRule>
  </conditionalFormatting>
  <conditionalFormatting sqref="V16:W16">
    <cfRule type="dataBar" priority="327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{AECD1A2D-7095-4F88-A2A1-FFD08DAD99BC}</x14:id>
        </ext>
      </extLst>
    </cfRule>
  </conditionalFormatting>
  <conditionalFormatting sqref="V16:W16">
    <cfRule type="dataBar" priority="32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{5965D85F-1EE6-41C7-B700-CBA865FF4D58}</x14:id>
        </ext>
      </extLst>
    </cfRule>
  </conditionalFormatting>
  <conditionalFormatting sqref="V17:W17">
    <cfRule type="dataBar" priority="32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{FB5B17BB-0591-4140-8D3A-D134AFAF1D00}</x14:id>
        </ext>
      </extLst>
    </cfRule>
  </conditionalFormatting>
  <conditionalFormatting sqref="V17:W17">
    <cfRule type="dataBar" priority="32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{11229D06-B1E2-4F4E-8D9C-B875A2E4A16A}</x14:id>
        </ext>
      </extLst>
    </cfRule>
  </conditionalFormatting>
  <conditionalFormatting sqref="V19:W19">
    <cfRule type="dataBar" priority="32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{74726A05-5BB7-4B62-A90C-552F74D66501}</x14:id>
        </ext>
      </extLst>
    </cfRule>
  </conditionalFormatting>
  <conditionalFormatting sqref="V19:W19">
    <cfRule type="dataBar" priority="327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{1526DDCC-A0A7-4582-A08A-BDBF89D5E1A7}</x14:id>
        </ext>
      </extLst>
    </cfRule>
  </conditionalFormatting>
  <conditionalFormatting sqref="V11:W11">
    <cfRule type="dataBar" priority="32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{C48B4BEF-0B2D-4CB5-8B70-7F334F4B501A}</x14:id>
        </ext>
      </extLst>
    </cfRule>
  </conditionalFormatting>
  <conditionalFormatting sqref="V11:W11">
    <cfRule type="dataBar" priority="327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{B228F8A0-B5D4-4D80-8D68-88824F6BE785}</x14:id>
        </ext>
      </extLst>
    </cfRule>
  </conditionalFormatting>
  <conditionalFormatting sqref="V15:W15">
    <cfRule type="dataBar" priority="32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{7C88F597-FE2B-40CA-BBFB-087E012F1A77}</x14:id>
        </ext>
      </extLst>
    </cfRule>
  </conditionalFormatting>
  <conditionalFormatting sqref="V15:W15">
    <cfRule type="dataBar" priority="32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{DE5CC9A5-9D09-4699-B743-7E82A86C430E}</x14:id>
        </ext>
      </extLst>
    </cfRule>
  </conditionalFormatting>
  <conditionalFormatting sqref="V9:W9">
    <cfRule type="dataBar" priority="32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{CA61BF3D-A5AA-4C51-9448-1A128F5F9381}</x14:id>
        </ext>
      </extLst>
    </cfRule>
  </conditionalFormatting>
  <conditionalFormatting sqref="V9:W9">
    <cfRule type="dataBar" priority="32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{7F9FA7B7-6019-461C-A467-7AB0DC6F59D7}</x14:id>
        </ext>
      </extLst>
    </cfRule>
  </conditionalFormatting>
  <conditionalFormatting sqref="V10:W10">
    <cfRule type="dataBar" priority="32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{28949C9B-AC37-4A98-8083-6F70F1AA2EBB}</x14:id>
        </ext>
      </extLst>
    </cfRule>
  </conditionalFormatting>
  <conditionalFormatting sqref="V10:W10">
    <cfRule type="dataBar" priority="32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{CA13726E-06BC-4EA6-9615-7654BAF8330D}</x14:id>
        </ext>
      </extLst>
    </cfRule>
  </conditionalFormatting>
  <conditionalFormatting sqref="V18:W18">
    <cfRule type="dataBar" priority="327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{D2FAA261-0469-4D50-8670-C97A45060344}</x14:id>
        </ext>
      </extLst>
    </cfRule>
  </conditionalFormatting>
  <conditionalFormatting sqref="V18:W18">
    <cfRule type="dataBar" priority="32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{57EF0322-EF84-44D5-B337-FB7B6C11F105}</x14:id>
        </ext>
      </extLst>
    </cfRule>
  </conditionalFormatting>
  <conditionalFormatting sqref="V8:W8">
    <cfRule type="dataBar" priority="327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{942C1B6C-F460-4344-8D4B-BE278BD090E2}</x14:id>
        </ext>
      </extLst>
    </cfRule>
  </conditionalFormatting>
  <conditionalFormatting sqref="V8:W8">
    <cfRule type="dataBar" priority="32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{0D686521-6D45-4186-AF2D-1DD5499A6F68}</x14:id>
        </ext>
      </extLst>
    </cfRule>
  </conditionalFormatting>
  <conditionalFormatting sqref="V4:W4">
    <cfRule type="dataBar" priority="327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{7BFDEE09-CE41-4B97-92D3-3C02876D63DC}</x14:id>
        </ext>
      </extLst>
    </cfRule>
  </conditionalFormatting>
  <conditionalFormatting sqref="V4:W4">
    <cfRule type="dataBar" priority="32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{FE7D8274-860F-4169-A2B5-5F706DE0780A}</x14:id>
        </ext>
      </extLst>
    </cfRule>
  </conditionalFormatting>
  <conditionalFormatting sqref="L4:M2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{AF6BD358-BAB0-4BB2-83F5-3B3DEE4B6EC4}</x14:id>
        </ext>
      </extLst>
    </cfRule>
  </conditionalFormatting>
  <conditionalFormatting sqref="T4:T2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{23A37C7E-F929-48A8-9309-44A121E4D802}</x14:id>
        </ext>
      </extLst>
    </cfRule>
  </conditionalFormatting>
  <conditionalFormatting sqref="V4:W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{6B46345D-31F5-4FA8-8C42-0BB930E1FC04}</x14:id>
        </ext>
      </extLst>
    </cfRule>
  </conditionalFormatting>
  <conditionalFormatting sqref="I4:I2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{9A72E9E9-531B-4E85-AFD6-E91B762678D1}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44001-5C41-4D6C-83E3-019FD8968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E488F915-1C3D-47BB-86EF-9C8ACF41D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726EF1A-793A-4E2F-8D4D-AE21ADFAA1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0C8C393-AE43-49CF-B21C-D573117452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9FD5E0B-CED8-41A7-ADAF-B9BBAC90D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8EAD6FB6-BA9C-4F18-9C20-D6A7F2460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AF2ADF1-F523-4631-B1D1-119ABAF82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A0C2878-5EDF-4908-9547-6CABABE646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43E65B9-639F-49E0-9258-46587D9A5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6C0957B-4695-4478-8DE0-3F862440A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A2F95E1-DD57-4A22-BEB5-A404259C9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7D6FA95-7206-42FF-B394-159D1AAD6A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E05BE1E-BC91-41AA-B1F7-79416F009F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74BDBFF-0746-4062-8DA2-A76C37181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B515C02-C5A7-4744-870E-88B9FB78C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7321FC-94B7-42EA-BACB-00762D66AD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AE911D2-5374-4B6E-B516-9E495A6976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FC54664-625E-44AE-BF67-49815C3CB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B5201A0-85A3-4BEE-ACBE-9FC960D375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43F34C2-342C-49BD-968D-6C222810F6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3CF32F-ACE6-4A9F-B86E-5EE420B1D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D1E2C1B1-69A3-438A-9241-6A49A97BD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4081C63-6F9F-4B97-A412-32AF934DCD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E00379B-186B-4958-B0B1-9BC07F592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249815F-8B03-4719-8FF6-B754C98331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BE161FF-3B88-4042-BB5A-DB7B32639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B136EF-3473-4BF0-8C1B-7297D37C2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F30CFC5-0EF9-42E3-A450-7F6B94A2C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329B8AA-DA33-4434-9997-3C63B7A04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E2DB35-A4AF-495E-869B-D351AEF89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40A0E6D-793E-4203-B830-F14B0A688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CD03877-9853-40B1-B1B0-A67B2FCDA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A83B978-0558-4922-8382-FE12DA3B34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4EF5B58-4082-47C8-A91A-7B23C8E64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259D9B-9542-4F94-9F68-FE760F5DD4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5E7A161-57C1-4E64-A00B-C84C2BB5A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3BE05407-F6C1-4C3C-B342-2DFE7DDA8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9AE7566-8571-4A44-8D04-41F25E0B30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80D8665-BD09-4D9D-AF6F-01A3A1DC8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9B37101-3F5E-4F1E-A58F-F3AEB8AFFE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AAFA94-E8A0-4200-B147-9F4B700A9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F73B18C-DC7D-4ECE-9FF5-CB684C056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5B572D26-C6D5-4AA9-BF9A-D13FA591C0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DC1F5F-125D-44A9-96D9-AF1E8440E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0F4FB7D-AE6E-41B9-9E87-B46397F5BC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ACAF35B9-C277-48DB-B420-E7775EA2C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588D3A7-C033-4EDC-AC0C-CBE601DB5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7281CC92-9803-457F-99C0-60C3832BD8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7B7B855-A12A-4E58-A176-010B0006A9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744EDD5-B32B-4253-8CB6-AECEA05A8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7B4B9D24-BE07-44FE-96FF-9A1AB76A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7A3FD9E-1480-4D53-8143-DF10C27FFE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AEA434-2156-462E-8E92-53DB490B0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54C47A8-1261-4E17-B1F1-7A4A1D84BA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22F8045-4956-48B9-960D-AA5981404F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8028FBE-EAA8-46F0-B04A-9F9D3B82E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980283E-AC7E-4C49-B1C6-C446F534D1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9725396-B35E-4C1B-A91D-75E03744D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1B4D12-AB0C-4258-8E48-209A84DEE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CEAE64FA-EEC8-4CC0-833A-72DE6210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AA8DC69-CC31-4864-BD33-BABAFB8B9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63047067-F191-422C-8F99-633567C3B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72118290-B197-44CC-86F1-982F0EA05F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8AC4A5-D72F-4E00-AD6F-308150B4A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68153F5-0B6D-421D-9171-66DAC6289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3E8E8FD1-9719-48A4-9BC7-6C129732FD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001A3AB-9C90-4580-89C8-1728D1F1E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4F79D59-2413-484B-890C-68316AC60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4EA738A-BD78-461C-AEC6-66FD2F5E97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79DA4D-FDD0-4B82-98DA-7F8430BAC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F6168B7-8A7F-4E8C-8606-01BF73971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AFDD0C9-0C50-4852-9E23-8F4B37A5A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5B96EE6-DBC2-4938-AD2E-7EBB4BB5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10121FF-DF75-436F-A54F-3A8576F0F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51C60543-A29E-4B01-AA4E-77A29B07F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C3265403-7148-433C-9E95-302B2CE1C6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561BF13E-06BC-4558-AA98-A8424BC2B6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BA2122C-63F1-45C0-8BA8-699D7770DA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C10A78D-750B-4CA4-B5C2-9FC31C539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95BAAB0-1743-4769-8CDF-FDF7241CC7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FB88A46-5981-40D0-AB70-BE5A77C64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88B17F81-2754-4CF4-A92D-6C83D8CD2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F4FE92A-CCF5-4CBA-B389-255A2E77AE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5437B25A-F1F5-467F-9F1F-7D45D6B07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5D397A2E-D11A-4E22-A1AF-1F06BE3B3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6F317626-BACA-4280-8AA8-FCC1E222DE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FCA597F1-4A57-4054-B27C-62CCB9D59A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8C59544-54D1-45AE-B906-DE5BE86167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094A2C6-C914-4B51-B7F8-661FFE3D2A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3775914-B6AC-4264-B1BC-3A5B505E4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08AAC19-C38A-4D46-9082-196DBE00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C25E095-F319-4AD5-8405-817E116FFC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827714C-E25D-4E21-80F8-C62AADF9E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C4BDEA5-8683-48DE-97E9-D039DC63E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9743BF9-7F65-4733-AA72-F68ECA505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A4CC18F-FE6D-4EC8-95F7-C299F8B1F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901A4D-3543-44D9-B577-E066195F9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1C2E1A-1FA5-46B5-A242-092C00CDF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540961-827B-401C-B802-762D7AF80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BEA256-F857-4288-B176-8FCF0CB72A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3E143A93-A61C-4464-A926-572EA9F12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C5C977D-9172-4AA9-9204-50C8FBC8BC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5F541A8-4E41-4035-9CC0-9C0747E21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D842393-4BBA-4A3C-8665-B799979DD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EE241A2-B791-4578-B60C-9E9AD6BE9B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E455D3D-9E76-45A2-B653-20C2CE388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EB0A6A7-3301-47B3-9236-C446E0A2D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A750F0F-F5A5-42C6-9721-9AE0A39D1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7C243698-F870-4E4D-8570-EFC8515C5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BAEEAB5-FEA5-4552-9D9D-226AB12F6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023B3DF-10B1-4A49-A9BA-4E477DD1FA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DB7D0620-7AAE-4E41-87B8-377241EAC2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8F3AA0F-7BFA-49F2-9306-A70E3583D7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0ACFAB6-FC9F-46F9-A096-350C6818F6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94B95AA-9472-4428-AC92-99153B0BF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FBBE0FE-7093-4AE0-852B-B739092D65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40DD93B-B264-4DE4-8E8D-109DC5FF65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CA0CE7A-439B-4971-9380-D4B3ECABCC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051F9AD-F0B4-4FD6-AE09-5349E8C32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DCDF391-A212-4290-BE34-5CA4E1D4D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93FAFBA-DEB0-4494-85A1-6C1B56C91B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DB9024-B9CF-4E32-A1E1-DC22D7699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4569A6F-4C58-4DE0-B1E1-6CAD70011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84F842E-69C4-49D5-9A12-14C5B3E78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02CE2FE-C518-47E3-B934-BCEE1CA155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2766678E-9769-4A19-9EC1-62829AC7B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9505E9F-CB54-4F96-837D-9F6A595E2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229471-2D23-487F-89B0-CC096B0035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5BBE459-BF18-41CB-86B0-A844CAB3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5C7C5FF0-FEFC-477E-8B32-6921FF2E69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A31897B-02EC-49CE-9A51-2AAD6E7AE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734A564-8393-406F-A500-28D53B8F6C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0C3667-EF41-4F5E-BF37-9C5CDF7D34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84C06E4-902B-409B-9E35-466B5E76A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167E517-E554-4D8A-BF7C-F35873F721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AA3137C-46A6-4C6B-AFF8-123666E912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508FBC6-8B60-428C-8374-AB003E8E13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C96939A-F892-49A2-A92E-3B3567B0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97B377A-10D2-441B-A60F-C2419549B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58645C8-56BD-4117-BF17-CD4858855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203B281-9925-4976-BB97-EE5FC47C1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2064DB7-E31B-453C-BC96-9336F3D9D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AEBD08B-DB90-4045-856A-DD4C87F01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4C4032F-86D9-4B1E-A460-2F3678CE1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1C339B60-88AE-41E1-9393-9B4AD52DC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1FDDD0B7-EFD7-4DB4-96B0-CCD7687D1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97049F76-799F-4ACA-ACCB-791AC8FA5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E93EE24-9035-4601-8C10-596254DDE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69AB0FD-A765-4242-8B07-C571FC671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2917036-CEB9-46A8-A30F-796741721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CC166B-3661-47D1-BF5B-E7132EDB2B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8D522B-4E2A-4D77-BC72-FD9CA265C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34F7E8B2-A233-4600-A047-DA9E3B378F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0BCA1AAF-5B88-4DE4-AABB-D383D4FF4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82F2E322-0144-465A-BA2B-62E7E9201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3B76511D-E450-4524-85BD-710A01FD5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C687C00-8054-4131-AC06-7D828CCA9E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A0731A0-9AB4-4C42-818D-9FB3C91EB7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00B5EC-C246-4B2B-8669-23D54F6002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A264E1-3C0A-4BE0-A98C-549F6037F1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6E410EA-9CC0-4DD7-8283-A6BA60A7E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50901A5-3FDD-4DA5-AA7E-43A77CADED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38C99F-F57C-4566-B5FB-99CCF5312F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E549A4D-16F1-4030-A516-F89F5893B3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DAA21B0-2018-4BFB-BDCA-AF87D8077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0570498-7441-40E7-8FB2-1138106B9B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18ED77D-B8F4-44CC-A6B1-344F06C59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F3AC87D-3EC3-43C0-80FF-31450422CF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8EE533B-395A-4F4A-8CC8-4116AF66E3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5F44D2E-9965-4474-ABC4-13F8F45418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611A950-5F7A-46AD-B702-9C93BF0492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961DFAA5-F079-46E8-8EF1-2F730E50EE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577F205-4B14-4191-9C68-B7B33097A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D828F826-89D6-493E-92BB-27EB2B171A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F126C35-0E5C-48FC-A498-889A2B5EE7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C80C2D6-36B3-40AD-BEAD-27AD29810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3F231E3-E9CC-4A1C-B443-093515723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C358FC3-533B-440E-9611-1C12435B8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9CF9CDD-CA7B-4DFC-AF28-601DFC437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FC24769-043A-44DA-97AF-4B8414B2F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B5F7E46-4664-4783-B741-F2427C99F9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90E3556-33C2-490E-8ABB-175C5B103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FE8CCCD-E38D-4938-A348-115D57280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6EE5BC6-893B-4324-AFBE-61D20A57E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E620781-3A88-4F3B-AE2B-30F67AB13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D4723D7-8ACC-4B80-885F-2E0BD587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89DAA8F-1AC5-4A56-B730-E87AEB7893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391017B-BB3A-4203-9301-FDEEA3CC60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39E020A-358A-4FCE-A02B-5A79B41F9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09F228-E6F0-42EB-9335-83BFF77E5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C6C270B-6451-4C43-97F5-9ED15EB535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8D314F2-C86F-467F-B6E2-254CE3A65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9DA732-A6E9-4AE2-A37F-5BF9B3DAC8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32AC3B5-7637-4D54-9A0F-7F00840FFE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3F7950-AE9A-4AEE-B4B2-0A93CE967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907540F-A608-4140-BFA1-B90F033BBB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L5:M19</xm:sqref>
        </x14:conditionalFormatting>
        <x14:conditionalFormatting xmlns:xm="http://schemas.microsoft.com/office/excel/2006/main">
          <x14:cfRule type="dataBar" id="{886BC36E-18E4-47FD-96A8-400CF84FB0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5D7C80FC-550F-4BBF-AD7E-4F1DAC141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E26A657-14DF-4FB4-9DD6-3EBC3A80DB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0549280-C397-4D4E-BA90-1D5D969334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0FD64D-1814-4E4A-872D-0AAA64FF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08BCF4C-79AE-42A0-97C6-C41930B1E0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C6F98BF-CB0F-4CC9-A2EB-9109BFCF8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57EFC62-BC40-4159-806E-BB4F0E53C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7A8395-A2C0-4C0E-908E-0DDAB79B0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AD884A9-7F66-41CA-81A7-C6689F785C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E9E1DE-6B35-47F9-BEAA-C851EBEB9C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B749022-EEF2-4760-9018-218861CBD1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16250FC-7F72-43F1-A981-781E94319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48F4B8E-8400-49BB-8476-8AA4CFDD9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BA2BC9F-4E2E-46B0-86DB-13C28D12C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3B066D2-C323-4134-9876-C1BFB2439E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DBCE909-B6E3-4793-80D2-87B7B7DD22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5FD3EA-85D3-47CF-96C0-D0490CD570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CE3C6F7-4481-4419-802F-39822E313C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515E2D4-6337-46F1-9885-4C3DD5763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B632613-81F0-4D74-BF7F-E6A5C18CE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208FE291-DEAD-4323-B637-A81C25507E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9704348B-9B74-4702-BE25-54ACE2E39A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BEDF3D6D-3212-485B-9CD0-99B089254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0AA587B-3FE2-4738-880B-3ECF1526D7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8B44A93-3791-4EE5-B470-7B0D371CD9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CAA15099-B692-4E03-A03D-7E0905557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1D36EDF1-C4A9-491A-8647-CB1895F380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34EBBC56-E16B-427E-A647-E0850E108C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E421A01C-76F0-4C54-B557-C493E0008B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F38ABA3A-C73F-4326-B13C-877BE4F69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6059910-BAC4-43D1-88BE-051CE7F0B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7C97900-5D95-4CCA-A137-2414944598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5855930-AD26-448D-AF8D-85962B410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D5D5CB61-4800-442E-A008-5460759C9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3E49807C-CB73-4208-B03C-CF3B74D7AC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A971B82-4C28-431A-B449-41770F9E87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7AD3E19-9E80-40C7-AC23-63447B8C9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F6188EE4-2B0D-4EA7-A636-06CAC3ADCA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FA395CF-54C6-42C0-B7C9-422C8DB61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D482DE66-B274-4663-A0E8-0B2948FB9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8D788F8B-93B4-4C16-959A-2D7C966F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AECD1A2D-7095-4F88-A2A1-FFD08DAD9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5965D85F-1EE6-41C7-B700-CBA865FF4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B5B17BB-0591-4140-8D3A-D134AFAF1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1229D06-B1E2-4F4E-8D9C-B875A2E4A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4726A05-5BB7-4B62-A90C-552F74D66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1526DDCC-A0A7-4582-A08A-BDBF89D5E1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C48B4BEF-0B2D-4CB5-8B70-7F334F4B5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228F8A0-B5D4-4D80-8D68-88824F6BE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7C88F597-FE2B-40CA-BBFB-087E012F1A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E5CC9A5-9D09-4699-B743-7E82A86C4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A61BF3D-A5AA-4C51-9448-1A128F5F93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7F9FA7B7-6019-461C-A467-7AB0DC6F5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28949C9B-AC37-4A98-8083-6F70F1AA2E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A13726E-06BC-4EA6-9615-7654BAF833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D2FAA261-0469-4D50-8670-C97A450603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7EF0322-EF84-44D5-B337-FB7B6C11F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42C1B6C-F460-4344-8D4B-BE278BD09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0D686521-6D45-4186-AF2D-1DD5499A6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BFDEE09-CE41-4B97-92D3-3C02876D6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FE7D8274-860F-4169-A2B5-5F706DE078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AF6BD358-BAB0-4BB2-83F5-3B3DEE4B6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L4:M21</xm:sqref>
        </x14:conditionalFormatting>
        <x14:conditionalFormatting xmlns:xm="http://schemas.microsoft.com/office/excel/2006/main">
          <x14:cfRule type="dataBar" id="{23A37C7E-F929-48A8-9309-44A121E4D8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T4:T21</xm:sqref>
        </x14:conditionalFormatting>
        <x14:conditionalFormatting xmlns:xm="http://schemas.microsoft.com/office/excel/2006/main">
          <x14:cfRule type="dataBar" id="{6B46345D-31F5-4FA8-8C42-0BB930E1FC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V4:W19</xm:sqref>
        </x14:conditionalFormatting>
        <x14:conditionalFormatting xmlns:xm="http://schemas.microsoft.com/office/excel/2006/main">
          <x14:cfRule type="dataBar" id="{9A72E9E9-531B-4E85-AFD6-E91B7626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I4:I21</xm:sqref>
        </x14:conditionalFormatting>
        <x14:conditionalFormatting xmlns:xm="http://schemas.microsoft.com/office/excel/2006/main">
          <x14:cfRule type="iconSet" priority="7" id="{BC158D0D-11EB-44B9-9281-F61DFB293D1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Y78"/>
  <sheetViews>
    <sheetView showGridLines="0" tabSelected="1" zoomScale="90" zoomScaleNormal="90" workbookViewId="0">
      <pane xSplit="2" topLeftCell="C1" activePane="topRight" state="frozen"/>
      <selection pane="topRight" activeCell="B31" sqref="B31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22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21" t="s">
        <v>820</v>
      </c>
      <c r="B4" s="116" t="s">
        <v>206</v>
      </c>
      <c r="C4" s="118" t="s">
        <v>207</v>
      </c>
      <c r="D4" s="119" t="e">
        <f t="shared" ref="D4:D16" ca="1" si="0">$Q4/$Q$17</f>
        <v>#NAME?</v>
      </c>
      <c r="E4" s="120">
        <f>$F$48</f>
        <v>5217</v>
      </c>
      <c r="F4" s="181">
        <f>$H$48</f>
        <v>1490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7773330</v>
      </c>
      <c r="O4" s="120" t="e">
        <f ca="1">$J$48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S10" ca="1" si="2">P4-N4</f>
        <v>#NAME?</v>
      </c>
      <c r="S4" s="123" t="e">
        <f t="shared" ca="1" si="2"/>
        <v>#NAME?</v>
      </c>
      <c r="T4" s="123" t="e">
        <f ca="1">_xll.BDP($C4,"EQY_DVD_YLD_EST")</f>
        <v>#NAME?</v>
      </c>
      <c r="U4" s="200" t="e">
        <f t="shared" ref="U4:U10" ca="1" si="3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21" t="s">
        <v>820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$F$45</f>
        <v>38500</v>
      </c>
      <c r="F5" s="181">
        <f>$H$45</f>
        <v>3.27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G5/F5-1</f>
        <v>#NAME?</v>
      </c>
      <c r="N5" s="120" t="e">
        <f ca="1">$K$45</f>
        <v>#NAME?</v>
      </c>
      <c r="O5" s="120">
        <f>$E5*$F5</f>
        <v>125895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_xll.BDP($C5,"EQY_DVD_YLD_EST")</f>
        <v>#NAME?</v>
      </c>
      <c r="U5" s="200" t="e">
        <f t="shared" ca="1" si="3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21" t="s">
        <v>820</v>
      </c>
      <c r="B6" s="116" t="s">
        <v>818</v>
      </c>
      <c r="C6" s="118" t="s">
        <v>819</v>
      </c>
      <c r="D6" s="119" t="e">
        <f t="shared" ca="1" si="0"/>
        <v>#NAME?</v>
      </c>
      <c r="E6" s="120">
        <f>$F$51</f>
        <v>1700</v>
      </c>
      <c r="F6" s="181">
        <f>$H$51</f>
        <v>73.14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$K$51</f>
        <v>#NAME?</v>
      </c>
      <c r="O6" s="120">
        <f>$E6*$F6</f>
        <v>124338</v>
      </c>
      <c r="P6" s="120" t="e">
        <f ca="1">E6*G6*$I$1</f>
        <v>#NAME?</v>
      </c>
      <c r="Q6" s="203" t="e">
        <f ca="1">E6*G6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_xll.BDP($C6,"EQY_DVD_YLD_EST")</f>
        <v>#NAME?</v>
      </c>
      <c r="U6" s="200" t="e">
        <f t="shared" ca="1" si="3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21" t="s">
        <v>820</v>
      </c>
      <c r="B7" s="116" t="s">
        <v>831</v>
      </c>
      <c r="C7" s="118" t="s">
        <v>830</v>
      </c>
      <c r="D7" s="119" t="e">
        <f t="shared" ca="1" si="0"/>
        <v>#NAME?</v>
      </c>
      <c r="E7" s="120">
        <f>$F$72</f>
        <v>650</v>
      </c>
      <c r="F7" s="181">
        <f>$H$72</f>
        <v>188.932615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$K$72</f>
        <v>#NAME?</v>
      </c>
      <c r="O7" s="120">
        <f>$E7*$F7</f>
        <v>122806.19975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_xll.BDP($C7,"EQY_DVD_YLD_EST")</f>
        <v>#NAME?</v>
      </c>
      <c r="U7" s="200" t="e">
        <f t="shared" ca="1" si="3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21" t="s">
        <v>820</v>
      </c>
      <c r="B8" s="116" t="s">
        <v>333</v>
      </c>
      <c r="C8" s="118" t="s">
        <v>332</v>
      </c>
      <c r="D8" s="119" t="e">
        <f t="shared" ca="1" si="0"/>
        <v>#NAME?</v>
      </c>
      <c r="E8" s="120">
        <f>$F$54</f>
        <v>37000</v>
      </c>
      <c r="F8" s="181">
        <f>$H$54</f>
        <v>213.46989199999999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7898386.0039999997</v>
      </c>
      <c r="O8" s="120" t="e">
        <f ca="1">$J$54</f>
        <v>#NAME?</v>
      </c>
      <c r="P8" s="120" t="e">
        <f ca="1">E8*G8</f>
        <v>#NAME?</v>
      </c>
      <c r="Q8" s="203" t="e">
        <f ca="1">P8/$I$1</f>
        <v>#NAME?</v>
      </c>
      <c r="R8" s="123" t="e">
        <f t="shared" ca="1" si="2"/>
        <v>#NAME?</v>
      </c>
      <c r="S8" s="123" t="e">
        <f t="shared" ca="1" si="2"/>
        <v>#NAME?</v>
      </c>
      <c r="T8" s="123">
        <v>5</v>
      </c>
      <c r="U8" s="200" t="e">
        <f t="shared" ca="1" si="3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21" t="s">
        <v>820</v>
      </c>
      <c r="B9" s="116" t="s">
        <v>196</v>
      </c>
      <c r="C9" s="118" t="s">
        <v>197</v>
      </c>
      <c r="D9" s="119" t="e">
        <f t="shared" ca="1" si="0"/>
        <v>#NAME?</v>
      </c>
      <c r="E9" s="120">
        <f>$F$57</f>
        <v>11540</v>
      </c>
      <c r="F9" s="181">
        <f>$H$57</f>
        <v>8.875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$K$57</f>
        <v>#NAME?</v>
      </c>
      <c r="O9" s="120" t="e">
        <f ca="1">$J$57</f>
        <v>#NAME?</v>
      </c>
      <c r="P9" s="120" t="e">
        <f ca="1">E9*G9*$I$1*$K$1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_xll.BDP($C9,"EQY_DVD_YLD_EST")</f>
        <v>#NAME?</v>
      </c>
      <c r="U9" s="200" t="e">
        <f t="shared" ca="1" si="3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21" t="s">
        <v>820</v>
      </c>
      <c r="B10" s="116" t="s">
        <v>201</v>
      </c>
      <c r="C10" s="118" t="s">
        <v>202</v>
      </c>
      <c r="D10" s="119" t="e">
        <f t="shared" ca="1" si="0"/>
        <v>#NAME?</v>
      </c>
      <c r="E10" s="120">
        <f>$F$69</f>
        <v>1957</v>
      </c>
      <c r="F10" s="181">
        <f>$H$69</f>
        <v>3559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6964963</v>
      </c>
      <c r="O10" s="120" t="e">
        <f ca="1">$J$69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_xll.BDP($C10,"EQY_DVD_YLD_EST")</f>
        <v>#NAME?</v>
      </c>
      <c r="U10" s="200" t="e">
        <f t="shared" ca="1" si="3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60" customFormat="1" x14ac:dyDescent="0.2">
      <c r="A11" s="21" t="s">
        <v>820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$F$39</f>
        <v>200000</v>
      </c>
      <c r="F11" s="501">
        <f>$H$39</f>
        <v>94</v>
      </c>
      <c r="G11" s="444" t="e">
        <f ca="1">_xll.BDP(C11,"PX_ASK")</f>
        <v>#NAME?</v>
      </c>
      <c r="H11" s="444"/>
      <c r="I11" s="444"/>
      <c r="K11" s="461" t="e">
        <f ca="1">_xll.BDP($C11,"CRNCY")</f>
        <v>#NAME?</v>
      </c>
      <c r="L11" s="442" t="e">
        <f t="shared" ref="L11:L15" ca="1" si="4">P11/N11-1</f>
        <v>#NAME?</v>
      </c>
      <c r="M11" s="442" t="e">
        <f t="shared" ref="M11:M15" ca="1" si="5">G11/F11-1</f>
        <v>#NAME?</v>
      </c>
      <c r="N11" s="443" t="e">
        <f ca="1">$K$39</f>
        <v>#NAME?</v>
      </c>
      <c r="O11" s="443">
        <f t="shared" ref="O11:O15" si="6">E11*F11/100</f>
        <v>188000</v>
      </c>
      <c r="P11" s="443" t="e">
        <f t="shared" ref="P11:P15" ca="1" si="7">E11*G11/100*$I$1</f>
        <v>#NAME?</v>
      </c>
      <c r="Q11" s="462" t="e">
        <f t="shared" ref="Q11:Q15" ca="1" si="8">P11/$I$1</f>
        <v>#NAME?</v>
      </c>
      <c r="R11" s="446" t="e">
        <f t="shared" ref="R11:R15" ca="1" si="9">P11-N11</f>
        <v>#NAME?</v>
      </c>
      <c r="S11" s="446" t="e">
        <f t="shared" ref="S11:S15" ca="1" si="10">Q11-O11</f>
        <v>#NAME?</v>
      </c>
      <c r="T11" s="448" t="e">
        <f ca="1">_xll.BDP(C11,"YLD_YTM_BID")</f>
        <v>#NAME?</v>
      </c>
      <c r="U11" s="463" t="e">
        <f ca="1">E11*_xll.BDP(C11,"PX_GROSS_ASK")/100</f>
        <v>#NAME?</v>
      </c>
      <c r="V11" s="448" t="e">
        <f ca="1">_xll.BDP($C11,"CHG_PCT_1YR")</f>
        <v>#NAME?</v>
      </c>
      <c r="W11" s="448" t="e">
        <f ca="1">_xll.BDP($C11,"CHG_PCT_6M")</f>
        <v>#NAME?</v>
      </c>
      <c r="Y11" s="448"/>
    </row>
    <row r="12" spans="1:25" s="460" customFormat="1" x14ac:dyDescent="0.2">
      <c r="A12" s="21" t="s">
        <v>820</v>
      </c>
      <c r="B12" s="441" t="e">
        <f ca="1">_xll.BDP(C12,"SECURITY_NAME")</f>
        <v>#NAME?</v>
      </c>
      <c r="C12" s="440" t="s">
        <v>843</v>
      </c>
      <c r="D12" s="442" t="e">
        <f t="shared" ca="1" si="0"/>
        <v>#NAME?</v>
      </c>
      <c r="E12" s="443">
        <f>$F$78</f>
        <v>125000</v>
      </c>
      <c r="F12" s="501">
        <f>$H$78</f>
        <v>100</v>
      </c>
      <c r="G12" s="444" t="e">
        <f ca="1">_xll.BDP(C12,"PX_ASK")</f>
        <v>#NAME?</v>
      </c>
      <c r="H12" s="444"/>
      <c r="I12" s="444"/>
      <c r="K12" s="461" t="e">
        <f ca="1">_xll.BDP($C12,"CRNCY")</f>
        <v>#NAME?</v>
      </c>
      <c r="L12" s="442" t="e">
        <f t="shared" ca="1" si="4"/>
        <v>#NAME?</v>
      </c>
      <c r="M12" s="442" t="e">
        <f t="shared" ca="1" si="5"/>
        <v>#NAME?</v>
      </c>
      <c r="N12" s="443" t="e">
        <f ca="1">$K$78</f>
        <v>#NAME?</v>
      </c>
      <c r="O12" s="443">
        <f t="shared" si="6"/>
        <v>125000</v>
      </c>
      <c r="P12" s="443" t="e">
        <f t="shared" ca="1" si="7"/>
        <v>#NAME?</v>
      </c>
      <c r="Q12" s="462" t="e">
        <f t="shared" ca="1" si="8"/>
        <v>#NAME?</v>
      </c>
      <c r="R12" s="446" t="e">
        <f t="shared" ca="1" si="9"/>
        <v>#NAME?</v>
      </c>
      <c r="S12" s="446" t="e">
        <f t="shared" ca="1" si="10"/>
        <v>#NAME?</v>
      </c>
      <c r="T12" s="448">
        <v>9</v>
      </c>
      <c r="U12" s="463" t="e">
        <f ca="1">E12*_xll.BDP(C12,"PX_ASK")/100</f>
        <v>#NAME?</v>
      </c>
      <c r="V12" s="448" t="e">
        <f ca="1">_xll.BDP($C12,"CHG_PCT_1YR")</f>
        <v>#NAME?</v>
      </c>
      <c r="W12" s="448" t="e">
        <f ca="1">_xll.BDP($C12,"CHG_PCT_6M")</f>
        <v>#NAME?</v>
      </c>
      <c r="Y12" s="448"/>
    </row>
    <row r="13" spans="1:25" s="460" customFormat="1" x14ac:dyDescent="0.2">
      <c r="A13" s="21" t="s">
        <v>820</v>
      </c>
      <c r="B13" s="441" t="e">
        <f ca="1">_xll.BDP(C13,"SECURITY_NAME")</f>
        <v>#NAME?</v>
      </c>
      <c r="C13" s="440" t="s">
        <v>824</v>
      </c>
      <c r="D13" s="442" t="e">
        <f t="shared" ca="1" si="0"/>
        <v>#NAME?</v>
      </c>
      <c r="E13" s="443">
        <f>$F$63</f>
        <v>200000</v>
      </c>
      <c r="F13" s="501">
        <f>$H$63</f>
        <v>95.3</v>
      </c>
      <c r="G13" s="444" t="e">
        <f ca="1">_xll.BDP(C13,"PX_ASK")</f>
        <v>#NAME?</v>
      </c>
      <c r="H13" s="444"/>
      <c r="I13" s="444"/>
      <c r="K13" s="461" t="e">
        <f ca="1">_xll.BDP($C13,"CRNCY")</f>
        <v>#NAME?</v>
      </c>
      <c r="L13" s="442" t="e">
        <f t="shared" ca="1" si="4"/>
        <v>#NAME?</v>
      </c>
      <c r="M13" s="442" t="e">
        <f t="shared" ca="1" si="5"/>
        <v>#NAME?</v>
      </c>
      <c r="N13" s="443" t="e">
        <f ca="1">$K$63</f>
        <v>#NAME?</v>
      </c>
      <c r="O13" s="443">
        <f t="shared" si="6"/>
        <v>190600</v>
      </c>
      <c r="P13" s="443" t="e">
        <f t="shared" ca="1" si="7"/>
        <v>#NAME?</v>
      </c>
      <c r="Q13" s="462" t="e">
        <f t="shared" ca="1" si="8"/>
        <v>#NAME?</v>
      </c>
      <c r="R13" s="446" t="e">
        <f t="shared" ca="1" si="9"/>
        <v>#NAME?</v>
      </c>
      <c r="S13" s="446" t="e">
        <f t="shared" ca="1" si="10"/>
        <v>#NAME?</v>
      </c>
      <c r="T13" s="448" t="e">
        <f ca="1">_xll.BDP(C13,"YLD_YTM_BID")</f>
        <v>#NAME?</v>
      </c>
      <c r="U13" s="463" t="e">
        <f ca="1">E13*_xll.BDP(C13,"PX_GROSS_ASK")/100</f>
        <v>#NAME?</v>
      </c>
      <c r="V13" s="448" t="e">
        <f ca="1">_xll.BDP($C13,"CHG_PCT_1YR")</f>
        <v>#NAME?</v>
      </c>
      <c r="W13" s="448" t="e">
        <f ca="1">_xll.BDP($C13,"CHG_PCT_6M")</f>
        <v>#NAME?</v>
      </c>
      <c r="Y13" s="448"/>
    </row>
    <row r="14" spans="1:25" s="460" customFormat="1" x14ac:dyDescent="0.2">
      <c r="A14" s="21" t="s">
        <v>820</v>
      </c>
      <c r="B14" s="441" t="e">
        <f ca="1">_xll.BDP(C14,"SECURITY_NAME")</f>
        <v>#NAME?</v>
      </c>
      <c r="C14" s="440" t="s">
        <v>832</v>
      </c>
      <c r="D14" s="442" t="e">
        <f t="shared" ca="1" si="0"/>
        <v>#NAME?</v>
      </c>
      <c r="E14" s="443">
        <f>$F$75</f>
        <v>150000</v>
      </c>
      <c r="F14" s="501">
        <f>$H$75</f>
        <v>106.28</v>
      </c>
      <c r="G14" s="444" t="e">
        <f ca="1">_xll.BDP(C14,"PX_ASK")</f>
        <v>#NAME?</v>
      </c>
      <c r="H14" s="444"/>
      <c r="I14" s="444"/>
      <c r="K14" s="461" t="e">
        <f ca="1">_xll.BDP($C14,"CRNCY")</f>
        <v>#NAME?</v>
      </c>
      <c r="L14" s="442" t="e">
        <f t="shared" ca="1" si="4"/>
        <v>#NAME?</v>
      </c>
      <c r="M14" s="442" t="e">
        <f t="shared" ca="1" si="5"/>
        <v>#NAME?</v>
      </c>
      <c r="N14" s="443" t="e">
        <f ca="1">$K$75</f>
        <v>#NAME?</v>
      </c>
      <c r="O14" s="443">
        <f t="shared" si="6"/>
        <v>159420</v>
      </c>
      <c r="P14" s="443" t="e">
        <f t="shared" ca="1" si="7"/>
        <v>#NAME?</v>
      </c>
      <c r="Q14" s="462" t="e">
        <f t="shared" ca="1" si="8"/>
        <v>#NAME?</v>
      </c>
      <c r="R14" s="446" t="e">
        <f t="shared" ca="1" si="9"/>
        <v>#NAME?</v>
      </c>
      <c r="S14" s="446" t="e">
        <f t="shared" ca="1" si="10"/>
        <v>#NAME?</v>
      </c>
      <c r="T14" s="448" t="e">
        <f ca="1">_xll.BDP(C14,"YLD_YTM_BID")</f>
        <v>#NAME?</v>
      </c>
      <c r="U14" s="463" t="e">
        <f ca="1">E14*_xll.BDP(C14,"PX_GROSS_ASK")/100</f>
        <v>#NAME?</v>
      </c>
      <c r="V14" s="448" t="e">
        <f ca="1">_xll.BDP($C14,"CHG_PCT_1YR")</f>
        <v>#NAME?</v>
      </c>
      <c r="W14" s="448" t="e">
        <f ca="1">_xll.BDP($C14,"CHG_PCT_6M")</f>
        <v>#NAME?</v>
      </c>
      <c r="Y14" s="448"/>
    </row>
    <row r="15" spans="1:25" s="460" customFormat="1" x14ac:dyDescent="0.2">
      <c r="A15" s="21" t="s">
        <v>820</v>
      </c>
      <c r="B15" s="441" t="e">
        <f ca="1">_xll.BDP(C15,"SECURITY_NAME")</f>
        <v>#NAME?</v>
      </c>
      <c r="C15" s="440" t="s">
        <v>378</v>
      </c>
      <c r="D15" s="442" t="e">
        <f t="shared" ca="1" si="0"/>
        <v>#NAME?</v>
      </c>
      <c r="E15" s="443">
        <f>$F$36</f>
        <v>200000</v>
      </c>
      <c r="F15" s="501">
        <f>$H$36</f>
        <v>100.75</v>
      </c>
      <c r="G15" s="444" t="e">
        <f ca="1">_xll.BDP(C15,"PX_ASK")</f>
        <v>#NAME?</v>
      </c>
      <c r="H15" s="444"/>
      <c r="I15" s="444"/>
      <c r="K15" s="461" t="e">
        <f ca="1">_xll.BDP($C15,"CRNCY")</f>
        <v>#NAME?</v>
      </c>
      <c r="L15" s="442" t="e">
        <f t="shared" ca="1" si="4"/>
        <v>#NAME?</v>
      </c>
      <c r="M15" s="442" t="e">
        <f t="shared" ca="1" si="5"/>
        <v>#NAME?</v>
      </c>
      <c r="N15" s="443" t="e">
        <f ca="1">$K$36</f>
        <v>#NAME?</v>
      </c>
      <c r="O15" s="443">
        <f t="shared" si="6"/>
        <v>201500</v>
      </c>
      <c r="P15" s="443" t="e">
        <f t="shared" ca="1" si="7"/>
        <v>#NAME?</v>
      </c>
      <c r="Q15" s="462" t="e">
        <f t="shared" ca="1" si="8"/>
        <v>#NAME?</v>
      </c>
      <c r="R15" s="446" t="e">
        <f t="shared" ca="1" si="9"/>
        <v>#NAME?</v>
      </c>
      <c r="S15" s="446" t="e">
        <f t="shared" ca="1" si="10"/>
        <v>#NAME?</v>
      </c>
      <c r="T15" s="448" t="e">
        <f ca="1">_xll.BDP(C15,"YLD_YTM_BID")</f>
        <v>#NAME?</v>
      </c>
      <c r="U15" s="463" t="e">
        <f ca="1">E15*_xll.BDP(C15,"PX_GROSS_ASK")/100</f>
        <v>#NAME?</v>
      </c>
      <c r="V15" s="448" t="e">
        <f ca="1">_xll.BDP($C15,"CHG_PCT_1YR")</f>
        <v>#NAME?</v>
      </c>
      <c r="W15" s="448" t="e">
        <f ca="1">_xll.BDP($C15,"CHG_PCT_6M")</f>
        <v>#NAME?</v>
      </c>
      <c r="Y15" s="448"/>
    </row>
    <row r="16" spans="1:25" x14ac:dyDescent="0.2">
      <c r="A16" s="21" t="s">
        <v>820</v>
      </c>
      <c r="B16" s="68" t="s">
        <v>106</v>
      </c>
      <c r="C16" s="68" t="s">
        <v>106</v>
      </c>
      <c r="D16" s="101" t="e">
        <f t="shared" ca="1" si="0"/>
        <v>#NAME?</v>
      </c>
      <c r="E16" s="64"/>
      <c r="F16" s="67"/>
      <c r="G16" s="66"/>
      <c r="H16" s="66"/>
      <c r="I16" s="66"/>
      <c r="J16" s="60"/>
      <c r="K16" s="60"/>
      <c r="L16" s="65"/>
      <c r="M16" s="65"/>
      <c r="N16" s="64" t="e">
        <f ca="1">P16</f>
        <v>#NAME?</v>
      </c>
      <c r="O16" s="64"/>
      <c r="P16" s="64" t="e">
        <f ca="1">Q16*$I$1</f>
        <v>#NAME?</v>
      </c>
      <c r="Q16" s="63">
        <v>681543</v>
      </c>
      <c r="R16" s="62"/>
      <c r="S16" s="61"/>
      <c r="T16" s="61"/>
      <c r="U16" s="517">
        <f>Q16</f>
        <v>681543</v>
      </c>
      <c r="V16" s="60"/>
      <c r="W16" s="60"/>
      <c r="X16" s="60"/>
      <c r="Y16" s="60"/>
    </row>
    <row r="17" spans="2:25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SUMPRODUCT(D4:D10,I4:I10)</f>
        <v>#NAME?</v>
      </c>
      <c r="J17" s="55"/>
      <c r="K17" s="55"/>
      <c r="L17" s="754" t="e">
        <f ca="1">SUMPRODUCT($D$4:$D$15,L4:L15)</f>
        <v>#NAME?</v>
      </c>
      <c r="M17" s="754" t="e">
        <f ca="1">SUMPRODUCT($D$4:$D$15,M4:M15)</f>
        <v>#NAME?</v>
      </c>
      <c r="N17" s="424" t="e">
        <f ca="1">SUM(N4:N16)</f>
        <v>#NAME?</v>
      </c>
      <c r="O17" s="424">
        <f>2371410+208259</f>
        <v>2579669</v>
      </c>
      <c r="P17" s="424" t="e">
        <f ca="1">SUM(P4:P16)</f>
        <v>#NAME?</v>
      </c>
      <c r="Q17" s="424" t="e">
        <f ca="1">SUM(Q4:Q16)</f>
        <v>#NAME?</v>
      </c>
      <c r="R17" s="424" t="e">
        <f ca="1">SUM(R4:R16)</f>
        <v>#NAME?</v>
      </c>
      <c r="S17" s="424" t="e">
        <f ca="1">SUM(S4:S16)</f>
        <v>#NAME?</v>
      </c>
      <c r="T17" s="545" t="e">
        <f ca="1">SUMPRODUCT(D4:D15,T4:T15)</f>
        <v>#NAME?</v>
      </c>
      <c r="U17" s="55" t="e">
        <f ca="1">SUM(U4:U16)</f>
        <v>#NAME?</v>
      </c>
      <c r="V17" s="55"/>
      <c r="W17" s="55"/>
      <c r="X17" s="55"/>
      <c r="Y17" s="55"/>
    </row>
    <row r="18" spans="2:25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40"/>
      <c r="P18" s="52"/>
      <c r="Q18" s="53"/>
      <c r="S18" s="562" t="e">
        <f ca="1">$U$17/$O$17-1</f>
        <v>#NAME?</v>
      </c>
      <c r="T18" s="828" t="s">
        <v>795</v>
      </c>
      <c r="U18" s="828"/>
    </row>
    <row r="19" spans="2:25" x14ac:dyDescent="0.2">
      <c r="E19" s="10"/>
      <c r="K19" s="29"/>
      <c r="L19" s="29"/>
      <c r="M19" s="29"/>
      <c r="N19" s="39"/>
      <c r="O19" s="34"/>
      <c r="P19" s="34"/>
      <c r="Q19" s="30"/>
      <c r="T19" s="829"/>
      <c r="U19" s="829"/>
    </row>
    <row r="20" spans="2:25" x14ac:dyDescent="0.2">
      <c r="B20" s="32" t="s">
        <v>276</v>
      </c>
      <c r="E20" s="10"/>
      <c r="M20" s="39"/>
      <c r="N20" s="34"/>
      <c r="O20" s="34"/>
      <c r="P20" s="30"/>
    </row>
    <row r="21" spans="2:25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5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5" x14ac:dyDescent="0.2">
      <c r="B23" s="103" t="e">
        <f ca="1">_xll.BDP(C23,"SECURITY_NAME")</f>
        <v>#NAME?</v>
      </c>
      <c r="C23" s="118" t="s">
        <v>657</v>
      </c>
      <c r="D23" s="73" t="s">
        <v>51</v>
      </c>
      <c r="E23" s="43" t="e">
        <f ca="1">F23*_xll.BDP(C23,"PX_LAST")/100</f>
        <v>#NAME?</v>
      </c>
      <c r="F23" s="43">
        <v>400000</v>
      </c>
      <c r="G23" s="43">
        <v>400000</v>
      </c>
      <c r="H23" s="47">
        <f>G23/F23</f>
        <v>1</v>
      </c>
      <c r="I23" s="43">
        <f>G23*K23/100</f>
        <v>408000</v>
      </c>
      <c r="J23" s="45">
        <f>G23*L23/100</f>
        <v>412500</v>
      </c>
      <c r="K23" s="38">
        <v>102</v>
      </c>
      <c r="L23" s="38">
        <v>103.125</v>
      </c>
      <c r="M23" s="119">
        <f>L23/K23-1</f>
        <v>1.1029411764705843E-2</v>
      </c>
      <c r="N23" s="120">
        <f>(J23-I23)</f>
        <v>4500</v>
      </c>
      <c r="O23" s="106" t="e">
        <f ca="1">_xll.BDP($C23,"CRNCY")</f>
        <v>#NAME?</v>
      </c>
      <c r="P23" s="43">
        <f>N23</f>
        <v>4500</v>
      </c>
      <c r="Q23" s="14">
        <v>42725</v>
      </c>
      <c r="R23" s="22" t="e">
        <f ca="1">_xll.BDH("RUB curncy","PX_LAST",$Q23)</f>
        <v>#NAME?</v>
      </c>
    </row>
    <row r="24" spans="2:25" x14ac:dyDescent="0.2">
      <c r="B24" s="103"/>
      <c r="C24" s="118"/>
      <c r="D24" s="73"/>
      <c r="E24" s="43"/>
      <c r="F24" s="43"/>
      <c r="G24" s="43"/>
      <c r="H24" s="47"/>
      <c r="I24" s="43"/>
      <c r="J24" s="45"/>
      <c r="K24" s="38"/>
      <c r="L24" s="38"/>
      <c r="M24" s="119"/>
      <c r="N24" s="120"/>
      <c r="O24" s="106"/>
      <c r="P24" s="43"/>
      <c r="Q24" s="14"/>
      <c r="R24" s="75"/>
    </row>
    <row r="25" spans="2:25" x14ac:dyDescent="0.2">
      <c r="B25" s="32" t="s">
        <v>276</v>
      </c>
      <c r="E25" s="10"/>
      <c r="M25" s="39"/>
      <c r="N25" s="34"/>
      <c r="O25" s="34"/>
      <c r="P25" s="30"/>
    </row>
    <row r="26" spans="2:25" x14ac:dyDescent="0.2">
      <c r="B26" s="379">
        <v>2017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25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25" x14ac:dyDescent="0.2">
      <c r="B28" s="103" t="e">
        <f ca="1">_xll.BDP(C28,"SECURITY_NAME")</f>
        <v>#NAME?</v>
      </c>
      <c r="C28" s="118" t="s">
        <v>410</v>
      </c>
      <c r="D28" s="73" t="s">
        <v>51</v>
      </c>
      <c r="E28" s="43" t="e">
        <f ca="1">F28*_xll.BDP(C28,"PX_LAST")/100</f>
        <v>#NAME?</v>
      </c>
      <c r="F28" s="43">
        <v>200000</v>
      </c>
      <c r="G28" s="43">
        <v>200000</v>
      </c>
      <c r="H28" s="47">
        <f>G28/F28</f>
        <v>1</v>
      </c>
      <c r="I28" s="43">
        <f>G28*K28/100</f>
        <v>219500</v>
      </c>
      <c r="J28" s="45">
        <f>G28*L28/100</f>
        <v>221750</v>
      </c>
      <c r="K28" s="38">
        <v>109.75</v>
      </c>
      <c r="L28" s="38">
        <v>110.875</v>
      </c>
      <c r="M28" s="119">
        <f>L28/K28-1</f>
        <v>1.0250569476081939E-2</v>
      </c>
      <c r="N28" s="120">
        <f>(J28-I28)</f>
        <v>2250</v>
      </c>
      <c r="O28" s="106" t="e">
        <f ca="1">_xll.BDP($C28,"CRNCY")</f>
        <v>#NAME?</v>
      </c>
      <c r="P28" s="43">
        <f>N28</f>
        <v>2250</v>
      </c>
      <c r="Q28" s="14">
        <v>42741</v>
      </c>
      <c r="R28" s="22" t="e">
        <f ca="1">_xll.BDH("RUB curncy","PX_LAST",$Q28)</f>
        <v>#NAME?</v>
      </c>
    </row>
    <row r="29" spans="2:25" x14ac:dyDescent="0.2">
      <c r="B29" s="103" t="e">
        <f ca="1">_xll.BDP(C29,"SECURITY_NAME")</f>
        <v>#NAME?</v>
      </c>
      <c r="C29" s="118" t="s">
        <v>822</v>
      </c>
      <c r="D29" s="73" t="s">
        <v>51</v>
      </c>
      <c r="E29" s="43" t="e">
        <f ca="1">F29*_xll.BDP(C29,"PX_LAST")/100</f>
        <v>#NAME?</v>
      </c>
      <c r="F29" s="43">
        <v>200000</v>
      </c>
      <c r="G29" s="43">
        <v>200000</v>
      </c>
      <c r="H29" s="47">
        <f>G29/F29</f>
        <v>1</v>
      </c>
      <c r="I29" s="43">
        <f>G29*K29/100</f>
        <v>200000</v>
      </c>
      <c r="J29" s="45">
        <f>G29*L29/100</f>
        <v>205500</v>
      </c>
      <c r="K29" s="38">
        <v>100</v>
      </c>
      <c r="L29" s="38">
        <v>102.75</v>
      </c>
      <c r="M29" s="119">
        <f>L29/K29-1</f>
        <v>2.750000000000008E-2</v>
      </c>
      <c r="N29" s="120">
        <f>(J29-I29)</f>
        <v>5500</v>
      </c>
      <c r="O29" s="106" t="e">
        <f ca="1">_xll.BDP($C29,"CRNCY")</f>
        <v>#NAME?</v>
      </c>
      <c r="P29" s="43">
        <f>N29</f>
        <v>5500</v>
      </c>
      <c r="Q29" s="14">
        <v>42761</v>
      </c>
      <c r="R29" s="22" t="e">
        <f ca="1">_xll.BDH("RUB curncy","PX_LAST",$Q29)</f>
        <v>#NAME?</v>
      </c>
    </row>
    <row r="30" spans="2:25" x14ac:dyDescent="0.2">
      <c r="B30" s="46"/>
      <c r="C30" s="41"/>
      <c r="D30" s="73"/>
      <c r="E30" s="43"/>
      <c r="F30" s="43"/>
      <c r="G30" s="104"/>
      <c r="H30" s="47"/>
      <c r="I30" s="43"/>
      <c r="J30" s="45"/>
      <c r="K30" s="105"/>
      <c r="L30" s="105"/>
      <c r="M30" s="35"/>
      <c r="N30" s="130"/>
      <c r="O30" s="34"/>
      <c r="P30" s="130"/>
      <c r="Q30" s="14"/>
      <c r="R30" s="75"/>
    </row>
    <row r="31" spans="2:25" x14ac:dyDescent="0.2">
      <c r="B31" s="32" t="s">
        <v>93</v>
      </c>
      <c r="C31" s="10"/>
      <c r="D31" s="31"/>
      <c r="H31" s="31"/>
      <c r="I31" s="10"/>
      <c r="J31" s="10"/>
      <c r="K31" s="29"/>
    </row>
    <row r="32" spans="2:25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B35" s="21" t="s">
        <v>820</v>
      </c>
      <c r="C35" s="118" t="s">
        <v>378</v>
      </c>
      <c r="D35" s="18" t="e">
        <f ca="1">_xll.BDP(C35,"SECURITY_NAME")</f>
        <v>#NAME?</v>
      </c>
      <c r="E35" s="18" t="s">
        <v>50</v>
      </c>
      <c r="F35" s="19">
        <v>200000</v>
      </c>
      <c r="G35" s="18" t="e">
        <f ca="1">_xll.BDP(C35,"CRNCY")</f>
        <v>#NAME?</v>
      </c>
      <c r="H35" s="22">
        <v>100.75</v>
      </c>
      <c r="I35" s="15">
        <f>F35*H35/100</f>
        <v>201500</v>
      </c>
      <c r="J35" s="16">
        <f>I35</f>
        <v>201500</v>
      </c>
      <c r="K35" s="15" t="e">
        <f ca="1">J35*L35</f>
        <v>#NAME?</v>
      </c>
      <c r="L35" s="22" t="e">
        <f ca="1">_xll.BDH("RUB curncy","PX_LAST",$N35)</f>
        <v>#NAME?</v>
      </c>
      <c r="M35" s="85" t="e">
        <f ca="1">1/_xll.BDH("RUB curncy","PX_LAST",$N35)</f>
        <v>#NAME?</v>
      </c>
      <c r="N35" s="14">
        <v>42646</v>
      </c>
    </row>
    <row r="36" spans="2:17" x14ac:dyDescent="0.2">
      <c r="B36" s="71"/>
      <c r="C36" s="72"/>
      <c r="D36" s="73"/>
      <c r="E36" s="73"/>
      <c r="F36" s="79">
        <f>SUM(F35:F35)</f>
        <v>200000</v>
      </c>
      <c r="G36" s="87"/>
      <c r="H36" s="99">
        <f>I36/F36*100</f>
        <v>100.75</v>
      </c>
      <c r="I36" s="79">
        <f>SUM(I35:I35)</f>
        <v>201500</v>
      </c>
      <c r="J36" s="79">
        <f>SUM(J35:J35)</f>
        <v>201500</v>
      </c>
      <c r="K36" s="79" t="e">
        <f ca="1">SUM(K35:K35)</f>
        <v>#NAME?</v>
      </c>
      <c r="L36" s="75"/>
      <c r="M36" s="86"/>
      <c r="N36" s="14"/>
      <c r="Q36" s="378"/>
    </row>
    <row r="37" spans="2:17" x14ac:dyDescent="0.2">
      <c r="B37" s="71"/>
      <c r="C37" s="72"/>
      <c r="D37" s="73"/>
      <c r="E37" s="73"/>
      <c r="F37" s="79"/>
      <c r="G37" s="87"/>
      <c r="H37" s="99"/>
      <c r="I37" s="79"/>
      <c r="J37" s="79"/>
      <c r="K37" s="79"/>
      <c r="L37" s="75"/>
      <c r="M37" s="86"/>
      <c r="N37" s="14"/>
      <c r="Q37" s="378"/>
    </row>
    <row r="38" spans="2:17" x14ac:dyDescent="0.2">
      <c r="B38" s="21" t="s">
        <v>820</v>
      </c>
      <c r="C38" s="118" t="s">
        <v>697</v>
      </c>
      <c r="D38" s="18" t="e">
        <f ca="1">_xll.BDP(C38,"SECURITY_NAME")</f>
        <v>#NAME?</v>
      </c>
      <c r="E38" s="18" t="s">
        <v>50</v>
      </c>
      <c r="F38" s="19">
        <v>200000</v>
      </c>
      <c r="G38" s="18" t="e">
        <f ca="1">_xll.BDP(C38,"CRNCY")</f>
        <v>#NAME?</v>
      </c>
      <c r="H38" s="22">
        <v>94</v>
      </c>
      <c r="I38" s="15">
        <f>F38*H38/100</f>
        <v>188000</v>
      </c>
      <c r="J38" s="16">
        <f>I38</f>
        <v>188000</v>
      </c>
      <c r="K38" s="15" t="e">
        <f ca="1">J38*L38</f>
        <v>#NAME?</v>
      </c>
      <c r="L38" s="22" t="e">
        <f ca="1">_xll.BDH("RUB curncy","PX_LAST",$N38)</f>
        <v>#NAME?</v>
      </c>
      <c r="M38" s="85" t="e">
        <f ca="1">1/_xll.BDH("RUB curncy","PX_LAST",$N38)</f>
        <v>#NAME?</v>
      </c>
      <c r="N38" s="14">
        <v>42664</v>
      </c>
    </row>
    <row r="39" spans="2:17" x14ac:dyDescent="0.2">
      <c r="B39" s="71"/>
      <c r="C39" s="72"/>
      <c r="D39" s="73"/>
      <c r="E39" s="73"/>
      <c r="F39" s="79">
        <f>SUM(F38:F38)</f>
        <v>200000</v>
      </c>
      <c r="G39" s="87"/>
      <c r="H39" s="99">
        <f>I39/F39*100</f>
        <v>94</v>
      </c>
      <c r="I39" s="79">
        <f>SUM(I38:I38)</f>
        <v>188000</v>
      </c>
      <c r="J39" s="79">
        <f>SUM(J38:J38)</f>
        <v>188000</v>
      </c>
      <c r="K39" s="79" t="e">
        <f ca="1">SUM(K38:K38)</f>
        <v>#NAME?</v>
      </c>
      <c r="L39" s="75"/>
      <c r="M39" s="86"/>
      <c r="N39" s="14"/>
      <c r="Q39" s="378"/>
    </row>
    <row r="41" spans="2:17" x14ac:dyDescent="0.2">
      <c r="B41" s="21" t="s">
        <v>820</v>
      </c>
      <c r="C41" s="118" t="s">
        <v>657</v>
      </c>
      <c r="D41" s="18" t="e">
        <f ca="1">_xll.BDP(C41,"SECURITY_NAME")</f>
        <v>#NAME?</v>
      </c>
      <c r="E41" s="18" t="s">
        <v>50</v>
      </c>
      <c r="F41" s="19">
        <v>400000</v>
      </c>
      <c r="G41" s="18" t="e">
        <f ca="1">_xll.BDP(C41,"CRNCY")</f>
        <v>#NAME?</v>
      </c>
      <c r="H41" s="22">
        <v>102</v>
      </c>
      <c r="I41" s="15">
        <f>F41*H41/100</f>
        <v>408000</v>
      </c>
      <c r="J41" s="16">
        <f>I41</f>
        <v>408000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42662</v>
      </c>
    </row>
    <row r="42" spans="2:17" x14ac:dyDescent="0.2">
      <c r="B42" s="71"/>
      <c r="C42" s="72"/>
      <c r="D42" s="73"/>
      <c r="E42" s="73"/>
      <c r="F42" s="79">
        <f>SUM(F41:F41)</f>
        <v>400000</v>
      </c>
      <c r="G42" s="87"/>
      <c r="H42" s="99">
        <f>I42/F42*100</f>
        <v>102</v>
      </c>
      <c r="I42" s="79">
        <f>SUM(I41:I41)</f>
        <v>408000</v>
      </c>
      <c r="J42" s="79">
        <f>SUM(J41:J41)</f>
        <v>408000</v>
      </c>
      <c r="K42" s="79" t="e">
        <f ca="1">SUM(K41:K41)</f>
        <v>#NAME?</v>
      </c>
      <c r="L42" s="75"/>
      <c r="M42" s="86"/>
      <c r="N42" s="14"/>
    </row>
    <row r="43" spans="2:17" x14ac:dyDescent="0.2">
      <c r="B43" s="71"/>
      <c r="C43" s="72"/>
      <c r="D43" s="73"/>
      <c r="E43" s="73"/>
      <c r="F43" s="79"/>
      <c r="G43" s="87"/>
      <c r="H43" s="99"/>
      <c r="I43" s="79"/>
      <c r="J43" s="79"/>
      <c r="K43" s="79"/>
      <c r="L43" s="75"/>
      <c r="M43" s="86"/>
      <c r="N43" s="14"/>
    </row>
    <row r="44" spans="2:17" x14ac:dyDescent="0.2">
      <c r="B44" s="21" t="s">
        <v>820</v>
      </c>
      <c r="C44" s="20" t="s">
        <v>42</v>
      </c>
      <c r="D44" s="18" t="e">
        <f ca="1">_xll.BDP(C44,"SECURITY_NAME")</f>
        <v>#NAME?</v>
      </c>
      <c r="E44" s="18" t="s">
        <v>50</v>
      </c>
      <c r="F44" s="19">
        <v>38500</v>
      </c>
      <c r="G44" s="18" t="e">
        <f ca="1">_xll.BDP(C44,"CRNCY")</f>
        <v>#NAME?</v>
      </c>
      <c r="H44" s="140">
        <v>3.27</v>
      </c>
      <c r="I44" s="15">
        <f>F44*H44</f>
        <v>125895</v>
      </c>
      <c r="J44" s="16">
        <f>I44</f>
        <v>125895</v>
      </c>
      <c r="K44" s="15" t="e">
        <f ca="1">J44*L44</f>
        <v>#NAME?</v>
      </c>
      <c r="L44" s="22" t="e">
        <f ca="1">_xll.BDH("RUB curncy","PX_LAST",$N44)</f>
        <v>#NAME?</v>
      </c>
      <c r="M44" s="85" t="e">
        <f ca="1">1/_xll.BDH("RUB curncy","PX_LAST",$N44)</f>
        <v>#NAME?</v>
      </c>
      <c r="N44" s="14">
        <v>42663</v>
      </c>
    </row>
    <row r="45" spans="2:17" x14ac:dyDescent="0.2">
      <c r="B45" s="71"/>
      <c r="C45" s="72"/>
      <c r="D45" s="73"/>
      <c r="E45" s="73"/>
      <c r="F45" s="74">
        <f>SUM(F44:F44)</f>
        <v>38500</v>
      </c>
      <c r="G45" s="73"/>
      <c r="H45" s="139">
        <f>I45/F45</f>
        <v>3.27</v>
      </c>
      <c r="I45" s="74">
        <f>SUM(I44:I44)</f>
        <v>125895</v>
      </c>
      <c r="J45" s="74">
        <f>SUM(J44:J44)</f>
        <v>125895</v>
      </c>
      <c r="K45" s="74" t="e">
        <f ca="1">SUM(K44:K44)</f>
        <v>#NAME?</v>
      </c>
      <c r="L45" s="75"/>
      <c r="M45" s="86"/>
      <c r="N45" s="14"/>
    </row>
    <row r="47" spans="2:17" s="33" customFormat="1" x14ac:dyDescent="0.2">
      <c r="B47" s="21" t="s">
        <v>820</v>
      </c>
      <c r="C47" s="20" t="s">
        <v>46</v>
      </c>
      <c r="D47" s="18" t="e">
        <f ca="1">_xll.BDP(C47,"SECURITY_NAME")</f>
        <v>#NAME?</v>
      </c>
      <c r="E47" s="18" t="s">
        <v>50</v>
      </c>
      <c r="F47" s="19">
        <v>5217</v>
      </c>
      <c r="G47" s="18" t="e">
        <f ca="1">_xll.BDP(C47,"CRNCY")</f>
        <v>#NAME?</v>
      </c>
      <c r="H47" s="140">
        <v>1490</v>
      </c>
      <c r="I47" s="15">
        <f>F47*H47</f>
        <v>7773330</v>
      </c>
      <c r="J47" s="16" t="e">
        <f ca="1">I47/L47</f>
        <v>#NAME?</v>
      </c>
      <c r="K47" s="15" t="e">
        <f ca="1">J47*L47</f>
        <v>#NAME?</v>
      </c>
      <c r="L47" s="22" t="e">
        <f ca="1">_xll.BDH("RUB curncy","PX_LAST",$N47)</f>
        <v>#NAME?</v>
      </c>
      <c r="M47" s="85" t="e">
        <f ca="1">1/_xll.BDH("RUB curncy","PX_LAST",$N47)</f>
        <v>#NAME?</v>
      </c>
      <c r="N47" s="14">
        <v>42663</v>
      </c>
    </row>
    <row r="48" spans="2:17" s="33" customFormat="1" x14ac:dyDescent="0.2">
      <c r="B48" s="71"/>
      <c r="C48" s="72"/>
      <c r="D48" s="73"/>
      <c r="E48" s="73"/>
      <c r="F48" s="74">
        <f>SUM(F47:F47)</f>
        <v>5217</v>
      </c>
      <c r="G48" s="73"/>
      <c r="H48" s="139">
        <f>I48/F48</f>
        <v>1490</v>
      </c>
      <c r="I48" s="74">
        <f>SUM(I47:I47)</f>
        <v>7773330</v>
      </c>
      <c r="J48" s="74" t="e">
        <f ca="1">SUM(J47:J47)</f>
        <v>#NAME?</v>
      </c>
      <c r="K48" s="74" t="e">
        <f ca="1">SUM(K47:K47)</f>
        <v>#NAME?</v>
      </c>
      <c r="L48" s="75"/>
      <c r="M48" s="78"/>
      <c r="N48" s="14"/>
    </row>
    <row r="49" spans="2:14" s="33" customFormat="1" x14ac:dyDescent="0.2">
      <c r="B49" s="71"/>
      <c r="C49" s="72"/>
      <c r="D49" s="73"/>
      <c r="E49" s="73"/>
      <c r="F49" s="74"/>
      <c r="G49" s="73"/>
      <c r="H49" s="139"/>
      <c r="I49" s="74"/>
      <c r="J49" s="74"/>
      <c r="K49" s="74"/>
      <c r="L49" s="75"/>
      <c r="M49" s="78"/>
      <c r="N49" s="14"/>
    </row>
    <row r="50" spans="2:14" x14ac:dyDescent="0.2">
      <c r="B50" s="21" t="s">
        <v>820</v>
      </c>
      <c r="C50" s="20" t="s">
        <v>821</v>
      </c>
      <c r="D50" s="18" t="e">
        <f ca="1">_xll.BDP(C50,"SECURITY_NAME")</f>
        <v>#NAME?</v>
      </c>
      <c r="E50" s="18" t="s">
        <v>50</v>
      </c>
      <c r="F50" s="19">
        <v>1700</v>
      </c>
      <c r="G50" s="18" t="e">
        <f ca="1">_xll.BDP(C50,"CRNCY")</f>
        <v>#NAME?</v>
      </c>
      <c r="H50" s="140">
        <v>73.14</v>
      </c>
      <c r="I50" s="15">
        <f>F50*H50</f>
        <v>124338</v>
      </c>
      <c r="J50" s="16">
        <f>I50</f>
        <v>124338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42663</v>
      </c>
    </row>
    <row r="51" spans="2:14" x14ac:dyDescent="0.2">
      <c r="B51" s="71"/>
      <c r="C51" s="72"/>
      <c r="D51" s="73"/>
      <c r="E51" s="73"/>
      <c r="F51" s="74">
        <f>SUM(F50:F50)</f>
        <v>1700</v>
      </c>
      <c r="G51" s="73"/>
      <c r="H51" s="139">
        <f>I51/F51</f>
        <v>73.14</v>
      </c>
      <c r="I51" s="74">
        <f>SUM(I50:I50)</f>
        <v>124338</v>
      </c>
      <c r="J51" s="74">
        <f>SUM(J50:J50)</f>
        <v>124338</v>
      </c>
      <c r="K51" s="74" t="e">
        <f ca="1">SUM(K50:K50)</f>
        <v>#NAME?</v>
      </c>
      <c r="L51" s="75"/>
      <c r="M51" s="86"/>
      <c r="N51" s="14"/>
    </row>
    <row r="53" spans="2:14" x14ac:dyDescent="0.2">
      <c r="B53" s="21" t="s">
        <v>820</v>
      </c>
      <c r="C53" s="20" t="s">
        <v>334</v>
      </c>
      <c r="D53" s="18" t="e">
        <f ca="1">_xll.BDP(C53,"SECURITY_NAME")</f>
        <v>#NAME?</v>
      </c>
      <c r="E53" s="18" t="s">
        <v>50</v>
      </c>
      <c r="F53" s="19">
        <v>37000</v>
      </c>
      <c r="G53" s="18" t="e">
        <f ca="1">_xll.BDP(C53,"CRNCY")</f>
        <v>#NAME?</v>
      </c>
      <c r="H53" s="140">
        <v>213.46989199999999</v>
      </c>
      <c r="I53" s="15">
        <f>F53*H53</f>
        <v>7898386.0039999997</v>
      </c>
      <c r="J53" s="16" t="e">
        <f ca="1">I53/L53</f>
        <v>#NAME?</v>
      </c>
      <c r="K53" s="15" t="e">
        <f ca="1">J53*L53</f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42668</v>
      </c>
    </row>
    <row r="54" spans="2:14" x14ac:dyDescent="0.2">
      <c r="B54" s="71"/>
      <c r="C54" s="72"/>
      <c r="D54" s="73"/>
      <c r="E54" s="73"/>
      <c r="F54" s="74">
        <f>SUM(F53:F53)</f>
        <v>37000</v>
      </c>
      <c r="G54" s="73"/>
      <c r="H54" s="139">
        <f>I54/F54</f>
        <v>213.46989199999999</v>
      </c>
      <c r="I54" s="74">
        <f>SUM(I53:I53)</f>
        <v>7898386.0039999997</v>
      </c>
      <c r="J54" s="74" t="e">
        <f ca="1">SUM(J53:J53)</f>
        <v>#NAME?</v>
      </c>
      <c r="K54" s="74" t="e">
        <f ca="1">SUM(K53:K53)</f>
        <v>#NAME?</v>
      </c>
      <c r="L54" s="75"/>
      <c r="M54" s="78"/>
      <c r="N54" s="14"/>
    </row>
    <row r="56" spans="2:14" x14ac:dyDescent="0.2">
      <c r="B56" s="21" t="s">
        <v>820</v>
      </c>
      <c r="C56" s="20" t="s">
        <v>71</v>
      </c>
      <c r="D56" s="18" t="e">
        <f ca="1">_xll.BDP(C56,"SECURITY_NAME")</f>
        <v>#NAME?</v>
      </c>
      <c r="E56" s="18" t="s">
        <v>50</v>
      </c>
      <c r="F56" s="19">
        <v>11540</v>
      </c>
      <c r="G56" s="18" t="e">
        <f ca="1">_xll.BDP(C56,"CRNCY")</f>
        <v>#NAME?</v>
      </c>
      <c r="H56" s="140">
        <v>8.875</v>
      </c>
      <c r="I56" s="15">
        <f>F56*H56</f>
        <v>102417.5</v>
      </c>
      <c r="J56" s="16" t="e">
        <f ca="1">I56*L56</f>
        <v>#NAME?</v>
      </c>
      <c r="K56" s="15" t="e">
        <f ca="1">J56/M56</f>
        <v>#NAME?</v>
      </c>
      <c r="L56" s="22" t="e">
        <f ca="1">_xll.BDH("GBP curncy","PX_LAST",$N56)</f>
        <v>#NAME?</v>
      </c>
      <c r="M56" s="85" t="e">
        <f ca="1">1/_xll.BDH("RUB curncy","PX_LAST",$N56)</f>
        <v>#NAME?</v>
      </c>
      <c r="N56" s="14">
        <v>42668</v>
      </c>
    </row>
    <row r="57" spans="2:14" x14ac:dyDescent="0.2">
      <c r="B57" s="71"/>
      <c r="C57" s="72"/>
      <c r="D57" s="73"/>
      <c r="E57" s="73"/>
      <c r="F57" s="74">
        <f>SUM(F56:F56)</f>
        <v>11540</v>
      </c>
      <c r="G57" s="73"/>
      <c r="H57" s="139">
        <f>I57/F57</f>
        <v>8.875</v>
      </c>
      <c r="I57" s="74">
        <f>SUM(I56:I56)</f>
        <v>102417.5</v>
      </c>
      <c r="J57" s="74" t="e">
        <f ca="1">SUM(J56:J56)</f>
        <v>#NAME?</v>
      </c>
      <c r="K57" s="74" t="e">
        <f ca="1">SUM(K56:K56)</f>
        <v>#NAME?</v>
      </c>
      <c r="L57" s="75"/>
      <c r="M57" s="78"/>
      <c r="N57" s="14"/>
    </row>
    <row r="59" spans="2:14" x14ac:dyDescent="0.2">
      <c r="B59" s="21" t="s">
        <v>820</v>
      </c>
      <c r="C59" s="118" t="s">
        <v>822</v>
      </c>
      <c r="D59" s="18" t="e">
        <f ca="1">_xll.BDP(C59,"SECURITY_NAME")</f>
        <v>#NAME?</v>
      </c>
      <c r="E59" s="18" t="s">
        <v>50</v>
      </c>
      <c r="F59" s="19">
        <v>200000</v>
      </c>
      <c r="G59" s="18" t="e">
        <f ca="1">_xll.BDP(C59,"CRNCY")</f>
        <v>#NAME?</v>
      </c>
      <c r="H59" s="22">
        <v>100</v>
      </c>
      <c r="I59" s="15">
        <f>F59*H59/100</f>
        <v>200000</v>
      </c>
      <c r="J59" s="16">
        <f>I59</f>
        <v>200000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42664</v>
      </c>
    </row>
    <row r="60" spans="2:14" x14ac:dyDescent="0.2">
      <c r="B60" s="71"/>
      <c r="C60" s="72"/>
      <c r="D60" s="73"/>
      <c r="E60" s="73"/>
      <c r="F60" s="79">
        <f>SUM(F59:F59)</f>
        <v>200000</v>
      </c>
      <c r="G60" s="87"/>
      <c r="H60" s="99">
        <f>I60/F60*100</f>
        <v>100</v>
      </c>
      <c r="I60" s="79">
        <f>SUM(I59:I59)</f>
        <v>200000</v>
      </c>
      <c r="J60" s="79">
        <f>SUM(J59:J59)</f>
        <v>200000</v>
      </c>
      <c r="K60" s="79" t="e">
        <f ca="1">SUM(K59:K59)</f>
        <v>#NAME?</v>
      </c>
      <c r="L60" s="75"/>
      <c r="M60" s="86"/>
      <c r="N60" s="14"/>
    </row>
    <row r="62" spans="2:14" x14ac:dyDescent="0.2">
      <c r="B62" s="21" t="s">
        <v>820</v>
      </c>
      <c r="C62" s="118" t="s">
        <v>824</v>
      </c>
      <c r="D62" s="18" t="e">
        <f ca="1">_xll.BDP(C62,"SECURITY_NAME")</f>
        <v>#NAME?</v>
      </c>
      <c r="E62" s="18" t="s">
        <v>50</v>
      </c>
      <c r="F62" s="19">
        <v>200000</v>
      </c>
      <c r="G62" s="18" t="e">
        <f ca="1">_xll.BDP(C62,"CRNCY")</f>
        <v>#NAME?</v>
      </c>
      <c r="H62" s="22">
        <v>95.3</v>
      </c>
      <c r="I62" s="15">
        <f>F62*H62/100</f>
        <v>190600</v>
      </c>
      <c r="J62" s="16">
        <f>I62</f>
        <v>190600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42683</v>
      </c>
    </row>
    <row r="63" spans="2:14" x14ac:dyDescent="0.2">
      <c r="B63" s="71"/>
      <c r="C63" s="72"/>
      <c r="D63" s="73"/>
      <c r="E63" s="73"/>
      <c r="F63" s="79">
        <f>SUM(F62:F62)</f>
        <v>200000</v>
      </c>
      <c r="G63" s="87"/>
      <c r="H63" s="99">
        <f>I63/F63*100</f>
        <v>95.3</v>
      </c>
      <c r="I63" s="79">
        <f>SUM(I62:I62)</f>
        <v>190600</v>
      </c>
      <c r="J63" s="79">
        <f>SUM(J62:J62)</f>
        <v>190600</v>
      </c>
      <c r="K63" s="79" t="e">
        <f ca="1">SUM(K62:K62)</f>
        <v>#NAME?</v>
      </c>
      <c r="L63" s="75"/>
      <c r="M63" s="86"/>
      <c r="N63" s="14"/>
    </row>
    <row r="65" spans="2:14" x14ac:dyDescent="0.2">
      <c r="B65" s="21" t="s">
        <v>820</v>
      </c>
      <c r="C65" s="118" t="s">
        <v>410</v>
      </c>
      <c r="D65" s="18" t="e">
        <f ca="1">_xll.BDP(C65,"SECURITY_NAME")</f>
        <v>#NAME?</v>
      </c>
      <c r="E65" s="18" t="s">
        <v>50</v>
      </c>
      <c r="F65" s="19">
        <v>200000</v>
      </c>
      <c r="G65" s="18" t="e">
        <f ca="1">_xll.BDP(C65,"CRNCY")</f>
        <v>#NAME?</v>
      </c>
      <c r="H65" s="22">
        <v>109.75</v>
      </c>
      <c r="I65" s="15">
        <f>F65*H65/100</f>
        <v>219500</v>
      </c>
      <c r="J65" s="16">
        <f>I65</f>
        <v>219500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42684</v>
      </c>
    </row>
    <row r="66" spans="2:14" x14ac:dyDescent="0.2">
      <c r="B66" s="71"/>
      <c r="C66" s="72"/>
      <c r="D66" s="73"/>
      <c r="E66" s="73"/>
      <c r="F66" s="79">
        <f>SUM(F65:F65)</f>
        <v>200000</v>
      </c>
      <c r="G66" s="87"/>
      <c r="H66" s="99">
        <f>I66/F66*100</f>
        <v>109.74999999999999</v>
      </c>
      <c r="I66" s="79">
        <f>SUM(I65:I65)</f>
        <v>219500</v>
      </c>
      <c r="J66" s="79">
        <f>SUM(J65:J65)</f>
        <v>219500</v>
      </c>
      <c r="K66" s="79" t="e">
        <f ca="1">SUM(K65:K65)</f>
        <v>#NAME?</v>
      </c>
      <c r="L66" s="75"/>
      <c r="M66" s="86"/>
      <c r="N66" s="14"/>
    </row>
    <row r="68" spans="2:14" x14ac:dyDescent="0.2">
      <c r="B68" s="21" t="s">
        <v>820</v>
      </c>
      <c r="C68" s="20" t="s">
        <v>65</v>
      </c>
      <c r="D68" s="18" t="e">
        <f ca="1">_xll.BDP(C68,"SECURITY_NAME")</f>
        <v>#NAME?</v>
      </c>
      <c r="E68" s="18" t="s">
        <v>50</v>
      </c>
      <c r="F68" s="19">
        <v>1957</v>
      </c>
      <c r="G68" s="18" t="e">
        <f ca="1">_xll.BDP(C68,"CRNCY")</f>
        <v>#NAME?</v>
      </c>
      <c r="H68" s="140">
        <v>3559</v>
      </c>
      <c r="I68" s="15">
        <f>F68*H68</f>
        <v>6964963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42699</v>
      </c>
    </row>
    <row r="69" spans="2:14" x14ac:dyDescent="0.2">
      <c r="B69" s="71"/>
      <c r="C69" s="72"/>
      <c r="D69" s="73"/>
      <c r="E69" s="73"/>
      <c r="F69" s="74">
        <f>SUM(F68:F68)</f>
        <v>1957</v>
      </c>
      <c r="G69" s="73"/>
      <c r="H69" s="139">
        <f>I69/F69</f>
        <v>3559</v>
      </c>
      <c r="I69" s="74">
        <f>SUM(I68:I68)</f>
        <v>6964963</v>
      </c>
      <c r="J69" s="74" t="e">
        <f ca="1">SUM(J68:J68)</f>
        <v>#NAME?</v>
      </c>
      <c r="K69" s="74" t="e">
        <f ca="1">SUM(K68:K68)</f>
        <v>#NAME?</v>
      </c>
      <c r="L69" s="75"/>
      <c r="M69" s="78"/>
      <c r="N69" s="14"/>
    </row>
    <row r="71" spans="2:14" x14ac:dyDescent="0.2">
      <c r="B71" s="21" t="s">
        <v>820</v>
      </c>
      <c r="C71" s="20" t="s">
        <v>829</v>
      </c>
      <c r="D71" s="18" t="e">
        <f ca="1">_xll.BDP(C71,"SECURITY_NAME")</f>
        <v>#NAME?</v>
      </c>
      <c r="E71" s="18" t="s">
        <v>50</v>
      </c>
      <c r="F71" s="19">
        <v>650</v>
      </c>
      <c r="G71" s="18" t="e">
        <f ca="1">_xll.BDP(C71,"CRNCY")</f>
        <v>#NAME?</v>
      </c>
      <c r="H71" s="140">
        <v>188.932615</v>
      </c>
      <c r="I71" s="15">
        <f>F71*H71</f>
        <v>122806.19975</v>
      </c>
      <c r="J71" s="16">
        <f>I71</f>
        <v>122806.19975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42697</v>
      </c>
    </row>
    <row r="72" spans="2:14" x14ac:dyDescent="0.2">
      <c r="B72" s="71"/>
      <c r="C72" s="72"/>
      <c r="D72" s="73"/>
      <c r="E72" s="73"/>
      <c r="F72" s="74">
        <f>SUM(F71:F71)</f>
        <v>650</v>
      </c>
      <c r="G72" s="73"/>
      <c r="H72" s="139">
        <f>I72/F72</f>
        <v>188.932615</v>
      </c>
      <c r="I72" s="74">
        <f>SUM(I71:I71)</f>
        <v>122806.19975</v>
      </c>
      <c r="J72" s="74">
        <f>SUM(J71:J71)</f>
        <v>122806.19975</v>
      </c>
      <c r="K72" s="74" t="e">
        <f ca="1">SUM(K71:K71)</f>
        <v>#NAME?</v>
      </c>
      <c r="L72" s="75"/>
      <c r="M72" s="86"/>
      <c r="N72" s="14"/>
    </row>
    <row r="74" spans="2:14" x14ac:dyDescent="0.2">
      <c r="B74" s="21" t="s">
        <v>820</v>
      </c>
      <c r="C74" s="118" t="s">
        <v>832</v>
      </c>
      <c r="D74" s="18" t="e">
        <f ca="1">_xll.BDP(C74,"SECURITY_NAME")</f>
        <v>#NAME?</v>
      </c>
      <c r="E74" s="18" t="s">
        <v>50</v>
      </c>
      <c r="F74" s="19">
        <v>150000</v>
      </c>
      <c r="G74" s="18" t="e">
        <f ca="1">_xll.BDP(C74,"CRNCY")</f>
        <v>#NAME?</v>
      </c>
      <c r="H74" s="22">
        <v>106.28</v>
      </c>
      <c r="I74" s="15">
        <f>F74*H74/100</f>
        <v>159420</v>
      </c>
      <c r="J74" s="16">
        <f>I74</f>
        <v>159420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42702</v>
      </c>
    </row>
    <row r="75" spans="2:14" x14ac:dyDescent="0.2">
      <c r="B75" s="71"/>
      <c r="C75" s="72"/>
      <c r="D75" s="73"/>
      <c r="E75" s="73"/>
      <c r="F75" s="79">
        <f>SUM(F74:F74)</f>
        <v>150000</v>
      </c>
      <c r="G75" s="87"/>
      <c r="H75" s="99">
        <f>I75/F75*100</f>
        <v>106.28</v>
      </c>
      <c r="I75" s="79">
        <f>SUM(I74:I74)</f>
        <v>159420</v>
      </c>
      <c r="J75" s="79">
        <f>SUM(J74:J74)</f>
        <v>159420</v>
      </c>
      <c r="K75" s="79" t="e">
        <f ca="1">SUM(K74:K74)</f>
        <v>#NAME?</v>
      </c>
      <c r="L75" s="75"/>
      <c r="M75" s="86"/>
      <c r="N75" s="14"/>
    </row>
    <row r="77" spans="2:14" x14ac:dyDescent="0.2">
      <c r="B77" s="21" t="s">
        <v>820</v>
      </c>
      <c r="C77" s="118" t="s">
        <v>843</v>
      </c>
      <c r="D77" s="18" t="e">
        <f ca="1">_xll.BDP(C77,"SECURITY_NAME")</f>
        <v>#NAME?</v>
      </c>
      <c r="E77" s="18" t="s">
        <v>50</v>
      </c>
      <c r="F77" s="19">
        <v>125000</v>
      </c>
      <c r="G77" s="18" t="e">
        <f ca="1">_xll.BDP(C77,"CRNCY")</f>
        <v>#NAME?</v>
      </c>
      <c r="H77" s="22">
        <v>100</v>
      </c>
      <c r="I77" s="15">
        <f>F77*H77/100</f>
        <v>125000</v>
      </c>
      <c r="J77" s="16">
        <f>I77</f>
        <v>125000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42713</v>
      </c>
    </row>
    <row r="78" spans="2:14" x14ac:dyDescent="0.2">
      <c r="B78" s="71"/>
      <c r="C78" s="72"/>
      <c r="D78" s="73"/>
      <c r="E78" s="73"/>
      <c r="F78" s="79">
        <f>SUM(F77:F77)</f>
        <v>125000</v>
      </c>
      <c r="G78" s="87"/>
      <c r="H78" s="99">
        <f>I78/F78*100</f>
        <v>100</v>
      </c>
      <c r="I78" s="79">
        <f>SUM(I77:I77)</f>
        <v>125000</v>
      </c>
      <c r="J78" s="79">
        <f>SUM(J77:J77)</f>
        <v>125000</v>
      </c>
      <c r="K78" s="79" t="e">
        <f ca="1">SUM(K77:K77)</f>
        <v>#NAME?</v>
      </c>
      <c r="L78" s="75"/>
      <c r="M78" s="86"/>
      <c r="N78" s="14"/>
    </row>
  </sheetData>
  <sortState ref="A4:Y10">
    <sortCondition descending="1" ref="I4:I10"/>
  </sortState>
  <mergeCells count="1">
    <mergeCell ref="T18:U19"/>
  </mergeCells>
  <conditionalFormatting sqref="E45">
    <cfRule type="containsText" dxfId="11199" priority="373" operator="containsText" text="Buy">
      <formula>NOT(ISERROR(SEARCH("Buy",E45)))</formula>
    </cfRule>
    <cfRule type="containsText" dxfId="11198" priority="374" operator="containsText" text="Sell">
      <formula>NOT(ISERROR(SEARCH("Sell",E45)))</formula>
    </cfRule>
  </conditionalFormatting>
  <conditionalFormatting sqref="L4:M4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{B5F218D1-80FE-4131-9D0F-02F163BFD73D}</x14:id>
        </ext>
      </extLst>
    </cfRule>
  </conditionalFormatting>
  <conditionalFormatting sqref="L4:M4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{BD8F74C6-A000-4D61-8DE3-D81BAD0AFB17}</x14:id>
        </ext>
      </extLst>
    </cfRule>
  </conditionalFormatting>
  <conditionalFormatting sqref="L4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{CCCF19B0-8E0E-4515-80E3-DB82B80C02C2}</x14:id>
        </ext>
      </extLst>
    </cfRule>
  </conditionalFormatting>
  <conditionalFormatting sqref="M4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{18C26D4B-FA69-441E-9A28-6C193948E3B6}</x14:id>
        </ext>
      </extLst>
    </cfRule>
  </conditionalFormatting>
  <conditionalFormatting sqref="V4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{BE629F0B-7920-4A65-8255-7243BBEDF7E8}</x14:id>
        </ext>
      </extLst>
    </cfRule>
  </conditionalFormatting>
  <conditionalFormatting sqref="W4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{F2252583-E700-4300-A5EA-88A162C972B3}</x14:id>
        </ext>
      </extLst>
    </cfRule>
  </conditionalFormatting>
  <conditionalFormatting sqref="E48:E49">
    <cfRule type="containsText" dxfId="11197" priority="365" operator="containsText" text="Buy">
      <formula>NOT(ISERROR(SEARCH("Buy",E48)))</formula>
    </cfRule>
    <cfRule type="containsText" dxfId="11196" priority="366" operator="containsText" text="Sell">
      <formula>NOT(ISERROR(SEARCH("Sell",E48)))</formula>
    </cfRule>
  </conditionalFormatting>
  <conditionalFormatting sqref="L9:M9"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{580D388F-B514-43FB-846F-4EB5E873D17D}</x14:id>
        </ext>
      </extLst>
    </cfRule>
  </conditionalFormatting>
  <conditionalFormatting sqref="L9:M9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{08A1EC4F-D3BB-41ED-AD59-0E4DF0FC2AB2}</x14:id>
        </ext>
      </extLst>
    </cfRule>
  </conditionalFormatting>
  <conditionalFormatting sqref="L9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{9F179AD0-61B8-4C46-B681-C99085EFCA79}</x14:id>
        </ext>
      </extLst>
    </cfRule>
  </conditionalFormatting>
  <conditionalFormatting sqref="M9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{56B2D9D0-33EB-4236-8DC6-9CC491EDD578}</x14:id>
        </ext>
      </extLst>
    </cfRule>
  </conditionalFormatting>
  <conditionalFormatting sqref="V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{FF43BEED-E02E-45AA-B4C5-3CAA93A49024}</x14:id>
        </ext>
      </extLst>
    </cfRule>
  </conditionalFormatting>
  <conditionalFormatting sqref="W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{C780958D-CADE-425C-9572-9FDA70DA8BD8}</x14:id>
        </ext>
      </extLst>
    </cfRule>
  </conditionalFormatting>
  <conditionalFormatting sqref="M10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{0DCC2CBD-0F4A-4E5E-8545-E2359E3A494B}</x14:id>
        </ext>
      </extLst>
    </cfRule>
  </conditionalFormatting>
  <conditionalFormatting sqref="M10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{22EA3245-743D-41E5-8D8B-314F799BC2D1}</x14:id>
        </ext>
      </extLst>
    </cfRule>
  </conditionalFormatting>
  <conditionalFormatting sqref="V10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{9A2A3EF4-F43B-4161-A84E-4097E43AA08E}</x14:id>
        </ext>
      </extLst>
    </cfRule>
  </conditionalFormatting>
  <conditionalFormatting sqref="W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{5798855E-989C-4B76-B0AF-982A612CF046}</x14:id>
        </ext>
      </extLst>
    </cfRule>
  </conditionalFormatting>
  <conditionalFormatting sqref="L10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{866DEC23-EAC9-49D8-8EF4-26910B9D7327}</x14:id>
        </ext>
      </extLst>
    </cfRule>
  </conditionalFormatting>
  <conditionalFormatting sqref="L10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{9BFCD73B-40B4-479F-9778-068691D12273}</x14:id>
        </ext>
      </extLst>
    </cfRule>
  </conditionalFormatting>
  <conditionalFormatting sqref="E35:E37">
    <cfRule type="containsText" dxfId="11195" priority="351" operator="containsText" text="Buy">
      <formula>NOT(ISERROR(SEARCH("Buy",E35)))</formula>
    </cfRule>
    <cfRule type="containsText" dxfId="11194" priority="352" operator="containsText" text="Sell">
      <formula>NOT(ISERROR(SEARCH("Sell",E35)))</formula>
    </cfRule>
  </conditionalFormatting>
  <conditionalFormatting sqref="E43">
    <cfRule type="containsText" dxfId="11193" priority="349" operator="containsText" text="Buy">
      <formula>NOT(ISERROR(SEARCH("Buy",E43)))</formula>
    </cfRule>
    <cfRule type="containsText" dxfId="11192" priority="350" operator="containsText" text="Sell">
      <formula>NOT(ISERROR(SEARCH("Sell",E43)))</formula>
    </cfRule>
  </conditionalFormatting>
  <conditionalFormatting sqref="H30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{91E292C3-F1BB-402E-A399-9455EBE6E5B6}</x14:id>
        </ext>
      </extLst>
    </cfRule>
    <cfRule type="cellIs" dxfId="11191" priority="348" operator="equal">
      <formula>1</formula>
    </cfRule>
  </conditionalFormatting>
  <conditionalFormatting sqref="D30">
    <cfRule type="containsText" dxfId="11190" priority="346" operator="containsText" text="Buy">
      <formula>NOT(ISERROR(SEARCH("Buy",D30)))</formula>
    </cfRule>
    <cfRule type="containsText" dxfId="11189" priority="347" operator="containsText" text="Sell">
      <formula>NOT(ISERROR(SEARCH("Sell",D30)))</formula>
    </cfRule>
  </conditionalFormatting>
  <conditionalFormatting sqref="Y15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{9CCDF568-FD45-4E94-B15D-5116D8DC4F71}</x14:id>
        </ext>
      </extLst>
    </cfRule>
  </conditionalFormatting>
  <conditionalFormatting sqref="L15:M15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{36AF2E5B-A502-4B71-A67D-D0E659C1ADBD}</x14:id>
        </ext>
      </extLst>
    </cfRule>
  </conditionalFormatting>
  <conditionalFormatting sqref="L15:M15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{794BE64B-710D-43C3-8BDB-021C9A12718F}</x14:id>
        </ext>
      </extLst>
    </cfRule>
  </conditionalFormatting>
  <conditionalFormatting sqref="L15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{FBBC0EB7-D6A5-46D8-9EA5-FECA531C9F3F}</x14:id>
        </ext>
      </extLst>
    </cfRule>
  </conditionalFormatting>
  <conditionalFormatting sqref="M15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{A62A36C1-B4B4-4066-8CCA-121ED26B89C1}</x14:id>
        </ext>
      </extLst>
    </cfRule>
  </conditionalFormatting>
  <conditionalFormatting sqref="V15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{680C35ED-465A-48BC-865F-D11A80DAF599}</x14:id>
        </ext>
      </extLst>
    </cfRule>
  </conditionalFormatting>
  <conditionalFormatting sqref="W15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{6FDE18C4-CF45-4F18-A9F8-4BE0C9EF6374}</x14:id>
        </ext>
      </extLst>
    </cfRule>
  </conditionalFormatting>
  <conditionalFormatting sqref="M15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{49EDC4CB-04F5-4B3E-9BED-53EBDA898FCE}</x14:id>
        </ext>
      </extLst>
    </cfRule>
  </conditionalFormatting>
  <conditionalFormatting sqref="L15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{AAC4F239-636E-474D-BF64-04A3B57DEDA1}</x14:id>
        </ext>
      </extLst>
    </cfRule>
  </conditionalFormatting>
  <conditionalFormatting sqref="M15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{8ADD8B8A-3931-4EAF-B8DE-34B1137314AE}</x14:id>
        </ext>
      </extLst>
    </cfRule>
  </conditionalFormatting>
  <conditionalFormatting sqref="E38:E39">
    <cfRule type="containsText" dxfId="11188" priority="322" operator="containsText" text="Buy">
      <formula>NOT(ISERROR(SEARCH("Buy",E38)))</formula>
    </cfRule>
    <cfRule type="containsText" dxfId="11187" priority="323" operator="containsText" text="Sell">
      <formula>NOT(ISERROR(SEARCH("Sell",E38)))</formula>
    </cfRule>
  </conditionalFormatting>
  <conditionalFormatting sqref="V4:W4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{636EE423-A4B9-45EA-BF12-08DC404D0352}</x14:id>
        </ext>
      </extLst>
    </cfRule>
  </conditionalFormatting>
  <conditionalFormatting sqref="V4:W4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{ED2EB407-29FC-4EB6-B8EE-6A8E3AE6952E}</x14:id>
        </ext>
      </extLst>
    </cfRule>
  </conditionalFormatting>
  <conditionalFormatting sqref="V9:W9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{B525ED78-06FE-4CF9-9E8C-B80100986D0C}</x14:id>
        </ext>
      </extLst>
    </cfRule>
  </conditionalFormatting>
  <conditionalFormatting sqref="V9:W9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{1414CD98-3FF8-4FE5-A461-50CCEE3A2040}</x14:id>
        </ext>
      </extLst>
    </cfRule>
  </conditionalFormatting>
  <conditionalFormatting sqref="V10:W10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{46CD3FEB-33B1-429A-86A7-68AD572A850A}</x14:id>
        </ext>
      </extLst>
    </cfRule>
  </conditionalFormatting>
  <conditionalFormatting sqref="V10:W10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{26B5C313-FF82-448E-864E-ACDC72348C69}</x14:id>
        </ext>
      </extLst>
    </cfRule>
  </conditionalFormatting>
  <conditionalFormatting sqref="V15:W15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{E230C676-2E82-4F99-BA06-B0BA529B9CCF}</x14:id>
        </ext>
      </extLst>
    </cfRule>
  </conditionalFormatting>
  <conditionalFormatting sqref="E47">
    <cfRule type="containsText" dxfId="11186" priority="320" operator="containsText" text="Buy">
      <formula>NOT(ISERROR(SEARCH("Buy",E47)))</formula>
    </cfRule>
    <cfRule type="containsText" dxfId="11185" priority="321" operator="containsText" text="Sell">
      <formula>NOT(ISERROR(SEARCH("Sell",E47)))</formula>
    </cfRule>
  </conditionalFormatting>
  <conditionalFormatting sqref="T11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{C0598DC8-9998-400C-869D-677808FC52C7}</x14:id>
        </ext>
      </extLst>
    </cfRule>
  </conditionalFormatting>
  <conditionalFormatting sqref="T11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{2E0E31EE-8121-4948-BF51-AA22FD519994}</x14:id>
        </ext>
      </extLst>
    </cfRule>
  </conditionalFormatting>
  <conditionalFormatting sqref="T11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{063CE531-C3E2-4A39-8192-04FD8C7552C9}</x14:id>
        </ext>
      </extLst>
    </cfRule>
  </conditionalFormatting>
  <conditionalFormatting sqref="Y1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{87E35628-9ABA-4A19-B05C-742DB0D4F497}</x14:id>
        </ext>
      </extLst>
    </cfRule>
  </conditionalFormatting>
  <conditionalFormatting sqref="L11:M1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{E286B4CA-D953-47DA-BC00-8FEA6F3427E8}</x14:id>
        </ext>
      </extLst>
    </cfRule>
  </conditionalFormatting>
  <conditionalFormatting sqref="L11:M1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{7AC27EBF-546E-4340-BD6C-AB55D684C554}</x14:id>
        </ext>
      </extLst>
    </cfRule>
  </conditionalFormatting>
  <conditionalFormatting sqref="L11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{F3F8ACCB-5B09-4A04-955D-368F69D6CC7E}</x14:id>
        </ext>
      </extLst>
    </cfRule>
  </conditionalFormatting>
  <conditionalFormatting sqref="M11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{AD8C29E0-1234-4C4C-90A2-DFBA9DF0E677}</x14:id>
        </ext>
      </extLst>
    </cfRule>
  </conditionalFormatting>
  <conditionalFormatting sqref="V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{E25DF17E-54D2-458B-8CCE-F4384D105251}</x14:id>
        </ext>
      </extLst>
    </cfRule>
  </conditionalFormatting>
  <conditionalFormatting sqref="W11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{7281A68D-D172-4DB5-A310-01D3EDDDCFE9}</x14:id>
        </ext>
      </extLst>
    </cfRule>
  </conditionalFormatting>
  <conditionalFormatting sqref="M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{CAD54867-ED70-4388-96A0-1022F0C34C50}</x14:id>
        </ext>
      </extLst>
    </cfRule>
  </conditionalFormatting>
  <conditionalFormatting sqref="L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{DB6DE485-A8A7-40AB-8BE9-20302C7B3C21}</x14:id>
        </ext>
      </extLst>
    </cfRule>
  </conditionalFormatting>
  <conditionalFormatting sqref="M11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{F138C0E0-3535-46F0-AFBB-58315629EAB2}</x14:id>
        </ext>
      </extLst>
    </cfRule>
  </conditionalFormatting>
  <conditionalFormatting sqref="L11:M11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{E00E90F4-EE3C-489A-98D7-7B03679423F8}</x14:id>
        </ext>
      </extLst>
    </cfRule>
  </conditionalFormatting>
  <conditionalFormatting sqref="T11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{9F43D222-AA7F-47B0-A36D-933009837D2B}</x14:id>
        </ext>
      </extLst>
    </cfRule>
  </conditionalFormatting>
  <conditionalFormatting sqref="L11:M11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{E677FB50-B662-444E-91E2-A99188FD1610}</x14:id>
        </ext>
      </extLst>
    </cfRule>
  </conditionalFormatting>
  <conditionalFormatting sqref="T11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{749B2EDF-2EE9-4A95-9232-675E48ADF32F}</x14:id>
        </ext>
      </extLst>
    </cfRule>
  </conditionalFormatting>
  <conditionalFormatting sqref="I11">
    <cfRule type="dataBar" priority="3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{80266DD8-3A50-4E76-8C1E-55684141825C}</x14:id>
        </ext>
      </extLst>
    </cfRule>
  </conditionalFormatting>
  <conditionalFormatting sqref="T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{3DCFA691-D0EA-4775-BC02-9A2BB580B9B6}</x14:id>
        </ext>
      </extLst>
    </cfRule>
  </conditionalFormatting>
  <conditionalFormatting sqref="T11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{AEB9B2E0-6F75-4EA5-835C-DDF74AD06DF2}</x14:id>
        </ext>
      </extLst>
    </cfRule>
  </conditionalFormatting>
  <conditionalFormatting sqref="V11:W11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{6FE84ED7-02E2-4003-B45D-21044F66C16C}</x14:id>
        </ext>
      </extLst>
    </cfRule>
  </conditionalFormatting>
  <conditionalFormatting sqref="V11:W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{BC04B761-F7BD-47C1-B490-22F0DB13859C}</x14:id>
        </ext>
      </extLst>
    </cfRule>
  </conditionalFormatting>
  <conditionalFormatting sqref="E41:E42">
    <cfRule type="containsText" dxfId="11184" priority="296" operator="containsText" text="Buy">
      <formula>NOT(ISERROR(SEARCH("Buy",E41)))</formula>
    </cfRule>
    <cfRule type="containsText" dxfId="11183" priority="297" operator="containsText" text="Sell">
      <formula>NOT(ISERROR(SEARCH("Sell",E41)))</formula>
    </cfRule>
  </conditionalFormatting>
  <conditionalFormatting sqref="L17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{89FA8CD9-8768-476B-A96F-602F8A7B1C32}</x14:id>
        </ext>
      </extLst>
    </cfRule>
  </conditionalFormatting>
  <conditionalFormatting sqref="E44">
    <cfRule type="containsText" dxfId="11182" priority="293" operator="containsText" text="Buy">
      <formula>NOT(ISERROR(SEARCH("Buy",E44)))</formula>
    </cfRule>
    <cfRule type="containsText" dxfId="11181" priority="294" operator="containsText" text="Sell">
      <formula>NOT(ISERROR(SEARCH("Sell",E44)))</formula>
    </cfRule>
  </conditionalFormatting>
  <conditionalFormatting sqref="L4:M4 L9:M10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{C9AB42A9-E8BA-41F5-8DEB-B607550B303A}</x14:id>
        </ext>
      </extLst>
    </cfRule>
  </conditionalFormatting>
  <conditionalFormatting sqref="L4:M4 L9:M10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{520FF2F0-B87F-4CDE-9633-3B8A23FEBC3B}</x14:id>
        </ext>
      </extLst>
    </cfRule>
  </conditionalFormatting>
  <conditionalFormatting sqref="L4:M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{86CADE81-BD1A-45BD-AEB9-1A4BFE9C2793}</x14:id>
        </ext>
      </extLst>
    </cfRule>
  </conditionalFormatting>
  <conditionalFormatting sqref="L9:L10 L4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{9F54E561-9051-4370-96D5-088700DC4C1C}</x14:id>
        </ext>
      </extLst>
    </cfRule>
  </conditionalFormatting>
  <conditionalFormatting sqref="L9:L10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{1846F7F3-41B3-41D6-A1B3-451B12B321C3}</x14:id>
        </ext>
      </extLst>
    </cfRule>
  </conditionalFormatting>
  <conditionalFormatting sqref="Y9:Y10 Y4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{0EC90E41-720D-4A47-BC01-C8384E24340C}</x14:id>
        </ext>
      </extLst>
    </cfRule>
  </conditionalFormatting>
  <conditionalFormatting sqref="X9:X10 X4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{75EE41CB-A7D1-4001-9B8D-CFD1A61C44B5}</x14:id>
        </ext>
      </extLst>
    </cfRule>
  </conditionalFormatting>
  <conditionalFormatting sqref="I9:I10 I4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{0620A407-63BC-4979-8F7A-9D13765538D1}</x14:id>
        </ext>
      </extLst>
    </cfRule>
  </conditionalFormatting>
  <conditionalFormatting sqref="E51">
    <cfRule type="containsText" dxfId="11180" priority="291" operator="containsText" text="Buy">
      <formula>NOT(ISERROR(SEARCH("Buy",E51)))</formula>
    </cfRule>
    <cfRule type="containsText" dxfId="11179" priority="292" operator="containsText" text="Sell">
      <formula>NOT(ISERROR(SEARCH("Sell",E51)))</formula>
    </cfRule>
  </conditionalFormatting>
  <conditionalFormatting sqref="E50">
    <cfRule type="containsText" dxfId="11178" priority="289" operator="containsText" text="Buy">
      <formula>NOT(ISERROR(SEARCH("Buy",E50)))</formula>
    </cfRule>
    <cfRule type="containsText" dxfId="11177" priority="290" operator="containsText" text="Sell">
      <formula>NOT(ISERROR(SEARCH("Sell",E50)))</formula>
    </cfRule>
  </conditionalFormatting>
  <conditionalFormatting sqref="L15:M15 L4:M4 L9:M10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{4FD89AE5-8A52-4F88-B9C7-14ECCCB4B8E9}</x14:id>
        </ext>
      </extLst>
    </cfRule>
  </conditionalFormatting>
  <conditionalFormatting sqref="M17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{2A17CA0F-0DB7-4DC9-BAFE-6AB368CF896C}</x14:id>
        </ext>
      </extLst>
    </cfRule>
  </conditionalFormatting>
  <conditionalFormatting sqref="M17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{A99A7C78-3AC6-4E3F-BE7B-9ED72CE3D5AA}</x14:id>
        </ext>
      </extLst>
    </cfRule>
  </conditionalFormatting>
  <conditionalFormatting sqref="E54">
    <cfRule type="containsText" dxfId="11176" priority="282" operator="containsText" text="Buy">
      <formula>NOT(ISERROR(SEARCH("Buy",E54)))</formula>
    </cfRule>
    <cfRule type="containsText" dxfId="11175" priority="283" operator="containsText" text="Sell">
      <formula>NOT(ISERROR(SEARCH("Sell",E54)))</formula>
    </cfRule>
  </conditionalFormatting>
  <conditionalFormatting sqref="E53">
    <cfRule type="containsText" dxfId="11174" priority="280" operator="containsText" text="Buy">
      <formula>NOT(ISERROR(SEARCH("Buy",E53)))</formula>
    </cfRule>
    <cfRule type="containsText" dxfId="11173" priority="281" operator="containsText" text="Sell">
      <formula>NOT(ISERROR(SEARCH("Sell",E53)))</formula>
    </cfRule>
  </conditionalFormatting>
  <conditionalFormatting sqref="L6:M6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{98EBE9BC-3A64-4FD9-A7B9-F50841977365}</x14:id>
        </ext>
      </extLst>
    </cfRule>
  </conditionalFormatting>
  <conditionalFormatting sqref="L6:M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{C47737CC-4A78-4606-9CB7-F5D64C1655CC}</x14:id>
        </ext>
      </extLst>
    </cfRule>
  </conditionalFormatting>
  <conditionalFormatting sqref="L6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{5E69C98F-B6DC-4DD5-BFEE-8D14CB855085}</x14:id>
        </ext>
      </extLst>
    </cfRule>
  </conditionalFormatting>
  <conditionalFormatting sqref="M6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{0F2CC920-6E3A-4F52-96BD-179FA17FD751}</x14:id>
        </ext>
      </extLst>
    </cfRule>
  </conditionalFormatting>
  <conditionalFormatting sqref="V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{0A052103-AB65-4D92-B4C1-F346DE66C105}</x14:id>
        </ext>
      </extLst>
    </cfRule>
  </conditionalFormatting>
  <conditionalFormatting sqref="W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{10F5920C-69A6-4E93-A620-9EEECF098E10}</x14:id>
        </ext>
      </extLst>
    </cfRule>
  </conditionalFormatting>
  <conditionalFormatting sqref="V6:W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{6A693E05-DEB5-486F-B36F-8CCEE1019251}</x14:id>
        </ext>
      </extLst>
    </cfRule>
  </conditionalFormatting>
  <conditionalFormatting sqref="V6:W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{4261FB37-22BB-47DC-BCD4-5917920E4872}</x14:id>
        </ext>
      </extLst>
    </cfRule>
  </conditionalFormatting>
  <conditionalFormatting sqref="L6:M6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{907BD6FA-99F3-43EB-9431-47E65B1D1E5E}</x14:id>
        </ext>
      </extLst>
    </cfRule>
  </conditionalFormatting>
  <conditionalFormatting sqref="L6:M6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{089BD6CF-94B8-481F-A234-BC1F70CF21A9}</x14:id>
        </ext>
      </extLst>
    </cfRule>
  </conditionalFormatting>
  <conditionalFormatting sqref="L6:M6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{32478E22-27B3-415B-A154-A6A0D4D3A03C}</x14:id>
        </ext>
      </extLst>
    </cfRule>
  </conditionalFormatting>
  <conditionalFormatting sqref="L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{B5EC30E3-DA3C-4AE7-84AC-D6906C90A5C0}</x14:id>
        </ext>
      </extLst>
    </cfRule>
  </conditionalFormatting>
  <conditionalFormatting sqref="L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{ED28E836-DB40-4C61-B68E-9290232A56F1}</x14:id>
        </ext>
      </extLst>
    </cfRule>
  </conditionalFormatting>
  <conditionalFormatting sqref="Y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{606CBDE4-7B0C-47C4-89B1-99E7036A0786}</x14:id>
        </ext>
      </extLst>
    </cfRule>
  </conditionalFormatting>
  <conditionalFormatting sqref="X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{0D5BCE5C-50B1-4FC2-8510-E39735B3F655}</x14:id>
        </ext>
      </extLst>
    </cfRule>
  </conditionalFormatting>
  <conditionalFormatting sqref="I6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{0E91C536-D0EE-4914-BF9D-B412E38C3C93}</x14:id>
        </ext>
      </extLst>
    </cfRule>
  </conditionalFormatting>
  <conditionalFormatting sqref="L6:M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{AAE52E96-43C4-4AFD-8DE6-A8EB7F3DD12B}</x14:id>
        </ext>
      </extLst>
    </cfRule>
  </conditionalFormatting>
  <conditionalFormatting sqref="T6">
    <cfRule type="dataBar" priority="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{71883379-5588-4046-9055-8E97BBF26897}</x14:id>
        </ext>
      </extLst>
    </cfRule>
  </conditionalFormatting>
  <conditionalFormatting sqref="L6:M6">
    <cfRule type="dataBar" priority="2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{70522F2F-3302-464E-B9A6-05C2CFB4AF04}</x14:id>
        </ext>
      </extLst>
    </cfRule>
  </conditionalFormatting>
  <conditionalFormatting sqref="T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{A83E5594-0126-434A-8695-78C1163AEFD0}</x14:id>
        </ext>
      </extLst>
    </cfRule>
  </conditionalFormatting>
  <conditionalFormatting sqref="I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{EDA0D207-E90D-42D9-AFDF-F440CEAF7BF6}</x14:id>
        </ext>
      </extLst>
    </cfRule>
  </conditionalFormatting>
  <conditionalFormatting sqref="T6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{AFBFF165-7047-4F03-8E6D-D0CA7F3A1007}</x14:id>
        </ext>
      </extLst>
    </cfRule>
  </conditionalFormatting>
  <conditionalFormatting sqref="V6:W6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{FEAE658A-F4ED-461A-AC43-5E4FE23CCB87}</x14:id>
        </ext>
      </extLst>
    </cfRule>
  </conditionalFormatting>
  <conditionalFormatting sqref="T6">
    <cfRule type="dataBar" priority="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{7FA402D6-312A-4176-B510-DDAF8350E497}</x14:id>
        </ext>
      </extLst>
    </cfRule>
  </conditionalFormatting>
  <conditionalFormatting sqref="L6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{8B033BBA-E7D0-4CF5-B1D1-D6CBD90C53D3}</x14:id>
        </ext>
      </extLst>
    </cfRule>
  </conditionalFormatting>
  <conditionalFormatting sqref="I6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{F978B097-1212-45F3-91CD-436CE3C8CF1D}</x14:id>
        </ext>
      </extLst>
    </cfRule>
  </conditionalFormatting>
  <conditionalFormatting sqref="L6:M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{5640B18F-21B8-412C-AC6E-10214BC2B57F}</x14:id>
        </ext>
      </extLst>
    </cfRule>
  </conditionalFormatting>
  <conditionalFormatting sqref="V6:W6">
    <cfRule type="dataBar" priority="2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{454A2E00-DD15-40FE-A1FC-31462C9C08A3}</x14:id>
        </ext>
      </extLst>
    </cfRule>
  </conditionalFormatting>
  <conditionalFormatting sqref="E57">
    <cfRule type="containsText" dxfId="11172" priority="249" operator="containsText" text="Buy">
      <formula>NOT(ISERROR(SEARCH("Buy",E57)))</formula>
    </cfRule>
    <cfRule type="containsText" dxfId="11171" priority="250" operator="containsText" text="Sell">
      <formula>NOT(ISERROR(SEARCH("Sell",E57)))</formula>
    </cfRule>
  </conditionalFormatting>
  <conditionalFormatting sqref="E56">
    <cfRule type="containsText" dxfId="11170" priority="247" operator="containsText" text="Buy">
      <formula>NOT(ISERROR(SEARCH("Buy",E56)))</formula>
    </cfRule>
    <cfRule type="containsText" dxfId="11169" priority="248" operator="containsText" text="Sell">
      <formula>NOT(ISERROR(SEARCH("Sell",E56)))</formula>
    </cfRule>
  </conditionalFormatting>
  <conditionalFormatting sqref="L8:M8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{4F2B7981-21E9-47A1-9E23-482CA5115FDF}</x14:id>
        </ext>
      </extLst>
    </cfRule>
  </conditionalFormatting>
  <conditionalFormatting sqref="L8:M8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{8DDF38AF-A57F-4A15-9D2F-5E0CBDB9929D}</x14:id>
        </ext>
      </extLst>
    </cfRule>
  </conditionalFormatting>
  <conditionalFormatting sqref="L8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{5AD911FB-F4E4-4891-949E-30204BBAB454}</x14:id>
        </ext>
      </extLst>
    </cfRule>
  </conditionalFormatting>
  <conditionalFormatting sqref="M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{0D92720C-6EAA-4DA8-A2E9-231AB45337D4}</x14:id>
        </ext>
      </extLst>
    </cfRule>
  </conditionalFormatting>
  <conditionalFormatting sqref="V8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{18087A97-D5F6-4323-8BC8-580DFCD214E2}</x14:id>
        </ext>
      </extLst>
    </cfRule>
  </conditionalFormatting>
  <conditionalFormatting sqref="W8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{24461349-22CB-4737-B863-4281B8EA547B}</x14:id>
        </ext>
      </extLst>
    </cfRule>
  </conditionalFormatting>
  <conditionalFormatting sqref="V8:W8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{32081190-95ED-4E58-A1CC-8C2214A2DB4D}</x14:id>
        </ext>
      </extLst>
    </cfRule>
  </conditionalFormatting>
  <conditionalFormatting sqref="V8:W8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{6F545502-3BB3-4A5A-8CF4-8ACCFEE3BC2E}</x14:id>
        </ext>
      </extLst>
    </cfRule>
  </conditionalFormatting>
  <conditionalFormatting sqref="L8:M8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{F5AE436E-0E19-446A-97FC-B4824DA4C2E9}</x14:id>
        </ext>
      </extLst>
    </cfRule>
  </conditionalFormatting>
  <conditionalFormatting sqref="L8:M8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{11F57539-D725-462C-95A4-3C1B2970DBC8}</x14:id>
        </ext>
      </extLst>
    </cfRule>
  </conditionalFormatting>
  <conditionalFormatting sqref="L8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{9DFE60C8-D025-4A54-9211-361B0B770E8A}</x14:id>
        </ext>
      </extLst>
    </cfRule>
  </conditionalFormatting>
  <conditionalFormatting sqref="L8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{0A24C85E-E2A4-496A-952D-B3886D6EA82B}</x14:id>
        </ext>
      </extLst>
    </cfRule>
  </conditionalFormatting>
  <conditionalFormatting sqref="Y8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{69CED92D-2B0E-4535-9F7A-F94798FB8428}</x14:id>
        </ext>
      </extLst>
    </cfRule>
  </conditionalFormatting>
  <conditionalFormatting sqref="X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{111EB91F-2454-4D9F-816F-47B4119A2296}</x14:id>
        </ext>
      </extLst>
    </cfRule>
  </conditionalFormatting>
  <conditionalFormatting sqref="I8">
    <cfRule type="dataBar" priority="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{8C3B68C1-EB02-4B71-89B0-2AFCCA80224D}</x14:id>
        </ext>
      </extLst>
    </cfRule>
  </conditionalFormatting>
  <conditionalFormatting sqref="L8:M8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{9D59F33F-6864-4EF3-94E1-785B6FAFA5F5}</x14:id>
        </ext>
      </extLst>
    </cfRule>
  </conditionalFormatting>
  <conditionalFormatting sqref="T8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{90161667-57D0-4512-BD32-1A6BEA27DD88}</x14:id>
        </ext>
      </extLst>
    </cfRule>
  </conditionalFormatting>
  <conditionalFormatting sqref="L8:M8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{D967D59C-A956-4E3B-9DE7-2B42DF7E290F}</x14:id>
        </ext>
      </extLst>
    </cfRule>
  </conditionalFormatting>
  <conditionalFormatting sqref="T8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{2469FB48-2441-4AC6-953E-2CEA5183FEB2}</x14:id>
        </ext>
      </extLst>
    </cfRule>
  </conditionalFormatting>
  <conditionalFormatting sqref="I8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{D802C5B6-FB61-458E-BD4A-6ED8736119EB}</x14:id>
        </ext>
      </extLst>
    </cfRule>
  </conditionalFormatting>
  <conditionalFormatting sqref="T8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{4AC3A899-C1EA-4A02-8AA5-9B96A2619552}</x14:id>
        </ext>
      </extLst>
    </cfRule>
  </conditionalFormatting>
  <conditionalFormatting sqref="V8:W8">
    <cfRule type="dataBar" priority="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{0E79A7A7-B6CC-46E9-8691-1E0D02C51CC1}</x14:id>
        </ext>
      </extLst>
    </cfRule>
  </conditionalFormatting>
  <conditionalFormatting sqref="T8">
    <cfRule type="dataBar" priority="2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{E826C119-202F-413A-BF4A-D548356941B4}</x14:id>
        </ext>
      </extLst>
    </cfRule>
  </conditionalFormatting>
  <conditionalFormatting sqref="L8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{CB0BDF74-C112-403A-8BE8-DE6914A4B37C}</x14:id>
        </ext>
      </extLst>
    </cfRule>
  </conditionalFormatting>
  <conditionalFormatting sqref="I8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{F75BC47A-6CB8-4A37-A5F1-69060CC02013}</x14:id>
        </ext>
      </extLst>
    </cfRule>
  </conditionalFormatting>
  <conditionalFormatting sqref="L8:M8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{5448697B-DEC1-4AAB-9A0E-BF2D7A378E6D}</x14:id>
        </ext>
      </extLst>
    </cfRule>
  </conditionalFormatting>
  <conditionalFormatting sqref="V8:W8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{B76D1EA7-2B79-428A-B344-F93E4B033F70}</x14:id>
        </ext>
      </extLst>
    </cfRule>
  </conditionalFormatting>
  <conditionalFormatting sqref="E59:E60">
    <cfRule type="containsText" dxfId="11168" priority="217" operator="containsText" text="Buy">
      <formula>NOT(ISERROR(SEARCH("Buy",E59)))</formula>
    </cfRule>
    <cfRule type="containsText" dxfId="11167" priority="218" operator="containsText" text="Sell">
      <formula>NOT(ISERROR(SEARCH("Sell",E59)))</formula>
    </cfRule>
  </conditionalFormatting>
  <conditionalFormatting sqref="Y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{E9456980-7BA4-49E9-9CC3-099E12402F3C}</x14:id>
        </ext>
      </extLst>
    </cfRule>
  </conditionalFormatting>
  <conditionalFormatting sqref="L12:M12">
    <cfRule type="dataBar" priority="1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{E4E561C5-BDD4-41E5-9BB6-97BF78BC4B98}</x14:id>
        </ext>
      </extLst>
    </cfRule>
  </conditionalFormatting>
  <conditionalFormatting sqref="L12:M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{22942EF7-E5ED-4876-B6B4-F4F160C95B15}</x14:id>
        </ext>
      </extLst>
    </cfRule>
  </conditionalFormatting>
  <conditionalFormatting sqref="L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{C18CB95B-FFEC-49A7-A8C7-D6BFE998D8F2}</x14:id>
        </ext>
      </extLst>
    </cfRule>
  </conditionalFormatting>
  <conditionalFormatting sqref="M12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{F822BA1E-966F-40D3-B12B-F352D09141C3}</x14:id>
        </ext>
      </extLst>
    </cfRule>
  </conditionalFormatting>
  <conditionalFormatting sqref="V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{A02F26BD-6F79-4F19-8196-B94ABFD20E35}</x14:id>
        </ext>
      </extLst>
    </cfRule>
  </conditionalFormatting>
  <conditionalFormatting sqref="W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{90B6BD49-1420-4CA9-B90B-A4053E6A9B34}</x14:id>
        </ext>
      </extLst>
    </cfRule>
  </conditionalFormatting>
  <conditionalFormatting sqref="M12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{F4B992C9-B87F-472E-BF26-3D001D5AE6F1}</x14:id>
        </ext>
      </extLst>
    </cfRule>
  </conditionalFormatting>
  <conditionalFormatting sqref="L12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{3F84B37D-A9B0-4030-9435-76C6743C9B13}</x14:id>
        </ext>
      </extLst>
    </cfRule>
  </conditionalFormatting>
  <conditionalFormatting sqref="M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{F51F4829-E246-40F4-AB6E-975C90FAEBB4}</x14:id>
        </ext>
      </extLst>
    </cfRule>
  </conditionalFormatting>
  <conditionalFormatting sqref="V12:W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{084B4797-1E09-4966-AAAB-5F7FF757EB9F}</x14:id>
        </ext>
      </extLst>
    </cfRule>
  </conditionalFormatting>
  <conditionalFormatting sqref="T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{95C89E1C-9FD1-4CF7-ACD0-B13569833190}</x14:id>
        </ext>
      </extLst>
    </cfRule>
  </conditionalFormatting>
  <conditionalFormatting sqref="L12:M12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{41D254F2-95D0-46E6-A087-A5A6626BC308}</x14:id>
        </ext>
      </extLst>
    </cfRule>
  </conditionalFormatting>
  <conditionalFormatting sqref="T12">
    <cfRule type="dataBar" priority="2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{078E79DC-BC79-4210-9CF2-B4E34106D271}</x14:id>
        </ext>
      </extLst>
    </cfRule>
  </conditionalFormatting>
  <conditionalFormatting sqref="L12:M12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{50357A89-42D4-4C74-8300-78F4464C5A94}</x14:id>
        </ext>
      </extLst>
    </cfRule>
  </conditionalFormatting>
  <conditionalFormatting sqref="T12">
    <cfRule type="dataBar" priority="2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{1D73FB29-917C-4A41-8D79-66AA0C74B8E4}</x14:id>
        </ext>
      </extLst>
    </cfRule>
  </conditionalFormatting>
  <conditionalFormatting sqref="I12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{00960FD2-7D28-4254-BDB6-7B95A82A9EA7}</x14:id>
        </ext>
      </extLst>
    </cfRule>
  </conditionalFormatting>
  <conditionalFormatting sqref="T12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{080B239D-B826-4A9B-B937-05CF0D6D4594}</x14:id>
        </ext>
      </extLst>
    </cfRule>
  </conditionalFormatting>
  <conditionalFormatting sqref="V12:W12 T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{DC84F136-EC97-40DE-90B6-9D04C1018864}</x14:id>
        </ext>
      </extLst>
    </cfRule>
  </conditionalFormatting>
  <conditionalFormatting sqref="V12:W12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{26B02AE8-BB53-4B49-8171-133ED9E96F02}</x14:id>
        </ext>
      </extLst>
    </cfRule>
  </conditionalFormatting>
  <conditionalFormatting sqref="T12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{3F50F28F-CAD5-46DA-8196-FBAEE3696238}</x14:id>
        </ext>
      </extLst>
    </cfRule>
  </conditionalFormatting>
  <conditionalFormatting sqref="L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{DE6A22A0-97A3-4952-8522-D81295472575}</x14:id>
        </ext>
      </extLst>
    </cfRule>
  </conditionalFormatting>
  <conditionalFormatting sqref="I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{CA3F231A-3259-4FBC-A5F1-7DB45D7C9EB4}</x14:id>
        </ext>
      </extLst>
    </cfRule>
  </conditionalFormatting>
  <conditionalFormatting sqref="L12:M12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{5E31AB6B-3510-4D80-AB88-130C15204C4E}</x14:id>
        </ext>
      </extLst>
    </cfRule>
  </conditionalFormatting>
  <conditionalFormatting sqref="V12:W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{A1295133-0FE4-4BE2-A5C8-D600C8D9044B}</x14:id>
        </ext>
      </extLst>
    </cfRule>
  </conditionalFormatting>
  <conditionalFormatting sqref="E62:E63">
    <cfRule type="containsText" dxfId="11166" priority="187" operator="containsText" text="Buy">
      <formula>NOT(ISERROR(SEARCH("Buy",E62)))</formula>
    </cfRule>
    <cfRule type="containsText" dxfId="11165" priority="188" operator="containsText" text="Sell">
      <formula>NOT(ISERROR(SEARCH("Sell",E62)))</formula>
    </cfRule>
  </conditionalFormatting>
  <conditionalFormatting sqref="E65:E66">
    <cfRule type="containsText" dxfId="11164" priority="155" operator="containsText" text="Buy">
      <formula>NOT(ISERROR(SEARCH("Buy",E65)))</formula>
    </cfRule>
    <cfRule type="containsText" dxfId="11163" priority="156" operator="containsText" text="Sell">
      <formula>NOT(ISERROR(SEARCH("Sell",E65)))</formula>
    </cfRule>
  </conditionalFormatting>
  <conditionalFormatting sqref="Y14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{C218D665-1715-4BD1-A637-C238F75BB34F}</x14:id>
        </ext>
      </extLst>
    </cfRule>
  </conditionalFormatting>
  <conditionalFormatting sqref="L14:M14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{1268E63F-E78E-40A2-AFB1-5E09495F8B12}</x14:id>
        </ext>
      </extLst>
    </cfRule>
  </conditionalFormatting>
  <conditionalFormatting sqref="L14:M14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{42C8A432-FB8B-4197-ADF7-8D6B92443A2F}</x14:id>
        </ext>
      </extLst>
    </cfRule>
  </conditionalFormatting>
  <conditionalFormatting sqref="L1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{472F7EE9-64A4-4C09-9CA9-A86A12DFC436}</x14:id>
        </ext>
      </extLst>
    </cfRule>
  </conditionalFormatting>
  <conditionalFormatting sqref="M1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{56B50FFB-56DC-4F00-86A1-E3B3FA4E04FD}</x14:id>
        </ext>
      </extLst>
    </cfRule>
  </conditionalFormatting>
  <conditionalFormatting sqref="V1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{383C86D7-EFDB-47C1-8AD2-4D7506720085}</x14:id>
        </ext>
      </extLst>
    </cfRule>
  </conditionalFormatting>
  <conditionalFormatting sqref="W14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{0AD689DE-6478-4D28-89D2-52BD94BF7FBA}</x14:id>
        </ext>
      </extLst>
    </cfRule>
  </conditionalFormatting>
  <conditionalFormatting sqref="M1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{58298809-D46F-40F0-A743-D063F261F175}</x14:id>
        </ext>
      </extLst>
    </cfRule>
  </conditionalFormatting>
  <conditionalFormatting sqref="L1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{483C6E59-76B4-4DA1-BB81-BC4A8AC4984F}</x14:id>
        </ext>
      </extLst>
    </cfRule>
  </conditionalFormatting>
  <conditionalFormatting sqref="M1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{0B9BB3A9-117E-4FFE-A64F-A39E7118657B}</x14:id>
        </ext>
      </extLst>
    </cfRule>
  </conditionalFormatting>
  <conditionalFormatting sqref="V14:W14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{89BA9367-0D7B-47C4-A6FB-F9E13482DF54}</x14:id>
        </ext>
      </extLst>
    </cfRule>
  </conditionalFormatting>
  <conditionalFormatting sqref="T14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{0E559E66-7464-423C-A979-EFD70CFFCA31}</x14:id>
        </ext>
      </extLst>
    </cfRule>
  </conditionalFormatting>
  <conditionalFormatting sqref="L14:M1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{A8A9D6F8-5FC7-470D-8899-78B0C24D2AF4}</x14:id>
        </ext>
      </extLst>
    </cfRule>
  </conditionalFormatting>
  <conditionalFormatting sqref="T14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{C1F86A06-43C9-4B3E-AE37-339ADD417634}</x14:id>
        </ext>
      </extLst>
    </cfRule>
  </conditionalFormatting>
  <conditionalFormatting sqref="L14:M14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{8894A748-9B58-4BA6-851A-7174D4242D0C}</x14:id>
        </ext>
      </extLst>
    </cfRule>
  </conditionalFormatting>
  <conditionalFormatting sqref="T14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{A6E48782-753E-4DDF-A6A5-936E9466D0DB}</x14:id>
        </ext>
      </extLst>
    </cfRule>
  </conditionalFormatting>
  <conditionalFormatting sqref="I14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{4B2BFFA1-2F31-43F1-917D-4E41078AAC70}</x14:id>
        </ext>
      </extLst>
    </cfRule>
  </conditionalFormatting>
  <conditionalFormatting sqref="T1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{94ADE422-949C-4EA9-B55F-FEECE6A73B54}</x14:id>
        </ext>
      </extLst>
    </cfRule>
  </conditionalFormatting>
  <conditionalFormatting sqref="V14:W14 T14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{7ABBD61D-303B-4FA1-95E2-786BA13B9371}</x14:id>
        </ext>
      </extLst>
    </cfRule>
  </conditionalFormatting>
  <conditionalFormatting sqref="V14:W14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{737CFF4F-A83C-4777-8DF9-9F6B10F2EF9C}</x14:id>
        </ext>
      </extLst>
    </cfRule>
  </conditionalFormatting>
  <conditionalFormatting sqref="T1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{5135325C-DC53-4327-B588-D017387F5139}</x14:id>
        </ext>
      </extLst>
    </cfRule>
  </conditionalFormatting>
  <conditionalFormatting sqref="L14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{06FA84D4-412C-445F-B212-DF739C401774}</x14:id>
        </ext>
      </extLst>
    </cfRule>
  </conditionalFormatting>
  <conditionalFormatting sqref="I14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{6D862F8B-1FEF-40F6-8509-9D5E1D445E81}</x14:id>
        </ext>
      </extLst>
    </cfRule>
  </conditionalFormatting>
  <conditionalFormatting sqref="L14:M14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{07919004-A192-4CF5-A48D-9AA39640F981}</x14:id>
        </ext>
      </extLst>
    </cfRule>
  </conditionalFormatting>
  <conditionalFormatting sqref="V14:W1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{14DB9D66-DD46-4725-BEB1-58259EFA4D9D}</x14:id>
        </ext>
      </extLst>
    </cfRule>
  </conditionalFormatting>
  <conditionalFormatting sqref="T14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{3CF97548-98FE-40F6-8D0A-977BFF88ACAF}</x14:id>
        </ext>
      </extLst>
    </cfRule>
  </conditionalFormatting>
  <conditionalFormatting sqref="L14:M14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{BF577938-520D-4751-983B-62FC3501DB98}</x14:id>
        </ext>
      </extLst>
    </cfRule>
  </conditionalFormatting>
  <conditionalFormatting sqref="I14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{4C3F1CEA-D3C6-44CB-B482-4A8796AB1F98}</x14:id>
        </ext>
      </extLst>
    </cfRule>
  </conditionalFormatting>
  <conditionalFormatting sqref="L5:M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{FA4FEFC6-B13A-42AD-A3D6-1AB5CBFE9AAA}</x14:id>
        </ext>
      </extLst>
    </cfRule>
  </conditionalFormatting>
  <conditionalFormatting sqref="L5:M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{5EBB0467-9CFE-4888-9E86-27EBB43C688F}</x14:id>
        </ext>
      </extLst>
    </cfRule>
  </conditionalFormatting>
  <conditionalFormatting sqref="L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{BAE13853-D4D7-4178-BF47-51F26CBC916E}</x14:id>
        </ext>
      </extLst>
    </cfRule>
  </conditionalFormatting>
  <conditionalFormatting sqref="M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{F5E7E3A1-184E-4B64-84DE-45488557FBD9}</x14:id>
        </ext>
      </extLst>
    </cfRule>
  </conditionalFormatting>
  <conditionalFormatting sqref="V5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{4684C26B-3998-43D7-9DC8-277D51528EE1}</x14:id>
        </ext>
      </extLst>
    </cfRule>
  </conditionalFormatting>
  <conditionalFormatting sqref="W5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{2B25185B-A596-49D5-83D3-08A79C26CDB7}</x14:id>
        </ext>
      </extLst>
    </cfRule>
  </conditionalFormatting>
  <conditionalFormatting sqref="V5:W5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{F0D5779E-19BE-4E75-B8ED-6FB9BF8F4B29}</x14:id>
        </ext>
      </extLst>
    </cfRule>
  </conditionalFormatting>
  <conditionalFormatting sqref="V5:W5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{8CFEF93F-2703-4A8E-BF70-58245C8E0AAB}</x14:id>
        </ext>
      </extLst>
    </cfRule>
  </conditionalFormatting>
  <conditionalFormatting sqref="L5:M5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{53595E6F-B919-4CF4-BB2D-A6C05F1870C6}</x14:id>
        </ext>
      </extLst>
    </cfRule>
  </conditionalFormatting>
  <conditionalFormatting sqref="L5:M5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{3D64D4F8-00F3-495D-B377-1200A4EABBDC}</x14:id>
        </ext>
      </extLst>
    </cfRule>
  </conditionalFormatting>
  <conditionalFormatting sqref="L5:M5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{23BBB798-73C8-4115-A1F4-3FACBCF736DF}</x14:id>
        </ext>
      </extLst>
    </cfRule>
  </conditionalFormatting>
  <conditionalFormatting sqref="L5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{CB42CF96-1B34-47C4-8F28-18DB10326BA3}</x14:id>
        </ext>
      </extLst>
    </cfRule>
  </conditionalFormatting>
  <conditionalFormatting sqref="L5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{46C94E66-21B4-4D81-9CA3-1DC2C53DC3A0}</x14:id>
        </ext>
      </extLst>
    </cfRule>
  </conditionalFormatting>
  <conditionalFormatting sqref="Y5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{337DDA3F-E095-4A31-AD1C-5A3C99B181DA}</x14:id>
        </ext>
      </extLst>
    </cfRule>
  </conditionalFormatting>
  <conditionalFormatting sqref="X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{2AD08689-4B84-460B-B9C6-8C8FF1358768}</x14:id>
        </ext>
      </extLst>
    </cfRule>
  </conditionalFormatting>
  <conditionalFormatting sqref="I5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{6F9D147C-DF0B-4B27-B02F-81C2A7F2F906}</x14:id>
        </ext>
      </extLst>
    </cfRule>
  </conditionalFormatting>
  <conditionalFormatting sqref="L5:M5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{AB03D355-0244-4839-B6E8-E60DD5912217}</x14:id>
        </ext>
      </extLst>
    </cfRule>
  </conditionalFormatting>
  <conditionalFormatting sqref="T5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{1C98D73E-CEC6-4ACF-A298-1926AB0AB050}</x14:id>
        </ext>
      </extLst>
    </cfRule>
  </conditionalFormatting>
  <conditionalFormatting sqref="L5:M5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{A19968D0-F5BC-45D5-9C22-A5624ECB42ED}</x14:id>
        </ext>
      </extLst>
    </cfRule>
  </conditionalFormatting>
  <conditionalFormatting sqref="T5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{D1A754F6-F4F2-4405-93DE-905EEEB8FAF5}</x14:id>
        </ext>
      </extLst>
    </cfRule>
  </conditionalFormatting>
  <conditionalFormatting sqref="I5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{3D3CBE0E-6A84-4AA6-80DB-7272845D3F32}</x14:id>
        </ext>
      </extLst>
    </cfRule>
  </conditionalFormatting>
  <conditionalFormatting sqref="T5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{9A3DA5A6-072A-418C-A492-B812BA15F62C}</x14:id>
        </ext>
      </extLst>
    </cfRule>
  </conditionalFormatting>
  <conditionalFormatting sqref="V5:W5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{0C7C5ACF-721A-4752-ADFE-CB7F565F6B38}</x14:id>
        </ext>
      </extLst>
    </cfRule>
  </conditionalFormatting>
  <conditionalFormatting sqref="T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{546AB7AE-00D5-46CE-A63C-5709CDF3AB0A}</x14:id>
        </ext>
      </extLst>
    </cfRule>
  </conditionalFormatting>
  <conditionalFormatting sqref="L5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{105A776F-59F8-4FFE-A3FE-C7B53BFEB9A4}</x14:id>
        </ext>
      </extLst>
    </cfRule>
  </conditionalFormatting>
  <conditionalFormatting sqref="I5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{70E48AF6-87A8-4C45-806C-D57E16228EEB}</x14:id>
        </ext>
      </extLst>
    </cfRule>
  </conditionalFormatting>
  <conditionalFormatting sqref="L5:M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{691119B6-A59A-4D85-BA47-777C3B40FA39}</x14:id>
        </ext>
      </extLst>
    </cfRule>
  </conditionalFormatting>
  <conditionalFormatting sqref="V5:W5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{E575BE2D-ADE9-4AD9-BED4-AC0FA2E875E0}</x14:id>
        </ext>
      </extLst>
    </cfRule>
  </conditionalFormatting>
  <conditionalFormatting sqref="T5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{72D221BE-0EE4-4E95-9B31-23BEA14A7E53}</x14:id>
        </ext>
      </extLst>
    </cfRule>
  </conditionalFormatting>
  <conditionalFormatting sqref="L5:M5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{415ADA9D-DB6A-47D5-AD25-20D5729C495D}</x14:id>
        </ext>
      </extLst>
    </cfRule>
  </conditionalFormatting>
  <conditionalFormatting sqref="I5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{22F229DA-ECB1-4A84-97D6-84BF9D94A310}</x14:id>
        </ext>
      </extLst>
    </cfRule>
  </conditionalFormatting>
  <conditionalFormatting sqref="T5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{DE9B18B6-2A63-4E29-9F48-E8E67487D7CA}</x14:id>
        </ext>
      </extLst>
    </cfRule>
  </conditionalFormatting>
  <conditionalFormatting sqref="E69">
    <cfRule type="containsText" dxfId="11162" priority="91" operator="containsText" text="Buy">
      <formula>NOT(ISERROR(SEARCH("Buy",E69)))</formula>
    </cfRule>
    <cfRule type="containsText" dxfId="11161" priority="92" operator="containsText" text="Sell">
      <formula>NOT(ISERROR(SEARCH("Sell",E69)))</formula>
    </cfRule>
  </conditionalFormatting>
  <conditionalFormatting sqref="E68">
    <cfRule type="containsText" dxfId="11160" priority="89" operator="containsText" text="Buy">
      <formula>NOT(ISERROR(SEARCH("Buy",E68)))</formula>
    </cfRule>
    <cfRule type="containsText" dxfId="11159" priority="90" operator="containsText" text="Sell">
      <formula>NOT(ISERROR(SEARCH("Sell",E68)))</formula>
    </cfRule>
  </conditionalFormatting>
  <conditionalFormatting sqref="L7:M7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{FB71EC76-2D6C-4722-AB70-33B04D742A27}</x14:id>
        </ext>
      </extLst>
    </cfRule>
  </conditionalFormatting>
  <conditionalFormatting sqref="L7:M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{C59C3E9B-A1CB-4E28-A3CD-4C1DF42A61E6}</x14:id>
        </ext>
      </extLst>
    </cfRule>
  </conditionalFormatting>
  <conditionalFormatting sqref="L7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{694C5D82-F50D-45E2-9F1E-B8CF4F61ED8D}</x14:id>
        </ext>
      </extLst>
    </cfRule>
  </conditionalFormatting>
  <conditionalFormatting sqref="M7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{7B27D42B-65A8-4BA6-B1D1-E7B0B129096D}</x14:id>
        </ext>
      </extLst>
    </cfRule>
  </conditionalFormatting>
  <conditionalFormatting sqref="V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{BBB90A1A-74D3-447F-BB20-DC5691DFD75D}</x14:id>
        </ext>
      </extLst>
    </cfRule>
  </conditionalFormatting>
  <conditionalFormatting sqref="W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{953015ED-ADDF-426A-93AB-6CC390D3A346}</x14:id>
        </ext>
      </extLst>
    </cfRule>
  </conditionalFormatting>
  <conditionalFormatting sqref="V7:W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{2BD0ED91-8C6F-4D45-98B9-3147CD64BAC1}</x14:id>
        </ext>
      </extLst>
    </cfRule>
  </conditionalFormatting>
  <conditionalFormatting sqref="V7:W7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{4B2D14D4-961F-457B-AE6D-780FB3D1B89D}</x14:id>
        </ext>
      </extLst>
    </cfRule>
  </conditionalFormatting>
  <conditionalFormatting sqref="L7:M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{5DF883B0-B4A4-48FE-B565-D20E3D7F4DCC}</x14:id>
        </ext>
      </extLst>
    </cfRule>
  </conditionalFormatting>
  <conditionalFormatting sqref="L7:M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{2815D582-AD09-42D1-BEEC-C2B0B57E1DCE}</x14:id>
        </ext>
      </extLst>
    </cfRule>
  </conditionalFormatting>
  <conditionalFormatting sqref="L7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{63187859-B573-4006-910C-7179E6BA6CC2}</x14:id>
        </ext>
      </extLst>
    </cfRule>
  </conditionalFormatting>
  <conditionalFormatting sqref="L7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{3AA9A0A7-0B64-46D1-A43A-ECE914B9B373}</x14:id>
        </ext>
      </extLst>
    </cfRule>
  </conditionalFormatting>
  <conditionalFormatting sqref="Y7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{62738627-C5AB-4D93-8369-39F7A4344DFF}</x14:id>
        </ext>
      </extLst>
    </cfRule>
  </conditionalFormatting>
  <conditionalFormatting sqref="X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{723E205D-FA25-4AA9-9BF2-D402A22306C1}</x14:id>
        </ext>
      </extLst>
    </cfRule>
  </conditionalFormatting>
  <conditionalFormatting sqref="I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{7B630966-B3F5-4126-AF01-DA0A5C1A4372}</x14:id>
        </ext>
      </extLst>
    </cfRule>
  </conditionalFormatting>
  <conditionalFormatting sqref="L7:M7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{4EC97BF7-4F24-483F-82AE-54327642C788}</x14:id>
        </ext>
      </extLst>
    </cfRule>
  </conditionalFormatting>
  <conditionalFormatting sqref="T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{A469B765-55B1-4201-A04A-8AEA9D906D69}</x14:id>
        </ext>
      </extLst>
    </cfRule>
  </conditionalFormatting>
  <conditionalFormatting sqref="L7:M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{BC2D57D0-7785-4126-9CA4-72110B0E2F66}</x14:id>
        </ext>
      </extLst>
    </cfRule>
  </conditionalFormatting>
  <conditionalFormatting sqref="T7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{9DABE0BB-F770-443E-88B8-E12BE432BB39}</x14:id>
        </ext>
      </extLst>
    </cfRule>
  </conditionalFormatting>
  <conditionalFormatting sqref="I7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{3AED6FE5-B6BF-4ADE-BB8E-C926792759AC}</x14:id>
        </ext>
      </extLst>
    </cfRule>
  </conditionalFormatting>
  <conditionalFormatting sqref="T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{08E3C604-E04A-4EDB-85AD-F826BD6696B0}</x14:id>
        </ext>
      </extLst>
    </cfRule>
  </conditionalFormatting>
  <conditionalFormatting sqref="V7:W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{B7C84DC8-E3C1-43D8-A414-216AF7D14B63}</x14:id>
        </ext>
      </extLst>
    </cfRule>
  </conditionalFormatting>
  <conditionalFormatting sqref="T7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{5C88CBAE-2C27-4623-8053-4CFA4162E741}</x14:id>
        </ext>
      </extLst>
    </cfRule>
  </conditionalFormatting>
  <conditionalFormatting sqref="L7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{CC264C72-7403-40BC-B441-815F5D0ECCE8}</x14:id>
        </ext>
      </extLst>
    </cfRule>
  </conditionalFormatting>
  <conditionalFormatting sqref="I7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{20E5D3BE-6B15-4CA2-B225-B8715CE0B9DF}</x14:id>
        </ext>
      </extLst>
    </cfRule>
  </conditionalFormatting>
  <conditionalFormatting sqref="L7:M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{93325363-9F6D-4687-886F-92BAE6C94DBD}</x14:id>
        </ext>
      </extLst>
    </cfRule>
  </conditionalFormatting>
  <conditionalFormatting sqref="V7:W7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{61080483-8BCA-4CAE-A3AF-B2B9DB625A13}</x14:id>
        </ext>
      </extLst>
    </cfRule>
  </conditionalFormatting>
  <conditionalFormatting sqref="T7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{B0918D8F-DA13-48ED-9923-A29C7ABE3BB2}</x14:id>
        </ext>
      </extLst>
    </cfRule>
  </conditionalFormatting>
  <conditionalFormatting sqref="L7:M7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{6ECB1635-6CCD-4347-A4F3-6A02FB2121CC}</x14:id>
        </ext>
      </extLst>
    </cfRule>
  </conditionalFormatting>
  <conditionalFormatting sqref="I7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{B12B29E2-7955-48C2-B922-FEF5382B6B2D}</x14:id>
        </ext>
      </extLst>
    </cfRule>
  </conditionalFormatting>
  <conditionalFormatting sqref="T7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{2D5A8FE1-C30E-4322-A3B6-90E916DC32CA}</x14:id>
        </ext>
      </extLst>
    </cfRule>
  </conditionalFormatting>
  <conditionalFormatting sqref="E72">
    <cfRule type="containsText" dxfId="11158" priority="55" operator="containsText" text="Buy">
      <formula>NOT(ISERROR(SEARCH("Buy",E72)))</formula>
    </cfRule>
    <cfRule type="containsText" dxfId="11157" priority="56" operator="containsText" text="Sell">
      <formula>NOT(ISERROR(SEARCH("Sell",E72)))</formula>
    </cfRule>
  </conditionalFormatting>
  <conditionalFormatting sqref="E71">
    <cfRule type="containsText" dxfId="11156" priority="53" operator="containsText" text="Buy">
      <formula>NOT(ISERROR(SEARCH("Buy",E71)))</formula>
    </cfRule>
    <cfRule type="containsText" dxfId="11155" priority="54" operator="containsText" text="Sell">
      <formula>NOT(ISERROR(SEARCH("Sell",E71)))</formula>
    </cfRule>
  </conditionalFormatting>
  <conditionalFormatting sqref="Y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{A3EEFA16-4980-4A56-BAAA-1D33CFAC34E8}</x14:id>
        </ext>
      </extLst>
    </cfRule>
  </conditionalFormatting>
  <conditionalFormatting sqref="L13:M13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{4D789662-D0B6-4635-9DB0-CA11DA27986A}</x14:id>
        </ext>
      </extLst>
    </cfRule>
  </conditionalFormatting>
  <conditionalFormatting sqref="L13:M13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{55A20947-7FC8-4B03-A51C-3F13DC1F516F}</x14:id>
        </ext>
      </extLst>
    </cfRule>
  </conditionalFormatting>
  <conditionalFormatting sqref="L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{5BC75D7A-13E7-433B-A8BE-37714B945018}</x14:id>
        </ext>
      </extLst>
    </cfRule>
  </conditionalFormatting>
  <conditionalFormatting sqref="M13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{5D668AE0-9CFF-446D-AE52-37792C5A60AA}</x14:id>
        </ext>
      </extLst>
    </cfRule>
  </conditionalFormatting>
  <conditionalFormatting sqref="V13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{F8D1B841-0FE0-4A4B-8808-83AE1C938275}</x14:id>
        </ext>
      </extLst>
    </cfRule>
  </conditionalFormatting>
  <conditionalFormatting sqref="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{19B863C4-CB3D-44EF-A92F-CB8CCECA9A4F}</x14:id>
        </ext>
      </extLst>
    </cfRule>
  </conditionalFormatting>
  <conditionalFormatting sqref="M13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{8C7229D4-DFEB-484D-AE9A-A38090F7F4A9}</x14:id>
        </ext>
      </extLst>
    </cfRule>
  </conditionalFormatting>
  <conditionalFormatting sqref="L13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{3204707C-FB67-4202-8390-BE64094AAF64}</x14:id>
        </ext>
      </extLst>
    </cfRule>
  </conditionalFormatting>
  <conditionalFormatting sqref="M13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{30EECD1B-6E25-4E9F-99EA-F8E1C3076CD4}</x14:id>
        </ext>
      </extLst>
    </cfRule>
  </conditionalFormatting>
  <conditionalFormatting sqref="V13:W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{BCB5752C-FF2D-45FA-B3AA-4FA6A383249D}</x14:id>
        </ext>
      </extLst>
    </cfRule>
  </conditionalFormatting>
  <conditionalFormatting sqref="T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{22898E7E-4EED-42DB-AD87-D331C4C0B0D3}</x14:id>
        </ext>
      </extLst>
    </cfRule>
  </conditionalFormatting>
  <conditionalFormatting sqref="L13:M1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{03085A66-3B4F-4CB6-9875-5A80D13B1AC0}</x14:id>
        </ext>
      </extLst>
    </cfRule>
  </conditionalFormatting>
  <conditionalFormatting sqref="T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{579F7964-B781-4AE2-81A6-7245503B21ED}</x14:id>
        </ext>
      </extLst>
    </cfRule>
  </conditionalFormatting>
  <conditionalFormatting sqref="L13:M13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{E2A2AC8D-4DD5-4303-AA3A-CB880A46A474}</x14:id>
        </ext>
      </extLst>
    </cfRule>
  </conditionalFormatting>
  <conditionalFormatting sqref="T1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{CFB3D0EC-01A2-44D0-AF14-0030FC525DED}</x14:id>
        </ext>
      </extLst>
    </cfRule>
  </conditionalFormatting>
  <conditionalFormatting sqref="I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{E5081953-BAB1-4DBD-98F9-32A4442C35C5}</x14:id>
        </ext>
      </extLst>
    </cfRule>
  </conditionalFormatting>
  <conditionalFormatting sqref="T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{4F650359-8656-4524-B948-1DBCBAC5ECE7}</x14:id>
        </ext>
      </extLst>
    </cfRule>
  </conditionalFormatting>
  <conditionalFormatting sqref="V13:W13 T1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{1EC57A99-9FE1-4D75-A5E5-831E21D6B5F4}</x14:id>
        </ext>
      </extLst>
    </cfRule>
  </conditionalFormatting>
  <conditionalFormatting sqref="V13:W1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{8010789F-2E18-4878-8BE7-0E6DB50699F3}</x14:id>
        </ext>
      </extLst>
    </cfRule>
  </conditionalFormatting>
  <conditionalFormatting sqref="T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{7B3C7B13-B036-402E-80B6-527FC202F93E}</x14:id>
        </ext>
      </extLst>
    </cfRule>
  </conditionalFormatting>
  <conditionalFormatting sqref="L13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{A9182EEF-0558-4097-99A3-5697D0DC5065}</x14:id>
        </ext>
      </extLst>
    </cfRule>
  </conditionalFormatting>
  <conditionalFormatting sqref="I13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{C4B38689-80BE-4A12-9133-BB917BFFE513}</x14:id>
        </ext>
      </extLst>
    </cfRule>
  </conditionalFormatting>
  <conditionalFormatting sqref="L13:M13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{BF94BDF1-27FA-474D-ACF8-D7A51F293BF2}</x14:id>
        </ext>
      </extLst>
    </cfRule>
  </conditionalFormatting>
  <conditionalFormatting sqref="V13:W1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{2E9B2B86-26F5-4104-913C-BE528D318362}</x14:id>
        </ext>
      </extLst>
    </cfRule>
  </conditionalFormatting>
  <conditionalFormatting sqref="T13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{1452A7F4-BA7A-4ACD-AC14-FE137E6A8255}</x14:id>
        </ext>
      </extLst>
    </cfRule>
  </conditionalFormatting>
  <conditionalFormatting sqref="L13:M1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{3BFC723F-0281-41D1-BCFF-86D7B9ACF30B}</x14:id>
        </ext>
      </extLst>
    </cfRule>
  </conditionalFormatting>
  <conditionalFormatting sqref="I1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{69A0F791-53FE-43F5-88D9-6F2A4EA3EBE2}</x14:id>
        </ext>
      </extLst>
    </cfRule>
  </conditionalFormatting>
  <conditionalFormatting sqref="T1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{74F2D456-6312-405D-91C6-DC4546483928}</x14:id>
        </ext>
      </extLst>
    </cfRule>
  </conditionalFormatting>
  <conditionalFormatting sqref="E74:E75">
    <cfRule type="containsText" dxfId="11154" priority="22" operator="containsText" text="Buy">
      <formula>NOT(ISERROR(SEARCH("Buy",E74)))</formula>
    </cfRule>
    <cfRule type="containsText" dxfId="11153" priority="23" operator="containsText" text="Sell">
      <formula>NOT(ISERROR(SEARCH("Sell",E74)))</formula>
    </cfRule>
  </conditionalFormatting>
  <conditionalFormatting sqref="D23:D24">
    <cfRule type="containsText" dxfId="11152" priority="16" operator="containsText" text="Buy">
      <formula>NOT(ISERROR(SEARCH("Buy",D23)))</formula>
    </cfRule>
    <cfRule type="containsText" dxfId="11151" priority="17" operator="containsText" text="Sell">
      <formula>NOT(ISERROR(SEARCH("Sell",D23)))</formula>
    </cfRule>
  </conditionalFormatting>
  <conditionalFormatting sqref="H23:H24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{78864616-C374-4375-989C-9B83D3987571}</x14:id>
        </ext>
      </extLst>
    </cfRule>
    <cfRule type="cellIs" dxfId="11150" priority="18" operator="equal">
      <formula>1</formula>
    </cfRule>
  </conditionalFormatting>
  <conditionalFormatting sqref="E77:E78">
    <cfRule type="containsText" dxfId="11149" priority="13" operator="containsText" text="Buy">
      <formula>NOT(ISERROR(SEARCH("Buy",E77)))</formula>
    </cfRule>
    <cfRule type="containsText" dxfId="11148" priority="14" operator="containsText" text="Sell">
      <formula>NOT(ISERROR(SEARCH("Sell",E77)))</formula>
    </cfRule>
  </conditionalFormatting>
  <conditionalFormatting sqref="D28">
    <cfRule type="containsText" dxfId="11147" priority="10" operator="containsText" text="Buy">
      <formula>NOT(ISERROR(SEARCH("Buy",D28)))</formula>
    </cfRule>
    <cfRule type="containsText" dxfId="11146" priority="11" operator="containsText" text="Sell">
      <formula>NOT(ISERROR(SEARCH("Sell",D28)))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{F51D28D6-EDBF-4C16-A420-C183F36B23BD}</x14:id>
        </ext>
      </extLst>
    </cfRule>
    <cfRule type="cellIs" dxfId="11145" priority="12" operator="equal">
      <formula>1</formula>
    </cfRule>
  </conditionalFormatting>
  <conditionalFormatting sqref="T15">
    <cfRule type="dataBar" priority="33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{68E706D4-AD96-49D8-80FB-F3C2DFEA4D6A}</x14:id>
        </ext>
      </extLst>
    </cfRule>
  </conditionalFormatting>
  <conditionalFormatting sqref="T4 T15 T9:T10">
    <cfRule type="dataBar" priority="339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{8EA04F2C-1148-4260-90AA-85553348CB68}</x14:id>
        </ext>
      </extLst>
    </cfRule>
  </conditionalFormatting>
  <conditionalFormatting sqref="L15:M15 L4:M4 L9:M10">
    <cfRule type="dataBar" priority="340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{7D4E817D-B3E0-4E41-8C6C-278E1BAF696D}</x14:id>
        </ext>
      </extLst>
    </cfRule>
  </conditionalFormatting>
  <conditionalFormatting sqref="T15:T17 T4 T9:T10">
    <cfRule type="dataBar" priority="340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{2D591BE2-86F4-493E-8CAA-AEC77E78505B}</x14:id>
        </ext>
      </extLst>
    </cfRule>
  </conditionalFormatting>
  <conditionalFormatting sqref="I15:I17 I4 I9:I10">
    <cfRule type="dataBar" priority="340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{862845F4-AD00-435C-9747-E21D4CA8384F}</x14:id>
        </ext>
      </extLst>
    </cfRule>
  </conditionalFormatting>
  <conditionalFormatting sqref="T15:T17 T3:T4 T9:T10">
    <cfRule type="dataBar" priority="340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{2B47A7F6-28C0-4FD2-8B1F-D6A2D484A5CA}</x14:id>
        </ext>
      </extLst>
    </cfRule>
  </conditionalFormatting>
  <conditionalFormatting sqref="V15:W15 T15">
    <cfRule type="dataBar" priority="340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{8C6A1BB8-8511-462D-9870-15EF927C15DF}</x14:id>
        </ext>
      </extLst>
    </cfRule>
  </conditionalFormatting>
  <conditionalFormatting sqref="V15:W15 V4:W4 V9:W10">
    <cfRule type="dataBar" priority="34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{9D3C6539-6CCE-4C8D-9F09-017D54901E20}</x14:id>
        </ext>
      </extLst>
    </cfRule>
  </conditionalFormatting>
  <conditionalFormatting sqref="T15:T17 T9:T11 T4">
    <cfRule type="dataBar" priority="340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{615E1438-040E-42D2-AC4B-595ADA3478D1}</x14:id>
        </ext>
      </extLst>
    </cfRule>
  </conditionalFormatting>
  <conditionalFormatting sqref="L15:L17 L9:L11 L4">
    <cfRule type="dataBar" priority="34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{D7A0A9F8-BC85-4892-BD6A-DA798AEACF05}</x14:id>
        </ext>
      </extLst>
    </cfRule>
  </conditionalFormatting>
  <conditionalFormatting sqref="I15:I17 I9:I11 I4">
    <cfRule type="dataBar" priority="340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{9E88A50D-50AD-467A-9C36-F4D62A59C0D0}</x14:id>
        </ext>
      </extLst>
    </cfRule>
  </conditionalFormatting>
  <conditionalFormatting sqref="L15:M17 L4:M4 L9:M11">
    <cfRule type="dataBar" priority="340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{9DC41E79-4BC6-42A3-B348-D07DEAAF7F35}</x14:id>
        </ext>
      </extLst>
    </cfRule>
  </conditionalFormatting>
  <conditionalFormatting sqref="V15:W15 V4:W4 V9:W11">
    <cfRule type="dataBar" priority="34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{BB5F5BF5-1E15-4650-81E8-4065ADDD0F8E}</x14:id>
        </ext>
      </extLst>
    </cfRule>
  </conditionalFormatting>
  <conditionalFormatting sqref="T15:T17 T4 T6 T8:T12">
    <cfRule type="dataBar" priority="34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{54F2C299-D26F-42A8-98F2-84F0C21B6509}</x14:id>
        </ext>
      </extLst>
    </cfRule>
  </conditionalFormatting>
  <conditionalFormatting sqref="L4:M4 L15:M17 L6:M6 L8:M12">
    <cfRule type="dataBar" priority="34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{8D25C09B-41AA-4DC3-8B60-3D5BD966A9B6}</x14:id>
        </ext>
      </extLst>
    </cfRule>
  </conditionalFormatting>
  <conditionalFormatting sqref="I15:I17 I4 I6 I8:I12">
    <cfRule type="dataBar" priority="340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{A755EFC8-5887-4571-A6AE-FF3991016E4A}</x14:id>
        </ext>
      </extLst>
    </cfRule>
  </conditionalFormatting>
  <conditionalFormatting sqref="T14:T17 T4 T6 T8:T12">
    <cfRule type="dataBar" priority="340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{888CEB4E-FEB5-4562-9A73-C4CEA9380E3F}</x14:id>
        </ext>
      </extLst>
    </cfRule>
  </conditionalFormatting>
  <conditionalFormatting sqref="D29">
    <cfRule type="containsText" dxfId="11144" priority="2" operator="containsText" text="Buy">
      <formula>NOT(ISERROR(SEARCH("Buy",D29)))</formula>
    </cfRule>
    <cfRule type="containsText" dxfId="11143" priority="3" operator="containsText" text="Sell">
      <formula>NOT(ISERROR(SEARCH("Sell",D29)))</formula>
    </cfRule>
  </conditionalFormatting>
  <conditionalFormatting sqref="H2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{D73AF371-22AC-40E2-82F4-F695046C6141}</x14:id>
        </ext>
      </extLst>
    </cfRule>
    <cfRule type="cellIs" dxfId="11142" priority="4" operator="equal">
      <formula>1</formula>
    </cfRule>
  </conditionalFormatting>
  <conditionalFormatting sqref="I4:I17">
    <cfRule type="dataBar" priority="34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{8A4D1770-0E0A-4A7D-97F2-EA9A0E899105}</x14:id>
        </ext>
      </extLst>
    </cfRule>
  </conditionalFormatting>
  <conditionalFormatting sqref="L4:M17">
    <cfRule type="dataBar" priority="34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{E693318D-1200-4DA5-B8EA-9C38B28C62B4}</x14:id>
        </ext>
      </extLst>
    </cfRule>
  </conditionalFormatting>
  <conditionalFormatting sqref="T4:T17">
    <cfRule type="dataBar" priority="34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{7E4D3CA3-F36B-48EE-BC39-B59E88E2A29A}</x14:id>
        </ext>
      </extLst>
    </cfRule>
  </conditionalFormatting>
  <conditionalFormatting sqref="V4:W15">
    <cfRule type="dataBar" priority="34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{C586152B-3E51-41A7-A064-1B1A28F4BE27}</x14:id>
        </ext>
      </extLst>
    </cfRule>
  </conditionalFormatting>
  <pageMargins left="0.25" right="0.25" top="0.75" bottom="0.75" header="0.3" footer="0.3"/>
  <pageSetup paperSize="9" scale="4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F218D1-80FE-4131-9D0F-02F163BFD7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D8F74C6-A000-4D61-8DE3-D81BAD0AF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CCF19B0-8E0E-4515-80E3-DB82B80C02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8C26D4B-FA69-441E-9A28-6C193948E3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E629F0B-7920-4A65-8255-7243BBEDF7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2252583-E700-4300-A5EA-88A162C97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80D388F-B514-43FB-846F-4EB5E873D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8A1EC4F-D3BB-41ED-AD59-0E4DF0FC2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F179AD0-61B8-4C46-B681-C99085EFCA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6B2D9D0-33EB-4236-8DC6-9CC491EDD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F43BEED-E02E-45AA-B4C5-3CAA93A490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80958D-CADE-425C-9572-9FDA70DA8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DCC2CBD-0F4A-4E5E-8545-E2359E3A49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2EA3245-743D-41E5-8D8B-314F799BC2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A2A3EF4-F43B-4161-A84E-4097E43AA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798855E-989C-4B76-B0AF-982A612CF0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66DEC23-EAC9-49D8-8EF4-26910B9D73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BFCD73B-40B4-479F-9778-068691D12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1E292C3-F1BB-402E-A399-9455EBE6E5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CCDF568-FD45-4E94-B15D-5116D8DC4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6AF2E5B-A502-4B71-A67D-D0E659C1A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94BE64B-710D-43C3-8BDB-021C9A1271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BBC0EB7-D6A5-46D8-9EA5-FECA531C9F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2A36C1-B4B4-4066-8CCA-121ED26B8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80C35ED-465A-48BC-865F-D11A80DAF5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FDE18C4-CF45-4F18-A9F8-4BE0C9EF63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9EDC4CB-04F5-4B3E-9BED-53EBDA898F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AAC4F239-636E-474D-BF64-04A3B57DE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ADD8B8A-3931-4EAF-B8DE-34B1137314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6EE423-A4B9-45EA-BF12-08DC404D03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D2EB407-29FC-4EB6-B8EE-6A8E3AE69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525ED78-06FE-4CF9-9E8C-B80100986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1414CD98-3FF8-4FE5-A461-50CCEE3A2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46CD3FEB-33B1-429A-86A7-68AD572A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6B5C313-FF82-448E-864E-ACDC72348C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E230C676-2E82-4F99-BA06-B0BA529B9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C0598DC8-9998-400C-869D-677808FC52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E0E31EE-8121-4948-BF51-AA22FD519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63CE531-C3E2-4A39-8192-04FD8C755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7E35628-9ABA-4A19-B05C-742DB0D4F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286B4CA-D953-47DA-BC00-8FEA6F342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AC27EBF-546E-4340-BD6C-AB55D684C5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3F8ACCB-5B09-4A04-955D-368F69D6C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D8C29E0-1234-4C4C-90A2-DFBA9DF0E6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25DF17E-54D2-458B-8CCE-F4384D105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7281A68D-D172-4DB5-A310-01D3EDDDC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CAD54867-ED70-4388-96A0-1022F0C34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B6DE485-A8A7-40AB-8BE9-20302C7B3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38C0E0-3535-46F0-AFBB-58315629E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00E90F4-EE3C-489A-98D7-7B03679423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43D222-AA7F-47B0-A36D-933009837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77FB50-B662-444E-91E2-A99188FD16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49B2EDF-2EE9-4A95-9232-675E48ADF3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0266DD8-3A50-4E76-8C1E-5568414182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DCFA691-D0EA-4775-BC02-9A2BB580B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EB9B2E0-6F75-4EA5-835C-DDF74AD06D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FE84ED7-02E2-4003-B45D-21044F66C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C04B761-F7BD-47C1-B490-22F0DB1385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89FA8CD9-8768-476B-A96F-602F8A7B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C9AB42A9-E8BA-41F5-8DEB-B607550B3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520FF2F0-B87F-4CDE-9633-3B8A23FEBC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L9:M10</xm:sqref>
        </x14:conditionalFormatting>
        <x14:conditionalFormatting xmlns:xm="http://schemas.microsoft.com/office/excel/2006/main">
          <x14:cfRule type="dataBar" id="{86CADE81-BD1A-45BD-AEB9-1A4BFE9C2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F54E561-9051-4370-96D5-088700DC4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 L4</xm:sqref>
        </x14:conditionalFormatting>
        <x14:conditionalFormatting xmlns:xm="http://schemas.microsoft.com/office/excel/2006/main">
          <x14:cfRule type="dataBar" id="{1846F7F3-41B3-41D6-A1B3-451B12B32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L9:L10</xm:sqref>
        </x14:conditionalFormatting>
        <x14:conditionalFormatting xmlns:xm="http://schemas.microsoft.com/office/excel/2006/main">
          <x14:cfRule type="dataBar" id="{0EC90E41-720D-4A47-BC01-C8384E243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Y9:Y10 Y4</xm:sqref>
        </x14:conditionalFormatting>
        <x14:conditionalFormatting xmlns:xm="http://schemas.microsoft.com/office/excel/2006/main">
          <x14:cfRule type="dataBar" id="{75EE41CB-A7D1-4001-9B8D-CFD1A61C4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X9:X10 X4</xm:sqref>
        </x14:conditionalFormatting>
        <x14:conditionalFormatting xmlns:xm="http://schemas.microsoft.com/office/excel/2006/main">
          <x14:cfRule type="dataBar" id="{0620A407-63BC-4979-8F7A-9D1376553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I9:I10 I4</xm:sqref>
        </x14:conditionalFormatting>
        <x14:conditionalFormatting xmlns:xm="http://schemas.microsoft.com/office/excel/2006/main">
          <x14:cfRule type="dataBar" id="{4FD89AE5-8A52-4F88-B9C7-14ECCCB4B8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A17CA0F-0DB7-4DC9-BAFE-6AB368CF8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99A7C78-3AC6-4E3F-BE7B-9ED72CE3D5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98EBE9BC-3A64-4FD9-A7B9-F508419773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47737CC-4A78-4606-9CB7-F5D64C165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E69C98F-B6DC-4DD5-BFEE-8D14CB855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F2CC920-6E3A-4F52-96BD-179FA17FD7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A052103-AB65-4D92-B4C1-F346DE66C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0F5920C-69A6-4E93-A620-9EEECF098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A693E05-DEB5-486F-B36F-8CCEE1019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261FB37-22BB-47DC-BCD4-5917920E4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907BD6FA-99F3-43EB-9431-47E65B1D1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BD6CF-94B8-481F-A234-BC1F70CF2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32478E22-27B3-415B-A154-A6A0D4D3A0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5EC30E3-DA3C-4AE7-84AC-D6906C90A5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D28E836-DB40-4C61-B68E-9290232A56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6CBDE4-7B0C-47C4-89B1-99E7036A0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D5BCE5C-50B1-4FC2-8510-E39735B3F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E91C536-D0EE-4914-BF9D-B412E38C3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E52E96-43C4-4AFD-8DE6-A8EB7F3DD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1883379-5588-4046-9055-8E97BBF26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0522F2F-3302-464E-B9A6-05C2CFB4AF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83E5594-0126-434A-8695-78C1163AEF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DA0D207-E90D-42D9-AFDF-F440CEAF7B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BFF165-7047-4F03-8E6D-D0CA7F3A10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EAE658A-F4ED-461A-AC43-5E4FE23CCB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7FA402D6-312A-4176-B510-DDAF8350E4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B033BBA-E7D0-4CF5-B1D1-D6CBD90C53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978B097-1212-45F3-91CD-436CE3C8C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640B18F-21B8-412C-AC6E-10214BC2B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4A2E00-DD15-40FE-A1FC-31462C9C08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4F2B7981-21E9-47A1-9E23-482CA5115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8DDF38AF-A57F-4A15-9D2F-5E0CBDB992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AD911FB-F4E4-4891-949E-30204BBAB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D92720C-6EAA-4DA8-A2E9-231AB4533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8087A97-D5F6-4323-8BC8-580DFCD214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4461349-22CB-4737-B863-4281B8EA5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2081190-95ED-4E58-A1CC-8C2214A2DB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6F545502-3BB3-4A5A-8CF4-8ACCFEE3BC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5AE436E-0E19-446A-97FC-B4824DA4C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F57539-D725-462C-95A4-3C1B2970DB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E60C8-D025-4A54-9211-361B0B770E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24C85E-E2A4-496A-952D-B3886D6EA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9CED92D-2B0E-4535-9F7A-F94798FB84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11EB91F-2454-4D9F-816F-47B4119A22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C3B68C1-EB02-4B71-89B0-2AFCCA8022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D59F33F-6864-4EF3-94E1-785B6FAFA5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0161667-57D0-4512-BD32-1A6BEA27DD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967D59C-A956-4E3B-9DE7-2B42DF7E29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469FB48-2441-4AC6-953E-2CEA5183F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02C5B6-FB61-458E-BD4A-6ED8736119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AC3A899-C1EA-4A02-8AA5-9B96A26195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E79A7A7-B6CC-46E9-8691-1E0D02C51C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826C119-202F-413A-BF4A-D548356941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B0BDF74-C112-403A-8BE8-DE6914A4B3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75BC47A-6CB8-4A37-A5F1-69060CC020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5448697B-DEC1-4AAB-9A0E-BF2D7A378E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76D1EA7-2B79-428A-B344-F93E4B033F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E9456980-7BA4-49E9-9CC3-099E12402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4E561C5-BDD4-41E5-9BB6-97BF78BC4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22942EF7-E5ED-4876-B6B4-F4F160C95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C18CB95B-FFEC-49A7-A8C7-D6BFE998D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822BA1E-966F-40D3-B12B-F352D0914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02F26BD-6F79-4F19-8196-B94ABFD2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90B6BD49-1420-4CA9-B90B-A4053E6A9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4B992C9-B87F-472E-BF26-3D001D5AE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F84B37D-A9B0-4030-9435-76C6743C9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51F4829-E246-40F4-AB6E-975C90FAE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84B4797-1E09-4966-AAAB-5F7FF757E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95C89E1C-9FD1-4CF7-ACD0-B13569833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41D254F2-95D0-46E6-A087-A5A6626BC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78E79DC-BC79-4210-9CF2-B4E34106D2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50357A89-42D4-4C74-8300-78F4464C5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D73FB29-917C-4A41-8D79-66AA0C74B8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960FD2-7D28-4254-BDB6-7B95A82A9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80B239D-B826-4A9B-B937-05CF0D6D45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C84F136-EC97-40DE-90B6-9D04C1018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26B02AE8-BB53-4B49-8171-133ED9E96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F50F28F-CAD5-46DA-8196-FBAEE3696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DE6A22A0-97A3-4952-8522-D812954725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CA3F231A-3259-4FBC-A5F1-7DB45D7C9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5E31AB6B-3510-4D80-AB88-130C15204C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A1295133-0FE4-4BE2-A5C8-D600C8D904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218D665-1715-4BD1-A637-C238F75BB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1268E63F-E78E-40A2-AFB1-5E09495F8B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2C8A432-FB8B-4197-ADF7-8D6B92443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72F7EE9-64A4-4C09-9CA9-A86A12DFC4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6B50FFB-56DC-4F00-86A1-E3B3FA4E04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383C86D7-EFDB-47C1-8AD2-4D7506720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AD689DE-6478-4D28-89D2-52BD94BF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58298809-D46F-40F0-A743-D063F261F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83C6E59-76B4-4DA1-BB81-BC4A8AC49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B9BB3A9-117E-4FFE-A64F-A39E71186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9BA9367-0D7B-47C4-A6FB-F9E13482D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0E559E66-7464-423C-A979-EFD70CFFCA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A8A9D6F8-5FC7-470D-8899-78B0C24D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1F86A06-43C9-4B3E-AE37-339ADD4176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894A748-9B58-4BA6-851A-7174D4242D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48782-753E-4DDF-A6A5-936E9466D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4B2BFFA1-2F31-43F1-917D-4E41078AAC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4ADE422-949C-4EA9-B55F-FEECE6A73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7ABBD61D-303B-4FA1-95E2-786BA13B93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737CFF4F-A83C-4777-8DF9-9F6B10F2EF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5135325C-DC53-4327-B588-D017387F5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6FA84D4-412C-445F-B212-DF739C401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D862F8B-1FEF-40F6-8509-9D5E1D445E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7919004-A192-4CF5-A48D-9AA39640F9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4DB9D66-DD46-4725-BEB1-58259EFA4D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3CF97548-98FE-40F6-8D0A-977BFF88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F577938-520D-4751-983B-62FC3501D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4C3F1CEA-D3C6-44CB-B482-4A8796AB1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FA4FEFC6-B13A-42AD-A3D6-1AB5CBFE9A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EBB0467-9CFE-4888-9E86-27EBB43C6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E13853-D4D7-4178-BF47-51F26CBC9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5E7E3A1-184E-4B64-84DE-45488557FB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684C26B-3998-43D7-9DC8-277D51528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2B25185B-A596-49D5-83D3-08A79C26C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0D5779E-19BE-4E75-B8ED-6FB9BF8F4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CFEF93F-2703-4A8E-BF70-58245C8E0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3595E6F-B919-4CF4-BB2D-A6C05F187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D64D4F8-00F3-495D-B377-1200A4EA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3BBB798-73C8-4115-A1F4-3FACBCF73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CB42CF96-1B34-47C4-8F28-18DB10326B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6C94E66-21B4-4D81-9CA3-1DC2C53DC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37DDA3F-E095-4A31-AD1C-5A3C99B181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AD08689-4B84-460B-B9C6-8C8FF1358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F9D147C-DF0B-4B27-B02F-81C2A7F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3D355-0244-4839-B6E8-E60DD5912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98D73E-CEC6-4ACF-A298-1926AB0AB0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19968D0-F5BC-45D5-9C22-A5624ECB4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1A754F6-F4F2-4405-93DE-905EEEB8FA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D3CBE0E-6A84-4AA6-80DB-7272845D3F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A3DA5A6-072A-418C-A492-B812BA15F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C7C5ACF-721A-4752-ADFE-CB7F565F6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46AB7AE-00D5-46CE-A63C-5709CDF3AB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05A776F-59F8-4FFE-A3FE-C7B53BFEB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0E48AF6-87A8-4C45-806C-D57E16228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91119B6-A59A-4D85-BA47-777C3B40FA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575BE2D-ADE9-4AD9-BED4-AC0FA2E87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2D221BE-0EE4-4E95-9B31-23BEA14A7E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15ADA9D-DB6A-47D5-AD25-20D5729C49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2F229DA-ECB1-4A84-97D6-84BF9D94A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DE9B18B6-2A63-4E29-9F48-E8E67487D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71EC76-2D6C-4722-AB70-33B04D742A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9C3E9B-A1CB-4E28-A3CD-4C1DF42A6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94C5D82-F50D-45E2-9F1E-B8CF4F61E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B27D42B-65A8-4BA6-B1D1-E7B0B12909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BB90A1A-74D3-447F-BB20-DC5691DFD7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53015ED-ADDF-426A-93AB-6CC390D3A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BD0ED91-8C6F-4D45-98B9-3147CD64B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4B2D14D4-961F-457B-AE6D-780FB3D1B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DF883B0-B4A4-48FE-B565-D20E3D7F4D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815D582-AD09-42D1-BEEC-C2B0B57E1D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187859-B573-4006-910C-7179E6BA6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AA9A0A7-0B64-46D1-A43A-ECE914B9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2738627-C5AB-4D93-8369-39F7A4344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723E205D-FA25-4AA9-9BF2-D402A2230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B630966-B3F5-4126-AF01-DA0A5C1A4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4EC97BF7-4F24-483F-82AE-54327642C7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469B765-55B1-4201-A04A-8AEA9D906D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C2D57D0-7785-4126-9CA4-72110B0E2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9DABE0BB-F770-443E-88B8-E12BE432B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3AED6FE5-B6BF-4ADE-BB8E-C926792759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8E3C604-E04A-4EDB-85AD-F826BD6696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DC8-E3C1-43D8-A414-216AF7D14B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C88CBAE-2C27-4623-8053-4CFA4162E7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C264C72-7403-40BC-B441-815F5D0ECC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0E5D3BE-6B15-4CA2-B225-B8715CE0B9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93325363-9F6D-4687-886F-92BAE6C94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080483-8BCA-4CAE-A3AF-B2B9DB625A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0918D8F-DA13-48ED-9923-A29C7ABE3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6ECB1635-6CCD-4347-A4F3-6A02FB212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12B29E2-7955-48C2-B922-FEF5382B6B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5A8FE1-C30E-4322-A3B6-90E916DC32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3EEFA16-4980-4A56-BAAA-1D33CFAC34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789662-D0B6-4635-9DB0-CA11DA2798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5A20947-7FC8-4B03-A51C-3F13DC1F5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BC75D7A-13E7-433B-A8BE-37714B9450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D668AE0-9CFF-446D-AE52-37792C5A6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8D1B841-0FE0-4A4B-8808-83AE1C9382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19B863C4-CB3D-44EF-A92F-CB8CCECA9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8C7229D4-DFEB-484D-AE9A-A38090F7F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204707C-FB67-4202-8390-BE64094AAF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0EECD1B-6E25-4E9F-99EA-F8E1C3076C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BCB5752C-FF2D-45FA-B3AA-4FA6A3832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2898E7E-4EED-42DB-AD87-D331C4C0B0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3085A66-3B4F-4CB6-9875-5A80D13B1A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579F7964-B781-4AE2-81A6-7245503B21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2A2AC8D-4DD5-4303-AA3A-CB880A46A4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CFB3D0EC-01A2-44D0-AF14-0030FC525D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5081953-BAB1-4DBD-98F9-32A4442C35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650359-8656-4524-B948-1DBCBAC5EC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1EC57A99-9FE1-4D75-A5E5-831E21D6B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8010789F-2E18-4878-8BE7-0E6DB50699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B3C7B13-B036-402E-80B6-527FC202F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9182EEF-0558-4097-99A3-5697D0DC50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4B38689-80BE-4A12-9133-BB917BFFE5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BF94BDF1-27FA-474D-ACF8-D7A51F293B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E9B2B86-26F5-4104-913C-BE528D3183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452A7F4-BA7A-4ACD-AC14-FE137E6A8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3BFC723F-0281-41D1-BCFF-86D7B9ACF3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9A0F791-53FE-43F5-88D9-6F2A4EA3EB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4F2D456-6312-405D-91C6-DC45464839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78864616-C374-4375-989C-9B83D39875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</xm:sqref>
        </x14:conditionalFormatting>
        <x14:conditionalFormatting xmlns:xm="http://schemas.microsoft.com/office/excel/2006/main">
          <x14:cfRule type="dataBar" id="{F51D28D6-EDBF-4C16-A420-C183F36B23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68E706D4-AD96-49D8-80FB-F3C2DFEA4D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8EA04F2C-1148-4260-90AA-85553348CB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 T15 T9:T10</xm:sqref>
        </x14:conditionalFormatting>
        <x14:conditionalFormatting xmlns:xm="http://schemas.microsoft.com/office/excel/2006/main">
          <x14:cfRule type="dataBar" id="{7D4E817D-B3E0-4E41-8C6C-278E1BAF6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 L4:M4 L9:M10</xm:sqref>
        </x14:conditionalFormatting>
        <x14:conditionalFormatting xmlns:xm="http://schemas.microsoft.com/office/excel/2006/main">
          <x14:cfRule type="dataBar" id="{2D591BE2-86F4-493E-8CAA-AEC77E7850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T9:T10</xm:sqref>
        </x14:conditionalFormatting>
        <x14:conditionalFormatting xmlns:xm="http://schemas.microsoft.com/office/excel/2006/main">
          <x14:cfRule type="dataBar" id="{862845F4-AD00-435C-9747-E21D4CA83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I9:I10</xm:sqref>
        </x14:conditionalFormatting>
        <x14:conditionalFormatting xmlns:xm="http://schemas.microsoft.com/office/excel/2006/main">
          <x14:cfRule type="dataBar" id="{2B47A7F6-28C0-4FD2-8B1F-D6A2D484A5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T3:T4 T9:T10</xm:sqref>
        </x14:conditionalFormatting>
        <x14:conditionalFormatting xmlns:xm="http://schemas.microsoft.com/office/excel/2006/main">
          <x14:cfRule type="dataBar" id="{8C6A1BB8-8511-462D-9870-15EF927C15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9D3C6539-6CCE-4C8D-9F09-017D54901E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V9:W10</xm:sqref>
        </x14:conditionalFormatting>
        <x14:conditionalFormatting xmlns:xm="http://schemas.microsoft.com/office/excel/2006/main">
          <x14:cfRule type="dataBar" id="{615E1438-040E-42D2-AC4B-595ADA3478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T9:T11 T4</xm:sqref>
        </x14:conditionalFormatting>
        <x14:conditionalFormatting xmlns:xm="http://schemas.microsoft.com/office/excel/2006/main">
          <x14:cfRule type="dataBar" id="{D7A0A9F8-BC85-4892-BD6A-DA798AEAC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L15:L17 L9:L11 L4</xm:sqref>
        </x14:conditionalFormatting>
        <x14:conditionalFormatting xmlns:xm="http://schemas.microsoft.com/office/excel/2006/main">
          <x14:cfRule type="dataBar" id="{9E88A50D-50AD-467A-9C36-F4D62A59C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I9:I11 I4</xm:sqref>
        </x14:conditionalFormatting>
        <x14:conditionalFormatting xmlns:xm="http://schemas.microsoft.com/office/excel/2006/main">
          <x14:cfRule type="dataBar" id="{9DC41E79-4BC6-42A3-B348-D07DEAAF7F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L15:M17 L4:M4 L9:M11</xm:sqref>
        </x14:conditionalFormatting>
        <x14:conditionalFormatting xmlns:xm="http://schemas.microsoft.com/office/excel/2006/main">
          <x14:cfRule type="dataBar" id="{BB5F5BF5-1E15-4650-81E8-4065ADDD0F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V15:W15 V4:W4 V9:W11</xm:sqref>
        </x14:conditionalFormatting>
        <x14:conditionalFormatting xmlns:xm="http://schemas.microsoft.com/office/excel/2006/main">
          <x14:cfRule type="dataBar" id="{54F2C299-D26F-42A8-98F2-84F0C21B6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T15:T17 T4 T6 T8:T12</xm:sqref>
        </x14:conditionalFormatting>
        <x14:conditionalFormatting xmlns:xm="http://schemas.microsoft.com/office/excel/2006/main">
          <x14:cfRule type="dataBar" id="{8D25C09B-41AA-4DC3-8B60-3D5BD966A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L15:M17 L6:M6 L8:M12</xm:sqref>
        </x14:conditionalFormatting>
        <x14:conditionalFormatting xmlns:xm="http://schemas.microsoft.com/office/excel/2006/main">
          <x14:cfRule type="dataBar" id="{A755EFC8-5887-4571-A6AE-FF3991016E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I15:I17 I4 I6 I8:I12</xm:sqref>
        </x14:conditionalFormatting>
        <x14:conditionalFormatting xmlns:xm="http://schemas.microsoft.com/office/excel/2006/main">
          <x14:cfRule type="dataBar" id="{888CEB4E-FEB5-4562-9A73-C4CEA9380E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T14:T17 T4 T6 T8:T12</xm:sqref>
        </x14:conditionalFormatting>
        <x14:conditionalFormatting xmlns:xm="http://schemas.microsoft.com/office/excel/2006/main">
          <x14:cfRule type="dataBar" id="{D73AF371-22AC-40E2-82F4-F695046C6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A4D1770-0E0A-4A7D-97F2-EA9A0E8991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dataBar" id="{E693318D-1200-4DA5-B8EA-9C38B28C6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7E4D3CA3-F36B-48EE-BC39-B59E88E2A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C586152B-3E51-41A7-A064-1B1A28F4B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V4:W15</xm:sqref>
        </x14:conditionalFormatting>
        <x14:conditionalFormatting xmlns:xm="http://schemas.microsoft.com/office/excel/2006/main">
          <x14:cfRule type="iconSet" priority="391" id="{CE8C19A9-5FEF-4AE4-B58D-66A06A543FE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J9:J10</xm:sqref>
        </x14:conditionalFormatting>
        <x14:conditionalFormatting xmlns:xm="http://schemas.microsoft.com/office/excel/2006/main">
          <x14:cfRule type="iconSet" priority="270" id="{EECA24D8-07D7-4729-BA9D-E017F2F4383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37" id="{C90C4563-1AA0-49A4-A5E1-2974F31B3B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16" id="{503471FB-BD15-44A8-8F88-0411167916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79" id="{CCE5CC44-BAB0-4610-9A00-80F2BBF1EC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X32"/>
  <sheetViews>
    <sheetView showGridLines="0" zoomScale="90" zoomScaleNormal="90" workbookViewId="0">
      <pane xSplit="2" topLeftCell="C1" activePane="topRight" state="frozen"/>
      <selection pane="topRight" activeCell="C5" sqref="C5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28515625" style="9" customWidth="1"/>
    <col min="22" max="22" width="11.140625" style="9" customWidth="1"/>
    <col min="23" max="23" width="12" style="9" customWidth="1"/>
    <col min="24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0" customFormat="1" ht="63.7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09" customFormat="1" x14ac:dyDescent="0.2">
      <c r="A4" s="21" t="s">
        <v>842</v>
      </c>
      <c r="B4" s="116" t="s">
        <v>205</v>
      </c>
      <c r="C4" s="118" t="s">
        <v>204</v>
      </c>
      <c r="D4" s="119" t="e">
        <f ca="1">$P4/$P$9</f>
        <v>#NAME?</v>
      </c>
      <c r="E4" s="120">
        <f>$F$22</f>
        <v>14380</v>
      </c>
      <c r="F4" s="181">
        <f>$H$22</f>
        <v>3.3387482614742696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$K$22</f>
        <v>#NAME?</v>
      </c>
      <c r="O4" s="120">
        <f>$E4*$F4</f>
        <v>48011.199999999997</v>
      </c>
      <c r="P4" s="120" t="e">
        <f ca="1">E4*G4*$I$1</f>
        <v>#NAME?</v>
      </c>
      <c r="Q4" s="203" t="e">
        <f ca="1">E4*G4</f>
        <v>#NAME?</v>
      </c>
      <c r="R4" s="123" t="e">
        <f t="shared" ref="R4:S7" ca="1" si="0">P4-N4</f>
        <v>#NAME?</v>
      </c>
      <c r="S4" s="123" t="e">
        <f t="shared" ca="1" si="0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s="409" customFormat="1" x14ac:dyDescent="0.2">
      <c r="A5" s="21" t="s">
        <v>842</v>
      </c>
      <c r="B5" s="116" t="s">
        <v>196</v>
      </c>
      <c r="C5" s="118" t="s">
        <v>335</v>
      </c>
      <c r="D5" s="119" t="e">
        <f ca="1">$P5/$P$9</f>
        <v>#NAME?</v>
      </c>
      <c r="E5" s="120">
        <f>$F$25</f>
        <v>2110</v>
      </c>
      <c r="F5" s="181">
        <f>$H$25</f>
        <v>698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1472780</v>
      </c>
      <c r="O5" s="120" t="e">
        <f ca="1">$J$25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0"/>
        <v>#NAME?</v>
      </c>
      <c r="S5" s="123" t="e">
        <f t="shared" ca="1" si="0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s="409" customFormat="1" x14ac:dyDescent="0.2">
      <c r="A6" s="21" t="s">
        <v>842</v>
      </c>
      <c r="B6" s="116" t="s">
        <v>333</v>
      </c>
      <c r="C6" s="118" t="s">
        <v>332</v>
      </c>
      <c r="D6" s="119" t="e">
        <f ca="1">$P6/$P$9</f>
        <v>#NAME?</v>
      </c>
      <c r="E6" s="120">
        <f>$F$29</f>
        <v>12600</v>
      </c>
      <c r="F6" s="181">
        <f>$H$29</f>
        <v>236.81610000000003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2983882.8600000003</v>
      </c>
      <c r="O6" s="120" t="e">
        <f ca="1">$J$29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0"/>
        <v>#NAME?</v>
      </c>
      <c r="S6" s="123" t="e">
        <f t="shared" ca="1" si="0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s="409" customFormat="1" x14ac:dyDescent="0.2">
      <c r="A7" s="21" t="s">
        <v>842</v>
      </c>
      <c r="B7" s="116" t="s">
        <v>201</v>
      </c>
      <c r="C7" s="118" t="s">
        <v>202</v>
      </c>
      <c r="D7" s="119" t="e">
        <f ca="1">$P7/$P$9</f>
        <v>#NAME?</v>
      </c>
      <c r="E7" s="120">
        <f>$F$32</f>
        <v>14088</v>
      </c>
      <c r="F7" s="181">
        <f>$H$32</f>
        <v>3542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ca="1">H7/G7-1</f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49899696</v>
      </c>
      <c r="O7" s="120" t="e">
        <f ca="1">$J$32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0"/>
        <v>#NAME?</v>
      </c>
      <c r="S7" s="123" t="e">
        <f t="shared" ca="1" si="0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1" t="s">
        <v>842</v>
      </c>
      <c r="B8" s="68" t="s">
        <v>106</v>
      </c>
      <c r="C8" s="68" t="s">
        <v>106</v>
      </c>
      <c r="D8" s="101" t="e">
        <f ca="1">P8/$P$9</f>
        <v>#NAME?</v>
      </c>
      <c r="E8" s="64"/>
      <c r="F8" s="67"/>
      <c r="G8" s="66"/>
      <c r="H8" s="66"/>
      <c r="I8" s="66"/>
      <c r="J8" s="60"/>
      <c r="K8" s="60"/>
      <c r="L8" s="65"/>
      <c r="M8" s="65"/>
      <c r="N8" s="64"/>
      <c r="O8" s="64"/>
      <c r="P8" s="64">
        <v>10000000</v>
      </c>
      <c r="Q8" s="63" t="e">
        <f ca="1">P8/$I$1</f>
        <v>#NAME?</v>
      </c>
      <c r="R8" s="62"/>
      <c r="S8" s="61"/>
      <c r="T8" s="61"/>
      <c r="U8" s="60"/>
      <c r="V8" s="60"/>
      <c r="W8" s="60"/>
      <c r="X8" s="60"/>
    </row>
    <row r="9" spans="1:24" ht="13.5" customHeight="1" thickBot="1" x14ac:dyDescent="0.25">
      <c r="B9" s="58"/>
      <c r="C9" s="58"/>
      <c r="D9" s="59" t="e">
        <f ca="1">SUM(D4:D8)</f>
        <v>#NAME?</v>
      </c>
      <c r="E9" s="58"/>
      <c r="F9" s="58"/>
      <c r="G9" s="58"/>
      <c r="H9" s="58"/>
      <c r="I9" s="570" t="e">
        <f ca="1">SUMPRODUCT(D4:D7,I4:I7)</f>
        <v>#NAME?</v>
      </c>
      <c r="J9" s="55"/>
      <c r="K9" s="55"/>
      <c r="L9" s="570" t="e">
        <f ca="1">SUMPRODUCT($D$4:$D$7,L4:L7)</f>
        <v>#NAME?</v>
      </c>
      <c r="M9" s="570" t="e">
        <f ca="1">SUMPRODUCT($D$4:$D$7,M4:M7)</f>
        <v>#NAME?</v>
      </c>
      <c r="N9" s="424">
        <v>75000000</v>
      </c>
      <c r="O9" s="424" t="e">
        <f ca="1">N9/$I$1</f>
        <v>#NAME?</v>
      </c>
      <c r="P9" s="424" t="e">
        <f ca="1">SUM(P4:P8)</f>
        <v>#NAME?</v>
      </c>
      <c r="Q9" s="424" t="e">
        <f ca="1">SUM(Q4:Q8)</f>
        <v>#NAME?</v>
      </c>
      <c r="R9" s="270" t="e">
        <f ca="1">SUM(R4:R7)</f>
        <v>#NAME?</v>
      </c>
      <c r="S9" s="138" t="e">
        <f ca="1">SUM(S4:S7)</f>
        <v>#NAME?</v>
      </c>
      <c r="T9" s="545" t="e">
        <f ca="1">SUMPRODUCT(D4:D7,T4:T7)</f>
        <v>#NAME?</v>
      </c>
      <c r="U9" s="55"/>
      <c r="V9" s="55"/>
      <c r="W9" s="55"/>
      <c r="X9" s="55"/>
    </row>
    <row r="10" spans="1:24" ht="13.5" customHeight="1" x14ac:dyDescent="0.2">
      <c r="B10" s="41"/>
      <c r="C10" s="41"/>
      <c r="D10" s="54"/>
      <c r="E10" s="41"/>
      <c r="F10" s="41"/>
      <c r="G10" s="41"/>
      <c r="I10" s="12" t="s">
        <v>796</v>
      </c>
      <c r="K10" s="41"/>
      <c r="L10" s="40"/>
      <c r="M10" s="40"/>
      <c r="N10" s="40"/>
      <c r="O10" s="40"/>
      <c r="P10" s="52"/>
      <c r="Q10" s="53"/>
      <c r="S10" s="132"/>
      <c r="T10" s="751" t="s">
        <v>795</v>
      </c>
      <c r="U10" s="751"/>
    </row>
    <row r="11" spans="1:24" x14ac:dyDescent="0.2">
      <c r="E11" s="10"/>
      <c r="K11" s="29"/>
      <c r="L11" s="29"/>
      <c r="M11" s="29"/>
      <c r="N11" s="39"/>
      <c r="O11" s="34"/>
      <c r="P11" s="34"/>
      <c r="Q11" s="30"/>
      <c r="T11" s="752"/>
      <c r="U11" s="752"/>
    </row>
    <row r="12" spans="1:24" x14ac:dyDescent="0.2">
      <c r="B12" s="32" t="s">
        <v>276</v>
      </c>
      <c r="E12" s="10"/>
      <c r="M12" s="39"/>
      <c r="N12" s="34"/>
      <c r="O12" s="34"/>
      <c r="P12" s="30"/>
    </row>
    <row r="13" spans="1:24" x14ac:dyDescent="0.2">
      <c r="B13" s="379">
        <v>2016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41"/>
      <c r="N13" s="34"/>
      <c r="O13" s="34"/>
      <c r="P13" s="30"/>
    </row>
    <row r="14" spans="1:24" ht="5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24" x14ac:dyDescent="0.2">
      <c r="B15" s="46"/>
      <c r="C15" s="41"/>
      <c r="D15" s="73"/>
      <c r="E15" s="43"/>
      <c r="F15" s="43"/>
      <c r="G15" s="104"/>
      <c r="H15" s="47"/>
      <c r="I15" s="43"/>
      <c r="J15" s="45"/>
      <c r="K15" s="105"/>
      <c r="L15" s="105"/>
      <c r="M15" s="35" t="s">
        <v>94</v>
      </c>
      <c r="N15" s="130" t="e">
        <f>SUM(#REF!)</f>
        <v>#REF!</v>
      </c>
      <c r="O15" s="34" t="s">
        <v>75</v>
      </c>
      <c r="P15" s="130" t="e">
        <f>SUM(#REF!)</f>
        <v>#REF!</v>
      </c>
      <c r="Q15" s="14"/>
      <c r="R15" s="75"/>
    </row>
    <row r="16" spans="1:24" x14ac:dyDescent="0.2">
      <c r="B16" s="32" t="s">
        <v>93</v>
      </c>
      <c r="C16" s="10"/>
      <c r="D16" s="31"/>
      <c r="H16" s="31"/>
      <c r="I16" s="10"/>
      <c r="J16" s="10"/>
      <c r="K16" s="29"/>
    </row>
    <row r="17" spans="2:17" ht="13.5" thickBot="1" x14ac:dyDescent="0.25">
      <c r="C17" s="29"/>
      <c r="D17" s="29"/>
      <c r="G17" s="29"/>
      <c r="H17" s="10"/>
      <c r="I17" s="30"/>
      <c r="J17" s="10"/>
      <c r="K17" s="29"/>
    </row>
    <row r="18" spans="2:17" ht="15" x14ac:dyDescent="0.35">
      <c r="B18" s="26"/>
      <c r="C18" s="26"/>
      <c r="D18" s="26"/>
      <c r="E18" s="26"/>
      <c r="F18" s="26"/>
      <c r="G18" s="26"/>
      <c r="H18" s="28" t="s">
        <v>92</v>
      </c>
      <c r="I18" s="27" t="s">
        <v>91</v>
      </c>
      <c r="J18" s="27" t="s">
        <v>90</v>
      </c>
      <c r="K18" s="27"/>
      <c r="L18" s="26"/>
      <c r="M18" s="26"/>
      <c r="N18" s="26"/>
      <c r="Q18" s="129"/>
    </row>
    <row r="19" spans="2:17" ht="15" x14ac:dyDescent="0.35">
      <c r="B19" s="23" t="s">
        <v>89</v>
      </c>
      <c r="C19" s="23" t="s">
        <v>88</v>
      </c>
      <c r="D19" s="23" t="s">
        <v>87</v>
      </c>
      <c r="E19" s="23" t="s">
        <v>86</v>
      </c>
      <c r="F19" s="23" t="s">
        <v>85</v>
      </c>
      <c r="G19" s="23" t="s">
        <v>84</v>
      </c>
      <c r="H19" s="25" t="s">
        <v>83</v>
      </c>
      <c r="I19" s="24" t="s">
        <v>83</v>
      </c>
      <c r="J19" s="24" t="s">
        <v>75</v>
      </c>
      <c r="K19" s="24" t="s">
        <v>73</v>
      </c>
      <c r="L19" s="23" t="s">
        <v>82</v>
      </c>
      <c r="M19" s="23" t="s">
        <v>81</v>
      </c>
      <c r="N19" s="23" t="s">
        <v>80</v>
      </c>
    </row>
    <row r="20" spans="2:17" x14ac:dyDescent="0.2">
      <c r="B20" s="21" t="s">
        <v>842</v>
      </c>
      <c r="C20" s="20" t="s">
        <v>42</v>
      </c>
      <c r="D20" s="18" t="e">
        <f ca="1">_xll.BDP(C20,"SECURITY_NAME")</f>
        <v>#NAME?</v>
      </c>
      <c r="E20" s="18" t="s">
        <v>50</v>
      </c>
      <c r="F20" s="19">
        <v>7500</v>
      </c>
      <c r="G20" s="18" t="e">
        <f ca="1">_xll.BDP(C20,"CRNCY")</f>
        <v>#NAME?</v>
      </c>
      <c r="H20" s="140">
        <v>3.2</v>
      </c>
      <c r="I20" s="15">
        <f>F20*H20</f>
        <v>24000</v>
      </c>
      <c r="J20" s="16">
        <f>I20</f>
        <v>24000</v>
      </c>
      <c r="K20" s="15" t="e">
        <f ca="1">J20*L20</f>
        <v>#NAME?</v>
      </c>
      <c r="L20" s="22" t="e">
        <f ca="1">_xll.BDH("RUB curncy","PX_LAST",$N20)</f>
        <v>#NAME?</v>
      </c>
      <c r="M20" s="85" t="e">
        <f ca="1">1/_xll.BDH("RUB curncy","PX_LAST",$N20)</f>
        <v>#NAME?</v>
      </c>
      <c r="N20" s="14">
        <v>42671</v>
      </c>
    </row>
    <row r="21" spans="2:17" x14ac:dyDescent="0.2">
      <c r="B21" s="21" t="s">
        <v>842</v>
      </c>
      <c r="C21" s="20" t="s">
        <v>42</v>
      </c>
      <c r="D21" s="18" t="e">
        <f ca="1">_xll.BDP(C21,"SECURITY_NAME")</f>
        <v>#NAME?</v>
      </c>
      <c r="E21" s="18" t="s">
        <v>50</v>
      </c>
      <c r="F21" s="19">
        <v>6880</v>
      </c>
      <c r="G21" s="18" t="e">
        <f ca="1">_xll.BDP(C21,"CRNCY")</f>
        <v>#NAME?</v>
      </c>
      <c r="H21" s="140">
        <v>3.49</v>
      </c>
      <c r="I21" s="15">
        <f>F21*H21</f>
        <v>24011.200000000001</v>
      </c>
      <c r="J21" s="16">
        <f>I21</f>
        <v>24011.200000000001</v>
      </c>
      <c r="K21" s="15" t="e">
        <f ca="1">J21*L21</f>
        <v>#NAME?</v>
      </c>
      <c r="L21" s="22" t="e">
        <f ca="1">_xll.BDH("RUB curncy","PX_LAST",$N21)</f>
        <v>#NAME?</v>
      </c>
      <c r="M21" s="85" t="e">
        <f ca="1">1/_xll.BDH("RUB curncy","PX_LAST",$N21)</f>
        <v>#NAME?</v>
      </c>
      <c r="N21" s="14">
        <v>42648</v>
      </c>
    </row>
    <row r="22" spans="2:17" s="32" customFormat="1" x14ac:dyDescent="0.2">
      <c r="B22" s="160"/>
      <c r="C22" s="159"/>
      <c r="D22" s="87"/>
      <c r="E22" s="87"/>
      <c r="F22" s="79">
        <f>SUM(F20:F21)</f>
        <v>14380</v>
      </c>
      <c r="G22" s="87"/>
      <c r="H22" s="88">
        <f>I22/F22</f>
        <v>3.3387482614742696</v>
      </c>
      <c r="I22" s="79">
        <f>SUM(I20:I21)</f>
        <v>48011.199999999997</v>
      </c>
      <c r="J22" s="79">
        <f>SUM(J20:J21)</f>
        <v>48011.199999999997</v>
      </c>
      <c r="K22" s="79" t="e">
        <f ca="1">SUM(K20:K21)</f>
        <v>#NAME?</v>
      </c>
      <c r="L22" s="80"/>
      <c r="M22" s="158"/>
      <c r="N22" s="157"/>
    </row>
    <row r="24" spans="2:17" x14ac:dyDescent="0.2">
      <c r="B24" s="21" t="s">
        <v>842</v>
      </c>
      <c r="C24" s="20" t="s">
        <v>336</v>
      </c>
      <c r="D24" s="18" t="e">
        <f ca="1">_xll.BDP(C24,"SECURITY_NAME")</f>
        <v>#NAME?</v>
      </c>
      <c r="E24" s="18" t="s">
        <v>50</v>
      </c>
      <c r="F24" s="19">
        <v>2110</v>
      </c>
      <c r="G24" s="18" t="e">
        <f ca="1">_xll.BDP(C24,"CRNCY")</f>
        <v>#NAME?</v>
      </c>
      <c r="H24" s="140">
        <v>698</v>
      </c>
      <c r="I24" s="15">
        <f>F24*H24</f>
        <v>1472780</v>
      </c>
      <c r="J24" s="16" t="e">
        <f ca="1">I24/L24</f>
        <v>#NAME?</v>
      </c>
      <c r="K24" s="15" t="e">
        <f ca="1">J24*L24</f>
        <v>#NAME?</v>
      </c>
      <c r="L24" s="22" t="e">
        <f ca="1">_xll.BDH("RUB curncy","PX_LAST",$N24)</f>
        <v>#NAME?</v>
      </c>
      <c r="M24" s="85" t="e">
        <f ca="1">1/_xll.BDH("RUB curncy","PX_LAST",$N24)</f>
        <v>#NAME?</v>
      </c>
      <c r="N24" s="14">
        <v>42649</v>
      </c>
      <c r="P24" s="145"/>
    </row>
    <row r="25" spans="2:17" s="32" customFormat="1" x14ac:dyDescent="0.2">
      <c r="B25" s="160"/>
      <c r="C25" s="159"/>
      <c r="D25" s="87"/>
      <c r="E25" s="87"/>
      <c r="F25" s="79">
        <f>SUM(F24:F24)</f>
        <v>2110</v>
      </c>
      <c r="G25" s="87"/>
      <c r="H25" s="88">
        <f>I25/F25</f>
        <v>698</v>
      </c>
      <c r="I25" s="79">
        <f>SUM(I24:I24)</f>
        <v>1472780</v>
      </c>
      <c r="J25" s="79" t="e">
        <f ca="1">SUM(J24:J24)</f>
        <v>#NAME?</v>
      </c>
      <c r="K25" s="79" t="e">
        <f ca="1">SUM(K24:K24)</f>
        <v>#NAME?</v>
      </c>
      <c r="L25" s="80"/>
      <c r="M25" s="173"/>
      <c r="N25" s="157"/>
    </row>
    <row r="26" spans="2:17" s="33" customFormat="1" x14ac:dyDescent="0.2">
      <c r="B26" s="71"/>
      <c r="C26" s="72"/>
      <c r="D26" s="73"/>
      <c r="E26" s="73"/>
      <c r="F26" s="74"/>
      <c r="G26" s="73"/>
      <c r="H26" s="139"/>
      <c r="I26" s="74"/>
      <c r="J26" s="74"/>
      <c r="K26" s="74"/>
      <c r="L26" s="75"/>
      <c r="M26" s="86"/>
      <c r="N26" s="14"/>
    </row>
    <row r="27" spans="2:17" s="33" customFormat="1" x14ac:dyDescent="0.2">
      <c r="B27" s="21" t="s">
        <v>842</v>
      </c>
      <c r="C27" s="20" t="s">
        <v>334</v>
      </c>
      <c r="D27" s="18" t="e">
        <f ca="1">_xll.BDP(C27,"SECURITY_NAME")</f>
        <v>#NAME?</v>
      </c>
      <c r="E27" s="18" t="s">
        <v>50</v>
      </c>
      <c r="F27" s="19">
        <v>6300</v>
      </c>
      <c r="G27" s="18" t="e">
        <f ca="1">_xll.BDP(C27,"CRNCY")</f>
        <v>#NAME?</v>
      </c>
      <c r="H27" s="140">
        <v>234</v>
      </c>
      <c r="I27" s="15">
        <f>F27*H27</f>
        <v>1474200</v>
      </c>
      <c r="J27" s="16" t="e">
        <f ca="1">I27/L27</f>
        <v>#NAME?</v>
      </c>
      <c r="K27" s="15" t="e">
        <f ca="1">J27*L27</f>
        <v>#NAME?</v>
      </c>
      <c r="L27" s="22" t="e">
        <f ca="1">_xll.BDH("RUB curncy","PX_LAST",$N27)</f>
        <v>#NAME?</v>
      </c>
      <c r="M27" s="85" t="e">
        <f ca="1">1/_xll.BDH("RUB curncy","PX_LAST",$N27)</f>
        <v>#NAME?</v>
      </c>
      <c r="N27" s="14">
        <v>42671</v>
      </c>
    </row>
    <row r="28" spans="2:17" s="33" customFormat="1" x14ac:dyDescent="0.2">
      <c r="B28" s="21" t="s">
        <v>842</v>
      </c>
      <c r="C28" s="20" t="s">
        <v>334</v>
      </c>
      <c r="D28" s="18" t="e">
        <f ca="1">_xll.BDP(C28,"SECURITY_NAME")</f>
        <v>#NAME?</v>
      </c>
      <c r="E28" s="18" t="s">
        <v>50</v>
      </c>
      <c r="F28" s="19">
        <v>6300</v>
      </c>
      <c r="G28" s="18" t="e">
        <f ca="1">_xll.BDP(C28,"CRNCY")</f>
        <v>#NAME?</v>
      </c>
      <c r="H28" s="140">
        <v>239.63220000000001</v>
      </c>
      <c r="I28" s="15">
        <f>F28*H28</f>
        <v>1509682.86</v>
      </c>
      <c r="J28" s="16" t="e">
        <f ca="1">I28/L28</f>
        <v>#NAME?</v>
      </c>
      <c r="K28" s="15" t="e">
        <f ca="1">J28*L28</f>
        <v>#NAME?</v>
      </c>
      <c r="L28" s="22" t="e">
        <f ca="1">_xll.BDH("RUB curncy","PX_LAST",$N28)</f>
        <v>#NAME?</v>
      </c>
      <c r="M28" s="85" t="e">
        <f ca="1">1/_xll.BDH("RUB curncy","PX_LAST",$N28)</f>
        <v>#NAME?</v>
      </c>
      <c r="N28" s="14">
        <v>42648</v>
      </c>
    </row>
    <row r="29" spans="2:17" s="32" customFormat="1" x14ac:dyDescent="0.2">
      <c r="B29" s="160"/>
      <c r="C29" s="159"/>
      <c r="D29" s="87"/>
      <c r="E29" s="87"/>
      <c r="F29" s="79">
        <f>SUM(F27:F28)</f>
        <v>12600</v>
      </c>
      <c r="G29" s="87"/>
      <c r="H29" s="88">
        <f>I29/F29</f>
        <v>236.81610000000003</v>
      </c>
      <c r="I29" s="79">
        <f>SUM(I27:I28)</f>
        <v>2983882.8600000003</v>
      </c>
      <c r="J29" s="79" t="e">
        <f ca="1">SUM(J27:J28)</f>
        <v>#NAME?</v>
      </c>
      <c r="K29" s="79" t="e">
        <f ca="1">SUM(K27:K28)</f>
        <v>#NAME?</v>
      </c>
      <c r="L29" s="80"/>
      <c r="M29" s="173"/>
      <c r="N29" s="157"/>
    </row>
    <row r="30" spans="2:17" s="33" customFormat="1" x14ac:dyDescent="0.2">
      <c r="B30" s="71"/>
      <c r="C30" s="72"/>
      <c r="D30" s="73"/>
      <c r="E30" s="73"/>
      <c r="F30" s="74"/>
      <c r="G30" s="73"/>
      <c r="H30" s="139"/>
      <c r="I30" s="74"/>
      <c r="J30" s="74"/>
      <c r="K30" s="74"/>
      <c r="L30" s="75"/>
      <c r="M30" s="78"/>
      <c r="N30" s="14"/>
    </row>
    <row r="31" spans="2:17" x14ac:dyDescent="0.2">
      <c r="B31" s="21" t="s">
        <v>842</v>
      </c>
      <c r="C31" s="20" t="s">
        <v>65</v>
      </c>
      <c r="D31" s="18" t="e">
        <f ca="1">_xll.BDP(C31,"SECURITY_NAME")</f>
        <v>#NAME?</v>
      </c>
      <c r="E31" s="18" t="s">
        <v>50</v>
      </c>
      <c r="F31" s="19">
        <v>14088</v>
      </c>
      <c r="G31" s="18" t="e">
        <f ca="1">_xll.BDP(C31,"CRNCY")</f>
        <v>#NAME?</v>
      </c>
      <c r="H31" s="140">
        <v>3542</v>
      </c>
      <c r="I31" s="15">
        <f>F31*H31</f>
        <v>49899696</v>
      </c>
      <c r="J31" s="16" t="e">
        <f ca="1">I31/L31</f>
        <v>#NAME?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42698</v>
      </c>
    </row>
    <row r="32" spans="2:17" x14ac:dyDescent="0.2">
      <c r="B32" s="160"/>
      <c r="C32" s="159"/>
      <c r="D32" s="87"/>
      <c r="E32" s="87"/>
      <c r="F32" s="79">
        <f>SUM(F31:F31)</f>
        <v>14088</v>
      </c>
      <c r="G32" s="87"/>
      <c r="H32" s="88">
        <f>I32/F32</f>
        <v>3542</v>
      </c>
      <c r="I32" s="79">
        <f>SUM(I31:I31)</f>
        <v>49899696</v>
      </c>
      <c r="J32" s="79" t="e">
        <f ca="1">SUM(J31:J31)</f>
        <v>#NAME?</v>
      </c>
      <c r="K32" s="79" t="e">
        <f ca="1">SUM(K31:K31)</f>
        <v>#NAME?</v>
      </c>
      <c r="L32" s="80"/>
      <c r="M32" s="173"/>
      <c r="N32" s="157"/>
    </row>
  </sheetData>
  <sortState ref="A4:X7">
    <sortCondition descending="1" ref="I4:I7"/>
  </sortState>
  <conditionalFormatting sqref="E26 E22">
    <cfRule type="containsText" dxfId="11141" priority="543" operator="containsText" text="Buy">
      <formula>NOT(ISERROR(SEARCH("Buy",E22)))</formula>
    </cfRule>
    <cfRule type="containsText" dxfId="11140" priority="544" operator="containsText" text="Sell">
      <formula>NOT(ISERROR(SEARCH("Sell",E22)))</formula>
    </cfRule>
  </conditionalFormatting>
  <conditionalFormatting sqref="L4:M4">
    <cfRule type="dataBar" priority="5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{538ACBFF-C3CF-4C3D-8DFC-1CE1437C9A33}</x14:id>
        </ext>
      </extLst>
    </cfRule>
  </conditionalFormatting>
  <conditionalFormatting sqref="L4:M4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{20437291-222C-4347-9575-D7A803C644AC}</x14:id>
        </ext>
      </extLst>
    </cfRule>
  </conditionalFormatting>
  <conditionalFormatting sqref="L4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{B340E0FB-8CDE-4511-BDAB-8CE6485CB0FA}</x14:id>
        </ext>
      </extLst>
    </cfRule>
  </conditionalFormatting>
  <conditionalFormatting sqref="M4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{B23ECE26-E4FA-4FCA-B556-2636A8C05D0B}</x14:id>
        </ext>
      </extLst>
    </cfRule>
  </conditionalFormatting>
  <conditionalFormatting sqref="U4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{EB95B4F3-DF2F-473F-8384-271492211EA4}</x14:id>
        </ext>
      </extLst>
    </cfRule>
  </conditionalFormatting>
  <conditionalFormatting sqref="V4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{43247111-6125-4BD7-956F-3A521D08656D}</x14:id>
        </ext>
      </extLst>
    </cfRule>
  </conditionalFormatting>
  <conditionalFormatting sqref="E25">
    <cfRule type="containsText" dxfId="11139" priority="514" operator="containsText" text="Buy">
      <formula>NOT(ISERROR(SEARCH("Buy",E25)))</formula>
    </cfRule>
    <cfRule type="containsText" dxfId="11138" priority="515" operator="containsText" text="Sell">
      <formula>NOT(ISERROR(SEARCH("Sell",E25)))</formula>
    </cfRule>
  </conditionalFormatting>
  <conditionalFormatting sqref="L5:M5">
    <cfRule type="dataBar" priority="4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{B964EBD7-1D95-44E7-925A-90300E9A434A}</x14:id>
        </ext>
      </extLst>
    </cfRule>
  </conditionalFormatting>
  <conditionalFormatting sqref="L5:M5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{A177B66E-618A-43D2-B90F-90BE51049CC8}</x14:id>
        </ext>
      </extLst>
    </cfRule>
  </conditionalFormatting>
  <conditionalFormatting sqref="L5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{77B00F8C-BDE9-4C69-B00C-DA746002AAA1}</x14:id>
        </ext>
      </extLst>
    </cfRule>
  </conditionalFormatting>
  <conditionalFormatting sqref="M5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{EF70AA77-9F51-481A-9800-7BA69666CF15}</x14:id>
        </ext>
      </extLst>
    </cfRule>
  </conditionalFormatting>
  <conditionalFormatting sqref="U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{212A5218-50EE-456A-9FD5-D06B774D319C}</x14:id>
        </ext>
      </extLst>
    </cfRule>
  </conditionalFormatting>
  <conditionalFormatting sqref="V5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{4E05FC82-6613-4E3C-9211-AC7AE9390F01}</x14:id>
        </ext>
      </extLst>
    </cfRule>
  </conditionalFormatting>
  <conditionalFormatting sqref="E29:E30">
    <cfRule type="containsText" dxfId="11137" priority="412" operator="containsText" text="Buy">
      <formula>NOT(ISERROR(SEARCH("Buy",E29)))</formula>
    </cfRule>
    <cfRule type="containsText" dxfId="11136" priority="413" operator="containsText" text="Sell">
      <formula>NOT(ISERROR(SEARCH("Sell",E29)))</formula>
    </cfRule>
  </conditionalFormatting>
  <conditionalFormatting sqref="L7:M7">
    <cfRule type="dataBar" priority="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{F1EAD68C-5580-4A81-A5FC-68935BEBFDBC}</x14:id>
        </ext>
      </extLst>
    </cfRule>
  </conditionalFormatting>
  <conditionalFormatting sqref="L7:M7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{801BBB6A-9443-4E62-9AB7-87C944C4CA30}</x14:id>
        </ext>
      </extLst>
    </cfRule>
  </conditionalFormatting>
  <conditionalFormatting sqref="L7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{FDFCDF94-408C-4EDD-B835-1D003A14BFC5}</x14:id>
        </ext>
      </extLst>
    </cfRule>
  </conditionalFormatting>
  <conditionalFormatting sqref="M7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{4B707C47-0EF6-4E18-8BA6-FD52226A86FD}</x14:id>
        </ext>
      </extLst>
    </cfRule>
  </conditionalFormatting>
  <conditionalFormatting sqref="U7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{5467C3F6-7A90-40BA-BCA4-351F40F8DF85}</x14:id>
        </ext>
      </extLst>
    </cfRule>
  </conditionalFormatting>
  <conditionalFormatting sqref="V7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{6472704A-C20A-4603-A49D-F6F9B8E33F51}</x14:id>
        </ext>
      </extLst>
    </cfRule>
  </conditionalFormatting>
  <conditionalFormatting sqref="E21">
    <cfRule type="containsText" dxfId="11135" priority="202" operator="containsText" text="Buy">
      <formula>NOT(ISERROR(SEARCH("Buy",E21)))</formula>
    </cfRule>
    <cfRule type="containsText" dxfId="11134" priority="203" operator="containsText" text="Sell">
      <formula>NOT(ISERROR(SEARCH("Sell",E21)))</formula>
    </cfRule>
  </conditionalFormatting>
  <conditionalFormatting sqref="E28">
    <cfRule type="containsText" dxfId="11133" priority="186" operator="containsText" text="Buy">
      <formula>NOT(ISERROR(SEARCH("Buy",E28)))</formula>
    </cfRule>
    <cfRule type="containsText" dxfId="11132" priority="187" operator="containsText" text="Sell">
      <formula>NOT(ISERROR(SEARCH("Sell",E28)))</formula>
    </cfRule>
  </conditionalFormatting>
  <conditionalFormatting sqref="H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{240473F1-F857-4B2A-803D-D46B2B276430}</x14:id>
        </ext>
      </extLst>
    </cfRule>
    <cfRule type="cellIs" dxfId="11131" priority="181" operator="equal">
      <formula>1</formula>
    </cfRule>
  </conditionalFormatting>
  <conditionalFormatting sqref="D15">
    <cfRule type="containsText" dxfId="11130" priority="179" operator="containsText" text="Buy">
      <formula>NOT(ISERROR(SEARCH("Buy",D15)))</formula>
    </cfRule>
    <cfRule type="containsText" dxfId="11129" priority="180" operator="containsText" text="Sell">
      <formula>NOT(ISERROR(SEARCH("Sell",D15)))</formula>
    </cfRule>
  </conditionalFormatting>
  <conditionalFormatting sqref="E24">
    <cfRule type="containsText" dxfId="11128" priority="88" operator="containsText" text="Buy">
      <formula>NOT(ISERROR(SEARCH("Buy",E24)))</formula>
    </cfRule>
    <cfRule type="containsText" dxfId="11127" priority="89" operator="containsText" text="Sell">
      <formula>NOT(ISERROR(SEARCH("Sell",E24)))</formula>
    </cfRule>
  </conditionalFormatting>
  <conditionalFormatting sqref="U4:V4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{6C9AB11E-6334-4C90-9D58-BFC7C38BF94D}</x14:id>
        </ext>
      </extLst>
    </cfRule>
  </conditionalFormatting>
  <conditionalFormatting sqref="U4:V4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{C37B773D-9326-46E2-87DE-86D87CA0F04E}</x14:id>
        </ext>
      </extLst>
    </cfRule>
  </conditionalFormatting>
  <conditionalFormatting sqref="U5:V5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{1BA7DC05-030B-4195-8FDA-20C131BDFBFD}</x14:id>
        </ext>
      </extLst>
    </cfRule>
  </conditionalFormatting>
  <conditionalFormatting sqref="U5:V5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{7D5E9EF1-930C-48FC-8661-979418229AE4}</x14:id>
        </ext>
      </extLst>
    </cfRule>
  </conditionalFormatting>
  <conditionalFormatting sqref="U7:V7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{4589FAAE-80D6-41EC-A958-63195E7DEF6A}</x14:id>
        </ext>
      </extLst>
    </cfRule>
  </conditionalFormatting>
  <conditionalFormatting sqref="U7:V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{86E96A8B-E401-4C28-9351-44E02717BBBD}</x14:id>
        </ext>
      </extLst>
    </cfRule>
  </conditionalFormatting>
  <conditionalFormatting sqref="L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{2F52835C-187D-48F9-B249-B1E9DE3D3622}</x14:id>
        </ext>
      </extLst>
    </cfRule>
  </conditionalFormatting>
  <conditionalFormatting sqref="L4:M5 L7:M7">
    <cfRule type="dataBar" priority="32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{E5AC34C3-9BB9-462E-B3B5-FB293F357039}</x14:id>
        </ext>
      </extLst>
    </cfRule>
  </conditionalFormatting>
  <conditionalFormatting sqref="L4:M5 L7:M7">
    <cfRule type="dataBar" priority="32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{1C1A430B-83C5-446D-AC51-F2AE9A34DF0D}</x14:id>
        </ext>
      </extLst>
    </cfRule>
  </conditionalFormatting>
  <conditionalFormatting sqref="L4:L5 L7">
    <cfRule type="dataBar" priority="32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{C1D818DE-6F92-49F4-BDCA-D7A8460A5147}</x14:id>
        </ext>
      </extLst>
    </cfRule>
  </conditionalFormatting>
  <conditionalFormatting sqref="L4:L5 L7">
    <cfRule type="dataBar" priority="32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{9C6BE2D3-73FA-4A6A-A4D3-8F13987CDE2A}</x14:id>
        </ext>
      </extLst>
    </cfRule>
  </conditionalFormatting>
  <conditionalFormatting sqref="L4:M5 L7:M7">
    <cfRule type="dataBar" priority="32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{4D3C2276-CC56-4C56-9E8F-DE8F117DD74C}</x14:id>
        </ext>
      </extLst>
    </cfRule>
  </conditionalFormatting>
  <conditionalFormatting sqref="X4:X5 X7">
    <cfRule type="dataBar" priority="32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{9499077A-F34C-4756-8F8C-1BCFDE24FA66}</x14:id>
        </ext>
      </extLst>
    </cfRule>
  </conditionalFormatting>
  <conditionalFormatting sqref="W4:W5 W7">
    <cfRule type="dataBar" priority="320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{581815AB-7D8D-461F-A740-A4A2444094AE}</x14:id>
        </ext>
      </extLst>
    </cfRule>
  </conditionalFormatting>
  <conditionalFormatting sqref="I4:I5 I7">
    <cfRule type="dataBar" priority="320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{561CDFC6-0A0B-4EFA-BEFB-6C790623004F}</x14:id>
        </ext>
      </extLst>
    </cfRule>
  </conditionalFormatting>
  <conditionalFormatting sqref="T4:T5 T7">
    <cfRule type="dataBar" priority="32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{84141911-55DF-4965-A0A4-BE54E4BD0128}</x14:id>
        </ext>
      </extLst>
    </cfRule>
  </conditionalFormatting>
  <conditionalFormatting sqref="L4:M5 L7:M7">
    <cfRule type="dataBar" priority="320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{FA27CFE1-115B-4FDA-8F1F-F42562170DF5}</x14:id>
        </ext>
      </extLst>
    </cfRule>
  </conditionalFormatting>
  <conditionalFormatting sqref="T4:T5 T7:T9">
    <cfRule type="dataBar" priority="320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{FFDBAE38-DAC4-4800-ADF8-ED3A2182F048}</x14:id>
        </ext>
      </extLst>
    </cfRule>
  </conditionalFormatting>
  <conditionalFormatting sqref="I4:I5 I7:I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{A9F8CC50-3883-4E0D-981C-16D441965CD1}</x14:id>
        </ext>
      </extLst>
    </cfRule>
  </conditionalFormatting>
  <conditionalFormatting sqref="T3:T5 T7:T9">
    <cfRule type="dataBar" priority="320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{B51EC31F-A35F-4B12-B237-FAA50B0A3E75}</x14:id>
        </ext>
      </extLst>
    </cfRule>
  </conditionalFormatting>
  <conditionalFormatting sqref="U4:V5 U7:V7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{E9332D26-10DF-4B05-9982-4BE760262040}</x14:id>
        </ext>
      </extLst>
    </cfRule>
  </conditionalFormatting>
  <conditionalFormatting sqref="L4:L5 L7:L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{FD30E19B-DAED-4EFE-A96C-00E8DFFE58A7}</x14:id>
        </ext>
      </extLst>
    </cfRule>
  </conditionalFormatting>
  <conditionalFormatting sqref="M4:M5 M7:M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{2027ADD5-7F00-432D-83E0-DA0F80B1E198}</x14:id>
        </ext>
      </extLst>
    </cfRule>
  </conditionalFormatting>
  <conditionalFormatting sqref="E20">
    <cfRule type="containsText" dxfId="11126" priority="35" operator="containsText" text="Buy">
      <formula>NOT(ISERROR(SEARCH("Buy",E20)))</formula>
    </cfRule>
    <cfRule type="containsText" dxfId="11125" priority="36" operator="containsText" text="Sell">
      <formula>NOT(ISERROR(SEARCH("Sell",E20)))</formula>
    </cfRule>
  </conditionalFormatting>
  <conditionalFormatting sqref="E27">
    <cfRule type="containsText" dxfId="11124" priority="33" operator="containsText" text="Buy">
      <formula>NOT(ISERROR(SEARCH("Buy",E27)))</formula>
    </cfRule>
    <cfRule type="containsText" dxfId="11123" priority="34" operator="containsText" text="Sell">
      <formula>NOT(ISERROR(SEARCH("Sell",E27)))</formula>
    </cfRule>
  </conditionalFormatting>
  <conditionalFormatting sqref="E32">
    <cfRule type="containsText" dxfId="11122" priority="31" operator="containsText" text="Buy">
      <formula>NOT(ISERROR(SEARCH("Buy",E32)))</formula>
    </cfRule>
    <cfRule type="containsText" dxfId="11121" priority="32" operator="containsText" text="Sell">
      <formula>NOT(ISERROR(SEARCH("Sell",E32)))</formula>
    </cfRule>
  </conditionalFormatting>
  <conditionalFormatting sqref="E31">
    <cfRule type="containsText" dxfId="11120" priority="29" operator="containsText" text="Buy">
      <formula>NOT(ISERROR(SEARCH("Buy",E31)))</formula>
    </cfRule>
    <cfRule type="containsText" dxfId="11119" priority="30" operator="containsText" text="Sell">
      <formula>NOT(ISERROR(SEARCH("Sell",E31)))</formula>
    </cfRule>
  </conditionalFormatting>
  <conditionalFormatting sqref="L6:M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{4E87731D-C154-44F6-8830-45D32F944D06}</x14:id>
        </ext>
      </extLst>
    </cfRule>
  </conditionalFormatting>
  <conditionalFormatting sqref="L6:M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{833C004F-D1A0-46FA-B463-36F66F1C6CDD}</x14:id>
        </ext>
      </extLst>
    </cfRule>
  </conditionalFormatting>
  <conditionalFormatting sqref="L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{F370E2C7-6E1A-48C3-AB9E-2D35820E0D03}</x14:id>
        </ext>
      </extLst>
    </cfRule>
  </conditionalFormatting>
  <conditionalFormatting sqref="M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{878AF7BA-C645-45D9-9C4D-21BEE4633058}</x14:id>
        </ext>
      </extLst>
    </cfRule>
  </conditionalFormatting>
  <conditionalFormatting sqref="U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{CBA2CCAA-4416-4415-9AAF-88AC35D969A9}</x14:id>
        </ext>
      </extLst>
    </cfRule>
  </conditionalFormatting>
  <conditionalFormatting sqref="V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{5A02FDF0-7C92-4626-952B-14DEB4F9B169}</x14:id>
        </ext>
      </extLst>
    </cfRule>
  </conditionalFormatting>
  <conditionalFormatting sqref="U6:V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{FD606970-198F-4E2C-93F7-1EE1E6E5543B}</x14:id>
        </ext>
      </extLst>
    </cfRule>
  </conditionalFormatting>
  <conditionalFormatting sqref="U6:V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{B0BC8EAC-3236-409F-B2F7-1F3469819205}</x14:id>
        </ext>
      </extLst>
    </cfRule>
  </conditionalFormatting>
  <conditionalFormatting sqref="L6:M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{6944E9A5-25A6-485E-8BD0-CEC59E128DBC}</x14:id>
        </ext>
      </extLst>
    </cfRule>
  </conditionalFormatting>
  <conditionalFormatting sqref="L6:M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{94855B88-4153-49C9-A049-950C8F42E4E6}</x14:id>
        </ext>
      </extLst>
    </cfRule>
  </conditionalFormatting>
  <conditionalFormatting sqref="L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{5FFAA9F1-5C75-4D58-BE0E-423EE953455D}</x14:id>
        </ext>
      </extLst>
    </cfRule>
  </conditionalFormatting>
  <conditionalFormatting sqref="L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{75D67FEE-1326-4FCB-9DD4-67178FBBC32D}</x14:id>
        </ext>
      </extLst>
    </cfRule>
  </conditionalFormatting>
  <conditionalFormatting sqref="L6:M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{CDE69DC9-262E-41E4-9A98-9905ABA4B5BF}</x14:id>
        </ext>
      </extLst>
    </cfRule>
  </conditionalFormatting>
  <conditionalFormatting sqref="X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{6C215E2D-9603-4095-A65B-28673A0B60F5}</x14:id>
        </ext>
      </extLst>
    </cfRule>
  </conditionalFormatting>
  <conditionalFormatting sqref="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{3FB2135E-96F8-4352-A823-1BA8DDFCB0F2}</x14:id>
        </ext>
      </extLst>
    </cfRule>
  </conditionalFormatting>
  <conditionalFormatting sqref="I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{B5663B23-221F-409C-B64A-F29D1D843F54}</x14:id>
        </ext>
      </extLst>
    </cfRule>
  </conditionalFormatting>
  <conditionalFormatting sqref="T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{185576C9-0E36-43D0-8BFF-F004CEA9821C}</x14:id>
        </ext>
      </extLst>
    </cfRule>
  </conditionalFormatting>
  <conditionalFormatting sqref="L6:M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{3962DC80-3772-4D69-A200-324AC56D2A08}</x14:id>
        </ext>
      </extLst>
    </cfRule>
  </conditionalFormatting>
  <conditionalFormatting sqref="T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{5A0C4065-E47A-4199-83E6-F31245E03136}</x14:id>
        </ext>
      </extLst>
    </cfRule>
  </conditionalFormatting>
  <conditionalFormatting sqref="I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{FF36BDF7-2166-4BB3-B350-6DD6945210CF}</x14:id>
        </ext>
      </extLst>
    </cfRule>
  </conditionalFormatting>
  <conditionalFormatting sqref="T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{2668D065-AC7C-4157-9815-DB1EDDA6FCC3}</x14:id>
        </ext>
      </extLst>
    </cfRule>
  </conditionalFormatting>
  <conditionalFormatting sqref="U6:V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{E4E16116-EE39-4ADA-B892-2C5E20E504A2}</x14:id>
        </ext>
      </extLst>
    </cfRule>
  </conditionalFormatting>
  <conditionalFormatting sqref="L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{A4B29A0C-5E7A-413E-9EDD-D659BDD1FB40}</x14:id>
        </ext>
      </extLst>
    </cfRule>
  </conditionalFormatting>
  <conditionalFormatting sqref="M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{06B5DBAC-4F77-43E9-BFF5-0F3825356B21}</x14:id>
        </ext>
      </extLst>
    </cfRule>
  </conditionalFormatting>
  <conditionalFormatting sqref="I4:I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{D9F726D3-686A-4A97-9BBD-10E5A4E0ED8D}</x14:id>
        </ext>
      </extLst>
    </cfRule>
  </conditionalFormatting>
  <conditionalFormatting sqref="M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{EEEC3F93-C99B-4807-B050-17BDFD8C8125}</x14:id>
        </ext>
      </extLst>
    </cfRule>
  </conditionalFormatting>
  <conditionalFormatting sqref="M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{D8451920-22D9-49DC-894F-821B1058D1F7}</x14:id>
        </ext>
      </extLst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38ACBFF-C3CF-4C3D-8DFC-1CE1437C9A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437291-222C-4347-9575-D7A803C644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340E0FB-8CDE-4511-BDAB-8CE6485CB0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23ECE26-E4FA-4FCA-B556-2636A8C05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B95B4F3-DF2F-473F-8384-271492211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3247111-6125-4BD7-956F-3A521D0865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964EBD7-1D95-44E7-925A-90300E9A43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177B66E-618A-43D2-B90F-90BE51049C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7B00F8C-BDE9-4C69-B00C-DA746002AA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70AA77-9F51-481A-9800-7BA69666CF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212A5218-50EE-456A-9FD5-D06B774D3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E05FC82-6613-4E3C-9211-AC7AE9390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1EAD68C-5580-4A81-A5FC-68935BEBF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01BBB6A-9443-4E62-9AB7-87C944C4C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DFCDF94-408C-4EDD-B835-1D003A14BF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B707C47-0EF6-4E18-8BA6-FD52226A86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467C3F6-7A90-40BA-BCA4-351F40F8D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472704A-C20A-4603-A49D-F6F9B8E33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40473F1-F857-4B2A-803D-D46B2B2764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6C9AB11E-6334-4C90-9D58-BFC7C38BF9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C37B773D-9326-46E2-87DE-86D87CA0F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BA7DC05-030B-4195-8FDA-20C131BD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7D5E9EF1-930C-48FC-8661-979418229A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589FAAE-80D6-41EC-A958-63195E7DEF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E96A8B-E401-4C28-9351-44E02717B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2F52835C-187D-48F9-B249-B1E9DE3D36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5AC34C3-9BB9-462E-B3B5-FB293F357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1C1A430B-83C5-446D-AC51-F2AE9A34D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C1D818DE-6F92-49F4-BDCA-D7A8460A5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9C6BE2D3-73FA-4A6A-A4D3-8F13987CD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L7</xm:sqref>
        </x14:conditionalFormatting>
        <x14:conditionalFormatting xmlns:xm="http://schemas.microsoft.com/office/excel/2006/main">
          <x14:cfRule type="dataBar" id="{4D3C2276-CC56-4C56-9E8F-DE8F117DD7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9499077A-F34C-4756-8F8C-1BCFDE24F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</xm:sqref>
        </x14:conditionalFormatting>
        <x14:conditionalFormatting xmlns:xm="http://schemas.microsoft.com/office/excel/2006/main">
          <x14:cfRule type="dataBar" id="{581815AB-7D8D-461F-A740-A4A244409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</xm:sqref>
        </x14:conditionalFormatting>
        <x14:conditionalFormatting xmlns:xm="http://schemas.microsoft.com/office/excel/2006/main">
          <x14:cfRule type="dataBar" id="{561CDFC6-0A0B-4EFA-BEFB-6C7906230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</xm:sqref>
        </x14:conditionalFormatting>
        <x14:conditionalFormatting xmlns:xm="http://schemas.microsoft.com/office/excel/2006/main">
          <x14:cfRule type="dataBar" id="{84141911-55DF-4965-A0A4-BE54E4BD01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</xm:sqref>
        </x14:conditionalFormatting>
        <x14:conditionalFormatting xmlns:xm="http://schemas.microsoft.com/office/excel/2006/main">
          <x14:cfRule type="dataBar" id="{FA27CFE1-115B-4FDA-8F1F-F42562170D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L7:M7</xm:sqref>
        </x14:conditionalFormatting>
        <x14:conditionalFormatting xmlns:xm="http://schemas.microsoft.com/office/excel/2006/main">
          <x14:cfRule type="dataBar" id="{FFDBAE38-DAC4-4800-ADF8-ED3A2182F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T7:T9</xm:sqref>
        </x14:conditionalFormatting>
        <x14:conditionalFormatting xmlns:xm="http://schemas.microsoft.com/office/excel/2006/main">
          <x14:cfRule type="dataBar" id="{A9F8CC50-3883-4E0D-981C-16D441965C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I7:I9</xm:sqref>
        </x14:conditionalFormatting>
        <x14:conditionalFormatting xmlns:xm="http://schemas.microsoft.com/office/excel/2006/main">
          <x14:cfRule type="dataBar" id="{B51EC31F-A35F-4B12-B237-FAA50B0A3E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T3:T5 T7:T9</xm:sqref>
        </x14:conditionalFormatting>
        <x14:conditionalFormatting xmlns:xm="http://schemas.microsoft.com/office/excel/2006/main">
          <x14:cfRule type="dataBar" id="{E9332D26-10DF-4B05-9982-4BE7602620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U4:V5 U7:V7</xm:sqref>
        </x14:conditionalFormatting>
        <x14:conditionalFormatting xmlns:xm="http://schemas.microsoft.com/office/excel/2006/main">
          <x14:cfRule type="dataBar" id="{FD30E19B-DAED-4EFE-A96C-00E8DFFE58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2027ADD5-7F00-432D-83E0-DA0F80B1E1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M4:M5 M7:M8</xm:sqref>
        </x14:conditionalFormatting>
        <x14:conditionalFormatting xmlns:xm="http://schemas.microsoft.com/office/excel/2006/main">
          <x14:cfRule type="dataBar" id="{4E87731D-C154-44F6-8830-45D32F944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33C004F-D1A0-46FA-B463-36F66F1C6C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370E2C7-6E1A-48C3-AB9E-2D35820E0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78AF7BA-C645-45D9-9C4D-21BEE4633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BA2CCAA-4416-4415-9AAF-88AC35D96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A02FDF0-7C92-4626-952B-14DEB4F9B1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D606970-198F-4E2C-93F7-1EE1E6E55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0BC8EAC-3236-409F-B2F7-1F3469819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6944E9A5-25A6-485E-8BD0-CEC59E128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4855B88-4153-49C9-A049-950C8F42E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FFAA9F1-5C75-4D58-BE0E-423EE9534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5D67FEE-1326-4FCB-9DD4-67178FBBC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DE69DC9-262E-41E4-9A98-9905ABA4B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C215E2D-9603-4095-A65B-28673A0B6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2135E-96F8-4352-A823-1BA8DDFCB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5663B23-221F-409C-B64A-F29D1D843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85576C9-0E36-43D0-8BFF-F004CEA98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3962DC80-3772-4D69-A200-324AC56D2A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A0C4065-E47A-4199-83E6-F31245E031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FF36BDF7-2166-4BB3-B350-6DD694521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2668D065-AC7C-4157-9815-DB1EDDA6FC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4E16116-EE39-4ADA-B892-2C5E20E504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A4B29A0C-5E7A-413E-9EDD-D659BDD1FB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B5DBAC-4F77-43E9-BFF5-0F3825356B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9F726D3-686A-4A97-9BBD-10E5A4E0E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</xm:sqref>
        </x14:conditionalFormatting>
        <x14:conditionalFormatting xmlns:xm="http://schemas.microsoft.com/office/excel/2006/main">
          <x14:cfRule type="dataBar" id="{EEEC3F93-C99B-4807-B050-17BDFD8C81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451920-22D9-49DC-894F-821B1058D1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iconSet" priority="32039" id="{0E107284-C43C-48FD-A598-582AF08985A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J4:J5 J7</xm:sqref>
        </x14:conditionalFormatting>
        <x14:conditionalFormatting xmlns:xm="http://schemas.microsoft.com/office/excel/2006/main">
          <x14:cfRule type="iconSet" priority="24" id="{CF77A8E0-40D2-4550-A8A8-0F96D0DD41B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Y323"/>
  <sheetViews>
    <sheetView workbookViewId="0">
      <selection activeCell="R9" sqref="R9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 t="s">
        <v>781</v>
      </c>
      <c r="B4" s="46" t="s">
        <v>349</v>
      </c>
      <c r="C4" s="103" t="s">
        <v>331</v>
      </c>
      <c r="D4" s="44" t="e">
        <f t="shared" ref="D4:D14" ca="1" si="0">Q4/$Q$15</f>
        <v>#NAME?</v>
      </c>
      <c r="E4" s="43">
        <f>$F$46</f>
        <v>4634</v>
      </c>
      <c r="F4" s="38">
        <f>$H$46</f>
        <v>7.5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1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t="shared" ref="L4:L10" ca="1" si="2">P4/N4-1</f>
        <v>#NAME?</v>
      </c>
      <c r="M4" s="44" t="e">
        <f ca="1">G4/F4-1</f>
        <v>#NAME?</v>
      </c>
      <c r="N4" s="43" t="e">
        <f ca="1">$K$46</f>
        <v>#NAME?</v>
      </c>
      <c r="O4" s="43">
        <f>E4*F4</f>
        <v>34755</v>
      </c>
      <c r="P4" s="43" t="e">
        <f ca="1">E4*G4*$I$1</f>
        <v>#NAME?</v>
      </c>
      <c r="Q4" s="43" t="e">
        <f t="shared" ref="Q4:Q13" ca="1" si="3">P4/$I$1</f>
        <v>#NAME?</v>
      </c>
      <c r="R4" s="142" t="e">
        <f t="shared" ref="R4:S13" ca="1" si="4">P4-N4</f>
        <v>#NAME?</v>
      </c>
      <c r="S4" s="142" t="e">
        <f t="shared" ca="1" si="4"/>
        <v>#NAME?</v>
      </c>
      <c r="T4" s="731" t="e">
        <f ca="1">_xll.BDP($C4,"EQY_DVD_YLD_EST")</f>
        <v>#NAME?</v>
      </c>
      <c r="U4" s="732" t="e">
        <f t="shared" ref="U4:U11" ca="1" si="5">Q4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 t="s">
        <v>781</v>
      </c>
      <c r="B5" s="46" t="s">
        <v>205</v>
      </c>
      <c r="C5" s="103" t="s">
        <v>204</v>
      </c>
      <c r="D5" s="44" t="e">
        <f t="shared" ca="1" si="0"/>
        <v>#NAME?</v>
      </c>
      <c r="E5" s="43">
        <f>$F$49</f>
        <v>14000</v>
      </c>
      <c r="F5" s="38">
        <f>$H$49</f>
        <v>3.57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t="shared" ca="1" si="2"/>
        <v>#NAME?</v>
      </c>
      <c r="M5" s="44" t="e">
        <f ca="1">G5/F5-1</f>
        <v>#NAME?</v>
      </c>
      <c r="N5" s="43" t="e">
        <f ca="1">$K$49</f>
        <v>#NAME?</v>
      </c>
      <c r="O5" s="43">
        <f>E5*F5</f>
        <v>49980</v>
      </c>
      <c r="P5" s="43" t="e">
        <f ca="1">E5*G5*$I$1</f>
        <v>#NAME?</v>
      </c>
      <c r="Q5" s="43" t="e">
        <f t="shared" ca="1" si="3"/>
        <v>#NAME?</v>
      </c>
      <c r="R5" s="142" t="e">
        <f t="shared" ca="1" si="4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t="shared" ca="1" si="5"/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 t="s">
        <v>781</v>
      </c>
      <c r="B6" s="46" t="s">
        <v>833</v>
      </c>
      <c r="C6" s="103" t="s">
        <v>819</v>
      </c>
      <c r="D6" s="44" t="e">
        <f t="shared" ca="1" si="0"/>
        <v>#NAME?</v>
      </c>
      <c r="E6" s="43">
        <f>$F$69</f>
        <v>400</v>
      </c>
      <c r="F6" s="38">
        <f>$H$69</f>
        <v>74.31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t="shared" ca="1" si="2"/>
        <v>#NAME?</v>
      </c>
      <c r="M6" s="44" t="e">
        <f ca="1">G6/F6-1</f>
        <v>#NAME?</v>
      </c>
      <c r="N6" s="43" t="e">
        <f ca="1">$K$69</f>
        <v>#NAME?</v>
      </c>
      <c r="O6" s="43">
        <f>E6*F6</f>
        <v>29724</v>
      </c>
      <c r="P6" s="43" t="e">
        <f ca="1">E6*G6*$I$1</f>
        <v>#NAME?</v>
      </c>
      <c r="Q6" s="43" t="e">
        <f t="shared" ca="1" si="3"/>
        <v>#NAME?</v>
      </c>
      <c r="R6" s="142" t="e">
        <f t="shared" ca="1" si="4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t="shared" ca="1" si="5"/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 t="s">
        <v>781</v>
      </c>
      <c r="B7" s="46" t="s">
        <v>725</v>
      </c>
      <c r="C7" s="103" t="s">
        <v>745</v>
      </c>
      <c r="D7" s="44" t="e">
        <f t="shared" ca="1" si="0"/>
        <v>#NAME?</v>
      </c>
      <c r="E7" s="43">
        <f>$F$52</f>
        <v>957</v>
      </c>
      <c r="F7" s="38">
        <f>$H$52</f>
        <v>52.606416000000003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t="shared" ca="1" si="2"/>
        <v>#NAME?</v>
      </c>
      <c r="M7" s="44" t="e">
        <f ca="1">G7/F7-1</f>
        <v>#NAME?</v>
      </c>
      <c r="N7" s="43" t="e">
        <f ca="1">$K$52</f>
        <v>#NAME?</v>
      </c>
      <c r="O7" s="43">
        <f>E7*F7</f>
        <v>50344.340112000005</v>
      </c>
      <c r="P7" s="43" t="e">
        <f ca="1">E7*G7*$I$1</f>
        <v>#NAME?</v>
      </c>
      <c r="Q7" s="43" t="e">
        <f t="shared" ca="1" si="3"/>
        <v>#NAME?</v>
      </c>
      <c r="R7" s="142" t="e">
        <f t="shared" ca="1" si="4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t="shared" ca="1" si="5"/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 t="s">
        <v>781</v>
      </c>
      <c r="B8" s="46" t="s">
        <v>831</v>
      </c>
      <c r="C8" s="103" t="s">
        <v>830</v>
      </c>
      <c r="D8" s="44" t="e">
        <f t="shared" ca="1" si="0"/>
        <v>#NAME?</v>
      </c>
      <c r="E8" s="43">
        <f>$F$66</f>
        <v>95</v>
      </c>
      <c r="F8" s="38">
        <f>$H$66</f>
        <v>198</v>
      </c>
      <c r="G8" s="38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t="shared" ca="1" si="2"/>
        <v>#NAME?</v>
      </c>
      <c r="M8" s="44" t="e">
        <f ca="1">G8/F8-1</f>
        <v>#NAME?</v>
      </c>
      <c r="N8" s="43" t="e">
        <f ca="1">$K$66</f>
        <v>#NAME?</v>
      </c>
      <c r="O8" s="43">
        <f>E8*F8</f>
        <v>18810</v>
      </c>
      <c r="P8" s="43" t="e">
        <f ca="1">E8*G8*$I$1</f>
        <v>#NAME?</v>
      </c>
      <c r="Q8" s="43" t="e">
        <f t="shared" ca="1" si="3"/>
        <v>#NAME?</v>
      </c>
      <c r="R8" s="142" t="e">
        <f t="shared" ca="1" si="4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t="shared" ca="1" si="5"/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 t="s">
        <v>781</v>
      </c>
      <c r="B9" s="46" t="s">
        <v>790</v>
      </c>
      <c r="C9" s="103" t="s">
        <v>194</v>
      </c>
      <c r="D9" s="44" t="e">
        <f t="shared" ca="1" si="0"/>
        <v>#NAME?</v>
      </c>
      <c r="E9" s="43">
        <f>$F$55</f>
        <v>26000</v>
      </c>
      <c r="F9" s="734">
        <f>$H$55</f>
        <v>148.5</v>
      </c>
      <c r="G9" s="734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t="shared" ca="1" si="2"/>
        <v>#NAME?</v>
      </c>
      <c r="M9" s="44" t="e">
        <f ca="1">Q9/O9-1</f>
        <v>#NAME?</v>
      </c>
      <c r="N9" s="43" t="e">
        <f ca="1">$K$55</f>
        <v>#NAME?</v>
      </c>
      <c r="O9" s="43" t="e">
        <f ca="1">$J$55</f>
        <v>#NAME?</v>
      </c>
      <c r="P9" s="43" t="e">
        <f ca="1">E9*G9*$K$1*$I$1/100</f>
        <v>#NAME?</v>
      </c>
      <c r="Q9" s="43" t="e">
        <f t="shared" ca="1" si="3"/>
        <v>#NAME?</v>
      </c>
      <c r="R9" s="135" t="e">
        <f t="shared" ca="1" si="4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t="shared" ca="1" si="5"/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 t="s">
        <v>781</v>
      </c>
      <c r="B10" s="46" t="s">
        <v>196</v>
      </c>
      <c r="C10" s="103" t="s">
        <v>197</v>
      </c>
      <c r="D10" s="44" t="e">
        <f t="shared" ca="1" si="0"/>
        <v>#NAME?</v>
      </c>
      <c r="E10" s="43">
        <f>$F$60</f>
        <v>6991</v>
      </c>
      <c r="F10" s="734" t="e">
        <f ca="1">$H$60</f>
        <v>#NAME?</v>
      </c>
      <c r="G10" s="734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t="shared" ca="1" si="2"/>
        <v>#NAME?</v>
      </c>
      <c r="M10" s="44" t="e">
        <f ca="1">Q10/O10-1</f>
        <v>#NAME?</v>
      </c>
      <c r="N10" s="43" t="e">
        <f ca="1">$K$60</f>
        <v>#NAME?</v>
      </c>
      <c r="O10" s="43" t="e">
        <f ca="1">$J$60</f>
        <v>#NAME?</v>
      </c>
      <c r="P10" s="43" t="e">
        <f ca="1">E10*G10*$K$1*$I$1/100</f>
        <v>#NAME?</v>
      </c>
      <c r="Q10" s="43" t="e">
        <f t="shared" ca="1" si="3"/>
        <v>#NAME?</v>
      </c>
      <c r="R10" s="135" t="e">
        <f t="shared" ca="1" si="4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t="shared" ca="1" si="5"/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 t="s">
        <v>781</v>
      </c>
      <c r="B11" s="46" t="s">
        <v>333</v>
      </c>
      <c r="C11" s="103" t="s">
        <v>332</v>
      </c>
      <c r="D11" s="44" t="e">
        <f t="shared" ca="1" si="0"/>
        <v>#NAME?</v>
      </c>
      <c r="E11" s="43">
        <f>$F$63</f>
        <v>13120</v>
      </c>
      <c r="F11" s="38">
        <f>$H$63</f>
        <v>219.5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ca="1">Q11/O11-1</f>
        <v>#NAME?</v>
      </c>
      <c r="N11" s="43">
        <f>E11*F11</f>
        <v>2879840</v>
      </c>
      <c r="O11" s="43" t="e">
        <f ca="1">$J$63</f>
        <v>#NAME?</v>
      </c>
      <c r="P11" s="43" t="e">
        <f ca="1">E11*G11</f>
        <v>#NAME?</v>
      </c>
      <c r="Q11" s="43" t="e">
        <f t="shared" ca="1" si="3"/>
        <v>#NAME?</v>
      </c>
      <c r="R11" s="142" t="e">
        <f t="shared" ca="1" si="4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t="shared" ca="1" si="5"/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450" customFormat="1" x14ac:dyDescent="0.2">
      <c r="A12" s="287" t="s">
        <v>781</v>
      </c>
      <c r="B12" s="441" t="e">
        <f ca="1">_xll.BDP(C12,"SECURITY_NAME")</f>
        <v>#NAME?</v>
      </c>
      <c r="C12" s="440" t="s">
        <v>697</v>
      </c>
      <c r="D12" s="442" t="e">
        <f t="shared" ca="1" si="0"/>
        <v>#NAME?</v>
      </c>
      <c r="E12" s="443">
        <f>$F$39</f>
        <v>1000000</v>
      </c>
      <c r="F12" s="444">
        <f>$H$39</f>
        <v>90.603999999999999</v>
      </c>
      <c r="G12" s="444" t="e">
        <f ca="1">_xll.BDP(C12,"PX_MID")</f>
        <v>#NAME?</v>
      </c>
      <c r="H12" s="444"/>
      <c r="I12" s="444"/>
      <c r="J12" s="444"/>
      <c r="K12" s="445" t="e">
        <f ca="1">_xll.BDP($C12,"CRNCY")</f>
        <v>#NAME?</v>
      </c>
      <c r="L12" s="442" t="e">
        <f ca="1">P12/N12-1</f>
        <v>#NAME?</v>
      </c>
      <c r="M12" s="442" t="e">
        <f ca="1">G12/F12-1</f>
        <v>#NAME?</v>
      </c>
      <c r="N12" s="443" t="e">
        <f ca="1">$K$39</f>
        <v>#NAME?</v>
      </c>
      <c r="O12" s="443">
        <f>E12*F12/100</f>
        <v>906040</v>
      </c>
      <c r="P12" s="443" t="e">
        <f ca="1">E12*G12/100 *$I$1</f>
        <v>#NAME?</v>
      </c>
      <c r="Q12" s="443" t="e">
        <f t="shared" ca="1" si="3"/>
        <v>#NAME?</v>
      </c>
      <c r="R12" s="446" t="e">
        <f t="shared" ca="1" si="4"/>
        <v>#NAME?</v>
      </c>
      <c r="S12" s="446" t="e">
        <f t="shared" ca="1" si="4"/>
        <v>#NAME?</v>
      </c>
      <c r="T12" s="513" t="e">
        <f ca="1">_xll.BDP(C12,"YLD_YTM_BID")</f>
        <v>#NAME?</v>
      </c>
      <c r="U12" s="451" t="e">
        <f ca="1">E12*_xll.BDP(C12,"PX_GROSS_MID")/100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/>
      <c r="Y12" s="440"/>
    </row>
    <row r="13" spans="1:25" s="440" customFormat="1" x14ac:dyDescent="0.2">
      <c r="A13" s="287" t="s">
        <v>781</v>
      </c>
      <c r="B13" s="441" t="e">
        <f ca="1">_xll.BDP(C13,"SECURITY_NAME")</f>
        <v>#NAME?</v>
      </c>
      <c r="C13" s="440" t="s">
        <v>782</v>
      </c>
      <c r="D13" s="442" t="e">
        <f t="shared" ca="1" si="0"/>
        <v>#NAME?</v>
      </c>
      <c r="E13" s="443">
        <f>$F$35</f>
        <v>150000</v>
      </c>
      <c r="F13" s="444">
        <f>$H$35</f>
        <v>103.75000000000001</v>
      </c>
      <c r="G13" s="444" t="e">
        <f ca="1">_xll.BDP(C13,"PX_MID")</f>
        <v>#NAME?</v>
      </c>
      <c r="H13" s="444"/>
      <c r="I13" s="444"/>
      <c r="J13" s="444"/>
      <c r="K13" s="445" t="e">
        <f ca="1">_xll.BDP($C13,"CRNCY")</f>
        <v>#NAME?</v>
      </c>
      <c r="L13" s="442" t="e">
        <f ca="1">P13/N13-1</f>
        <v>#NAME?</v>
      </c>
      <c r="M13" s="442" t="e">
        <f ca="1">G13/F13-1</f>
        <v>#NAME?</v>
      </c>
      <c r="N13" s="443" t="e">
        <f ca="1">$K$35</f>
        <v>#NAME?</v>
      </c>
      <c r="O13" s="443">
        <f>E13*F13/100</f>
        <v>155625.00000000003</v>
      </c>
      <c r="P13" s="443" t="e">
        <f ca="1">E13*G13/100 *$I$1</f>
        <v>#NAME?</v>
      </c>
      <c r="Q13" s="443" t="e">
        <f t="shared" ca="1" si="3"/>
        <v>#NAME?</v>
      </c>
      <c r="R13" s="446" t="e">
        <f t="shared" ca="1" si="4"/>
        <v>#NAME?</v>
      </c>
      <c r="S13" s="446" t="e">
        <f t="shared" ca="1" si="4"/>
        <v>#NAME?</v>
      </c>
      <c r="T13" s="513" t="e">
        <f ca="1">_xll.BDP(C13,"YLD_YTM_BID")</f>
        <v>#NAME?</v>
      </c>
      <c r="U13" s="451" t="e">
        <f ca="1">E13*_xll.BDP(C13,"PX_GROSS_MID")/100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/>
    </row>
    <row r="14" spans="1:25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66"/>
      <c r="K14" s="177"/>
      <c r="L14" s="179"/>
      <c r="M14" s="179"/>
      <c r="N14" s="178"/>
      <c r="O14" s="470"/>
      <c r="P14" s="64"/>
      <c r="Q14" s="64">
        <v>260000</v>
      </c>
      <c r="R14" s="62"/>
      <c r="S14" s="62"/>
      <c r="T14" s="484"/>
      <c r="U14" s="420">
        <f>Q14</f>
        <v>260000</v>
      </c>
      <c r="V14" s="177"/>
      <c r="W14" s="177"/>
      <c r="X14" s="177"/>
      <c r="Y14" s="177"/>
    </row>
    <row r="15" spans="1:25" ht="13.5" customHeight="1" thickBot="1" x14ac:dyDescent="0.25">
      <c r="B15" s="175"/>
      <c r="C15" s="175"/>
      <c r="D15" s="435" t="e">
        <f ca="1">SUM(D9:D14)</f>
        <v>#NAME?</v>
      </c>
      <c r="E15" s="176"/>
      <c r="F15" s="176"/>
      <c r="G15" s="175"/>
      <c r="H15" s="175"/>
      <c r="I15" s="570" t="e">
        <f ca="1">SUMPRODUCT(D4:D11,I4:I11)</f>
        <v>#NAME?</v>
      </c>
      <c r="J15" s="175"/>
      <c r="K15" s="55"/>
      <c r="L15" s="606" t="e">
        <f ca="1">SUMPRODUCT($D$4:$D$13,L4:L13)</f>
        <v>#NAME?</v>
      </c>
      <c r="M15" s="606" t="e">
        <f ca="1">SUMPRODUCT($D$4:$D$13,M4:M13)</f>
        <v>#NAME?</v>
      </c>
      <c r="N15" s="137" t="e">
        <f ca="1">SUM(N4:N14)</f>
        <v>#NAME?</v>
      </c>
      <c r="O15" s="184" t="e">
        <f ca="1">SUM(O4:O14)</f>
        <v>#NAME?</v>
      </c>
      <c r="P15" s="137" t="e">
        <f ca="1">SUM(P4:P14)</f>
        <v>#NAME?</v>
      </c>
      <c r="Q15" s="137" t="e">
        <f ca="1">SUM(Q4:Q14)</f>
        <v>#NAME?</v>
      </c>
      <c r="R15" s="332" t="e">
        <f ca="1">SUM(R4:R13)</f>
        <v>#NAME?</v>
      </c>
      <c r="S15" s="332" t="e">
        <f ca="1">SUM(S4:S13)</f>
        <v>#NAME?</v>
      </c>
      <c r="T15" s="628" t="e">
        <f ca="1">SUMPRODUCT(D4:D13,T4:T13)</f>
        <v>#NAME?</v>
      </c>
      <c r="U15" s="471" t="e">
        <f ca="1">SUM(U7:U14)</f>
        <v>#NAME?</v>
      </c>
      <c r="V15" s="55"/>
      <c r="W15" s="55"/>
      <c r="X15" s="55"/>
      <c r="Y15" s="55"/>
    </row>
    <row r="16" spans="1:25" ht="13.5" customHeight="1" x14ac:dyDescent="0.2">
      <c r="B16" s="35"/>
      <c r="C16" s="35"/>
      <c r="D16" s="54"/>
      <c r="E16" s="46"/>
      <c r="F16" s="46"/>
      <c r="G16" s="35"/>
      <c r="I16" s="830" t="s">
        <v>804</v>
      </c>
      <c r="J16" s="830"/>
      <c r="K16" s="35"/>
      <c r="L16" s="40"/>
      <c r="M16" s="40"/>
      <c r="N16" s="42"/>
      <c r="O16" s="43"/>
      <c r="P16" s="454"/>
      <c r="S16" s="132"/>
      <c r="T16" s="33"/>
      <c r="U16" s="627" t="s">
        <v>754</v>
      </c>
      <c r="V16" s="132"/>
    </row>
    <row r="17" spans="1:22" x14ac:dyDescent="0.2">
      <c r="E17" s="155"/>
      <c r="I17" s="831"/>
      <c r="J17" s="831"/>
      <c r="K17" s="30"/>
      <c r="L17" s="148"/>
      <c r="M17" s="35"/>
      <c r="N17" s="34"/>
      <c r="O17" s="34"/>
      <c r="P17" s="148"/>
      <c r="Q17" s="49"/>
      <c r="R17" s="562"/>
    </row>
    <row r="18" spans="1:22" x14ac:dyDescent="0.2">
      <c r="B18" s="46">
        <v>2016</v>
      </c>
      <c r="C18" s="118"/>
      <c r="D18" s="73"/>
      <c r="E18" s="43"/>
      <c r="F18" s="43"/>
      <c r="G18" s="43"/>
      <c r="H18" s="47"/>
      <c r="I18" s="43"/>
      <c r="J18" s="45"/>
      <c r="K18" s="38"/>
      <c r="L18" s="38"/>
      <c r="M18" s="44"/>
      <c r="N18" s="130"/>
      <c r="O18" s="106"/>
      <c r="P18" s="106"/>
      <c r="Q18" s="14"/>
      <c r="R18" s="75"/>
      <c r="T18" s="32" t="s">
        <v>834</v>
      </c>
    </row>
    <row r="19" spans="1:22" ht="51" x14ac:dyDescent="0.2">
      <c r="B19" s="51" t="s">
        <v>105</v>
      </c>
      <c r="C19" s="50" t="s">
        <v>104</v>
      </c>
      <c r="D19" s="50" t="s">
        <v>174</v>
      </c>
      <c r="E19" s="50" t="s">
        <v>173</v>
      </c>
      <c r="F19" s="50" t="s">
        <v>175</v>
      </c>
      <c r="G19" s="50" t="s">
        <v>172</v>
      </c>
      <c r="H19" s="50" t="s">
        <v>103</v>
      </c>
      <c r="I19" s="50" t="s">
        <v>102</v>
      </c>
      <c r="J19" s="50" t="s">
        <v>101</v>
      </c>
      <c r="K19" s="50" t="s">
        <v>100</v>
      </c>
      <c r="L19" s="50" t="s">
        <v>99</v>
      </c>
      <c r="M19" s="50" t="s">
        <v>98</v>
      </c>
      <c r="N19" s="50" t="s">
        <v>280</v>
      </c>
      <c r="O19" s="50" t="s">
        <v>97</v>
      </c>
      <c r="P19" s="50" t="s">
        <v>279</v>
      </c>
      <c r="Q19" s="50" t="s">
        <v>277</v>
      </c>
      <c r="R19" s="50" t="s">
        <v>278</v>
      </c>
    </row>
    <row r="20" spans="1:22" s="9" customFormat="1" x14ac:dyDescent="0.2">
      <c r="B20" s="46" t="s">
        <v>183</v>
      </c>
      <c r="C20" s="41" t="s">
        <v>182</v>
      </c>
      <c r="D20" s="73" t="s">
        <v>51</v>
      </c>
      <c r="E20" s="43" t="e">
        <f ca="1">F20*_xll.BDP(C20,"PX_LAST")</f>
        <v>#NAME?</v>
      </c>
      <c r="F20" s="43">
        <v>51800</v>
      </c>
      <c r="G20" s="104">
        <v>51800</v>
      </c>
      <c r="H20" s="47">
        <f>G20/F20</f>
        <v>1</v>
      </c>
      <c r="I20" s="43">
        <f>G20*K20</f>
        <v>1721313.9999999998</v>
      </c>
      <c r="J20" s="45">
        <f>G20*L20</f>
        <v>1675761.08</v>
      </c>
      <c r="K20" s="38">
        <f>40.15-6.92</f>
        <v>33.229999999999997</v>
      </c>
      <c r="L20" s="38">
        <v>32.3506</v>
      </c>
      <c r="M20" s="44">
        <f>L20/K20-1</f>
        <v>-2.6464038519410038E-2</v>
      </c>
      <c r="N20" s="43">
        <f>J20-I20</f>
        <v>-45552.919999999693</v>
      </c>
      <c r="O20" s="106" t="e">
        <f ca="1">_xll.BDP($C20,"CRNCY")</f>
        <v>#NAME?</v>
      </c>
      <c r="P20" s="43" t="e">
        <f ca="1">N20/R20</f>
        <v>#NAME?</v>
      </c>
      <c r="Q20" s="14">
        <v>42718</v>
      </c>
      <c r="R20" s="22" t="e">
        <f ca="1">_xll.BDH("RUB curncy","PX_LAST",$Q20)</f>
        <v>#NAME?</v>
      </c>
      <c r="S20" s="145" t="e">
        <f t="shared" ref="S20" ca="1" si="6">J20/R20</f>
        <v>#NAME?</v>
      </c>
    </row>
    <row r="21" spans="1:22" x14ac:dyDescent="0.2">
      <c r="B21" s="35"/>
      <c r="C21" s="35"/>
      <c r="D21" s="40"/>
      <c r="G21" s="35"/>
      <c r="H21" s="35"/>
      <c r="I21" s="35"/>
      <c r="J21" s="35"/>
      <c r="K21" s="35"/>
      <c r="L21" s="46"/>
      <c r="N21" s="40"/>
      <c r="O21" s="35" t="s">
        <v>94</v>
      </c>
      <c r="P21" s="355" t="e">
        <f ca="1">SUM(P20)</f>
        <v>#NAME?</v>
      </c>
    </row>
    <row r="22" spans="1:22" x14ac:dyDescent="0.2">
      <c r="H22" s="105"/>
      <c r="I22" s="70"/>
      <c r="J22" s="151"/>
      <c r="K22" s="35"/>
      <c r="L22" s="148"/>
      <c r="M22" s="34"/>
      <c r="N22" s="30"/>
      <c r="P22" s="30"/>
    </row>
    <row r="23" spans="1:22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1:22" ht="13.5" thickBot="1" x14ac:dyDescent="0.25">
      <c r="C24" s="30"/>
      <c r="D24" s="30"/>
      <c r="G24" s="30"/>
      <c r="H24" s="151"/>
      <c r="I24" s="30"/>
      <c r="J24" s="151"/>
      <c r="K24" s="30"/>
    </row>
    <row r="25" spans="1:22" ht="15" x14ac:dyDescent="0.35">
      <c r="B25" s="26"/>
      <c r="C25" s="26"/>
      <c r="D25" s="26"/>
      <c r="E25" s="26"/>
      <c r="F25" s="26"/>
      <c r="G25" s="26"/>
      <c r="H25" s="28" t="s">
        <v>92</v>
      </c>
      <c r="I25" s="27" t="s">
        <v>91</v>
      </c>
      <c r="J25" s="27" t="s">
        <v>90</v>
      </c>
      <c r="K25" s="27"/>
      <c r="L25" s="27"/>
      <c r="M25" s="26"/>
      <c r="N25" s="26"/>
      <c r="Q25" s="174"/>
    </row>
    <row r="26" spans="1:22" ht="15" x14ac:dyDescent="0.35">
      <c r="B26" s="23" t="s">
        <v>89</v>
      </c>
      <c r="C26" s="23" t="s">
        <v>88</v>
      </c>
      <c r="D26" s="23" t="s">
        <v>87</v>
      </c>
      <c r="E26" s="23" t="s">
        <v>86</v>
      </c>
      <c r="F26" s="23" t="s">
        <v>85</v>
      </c>
      <c r="G26" s="23" t="s">
        <v>84</v>
      </c>
      <c r="H26" s="25" t="s">
        <v>83</v>
      </c>
      <c r="I26" s="24" t="s">
        <v>83</v>
      </c>
      <c r="J26" s="24" t="s">
        <v>75</v>
      </c>
      <c r="K26" s="24" t="s">
        <v>73</v>
      </c>
      <c r="L26" s="24" t="s">
        <v>82</v>
      </c>
      <c r="M26" s="23" t="s">
        <v>81</v>
      </c>
      <c r="N26" s="23" t="s">
        <v>80</v>
      </c>
    </row>
    <row r="28" spans="1:22" s="273" customFormat="1" ht="13.5" customHeight="1" x14ac:dyDescent="0.2">
      <c r="A28" s="49"/>
      <c r="B28" s="287" t="s">
        <v>781</v>
      </c>
      <c r="C28" s="286" t="s">
        <v>439</v>
      </c>
      <c r="D28" s="290" t="e">
        <f ca="1">_xll.BDP(C28,"SECURITY_NAME")</f>
        <v>#NAME?</v>
      </c>
      <c r="E28" s="284" t="s">
        <v>50</v>
      </c>
      <c r="F28" s="285">
        <v>500000</v>
      </c>
      <c r="G28" s="284" t="e">
        <f ca="1">_xll.BDP(C28,"CRNCY")</f>
        <v>#NAME?</v>
      </c>
      <c r="H28" s="281">
        <v>94.25</v>
      </c>
      <c r="I28" s="282">
        <f>F28*H28/100</f>
        <v>471250</v>
      </c>
      <c r="J28" s="283">
        <f>I28</f>
        <v>471250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41572</v>
      </c>
      <c r="O28" s="49"/>
      <c r="P28" s="49"/>
      <c r="Q28" s="49"/>
      <c r="R28" s="49"/>
      <c r="S28" s="49"/>
      <c r="T28" s="49"/>
      <c r="U28" s="49"/>
      <c r="V28" s="49"/>
    </row>
    <row r="29" spans="1:22" s="273" customFormat="1" x14ac:dyDescent="0.2">
      <c r="A29" s="49"/>
      <c r="B29" s="279"/>
      <c r="C29" s="279"/>
      <c r="D29" s="290"/>
      <c r="E29" s="278"/>
      <c r="F29" s="277">
        <f>SUM(F28:F28)</f>
        <v>500000</v>
      </c>
      <c r="G29" s="278"/>
      <c r="H29" s="276">
        <f>J29/F29*100</f>
        <v>94.25</v>
      </c>
      <c r="I29" s="277">
        <f>SUM(I28:I28)</f>
        <v>471250</v>
      </c>
      <c r="J29" s="277">
        <f>SUM(J28:J28)</f>
        <v>471250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</row>
    <row r="30" spans="1:22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</row>
    <row r="31" spans="1:22" s="273" customFormat="1" ht="13.5" customHeight="1" x14ac:dyDescent="0.2">
      <c r="A31" s="49"/>
      <c r="B31" s="287" t="s">
        <v>781</v>
      </c>
      <c r="C31" s="286" t="s">
        <v>763</v>
      </c>
      <c r="D31" s="290" t="e">
        <f ca="1">_xll.BDP(C31,"SECURITY_NAME")</f>
        <v>#NAME?</v>
      </c>
      <c r="E31" s="284" t="s">
        <v>50</v>
      </c>
      <c r="F31" s="285">
        <v>540000</v>
      </c>
      <c r="G31" s="284" t="e">
        <f ca="1">_xll.BDP(C31,"CRNCY")</f>
        <v>#NAME?</v>
      </c>
      <c r="H31" s="281">
        <v>99.1</v>
      </c>
      <c r="I31" s="282">
        <f>F31*H31/100</f>
        <v>535140</v>
      </c>
      <c r="J31" s="283">
        <f>I31</f>
        <v>535140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41740</v>
      </c>
      <c r="O31" s="49"/>
      <c r="P31" s="49"/>
      <c r="Q31" s="49"/>
      <c r="R31" s="49"/>
      <c r="S31" s="49"/>
      <c r="T31" s="49"/>
      <c r="U31" s="49"/>
      <c r="V31" s="49"/>
    </row>
    <row r="32" spans="1:22" s="273" customFormat="1" x14ac:dyDescent="0.2">
      <c r="A32" s="49"/>
      <c r="B32" s="279"/>
      <c r="C32" s="279"/>
      <c r="D32" s="278"/>
      <c r="E32" s="278"/>
      <c r="F32" s="277">
        <f>SUM(F31:F31)</f>
        <v>540000</v>
      </c>
      <c r="G32" s="278"/>
      <c r="H32" s="276">
        <f>J32/F32*100</f>
        <v>99.1</v>
      </c>
      <c r="I32" s="277">
        <f>SUM(I31:I31)</f>
        <v>535140</v>
      </c>
      <c r="J32" s="277">
        <f>SUM(J31:J31)</f>
        <v>535140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</row>
    <row r="33" spans="1:22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  <c r="O33" s="49"/>
      <c r="P33" s="49"/>
      <c r="Q33" s="49"/>
      <c r="R33" s="49"/>
      <c r="S33" s="49"/>
      <c r="T33" s="49"/>
      <c r="U33" s="49"/>
      <c r="V33" s="49"/>
    </row>
    <row r="34" spans="1:22" s="273" customFormat="1" ht="13.5" customHeight="1" x14ac:dyDescent="0.2">
      <c r="A34" s="49"/>
      <c r="B34" s="287" t="s">
        <v>781</v>
      </c>
      <c r="C34" s="286" t="s">
        <v>783</v>
      </c>
      <c r="D34" s="290" t="e">
        <f ca="1">_xll.BDP(C34,"SECURITY_NAME")</f>
        <v>#NAME?</v>
      </c>
      <c r="E34" s="284" t="s">
        <v>50</v>
      </c>
      <c r="F34" s="285">
        <v>150000</v>
      </c>
      <c r="G34" s="284" t="e">
        <f ca="1">_xll.BDP(C34,"CRNCY")</f>
        <v>#NAME?</v>
      </c>
      <c r="H34" s="281">
        <v>103.75</v>
      </c>
      <c r="I34" s="282">
        <f>F34*H34/100</f>
        <v>155625</v>
      </c>
      <c r="J34" s="283">
        <f>I34</f>
        <v>155625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42600</v>
      </c>
      <c r="O34" s="49"/>
      <c r="P34" s="49"/>
      <c r="Q34" s="49"/>
      <c r="R34" s="49"/>
      <c r="S34" s="49"/>
      <c r="T34" s="49"/>
      <c r="U34" s="49"/>
      <c r="V34" s="49"/>
    </row>
    <row r="35" spans="1:22" s="273" customFormat="1" x14ac:dyDescent="0.2">
      <c r="A35" s="49"/>
      <c r="B35" s="279"/>
      <c r="C35" s="279"/>
      <c r="D35" s="278"/>
      <c r="E35" s="278"/>
      <c r="F35" s="277">
        <f>SUM(F34:F34)</f>
        <v>150000</v>
      </c>
      <c r="G35" s="278"/>
      <c r="H35" s="276">
        <f>J35/F35*100</f>
        <v>103.75000000000001</v>
      </c>
      <c r="I35" s="277">
        <f>SUM(I34:I34)</f>
        <v>155625</v>
      </c>
      <c r="J35" s="277">
        <f>SUM(J34:J34)</f>
        <v>155625</v>
      </c>
      <c r="K35" s="277" t="e">
        <f ca="1">SUM(K34:K34)</f>
        <v>#NAME?</v>
      </c>
      <c r="L35" s="276"/>
      <c r="M35" s="275"/>
      <c r="N35" s="274"/>
      <c r="O35" s="49"/>
      <c r="P35" s="49"/>
      <c r="Q35" s="49"/>
      <c r="R35" s="49"/>
      <c r="S35" s="49"/>
      <c r="T35" s="49"/>
      <c r="U35" s="49"/>
      <c r="V35" s="49"/>
    </row>
    <row r="36" spans="1:22" x14ac:dyDescent="0.2">
      <c r="A36" s="49"/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1:22" x14ac:dyDescent="0.2">
      <c r="A37" s="49"/>
      <c r="B37" s="287" t="s">
        <v>781</v>
      </c>
      <c r="C37" s="286" t="s">
        <v>697</v>
      </c>
      <c r="D37" s="290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42557</v>
      </c>
    </row>
    <row r="38" spans="1:22" x14ac:dyDescent="0.2">
      <c r="A38" s="49"/>
      <c r="B38" s="287" t="s">
        <v>781</v>
      </c>
      <c r="C38" s="286" t="s">
        <v>697</v>
      </c>
      <c r="D38" s="290" t="e">
        <f ca="1">_xll.BDP(C38,"SECURITY_NAME")</f>
        <v>#NAME?</v>
      </c>
      <c r="E38" s="284" t="s">
        <v>50</v>
      </c>
      <c r="F38" s="285">
        <v>600000</v>
      </c>
      <c r="G38" s="284" t="e">
        <f ca="1">_xll.BDP(C38,"CRNCY")</f>
        <v>#NAME?</v>
      </c>
      <c r="H38" s="281">
        <v>90.34</v>
      </c>
      <c r="I38" s="282">
        <f>F38*H38/100</f>
        <v>542040</v>
      </c>
      <c r="J38" s="283">
        <f>I38</f>
        <v>542040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42489</v>
      </c>
    </row>
    <row r="39" spans="1:22" x14ac:dyDescent="0.2">
      <c r="B39" s="279"/>
      <c r="C39" s="279"/>
      <c r="D39" s="278"/>
      <c r="E39" s="278"/>
      <c r="F39" s="277">
        <f>SUM(F37:F38)</f>
        <v>1000000</v>
      </c>
      <c r="G39" s="278"/>
      <c r="H39" s="276">
        <f>J39/F39*100</f>
        <v>90.603999999999999</v>
      </c>
      <c r="I39" s="277">
        <f>SUM(I37:I38)</f>
        <v>906040</v>
      </c>
      <c r="J39" s="277">
        <f>SUM(J37:J38)</f>
        <v>906040</v>
      </c>
      <c r="K39" s="277" t="e">
        <f ca="1">SUM(K37:K38)</f>
        <v>#NAME?</v>
      </c>
      <c r="L39" s="276"/>
      <c r="M39" s="275"/>
      <c r="N39" s="274"/>
    </row>
    <row r="40" spans="1:22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22" x14ac:dyDescent="0.2">
      <c r="B41" s="287" t="s">
        <v>781</v>
      </c>
      <c r="C41" s="286" t="s">
        <v>764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103</v>
      </c>
      <c r="I41" s="282">
        <f>F41*H41/100</f>
        <v>206000</v>
      </c>
      <c r="J41" s="283">
        <f>I41</f>
        <v>206000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42030</v>
      </c>
    </row>
    <row r="42" spans="1:22" x14ac:dyDescent="0.2">
      <c r="B42" s="287" t="s">
        <v>781</v>
      </c>
      <c r="C42" s="286" t="s">
        <v>764</v>
      </c>
      <c r="D42" s="290" t="e">
        <f ca="1">_xll.BDP(C42,"SECURITY_NAME")</f>
        <v>#NAME?</v>
      </c>
      <c r="E42" s="284" t="s">
        <v>50</v>
      </c>
      <c r="F42" s="285">
        <v>350000</v>
      </c>
      <c r="G42" s="284" t="e">
        <f ca="1">_xll.BDP(C42,"CRNCY")</f>
        <v>#NAME?</v>
      </c>
      <c r="H42" s="281">
        <v>142.25</v>
      </c>
      <c r="I42" s="282">
        <f>F42*H42/100</f>
        <v>497875</v>
      </c>
      <c r="J42" s="283">
        <f>I42</f>
        <v>497875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41261</v>
      </c>
    </row>
    <row r="43" spans="1:22" x14ac:dyDescent="0.2">
      <c r="B43" s="279"/>
      <c r="C43" s="286"/>
      <c r="D43" s="278"/>
      <c r="E43" s="278"/>
      <c r="F43" s="277">
        <f>SUM(F41:F42)</f>
        <v>550000</v>
      </c>
      <c r="G43" s="278"/>
      <c r="H43" s="276">
        <f>J43/F43*100</f>
        <v>127.97727272727273</v>
      </c>
      <c r="I43" s="277">
        <f>SUM(I41:I42)</f>
        <v>703875</v>
      </c>
      <c r="J43" s="277">
        <f>SUM(J41:J42)</f>
        <v>703875</v>
      </c>
      <c r="K43" s="277" t="e">
        <f ca="1">SUM(K41:K42)</f>
        <v>#NAME?</v>
      </c>
      <c r="L43" s="276"/>
      <c r="M43" s="275"/>
      <c r="N43" s="274"/>
    </row>
    <row r="44" spans="1:22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1:22" x14ac:dyDescent="0.2">
      <c r="B45" s="287" t="s">
        <v>781</v>
      </c>
      <c r="C45" s="287" t="s">
        <v>66</v>
      </c>
      <c r="D45" s="284" t="e">
        <f ca="1">_xll.BDP(C45,"SECURITY_NAME")</f>
        <v>#NAME?</v>
      </c>
      <c r="E45" s="284" t="s">
        <v>50</v>
      </c>
      <c r="F45" s="285">
        <v>4634</v>
      </c>
      <c r="G45" s="284" t="e">
        <f ca="1">_xll.BDP(C45,"CRNCY")</f>
        <v>#NAME?</v>
      </c>
      <c r="H45" s="281">
        <v>7.5</v>
      </c>
      <c r="I45" s="282">
        <f>F45*H45</f>
        <v>34755</v>
      </c>
      <c r="J45" s="283">
        <f>I45</f>
        <v>34755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42734</v>
      </c>
    </row>
    <row r="46" spans="1:22" x14ac:dyDescent="0.2">
      <c r="B46" s="279"/>
      <c r="C46" s="279"/>
      <c r="D46" s="278"/>
      <c r="E46" s="278"/>
      <c r="F46" s="277">
        <f>SUM(F45)</f>
        <v>4634</v>
      </c>
      <c r="G46" s="278"/>
      <c r="H46" s="276">
        <f>I46/F46</f>
        <v>7.5</v>
      </c>
      <c r="I46" s="277">
        <f>SUM(I45)</f>
        <v>34755</v>
      </c>
      <c r="J46" s="277">
        <f>SUM(J45)</f>
        <v>34755</v>
      </c>
      <c r="K46" s="277" t="e">
        <f ca="1">SUM(K45)</f>
        <v>#NAME?</v>
      </c>
      <c r="L46" s="276"/>
      <c r="M46" s="275"/>
      <c r="N46" s="274"/>
    </row>
    <row r="47" spans="1:22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1:22" x14ac:dyDescent="0.2">
      <c r="B48" s="287" t="s">
        <v>781</v>
      </c>
      <c r="C48" s="287" t="s">
        <v>42</v>
      </c>
      <c r="D48" s="284" t="e">
        <f ca="1">_xll.BDP(C48,"SECURITY_NAME")</f>
        <v>#NAME?</v>
      </c>
      <c r="E48" s="284" t="s">
        <v>50</v>
      </c>
      <c r="F48" s="285">
        <v>14000</v>
      </c>
      <c r="G48" s="284" t="e">
        <f ca="1">_xll.BDP(C48,"CRNCY")</f>
        <v>#NAME?</v>
      </c>
      <c r="H48" s="281">
        <v>3.57</v>
      </c>
      <c r="I48" s="282">
        <f>F48*H48</f>
        <v>49980</v>
      </c>
      <c r="J48" s="283">
        <f>I48</f>
        <v>49980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42640</v>
      </c>
    </row>
    <row r="49" spans="2:14" x14ac:dyDescent="0.2">
      <c r="B49" s="279"/>
      <c r="C49" s="279"/>
      <c r="D49" s="278"/>
      <c r="E49" s="278"/>
      <c r="F49" s="277">
        <f>SUM(F48)</f>
        <v>14000</v>
      </c>
      <c r="G49" s="278"/>
      <c r="H49" s="276">
        <f>I49/F49</f>
        <v>3.57</v>
      </c>
      <c r="I49" s="277">
        <f>SUM(I48)</f>
        <v>49980</v>
      </c>
      <c r="J49" s="277">
        <f>SUM(J48)</f>
        <v>49980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781</v>
      </c>
      <c r="C51" s="287" t="s">
        <v>15</v>
      </c>
      <c r="D51" s="284" t="e">
        <f ca="1">_xll.BDP(C51,"SECURITY_NAME")</f>
        <v>#NAME?</v>
      </c>
      <c r="E51" s="284" t="s">
        <v>50</v>
      </c>
      <c r="F51" s="285">
        <v>957</v>
      </c>
      <c r="G51" s="284" t="e">
        <f ca="1">_xll.BDP(C51,"CRNCY")</f>
        <v>#NAME?</v>
      </c>
      <c r="H51" s="281">
        <v>52.606416000000003</v>
      </c>
      <c r="I51" s="282">
        <f>F51*H51</f>
        <v>50344.340112000005</v>
      </c>
      <c r="J51" s="283">
        <f>I51</f>
        <v>50344.340112000005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42640</v>
      </c>
    </row>
    <row r="52" spans="2:14" x14ac:dyDescent="0.2">
      <c r="B52" s="279"/>
      <c r="C52" s="279"/>
      <c r="D52" s="278"/>
      <c r="E52" s="278"/>
      <c r="F52" s="277">
        <f>SUM(F51)</f>
        <v>957</v>
      </c>
      <c r="G52" s="278"/>
      <c r="H52" s="276">
        <f>I52/F52</f>
        <v>52.606416000000003</v>
      </c>
      <c r="I52" s="277">
        <f>SUM(I51)</f>
        <v>50344.340112000005</v>
      </c>
      <c r="J52" s="277">
        <f>SUM(J51)</f>
        <v>50344.340112000005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781</v>
      </c>
      <c r="C54" s="287" t="s">
        <v>134</v>
      </c>
      <c r="D54" s="284" t="e">
        <f ca="1">_xll.BDP(C54,"SECURITY_NAME")</f>
        <v>#NAME?</v>
      </c>
      <c r="E54" s="284" t="s">
        <v>50</v>
      </c>
      <c r="F54" s="285">
        <v>26000</v>
      </c>
      <c r="G54" s="284" t="e">
        <f ca="1">_xll.BDP(C54,"CRNCY")</f>
        <v>#NAME?</v>
      </c>
      <c r="H54" s="281">
        <v>148.5</v>
      </c>
      <c r="I54" s="282">
        <f>F54*H54/100</f>
        <v>38610</v>
      </c>
      <c r="J54" s="283" t="e">
        <f ca="1">I54*L54</f>
        <v>#NAME?</v>
      </c>
      <c r="K54" s="282" t="e">
        <f ca="1">J54/M54</f>
        <v>#NAME?</v>
      </c>
      <c r="L54" s="281" t="e">
        <f ca="1">_xll.BDH("GBP curncy","PX_LAST",$N54)</f>
        <v>#NAME?</v>
      </c>
      <c r="M54" s="280" t="e">
        <f ca="1">1/_xll.BDH("RUB curncy","PX_LAST",$N54)</f>
        <v>#NAME?</v>
      </c>
      <c r="N54" s="274">
        <v>42641</v>
      </c>
    </row>
    <row r="55" spans="2:14" x14ac:dyDescent="0.2">
      <c r="B55" s="279"/>
      <c r="C55" s="279"/>
      <c r="D55" s="278"/>
      <c r="E55" s="278"/>
      <c r="F55" s="277">
        <f>SUM(F54)</f>
        <v>26000</v>
      </c>
      <c r="G55" s="278"/>
      <c r="H55" s="276">
        <f>I55/F55*100</f>
        <v>148.5</v>
      </c>
      <c r="I55" s="277">
        <f>SUM(I54)</f>
        <v>38610</v>
      </c>
      <c r="J55" s="277" t="e">
        <f ca="1">SUM(J54)</f>
        <v>#NAME?</v>
      </c>
      <c r="K55" s="277" t="e">
        <f ca="1">SUM(K54)</f>
        <v>#NAME?</v>
      </c>
      <c r="L55" s="276"/>
      <c r="M55" s="275"/>
      <c r="N55" s="274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287" t="s">
        <v>781</v>
      </c>
      <c r="C57" s="287" t="s">
        <v>71</v>
      </c>
      <c r="D57" s="284" t="e">
        <f ca="1">_xll.BDP(C57,"SECURITY_NAME")</f>
        <v>#NAME?</v>
      </c>
      <c r="E57" s="284" t="s">
        <v>50</v>
      </c>
      <c r="F57" s="285">
        <v>2056</v>
      </c>
      <c r="G57" s="284" t="e">
        <f ca="1">_xll.BDP(C57,"CRNCY")</f>
        <v>#NAME?</v>
      </c>
      <c r="H57" s="281" t="e">
        <f ca="1">_xll.BDH(C57,"PX_LAST",N57)</f>
        <v>#NAME?</v>
      </c>
      <c r="I57" s="282" t="e">
        <f ca="1">F57*H57/100</f>
        <v>#NAME?</v>
      </c>
      <c r="J57" s="283" t="e">
        <f ca="1">I57*L57</f>
        <v>#NAME?</v>
      </c>
      <c r="K57" s="282" t="e">
        <f ca="1">J57/M57</f>
        <v>#NAME?</v>
      </c>
      <c r="L57" s="281" t="e">
        <f ca="1">_xll.BDH("GBP curncy","PX_LAST",$N57)</f>
        <v>#NAME?</v>
      </c>
      <c r="M57" s="280" t="e">
        <f ca="1">1/_xll.BDH("RUB curncy","PX_LAST",$N57)</f>
        <v>#NAME?</v>
      </c>
      <c r="N57" s="274">
        <v>42720</v>
      </c>
    </row>
    <row r="58" spans="2:14" x14ac:dyDescent="0.2">
      <c r="B58" s="287" t="s">
        <v>781</v>
      </c>
      <c r="C58" s="287" t="s">
        <v>71</v>
      </c>
      <c r="D58" s="284" t="e">
        <f ca="1">_xll.BDP(C58,"SECURITY_NAME")</f>
        <v>#NAME?</v>
      </c>
      <c r="E58" s="284" t="s">
        <v>50</v>
      </c>
      <c r="F58" s="285">
        <v>165</v>
      </c>
      <c r="G58" s="284" t="e">
        <f ca="1">_xll.BDP(C58,"CRNCY")</f>
        <v>#NAME?</v>
      </c>
      <c r="H58" s="281" t="e">
        <f ca="1">_xll.BDH(C58,"PX_LAST",N58)</f>
        <v>#NAME?</v>
      </c>
      <c r="I58" s="282" t="e">
        <f ca="1">F58*H58/100</f>
        <v>#NAME?</v>
      </c>
      <c r="J58" s="283" t="e">
        <f ca="1">I58*L58</f>
        <v>#NAME?</v>
      </c>
      <c r="K58" s="282" t="e">
        <f ca="1">J58/M58</f>
        <v>#NAME?</v>
      </c>
      <c r="L58" s="281" t="e">
        <f ca="1">_xll.BDH("GBP curncy","PX_LAST",$N58)</f>
        <v>#NAME?</v>
      </c>
      <c r="M58" s="280" t="e">
        <f ca="1">1/_xll.BDH("RUB curncy","PX_LAST",$N58)</f>
        <v>#NAME?</v>
      </c>
      <c r="N58" s="274">
        <v>42718</v>
      </c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4770</v>
      </c>
      <c r="G59" s="284" t="e">
        <f ca="1">_xll.BDP(C59,"CRNCY")</f>
        <v>#NAME?</v>
      </c>
      <c r="H59" s="281">
        <v>861</v>
      </c>
      <c r="I59" s="282">
        <f>F59*H59/100</f>
        <v>41069.699999999997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42656</v>
      </c>
    </row>
    <row r="60" spans="2:14" x14ac:dyDescent="0.2">
      <c r="B60" s="279"/>
      <c r="C60" s="279"/>
      <c r="D60" s="278"/>
      <c r="E60" s="278"/>
      <c r="F60" s="277">
        <f>SUM(F57:F59)</f>
        <v>6991</v>
      </c>
      <c r="G60" s="278"/>
      <c r="H60" s="276" t="e">
        <f ca="1">I60/F60*100</f>
        <v>#NAME?</v>
      </c>
      <c r="I60" s="277" t="e">
        <f ca="1">SUM(I57:I59)</f>
        <v>#NAME?</v>
      </c>
      <c r="J60" s="277" t="e">
        <f ca="1">SUM(J57:J59)</f>
        <v>#NAME?</v>
      </c>
      <c r="K60" s="277" t="e">
        <f ca="1">SUM(K57:K59)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781</v>
      </c>
      <c r="C62" s="287" t="s">
        <v>334</v>
      </c>
      <c r="D62" s="284" t="e">
        <f ca="1">_xll.BDP(C62,"SECURITY_NAME")</f>
        <v>#NAME?</v>
      </c>
      <c r="E62" s="284" t="s">
        <v>50</v>
      </c>
      <c r="F62" s="285">
        <v>13120</v>
      </c>
      <c r="G62" s="284" t="e">
        <f ca="1">_xll.BDP(C62,"CRNCY")</f>
        <v>#NAME?</v>
      </c>
      <c r="H62" s="281">
        <v>219.5</v>
      </c>
      <c r="I62" s="282">
        <f>F62*H62</f>
        <v>2879840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42660</v>
      </c>
    </row>
    <row r="63" spans="2:14" x14ac:dyDescent="0.2">
      <c r="B63" s="279"/>
      <c r="C63" s="279"/>
      <c r="D63" s="278"/>
      <c r="E63" s="278"/>
      <c r="F63" s="277">
        <f>SUM(F62)</f>
        <v>13120</v>
      </c>
      <c r="G63" s="278"/>
      <c r="H63" s="276">
        <f>I63/F63</f>
        <v>219.5</v>
      </c>
      <c r="I63" s="277">
        <f>SUM(I62)</f>
        <v>2879840</v>
      </c>
      <c r="J63" s="277" t="e">
        <f ca="1">SUM(J62)</f>
        <v>#NAME?</v>
      </c>
      <c r="K63" s="277" t="e">
        <f ca="1">SUM(K62)</f>
        <v>#NAME?</v>
      </c>
      <c r="L63" s="276"/>
      <c r="M63" s="275"/>
      <c r="N63" s="274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287" t="s">
        <v>781</v>
      </c>
      <c r="C65" s="287" t="s">
        <v>829</v>
      </c>
      <c r="D65" s="284" t="e">
        <f ca="1">_xll.BDP(C65,"SECURITY_NAME")</f>
        <v>#NAME?</v>
      </c>
      <c r="E65" s="284" t="s">
        <v>50</v>
      </c>
      <c r="F65" s="285">
        <v>95</v>
      </c>
      <c r="G65" s="284" t="e">
        <f ca="1">_xll.BDP(C65,"CRNCY")</f>
        <v>#NAME?</v>
      </c>
      <c r="H65" s="281">
        <v>198</v>
      </c>
      <c r="I65" s="282">
        <f>F65*H65</f>
        <v>18810</v>
      </c>
      <c r="J65" s="283">
        <f>I65</f>
        <v>18810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42677</v>
      </c>
    </row>
    <row r="66" spans="2:14" x14ac:dyDescent="0.2">
      <c r="B66" s="279"/>
      <c r="C66" s="279"/>
      <c r="D66" s="278"/>
      <c r="E66" s="278"/>
      <c r="F66" s="277">
        <f>SUM(F65)</f>
        <v>95</v>
      </c>
      <c r="G66" s="278"/>
      <c r="H66" s="276">
        <f>I66/F66</f>
        <v>198</v>
      </c>
      <c r="I66" s="277">
        <f>SUM(I65)</f>
        <v>18810</v>
      </c>
      <c r="J66" s="277">
        <f>SUM(J65)</f>
        <v>18810</v>
      </c>
      <c r="K66" s="277" t="e">
        <f ca="1">SUM(K65)</f>
        <v>#NAME?</v>
      </c>
      <c r="L66" s="276"/>
      <c r="M66" s="275"/>
      <c r="N66" s="274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287" t="s">
        <v>781</v>
      </c>
      <c r="C68" s="287" t="s">
        <v>821</v>
      </c>
      <c r="D68" s="284" t="e">
        <f ca="1">_xll.BDP(C68,"SECURITY_NAME")</f>
        <v>#NAME?</v>
      </c>
      <c r="E68" s="284" t="s">
        <v>50</v>
      </c>
      <c r="F68" s="285">
        <v>400</v>
      </c>
      <c r="G68" s="284" t="e">
        <f ca="1">_xll.BDP(C68,"CRNCY")</f>
        <v>#NAME?</v>
      </c>
      <c r="H68" s="281">
        <v>74.31</v>
      </c>
      <c r="I68" s="282">
        <f>F68*H68</f>
        <v>29724</v>
      </c>
      <c r="J68" s="283">
        <f>I68</f>
        <v>29724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42664</v>
      </c>
    </row>
    <row r="69" spans="2:14" x14ac:dyDescent="0.2">
      <c r="B69" s="279"/>
      <c r="C69" s="279"/>
      <c r="D69" s="278"/>
      <c r="E69" s="278"/>
      <c r="F69" s="277">
        <f>SUM(F68)</f>
        <v>400</v>
      </c>
      <c r="G69" s="278"/>
      <c r="H69" s="276">
        <f>I69/F69</f>
        <v>74.31</v>
      </c>
      <c r="I69" s="277">
        <f>SUM(I68)</f>
        <v>29724</v>
      </c>
      <c r="J69" s="277">
        <f>SUM(J68)</f>
        <v>29724</v>
      </c>
      <c r="K69" s="277" t="e">
        <f ca="1">SUM(K68)</f>
        <v>#NAME?</v>
      </c>
      <c r="L69" s="276"/>
      <c r="M69" s="275"/>
      <c r="N69" s="274"/>
    </row>
    <row r="70" spans="2:14" x14ac:dyDescent="0.2">
      <c r="F70" s="79"/>
      <c r="H70" s="80"/>
      <c r="I70" s="79"/>
      <c r="J70" s="79"/>
      <c r="K70" s="79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D73" s="87"/>
      <c r="E73" s="87"/>
      <c r="F73" s="79"/>
      <c r="G73" s="87"/>
      <c r="H73" s="80"/>
      <c r="I73" s="79"/>
      <c r="J73" s="79"/>
      <c r="K73" s="79"/>
      <c r="L73" s="88"/>
      <c r="M73" s="158"/>
      <c r="N73" s="157"/>
    </row>
    <row r="74" spans="2:14" x14ac:dyDescent="0.2">
      <c r="B74" s="160"/>
      <c r="D74" s="87"/>
      <c r="E74" s="87"/>
      <c r="F74" s="79"/>
      <c r="G74" s="87"/>
      <c r="H74" s="80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mergeCells count="1">
    <mergeCell ref="I16:J17"/>
  </mergeCells>
  <conditionalFormatting sqref="E154:E155 E202:E203 E195 E185:E186 E157:E158 E198:E199 E206:E208 D18">
    <cfRule type="containsText" dxfId="11118" priority="548" operator="containsText" text="Buy">
      <formula>NOT(ISERROR(SEARCH("Buy",D18)))</formula>
    </cfRule>
    <cfRule type="containsText" dxfId="11117" priority="549" operator="containsText" text="Sell">
      <formula>NOT(ISERROR(SEARCH("Sell",D18)))</formula>
    </cfRule>
  </conditionalFormatting>
  <conditionalFormatting sqref="E227:E228 E217:E218 E222">
    <cfRule type="containsText" dxfId="11116" priority="546" operator="containsText" text="Buy">
      <formula>NOT(ISERROR(SEARCH("Buy",E217)))</formula>
    </cfRule>
    <cfRule type="containsText" dxfId="11115" priority="547" operator="containsText" text="Sell">
      <formula>NOT(ISERROR(SEARCH("Sell",E217)))</formula>
    </cfRule>
  </conditionalFormatting>
  <conditionalFormatting sqref="E243:E245 E302 E299 E294 E288 E285 E282 E279 E272 E268 E262 E252">
    <cfRule type="containsText" dxfId="11114" priority="544" operator="containsText" text="Buy">
      <formula>NOT(ISERROR(SEARCH("Buy",E243)))</formula>
    </cfRule>
    <cfRule type="containsText" dxfId="11113" priority="545" operator="containsText" text="Sell">
      <formula>NOT(ISERROR(SEARCH("Sell",E243)))</formula>
    </cfRule>
  </conditionalFormatting>
  <conditionalFormatting sqref="E242">
    <cfRule type="containsText" dxfId="11112" priority="542" operator="containsText" text="Buy">
      <formula>NOT(ISERROR(SEARCH("Buy",E242)))</formula>
    </cfRule>
    <cfRule type="containsText" dxfId="11111" priority="543" operator="containsText" text="Sell">
      <formula>NOT(ISERROR(SEARCH("Sell",E242)))</formula>
    </cfRule>
  </conditionalFormatting>
  <conditionalFormatting sqref="E241">
    <cfRule type="containsText" dxfId="11110" priority="540" operator="containsText" text="Buy">
      <formula>NOT(ISERROR(SEARCH("Buy",E241)))</formula>
    </cfRule>
    <cfRule type="containsText" dxfId="11109" priority="541" operator="containsText" text="Sell">
      <formula>NOT(ISERROR(SEARCH("Sell",E241)))</formula>
    </cfRule>
  </conditionalFormatting>
  <conditionalFormatting sqref="E240">
    <cfRule type="containsText" dxfId="11108" priority="538" operator="containsText" text="Buy">
      <formula>NOT(ISERROR(SEARCH("Buy",E240)))</formula>
    </cfRule>
    <cfRule type="containsText" dxfId="11107" priority="539" operator="containsText" text="Sell">
      <formula>NOT(ISERROR(SEARCH("Sell",E240)))</formula>
    </cfRule>
  </conditionalFormatting>
  <conditionalFormatting sqref="E153">
    <cfRule type="containsText" dxfId="11106" priority="536" operator="containsText" text="Buy">
      <formula>NOT(ISERROR(SEARCH("Buy",E153)))</formula>
    </cfRule>
    <cfRule type="containsText" dxfId="11105" priority="537" operator="containsText" text="Sell">
      <formula>NOT(ISERROR(SEARCH("Sell",E153)))</formula>
    </cfRule>
  </conditionalFormatting>
  <conditionalFormatting sqref="E152">
    <cfRule type="containsText" dxfId="11104" priority="534" operator="containsText" text="Buy">
      <formula>NOT(ISERROR(SEARCH("Buy",E152)))</formula>
    </cfRule>
    <cfRule type="containsText" dxfId="11103" priority="535" operator="containsText" text="Sell">
      <formula>NOT(ISERROR(SEARCH("Sell",E152)))</formula>
    </cfRule>
  </conditionalFormatting>
  <conditionalFormatting sqref="E201">
    <cfRule type="containsText" dxfId="11102" priority="532" operator="containsText" text="Buy">
      <formula>NOT(ISERROR(SEARCH("Buy",E201)))</formula>
    </cfRule>
    <cfRule type="containsText" dxfId="11101" priority="533" operator="containsText" text="Sell">
      <formula>NOT(ISERROR(SEARCH("Sell",E201)))</formula>
    </cfRule>
  </conditionalFormatting>
  <conditionalFormatting sqref="E200">
    <cfRule type="containsText" dxfId="11100" priority="530" operator="containsText" text="Buy">
      <formula>NOT(ISERROR(SEARCH("Buy",E200)))</formula>
    </cfRule>
    <cfRule type="containsText" dxfId="11099" priority="531" operator="containsText" text="Sell">
      <formula>NOT(ISERROR(SEARCH("Sell",E200)))</formula>
    </cfRule>
  </conditionalFormatting>
  <conditionalFormatting sqref="E187:E189">
    <cfRule type="containsText" dxfId="11098" priority="528" operator="containsText" text="Buy">
      <formula>NOT(ISERROR(SEARCH("Buy",E187)))</formula>
    </cfRule>
    <cfRule type="containsText" dxfId="11097" priority="529" operator="containsText" text="Sell">
      <formula>NOT(ISERROR(SEARCH("Sell",E187)))</formula>
    </cfRule>
  </conditionalFormatting>
  <conditionalFormatting sqref="E184">
    <cfRule type="containsText" dxfId="11096" priority="526" operator="containsText" text="Buy">
      <formula>NOT(ISERROR(SEARCH("Buy",E184)))</formula>
    </cfRule>
    <cfRule type="containsText" dxfId="11095" priority="527" operator="containsText" text="Sell">
      <formula>NOT(ISERROR(SEARCH("Sell",E184)))</formula>
    </cfRule>
  </conditionalFormatting>
  <conditionalFormatting sqref="E183">
    <cfRule type="containsText" dxfId="11094" priority="524" operator="containsText" text="Buy">
      <formula>NOT(ISERROR(SEARCH("Buy",E183)))</formula>
    </cfRule>
    <cfRule type="containsText" dxfId="11093" priority="525" operator="containsText" text="Sell">
      <formula>NOT(ISERROR(SEARCH("Sell",E183)))</formula>
    </cfRule>
  </conditionalFormatting>
  <conditionalFormatting sqref="E182">
    <cfRule type="containsText" dxfId="11092" priority="522" operator="containsText" text="Buy">
      <formula>NOT(ISERROR(SEARCH("Buy",E182)))</formula>
    </cfRule>
    <cfRule type="containsText" dxfId="11091" priority="523" operator="containsText" text="Sell">
      <formula>NOT(ISERROR(SEARCH("Sell",E182)))</formula>
    </cfRule>
  </conditionalFormatting>
  <conditionalFormatting sqref="E181">
    <cfRule type="containsText" dxfId="11090" priority="520" operator="containsText" text="Buy">
      <formula>NOT(ISERROR(SEARCH("Buy",E181)))</formula>
    </cfRule>
    <cfRule type="containsText" dxfId="11089" priority="521" operator="containsText" text="Sell">
      <formula>NOT(ISERROR(SEARCH("Sell",E181)))</formula>
    </cfRule>
  </conditionalFormatting>
  <conditionalFormatting sqref="E180">
    <cfRule type="containsText" dxfId="11088" priority="518" operator="containsText" text="Buy">
      <formula>NOT(ISERROR(SEARCH("Buy",E180)))</formula>
    </cfRule>
    <cfRule type="containsText" dxfId="11087" priority="519" operator="containsText" text="Sell">
      <formula>NOT(ISERROR(SEARCH("Sell",E180)))</formula>
    </cfRule>
  </conditionalFormatting>
  <conditionalFormatting sqref="E179">
    <cfRule type="containsText" dxfId="11086" priority="516" operator="containsText" text="Buy">
      <formula>NOT(ISERROR(SEARCH("Buy",E179)))</formula>
    </cfRule>
    <cfRule type="containsText" dxfId="11085" priority="517" operator="containsText" text="Sell">
      <formula>NOT(ISERROR(SEARCH("Sell",E179)))</formula>
    </cfRule>
  </conditionalFormatting>
  <conditionalFormatting sqref="E178">
    <cfRule type="containsText" dxfId="11084" priority="514" operator="containsText" text="Buy">
      <formula>NOT(ISERROR(SEARCH("Buy",E178)))</formula>
    </cfRule>
    <cfRule type="containsText" dxfId="11083" priority="515" operator="containsText" text="Sell">
      <formula>NOT(ISERROR(SEARCH("Sell",E178)))</formula>
    </cfRule>
  </conditionalFormatting>
  <conditionalFormatting sqref="E171:E173">
    <cfRule type="containsText" dxfId="11082" priority="512" operator="containsText" text="Buy">
      <formula>NOT(ISERROR(SEARCH("Buy",E171)))</formula>
    </cfRule>
    <cfRule type="containsText" dxfId="11081" priority="513" operator="containsText" text="Sell">
      <formula>NOT(ISERROR(SEARCH("Sell",E171)))</formula>
    </cfRule>
  </conditionalFormatting>
  <conditionalFormatting sqref="E170">
    <cfRule type="containsText" dxfId="11080" priority="510" operator="containsText" text="Buy">
      <formula>NOT(ISERROR(SEARCH("Buy",E170)))</formula>
    </cfRule>
    <cfRule type="containsText" dxfId="11079" priority="511" operator="containsText" text="Sell">
      <formula>NOT(ISERROR(SEARCH("Sell",E170)))</formula>
    </cfRule>
  </conditionalFormatting>
  <conditionalFormatting sqref="E169">
    <cfRule type="containsText" dxfId="11078" priority="508" operator="containsText" text="Buy">
      <formula>NOT(ISERROR(SEARCH("Buy",E169)))</formula>
    </cfRule>
    <cfRule type="containsText" dxfId="11077" priority="509" operator="containsText" text="Sell">
      <formula>NOT(ISERROR(SEARCH("Sell",E169)))</formula>
    </cfRule>
  </conditionalFormatting>
  <conditionalFormatting sqref="E168">
    <cfRule type="containsText" dxfId="11076" priority="506" operator="containsText" text="Buy">
      <formula>NOT(ISERROR(SEARCH("Buy",E168)))</formula>
    </cfRule>
    <cfRule type="containsText" dxfId="11075" priority="507" operator="containsText" text="Sell">
      <formula>NOT(ISERROR(SEARCH("Sell",E168)))</formula>
    </cfRule>
  </conditionalFormatting>
  <conditionalFormatting sqref="E167">
    <cfRule type="containsText" dxfId="11074" priority="504" operator="containsText" text="Buy">
      <formula>NOT(ISERROR(SEARCH("Buy",E167)))</formula>
    </cfRule>
    <cfRule type="containsText" dxfId="11073" priority="505" operator="containsText" text="Sell">
      <formula>NOT(ISERROR(SEARCH("Sell",E167)))</formula>
    </cfRule>
  </conditionalFormatting>
  <conditionalFormatting sqref="E166">
    <cfRule type="containsText" dxfId="11072" priority="502" operator="containsText" text="Buy">
      <formula>NOT(ISERROR(SEARCH("Buy",E166)))</formula>
    </cfRule>
    <cfRule type="containsText" dxfId="11071" priority="503" operator="containsText" text="Sell">
      <formula>NOT(ISERROR(SEARCH("Sell",E166)))</formula>
    </cfRule>
  </conditionalFormatting>
  <conditionalFormatting sqref="E165">
    <cfRule type="containsText" dxfId="11070" priority="500" operator="containsText" text="Buy">
      <formula>NOT(ISERROR(SEARCH("Buy",E165)))</formula>
    </cfRule>
    <cfRule type="containsText" dxfId="11069" priority="501" operator="containsText" text="Sell">
      <formula>NOT(ISERROR(SEARCH("Sell",E165)))</formula>
    </cfRule>
  </conditionalFormatting>
  <conditionalFormatting sqref="E164">
    <cfRule type="containsText" dxfId="11068" priority="498" operator="containsText" text="Buy">
      <formula>NOT(ISERROR(SEARCH("Buy",E164)))</formula>
    </cfRule>
    <cfRule type="containsText" dxfId="11067" priority="499" operator="containsText" text="Sell">
      <formula>NOT(ISERROR(SEARCH("Sell",E164)))</formula>
    </cfRule>
  </conditionalFormatting>
  <conditionalFormatting sqref="E163">
    <cfRule type="containsText" dxfId="11066" priority="496" operator="containsText" text="Buy">
      <formula>NOT(ISERROR(SEARCH("Buy",E163)))</formula>
    </cfRule>
    <cfRule type="containsText" dxfId="11065" priority="497" operator="containsText" text="Sell">
      <formula>NOT(ISERROR(SEARCH("Sell",E163)))</formula>
    </cfRule>
  </conditionalFormatting>
  <conditionalFormatting sqref="E162">
    <cfRule type="containsText" dxfId="11064" priority="494" operator="containsText" text="Buy">
      <formula>NOT(ISERROR(SEARCH("Buy",E162)))</formula>
    </cfRule>
    <cfRule type="containsText" dxfId="11063" priority="495" operator="containsText" text="Sell">
      <formula>NOT(ISERROR(SEARCH("Sell",E162)))</formula>
    </cfRule>
  </conditionalFormatting>
  <conditionalFormatting sqref="E161">
    <cfRule type="containsText" dxfId="11062" priority="492" operator="containsText" text="Buy">
      <formula>NOT(ISERROR(SEARCH("Buy",E161)))</formula>
    </cfRule>
    <cfRule type="containsText" dxfId="11061" priority="493" operator="containsText" text="Sell">
      <formula>NOT(ISERROR(SEARCH("Sell",E161)))</formula>
    </cfRule>
  </conditionalFormatting>
  <conditionalFormatting sqref="E160">
    <cfRule type="containsText" dxfId="11060" priority="490" operator="containsText" text="Buy">
      <formula>NOT(ISERROR(SEARCH("Buy",E160)))</formula>
    </cfRule>
    <cfRule type="containsText" dxfId="11059" priority="491" operator="containsText" text="Sell">
      <formula>NOT(ISERROR(SEARCH("Sell",E160)))</formula>
    </cfRule>
  </conditionalFormatting>
  <conditionalFormatting sqref="E156">
    <cfRule type="containsText" dxfId="11058" priority="488" operator="containsText" text="Buy">
      <formula>NOT(ISERROR(SEARCH("Buy",E156)))</formula>
    </cfRule>
    <cfRule type="containsText" dxfId="11057" priority="489" operator="containsText" text="Sell">
      <formula>NOT(ISERROR(SEARCH("Sell",E156)))</formula>
    </cfRule>
  </conditionalFormatting>
  <conditionalFormatting sqref="E216">
    <cfRule type="containsText" dxfId="11056" priority="486" operator="containsText" text="Buy">
      <formula>NOT(ISERROR(SEARCH("Buy",E216)))</formula>
    </cfRule>
    <cfRule type="containsText" dxfId="11055" priority="487" operator="containsText" text="Sell">
      <formula>NOT(ISERROR(SEARCH("Sell",E216)))</formula>
    </cfRule>
  </conditionalFormatting>
  <conditionalFormatting sqref="E215 E212">
    <cfRule type="containsText" dxfId="11054" priority="484" operator="containsText" text="Buy">
      <formula>NOT(ISERROR(SEARCH("Buy",E212)))</formula>
    </cfRule>
    <cfRule type="containsText" dxfId="11053" priority="485" operator="containsText" text="Sell">
      <formula>NOT(ISERROR(SEARCH("Sell",E212)))</formula>
    </cfRule>
  </conditionalFormatting>
  <conditionalFormatting sqref="E221">
    <cfRule type="containsText" dxfId="11052" priority="482" operator="containsText" text="Buy">
      <formula>NOT(ISERROR(SEARCH("Buy",E221)))</formula>
    </cfRule>
    <cfRule type="containsText" dxfId="11051" priority="483" operator="containsText" text="Sell">
      <formula>NOT(ISERROR(SEARCH("Sell",E221)))</formula>
    </cfRule>
  </conditionalFormatting>
  <conditionalFormatting sqref="E303:E304">
    <cfRule type="containsText" dxfId="11050" priority="480" operator="containsText" text="Buy">
      <formula>NOT(ISERROR(SEARCH("Buy",E303)))</formula>
    </cfRule>
    <cfRule type="containsText" dxfId="11049" priority="481" operator="containsText" text="Sell">
      <formula>NOT(ISERROR(SEARCH("Sell",E303)))</formula>
    </cfRule>
  </conditionalFormatting>
  <conditionalFormatting sqref="E214">
    <cfRule type="containsText" dxfId="11048" priority="478" operator="containsText" text="Buy">
      <formula>NOT(ISERROR(SEARCH("Buy",E214)))</formula>
    </cfRule>
    <cfRule type="containsText" dxfId="11047" priority="479" operator="containsText" text="Sell">
      <formula>NOT(ISERROR(SEARCH("Sell",E214)))</formula>
    </cfRule>
  </conditionalFormatting>
  <conditionalFormatting sqref="E211">
    <cfRule type="containsText" dxfId="11046" priority="476" operator="containsText" text="Buy">
      <formula>NOT(ISERROR(SEARCH("Buy",E211)))</formula>
    </cfRule>
    <cfRule type="containsText" dxfId="11045" priority="477" operator="containsText" text="Sell">
      <formula>NOT(ISERROR(SEARCH("Sell",E211)))</formula>
    </cfRule>
  </conditionalFormatting>
  <conditionalFormatting sqref="E210">
    <cfRule type="containsText" dxfId="11044" priority="474" operator="containsText" text="Buy">
      <formula>NOT(ISERROR(SEARCH("Buy",E210)))</formula>
    </cfRule>
    <cfRule type="containsText" dxfId="11043" priority="475" operator="containsText" text="Sell">
      <formula>NOT(ISERROR(SEARCH("Sell",E210)))</formula>
    </cfRule>
  </conditionalFormatting>
  <conditionalFormatting sqref="E197">
    <cfRule type="containsText" dxfId="11042" priority="472" operator="containsText" text="Buy">
      <formula>NOT(ISERROR(SEARCH("Buy",E197)))</formula>
    </cfRule>
    <cfRule type="containsText" dxfId="11041" priority="473" operator="containsText" text="Sell">
      <formula>NOT(ISERROR(SEARCH("Sell",E197)))</formula>
    </cfRule>
  </conditionalFormatting>
  <conditionalFormatting sqref="E134:E137 E147 E144:E145">
    <cfRule type="containsText" dxfId="11040" priority="470" operator="containsText" text="Buy">
      <formula>NOT(ISERROR(SEARCH("Buy",E134)))</formula>
    </cfRule>
    <cfRule type="containsText" dxfId="11039" priority="471" operator="containsText" text="Sell">
      <formula>NOT(ISERROR(SEARCH("Sell",E134)))</formula>
    </cfRule>
  </conditionalFormatting>
  <conditionalFormatting sqref="E300:E301">
    <cfRule type="containsText" dxfId="11038" priority="468" operator="containsText" text="Buy">
      <formula>NOT(ISERROR(SEARCH("Buy",E300)))</formula>
    </cfRule>
    <cfRule type="containsText" dxfId="11037" priority="469" operator="containsText" text="Sell">
      <formula>NOT(ISERROR(SEARCH("Sell",E300)))</formula>
    </cfRule>
  </conditionalFormatting>
  <conditionalFormatting sqref="E297:E298">
    <cfRule type="containsText" dxfId="11036" priority="466" operator="containsText" text="Buy">
      <formula>NOT(ISERROR(SEARCH("Buy",E297)))</formula>
    </cfRule>
    <cfRule type="containsText" dxfId="11035" priority="467" operator="containsText" text="Sell">
      <formula>NOT(ISERROR(SEARCH("Sell",E297)))</formula>
    </cfRule>
  </conditionalFormatting>
  <conditionalFormatting sqref="E295:E296">
    <cfRule type="containsText" dxfId="11034" priority="464" operator="containsText" text="Buy">
      <formula>NOT(ISERROR(SEARCH("Buy",E295)))</formula>
    </cfRule>
    <cfRule type="containsText" dxfId="11033" priority="465" operator="containsText" text="Sell">
      <formula>NOT(ISERROR(SEARCH("Sell",E295)))</formula>
    </cfRule>
  </conditionalFormatting>
  <conditionalFormatting sqref="E292:E293">
    <cfRule type="containsText" dxfId="11032" priority="462" operator="containsText" text="Buy">
      <formula>NOT(ISERROR(SEARCH("Buy",E292)))</formula>
    </cfRule>
    <cfRule type="containsText" dxfId="11031" priority="463" operator="containsText" text="Sell">
      <formula>NOT(ISERROR(SEARCH("Sell",E292)))</formula>
    </cfRule>
  </conditionalFormatting>
  <conditionalFormatting sqref="E289:E291">
    <cfRule type="containsText" dxfId="11030" priority="460" operator="containsText" text="Buy">
      <formula>NOT(ISERROR(SEARCH("Buy",E289)))</formula>
    </cfRule>
    <cfRule type="containsText" dxfId="11029" priority="461" operator="containsText" text="Sell">
      <formula>NOT(ISERROR(SEARCH("Sell",E289)))</formula>
    </cfRule>
  </conditionalFormatting>
  <conditionalFormatting sqref="E286:E287">
    <cfRule type="containsText" dxfId="11028" priority="458" operator="containsText" text="Buy">
      <formula>NOT(ISERROR(SEARCH("Buy",E286)))</formula>
    </cfRule>
    <cfRule type="containsText" dxfId="11027" priority="459" operator="containsText" text="Sell">
      <formula>NOT(ISERROR(SEARCH("Sell",E286)))</formula>
    </cfRule>
  </conditionalFormatting>
  <conditionalFormatting sqref="E283:E284">
    <cfRule type="containsText" dxfId="11026" priority="456" operator="containsText" text="Buy">
      <formula>NOT(ISERROR(SEARCH("Buy",E283)))</formula>
    </cfRule>
    <cfRule type="containsText" dxfId="11025" priority="457" operator="containsText" text="Sell">
      <formula>NOT(ISERROR(SEARCH("Sell",E283)))</formula>
    </cfRule>
  </conditionalFormatting>
  <conditionalFormatting sqref="E280:E281">
    <cfRule type="containsText" dxfId="11024" priority="454" operator="containsText" text="Buy">
      <formula>NOT(ISERROR(SEARCH("Buy",E280)))</formula>
    </cfRule>
    <cfRule type="containsText" dxfId="11023" priority="455" operator="containsText" text="Sell">
      <formula>NOT(ISERROR(SEARCH("Sell",E280)))</formula>
    </cfRule>
  </conditionalFormatting>
  <conditionalFormatting sqref="E276">
    <cfRule type="containsText" dxfId="11022" priority="450" operator="containsText" text="Buy">
      <formula>NOT(ISERROR(SEARCH("Buy",E276)))</formula>
    </cfRule>
    <cfRule type="containsText" dxfId="11021" priority="451" operator="containsText" text="Sell">
      <formula>NOT(ISERROR(SEARCH("Sell",E276)))</formula>
    </cfRule>
  </conditionalFormatting>
  <conditionalFormatting sqref="E277:E278">
    <cfRule type="containsText" dxfId="11020" priority="452" operator="containsText" text="Buy">
      <formula>NOT(ISERROR(SEARCH("Buy",E277)))</formula>
    </cfRule>
    <cfRule type="containsText" dxfId="11019" priority="453" operator="containsText" text="Sell">
      <formula>NOT(ISERROR(SEARCH("Sell",E277)))</formula>
    </cfRule>
  </conditionalFormatting>
  <conditionalFormatting sqref="E270:E271">
    <cfRule type="containsText" dxfId="11018" priority="448" operator="containsText" text="Buy">
      <formula>NOT(ISERROR(SEARCH("Buy",E270)))</formula>
    </cfRule>
    <cfRule type="containsText" dxfId="11017" priority="449" operator="containsText" text="Sell">
      <formula>NOT(ISERROR(SEARCH("Sell",E270)))</formula>
    </cfRule>
  </conditionalFormatting>
  <conditionalFormatting sqref="E266:E267">
    <cfRule type="containsText" dxfId="11016" priority="446" operator="containsText" text="Buy">
      <formula>NOT(ISERROR(SEARCH("Buy",E266)))</formula>
    </cfRule>
    <cfRule type="containsText" dxfId="11015" priority="447" operator="containsText" text="Sell">
      <formula>NOT(ISERROR(SEARCH("Sell",E266)))</formula>
    </cfRule>
  </conditionalFormatting>
  <conditionalFormatting sqref="E131:E132">
    <cfRule type="containsText" dxfId="11014" priority="444" operator="containsText" text="Buy">
      <formula>NOT(ISERROR(SEARCH("Buy",E131)))</formula>
    </cfRule>
    <cfRule type="containsText" dxfId="11013" priority="445" operator="containsText" text="Sell">
      <formula>NOT(ISERROR(SEARCH("Sell",E131)))</formula>
    </cfRule>
  </conditionalFormatting>
  <conditionalFormatting sqref="E126:E127">
    <cfRule type="containsText" dxfId="11012" priority="442" operator="containsText" text="Buy">
      <formula>NOT(ISERROR(SEARCH("Buy",E126)))</formula>
    </cfRule>
    <cfRule type="containsText" dxfId="11011" priority="443" operator="containsText" text="Sell">
      <formula>NOT(ISERROR(SEARCH("Sell",E126)))</formula>
    </cfRule>
  </conditionalFormatting>
  <conditionalFormatting sqref="E143">
    <cfRule type="containsText" dxfId="11010" priority="440" operator="containsText" text="Buy">
      <formula>NOT(ISERROR(SEARCH("Buy",E143)))</formula>
    </cfRule>
    <cfRule type="containsText" dxfId="11009" priority="441" operator="containsText" text="Sell">
      <formula>NOT(ISERROR(SEARCH("Sell",E143)))</formula>
    </cfRule>
  </conditionalFormatting>
  <conditionalFormatting sqref="E142">
    <cfRule type="containsText" dxfId="11008" priority="438" operator="containsText" text="Buy">
      <formula>NOT(ISERROR(SEARCH("Buy",E142)))</formula>
    </cfRule>
    <cfRule type="containsText" dxfId="11007" priority="439" operator="containsText" text="Sell">
      <formula>NOT(ISERROR(SEARCH("Sell",E142)))</formula>
    </cfRule>
  </conditionalFormatting>
  <conditionalFormatting sqref="E138">
    <cfRule type="containsText" dxfId="11006" priority="436" operator="containsText" text="Buy">
      <formula>NOT(ISERROR(SEARCH("Buy",E138)))</formula>
    </cfRule>
    <cfRule type="containsText" dxfId="11005" priority="437" operator="containsText" text="Sell">
      <formula>NOT(ISERROR(SEARCH("Sell",E138)))</formula>
    </cfRule>
  </conditionalFormatting>
  <conditionalFormatting sqref="E263:E265">
    <cfRule type="containsText" dxfId="11004" priority="434" operator="containsText" text="Buy">
      <formula>NOT(ISERROR(SEARCH("Buy",E263)))</formula>
    </cfRule>
    <cfRule type="containsText" dxfId="11003" priority="435" operator="containsText" text="Sell">
      <formula>NOT(ISERROR(SEARCH("Sell",E263)))</formula>
    </cfRule>
  </conditionalFormatting>
  <conditionalFormatting sqref="E260:E261">
    <cfRule type="containsText" dxfId="11002" priority="432" operator="containsText" text="Buy">
      <formula>NOT(ISERROR(SEARCH("Buy",E260)))</formula>
    </cfRule>
    <cfRule type="containsText" dxfId="11001" priority="433" operator="containsText" text="Sell">
      <formula>NOT(ISERROR(SEARCH("Sell",E260)))</formula>
    </cfRule>
  </conditionalFormatting>
  <conditionalFormatting sqref="E254:E256">
    <cfRule type="containsText" dxfId="11000" priority="430" operator="containsText" text="Buy">
      <formula>NOT(ISERROR(SEARCH("Buy",E254)))</formula>
    </cfRule>
    <cfRule type="containsText" dxfId="10999" priority="431" operator="containsText" text="Sell">
      <formula>NOT(ISERROR(SEARCH("Sell",E254)))</formula>
    </cfRule>
  </conditionalFormatting>
  <conditionalFormatting sqref="E250:E251">
    <cfRule type="containsText" dxfId="10998" priority="428" operator="containsText" text="Buy">
      <formula>NOT(ISERROR(SEARCH("Buy",E250)))</formula>
    </cfRule>
    <cfRule type="containsText" dxfId="10997" priority="429" operator="containsText" text="Sell">
      <formula>NOT(ISERROR(SEARCH("Sell",E250)))</formula>
    </cfRule>
  </conditionalFormatting>
  <conditionalFormatting sqref="E259">
    <cfRule type="containsText" dxfId="10996" priority="426" operator="containsText" text="Buy">
      <formula>NOT(ISERROR(SEARCH("Buy",E259)))</formula>
    </cfRule>
    <cfRule type="containsText" dxfId="10995" priority="427" operator="containsText" text="Sell">
      <formula>NOT(ISERROR(SEARCH("Sell",E259)))</formula>
    </cfRule>
  </conditionalFormatting>
  <conditionalFormatting sqref="E239">
    <cfRule type="containsText" dxfId="10994" priority="424" operator="containsText" text="Buy">
      <formula>NOT(ISERROR(SEARCH("Buy",E239)))</formula>
    </cfRule>
    <cfRule type="containsText" dxfId="10993" priority="425" operator="containsText" text="Sell">
      <formula>NOT(ISERROR(SEARCH("Sell",E239)))</formula>
    </cfRule>
  </conditionalFormatting>
  <conditionalFormatting sqref="E238">
    <cfRule type="containsText" dxfId="10992" priority="422" operator="containsText" text="Buy">
      <formula>NOT(ISERROR(SEARCH("Buy",E238)))</formula>
    </cfRule>
    <cfRule type="containsText" dxfId="10991" priority="423" operator="containsText" text="Sell">
      <formula>NOT(ISERROR(SEARCH("Sell",E238)))</formula>
    </cfRule>
  </conditionalFormatting>
  <conditionalFormatting sqref="E237">
    <cfRule type="containsText" dxfId="10990" priority="420" operator="containsText" text="Buy">
      <formula>NOT(ISERROR(SEARCH("Buy",E237)))</formula>
    </cfRule>
    <cfRule type="containsText" dxfId="10989" priority="421" operator="containsText" text="Sell">
      <formula>NOT(ISERROR(SEARCH("Sell",E237)))</formula>
    </cfRule>
  </conditionalFormatting>
  <conditionalFormatting sqref="E194">
    <cfRule type="containsText" dxfId="10988" priority="418" operator="containsText" text="Buy">
      <formula>NOT(ISERROR(SEARCH("Buy",E194)))</formula>
    </cfRule>
    <cfRule type="containsText" dxfId="10987" priority="419" operator="containsText" text="Sell">
      <formula>NOT(ISERROR(SEARCH("Sell",E194)))</formula>
    </cfRule>
  </conditionalFormatting>
  <conditionalFormatting sqref="E213">
    <cfRule type="containsText" dxfId="10986" priority="416" operator="containsText" text="Buy">
      <formula>NOT(ISERROR(SEARCH("Buy",E213)))</formula>
    </cfRule>
    <cfRule type="containsText" dxfId="10985" priority="417" operator="containsText" text="Sell">
      <formula>NOT(ISERROR(SEARCH("Sell",E213)))</formula>
    </cfRule>
  </conditionalFormatting>
  <conditionalFormatting sqref="E107:E108">
    <cfRule type="containsText" dxfId="10984" priority="414" operator="containsText" text="Buy">
      <formula>NOT(ISERROR(SEARCH("Buy",E107)))</formula>
    </cfRule>
    <cfRule type="containsText" dxfId="10983" priority="415" operator="containsText" text="Sell">
      <formula>NOT(ISERROR(SEARCH("Sell",E107)))</formula>
    </cfRule>
  </conditionalFormatting>
  <conditionalFormatting sqref="E236">
    <cfRule type="containsText" dxfId="10982" priority="410" operator="containsText" text="Buy">
      <formula>NOT(ISERROR(SEARCH("Buy",E236)))</formula>
    </cfRule>
    <cfRule type="containsText" dxfId="10981" priority="411" operator="containsText" text="Sell">
      <formula>NOT(ISERROR(SEARCH("Sell",E236)))</formula>
    </cfRule>
  </conditionalFormatting>
  <conditionalFormatting sqref="E146">
    <cfRule type="containsText" dxfId="10980" priority="412" operator="containsText" text="Buy">
      <formula>NOT(ISERROR(SEARCH("Buy",E146)))</formula>
    </cfRule>
    <cfRule type="containsText" dxfId="10979" priority="413" operator="containsText" text="Sell">
      <formula>NOT(ISERROR(SEARCH("Sell",E146)))</formula>
    </cfRule>
  </conditionalFormatting>
  <conditionalFormatting sqref="E235">
    <cfRule type="containsText" dxfId="10978" priority="408" operator="containsText" text="Buy">
      <formula>NOT(ISERROR(SEARCH("Buy",E235)))</formula>
    </cfRule>
    <cfRule type="containsText" dxfId="10977" priority="409" operator="containsText" text="Sell">
      <formula>NOT(ISERROR(SEARCH("Sell",E235)))</formula>
    </cfRule>
  </conditionalFormatting>
  <conditionalFormatting sqref="E234">
    <cfRule type="containsText" dxfId="10976" priority="406" operator="containsText" text="Buy">
      <formula>NOT(ISERROR(SEARCH("Buy",E234)))</formula>
    </cfRule>
    <cfRule type="containsText" dxfId="10975" priority="407" operator="containsText" text="Sell">
      <formula>NOT(ISERROR(SEARCH("Sell",E234)))</formula>
    </cfRule>
  </conditionalFormatting>
  <conditionalFormatting sqref="E233">
    <cfRule type="containsText" dxfId="10974" priority="404" operator="containsText" text="Buy">
      <formula>NOT(ISERROR(SEARCH("Buy",E233)))</formula>
    </cfRule>
    <cfRule type="containsText" dxfId="10973" priority="405" operator="containsText" text="Sell">
      <formula>NOT(ISERROR(SEARCH("Sell",E233)))</formula>
    </cfRule>
  </conditionalFormatting>
  <conditionalFormatting sqref="E232">
    <cfRule type="containsText" dxfId="10972" priority="402" operator="containsText" text="Buy">
      <formula>NOT(ISERROR(SEARCH("Buy",E232)))</formula>
    </cfRule>
    <cfRule type="containsText" dxfId="10971" priority="403" operator="containsText" text="Sell">
      <formula>NOT(ISERROR(SEARCH("Sell",E232)))</formula>
    </cfRule>
  </conditionalFormatting>
  <conditionalFormatting sqref="E112:E114 E125">
    <cfRule type="containsText" dxfId="10970" priority="400" operator="containsText" text="Buy">
      <formula>NOT(ISERROR(SEARCH("Buy",E112)))</formula>
    </cfRule>
    <cfRule type="containsText" dxfId="10969" priority="401" operator="containsText" text="Sell">
      <formula>NOT(ISERROR(SEARCH("Sell",E112)))</formula>
    </cfRule>
  </conditionalFormatting>
  <conditionalFormatting sqref="E102:E103">
    <cfRule type="containsText" dxfId="10968" priority="398" operator="containsText" text="Buy">
      <formula>NOT(ISERROR(SEARCH("Buy",E102)))</formula>
    </cfRule>
    <cfRule type="containsText" dxfId="10967" priority="399" operator="containsText" text="Sell">
      <formula>NOT(ISERROR(SEARCH("Sell",E102)))</formula>
    </cfRule>
  </conditionalFormatting>
  <conditionalFormatting sqref="E96:E97">
    <cfRule type="containsText" dxfId="10966" priority="396" operator="containsText" text="Buy">
      <formula>NOT(ISERROR(SEARCH("Buy",E96)))</formula>
    </cfRule>
    <cfRule type="containsText" dxfId="10965" priority="397" operator="containsText" text="Sell">
      <formula>NOT(ISERROR(SEARCH("Sell",E96)))</formula>
    </cfRule>
  </conditionalFormatting>
  <conditionalFormatting sqref="E123:E124">
    <cfRule type="containsText" dxfId="10964" priority="394" operator="containsText" text="Buy">
      <formula>NOT(ISERROR(SEARCH("Buy",E123)))</formula>
    </cfRule>
    <cfRule type="containsText" dxfId="10963" priority="395" operator="containsText" text="Sell">
      <formula>NOT(ISERROR(SEARCH("Sell",E123)))</formula>
    </cfRule>
  </conditionalFormatting>
  <conditionalFormatting sqref="E122">
    <cfRule type="containsText" dxfId="10962" priority="392" operator="containsText" text="Buy">
      <formula>NOT(ISERROR(SEARCH("Buy",E122)))</formula>
    </cfRule>
    <cfRule type="containsText" dxfId="10961" priority="393" operator="containsText" text="Sell">
      <formula>NOT(ISERROR(SEARCH("Sell",E122)))</formula>
    </cfRule>
  </conditionalFormatting>
  <conditionalFormatting sqref="E205">
    <cfRule type="containsText" dxfId="10960" priority="390" operator="containsText" text="Buy">
      <formula>NOT(ISERROR(SEARCH("Buy",E205)))</formula>
    </cfRule>
    <cfRule type="containsText" dxfId="10959" priority="391" operator="containsText" text="Sell">
      <formula>NOT(ISERROR(SEARCH("Sell",E205)))</formula>
    </cfRule>
  </conditionalFormatting>
  <conditionalFormatting sqref="E204">
    <cfRule type="containsText" dxfId="10958" priority="388" operator="containsText" text="Buy">
      <formula>NOT(ISERROR(SEARCH("Buy",E204)))</formula>
    </cfRule>
    <cfRule type="containsText" dxfId="10957" priority="389" operator="containsText" text="Sell">
      <formula>NOT(ISERROR(SEARCH("Sell",E204)))</formula>
    </cfRule>
  </conditionalFormatting>
  <conditionalFormatting sqref="E93:E94">
    <cfRule type="containsText" dxfId="10956" priority="386" operator="containsText" text="Buy">
      <formula>NOT(ISERROR(SEARCH("Buy",E93)))</formula>
    </cfRule>
    <cfRule type="containsText" dxfId="10955" priority="387" operator="containsText" text="Sell">
      <formula>NOT(ISERROR(SEARCH("Sell",E93)))</formula>
    </cfRule>
  </conditionalFormatting>
  <conditionalFormatting sqref="E92">
    <cfRule type="containsText" dxfId="10954" priority="384" operator="containsText" text="Buy">
      <formula>NOT(ISERROR(SEARCH("Buy",E92)))</formula>
    </cfRule>
    <cfRule type="containsText" dxfId="10953" priority="385" operator="containsText" text="Sell">
      <formula>NOT(ISERROR(SEARCH("Sell",E92)))</formula>
    </cfRule>
  </conditionalFormatting>
  <conditionalFormatting sqref="E91">
    <cfRule type="containsText" dxfId="10952" priority="382" operator="containsText" text="Buy">
      <formula>NOT(ISERROR(SEARCH("Buy",E91)))</formula>
    </cfRule>
    <cfRule type="containsText" dxfId="10951" priority="383" operator="containsText" text="Sell">
      <formula>NOT(ISERROR(SEARCH("Sell",E91)))</formula>
    </cfRule>
  </conditionalFormatting>
  <conditionalFormatting sqref="E88">
    <cfRule type="containsText" dxfId="10950" priority="380" operator="containsText" text="Buy">
      <formula>NOT(ISERROR(SEARCH("Buy",E88)))</formula>
    </cfRule>
    <cfRule type="containsText" dxfId="10949" priority="381" operator="containsText" text="Sell">
      <formula>NOT(ISERROR(SEARCH("Sell",E88)))</formula>
    </cfRule>
  </conditionalFormatting>
  <conditionalFormatting sqref="E87">
    <cfRule type="containsText" dxfId="10948" priority="378" operator="containsText" text="Buy">
      <formula>NOT(ISERROR(SEARCH("Buy",E87)))</formula>
    </cfRule>
    <cfRule type="containsText" dxfId="10947" priority="379" operator="containsText" text="Sell">
      <formula>NOT(ISERROR(SEARCH("Sell",E87)))</formula>
    </cfRule>
  </conditionalFormatting>
  <conditionalFormatting sqref="E84">
    <cfRule type="containsText" dxfId="10946" priority="376" operator="containsText" text="Buy">
      <formula>NOT(ISERROR(SEARCH("Buy",E84)))</formula>
    </cfRule>
    <cfRule type="containsText" dxfId="10945" priority="377" operator="containsText" text="Sell">
      <formula>NOT(ISERROR(SEARCH("Sell",E84)))</formula>
    </cfRule>
  </conditionalFormatting>
  <conditionalFormatting sqref="E83">
    <cfRule type="containsText" dxfId="10944" priority="374" operator="containsText" text="Buy">
      <formula>NOT(ISERROR(SEARCH("Buy",E83)))</formula>
    </cfRule>
    <cfRule type="containsText" dxfId="10943" priority="375" operator="containsText" text="Sell">
      <formula>NOT(ISERROR(SEARCH("Sell",E83)))</formula>
    </cfRule>
  </conditionalFormatting>
  <conditionalFormatting sqref="E82">
    <cfRule type="containsText" dxfId="10942" priority="372" operator="containsText" text="Buy">
      <formula>NOT(ISERROR(SEARCH("Buy",E82)))</formula>
    </cfRule>
    <cfRule type="containsText" dxfId="10941" priority="373" operator="containsText" text="Sell">
      <formula>NOT(ISERROR(SEARCH("Sell",E82)))</formula>
    </cfRule>
  </conditionalFormatting>
  <conditionalFormatting sqref="E80:E81">
    <cfRule type="containsText" dxfId="10940" priority="370" operator="containsText" text="Buy">
      <formula>NOT(ISERROR(SEARCH("Buy",E80)))</formula>
    </cfRule>
    <cfRule type="containsText" dxfId="10939" priority="371" operator="containsText" text="Sell">
      <formula>NOT(ISERROR(SEARCH("Sell",E80)))</formula>
    </cfRule>
  </conditionalFormatting>
  <conditionalFormatting sqref="E77 E73:E74">
    <cfRule type="containsText" dxfId="10938" priority="368" operator="containsText" text="Buy">
      <formula>NOT(ISERROR(SEARCH("Buy",E73)))</formula>
    </cfRule>
    <cfRule type="containsText" dxfId="10937" priority="369" operator="containsText" text="Sell">
      <formula>NOT(ISERROR(SEARCH("Sell",E73)))</formula>
    </cfRule>
  </conditionalFormatting>
  <conditionalFormatting sqref="E76">
    <cfRule type="containsText" dxfId="10936" priority="366" operator="containsText" text="Buy">
      <formula>NOT(ISERROR(SEARCH("Buy",E76)))</formula>
    </cfRule>
    <cfRule type="containsText" dxfId="10935" priority="367" operator="containsText" text="Sell">
      <formula>NOT(ISERROR(SEARCH("Sell",E76)))</formula>
    </cfRule>
  </conditionalFormatting>
  <conditionalFormatting sqref="E75">
    <cfRule type="containsText" dxfId="10934" priority="364" operator="containsText" text="Buy">
      <formula>NOT(ISERROR(SEARCH("Buy",E75)))</formula>
    </cfRule>
    <cfRule type="containsText" dxfId="10933" priority="365" operator="containsText" text="Sell">
      <formula>NOT(ISERROR(SEARCH("Sell",E75)))</formula>
    </cfRule>
  </conditionalFormatting>
  <conditionalFormatting sqref="E209">
    <cfRule type="containsText" dxfId="10932" priority="362" operator="containsText" text="Buy">
      <formula>NOT(ISERROR(SEARCH("Buy",E209)))</formula>
    </cfRule>
    <cfRule type="containsText" dxfId="10931" priority="363" operator="containsText" text="Sell">
      <formula>NOT(ISERROR(SEARCH("Sell",E209)))</formula>
    </cfRule>
  </conditionalFormatting>
  <conditionalFormatting sqref="E130">
    <cfRule type="containsText" dxfId="10930" priority="360" operator="containsText" text="Buy">
      <formula>NOT(ISERROR(SEARCH("Buy",E130)))</formula>
    </cfRule>
    <cfRule type="containsText" dxfId="10929" priority="361" operator="containsText" text="Sell">
      <formula>NOT(ISERROR(SEARCH("Sell",E130)))</formula>
    </cfRule>
  </conditionalFormatting>
  <conditionalFormatting sqref="E177">
    <cfRule type="containsText" dxfId="10928" priority="358" operator="containsText" text="Buy">
      <formula>NOT(ISERROR(SEARCH("Buy",E177)))</formula>
    </cfRule>
    <cfRule type="containsText" dxfId="10927" priority="359" operator="containsText" text="Sell">
      <formula>NOT(ISERROR(SEARCH("Sell",E177)))</formula>
    </cfRule>
  </conditionalFormatting>
  <conditionalFormatting sqref="E72">
    <cfRule type="containsText" dxfId="10926" priority="356" operator="containsText" text="Buy">
      <formula>NOT(ISERROR(SEARCH("Buy",E72)))</formula>
    </cfRule>
    <cfRule type="containsText" dxfId="10925" priority="357" operator="containsText" text="Sell">
      <formula>NOT(ISERROR(SEARCH("Sell",E72)))</formula>
    </cfRule>
  </conditionalFormatting>
  <conditionalFormatting sqref="E176">
    <cfRule type="containsText" dxfId="10924" priority="354" operator="containsText" text="Buy">
      <formula>NOT(ISERROR(SEARCH("Buy",E176)))</formula>
    </cfRule>
    <cfRule type="containsText" dxfId="10923" priority="355" operator="containsText" text="Sell">
      <formula>NOT(ISERROR(SEARCH("Sell",E176)))</formula>
    </cfRule>
  </conditionalFormatting>
  <conditionalFormatting sqref="E175">
    <cfRule type="containsText" dxfId="10922" priority="352" operator="containsText" text="Buy">
      <formula>NOT(ISERROR(SEARCH("Buy",E175)))</formula>
    </cfRule>
    <cfRule type="containsText" dxfId="10921" priority="353" operator="containsText" text="Sell">
      <formula>NOT(ISERROR(SEARCH("Sell",E175)))</formula>
    </cfRule>
  </conditionalFormatting>
  <conditionalFormatting sqref="E246:E248">
    <cfRule type="containsText" dxfId="10920" priority="350" operator="containsText" text="Buy">
      <formula>NOT(ISERROR(SEARCH("Buy",E246)))</formula>
    </cfRule>
    <cfRule type="containsText" dxfId="10919" priority="351" operator="containsText" text="Sell">
      <formula>NOT(ISERROR(SEARCH("Sell",E246)))</formula>
    </cfRule>
  </conditionalFormatting>
  <conditionalFormatting sqref="E231">
    <cfRule type="containsText" dxfId="10918" priority="348" operator="containsText" text="Buy">
      <formula>NOT(ISERROR(SEARCH("Buy",E231)))</formula>
    </cfRule>
    <cfRule type="containsText" dxfId="10917" priority="349" operator="containsText" text="Sell">
      <formula>NOT(ISERROR(SEARCH("Sell",E231)))</formula>
    </cfRule>
  </conditionalFormatting>
  <conditionalFormatting sqref="E230">
    <cfRule type="containsText" dxfId="10916" priority="346" operator="containsText" text="Buy">
      <formula>NOT(ISERROR(SEARCH("Buy",E230)))</formula>
    </cfRule>
    <cfRule type="containsText" dxfId="10915" priority="347" operator="containsText" text="Sell">
      <formula>NOT(ISERROR(SEARCH("Sell",E230)))</formula>
    </cfRule>
  </conditionalFormatting>
  <conditionalFormatting sqref="E67">
    <cfRule type="containsText" dxfId="10914" priority="344" operator="containsText" text="Buy">
      <formula>NOT(ISERROR(SEARCH("Buy",E67)))</formula>
    </cfRule>
    <cfRule type="containsText" dxfId="10913" priority="345" operator="containsText" text="Sell">
      <formula>NOT(ISERROR(SEARCH("Sell",E67)))</formula>
    </cfRule>
  </conditionalFormatting>
  <conditionalFormatting sqref="E196">
    <cfRule type="containsText" dxfId="10912" priority="342" operator="containsText" text="Buy">
      <formula>NOT(ISERROR(SEARCH("Buy",E196)))</formula>
    </cfRule>
    <cfRule type="containsText" dxfId="10911" priority="343" operator="containsText" text="Sell">
      <formula>NOT(ISERROR(SEARCH("Sell",E196)))</formula>
    </cfRule>
  </conditionalFormatting>
  <conditionalFormatting sqref="E193">
    <cfRule type="containsText" dxfId="10910" priority="340" operator="containsText" text="Buy">
      <formula>NOT(ISERROR(SEARCH("Buy",E193)))</formula>
    </cfRule>
    <cfRule type="containsText" dxfId="10909" priority="341" operator="containsText" text="Sell">
      <formula>NOT(ISERROR(SEARCH("Sell",E193)))</formula>
    </cfRule>
  </conditionalFormatting>
  <conditionalFormatting sqref="E56">
    <cfRule type="containsText" dxfId="10908" priority="338" operator="containsText" text="Buy">
      <formula>NOT(ISERROR(SEARCH("Buy",E56)))</formula>
    </cfRule>
    <cfRule type="containsText" dxfId="10907" priority="339" operator="containsText" text="Sell">
      <formula>NOT(ISERROR(SEARCH("Sell",E56)))</formula>
    </cfRule>
  </conditionalFormatting>
  <conditionalFormatting sqref="E53">
    <cfRule type="containsText" dxfId="10906" priority="336" operator="containsText" text="Buy">
      <formula>NOT(ISERROR(SEARCH("Buy",E53)))</formula>
    </cfRule>
    <cfRule type="containsText" dxfId="10905" priority="337" operator="containsText" text="Sell">
      <formula>NOT(ISERROR(SEARCH("Sell",E53)))</formula>
    </cfRule>
  </conditionalFormatting>
  <conditionalFormatting sqref="E229">
    <cfRule type="containsText" dxfId="10904" priority="334" operator="containsText" text="Buy">
      <formula>NOT(ISERROR(SEARCH("Buy",E229)))</formula>
    </cfRule>
    <cfRule type="containsText" dxfId="10903" priority="335" operator="containsText" text="Sell">
      <formula>NOT(ISERROR(SEARCH("Sell",E229)))</formula>
    </cfRule>
  </conditionalFormatting>
  <conditionalFormatting sqref="E50">
    <cfRule type="containsText" dxfId="10902" priority="332" operator="containsText" text="Buy">
      <formula>NOT(ISERROR(SEARCH("Buy",E50)))</formula>
    </cfRule>
    <cfRule type="containsText" dxfId="10901" priority="333" operator="containsText" text="Sell">
      <formula>NOT(ISERROR(SEARCH("Sell",E50)))</formula>
    </cfRule>
  </conditionalFormatting>
  <conditionalFormatting sqref="E47">
    <cfRule type="containsText" dxfId="10900" priority="330" operator="containsText" text="Buy">
      <formula>NOT(ISERROR(SEARCH("Buy",E47)))</formula>
    </cfRule>
    <cfRule type="containsText" dxfId="10899" priority="331" operator="containsText" text="Sell">
      <formula>NOT(ISERROR(SEARCH("Sell",E47)))</formula>
    </cfRule>
  </conditionalFormatting>
  <conditionalFormatting sqref="E121">
    <cfRule type="containsText" dxfId="10898" priority="328" operator="containsText" text="Buy">
      <formula>NOT(ISERROR(SEARCH("Buy",E121)))</formula>
    </cfRule>
    <cfRule type="containsText" dxfId="10897" priority="329" operator="containsText" text="Sell">
      <formula>NOT(ISERROR(SEARCH("Sell",E121)))</formula>
    </cfRule>
  </conditionalFormatting>
  <conditionalFormatting sqref="E258">
    <cfRule type="containsText" dxfId="10896" priority="324" operator="containsText" text="Buy">
      <formula>NOT(ISERROR(SEARCH("Buy",E258)))</formula>
    </cfRule>
    <cfRule type="containsText" dxfId="10895" priority="325" operator="containsText" text="Sell">
      <formula>NOT(ISERROR(SEARCH("Sell",E258)))</formula>
    </cfRule>
  </conditionalFormatting>
  <conditionalFormatting sqref="E44">
    <cfRule type="containsText" dxfId="10894" priority="326" operator="containsText" text="Buy">
      <formula>NOT(ISERROR(SEARCH("Buy",E44)))</formula>
    </cfRule>
    <cfRule type="containsText" dxfId="10893" priority="327" operator="containsText" text="Sell">
      <formula>NOT(ISERROR(SEARCH("Sell",E44)))</formula>
    </cfRule>
  </conditionalFormatting>
  <conditionalFormatting sqref="E275">
    <cfRule type="containsText" dxfId="10892" priority="322" operator="containsText" text="Buy">
      <formula>NOT(ISERROR(SEARCH("Buy",E275)))</formula>
    </cfRule>
    <cfRule type="containsText" dxfId="10891" priority="323" operator="containsText" text="Sell">
      <formula>NOT(ISERROR(SEARCH("Sell",E275)))</formula>
    </cfRule>
  </conditionalFormatting>
  <conditionalFormatting sqref="E249">
    <cfRule type="containsText" dxfId="10890" priority="318" operator="containsText" text="Buy">
      <formula>NOT(ISERROR(SEARCH("Buy",E249)))</formula>
    </cfRule>
    <cfRule type="containsText" dxfId="10889" priority="319" operator="containsText" text="Sell">
      <formula>NOT(ISERROR(SEARCH("Sell",E249)))</formula>
    </cfRule>
  </conditionalFormatting>
  <conditionalFormatting sqref="E253">
    <cfRule type="containsText" dxfId="10888" priority="320" operator="containsText" text="Buy">
      <formula>NOT(ISERROR(SEARCH("Buy",E253)))</formula>
    </cfRule>
    <cfRule type="containsText" dxfId="10887" priority="321" operator="containsText" text="Sell">
      <formula>NOT(ISERROR(SEARCH("Sell",E253)))</formula>
    </cfRule>
  </conditionalFormatting>
  <conditionalFormatting sqref="E33 E30">
    <cfRule type="containsText" dxfId="10886" priority="316" operator="containsText" text="Buy">
      <formula>NOT(ISERROR(SEARCH("Buy",E30)))</formula>
    </cfRule>
    <cfRule type="containsText" dxfId="10885" priority="317" operator="containsText" text="Sell">
      <formula>NOT(ISERROR(SEARCH("Sell",E30)))</formula>
    </cfRule>
  </conditionalFormatting>
  <conditionalFormatting sqref="E120">
    <cfRule type="containsText" dxfId="10884" priority="314" operator="containsText" text="Buy">
      <formula>NOT(ISERROR(SEARCH("Buy",E120)))</formula>
    </cfRule>
    <cfRule type="containsText" dxfId="10883" priority="315" operator="containsText" text="Sell">
      <formula>NOT(ISERROR(SEARCH("Sell",E120)))</formula>
    </cfRule>
  </conditionalFormatting>
  <conditionalFormatting sqref="E174">
    <cfRule type="containsText" dxfId="10882" priority="312" operator="containsText" text="Buy">
      <formula>NOT(ISERROR(SEARCH("Buy",E174)))</formula>
    </cfRule>
    <cfRule type="containsText" dxfId="10881" priority="313" operator="containsText" text="Sell">
      <formula>NOT(ISERROR(SEARCH("Sell",E174)))</formula>
    </cfRule>
  </conditionalFormatting>
  <conditionalFormatting sqref="E129">
    <cfRule type="containsText" dxfId="10880" priority="310" operator="containsText" text="Buy">
      <formula>NOT(ISERROR(SEARCH("Buy",E129)))</formula>
    </cfRule>
    <cfRule type="containsText" dxfId="10879" priority="311" operator="containsText" text="Sell">
      <formula>NOT(ISERROR(SEARCH("Sell",E129)))</formula>
    </cfRule>
  </conditionalFormatting>
  <conditionalFormatting sqref="E64">
    <cfRule type="containsText" dxfId="10878" priority="308" operator="containsText" text="Buy">
      <formula>NOT(ISERROR(SEARCH("Buy",E64)))</formula>
    </cfRule>
    <cfRule type="containsText" dxfId="10877" priority="309" operator="containsText" text="Sell">
      <formula>NOT(ISERROR(SEARCH("Sell",E64)))</formula>
    </cfRule>
  </conditionalFormatting>
  <conditionalFormatting sqref="E119">
    <cfRule type="containsText" dxfId="10876" priority="302" operator="containsText" text="Buy">
      <formula>NOT(ISERROR(SEARCH("Buy",E119)))</formula>
    </cfRule>
    <cfRule type="containsText" dxfId="10875" priority="303" operator="containsText" text="Sell">
      <formula>NOT(ISERROR(SEARCH("Sell",E119)))</formula>
    </cfRule>
  </conditionalFormatting>
  <conditionalFormatting sqref="E220">
    <cfRule type="containsText" dxfId="10874" priority="306" operator="containsText" text="Buy">
      <formula>NOT(ISERROR(SEARCH("Buy",E220)))</formula>
    </cfRule>
    <cfRule type="containsText" dxfId="10873" priority="307" operator="containsText" text="Sell">
      <formula>NOT(ISERROR(SEARCH("Sell",E220)))</formula>
    </cfRule>
  </conditionalFormatting>
  <conditionalFormatting sqref="E159">
    <cfRule type="containsText" dxfId="10872" priority="294" operator="containsText" text="Buy">
      <formula>NOT(ISERROR(SEARCH("Buy",E159)))</formula>
    </cfRule>
    <cfRule type="containsText" dxfId="10871" priority="295" operator="containsText" text="Sell">
      <formula>NOT(ISERROR(SEARCH("Sell",E159)))</formula>
    </cfRule>
  </conditionalFormatting>
  <conditionalFormatting sqref="E274">
    <cfRule type="containsText" dxfId="10870" priority="304" operator="containsText" text="Buy">
      <formula>NOT(ISERROR(SEARCH("Buy",E274)))</formula>
    </cfRule>
    <cfRule type="containsText" dxfId="10869" priority="305" operator="containsText" text="Sell">
      <formula>NOT(ISERROR(SEARCH("Sell",E274)))</formula>
    </cfRule>
  </conditionalFormatting>
  <conditionalFormatting sqref="E192">
    <cfRule type="containsText" dxfId="10868" priority="300" operator="containsText" text="Buy">
      <formula>NOT(ISERROR(SEARCH("Buy",E192)))</formula>
    </cfRule>
    <cfRule type="containsText" dxfId="10867" priority="301" operator="containsText" text="Sell">
      <formula>NOT(ISERROR(SEARCH("Sell",E192)))</formula>
    </cfRule>
  </conditionalFormatting>
  <conditionalFormatting sqref="E36">
    <cfRule type="containsText" dxfId="10866" priority="296" operator="containsText" text="Buy">
      <formula>NOT(ISERROR(SEARCH("Buy",E36)))</formula>
    </cfRule>
    <cfRule type="containsText" dxfId="10865" priority="297" operator="containsText" text="Sell">
      <formula>NOT(ISERROR(SEARCH("Sell",E36)))</formula>
    </cfRule>
  </conditionalFormatting>
  <conditionalFormatting sqref="E269">
    <cfRule type="containsText" dxfId="10864" priority="298" operator="containsText" text="Buy">
      <formula>NOT(ISERROR(SEARCH("Buy",E269)))</formula>
    </cfRule>
    <cfRule type="containsText" dxfId="10863" priority="299" operator="containsText" text="Sell">
      <formula>NOT(ISERROR(SEARCH("Sell",E269)))</formula>
    </cfRule>
  </conditionalFormatting>
  <conditionalFormatting sqref="E191">
    <cfRule type="containsText" dxfId="10862" priority="286" operator="containsText" text="Buy">
      <formula>NOT(ISERROR(SEARCH("Buy",E191)))</formula>
    </cfRule>
    <cfRule type="containsText" dxfId="10861" priority="287" operator="containsText" text="Sell">
      <formula>NOT(ISERROR(SEARCH("Sell",E191)))</formula>
    </cfRule>
  </conditionalFormatting>
  <conditionalFormatting sqref="E273">
    <cfRule type="containsText" dxfId="10860" priority="292" operator="containsText" text="Buy">
      <formula>NOT(ISERROR(SEARCH("Buy",E273)))</formula>
    </cfRule>
    <cfRule type="containsText" dxfId="10859" priority="293" operator="containsText" text="Sell">
      <formula>NOT(ISERROR(SEARCH("Sell",E273)))</formula>
    </cfRule>
  </conditionalFormatting>
  <conditionalFormatting sqref="E257">
    <cfRule type="containsText" dxfId="10858" priority="290" operator="containsText" text="Buy">
      <formula>NOT(ISERROR(SEARCH("Buy",E257)))</formula>
    </cfRule>
    <cfRule type="containsText" dxfId="10857" priority="291" operator="containsText" text="Sell">
      <formula>NOT(ISERROR(SEARCH("Sell",E257)))</formula>
    </cfRule>
  </conditionalFormatting>
  <conditionalFormatting sqref="E149">
    <cfRule type="containsText" dxfId="10856" priority="282" operator="containsText" text="Buy">
      <formula>NOT(ISERROR(SEARCH("Buy",E149)))</formula>
    </cfRule>
    <cfRule type="containsText" dxfId="10855" priority="283" operator="containsText" text="Sell">
      <formula>NOT(ISERROR(SEARCH("Sell",E149)))</formula>
    </cfRule>
  </conditionalFormatting>
  <conditionalFormatting sqref="E79">
    <cfRule type="containsText" dxfId="10854" priority="280" operator="containsText" text="Buy">
      <formula>NOT(ISERROR(SEARCH("Buy",E79)))</formula>
    </cfRule>
    <cfRule type="containsText" dxfId="10853" priority="281" operator="containsText" text="Sell">
      <formula>NOT(ISERROR(SEARCH("Sell",E79)))</formula>
    </cfRule>
  </conditionalFormatting>
  <conditionalFormatting sqref="E219">
    <cfRule type="containsText" dxfId="10852" priority="288" operator="containsText" text="Buy">
      <formula>NOT(ISERROR(SEARCH("Buy",E219)))</formula>
    </cfRule>
    <cfRule type="containsText" dxfId="10851" priority="289" operator="containsText" text="Sell">
      <formula>NOT(ISERROR(SEARCH("Sell",E219)))</formula>
    </cfRule>
  </conditionalFormatting>
  <conditionalFormatting sqref="E190">
    <cfRule type="containsText" dxfId="10850" priority="284" operator="containsText" text="Buy">
      <formula>NOT(ISERROR(SEARCH("Buy",E190)))</formula>
    </cfRule>
    <cfRule type="containsText" dxfId="10849" priority="285" operator="containsText" text="Sell">
      <formula>NOT(ISERROR(SEARCH("Sell",E190)))</formula>
    </cfRule>
  </conditionalFormatting>
  <conditionalFormatting sqref="E111">
    <cfRule type="containsText" dxfId="10848" priority="266" operator="containsText" text="Buy">
      <formula>NOT(ISERROR(SEARCH("Buy",E111)))</formula>
    </cfRule>
    <cfRule type="containsText" dxfId="10847" priority="267" operator="containsText" text="Sell">
      <formula>NOT(ISERROR(SEARCH("Sell",E111)))</formula>
    </cfRule>
  </conditionalFormatting>
  <conditionalFormatting sqref="E61">
    <cfRule type="containsText" dxfId="10846" priority="278" operator="containsText" text="Buy">
      <formula>NOT(ISERROR(SEARCH("Buy",E61)))</formula>
    </cfRule>
    <cfRule type="containsText" dxfId="10845" priority="279" operator="containsText" text="Sell">
      <formula>NOT(ISERROR(SEARCH("Sell",E61)))</formula>
    </cfRule>
  </conditionalFormatting>
  <conditionalFormatting sqref="E139:E141">
    <cfRule type="containsText" dxfId="10844" priority="272" operator="containsText" text="Buy">
      <formula>NOT(ISERROR(SEARCH("Buy",E139)))</formula>
    </cfRule>
    <cfRule type="containsText" dxfId="10843" priority="273" operator="containsText" text="Sell">
      <formula>NOT(ISERROR(SEARCH("Sell",E139)))</formula>
    </cfRule>
  </conditionalFormatting>
  <conditionalFormatting sqref="E99">
    <cfRule type="containsText" dxfId="10842" priority="254" operator="containsText" text="Buy">
      <formula>NOT(ISERROR(SEARCH("Buy",E99)))</formula>
    </cfRule>
    <cfRule type="containsText" dxfId="10841" priority="255" operator="containsText" text="Sell">
      <formula>NOT(ISERROR(SEARCH("Sell",E99)))</formula>
    </cfRule>
  </conditionalFormatting>
  <conditionalFormatting sqref="E117">
    <cfRule type="containsText" dxfId="10840" priority="268" operator="containsText" text="Buy">
      <formula>NOT(ISERROR(SEARCH("Buy",E117)))</formula>
    </cfRule>
    <cfRule type="containsText" dxfId="10839" priority="269" operator="containsText" text="Sell">
      <formula>NOT(ISERROR(SEARCH("Sell",E117)))</formula>
    </cfRule>
  </conditionalFormatting>
  <conditionalFormatting sqref="E223">
    <cfRule type="containsText" dxfId="10838" priority="252" operator="containsText" text="Buy">
      <formula>NOT(ISERROR(SEARCH("Buy",E223)))</formula>
    </cfRule>
    <cfRule type="containsText" dxfId="10837" priority="253" operator="containsText" text="Sell">
      <formula>NOT(ISERROR(SEARCH("Sell",E223)))</formula>
    </cfRule>
  </conditionalFormatting>
  <conditionalFormatting sqref="E226">
    <cfRule type="containsText" dxfId="10836" priority="276" operator="containsText" text="Buy">
      <formula>NOT(ISERROR(SEARCH("Buy",E226)))</formula>
    </cfRule>
    <cfRule type="containsText" dxfId="10835" priority="277" operator="containsText" text="Sell">
      <formula>NOT(ISERROR(SEARCH("Sell",E226)))</formula>
    </cfRule>
  </conditionalFormatting>
  <conditionalFormatting sqref="E224">
    <cfRule type="containsText" dxfId="10834" priority="256" operator="containsText" text="Buy">
      <formula>NOT(ISERROR(SEARCH("Buy",E224)))</formula>
    </cfRule>
    <cfRule type="containsText" dxfId="10833" priority="257" operator="containsText" text="Sell">
      <formula>NOT(ISERROR(SEARCH("Sell",E224)))</formula>
    </cfRule>
  </conditionalFormatting>
  <conditionalFormatting sqref="E40">
    <cfRule type="containsText" dxfId="10832" priority="274" operator="containsText" text="Buy">
      <formula>NOT(ISERROR(SEARCH("Buy",E40)))</formula>
    </cfRule>
    <cfRule type="containsText" dxfId="10831" priority="275" operator="containsText" text="Sell">
      <formula>NOT(ISERROR(SEARCH("Sell",E40)))</formula>
    </cfRule>
  </conditionalFormatting>
  <conditionalFormatting sqref="E118">
    <cfRule type="containsText" dxfId="10830" priority="270" operator="containsText" text="Buy">
      <formula>NOT(ISERROR(SEARCH("Buy",E118)))</formula>
    </cfRule>
    <cfRule type="containsText" dxfId="10829" priority="271" operator="containsText" text="Sell">
      <formula>NOT(ISERROR(SEARCH("Sell",E118)))</formula>
    </cfRule>
  </conditionalFormatting>
  <conditionalFormatting sqref="E116">
    <cfRule type="containsText" dxfId="10828" priority="264" operator="containsText" text="Buy">
      <formula>NOT(ISERROR(SEARCH("Buy",E116)))</formula>
    </cfRule>
    <cfRule type="containsText" dxfId="10827" priority="265" operator="containsText" text="Sell">
      <formula>NOT(ISERROR(SEARCH("Sell",E116)))</formula>
    </cfRule>
  </conditionalFormatting>
  <conditionalFormatting sqref="E115">
    <cfRule type="containsText" dxfId="10826" priority="262" operator="containsText" text="Buy">
      <formula>NOT(ISERROR(SEARCH("Buy",E115)))</formula>
    </cfRule>
    <cfRule type="containsText" dxfId="10825" priority="263" operator="containsText" text="Sell">
      <formula>NOT(ISERROR(SEARCH("Sell",E115)))</formula>
    </cfRule>
  </conditionalFormatting>
  <conditionalFormatting sqref="E225">
    <cfRule type="containsText" dxfId="10824" priority="260" operator="containsText" text="Buy">
      <formula>NOT(ISERROR(SEARCH("Buy",E225)))</formula>
    </cfRule>
    <cfRule type="containsText" dxfId="10823" priority="261" operator="containsText" text="Sell">
      <formula>NOT(ISERROR(SEARCH("Sell",E225)))</formula>
    </cfRule>
  </conditionalFormatting>
  <conditionalFormatting sqref="E100:E101">
    <cfRule type="containsText" dxfId="10822" priority="258" operator="containsText" text="Buy">
      <formula>NOT(ISERROR(SEARCH("Buy",E100)))</formula>
    </cfRule>
    <cfRule type="containsText" dxfId="10821" priority="259" operator="containsText" text="Sell">
      <formula>NOT(ISERROR(SEARCH("Sell",E100)))</formula>
    </cfRule>
  </conditionalFormatting>
  <conditionalFormatting sqref="E106">
    <cfRule type="containsText" dxfId="10820" priority="250" operator="containsText" text="Buy">
      <formula>NOT(ISERROR(SEARCH("Buy",E106)))</formula>
    </cfRule>
    <cfRule type="containsText" dxfId="10819" priority="251" operator="containsText" text="Sell">
      <formula>NOT(ISERROR(SEARCH("Sell",E106)))</formula>
    </cfRule>
  </conditionalFormatting>
  <conditionalFormatting sqref="E110">
    <cfRule type="containsText" dxfId="10818" priority="248" operator="containsText" text="Buy">
      <formula>NOT(ISERROR(SEARCH("Buy",E110)))</formula>
    </cfRule>
    <cfRule type="containsText" dxfId="10817" priority="249" operator="containsText" text="Sell">
      <formula>NOT(ISERROR(SEARCH("Sell",E110)))</formula>
    </cfRule>
  </conditionalFormatting>
  <conditionalFormatting sqref="E105">
    <cfRule type="containsText" dxfId="10816" priority="246" operator="containsText" text="Buy">
      <formula>NOT(ISERROR(SEARCH("Buy",E105)))</formula>
    </cfRule>
    <cfRule type="containsText" dxfId="10815" priority="247" operator="containsText" text="Sell">
      <formula>NOT(ISERROR(SEARCH("Sell",E105)))</formula>
    </cfRule>
  </conditionalFormatting>
  <conditionalFormatting sqref="E29">
    <cfRule type="containsText" dxfId="10814" priority="244" operator="containsText" text="Buy">
      <formula>NOT(ISERROR(SEARCH("Buy",E29)))</formula>
    </cfRule>
    <cfRule type="containsText" dxfId="10813" priority="245" operator="containsText" text="Sell">
      <formula>NOT(ISERROR(SEARCH("Sell",E29)))</formula>
    </cfRule>
  </conditionalFormatting>
  <conditionalFormatting sqref="E28">
    <cfRule type="containsText" dxfId="10812" priority="242" operator="containsText" text="Buy">
      <formula>NOT(ISERROR(SEARCH("Buy",E28)))</formula>
    </cfRule>
    <cfRule type="containsText" dxfId="10811" priority="243" operator="containsText" text="Sell">
      <formula>NOT(ISERROR(SEARCH("Sell",E28)))</formula>
    </cfRule>
  </conditionalFormatting>
  <conditionalFormatting sqref="E32">
    <cfRule type="containsText" dxfId="10810" priority="240" operator="containsText" text="Buy">
      <formula>NOT(ISERROR(SEARCH("Buy",E32)))</formula>
    </cfRule>
    <cfRule type="containsText" dxfId="10809" priority="241" operator="containsText" text="Sell">
      <formula>NOT(ISERROR(SEARCH("Sell",E32)))</formula>
    </cfRule>
  </conditionalFormatting>
  <conditionalFormatting sqref="E31">
    <cfRule type="containsText" dxfId="10808" priority="238" operator="containsText" text="Buy">
      <formula>NOT(ISERROR(SEARCH("Buy",E31)))</formula>
    </cfRule>
    <cfRule type="containsText" dxfId="10807" priority="239" operator="containsText" text="Sell">
      <formula>NOT(ISERROR(SEARCH("Sell",E31)))</formula>
    </cfRule>
  </conditionalFormatting>
  <conditionalFormatting sqref="E35">
    <cfRule type="containsText" dxfId="10806" priority="236" operator="containsText" text="Buy">
      <formula>NOT(ISERROR(SEARCH("Buy",E35)))</formula>
    </cfRule>
    <cfRule type="containsText" dxfId="10805" priority="237" operator="containsText" text="Sell">
      <formula>NOT(ISERROR(SEARCH("Sell",E35)))</formula>
    </cfRule>
  </conditionalFormatting>
  <conditionalFormatting sqref="L12:M12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{073EC24E-DF03-4A70-BE44-2A591D0553C5}</x14:id>
        </ext>
      </extLst>
    </cfRule>
  </conditionalFormatting>
  <conditionalFormatting sqref="L12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{39B76584-D532-40D6-8E89-3EC08059E9C8}</x14:id>
        </ext>
      </extLst>
    </cfRule>
  </conditionalFormatting>
  <conditionalFormatting sqref="V12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{4A343786-B3BF-41C3-BBD0-2042616DCB91}</x14:id>
        </ext>
      </extLst>
    </cfRule>
  </conditionalFormatting>
  <conditionalFormatting sqref="W12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{6FDA652A-5AA9-4E61-BD97-F8C125248D33}</x14:id>
        </ext>
      </extLst>
    </cfRule>
  </conditionalFormatting>
  <conditionalFormatting sqref="X12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{E30A5B08-98CD-4AB2-89F4-EE517AAEFC69}</x14:id>
        </ext>
      </extLst>
    </cfRule>
  </conditionalFormatting>
  <conditionalFormatting sqref="M12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{C19CBF2A-2FF5-4B80-8C80-A8688FC7C9DF}</x14:id>
        </ext>
      </extLst>
    </cfRule>
  </conditionalFormatting>
  <conditionalFormatting sqref="L12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{3BD55CAD-FE4F-48C2-AC30-4A663BE09EB0}</x14:id>
        </ext>
      </extLst>
    </cfRule>
  </conditionalFormatting>
  <conditionalFormatting sqref="M12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{B6747FE2-5DF6-43A5-B993-C612EFC7EF6C}</x14:id>
        </ext>
      </extLst>
    </cfRule>
  </conditionalFormatting>
  <conditionalFormatting sqref="L12:M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{DAE66AD8-F5ED-48F2-BE37-4DDC09C6C2B3}</x14:id>
        </ext>
      </extLst>
    </cfRule>
  </conditionalFormatting>
  <conditionalFormatting sqref="E39">
    <cfRule type="containsText" dxfId="10804" priority="225" operator="containsText" text="Buy">
      <formula>NOT(ISERROR(SEARCH("Buy",E39)))</formula>
    </cfRule>
    <cfRule type="containsText" dxfId="10803" priority="226" operator="containsText" text="Sell">
      <formula>NOT(ISERROR(SEARCH("Sell",E39)))</formula>
    </cfRule>
  </conditionalFormatting>
  <conditionalFormatting sqref="H18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{1A61983A-900C-450F-8381-49C3A523691E}</x14:id>
        </ext>
      </extLst>
    </cfRule>
    <cfRule type="cellIs" dxfId="10802" priority="551" operator="equal">
      <formula>1</formula>
    </cfRule>
  </conditionalFormatting>
  <conditionalFormatting sqref="E43">
    <cfRule type="containsText" dxfId="10801" priority="223" operator="containsText" text="Buy">
      <formula>NOT(ISERROR(SEARCH("Buy",E43)))</formula>
    </cfRule>
    <cfRule type="containsText" dxfId="10800" priority="224" operator="containsText" text="Sell">
      <formula>NOT(ISERROR(SEARCH("Sell",E43)))</formula>
    </cfRule>
  </conditionalFormatting>
  <conditionalFormatting sqref="E41">
    <cfRule type="containsText" dxfId="10799" priority="221" operator="containsText" text="Buy">
      <formula>NOT(ISERROR(SEARCH("Buy",E41)))</formula>
    </cfRule>
    <cfRule type="containsText" dxfId="10798" priority="222" operator="containsText" text="Sell">
      <formula>NOT(ISERROR(SEARCH("Sell",E41)))</formula>
    </cfRule>
  </conditionalFormatting>
  <conditionalFormatting sqref="E34">
    <cfRule type="containsText" dxfId="10797" priority="219" operator="containsText" text="Buy">
      <formula>NOT(ISERROR(SEARCH("Buy",E34)))</formula>
    </cfRule>
    <cfRule type="containsText" dxfId="10796" priority="220" operator="containsText" text="Sell">
      <formula>NOT(ISERROR(SEARCH("Sell",E34)))</formula>
    </cfRule>
  </conditionalFormatting>
  <conditionalFormatting sqref="T15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{A2AEA5C6-5060-4730-A56A-5E12A981B8C4}</x14:id>
        </ext>
      </extLst>
    </cfRule>
  </conditionalFormatting>
  <conditionalFormatting sqref="T15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{50E834C7-9EA8-484A-83DC-6239E94FE7BD}</x14:id>
        </ext>
      </extLst>
    </cfRule>
  </conditionalFormatting>
  <conditionalFormatting sqref="T15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{1C76AB98-100A-4AD5-8397-8D58EECD3FB7}</x14:id>
        </ext>
      </extLst>
    </cfRule>
  </conditionalFormatting>
  <conditionalFormatting sqref="T15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{51ABC35E-EE9F-40C2-9DA0-706F83359E31}</x14:id>
        </ext>
      </extLst>
    </cfRule>
  </conditionalFormatting>
  <conditionalFormatting sqref="T15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{334BA14C-76EC-4D5B-8EAA-F76529DD71C9}</x14:id>
        </ext>
      </extLst>
    </cfRule>
  </conditionalFormatting>
  <conditionalFormatting sqref="T15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{A2A0E6C3-8E1E-42CF-9581-689E00C1F150}</x14:id>
        </ext>
      </extLst>
    </cfRule>
  </conditionalFormatting>
  <conditionalFormatting sqref="E38">
    <cfRule type="containsText" dxfId="10795" priority="211" operator="containsText" text="Buy">
      <formula>NOT(ISERROR(SEARCH("Buy",E38)))</formula>
    </cfRule>
    <cfRule type="containsText" dxfId="10794" priority="212" operator="containsText" text="Sell">
      <formula>NOT(ISERROR(SEARCH("Sell",E38)))</formula>
    </cfRule>
  </conditionalFormatting>
  <conditionalFormatting sqref="E42">
    <cfRule type="containsText" dxfId="10793" priority="209" operator="containsText" text="Buy">
      <formula>NOT(ISERROR(SEARCH("Buy",E42)))</formula>
    </cfRule>
    <cfRule type="containsText" dxfId="10792" priority="210" operator="containsText" text="Sell">
      <formula>NOT(ISERROR(SEARCH("Sell",E42)))</formula>
    </cfRule>
  </conditionalFormatting>
  <conditionalFormatting sqref="E37">
    <cfRule type="containsText" dxfId="10791" priority="207" operator="containsText" text="Buy">
      <formula>NOT(ISERROR(SEARCH("Buy",E37)))</formula>
    </cfRule>
    <cfRule type="containsText" dxfId="10790" priority="208" operator="containsText" text="Sell">
      <formula>NOT(ISERROR(SEARCH("Sell",E37)))</formula>
    </cfRule>
  </conditionalFormatting>
  <conditionalFormatting sqref="L9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{5802F68F-9898-4F19-8A3A-05677B168122}</x14:id>
        </ext>
      </extLst>
    </cfRule>
  </conditionalFormatting>
  <conditionalFormatting sqref="L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{439C0BD1-A949-4EFB-B527-68E075925036}</x14:id>
        </ext>
      </extLst>
    </cfRule>
  </conditionalFormatting>
  <conditionalFormatting sqref="M9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{EC195BC0-2E81-445F-87DC-5C32623AC3B6}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{6A07ECE3-534B-4731-9DDF-61B9135DDC97}</x14:id>
        </ext>
      </extLst>
    </cfRule>
  </conditionalFormatting>
  <conditionalFormatting sqref="L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{BBDB2239-E2F7-45CD-B0D3-6E1E9A5A82D8}</x14:id>
        </ext>
      </extLst>
    </cfRule>
  </conditionalFormatting>
  <conditionalFormatting sqref="M9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{381A597B-3DB6-4D98-8D13-CD8DB332AB32}</x14:id>
        </ext>
      </extLst>
    </cfRule>
  </conditionalFormatting>
  <conditionalFormatting sqref="L9:M9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{E7ADF09D-1CBF-4EB9-8C4B-D54810D6D27E}</x14:id>
        </ext>
      </extLst>
    </cfRule>
  </conditionalFormatting>
  <conditionalFormatting sqref="V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{D18EE7A6-3E4E-4FC7-8758-5ED5B4366259}</x14:id>
        </ext>
      </extLst>
    </cfRule>
  </conditionalFormatting>
  <conditionalFormatting sqref="W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{B64E4CF9-AB53-497D-906A-B5064A376531}</x14:id>
        </ext>
      </extLst>
    </cfRule>
  </conditionalFormatting>
  <conditionalFormatting sqref="T9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{4F96B87F-3890-4AC8-A681-4C9FA8C82985}</x14:id>
        </ext>
      </extLst>
    </cfRule>
  </conditionalFormatting>
  <conditionalFormatting sqref="L9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{D3A75676-C316-4C58-AF50-7E590E035787}</x14:id>
        </ext>
      </extLst>
    </cfRule>
  </conditionalFormatting>
  <conditionalFormatting sqref="M9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{AAF496F4-CD9F-4F61-AAB0-B70F398E4433}</x14:id>
        </ext>
      </extLst>
    </cfRule>
  </conditionalFormatting>
  <conditionalFormatting sqref="L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{863408F1-8422-4025-B684-224FE2C7E80E}</x14:id>
        </ext>
      </extLst>
    </cfRule>
  </conditionalFormatting>
  <conditionalFormatting sqref="M9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{281443C2-A402-440C-952F-929A682A015D}</x14:id>
        </ext>
      </extLst>
    </cfRule>
  </conditionalFormatting>
  <conditionalFormatting sqref="E49">
    <cfRule type="containsText" dxfId="10789" priority="191" operator="containsText" text="Buy">
      <formula>NOT(ISERROR(SEARCH("Buy",E49)))</formula>
    </cfRule>
    <cfRule type="containsText" dxfId="10788" priority="192" operator="containsText" text="Sell">
      <formula>NOT(ISERROR(SEARCH("Sell",E49)))</formula>
    </cfRule>
  </conditionalFormatting>
  <conditionalFormatting sqref="E48">
    <cfRule type="containsText" dxfId="10787" priority="189" operator="containsText" text="Buy">
      <formula>NOT(ISERROR(SEARCH("Buy",E48)))</formula>
    </cfRule>
    <cfRule type="containsText" dxfId="10786" priority="190" operator="containsText" text="Sell">
      <formula>NOT(ISERROR(SEARCH("Sell",E48)))</formula>
    </cfRule>
  </conditionalFormatting>
  <conditionalFormatting sqref="L13:M13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{551B9F34-CB51-43A3-B7E5-F3235ED85E28}</x14:id>
        </ext>
      </extLst>
    </cfRule>
  </conditionalFormatting>
  <conditionalFormatting sqref="L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{E7329EB7-EDBC-4DAA-A491-4C50DEFD6844}</x14:id>
        </ext>
      </extLst>
    </cfRule>
  </conditionalFormatting>
  <conditionalFormatting sqref="V13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{D3022807-6EDA-455B-8A63-5901A3B1996B}</x14:id>
        </ext>
      </extLst>
    </cfRule>
  </conditionalFormatting>
  <conditionalFormatting sqref="W13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{71278D59-7F17-4093-A043-83B248FB5FCE}</x14:id>
        </ext>
      </extLst>
    </cfRule>
  </conditionalFormatting>
  <conditionalFormatting sqref="X13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{CB04F188-501C-4A11-AB6D-CC72420B5E71}</x14:id>
        </ext>
      </extLst>
    </cfRule>
  </conditionalFormatting>
  <conditionalFormatting sqref="M13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{2A8E5C29-EF12-46F1-A756-59E00C3EE60F}</x14:id>
        </ext>
      </extLst>
    </cfRule>
  </conditionalFormatting>
  <conditionalFormatting sqref="L13:M13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{8FE65B3F-22F4-4F5B-B737-29A6343396F7}</x14:id>
        </ext>
      </extLst>
    </cfRule>
  </conditionalFormatting>
  <conditionalFormatting sqref="L12:L13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{B2E5B147-018A-4AC6-9BAB-EB27A17F4405}</x14:id>
        </ext>
      </extLst>
    </cfRule>
  </conditionalFormatting>
  <conditionalFormatting sqref="M12:M13">
    <cfRule type="dataBar" priority="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{022EE9A1-409C-4807-A33A-7D2BE3C7CEBE}</x14:id>
        </ext>
      </extLst>
    </cfRule>
  </conditionalFormatting>
  <conditionalFormatting sqref="L12:L13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{2F93135B-EBA2-4756-9605-15775B745A23}</x14:id>
        </ext>
      </extLst>
    </cfRule>
  </conditionalFormatting>
  <conditionalFormatting sqref="M12:M13">
    <cfRule type="dataBar" priority="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{9E345FEF-EF3F-4350-AFDE-9FB38ED4F79C}</x14:id>
        </ext>
      </extLst>
    </cfRule>
  </conditionalFormatting>
  <conditionalFormatting sqref="T12:T13">
    <cfRule type="dataBar" priority="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{75CDF447-8749-44DE-B226-A83FFE2EFC68}</x14:id>
        </ext>
      </extLst>
    </cfRule>
  </conditionalFormatting>
  <conditionalFormatting sqref="T12:T13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{8E69E9C2-7EF8-4545-A4EF-5A19A954C8C7}</x14:id>
        </ext>
      </extLst>
    </cfRule>
  </conditionalFormatting>
  <conditionalFormatting sqref="L11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{873AD201-BAF3-47FB-A15D-ADB0A6BF45F7}</x14:id>
        </ext>
      </extLst>
    </cfRule>
  </conditionalFormatting>
  <conditionalFormatting sqref="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{7FDF0BE6-F7BF-4211-8AE9-778D4143FA4C}</x14:id>
        </ext>
      </extLst>
    </cfRule>
  </conditionalFormatting>
  <conditionalFormatting sqref="M11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{5B3BDBA0-2953-43CB-A449-0D4EEB36B40B}</x14:id>
        </ext>
      </extLst>
    </cfRule>
  </conditionalFormatting>
  <conditionalFormatting sqref="M11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{A761690E-584F-4398-9EA6-6E53FB770E4F}</x14:id>
        </ext>
      </extLst>
    </cfRule>
  </conditionalFormatting>
  <conditionalFormatting sqref="L11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{6D308070-7F8D-4426-9363-2039B1D73687}</x14:id>
        </ext>
      </extLst>
    </cfRule>
  </conditionalFormatting>
  <conditionalFormatting sqref="M11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{35FF8DEB-723C-4941-B650-23B890783917}</x14:id>
        </ext>
      </extLst>
    </cfRule>
  </conditionalFormatting>
  <conditionalFormatting sqref="L11:M11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{05B43DBE-6C74-422B-BA9A-E2F5F886FD46}</x14:id>
        </ext>
      </extLst>
    </cfRule>
  </conditionalFormatting>
  <conditionalFormatting sqref="V11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{13F7738F-EF9F-4F31-AF62-3709C8AEEB4C}</x14:id>
        </ext>
      </extLst>
    </cfRule>
  </conditionalFormatting>
  <conditionalFormatting sqref="W11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{518E8E0A-1689-4D50-9C5D-DDEE48E1AEDF}</x14:id>
        </ext>
      </extLst>
    </cfRule>
  </conditionalFormatting>
  <conditionalFormatting sqref="T11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{EEC6B75F-6864-47B2-A5DA-5FA310C93E45}</x14:id>
        </ext>
      </extLst>
    </cfRule>
  </conditionalFormatting>
  <conditionalFormatting sqref="L11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{D1F59495-8B55-4E64-B1FF-93D41736760D}</x14:id>
        </ext>
      </extLst>
    </cfRule>
  </conditionalFormatting>
  <conditionalFormatting sqref="M11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{D0AF03E6-51C0-4663-A7A2-7179748A1823}</x14:id>
        </ext>
      </extLst>
    </cfRule>
  </conditionalFormatting>
  <conditionalFormatting sqref="L11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{F0973EC0-5ED3-45C6-A021-D57583981C3E}</x14:id>
        </ext>
      </extLst>
    </cfRule>
  </conditionalFormatting>
  <conditionalFormatting sqref="M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{C5D2B58F-A590-4347-8E46-981AA5D9EB45}</x14:id>
        </ext>
      </extLst>
    </cfRule>
  </conditionalFormatting>
  <conditionalFormatting sqref="E52">
    <cfRule type="containsText" dxfId="10785" priority="173" operator="containsText" text="Buy">
      <formula>NOT(ISERROR(SEARCH("Buy",E52)))</formula>
    </cfRule>
    <cfRule type="containsText" dxfId="10784" priority="174" operator="containsText" text="Sell">
      <formula>NOT(ISERROR(SEARCH("Sell",E52)))</formula>
    </cfRule>
  </conditionalFormatting>
  <conditionalFormatting sqref="E51">
    <cfRule type="containsText" dxfId="10783" priority="171" operator="containsText" text="Buy">
      <formula>NOT(ISERROR(SEARCH("Buy",E51)))</formula>
    </cfRule>
    <cfRule type="containsText" dxfId="10782" priority="172" operator="containsText" text="Sell">
      <formula>NOT(ISERROR(SEARCH("Sell",E51)))</formula>
    </cfRule>
  </conditionalFormatting>
  <conditionalFormatting sqref="E55">
    <cfRule type="containsText" dxfId="10781" priority="169" operator="containsText" text="Buy">
      <formula>NOT(ISERROR(SEARCH("Buy",E55)))</formula>
    </cfRule>
    <cfRule type="containsText" dxfId="10780" priority="170" operator="containsText" text="Sell">
      <formula>NOT(ISERROR(SEARCH("Sell",E55)))</formula>
    </cfRule>
  </conditionalFormatting>
  <conditionalFormatting sqref="E54">
    <cfRule type="containsText" dxfId="10779" priority="167" operator="containsText" text="Buy">
      <formula>NOT(ISERROR(SEARCH("Buy",E54)))</formula>
    </cfRule>
    <cfRule type="containsText" dxfId="10778" priority="168" operator="containsText" text="Sell">
      <formula>NOT(ISERROR(SEARCH("Sell",E54)))</formula>
    </cfRule>
  </conditionalFormatting>
  <conditionalFormatting sqref="L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{25B621B7-0606-46E1-A5D2-96B54E1C9907}</x14:id>
        </ext>
      </extLst>
    </cfRule>
  </conditionalFormatting>
  <conditionalFormatting sqref="L7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{F4B07530-DE20-4D12-8D60-31C1850BE336}</x14:id>
        </ext>
      </extLst>
    </cfRule>
  </conditionalFormatting>
  <conditionalFormatting sqref="M7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{E1863EFA-D5AB-44B8-A915-EE1FEB9D0888}</x14:id>
        </ext>
      </extLst>
    </cfRule>
  </conditionalFormatting>
  <conditionalFormatting sqref="M7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{DFAD354C-50DD-419C-8758-59AD59E06DA6}</x14:id>
        </ext>
      </extLst>
    </cfRule>
  </conditionalFormatting>
  <conditionalFormatting sqref="L7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{F0D64203-F8AD-432D-8393-E3FB6F88B727}</x14:id>
        </ext>
      </extLst>
    </cfRule>
  </conditionalFormatting>
  <conditionalFormatting sqref="M7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{75ABF3D4-0A22-498F-AE00-FCE480A89DFB}</x14:id>
        </ext>
      </extLst>
    </cfRule>
  </conditionalFormatting>
  <conditionalFormatting sqref="L7:M7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{E52C2648-76DB-43A7-860E-0E4BC3474A97}</x14:id>
        </ext>
      </extLst>
    </cfRule>
  </conditionalFormatting>
  <conditionalFormatting sqref="V7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{091F7DE8-1B89-49BD-9DC8-0E9747FEAD7C}</x14:id>
        </ext>
      </extLst>
    </cfRule>
  </conditionalFormatting>
  <conditionalFormatting sqref="W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{8155E899-37BE-4393-BE8C-8D2D5AF327D8}</x14:id>
        </ext>
      </extLst>
    </cfRule>
  </conditionalFormatting>
  <conditionalFormatting sqref="T7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{EAE65D73-5C5E-4A31-9D9F-7FCCA8A120F9}</x14:id>
        </ext>
      </extLst>
    </cfRule>
  </conditionalFormatting>
  <conditionalFormatting sqref="L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{0C6FA97B-4EAD-468F-898E-A1A50F9AA6A9}</x14:id>
        </ext>
      </extLst>
    </cfRule>
  </conditionalFormatting>
  <conditionalFormatting sqref="M7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{D013D49F-EE8D-4837-93E9-71B0768EB241}</x14:id>
        </ext>
      </extLst>
    </cfRule>
  </conditionalFormatting>
  <conditionalFormatting sqref="L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{5F690206-D5D0-412C-AC4C-0C58EE14DC23}</x14:id>
        </ext>
      </extLst>
    </cfRule>
  </conditionalFormatting>
  <conditionalFormatting sqref="M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{D06A41A3-1B53-48B7-AD07-61396EDC9074}</x14:id>
        </ext>
      </extLst>
    </cfRule>
  </conditionalFormatting>
  <conditionalFormatting sqref="V12:W12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{0BF9FDAC-E6C1-43BF-BC4E-5B2D21773E5B}</x14:id>
        </ext>
      </extLst>
    </cfRule>
  </conditionalFormatting>
  <conditionalFormatting sqref="V12:W12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{C1917908-1589-4D4E-90D7-87282B914EAE}</x14:id>
        </ext>
      </extLst>
    </cfRule>
  </conditionalFormatting>
  <conditionalFormatting sqref="V9:W9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{5E3302F3-DE01-4BA3-86E1-D91B0C722006}</x14:id>
        </ext>
      </extLst>
    </cfRule>
  </conditionalFormatting>
  <conditionalFormatting sqref="V9:W9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{529A5A5D-8046-47D1-9EBA-D0A868058747}</x14:id>
        </ext>
      </extLst>
    </cfRule>
  </conditionalFormatting>
  <conditionalFormatting sqref="V13:W13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{06B8C82F-218F-4653-90E5-0845815E359C}</x14:id>
        </ext>
      </extLst>
    </cfRule>
  </conditionalFormatting>
  <conditionalFormatting sqref="V13:W13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{0E6CAF8F-4272-4C25-88CB-43825C4E9C42}</x14:id>
        </ext>
      </extLst>
    </cfRule>
  </conditionalFormatting>
  <conditionalFormatting sqref="V11:W11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{650EEECB-4267-4F2A-99C2-FACA73ADDE4D}</x14:id>
        </ext>
      </extLst>
    </cfRule>
  </conditionalFormatting>
  <conditionalFormatting sqref="V11:W11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{59952C16-2AFE-4A63-B721-70EBB1CDED3B}</x14:id>
        </ext>
      </extLst>
    </cfRule>
  </conditionalFormatting>
  <conditionalFormatting sqref="V7:W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{6431C928-AFFF-4E55-8594-B454730F3562}</x14:id>
        </ext>
      </extLst>
    </cfRule>
  </conditionalFormatting>
  <conditionalFormatting sqref="V7:W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{64B2DB15-692C-452C-B7DF-815E21DD358B}</x14:id>
        </ext>
      </extLst>
    </cfRule>
  </conditionalFormatting>
  <conditionalFormatting sqref="L8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{12BF4F8E-88F1-4831-8CF2-EFE245A95B38}</x14:id>
        </ext>
      </extLst>
    </cfRule>
  </conditionalFormatting>
  <conditionalFormatting sqref="L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{F9A849E7-FD65-4A37-A06A-ABCFAF90C754}</x14:id>
        </ext>
      </extLst>
    </cfRule>
  </conditionalFormatting>
  <conditionalFormatting sqref="M8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{A4400B96-B42C-4100-BBBC-9F5409C4B573}</x14:id>
        </ext>
      </extLst>
    </cfRule>
  </conditionalFormatting>
  <conditionalFormatting sqref="M8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{4B906AA1-9689-4931-9CE1-C2B0427A4F78}</x14:id>
        </ext>
      </extLst>
    </cfRule>
  </conditionalFormatting>
  <conditionalFormatting sqref="L8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{9B876839-557E-4871-A8AC-89841E4C63CC}</x14:id>
        </ext>
      </extLst>
    </cfRule>
  </conditionalFormatting>
  <conditionalFormatting sqref="M8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{0779954F-767B-411D-A864-094B042007A4}</x14:id>
        </ext>
      </extLst>
    </cfRule>
  </conditionalFormatting>
  <conditionalFormatting sqref="L8:M8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{0823B375-0339-4FCE-B9DE-DC34E465D814}</x14:id>
        </ext>
      </extLst>
    </cfRule>
  </conditionalFormatting>
  <conditionalFormatting sqref="V8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{CD478E92-E8A0-4051-885D-91E009791C8F}</x14:id>
        </ext>
      </extLst>
    </cfRule>
  </conditionalFormatting>
  <conditionalFormatting sqref="W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{B8354B08-353E-488B-A3D0-27F7B468D974}</x14:id>
        </ext>
      </extLst>
    </cfRule>
  </conditionalFormatting>
  <conditionalFormatting sqref="X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{74517F3C-A9DF-4B2F-A344-DD5F5C05850B}</x14:id>
        </ext>
      </extLst>
    </cfRule>
  </conditionalFormatting>
  <conditionalFormatting sqref="Y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{57A04BEE-E934-4081-A0DD-7C28A5ED163E}</x14:id>
        </ext>
      </extLst>
    </cfRule>
  </conditionalFormatting>
  <conditionalFormatting sqref="T8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{8D7C3CF1-DB1A-4E0A-8C9D-7D32630DBBAD}</x14:id>
        </ext>
      </extLst>
    </cfRule>
  </conditionalFormatting>
  <conditionalFormatting sqref="L8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{A91340FD-DF50-412F-A4AA-03297222CB2F}</x14:id>
        </ext>
      </extLst>
    </cfRule>
  </conditionalFormatting>
  <conditionalFormatting sqref="M8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{84EEEB09-296A-4F35-869D-F8B316409A2A}</x14:id>
        </ext>
      </extLst>
    </cfRule>
  </conditionalFormatting>
  <conditionalFormatting sqref="L8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{0BC8C558-0072-4943-A3EF-A2FD6112DEA8}</x14:id>
        </ext>
      </extLst>
    </cfRule>
  </conditionalFormatting>
  <conditionalFormatting sqref="M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{6680BFA3-DC0F-4270-93A2-1C58FB1E0BBE}</x14:id>
        </ext>
      </extLst>
    </cfRule>
  </conditionalFormatting>
  <conditionalFormatting sqref="V8:W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{5407E235-1418-4016-92B5-A5F4651110B3}</x14:id>
        </ext>
      </extLst>
    </cfRule>
  </conditionalFormatting>
  <conditionalFormatting sqref="V8:W8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{7CD690BD-AA84-4DCE-84DB-CFC205D2B8EC}</x14:id>
        </ext>
      </extLst>
    </cfRule>
  </conditionalFormatting>
  <conditionalFormatting sqref="I8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{F62E4B66-C5E8-4C57-9C2A-0BF5759D2406}</x14:id>
        </ext>
      </extLst>
    </cfRule>
  </conditionalFormatting>
  <conditionalFormatting sqref="I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{CAC6F00D-7E2A-4A06-9E78-519EC57914E1}</x14:id>
        </ext>
      </extLst>
    </cfRule>
  </conditionalFormatting>
  <conditionalFormatting sqref="I8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{20FBF2DC-6BCA-4998-834E-219B7987C9FF}</x14:id>
        </ext>
      </extLst>
    </cfRule>
  </conditionalFormatting>
  <conditionalFormatting sqref="E60">
    <cfRule type="containsText" dxfId="10777" priority="129" operator="containsText" text="Buy">
      <formula>NOT(ISERROR(SEARCH("Buy",E60)))</formula>
    </cfRule>
    <cfRule type="containsText" dxfId="10776" priority="130" operator="containsText" text="Sell">
      <formula>NOT(ISERROR(SEARCH("Sell",E60)))</formula>
    </cfRule>
  </conditionalFormatting>
  <conditionalFormatting sqref="E59">
    <cfRule type="containsText" dxfId="10775" priority="127" operator="containsText" text="Buy">
      <formula>NOT(ISERROR(SEARCH("Buy",E59)))</formula>
    </cfRule>
    <cfRule type="containsText" dxfId="10774" priority="128" operator="containsText" text="Sell">
      <formula>NOT(ISERROR(SEARCH("Sell",E59)))</formula>
    </cfRule>
  </conditionalFormatting>
  <conditionalFormatting sqref="L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{79A07772-EA8B-4FE9-A276-65DAD0D230F3}</x14:id>
        </ext>
      </extLst>
    </cfRule>
  </conditionalFormatting>
  <conditionalFormatting sqref="L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{74D3F63A-9975-47EB-8939-359700507AEC}</x14:id>
        </ext>
      </extLst>
    </cfRule>
  </conditionalFormatting>
  <conditionalFormatting sqref="M10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{70411BAD-0BE1-46E6-B6E0-BBE093EA40F9}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{4C63413E-20BC-44FC-A56A-FCD4B2A7FCDC}</x14:id>
        </ext>
      </extLst>
    </cfRule>
  </conditionalFormatting>
  <conditionalFormatting sqref="L10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{8227242D-E339-4C5E-B27A-5BE5E618151D}</x14:id>
        </ext>
      </extLst>
    </cfRule>
  </conditionalFormatting>
  <conditionalFormatting sqref="M10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{FD7A8656-5B8B-476A-A751-5E77D16B1A59}</x14:id>
        </ext>
      </extLst>
    </cfRule>
  </conditionalFormatting>
  <conditionalFormatting sqref="L10:M1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{6E83A32E-019C-4CED-AB05-77A8CCF473A0}</x14:id>
        </ext>
      </extLst>
    </cfRule>
  </conditionalFormatting>
  <conditionalFormatting sqref="V1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{3725BD65-E401-43BF-B37C-5EE03AC9EAC6}</x14:id>
        </ext>
      </extLst>
    </cfRule>
  </conditionalFormatting>
  <conditionalFormatting sqref="W1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{36D76484-6C16-4557-9E19-D449711FD6A3}</x14:id>
        </ext>
      </extLst>
    </cfRule>
  </conditionalFormatting>
  <conditionalFormatting sqref="T10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{8D32D660-9A01-4CBC-ACC8-A25122A0C042}</x14:id>
        </ext>
      </extLst>
    </cfRule>
  </conditionalFormatting>
  <conditionalFormatting sqref="L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{6D4EE8C3-48F4-4E3B-BD1D-CFBCB866D696}</x14:id>
        </ext>
      </extLst>
    </cfRule>
  </conditionalFormatting>
  <conditionalFormatting sqref="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{3E15362D-8E9D-4F75-A004-117041B79D33}</x14:id>
        </ext>
      </extLst>
    </cfRule>
  </conditionalFormatting>
  <conditionalFormatting sqref="L10">
    <cfRule type="dataBar" priority="1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{F04559CF-5FE4-4CB6-A610-1C1D48AA62D1}</x14:id>
        </ext>
      </extLst>
    </cfRule>
  </conditionalFormatting>
  <conditionalFormatting sqref="M1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{41605E69-3CC9-4F76-840D-53B1311990B8}</x14:id>
        </ext>
      </extLst>
    </cfRule>
  </conditionalFormatting>
  <conditionalFormatting sqref="X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{5CE72ECA-D284-4E8C-BA10-E6D1FD59BE25}</x14:id>
        </ext>
      </extLst>
    </cfRule>
  </conditionalFormatting>
  <conditionalFormatting sqref="Y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{8C5A0231-F386-4536-B7FE-4F518219D50D}</x14:id>
        </ext>
      </extLst>
    </cfRule>
  </conditionalFormatting>
  <conditionalFormatting sqref="V10:W1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{85F75579-DDC1-486B-9ED1-CE1F81E7B408}</x14:id>
        </ext>
      </extLst>
    </cfRule>
  </conditionalFormatting>
  <conditionalFormatting sqref="V10:W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{212F95D9-A6EA-40E6-8D17-9F6343470DD0}</x14:id>
        </ext>
      </extLst>
    </cfRule>
  </conditionalFormatting>
  <conditionalFormatting sqref="I10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{28762F69-5079-4696-A320-07A6DC61541A}</x14:id>
        </ext>
      </extLst>
    </cfRule>
  </conditionalFormatting>
  <conditionalFormatting sqref="I10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{36F6301E-2D09-4C1F-8F67-6915498C7D74}</x14:id>
        </ext>
      </extLst>
    </cfRule>
  </conditionalFormatting>
  <conditionalFormatting sqref="I10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{1CFAB32A-FEA7-41CB-BFF3-F65CA3A49311}</x14:id>
        </ext>
      </extLst>
    </cfRule>
  </conditionalFormatting>
  <conditionalFormatting sqref="L10:M10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{085837EE-D272-461A-AD9B-AC79BD0B09E5}</x14:id>
        </ext>
      </extLst>
    </cfRule>
  </conditionalFormatting>
  <conditionalFormatting sqref="T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{A3DB35B6-9D7F-48B5-83B5-0407C3F53FA8}</x14:id>
        </ext>
      </extLst>
    </cfRule>
  </conditionalFormatting>
  <conditionalFormatting sqref="V10:W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{D5967F37-DEC5-4C74-9F73-56272EF73B38}</x14:id>
        </ext>
      </extLst>
    </cfRule>
  </conditionalFormatting>
  <conditionalFormatting sqref="E63">
    <cfRule type="containsText" dxfId="10773" priority="100" operator="containsText" text="Buy">
      <formula>NOT(ISERROR(SEARCH("Buy",E63)))</formula>
    </cfRule>
    <cfRule type="containsText" dxfId="10772" priority="101" operator="containsText" text="Sell">
      <formula>NOT(ISERROR(SEARCH("Sell",E63)))</formula>
    </cfRule>
  </conditionalFormatting>
  <conditionalFormatting sqref="E62">
    <cfRule type="containsText" dxfId="10771" priority="98" operator="containsText" text="Buy">
      <formula>NOT(ISERROR(SEARCH("Buy",E62)))</formula>
    </cfRule>
    <cfRule type="containsText" dxfId="10770" priority="99" operator="containsText" text="Sell">
      <formula>NOT(ISERROR(SEARCH("Sell",E62)))</formula>
    </cfRule>
  </conditionalFormatting>
  <conditionalFormatting sqref="L6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{AE2A52B6-A525-4B5F-9591-A1A552956C00}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{AF932D97-88C3-490B-9CD5-B8DBF6EB828A}</x14:id>
        </ext>
      </extLst>
    </cfRule>
  </conditionalFormatting>
  <conditionalFormatting sqref="M6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{F8D1905C-8B11-435D-8614-F06862A8C396}</x14:id>
        </ext>
      </extLst>
    </cfRule>
  </conditionalFormatting>
  <conditionalFormatting sqref="M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{315B7B0F-DA8F-4AFE-A02F-CC495A10FC72}</x14:id>
        </ext>
      </extLst>
    </cfRule>
  </conditionalFormatting>
  <conditionalFormatting sqref="L6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{3ED832DA-DB1E-4BF5-98E3-09FA00C58639}</x14:id>
        </ext>
      </extLst>
    </cfRule>
  </conditionalFormatting>
  <conditionalFormatting sqref="M6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{105ED9A7-736F-49AC-A739-D20F17983B1C}</x14:id>
        </ext>
      </extLst>
    </cfRule>
  </conditionalFormatting>
  <conditionalFormatting sqref="L6:M6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{CF974856-04D9-432D-A159-95F002BBBA35}</x14:id>
        </ext>
      </extLst>
    </cfRule>
  </conditionalFormatting>
  <conditionalFormatting sqref="V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{1D2587C2-077C-484E-8548-ACA5C72E4AE3}</x14:id>
        </ext>
      </extLst>
    </cfRule>
  </conditionalFormatting>
  <conditionalFormatting sqref="W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{40982191-0023-46F3-9DAB-01F7989D4BC2}</x14:id>
        </ext>
      </extLst>
    </cfRule>
  </conditionalFormatting>
  <conditionalFormatting sqref="X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{B6DF61A9-884A-4333-AC11-8FB534CE9D9A}</x14:id>
        </ext>
      </extLst>
    </cfRule>
  </conditionalFormatting>
  <conditionalFormatting sqref="Y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{38D40419-6EDF-4872-A09E-66B3D955B109}</x14:id>
        </ext>
      </extLst>
    </cfRule>
  </conditionalFormatting>
  <conditionalFormatting sqref="T6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{385618A7-55E6-4AFA-A41E-8D80B096D83A}</x14:id>
        </ext>
      </extLst>
    </cfRule>
  </conditionalFormatting>
  <conditionalFormatting sqref="L6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{C6137A4B-95AA-4FA5-A485-8EA9F1317DBB}</x14:id>
        </ext>
      </extLst>
    </cfRule>
  </conditionalFormatting>
  <conditionalFormatting sqref="M6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{B6291C64-05F3-4800-A2DB-759E0549ADB2}</x14:id>
        </ext>
      </extLst>
    </cfRule>
  </conditionalFormatting>
  <conditionalFormatting sqref="L6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{EA876BBD-1C29-4363-8A92-9BF289492F47}</x14:id>
        </ext>
      </extLst>
    </cfRule>
  </conditionalFormatting>
  <conditionalFormatting sqref="M6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{3D9E5AAE-CC0E-4566-B9AC-1C4D346FED3A}</x14:id>
        </ext>
      </extLst>
    </cfRule>
  </conditionalFormatting>
  <conditionalFormatting sqref="V6:W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{B5FA94BE-CDE3-4C5D-A154-983D0E1D5E24}</x14:id>
        </ext>
      </extLst>
    </cfRule>
  </conditionalFormatting>
  <conditionalFormatting sqref="V6:W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{05ACB05F-23D8-4DB1-84CD-6A6B16C61CD2}</x14:id>
        </ext>
      </extLst>
    </cfRule>
  </conditionalFormatting>
  <conditionalFormatting sqref="I6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{AF48B75D-0213-4D54-AD63-0B5588DF3DD4}</x14:id>
        </ext>
      </extLst>
    </cfRule>
  </conditionalFormatting>
  <conditionalFormatting sqref="I6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{7D89F599-C97F-43AF-9D04-40B57618FC55}</x14:id>
        </ext>
      </extLst>
    </cfRule>
  </conditionalFormatting>
  <conditionalFormatting sqref="L6:M6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{ED44BDE2-78C9-4EB6-95FB-D51EDF24E738}</x14:id>
        </ext>
      </extLst>
    </cfRule>
  </conditionalFormatting>
  <conditionalFormatting sqref="T6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{7F9A3888-E4C1-4FAE-B451-4E7FB49F33B2}</x14:id>
        </ext>
      </extLst>
    </cfRule>
  </conditionalFormatting>
  <conditionalFormatting sqref="V6:W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{1B9B44C1-B320-4447-B564-D6E1F6CC021F}</x14:id>
        </ext>
      </extLst>
    </cfRule>
  </conditionalFormatting>
  <conditionalFormatting sqref="I6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{C3D64597-AB53-4FAD-B0C7-3CF53712D436}</x14:id>
        </ext>
      </extLst>
    </cfRule>
  </conditionalFormatting>
  <conditionalFormatting sqref="E66">
    <cfRule type="containsText" dxfId="10769" priority="71" operator="containsText" text="Buy">
      <formula>NOT(ISERROR(SEARCH("Buy",E66)))</formula>
    </cfRule>
    <cfRule type="containsText" dxfId="10768" priority="72" operator="containsText" text="Sell">
      <formula>NOT(ISERROR(SEARCH("Sell",E66)))</formula>
    </cfRule>
  </conditionalFormatting>
  <conditionalFormatting sqref="E65">
    <cfRule type="containsText" dxfId="10767" priority="69" operator="containsText" text="Buy">
      <formula>NOT(ISERROR(SEARCH("Buy",E65)))</formula>
    </cfRule>
    <cfRule type="containsText" dxfId="10766" priority="70" operator="containsText" text="Sell">
      <formula>NOT(ISERROR(SEARCH("Sell",E65)))</formula>
    </cfRule>
  </conditionalFormatting>
  <conditionalFormatting sqref="L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{0A752B09-8A1C-45D8-A4B6-0D864D208B61}</x14:id>
        </ext>
      </extLst>
    </cfRule>
  </conditionalFormatting>
  <conditionalFormatting sqref="L4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{B040CB80-8D4D-4676-A531-CCE12C52E75A}</x14:id>
        </ext>
      </extLst>
    </cfRule>
  </conditionalFormatting>
  <conditionalFormatting sqref="M4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{3D1FF05B-4CEE-4055-BFBE-C446325EAF9B}</x14:id>
        </ext>
      </extLst>
    </cfRule>
  </conditionalFormatting>
  <conditionalFormatting sqref="M4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{53B02433-D184-416C-BC47-E99E371EA844}</x14:id>
        </ext>
      </extLst>
    </cfRule>
  </conditionalFormatting>
  <conditionalFormatting sqref="L4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{787BC4E3-BFF3-43F5-B536-4A37C132F45B}</x14:id>
        </ext>
      </extLst>
    </cfRule>
  </conditionalFormatting>
  <conditionalFormatting sqref="M4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{C6A0B08E-C87E-4AC8-8892-C0F23943822E}</x14:id>
        </ext>
      </extLst>
    </cfRule>
  </conditionalFormatting>
  <conditionalFormatting sqref="L4:M4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{F94169E3-3C79-40FC-92C1-DE6B5D02A1F7}</x14:id>
        </ext>
      </extLst>
    </cfRule>
  </conditionalFormatting>
  <conditionalFormatting sqref="V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{ECBABF3F-05AD-4376-A846-0EA0AB54FFC6}</x14:id>
        </ext>
      </extLst>
    </cfRule>
  </conditionalFormatting>
  <conditionalFormatting sqref="W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{5C117CC0-4ACC-42A0-9A98-35C647A1F5E8}</x14:id>
        </ext>
      </extLst>
    </cfRule>
  </conditionalFormatting>
  <conditionalFormatting sqref="X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{A3F86D3F-24B3-4738-B5A3-18510C6A664D}</x14:id>
        </ext>
      </extLst>
    </cfRule>
  </conditionalFormatting>
  <conditionalFormatting sqref="Y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{A0A52AA2-5B7C-4372-A81D-87BD4388386B}</x14:id>
        </ext>
      </extLst>
    </cfRule>
  </conditionalFormatting>
  <conditionalFormatting sqref="T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{16D8ACCC-A7C6-4D6C-B373-620473AE791B}</x14:id>
        </ext>
      </extLst>
    </cfRule>
  </conditionalFormatting>
  <conditionalFormatting sqref="L4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{91F092F2-5233-424B-8EF3-09B7B7C2ADC3}</x14:id>
        </ext>
      </extLst>
    </cfRule>
  </conditionalFormatting>
  <conditionalFormatting sqref="M4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{77771BE4-8BFB-499A-AC82-C172FC4B0692}</x14:id>
        </ext>
      </extLst>
    </cfRule>
  </conditionalFormatting>
  <conditionalFormatting sqref="L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{CFE77468-11E8-4937-8850-17FBE18389BD}</x14:id>
        </ext>
      </extLst>
    </cfRule>
  </conditionalFormatting>
  <conditionalFormatting sqref="M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{355BBFEF-457B-4CB2-A58A-FE254DEB1F25}</x14:id>
        </ext>
      </extLst>
    </cfRule>
  </conditionalFormatting>
  <conditionalFormatting sqref="V4:W4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{595393CE-0A7C-4F1D-81F8-54DC37A821AD}</x14:id>
        </ext>
      </extLst>
    </cfRule>
  </conditionalFormatting>
  <conditionalFormatting sqref="V4:W4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{23060BC4-995A-4C10-9C44-6F1AEA9BF619}</x14:id>
        </ext>
      </extLst>
    </cfRule>
  </conditionalFormatting>
  <conditionalFormatting sqref="I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{1C233F62-83D7-4417-B9E9-14F7F3C95373}</x14:id>
        </ext>
      </extLst>
    </cfRule>
  </conditionalFormatting>
  <conditionalFormatting sqref="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{01FF47FD-4F74-4E40-A574-FD8FE62CE4C1}</x14:id>
        </ext>
      </extLst>
    </cfRule>
  </conditionalFormatting>
  <conditionalFormatting sqref="L4:M4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{93AC24CA-8977-4205-A942-6E7BB440AA2A}</x14:id>
        </ext>
      </extLst>
    </cfRule>
  </conditionalFormatting>
  <conditionalFormatting sqref="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{2952B637-7A78-4451-BCB0-5A3754C6BEF9}</x14:id>
        </ext>
      </extLst>
    </cfRule>
  </conditionalFormatting>
  <conditionalFormatting sqref="V4:W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{4FE6E52F-2DB5-4EB2-97EC-96B491B088BE}</x14:id>
        </ext>
      </extLst>
    </cfRule>
  </conditionalFormatting>
  <conditionalFormatting sqref="I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{3FCDFE8A-0C0F-49BA-A0E2-EE4519BE271E}</x14:id>
        </ext>
      </extLst>
    </cfRule>
  </conditionalFormatting>
  <conditionalFormatting sqref="E69">
    <cfRule type="containsText" dxfId="10765" priority="42" operator="containsText" text="Buy">
      <formula>NOT(ISERROR(SEARCH("Buy",E69)))</formula>
    </cfRule>
    <cfRule type="containsText" dxfId="10764" priority="43" operator="containsText" text="Sell">
      <formula>NOT(ISERROR(SEARCH("Sell",E69)))</formula>
    </cfRule>
  </conditionalFormatting>
  <conditionalFormatting sqref="E68">
    <cfRule type="containsText" dxfId="10763" priority="40" operator="containsText" text="Buy">
      <formula>NOT(ISERROR(SEARCH("Buy",E68)))</formula>
    </cfRule>
    <cfRule type="containsText" dxfId="10762" priority="41" operator="containsText" text="Sell">
      <formula>NOT(ISERROR(SEARCH("Sell",E68)))</formula>
    </cfRule>
  </conditionalFormatting>
  <conditionalFormatting sqref="E58">
    <cfRule type="containsText" dxfId="10761" priority="38" operator="containsText" text="Buy">
      <formula>NOT(ISERROR(SEARCH("Buy",E58)))</formula>
    </cfRule>
    <cfRule type="containsText" dxfId="10760" priority="39" operator="containsText" text="Sell">
      <formula>NOT(ISERROR(SEARCH("Sell",E58)))</formula>
    </cfRule>
  </conditionalFormatting>
  <conditionalFormatting sqref="E57">
    <cfRule type="containsText" dxfId="10759" priority="36" operator="containsText" text="Buy">
      <formula>NOT(ISERROR(SEARCH("Buy",E57)))</formula>
    </cfRule>
    <cfRule type="containsText" dxfId="10758" priority="37" operator="containsText" text="Sell">
      <formula>NOT(ISERROR(SEARCH("Sell",E57)))</formula>
    </cfRule>
  </conditionalFormatting>
  <conditionalFormatting sqref="L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{11496B28-4783-4932-86DF-87C8A96AFD5C}</x14:id>
        </ext>
      </extLst>
    </cfRule>
  </conditionalFormatting>
  <conditionalFormatting sqref="L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{544C7634-E78F-4CF6-A9C8-C1C384CC2BC9}</x14:id>
        </ext>
      </extLst>
    </cfRule>
  </conditionalFormatting>
  <conditionalFormatting sqref="M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{4EF605F4-DAA8-4F3F-A54B-239DF71C6774}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{BAE37C3D-32DF-4554-A480-DA8AE6FEA6F1}</x14:id>
        </ext>
      </extLst>
    </cfRule>
  </conditionalFormatting>
  <conditionalFormatting sqref="L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{B86D2BB9-0207-4F08-B698-FED7593C2AFB}</x14:id>
        </ext>
      </extLst>
    </cfRule>
  </conditionalFormatting>
  <conditionalFormatting sqref="M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{A41CAE9A-D32F-4774-8229-3924A1344630}</x14:id>
        </ext>
      </extLst>
    </cfRule>
  </conditionalFormatting>
  <conditionalFormatting sqref="L5:M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{6273993F-5141-4239-83D1-D83C1442AAB3}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{2C0B9104-ED71-48A5-813A-AEAC6F4DD4A9}</x14:id>
        </ext>
      </extLst>
    </cfRule>
  </conditionalFormatting>
  <conditionalFormatting sqref="W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{97F94E3E-5776-4E3F-9B2A-787E282C9F8A}</x14:id>
        </ext>
      </extLst>
    </cfRule>
  </conditionalFormatting>
  <conditionalFormatting sqref="X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{A4178E62-F719-459B-A693-F43C04A59CEC}</x14:id>
        </ext>
      </extLst>
    </cfRule>
  </conditionalFormatting>
  <conditionalFormatting sqref="Y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{25FD478B-7074-431D-A649-9C93372323B6}</x14:id>
        </ext>
      </extLst>
    </cfRule>
  </conditionalFormatting>
  <conditionalFormatting sqref="T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{5ADF9B52-2C6B-4F34-A47F-42DC9015C2A4}</x14:id>
        </ext>
      </extLst>
    </cfRule>
  </conditionalFormatting>
  <conditionalFormatting sqref="L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{4207F814-DD4A-431B-85A3-36941B6AA9E5}</x14:id>
        </ext>
      </extLst>
    </cfRule>
  </conditionalFormatting>
  <conditionalFormatting sqref="M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{5D0585E1-040D-4516-B079-F0A33FB8B89B}</x14:id>
        </ext>
      </extLst>
    </cfRule>
  </conditionalFormatting>
  <conditionalFormatting sqref="L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{9C9AE818-EDB9-4D82-B3AD-319C98B6A6FA}</x14:id>
        </ext>
      </extLst>
    </cfRule>
  </conditionalFormatting>
  <conditionalFormatting sqref="M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{87B826EE-DE45-48DC-9554-9C403B0112B1}</x14:id>
        </ext>
      </extLst>
    </cfRule>
  </conditionalFormatting>
  <conditionalFormatting sqref="V5:W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{C7FA9224-1E07-4A10-ABB6-E8E0C0405784}</x14:id>
        </ext>
      </extLst>
    </cfRule>
  </conditionalFormatting>
  <conditionalFormatting sqref="V5:W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{46F6E687-8B22-48FB-A676-527B7EC8344E}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{ED8027AD-8341-4359-8C00-5CC661424B41}</x14:id>
        </ext>
      </extLst>
    </cfRule>
  </conditionalFormatting>
  <conditionalFormatting sqref="I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{37D1A45F-7FA9-4367-906F-94902B40DFC1}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{EC5F87BA-B8AE-468D-BD40-11CEA3E36051}</x14:id>
        </ext>
      </extLst>
    </cfRule>
  </conditionalFormatting>
  <conditionalFormatting sqref="T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{41E8D453-935D-4D19-B204-A8BD9952F91F}</x14:id>
        </ext>
      </extLst>
    </cfRule>
  </conditionalFormatting>
  <conditionalFormatting sqref="V5:W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{5F1D293F-F6EA-4B3D-9C0A-EE209D7E2CAE}</x14:id>
        </ext>
      </extLst>
    </cfRule>
  </conditionalFormatting>
  <conditionalFormatting sqref="I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{AB184D40-DF21-4F29-B596-C0B60B56AB49}</x14:id>
        </ext>
      </extLst>
    </cfRule>
  </conditionalFormatting>
  <conditionalFormatting sqref="E46">
    <cfRule type="containsText" dxfId="10757" priority="9" operator="containsText" text="Buy">
      <formula>NOT(ISERROR(SEARCH("Buy",E46)))</formula>
    </cfRule>
    <cfRule type="containsText" dxfId="10756" priority="10" operator="containsText" text="Sell">
      <formula>NOT(ISERROR(SEARCH("Sell",E46)))</formula>
    </cfRule>
  </conditionalFormatting>
  <conditionalFormatting sqref="E45">
    <cfRule type="containsText" dxfId="10755" priority="7" operator="containsText" text="Buy">
      <formula>NOT(ISERROR(SEARCH("Buy",E45)))</formula>
    </cfRule>
    <cfRule type="containsText" dxfId="10754" priority="8" operator="containsText" text="Sell">
      <formula>NOT(ISERROR(SEARCH("Sell",E45)))</formula>
    </cfRule>
  </conditionalFormatting>
  <conditionalFormatting sqref="H2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{7F9F4742-8BDA-4343-B189-67B0BA5027E7}</x14:id>
        </ext>
      </extLst>
    </cfRule>
    <cfRule type="cellIs" dxfId="10753" priority="6" operator="equal">
      <formula>1</formula>
    </cfRule>
  </conditionalFormatting>
  <conditionalFormatting sqref="X9 X7 X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{B430A1FE-F2A1-484F-97CF-3C6D1F19E2D2}</x14:id>
        </ext>
      </extLst>
    </cfRule>
  </conditionalFormatting>
  <conditionalFormatting sqref="Y9 Y7 Y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{96806E95-3905-4A7B-A5F6-DA274D4519C1}</x14:id>
        </ext>
      </extLst>
    </cfRule>
  </conditionalFormatting>
  <conditionalFormatting sqref="I9 I7 I11">
    <cfRule type="dataBar" priority="5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{8C146C93-3E91-4F9F-BC7F-3FF3B5462DF0}</x14:id>
        </ext>
      </extLst>
    </cfRule>
  </conditionalFormatting>
  <conditionalFormatting sqref="I9 I11">
    <cfRule type="dataBar" priority="5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{AA5D701E-39D3-4D8A-B7DB-837E0DF0AAA8}</x14:id>
        </ext>
      </extLst>
    </cfRule>
  </conditionalFormatting>
  <conditionalFormatting sqref="I9 I7 I11:I15">
    <cfRule type="dataBar" priority="5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{CDDCA7DD-1047-46ED-9E29-A0632F95DA4C}</x14:id>
        </ext>
      </extLst>
    </cfRule>
  </conditionalFormatting>
  <conditionalFormatting sqref="L7:M9 L11:M13">
    <cfRule type="dataBar" priority="5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{1BC40329-896F-4AA8-B642-61392A1080E0}</x14:id>
        </ext>
      </extLst>
    </cfRule>
  </conditionalFormatting>
  <conditionalFormatting sqref="T7:T9 T11:T15">
    <cfRule type="dataBar" priority="5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{ED04BE09-FE01-4A31-ADE6-1FB170B88D05}</x14:id>
        </ext>
      </extLst>
    </cfRule>
  </conditionalFormatting>
  <conditionalFormatting sqref="V7:W9 V11:W13">
    <cfRule type="dataBar" priority="5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{7887304D-42B4-4178-90F0-6E154014D5F7}</x14:id>
        </ext>
      </extLst>
    </cfRule>
  </conditionalFormatting>
  <conditionalFormatting sqref="I7:I15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{979070AB-FD03-4B38-B11D-D9ED7BF85044}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{69AA06D2-6534-4A71-B823-007AD2138997}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{C58FADF4-C064-4076-8307-9E432CA446B5}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3EC24E-DF03-4A70-BE44-2A591D055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9B76584-D532-40D6-8E89-3EC08059E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A343786-B3BF-41C3-BBD0-2042616DCB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FDA652A-5AA9-4E61-BD97-F8C125248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E30A5B08-98CD-4AB2-89F4-EE517AAEF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19CBF2A-2FF5-4B80-8C80-A8688FC7C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BD55CAD-FE4F-48C2-AC30-4A663BE09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6747FE2-5DF6-43A5-B993-C612EFC7E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AE66AD8-F5ED-48F2-BE37-4DDC09C6C2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A61983A-900C-450F-8381-49C3A5236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A2AEA5C6-5060-4730-A56A-5E12A981B8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0E834C7-9EA8-484A-83DC-6239E94FE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C76AB98-100A-4AD5-8397-8D58EECD3F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1ABC35E-EE9F-40C2-9DA0-706F83359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334BA14C-76EC-4D5B-8EAA-F76529DD71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2A0E6C3-8E1E-42CF-9581-689E00C1F1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5802F68F-9898-4F19-8A3A-05677B168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39C0BD1-A949-4EFB-B527-68E075925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C195BC0-2E81-445F-87DC-5C32623AC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7ECE3-534B-4731-9DDF-61B9135DDC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BBDB2239-E2F7-45CD-B0D3-6E1E9A5A82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81A597B-3DB6-4D98-8D13-CD8DB332AB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7ADF09D-1CBF-4EB9-8C4B-D54810D6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18EE7A6-3E4E-4FC7-8758-5ED5B4366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E4CF9-AB53-497D-906A-B5064A3765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F96B87F-3890-4AC8-A681-4C9FA8C829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3A75676-C316-4C58-AF50-7E590E035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AAF496F4-CD9F-4F61-AAB0-B70F398E4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63408F1-8422-4025-B684-224FE2C7E8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81443C2-A402-440C-952F-929A682A01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51B9F34-CB51-43A3-B7E5-F3235ED85E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E7329EB7-EDBC-4DAA-A491-4C50DEFD6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3022807-6EDA-455B-8A63-5901A3B19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278D59-7F17-4093-A043-83B248FB5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B04F188-501C-4A11-AB6D-CC72420B5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2A8E5C29-EF12-46F1-A756-59E00C3EE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FE65B3F-22F4-4F5B-B737-29A634339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2E5B147-018A-4AC6-9BAB-EB27A17F44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022EE9A1-409C-4807-A33A-7D2BE3C7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2F93135B-EBA2-4756-9605-15775B745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</xm:sqref>
        </x14:conditionalFormatting>
        <x14:conditionalFormatting xmlns:xm="http://schemas.microsoft.com/office/excel/2006/main">
          <x14:cfRule type="dataBar" id="{9E345FEF-EF3F-4350-AFDE-9FB38ED4F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M12:M13</xm:sqref>
        </x14:conditionalFormatting>
        <x14:conditionalFormatting xmlns:xm="http://schemas.microsoft.com/office/excel/2006/main">
          <x14:cfRule type="dataBar" id="{75CDF447-8749-44DE-B226-A83FFE2EFC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E69E9C2-7EF8-4545-A4EF-5A19A954C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T12:T13</xm:sqref>
        </x14:conditionalFormatting>
        <x14:conditionalFormatting xmlns:xm="http://schemas.microsoft.com/office/excel/2006/main">
          <x14:cfRule type="dataBar" id="{873AD201-BAF3-47FB-A15D-ADB0A6BF4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FDF0BE6-F7BF-4211-8AE9-778D4143FA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3BDBA0-2953-43CB-A449-0D4EEB36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761690E-584F-4398-9EA6-6E53FB770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D308070-7F8D-4426-9363-2039B1D73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5FF8DEB-723C-4941-B650-23B890783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5B43DBE-6C74-422B-BA9A-E2F5F886F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3F7738F-EF9F-4F31-AF62-3709C8AEEB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518E8E0A-1689-4D50-9C5D-DDEE48E1AE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EC6B75F-6864-47B2-A5DA-5FA310C93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1F59495-8B55-4E64-B1FF-93D4173676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F03E6-51C0-4663-A7A2-7179748A18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973EC0-5ED3-45C6-A021-D57583981C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5D2B58F-A590-4347-8E46-981AA5D9EB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5B621B7-0606-46E1-A5D2-96B54E1C99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4B07530-DE20-4D12-8D60-31C1850BE3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1863EFA-D5AB-44B8-A915-EE1FEB9D08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FAD354C-50DD-419C-8758-59AD59E06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D64203-F8AD-432D-8393-E3FB6F88B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5ABF3D4-0A22-498F-AE00-FCE480A89D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52C2648-76DB-43A7-860E-0E4BC3474A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91F7DE8-1B89-49BD-9DC8-0E9747FEAD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155E899-37BE-4393-BE8C-8D2D5AF32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AE65D73-5C5E-4A31-9D9F-7FCCA8A120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0C6FA97B-4EAD-468F-898E-A1A50F9AA6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13D49F-EE8D-4837-93E9-71B0768EB2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F690206-D5D0-412C-AC4C-0C58EE14DC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A41A3-1B53-48B7-AD07-61396EDC9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BF9FDAC-E6C1-43BF-BC4E-5B2D21773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C1917908-1589-4D4E-90D7-87282B91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5E3302F3-DE01-4BA3-86E1-D91B0C722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29A5A5D-8046-47D1-9EBA-D0A8680587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06B8C82F-218F-4653-90E5-0845815E35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0E6CAF8F-4272-4C25-88CB-43825C4E9C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650EEECB-4267-4F2A-99C2-FACA73ADDE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952C16-2AFE-4A63-B721-70EBB1CDED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6431C928-AFFF-4E55-8594-B454730F3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64B2DB15-692C-452C-B7DF-815E21DD35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12BF4F8E-88F1-4831-8CF2-EFE245A95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A849E7-FD65-4A37-A06A-ABCFAF90C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400B96-B42C-4100-BBBC-9F5409C4B5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B906AA1-9689-4931-9CE1-C2B0427A4F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B876839-557E-4871-A8AC-89841E4C6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779954F-767B-411D-A864-094B04200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823B375-0339-4FCE-B9DE-DC34E465D8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D478E92-E8A0-4051-885D-91E009791C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354B08-353E-488B-A3D0-27F7B468D9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4517F3C-A9DF-4B2F-A344-DD5F5C0585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7A04BEE-E934-4081-A0DD-7C28A5ED16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8D7C3CF1-DB1A-4E0A-8C9D-7D32630DB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A91340FD-DF50-412F-A4AA-03297222CB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4EEEB09-296A-4F35-869D-F8B316409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BC8C558-0072-4943-A3EF-A2FD6112D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680BFA3-DC0F-4270-93A2-1C58FB1E0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5407E235-1418-4016-92B5-A5F465111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7CD690BD-AA84-4DCE-84DB-CFC205D2B8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F62E4B66-C5E8-4C57-9C2A-0BF5759D24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CAC6F00D-7E2A-4A06-9E78-519EC57914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0FBF2DC-6BCA-4998-834E-219B7987C9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79A07772-EA8B-4FE9-A276-65DAD0D230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4D3F63A-9975-47EB-8939-359700507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411BAD-0BE1-46E6-B6E0-BBE093EA40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C63413E-20BC-44FC-A56A-FCD4B2A7F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227242D-E339-4C5E-B27A-5BE5E6181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D7A8656-5B8B-476A-A751-5E77D16B1A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E83A32E-019C-4CED-AB05-77A8CCF473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725BD65-E401-43BF-B37C-5EE03AC9EA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36D76484-6C16-4557-9E19-D449711FD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D32D660-9A01-4CBC-ACC8-A25122A0C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6D4EE8C3-48F4-4E3B-BD1D-CFBCB866D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E15362D-8E9D-4F75-A004-117041B79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04559CF-5FE4-4CB6-A610-1C1D48AA62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1605E69-3CC9-4F76-840D-53B1311990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CE72ECA-D284-4E8C-BA10-E6D1FD59B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C5A0231-F386-4536-B7FE-4F518219D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85F75579-DDC1-486B-9ED1-CE1F81E7B4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12F95D9-A6EA-40E6-8D17-9F6343470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28762F69-5079-4696-A320-07A6DC6154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6F6301E-2D09-4C1F-8F67-6915498C7D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CFAB32A-FEA7-41CB-BFF3-F65CA3A493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85837EE-D272-461A-AD9B-AC79BD0B0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3DB35B6-9D7F-48B5-83B5-0407C3F53F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5967F37-DEC5-4C74-9F73-56272EF73B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AE2A52B6-A525-4B5F-9591-A1A552956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F932D97-88C3-490B-9CD5-B8DBF6EB8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8D1905C-8B11-435D-8614-F06862A8C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15B7B0F-DA8F-4AFE-A02F-CC495A10F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ED832DA-DB1E-4BF5-98E3-09FA00C586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05ED9A7-736F-49AC-A739-D20F17983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CF974856-04D9-432D-A159-95F002BBB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D2587C2-077C-484E-8548-ACA5C72E4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0982191-0023-46F3-9DAB-01F7989D4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6DF61A9-884A-4333-AC11-8FB534CE9D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8D40419-6EDF-4872-A09E-66B3D955B1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5618A7-55E6-4AFA-A41E-8D80B096D8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6137A4B-95AA-4FA5-A485-8EA9F1317D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6291C64-05F3-4800-A2DB-759E0549AD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A876BBD-1C29-4363-8A92-9BF289492F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D9E5AAE-CC0E-4566-B9AC-1C4D346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5FA94BE-CDE3-4C5D-A154-983D0E1D5E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5ACB05F-23D8-4DB1-84CD-6A6B16C61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AF48B75D-0213-4D54-AD63-0B5588DF3D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D89F599-C97F-43AF-9D04-40B57618FC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D44BDE2-78C9-4EB6-95FB-D51EDF24E7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F9A3888-E4C1-4FAE-B451-4E7FB49F3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B9B44C1-B320-4447-B564-D6E1F6CC0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3D64597-AB53-4FAD-B0C7-3CF53712D4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A752B09-8A1C-45D8-A4B6-0D864D208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040CB80-8D4D-4676-A531-CCE12C52E7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D1FF05B-4CEE-4055-BFBE-C446325EAF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3B02433-D184-416C-BC47-E99E371EA8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787BC4E3-BFF3-43F5-B536-4A37C132F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6A0B08E-C87E-4AC8-8892-C0F2394382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94169E3-3C79-40FC-92C1-DE6B5D02A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CBABF3F-05AD-4376-A846-0EA0AB54FF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117CC0-4ACC-42A0-9A98-35C647A1F5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3F86D3F-24B3-4738-B5A3-18510C6A66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0A52AA2-5B7C-4372-A81D-87BD43883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6D8ACCC-A7C6-4D6C-B373-620473AE7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1F092F2-5233-424B-8EF3-09B7B7C2AD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7771BE4-8BFB-499A-AC82-C172FC4B0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FE77468-11E8-4937-8850-17FBE18389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55BBFEF-457B-4CB2-A58A-FE254DEB1F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5393CE-0A7C-4F1D-81F8-54DC37A821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3060BC4-995A-4C10-9C44-6F1AEA9BF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233F62-83D7-4417-B9E9-14F7F3C953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1FF47FD-4F74-4E40-A574-FD8FE62CE4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3AC24CA-8977-4205-A942-6E7BB440A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952B637-7A78-4451-BCB0-5A3754C6B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FE6E52F-2DB5-4EB2-97EC-96B491B088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3FCDFE8A-0C0F-49BA-A0E2-EE4519BE2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496B28-4783-4932-86DF-87C8A96AFD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44C7634-E78F-4CF6-A9C8-C1C384CC2B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F605F4-DAA8-4F3F-A54B-239DF71C67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AE37C3D-32DF-4554-A480-DA8AE6FEA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86D2BB9-0207-4F08-B698-FED7593C2A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A41CAE9A-D32F-4774-8229-3924A1344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273993F-5141-4239-83D1-D83C1442A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C0B9104-ED71-48A5-813A-AEAC6F4DD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7F94E3E-5776-4E3F-9B2A-787E282C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4178E62-F719-459B-A693-F43C04A59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25FD478B-7074-431D-A649-9C9337232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5ADF9B52-2C6B-4F34-A47F-42DC9015C2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207F814-DD4A-431B-85A3-36941B6AA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D0585E1-040D-4516-B079-F0A33FB8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C9AE818-EDB9-4D82-B3AD-319C98B6A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B826EE-DE45-48DC-9554-9C403B011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FA9224-1E07-4A10-ABB6-E8E0C0405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46F6E687-8B22-48FB-A676-527B7EC834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D8027AD-8341-4359-8C00-5CC661424B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7D1A45F-7FA9-4367-906F-94902B40DF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C5F87BA-B8AE-468D-BD40-11CEA3E36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E8D453-935D-4D19-B204-A8BD9952F9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F1D293F-F6EA-4B3D-9C0A-EE209D7E2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AB184D40-DF21-4F29-B596-C0B60B56A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F9F4742-8BDA-4343-B189-67B0BA502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B430A1FE-F2A1-484F-97CF-3C6D1F19E2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X7 X11</xm:sqref>
        </x14:conditionalFormatting>
        <x14:conditionalFormatting xmlns:xm="http://schemas.microsoft.com/office/excel/2006/main">
          <x14:cfRule type="dataBar" id="{96806E95-3905-4A7B-A5F6-DA274D4519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Y7 Y11</xm:sqref>
        </x14:conditionalFormatting>
        <x14:conditionalFormatting xmlns:xm="http://schemas.microsoft.com/office/excel/2006/main">
          <x14:cfRule type="dataBar" id="{8C146C93-3E91-4F9F-BC7F-3FF3B5462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</xm:sqref>
        </x14:conditionalFormatting>
        <x14:conditionalFormatting xmlns:xm="http://schemas.microsoft.com/office/excel/2006/main">
          <x14:cfRule type="dataBar" id="{AA5D701E-39D3-4D8A-B7DB-837E0DF0AA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I11</xm:sqref>
        </x14:conditionalFormatting>
        <x14:conditionalFormatting xmlns:xm="http://schemas.microsoft.com/office/excel/2006/main">
          <x14:cfRule type="dataBar" id="{CDDCA7DD-1047-46ED-9E29-A0632F95DA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 I7 I11:I15</xm:sqref>
        </x14:conditionalFormatting>
        <x14:conditionalFormatting xmlns:xm="http://schemas.microsoft.com/office/excel/2006/main">
          <x14:cfRule type="dataBar" id="{1BC40329-896F-4AA8-B642-61392A1080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L7:M9 L11:M13</xm:sqref>
        </x14:conditionalFormatting>
        <x14:conditionalFormatting xmlns:xm="http://schemas.microsoft.com/office/excel/2006/main">
          <x14:cfRule type="dataBar" id="{ED04BE09-FE01-4A31-ADE6-1FB170B88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T7:T9 T11:T15</xm:sqref>
        </x14:conditionalFormatting>
        <x14:conditionalFormatting xmlns:xm="http://schemas.microsoft.com/office/excel/2006/main">
          <x14:cfRule type="dataBar" id="{7887304D-42B4-4178-90F0-6E154014D5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V7:W9 V11:W13</xm:sqref>
        </x14:conditionalFormatting>
        <x14:conditionalFormatting xmlns:xm="http://schemas.microsoft.com/office/excel/2006/main">
          <x14:cfRule type="dataBar" id="{979070AB-FD03-4B38-B11D-D9ED7BF850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I7:I15</xm:sqref>
        </x14:conditionalFormatting>
        <x14:conditionalFormatting xmlns:xm="http://schemas.microsoft.com/office/excel/2006/main">
          <x14:cfRule type="dataBar" id="{69AA06D2-6534-4A71-B823-007AD21389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C58FADF4-C064-4076-8307-9E432CA446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132" id="{E6F24AB5-D3F3-4F48-94CF-2C9D8CD1E37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  <x14:conditionalFormatting xmlns:xm="http://schemas.microsoft.com/office/excel/2006/main">
          <x14:cfRule type="iconSet" priority="106" id="{C8737456-8855-4E33-B303-828141DC31C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78" id="{B24B61A0-30E6-465A-97EF-CA5D864C660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49" id="{15D3960D-0DD0-4783-B24B-2069D2D1065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6" id="{B17D65B9-D44A-4602-8CCE-23406A4BE8A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4" operator="containsText" text="Buy" id="{ABCE2142-04C4-4514-9476-6E7C7FA38347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" operator="containsText" text="Sell" id="{5A706DDA-50E3-478C-A211-2FE466C314D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iconSet" priority="584" id="{53AA5630-8D47-4BB7-9B49-89D6BB547D1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 J9 J11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  <pageSetUpPr fitToPage="1"/>
  </sheetPr>
  <dimension ref="A1:Y325"/>
  <sheetViews>
    <sheetView topLeftCell="D1" workbookViewId="0">
      <selection activeCell="O8" sqref="O8"/>
    </sheetView>
  </sheetViews>
  <sheetFormatPr defaultRowHeight="12.75" x14ac:dyDescent="0.2"/>
  <cols>
    <col min="1" max="1" width="3.5703125" style="32" customWidth="1"/>
    <col min="2" max="2" width="21.140625" style="32" customWidth="1"/>
    <col min="3" max="3" width="11.28515625" style="32" customWidth="1"/>
    <col min="4" max="4" width="14.42578125" style="32" customWidth="1"/>
    <col min="5" max="5" width="9.42578125" style="49" customWidth="1"/>
    <col min="6" max="6" width="12.42578125" style="49" customWidth="1"/>
    <col min="7" max="7" width="11.28515625" style="32" customWidth="1"/>
    <col min="8" max="8" width="11.140625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0.8554687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2.7109375" style="32" customWidth="1"/>
    <col min="22" max="22" width="11.28515625" style="32" customWidth="1"/>
    <col min="23" max="23" width="9.140625" style="32"/>
    <col min="24" max="24" width="11.140625" style="32" customWidth="1"/>
    <col min="25" max="25" width="11.7109375" style="32" customWidth="1"/>
    <col min="26" max="26" width="9.140625" style="32" customWidth="1"/>
    <col min="27" max="16384" width="9.140625" style="32"/>
  </cols>
  <sheetData>
    <row r="1" spans="1:25" x14ac:dyDescent="0.2">
      <c r="B1" s="146"/>
    </row>
    <row r="2" spans="1:25" x14ac:dyDescent="0.2">
      <c r="F2" s="180"/>
      <c r="G2" s="144"/>
      <c r="H2" s="9"/>
    </row>
    <row r="3" spans="1:25" s="626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812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189" customFormat="1" ht="15" x14ac:dyDescent="0.25">
      <c r="A4" s="21"/>
      <c r="B4" s="46" t="s">
        <v>349</v>
      </c>
      <c r="C4" s="103" t="s">
        <v>819</v>
      </c>
      <c r="D4" s="44" t="e">
        <f t="shared" ref="D4:D13" ca="1" si="0">Q4/$Q$17</f>
        <v>#NAME?</v>
      </c>
      <c r="E4" s="109">
        <v>665</v>
      </c>
      <c r="F4" s="109">
        <v>74.680000000000007</v>
      </c>
      <c r="G4" s="38" t="e">
        <f ca="1">_xll.BDP($C4,"PX_LAST")</f>
        <v>#NAME?</v>
      </c>
      <c r="H4" s="38" t="e">
        <f ca="1">_xll.BDP($C4,"BEST_TARGET_PRICE")</f>
        <v>#NAME?</v>
      </c>
      <c r="I4" s="414" t="e">
        <f t="shared" ref="I4:I13" ca="1" si="1">H4/G4-1</f>
        <v>#NAME?</v>
      </c>
      <c r="J4" s="38" t="e">
        <f ca="1">_xll.BDP($C4,"EQY_REC_CONS")</f>
        <v>#NAME?</v>
      </c>
      <c r="K4" s="106" t="e">
        <f ca="1">_xll.BDP($C4,"CRNCY")</f>
        <v>#NAME?</v>
      </c>
      <c r="L4" s="44">
        <f t="shared" ref="L4:L12" si="2">P4/N4-1</f>
        <v>-0.11670978473546423</v>
      </c>
      <c r="M4" s="44" t="e">
        <f ca="1">G4/F4-1</f>
        <v>#NAME?</v>
      </c>
      <c r="N4" s="109">
        <v>3105302.96</v>
      </c>
      <c r="O4" s="109">
        <v>49662.6</v>
      </c>
      <c r="P4" s="109">
        <v>2742883.72</v>
      </c>
      <c r="Q4" s="109">
        <v>47042.1</v>
      </c>
      <c r="R4" s="142">
        <f t="shared" ref="R4:S13" si="3">P4-N4</f>
        <v>-362419.23999999976</v>
      </c>
      <c r="S4" s="142">
        <f t="shared" si="3"/>
        <v>-2620.5</v>
      </c>
      <c r="T4" s="731" t="e">
        <f ca="1">_xll.BDP($C4,"EQY_DVD_YLD_EST")</f>
        <v>#NAME?</v>
      </c>
      <c r="U4" s="109">
        <v>47042.1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_xll.BDP($C4,"DVD_EX_DT")</f>
        <v>#NAME?</v>
      </c>
      <c r="Y4" s="82" t="e">
        <f ca="1">_xll.BDP($C4,"BDVD_NEXT_EST_DECL_DT")</f>
        <v>#NAME?</v>
      </c>
    </row>
    <row r="5" spans="1:25" s="189" customFormat="1" ht="15" x14ac:dyDescent="0.25">
      <c r="A5" s="21"/>
      <c r="B5" s="46" t="s">
        <v>205</v>
      </c>
      <c r="C5" s="103" t="s">
        <v>194</v>
      </c>
      <c r="D5" s="44" t="e">
        <f t="shared" ca="1" si="0"/>
        <v>#NAME?</v>
      </c>
      <c r="E5" s="109">
        <v>25847</v>
      </c>
      <c r="F5" s="109">
        <v>128.75</v>
      </c>
      <c r="G5" s="38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>
        <f t="shared" si="2"/>
        <v>0.25750847579465219</v>
      </c>
      <c r="M5" s="44" t="e">
        <f ca="1">G5/F5-1</f>
        <v>#NAME?</v>
      </c>
      <c r="N5" s="109">
        <v>2546864.44</v>
      </c>
      <c r="O5" s="109">
        <v>40792.19</v>
      </c>
      <c r="P5" s="109">
        <v>3202703.62</v>
      </c>
      <c r="Q5" s="109">
        <v>54932.76</v>
      </c>
      <c r="R5" s="142">
        <f t="shared" si="3"/>
        <v>655839.18000000017</v>
      </c>
      <c r="S5" s="142">
        <f t="shared" si="3"/>
        <v>14140.57</v>
      </c>
      <c r="T5" s="731" t="e">
        <f ca="1">_xll.BDP($C5,"EQY_DVD_YLD_EST")</f>
        <v>#NAME?</v>
      </c>
      <c r="U5" s="109">
        <v>54932.76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_xll.BDP($C5,"DVD_EX_DT")</f>
        <v>#NAME?</v>
      </c>
      <c r="Y5" s="82" t="e">
        <f ca="1">_xll.BDP($C5,"BDVD_NEXT_EST_DECL_DT")</f>
        <v>#NAME?</v>
      </c>
    </row>
    <row r="6" spans="1:25" s="189" customFormat="1" ht="15" x14ac:dyDescent="0.25">
      <c r="A6" s="21"/>
      <c r="B6" s="46" t="s">
        <v>833</v>
      </c>
      <c r="C6" s="103" t="s">
        <v>1103</v>
      </c>
      <c r="D6" s="44" t="e">
        <f t="shared" ca="1" si="0"/>
        <v>#NAME?</v>
      </c>
      <c r="E6" s="109">
        <v>1315</v>
      </c>
      <c r="F6" s="109">
        <v>38.630000000000003</v>
      </c>
      <c r="G6" s="38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>
        <f t="shared" si="2"/>
        <v>-4.123674759093221E-2</v>
      </c>
      <c r="M6" s="44" t="e">
        <f ca="1">G6/F6-1</f>
        <v>#NAME?</v>
      </c>
      <c r="N6" s="109">
        <v>2911761.16</v>
      </c>
      <c r="O6" s="109">
        <v>50804.99</v>
      </c>
      <c r="P6" s="109">
        <v>2791689.6</v>
      </c>
      <c r="Q6" s="109">
        <v>47879.15</v>
      </c>
      <c r="R6" s="142">
        <f t="shared" si="3"/>
        <v>-120071.56000000006</v>
      </c>
      <c r="S6" s="142">
        <f t="shared" si="3"/>
        <v>-2925.8399999999965</v>
      </c>
      <c r="T6" s="731" t="e">
        <f ca="1">_xll.BDP($C6,"EQY_DVD_YLD_EST")</f>
        <v>#NAME?</v>
      </c>
      <c r="U6" s="109">
        <v>47879.15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_xll.BDP($C6,"DVD_EX_DT")</f>
        <v>#NAME?</v>
      </c>
      <c r="Y6" s="82" t="e">
        <f ca="1">_xll.BDP($C6,"BDVD_NEXT_EST_DECL_DT")</f>
        <v>#NAME?</v>
      </c>
    </row>
    <row r="7" spans="1:25" s="189" customFormat="1" ht="15" x14ac:dyDescent="0.25">
      <c r="A7" s="21"/>
      <c r="B7" s="46" t="s">
        <v>831</v>
      </c>
      <c r="C7" s="103" t="s">
        <v>745</v>
      </c>
      <c r="D7" s="44" t="e">
        <f t="shared" ref="D7:D8" ca="1" si="4">Q7/$Q$17</f>
        <v>#NAME?</v>
      </c>
      <c r="E7" s="109">
        <v>957</v>
      </c>
      <c r="F7" s="109">
        <v>52.61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ref="I7:I8" ca="1" si="5">H7/G7-1</f>
        <v>#NAME?</v>
      </c>
      <c r="J7" s="38" t="e">
        <f ca="1">_xll.BDP($C7,"EQY_REC_CONS")</f>
        <v>#NAME?</v>
      </c>
      <c r="K7" s="106" t="e">
        <f ca="1">_xll.BDP($C7,"CRNCY")</f>
        <v>#NAME?</v>
      </c>
      <c r="L7" s="44">
        <f t="shared" ref="L7:L8" si="6">P7/N7-1</f>
        <v>2.3837475699228783E-4</v>
      </c>
      <c r="M7" s="44" t="e">
        <f ca="1">G7/F7-1</f>
        <v>#NAME?</v>
      </c>
      <c r="N7" s="109">
        <v>3218881.1</v>
      </c>
      <c r="O7" s="109">
        <v>50344.34</v>
      </c>
      <c r="P7" s="109">
        <v>3219648.4</v>
      </c>
      <c r="Q7" s="109">
        <v>55218.9</v>
      </c>
      <c r="R7" s="142">
        <f t="shared" ref="R7:R8" si="7">P7-N7</f>
        <v>767.29999999981374</v>
      </c>
      <c r="S7" s="142">
        <f t="shared" ref="S7:S8" si="8">Q7-O7</f>
        <v>4874.5600000000049</v>
      </c>
      <c r="T7" s="731" t="e">
        <f ca="1">_xll.BDP($C7,"EQY_DVD_YLD_EST")</f>
        <v>#NAME?</v>
      </c>
      <c r="U7" s="109">
        <v>55218.9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_xll.BDP($C7,"DVD_EX_DT")</f>
        <v>#NAME?</v>
      </c>
      <c r="Y7" s="82" t="e">
        <f ca="1">_xll.BDP($C7,"BDVD_NEXT_EST_DECL_DT")</f>
        <v>#NAME?</v>
      </c>
    </row>
    <row r="8" spans="1:25" s="189" customFormat="1" ht="15" x14ac:dyDescent="0.25">
      <c r="A8" s="21"/>
      <c r="B8" s="46" t="s">
        <v>790</v>
      </c>
      <c r="C8" s="103" t="s">
        <v>197</v>
      </c>
      <c r="D8" s="44" t="e">
        <f t="shared" ca="1" si="4"/>
        <v>#NAME?</v>
      </c>
      <c r="E8" s="109">
        <v>6991</v>
      </c>
      <c r="F8" s="109">
        <v>784.08</v>
      </c>
      <c r="G8" s="734" t="e">
        <f ca="1">_xll.BDP($C8,"PX_LAST")</f>
        <v>#NAME?</v>
      </c>
      <c r="H8" s="38" t="e">
        <f ca="1">_xll.BDP($C8,"BEST_TARGET_PRICE")</f>
        <v>#NAME?</v>
      </c>
      <c r="I8" s="414" t="e">
        <f t="shared" ca="1" si="5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>
        <f t="shared" si="6"/>
        <v>9.2726948482127369E-2</v>
      </c>
      <c r="M8" s="44">
        <f>Q8/O8-1</f>
        <v>0.17913041122915718</v>
      </c>
      <c r="N8" s="109">
        <v>4227216.8600000003</v>
      </c>
      <c r="O8" s="109">
        <v>67192.22</v>
      </c>
      <c r="P8" s="109">
        <v>4619193.78</v>
      </c>
      <c r="Q8" s="109">
        <v>79228.39</v>
      </c>
      <c r="R8" s="135">
        <f t="shared" si="7"/>
        <v>391976.91999999993</v>
      </c>
      <c r="S8" s="142">
        <f t="shared" si="8"/>
        <v>12036.169999999998</v>
      </c>
      <c r="T8" s="731" t="e">
        <f ca="1">_xll.BDP($C8,"EQY_DVD_YLD_EST")</f>
        <v>#NAME?</v>
      </c>
      <c r="U8" s="109">
        <v>79228.39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_xll.BDP($C8,"DVD_EX_DT")</f>
        <v>#NAME?</v>
      </c>
      <c r="Y8" s="82" t="e">
        <f ca="1">_xll.BDP($C8,"BDVD_NEXT_EST_DECL_DT")</f>
        <v>#NAME?</v>
      </c>
    </row>
    <row r="9" spans="1:25" s="189" customFormat="1" ht="15" x14ac:dyDescent="0.25">
      <c r="A9" s="21"/>
      <c r="B9" s="46" t="s">
        <v>725</v>
      </c>
      <c r="C9" s="103" t="s">
        <v>982</v>
      </c>
      <c r="D9" s="44" t="e">
        <f t="shared" ca="1" si="0"/>
        <v>#NAME?</v>
      </c>
      <c r="E9" s="109">
        <v>13120</v>
      </c>
      <c r="F9" s="109">
        <v>221.65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>
        <f t="shared" si="2"/>
        <v>0.36070448610698991</v>
      </c>
      <c r="M9" s="44" t="e">
        <f ca="1">G9/F9-1</f>
        <v>#NAME?</v>
      </c>
      <c r="N9" s="109">
        <v>2908046.56</v>
      </c>
      <c r="O9" s="109">
        <v>49771.88</v>
      </c>
      <c r="P9" s="109">
        <v>3956992</v>
      </c>
      <c r="Q9" s="109">
        <v>67862.460000000006</v>
      </c>
      <c r="R9" s="142">
        <f t="shared" si="3"/>
        <v>1048945.44</v>
      </c>
      <c r="S9" s="142">
        <f t="shared" si="3"/>
        <v>18090.580000000009</v>
      </c>
      <c r="T9" s="731" t="e">
        <f ca="1">_xll.BDP($C9,"EQY_DVD_YLD_EST")</f>
        <v>#NAME?</v>
      </c>
      <c r="U9" s="109">
        <v>67862.460000000006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_xll.BDP($C9,"DVD_EX_DT")</f>
        <v>#NAME?</v>
      </c>
      <c r="Y9" s="82" t="e">
        <f ca="1">_xll.BDP($C9,"BDVD_NEXT_EST_DECL_DT")</f>
        <v>#NAME?</v>
      </c>
    </row>
    <row r="10" spans="1:25" s="189" customFormat="1" ht="15" x14ac:dyDescent="0.25">
      <c r="A10" s="21"/>
      <c r="B10" s="46" t="s">
        <v>831</v>
      </c>
      <c r="C10" s="103" t="s">
        <v>204</v>
      </c>
      <c r="D10" s="44" t="e">
        <f t="shared" ca="1" si="0"/>
        <v>#NAME?</v>
      </c>
      <c r="E10" s="109">
        <v>14000</v>
      </c>
      <c r="F10" s="109">
        <v>3.57</v>
      </c>
      <c r="G10" s="38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>
        <f t="shared" si="2"/>
        <v>4.7326406176514402E-2</v>
      </c>
      <c r="M10" s="44" t="e">
        <f ca="1">G10/F10-1</f>
        <v>#NAME?</v>
      </c>
      <c r="N10" s="109">
        <v>3195586.19</v>
      </c>
      <c r="O10" s="109">
        <v>49980</v>
      </c>
      <c r="P10" s="109">
        <v>3346821.8</v>
      </c>
      <c r="Q10" s="109">
        <v>57400</v>
      </c>
      <c r="R10" s="142">
        <f t="shared" si="3"/>
        <v>151235.60999999987</v>
      </c>
      <c r="S10" s="142">
        <f t="shared" si="3"/>
        <v>7420</v>
      </c>
      <c r="T10" s="731" t="e">
        <f ca="1">_xll.BDP($C10,"EQY_DVD_YLD_EST")</f>
        <v>#NAME?</v>
      </c>
      <c r="U10" s="109">
        <v>57400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_xll.BDP($C10,"DVD_EX_DT")</f>
        <v>#NAME?</v>
      </c>
      <c r="Y10" s="82" t="e">
        <f ca="1">_xll.BDP($C10,"BDVD_NEXT_EST_DECL_DT")</f>
        <v>#NAME?</v>
      </c>
    </row>
    <row r="11" spans="1:25" s="189" customFormat="1" ht="15" x14ac:dyDescent="0.25">
      <c r="A11" s="21"/>
      <c r="B11" s="46" t="s">
        <v>790</v>
      </c>
      <c r="C11" s="103" t="s">
        <v>1104</v>
      </c>
      <c r="D11" s="44" t="e">
        <f t="shared" ca="1" si="0"/>
        <v>#NAME?</v>
      </c>
      <c r="E11" s="109">
        <v>800</v>
      </c>
      <c r="F11" s="109">
        <v>90.6</v>
      </c>
      <c r="G11" s="734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>
        <f t="shared" si="2"/>
        <v>1.4234444775554689E-2</v>
      </c>
      <c r="M11" s="44">
        <f>Q11/O11-1</f>
        <v>0.12577814240480945</v>
      </c>
      <c r="N11" s="109">
        <v>46910763.329999998</v>
      </c>
      <c r="O11" s="109">
        <v>724831.98</v>
      </c>
      <c r="P11" s="109">
        <v>47578512</v>
      </c>
      <c r="Q11" s="109">
        <v>816000</v>
      </c>
      <c r="R11" s="135">
        <f t="shared" si="3"/>
        <v>667748.67000000179</v>
      </c>
      <c r="S11" s="142">
        <f t="shared" si="3"/>
        <v>91168.020000000019</v>
      </c>
      <c r="T11" s="731" t="e">
        <f ca="1">_xll.BDP($C11,"EQY_DVD_YLD_EST")</f>
        <v>#NAME?</v>
      </c>
      <c r="U11" s="109">
        <v>832244.44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_xll.BDP($C11,"DVD_EX_DT")</f>
        <v>#NAME?</v>
      </c>
      <c r="Y11" s="82" t="e">
        <f ca="1">_xll.BDP($C11,"BDVD_NEXT_EST_DECL_DT")</f>
        <v>#NAME?</v>
      </c>
    </row>
    <row r="12" spans="1:25" s="189" customFormat="1" ht="15" x14ac:dyDescent="0.25">
      <c r="A12" s="21"/>
      <c r="B12" s="46" t="s">
        <v>196</v>
      </c>
      <c r="C12" s="103" t="s">
        <v>1105</v>
      </c>
      <c r="D12" s="44" t="e">
        <f t="shared" ca="1" si="0"/>
        <v>#NAME?</v>
      </c>
      <c r="E12" s="109">
        <v>50</v>
      </c>
      <c r="F12" s="109">
        <v>100</v>
      </c>
      <c r="G12" s="734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>
        <f t="shared" si="2"/>
        <v>-1</v>
      </c>
      <c r="M12" s="44">
        <f>Q12/O12-1</f>
        <v>-1</v>
      </c>
      <c r="N12" s="109">
        <v>3023875</v>
      </c>
      <c r="O12" s="109">
        <v>50000</v>
      </c>
      <c r="P12" s="109"/>
      <c r="Q12" s="109"/>
      <c r="R12" s="135">
        <f t="shared" si="3"/>
        <v>-3023875</v>
      </c>
      <c r="S12" s="142">
        <f t="shared" si="3"/>
        <v>-50000</v>
      </c>
      <c r="T12" s="731" t="e">
        <f ca="1">_xll.BDP($C12,"EQY_DVD_YLD_EST")</f>
        <v>#NAME?</v>
      </c>
      <c r="U12" s="109"/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_xll.BDP($C12,"DVD_EX_DT")</f>
        <v>#NAME?</v>
      </c>
      <c r="Y12" s="82" t="e">
        <f ca="1">_xll.BDP($C12,"BDVD_NEXT_EST_DECL_DT")</f>
        <v>#NAME?</v>
      </c>
    </row>
    <row r="13" spans="1:25" s="189" customFormat="1" ht="15" x14ac:dyDescent="0.25">
      <c r="A13" s="21"/>
      <c r="B13" s="46" t="s">
        <v>333</v>
      </c>
      <c r="C13" s="103" t="s">
        <v>1106</v>
      </c>
      <c r="D13" s="44" t="e">
        <f t="shared" ca="1" si="0"/>
        <v>#NAME?</v>
      </c>
      <c r="E13" s="109">
        <v>201</v>
      </c>
      <c r="F13" s="109">
        <v>177.24</v>
      </c>
      <c r="G13" s="38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G13/F13-1</f>
        <v>#NAME?</v>
      </c>
      <c r="M13" s="44">
        <f>Q13/O13-1</f>
        <v>-8.4324538318267805E-3</v>
      </c>
      <c r="N13" s="109">
        <v>20661181.210000001</v>
      </c>
      <c r="O13" s="109">
        <v>356261.66</v>
      </c>
      <c r="P13" s="109">
        <v>20597385.050000001</v>
      </c>
      <c r="Q13" s="109">
        <v>353257.5</v>
      </c>
      <c r="R13" s="142">
        <f t="shared" si="3"/>
        <v>-63796.160000000149</v>
      </c>
      <c r="S13" s="142">
        <f t="shared" si="3"/>
        <v>-3004.1599999999744</v>
      </c>
      <c r="T13" s="731" t="e">
        <f ca="1">_xll.BDP($C13,"EQY_DVD_YLD_EST")</f>
        <v>#NAME?</v>
      </c>
      <c r="U13" s="109">
        <v>358383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_xll.BDP($C13,"DVD_EX_DT")</f>
        <v>#NAME?</v>
      </c>
      <c r="Y13" s="82" t="e">
        <f ca="1">_xll.BDP($C13,"BDVD_NEXT_EST_DECL_DT")</f>
        <v>#NAME?</v>
      </c>
    </row>
    <row r="14" spans="1:25" s="450" customFormat="1" x14ac:dyDescent="0.2">
      <c r="A14" s="287"/>
      <c r="B14" s="441" t="e">
        <f ca="1">_xll.BDP(C14,"SECURITY_NAME")</f>
        <v>#NAME?</v>
      </c>
      <c r="C14" s="440" t="s">
        <v>697</v>
      </c>
      <c r="D14" s="442" t="e">
        <f t="shared" ref="D14:D16" ca="1" si="9">Q14/$Q$17</f>
        <v>#NAME?</v>
      </c>
      <c r="E14" s="443">
        <f>$F$41</f>
        <v>1000000</v>
      </c>
      <c r="F14" s="444">
        <f>$H$41</f>
        <v>90.603999999999999</v>
      </c>
      <c r="G14" s="444" t="e">
        <f ca="1">_xll.BDP(C14,"PX_MID")</f>
        <v>#NAME?</v>
      </c>
      <c r="H14" s="444"/>
      <c r="I14" s="444"/>
      <c r="J14" s="444"/>
      <c r="K14" s="445" t="e">
        <f ca="1">_xll.BDP($C14,"CRNCY")</f>
        <v>#NAME?</v>
      </c>
      <c r="L14" s="442" t="e">
        <f ca="1">P14/N14-1</f>
        <v>#NAME?</v>
      </c>
      <c r="M14" s="442" t="e">
        <f ca="1">G14/F14-1</f>
        <v>#NAME?</v>
      </c>
      <c r="N14" s="443" t="e">
        <f ca="1">$K$41</f>
        <v>#NAME?</v>
      </c>
      <c r="O14" s="443">
        <f>E14*F14/100</f>
        <v>906040</v>
      </c>
      <c r="P14" s="443" t="e">
        <f ca="1">E14*G14/100 *$I$1</f>
        <v>#NAME?</v>
      </c>
      <c r="Q14" s="443" t="e">
        <f t="shared" ref="Q14:Q15" ca="1" si="10">P14/$I$1</f>
        <v>#NAME?</v>
      </c>
      <c r="R14" s="446" t="e">
        <f t="shared" ref="R14:S15" ca="1" si="11">P14-N14</f>
        <v>#NAME?</v>
      </c>
      <c r="S14" s="446" t="e">
        <f t="shared" ca="1" si="11"/>
        <v>#NAME?</v>
      </c>
      <c r="T14" s="513" t="e">
        <f ca="1">_xll.BDP(C14,"YLD_YTM_BID")</f>
        <v>#NAME?</v>
      </c>
      <c r="U14" s="451" t="e">
        <f ca="1">E14*_xll.BDP(C14,"PX_GROSS_MID")/100</f>
        <v>#NAME?</v>
      </c>
      <c r="V14" s="448" t="e">
        <f ca="1">_xll.BDP($C14,"CHG_PCT_YTD")</f>
        <v>#NAME?</v>
      </c>
      <c r="W14" s="448" t="e">
        <f ca="1">_xll.BDP($C14,"CHG_PCT_1YR")</f>
        <v>#NAME?</v>
      </c>
      <c r="X14" s="448"/>
      <c r="Y14" s="440"/>
    </row>
    <row r="15" spans="1:25" s="440" customFormat="1" x14ac:dyDescent="0.2">
      <c r="A15" s="287"/>
      <c r="B15" s="441" t="e">
        <f ca="1">_xll.BDP(C15,"SECURITY_NAME")</f>
        <v>#NAME?</v>
      </c>
      <c r="C15" s="440" t="s">
        <v>782</v>
      </c>
      <c r="D15" s="442" t="e">
        <f t="shared" ca="1" si="9"/>
        <v>#NAME?</v>
      </c>
      <c r="E15" s="443">
        <f>$F$37</f>
        <v>150000</v>
      </c>
      <c r="F15" s="444">
        <f>$H$37</f>
        <v>103.75000000000001</v>
      </c>
      <c r="G15" s="444" t="e">
        <f ca="1">_xll.BDP(C15,"PX_MID")</f>
        <v>#NAME?</v>
      </c>
      <c r="H15" s="444"/>
      <c r="I15" s="444"/>
      <c r="J15" s="444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$K$37</f>
        <v>#NAME?</v>
      </c>
      <c r="O15" s="443">
        <f>E15*F15/100</f>
        <v>155625.00000000003</v>
      </c>
      <c r="P15" s="443" t="e">
        <f ca="1">E15*G15/100 *$I$1</f>
        <v>#NAME?</v>
      </c>
      <c r="Q15" s="443" t="e">
        <f t="shared" ca="1" si="10"/>
        <v>#NAME?</v>
      </c>
      <c r="R15" s="446" t="e">
        <f t="shared" ca="1" si="11"/>
        <v>#NAME?</v>
      </c>
      <c r="S15" s="446" t="e">
        <f t="shared" ca="1" si="11"/>
        <v>#NAME?</v>
      </c>
      <c r="T15" s="513" t="e">
        <f ca="1">_xll.BDP(C15,"YLD_YTM_BID")</f>
        <v>#NAME?</v>
      </c>
      <c r="U15" s="451" t="e">
        <f ca="1">E15*_xll.BDP(C15,"PX_GROSS_MID")/100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</row>
    <row r="16" spans="1:25" x14ac:dyDescent="0.2">
      <c r="B16" s="68" t="s">
        <v>106</v>
      </c>
      <c r="C16" s="68" t="s">
        <v>106</v>
      </c>
      <c r="D16" s="101" t="e">
        <f t="shared" ca="1" si="9"/>
        <v>#NAME?</v>
      </c>
      <c r="E16" s="101"/>
      <c r="F16" s="101"/>
      <c r="G16" s="66"/>
      <c r="H16" s="66"/>
      <c r="I16" s="66"/>
      <c r="J16" s="66"/>
      <c r="K16" s="177"/>
      <c r="L16" s="179"/>
      <c r="M16" s="179"/>
      <c r="N16" s="178"/>
      <c r="O16" s="470"/>
      <c r="P16" s="64"/>
      <c r="Q16" s="64">
        <v>0</v>
      </c>
      <c r="R16" s="62"/>
      <c r="S16" s="62"/>
      <c r="T16" s="484"/>
      <c r="U16" s="420">
        <f>Q16</f>
        <v>0</v>
      </c>
      <c r="V16" s="177"/>
      <c r="W16" s="177"/>
      <c r="X16" s="177"/>
      <c r="Y16" s="177"/>
    </row>
    <row r="17" spans="1:25" ht="13.5" customHeight="1" thickBot="1" x14ac:dyDescent="0.25">
      <c r="B17" s="175"/>
      <c r="C17" s="175"/>
      <c r="D17" s="435" t="e">
        <f ca="1">SUM(D11:D16)</f>
        <v>#NAME?</v>
      </c>
      <c r="E17" s="176"/>
      <c r="F17" s="176"/>
      <c r="G17" s="175"/>
      <c r="H17" s="175"/>
      <c r="I17" s="570" t="e">
        <f ca="1">SUMPRODUCT(D4:D13,I4:I13)</f>
        <v>#NAME?</v>
      </c>
      <c r="J17" s="175"/>
      <c r="K17" s="55"/>
      <c r="L17" s="606" t="e">
        <f ca="1">SUMPRODUCT($D$4:$D$15,L4:L15)</f>
        <v>#NAME?</v>
      </c>
      <c r="M17" s="606" t="e">
        <f ca="1">SUMPRODUCT($D$4:$D$15,M4:M15)</f>
        <v>#NAME?</v>
      </c>
      <c r="N17" s="137" t="e">
        <f ca="1">SUM(N4:N16)</f>
        <v>#NAME?</v>
      </c>
      <c r="O17" s="184">
        <f>SUM(O4:O16)</f>
        <v>2551306.86</v>
      </c>
      <c r="P17" s="137" t="e">
        <f ca="1">SUM(P4:P16)</f>
        <v>#NAME?</v>
      </c>
      <c r="Q17" s="137" t="e">
        <f ca="1">SUM(Q4:Q16)</f>
        <v>#NAME?</v>
      </c>
      <c r="R17" s="332" t="e">
        <f ca="1">SUM(R4:R15)</f>
        <v>#NAME?</v>
      </c>
      <c r="S17" s="332" t="e">
        <f ca="1">SUM(S4:S15)</f>
        <v>#NAME?</v>
      </c>
      <c r="T17" s="628" t="e">
        <f ca="1">SUMPRODUCT(D4:D15,T4:T15)</f>
        <v>#NAME?</v>
      </c>
      <c r="U17" s="471" t="e">
        <f ca="1">SUM(U9:U16)</f>
        <v>#NAME?</v>
      </c>
      <c r="V17" s="55"/>
      <c r="W17" s="55"/>
      <c r="X17" s="55"/>
      <c r="Y17" s="55"/>
    </row>
    <row r="18" spans="1:25" ht="13.5" customHeight="1" x14ac:dyDescent="0.2">
      <c r="B18" s="35"/>
      <c r="C18" s="35"/>
      <c r="D18" s="54"/>
      <c r="E18" s="46"/>
      <c r="F18" s="46"/>
      <c r="G18" s="35"/>
      <c r="I18" s="830" t="s">
        <v>804</v>
      </c>
      <c r="J18" s="830"/>
      <c r="K18" s="35"/>
      <c r="L18" s="40"/>
      <c r="M18" s="40"/>
      <c r="N18" s="42"/>
      <c r="O18" s="43"/>
      <c r="P18" s="454"/>
      <c r="S18" s="132"/>
      <c r="T18" s="33"/>
      <c r="U18" s="627" t="s">
        <v>754</v>
      </c>
      <c r="V18" s="132"/>
    </row>
    <row r="19" spans="1:25" x14ac:dyDescent="0.2">
      <c r="E19" s="155"/>
      <c r="I19" s="831"/>
      <c r="J19" s="831"/>
      <c r="K19" s="30"/>
      <c r="L19" s="148"/>
      <c r="M19" s="35"/>
      <c r="N19" s="34"/>
      <c r="O19" s="34"/>
      <c r="P19" s="148"/>
      <c r="Q19" s="49"/>
      <c r="R19" s="562"/>
    </row>
    <row r="20" spans="1:25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06"/>
      <c r="Q20" s="14"/>
      <c r="R20" s="75"/>
      <c r="T20" s="32" t="s">
        <v>834</v>
      </c>
    </row>
    <row r="21" spans="1:25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1:25" s="9" customFormat="1" x14ac:dyDescent="0.2">
      <c r="B22" s="46" t="s">
        <v>183</v>
      </c>
      <c r="C22" s="41" t="s">
        <v>182</v>
      </c>
      <c r="D22" s="73" t="s">
        <v>51</v>
      </c>
      <c r="E22" s="43" t="e">
        <f ca="1">F22*_xll.BDP(C22,"PX_LAST")</f>
        <v>#NAME?</v>
      </c>
      <c r="F22" s="43">
        <v>51800</v>
      </c>
      <c r="G22" s="104">
        <v>51800</v>
      </c>
      <c r="H22" s="47">
        <f>G22/F22</f>
        <v>1</v>
      </c>
      <c r="I22" s="43">
        <f>G22*K22</f>
        <v>1721313.9999999998</v>
      </c>
      <c r="J22" s="45">
        <f>G22*L22</f>
        <v>1675761.08</v>
      </c>
      <c r="K22" s="38">
        <f>40.15-6.92</f>
        <v>33.229999999999997</v>
      </c>
      <c r="L22" s="38">
        <v>32.3506</v>
      </c>
      <c r="M22" s="44">
        <f>L22/K22-1</f>
        <v>-2.6464038519410038E-2</v>
      </c>
      <c r="N22" s="43">
        <f>J22-I22</f>
        <v>-45552.919999999693</v>
      </c>
      <c r="O22" s="106" t="e">
        <f ca="1">_xll.BDP($C22,"CRNCY")</f>
        <v>#NAME?</v>
      </c>
      <c r="P22" s="43" t="e">
        <f ca="1">N22/R22</f>
        <v>#NAME?</v>
      </c>
      <c r="Q22" s="14">
        <v>42718</v>
      </c>
      <c r="R22" s="22" t="e">
        <f ca="1">_xll.BDH("RUB curncy","PX_LAST",$Q22)</f>
        <v>#NAME?</v>
      </c>
      <c r="S22" s="145" t="e">
        <f t="shared" ref="S22" ca="1" si="12">J22/R22</f>
        <v>#NAME?</v>
      </c>
    </row>
    <row r="23" spans="1:25" x14ac:dyDescent="0.2">
      <c r="B23" s="35"/>
      <c r="C23" s="35"/>
      <c r="D23" s="40"/>
      <c r="G23" s="35"/>
      <c r="H23" s="35"/>
      <c r="I23" s="35"/>
      <c r="J23" s="35"/>
      <c r="K23" s="35"/>
      <c r="L23" s="46"/>
      <c r="N23" s="40"/>
      <c r="O23" s="35" t="s">
        <v>94</v>
      </c>
      <c r="P23" s="355" t="e">
        <f ca="1">SUM(P22)</f>
        <v>#NAME?</v>
      </c>
    </row>
    <row r="24" spans="1:25" x14ac:dyDescent="0.2">
      <c r="H24" s="105"/>
      <c r="I24" s="70"/>
      <c r="J24" s="151"/>
      <c r="K24" s="35"/>
      <c r="L24" s="148"/>
      <c r="M24" s="34"/>
      <c r="N24" s="30"/>
      <c r="P24" s="30"/>
    </row>
    <row r="25" spans="1:25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1:25" ht="13.5" thickBot="1" x14ac:dyDescent="0.25">
      <c r="C26" s="30"/>
      <c r="D26" s="30"/>
      <c r="G26" s="30"/>
      <c r="H26" s="151"/>
      <c r="I26" s="30"/>
      <c r="J26" s="151"/>
      <c r="K26" s="30"/>
    </row>
    <row r="27" spans="1:25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</row>
    <row r="28" spans="1:25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30" spans="1:25" s="273" customFormat="1" ht="13.5" customHeight="1" x14ac:dyDescent="0.2">
      <c r="A30" s="49"/>
      <c r="B30" s="287" t="s">
        <v>781</v>
      </c>
      <c r="C30" s="286" t="s">
        <v>439</v>
      </c>
      <c r="D30" s="290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94.25</v>
      </c>
      <c r="I30" s="282">
        <f>F30*H30/100</f>
        <v>471250</v>
      </c>
      <c r="J30" s="283">
        <f>I30</f>
        <v>471250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41572</v>
      </c>
      <c r="O30" s="49"/>
      <c r="P30" s="49"/>
      <c r="Q30" s="49"/>
      <c r="R30" s="49"/>
      <c r="S30" s="49"/>
      <c r="T30" s="49"/>
      <c r="U30" s="49"/>
      <c r="V30" s="49"/>
    </row>
    <row r="31" spans="1:25" s="273" customFormat="1" x14ac:dyDescent="0.2">
      <c r="A31" s="49"/>
      <c r="B31" s="279"/>
      <c r="C31" s="279"/>
      <c r="D31" s="290"/>
      <c r="E31" s="278"/>
      <c r="F31" s="277">
        <f>SUM(F30:F30)</f>
        <v>500000</v>
      </c>
      <c r="G31" s="278"/>
      <c r="H31" s="276">
        <f>J31/F31*100</f>
        <v>94.25</v>
      </c>
      <c r="I31" s="277">
        <f>SUM(I30:I30)</f>
        <v>471250</v>
      </c>
      <c r="J31" s="277">
        <f>SUM(J30:J30)</f>
        <v>471250</v>
      </c>
      <c r="K31" s="277" t="e">
        <f ca="1">SUM(K30:K30)</f>
        <v>#NAME?</v>
      </c>
      <c r="L31" s="276"/>
      <c r="M31" s="275"/>
      <c r="N31" s="274"/>
      <c r="O31" s="49"/>
      <c r="P31" s="49"/>
      <c r="Q31" s="49"/>
      <c r="R31" s="49"/>
      <c r="S31" s="49"/>
      <c r="T31" s="49"/>
      <c r="U31" s="49"/>
      <c r="V31" s="49"/>
    </row>
    <row r="32" spans="1:25" x14ac:dyDescent="0.2">
      <c r="A32" s="49"/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  <c r="O32" s="49"/>
      <c r="P32" s="49"/>
      <c r="Q32" s="49"/>
      <c r="R32" s="49"/>
      <c r="S32" s="49"/>
      <c r="T32" s="49"/>
      <c r="U32" s="49"/>
      <c r="V32" s="49"/>
    </row>
    <row r="33" spans="1:22" s="273" customFormat="1" ht="13.5" customHeight="1" x14ac:dyDescent="0.2">
      <c r="A33" s="49"/>
      <c r="B33" s="287" t="s">
        <v>781</v>
      </c>
      <c r="C33" s="286" t="s">
        <v>763</v>
      </c>
      <c r="D33" s="290" t="e">
        <f ca="1">_xll.BDP(C33,"SECURITY_NAME")</f>
        <v>#NAME?</v>
      </c>
      <c r="E33" s="284" t="s">
        <v>50</v>
      </c>
      <c r="F33" s="285">
        <v>540000</v>
      </c>
      <c r="G33" s="284" t="e">
        <f ca="1">_xll.BDP(C33,"CRNCY")</f>
        <v>#NAME?</v>
      </c>
      <c r="H33" s="281">
        <v>99.1</v>
      </c>
      <c r="I33" s="282">
        <f>F33*H33/100</f>
        <v>535140</v>
      </c>
      <c r="J33" s="283">
        <f>I33</f>
        <v>535140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41740</v>
      </c>
      <c r="O33" s="49"/>
      <c r="P33" s="49"/>
      <c r="Q33" s="49"/>
      <c r="R33" s="49"/>
      <c r="S33" s="49"/>
      <c r="T33" s="49"/>
      <c r="U33" s="49"/>
      <c r="V33" s="49"/>
    </row>
    <row r="34" spans="1:22" s="273" customFormat="1" x14ac:dyDescent="0.2">
      <c r="A34" s="49"/>
      <c r="B34" s="279"/>
      <c r="C34" s="279"/>
      <c r="D34" s="278"/>
      <c r="E34" s="278"/>
      <c r="F34" s="277">
        <f>SUM(F33:F33)</f>
        <v>540000</v>
      </c>
      <c r="G34" s="278"/>
      <c r="H34" s="276">
        <f>J34/F34*100</f>
        <v>99.1</v>
      </c>
      <c r="I34" s="277">
        <f>SUM(I33:I33)</f>
        <v>535140</v>
      </c>
      <c r="J34" s="277">
        <f>SUM(J33:J33)</f>
        <v>535140</v>
      </c>
      <c r="K34" s="277" t="e">
        <f ca="1">SUM(K33:K33)</f>
        <v>#NAME?</v>
      </c>
      <c r="L34" s="276"/>
      <c r="M34" s="275"/>
      <c r="N34" s="274"/>
      <c r="O34" s="49"/>
      <c r="P34" s="49"/>
      <c r="Q34" s="49"/>
      <c r="R34" s="49"/>
      <c r="S34" s="49"/>
      <c r="T34" s="49"/>
      <c r="U34" s="49"/>
      <c r="V34" s="49"/>
    </row>
    <row r="35" spans="1:22" x14ac:dyDescent="0.2">
      <c r="A35" s="49"/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  <c r="O35" s="49"/>
      <c r="P35" s="49"/>
      <c r="Q35" s="49"/>
      <c r="R35" s="49"/>
      <c r="S35" s="49"/>
      <c r="T35" s="49"/>
      <c r="U35" s="49"/>
      <c r="V35" s="49"/>
    </row>
    <row r="36" spans="1:22" s="273" customFormat="1" ht="13.5" customHeight="1" x14ac:dyDescent="0.2">
      <c r="A36" s="49"/>
      <c r="B36" s="287" t="s">
        <v>781</v>
      </c>
      <c r="C36" s="286" t="s">
        <v>783</v>
      </c>
      <c r="D36" s="290" t="e">
        <f ca="1">_xll.BDP(C36,"SECURITY_NAME")</f>
        <v>#NAME?</v>
      </c>
      <c r="E36" s="284" t="s">
        <v>50</v>
      </c>
      <c r="F36" s="285">
        <v>150000</v>
      </c>
      <c r="G36" s="284" t="e">
        <f ca="1">_xll.BDP(C36,"CRNCY")</f>
        <v>#NAME?</v>
      </c>
      <c r="H36" s="281">
        <v>103.75</v>
      </c>
      <c r="I36" s="282">
        <f>F36*H36/100</f>
        <v>155625</v>
      </c>
      <c r="J36" s="283">
        <f>I36</f>
        <v>155625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42600</v>
      </c>
      <c r="O36" s="49"/>
      <c r="P36" s="49"/>
      <c r="Q36" s="49"/>
      <c r="R36" s="49"/>
      <c r="S36" s="49"/>
      <c r="T36" s="49"/>
      <c r="U36" s="49"/>
      <c r="V36" s="49"/>
    </row>
    <row r="37" spans="1:22" s="273" customFormat="1" x14ac:dyDescent="0.2">
      <c r="A37" s="49"/>
      <c r="B37" s="279"/>
      <c r="C37" s="279"/>
      <c r="D37" s="278"/>
      <c r="E37" s="278"/>
      <c r="F37" s="277">
        <f>SUM(F36:F36)</f>
        <v>150000</v>
      </c>
      <c r="G37" s="278"/>
      <c r="H37" s="276">
        <f>J37/F37*100</f>
        <v>103.75000000000001</v>
      </c>
      <c r="I37" s="277">
        <f>SUM(I36:I36)</f>
        <v>155625</v>
      </c>
      <c r="J37" s="277">
        <f>SUM(J36:J36)</f>
        <v>155625</v>
      </c>
      <c r="K37" s="277" t="e">
        <f ca="1">SUM(K36:K36)</f>
        <v>#NAME?</v>
      </c>
      <c r="L37" s="276"/>
      <c r="M37" s="275"/>
      <c r="N37" s="274"/>
      <c r="O37" s="49"/>
      <c r="P37" s="49"/>
      <c r="Q37" s="49"/>
      <c r="R37" s="49"/>
      <c r="S37" s="49"/>
      <c r="T37" s="49"/>
      <c r="U37" s="49"/>
      <c r="V37" s="49"/>
    </row>
    <row r="38" spans="1:22" x14ac:dyDescent="0.2">
      <c r="A38" s="49"/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1:22" x14ac:dyDescent="0.2">
      <c r="A39" s="49"/>
      <c r="B39" s="287" t="s">
        <v>781</v>
      </c>
      <c r="C39" s="286" t="s">
        <v>697</v>
      </c>
      <c r="D39" s="290" t="e">
        <f ca="1">_xll.BDP(C39,"SECURITY_NAME")</f>
        <v>#NAME?</v>
      </c>
      <c r="E39" s="284" t="s">
        <v>50</v>
      </c>
      <c r="F39" s="285">
        <v>400000</v>
      </c>
      <c r="G39" s="284" t="e">
        <f ca="1">_xll.BDP(C39,"CRNCY")</f>
        <v>#NAME?</v>
      </c>
      <c r="H39" s="281">
        <v>91</v>
      </c>
      <c r="I39" s="282">
        <f>F39*H39/100</f>
        <v>364000</v>
      </c>
      <c r="J39" s="283">
        <f>I39</f>
        <v>364000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42557</v>
      </c>
    </row>
    <row r="40" spans="1:22" x14ac:dyDescent="0.2">
      <c r="A40" s="49"/>
      <c r="B40" s="287" t="s">
        <v>781</v>
      </c>
      <c r="C40" s="286" t="s">
        <v>697</v>
      </c>
      <c r="D40" s="290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90.34</v>
      </c>
      <c r="I40" s="282">
        <f>F40*H40/100</f>
        <v>542040</v>
      </c>
      <c r="J40" s="283">
        <f>I40</f>
        <v>542040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42489</v>
      </c>
    </row>
    <row r="41" spans="1:22" x14ac:dyDescent="0.2">
      <c r="B41" s="279"/>
      <c r="C41" s="279"/>
      <c r="D41" s="278"/>
      <c r="E41" s="278"/>
      <c r="F41" s="277">
        <f>SUM(F39:F40)</f>
        <v>1000000</v>
      </c>
      <c r="G41" s="278"/>
      <c r="H41" s="276">
        <f>J41/F41*100</f>
        <v>90.603999999999999</v>
      </c>
      <c r="I41" s="277">
        <f>SUM(I39:I40)</f>
        <v>906040</v>
      </c>
      <c r="J41" s="277">
        <f>SUM(J39:J40)</f>
        <v>906040</v>
      </c>
      <c r="K41" s="277" t="e">
        <f ca="1">SUM(K39:K40)</f>
        <v>#NAME?</v>
      </c>
      <c r="L41" s="276"/>
      <c r="M41" s="275"/>
      <c r="N41" s="274"/>
    </row>
    <row r="42" spans="1:22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1:22" x14ac:dyDescent="0.2">
      <c r="B43" s="287" t="s">
        <v>781</v>
      </c>
      <c r="C43" s="286" t="s">
        <v>764</v>
      </c>
      <c r="D43" s="290" t="e">
        <f ca="1">_xll.BDP(C43,"SECURITY_NAME")</f>
        <v>#NAME?</v>
      </c>
      <c r="E43" s="284" t="s">
        <v>50</v>
      </c>
      <c r="F43" s="285">
        <v>200000</v>
      </c>
      <c r="G43" s="284" t="e">
        <f ca="1">_xll.BDP(C43,"CRNCY")</f>
        <v>#NAME?</v>
      </c>
      <c r="H43" s="281">
        <v>103</v>
      </c>
      <c r="I43" s="282">
        <f>F43*H43/100</f>
        <v>206000</v>
      </c>
      <c r="J43" s="283">
        <f>I43</f>
        <v>206000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42030</v>
      </c>
    </row>
    <row r="44" spans="1:22" x14ac:dyDescent="0.2">
      <c r="B44" s="287" t="s">
        <v>781</v>
      </c>
      <c r="C44" s="286" t="s">
        <v>764</v>
      </c>
      <c r="D44" s="290" t="e">
        <f ca="1">_xll.BDP(C44,"SECURITY_NAME")</f>
        <v>#NAME?</v>
      </c>
      <c r="E44" s="284" t="s">
        <v>50</v>
      </c>
      <c r="F44" s="285">
        <v>350000</v>
      </c>
      <c r="G44" s="284" t="e">
        <f ca="1">_xll.BDP(C44,"CRNCY")</f>
        <v>#NAME?</v>
      </c>
      <c r="H44" s="281">
        <v>142.25</v>
      </c>
      <c r="I44" s="282">
        <f>F44*H44/100</f>
        <v>497875</v>
      </c>
      <c r="J44" s="283">
        <f>I44</f>
        <v>497875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41261</v>
      </c>
    </row>
    <row r="45" spans="1:22" x14ac:dyDescent="0.2">
      <c r="B45" s="279"/>
      <c r="C45" s="286"/>
      <c r="D45" s="278"/>
      <c r="E45" s="278"/>
      <c r="F45" s="277">
        <f>SUM(F43:F44)</f>
        <v>550000</v>
      </c>
      <c r="G45" s="278"/>
      <c r="H45" s="276">
        <f>J45/F45*100</f>
        <v>127.97727272727273</v>
      </c>
      <c r="I45" s="277">
        <f>SUM(I43:I44)</f>
        <v>703875</v>
      </c>
      <c r="J45" s="277">
        <f>SUM(J43:J44)</f>
        <v>703875</v>
      </c>
      <c r="K45" s="277" t="e">
        <f ca="1">SUM(K43:K44)</f>
        <v>#NAME?</v>
      </c>
      <c r="L45" s="276"/>
      <c r="M45" s="275"/>
      <c r="N45" s="274"/>
    </row>
    <row r="46" spans="1:22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22" x14ac:dyDescent="0.2">
      <c r="B47" s="287" t="s">
        <v>781</v>
      </c>
      <c r="C47" s="287" t="s">
        <v>66</v>
      </c>
      <c r="D47" s="284" t="e">
        <f ca="1">_xll.BDP(C47,"SECURITY_NAME")</f>
        <v>#NAME?</v>
      </c>
      <c r="E47" s="284" t="s">
        <v>50</v>
      </c>
      <c r="F47" s="285">
        <v>4634</v>
      </c>
      <c r="G47" s="284" t="e">
        <f ca="1">_xll.BDP(C47,"CRNCY")</f>
        <v>#NAME?</v>
      </c>
      <c r="H47" s="281">
        <v>7.5</v>
      </c>
      <c r="I47" s="282">
        <f>F47*H47</f>
        <v>34755</v>
      </c>
      <c r="J47" s="283">
        <f>I47</f>
        <v>34755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42734</v>
      </c>
    </row>
    <row r="48" spans="1:22" x14ac:dyDescent="0.2">
      <c r="B48" s="279"/>
      <c r="C48" s="279"/>
      <c r="D48" s="278"/>
      <c r="E48" s="278"/>
      <c r="F48" s="277">
        <f>SUM(F47)</f>
        <v>4634</v>
      </c>
      <c r="G48" s="278"/>
      <c r="H48" s="276">
        <f>I48/F48</f>
        <v>7.5</v>
      </c>
      <c r="I48" s="277">
        <f>SUM(I47)</f>
        <v>34755</v>
      </c>
      <c r="J48" s="277">
        <f>SUM(J47)</f>
        <v>34755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287" t="s">
        <v>781</v>
      </c>
      <c r="C50" s="287" t="s">
        <v>42</v>
      </c>
      <c r="D50" s="284" t="e">
        <f ca="1">_xll.BDP(C50,"SECURITY_NAME")</f>
        <v>#NAME?</v>
      </c>
      <c r="E50" s="284" t="s">
        <v>50</v>
      </c>
      <c r="F50" s="285">
        <v>14000</v>
      </c>
      <c r="G50" s="284" t="e">
        <f ca="1">_xll.BDP(C50,"CRNCY")</f>
        <v>#NAME?</v>
      </c>
      <c r="H50" s="281">
        <v>3.57</v>
      </c>
      <c r="I50" s="282">
        <f>F50*H50</f>
        <v>49980</v>
      </c>
      <c r="J50" s="283">
        <f>I50</f>
        <v>49980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42640</v>
      </c>
    </row>
    <row r="51" spans="2:14" x14ac:dyDescent="0.2">
      <c r="B51" s="279"/>
      <c r="C51" s="279"/>
      <c r="D51" s="278"/>
      <c r="E51" s="278"/>
      <c r="F51" s="277">
        <f>SUM(F50)</f>
        <v>14000</v>
      </c>
      <c r="G51" s="278"/>
      <c r="H51" s="276">
        <f>I51/F51</f>
        <v>3.57</v>
      </c>
      <c r="I51" s="277">
        <f>SUM(I50)</f>
        <v>49980</v>
      </c>
      <c r="J51" s="277">
        <f>SUM(J50)</f>
        <v>49980</v>
      </c>
      <c r="K51" s="277" t="e">
        <f ca="1">SUM(K50)</f>
        <v>#NAME?</v>
      </c>
      <c r="L51" s="276"/>
      <c r="M51" s="275"/>
      <c r="N51" s="274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287" t="s">
        <v>781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957</v>
      </c>
      <c r="G53" s="284" t="e">
        <f ca="1">_xll.BDP(C53,"CRNCY")</f>
        <v>#NAME?</v>
      </c>
      <c r="H53" s="281">
        <v>52.606416000000003</v>
      </c>
      <c r="I53" s="282">
        <f>F53*H53</f>
        <v>50344.340112000005</v>
      </c>
      <c r="J53" s="283">
        <f>I53</f>
        <v>50344.340112000005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42640</v>
      </c>
    </row>
    <row r="54" spans="2:14" x14ac:dyDescent="0.2">
      <c r="B54" s="279"/>
      <c r="C54" s="279"/>
      <c r="D54" s="278"/>
      <c r="E54" s="278"/>
      <c r="F54" s="277">
        <f>SUM(F53)</f>
        <v>957</v>
      </c>
      <c r="G54" s="278"/>
      <c r="H54" s="276">
        <f>I54/F54</f>
        <v>52.606416000000003</v>
      </c>
      <c r="I54" s="277">
        <f>SUM(I53)</f>
        <v>50344.340112000005</v>
      </c>
      <c r="J54" s="277">
        <f>SUM(J53)</f>
        <v>50344.340112000005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781</v>
      </c>
      <c r="C56" s="287" t="s">
        <v>134</v>
      </c>
      <c r="D56" s="284" t="e">
        <f ca="1">_xll.BDP(C56,"SECURITY_NAME")</f>
        <v>#NAME?</v>
      </c>
      <c r="E56" s="284" t="s">
        <v>50</v>
      </c>
      <c r="F56" s="285">
        <v>26000</v>
      </c>
      <c r="G56" s="284" t="e">
        <f ca="1">_xll.BDP(C56,"CRNCY")</f>
        <v>#NAME?</v>
      </c>
      <c r="H56" s="281">
        <v>148.5</v>
      </c>
      <c r="I56" s="282">
        <f>F56*H56/100</f>
        <v>38610</v>
      </c>
      <c r="J56" s="283" t="e">
        <f ca="1">I56*L56</f>
        <v>#NAME?</v>
      </c>
      <c r="K56" s="282" t="e">
        <f ca="1">J56/M56</f>
        <v>#NAME?</v>
      </c>
      <c r="L56" s="281" t="e">
        <f ca="1">_xll.BDH("GBP curncy","PX_LAST",$N56)</f>
        <v>#NAME?</v>
      </c>
      <c r="M56" s="280" t="e">
        <f ca="1">1/_xll.BDH("RUB curncy","PX_LAST",$N56)</f>
        <v>#NAME?</v>
      </c>
      <c r="N56" s="274">
        <v>42641</v>
      </c>
    </row>
    <row r="57" spans="2:14" x14ac:dyDescent="0.2">
      <c r="B57" s="279"/>
      <c r="C57" s="279"/>
      <c r="D57" s="278"/>
      <c r="E57" s="278"/>
      <c r="F57" s="277">
        <f>SUM(F56)</f>
        <v>26000</v>
      </c>
      <c r="G57" s="278"/>
      <c r="H57" s="276">
        <f>I57/F57*100</f>
        <v>148.5</v>
      </c>
      <c r="I57" s="277">
        <f>SUM(I56)</f>
        <v>38610</v>
      </c>
      <c r="J57" s="277" t="e">
        <f ca="1">SUM(J56)</f>
        <v>#NAME?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781</v>
      </c>
      <c r="C59" s="287" t="s">
        <v>71</v>
      </c>
      <c r="D59" s="284" t="e">
        <f ca="1">_xll.BDP(C59,"SECURITY_NAME")</f>
        <v>#NAME?</v>
      </c>
      <c r="E59" s="284" t="s">
        <v>50</v>
      </c>
      <c r="F59" s="285">
        <v>2056</v>
      </c>
      <c r="G59" s="284" t="e">
        <f ca="1">_xll.BDP(C59,"CRNCY")</f>
        <v>#NAME?</v>
      </c>
      <c r="H59" s="281" t="e">
        <f ca="1">_xll.BDH(C59,"PX_LAST",N59)</f>
        <v>#NAME?</v>
      </c>
      <c r="I59" s="282" t="e">
        <f ca="1">F59*H59/100</f>
        <v>#NAME?</v>
      </c>
      <c r="J59" s="283" t="e">
        <f ca="1">I59*L59</f>
        <v>#NAME?</v>
      </c>
      <c r="K59" s="282" t="e">
        <f ca="1">J59/M59</f>
        <v>#NAME?</v>
      </c>
      <c r="L59" s="281" t="e">
        <f ca="1">_xll.BDH("GBP curncy","PX_LAST",$N59)</f>
        <v>#NAME?</v>
      </c>
      <c r="M59" s="280" t="e">
        <f ca="1">1/_xll.BDH("RUB curncy","PX_LAST",$N59)</f>
        <v>#NAME?</v>
      </c>
      <c r="N59" s="274">
        <v>42720</v>
      </c>
    </row>
    <row r="60" spans="2:14" x14ac:dyDescent="0.2">
      <c r="B60" s="287" t="s">
        <v>781</v>
      </c>
      <c r="C60" s="287" t="s">
        <v>71</v>
      </c>
      <c r="D60" s="284" t="e">
        <f ca="1">_xll.BDP(C60,"SECURITY_NAME")</f>
        <v>#NAME?</v>
      </c>
      <c r="E60" s="284" t="s">
        <v>50</v>
      </c>
      <c r="F60" s="285">
        <v>165</v>
      </c>
      <c r="G60" s="284" t="e">
        <f ca="1">_xll.BDP(C60,"CRNCY")</f>
        <v>#NAME?</v>
      </c>
      <c r="H60" s="281" t="e">
        <f ca="1">_xll.BDH(C60,"PX_LAST",N60)</f>
        <v>#NAME?</v>
      </c>
      <c r="I60" s="282" t="e">
        <f ca="1">F60*H60/100</f>
        <v>#NAME?</v>
      </c>
      <c r="J60" s="283" t="e">
        <f ca="1">I60*L60</f>
        <v>#NAME?</v>
      </c>
      <c r="K60" s="282" t="e">
        <f ca="1">J60/M60</f>
        <v>#NAME?</v>
      </c>
      <c r="L60" s="281" t="e">
        <f ca="1">_xll.BDH("GBP curncy","PX_LAST",$N60)</f>
        <v>#NAME?</v>
      </c>
      <c r="M60" s="280" t="e">
        <f ca="1">1/_xll.BDH("RUB curncy","PX_LAST",$N60)</f>
        <v>#NAME?</v>
      </c>
      <c r="N60" s="274">
        <v>42718</v>
      </c>
    </row>
    <row r="61" spans="2:14" x14ac:dyDescent="0.2">
      <c r="B61" s="287" t="s">
        <v>781</v>
      </c>
      <c r="C61" s="287" t="s">
        <v>71</v>
      </c>
      <c r="D61" s="284" t="e">
        <f ca="1">_xll.BDP(C61,"SECURITY_NAME")</f>
        <v>#NAME?</v>
      </c>
      <c r="E61" s="284" t="s">
        <v>50</v>
      </c>
      <c r="F61" s="285">
        <v>4770</v>
      </c>
      <c r="G61" s="284" t="e">
        <f ca="1">_xll.BDP(C61,"CRNCY")</f>
        <v>#NAME?</v>
      </c>
      <c r="H61" s="281">
        <v>861</v>
      </c>
      <c r="I61" s="282">
        <f>F61*H61/100</f>
        <v>41069.699999999997</v>
      </c>
      <c r="J61" s="283" t="e">
        <f ca="1">I61*L61</f>
        <v>#NAME?</v>
      </c>
      <c r="K61" s="282" t="e">
        <f ca="1">J61/M61</f>
        <v>#NAME?</v>
      </c>
      <c r="L61" s="281" t="e">
        <f ca="1">_xll.BDH("GBP curncy","PX_LAST",$N61)</f>
        <v>#NAME?</v>
      </c>
      <c r="M61" s="280" t="e">
        <f ca="1">1/_xll.BDH("RUB curncy","PX_LAST",$N61)</f>
        <v>#NAME?</v>
      </c>
      <c r="N61" s="274">
        <v>42656</v>
      </c>
    </row>
    <row r="62" spans="2:14" x14ac:dyDescent="0.2">
      <c r="B62" s="279"/>
      <c r="C62" s="279"/>
      <c r="D62" s="278"/>
      <c r="E62" s="278"/>
      <c r="F62" s="277">
        <f>SUM(F59:F61)</f>
        <v>6991</v>
      </c>
      <c r="G62" s="278"/>
      <c r="H62" s="276" t="e">
        <f ca="1">I62/F62*100</f>
        <v>#NAME?</v>
      </c>
      <c r="I62" s="277" t="e">
        <f ca="1">SUM(I59:I61)</f>
        <v>#NAME?</v>
      </c>
      <c r="J62" s="277" t="e">
        <f ca="1">SUM(J59:J61)</f>
        <v>#NAME?</v>
      </c>
      <c r="K62" s="277" t="e">
        <f ca="1">SUM(K59:K61)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781</v>
      </c>
      <c r="C64" s="287" t="s">
        <v>334</v>
      </c>
      <c r="D64" s="284" t="e">
        <f ca="1">_xll.BDP(C64,"SECURITY_NAME")</f>
        <v>#NAME?</v>
      </c>
      <c r="E64" s="284" t="s">
        <v>50</v>
      </c>
      <c r="F64" s="285">
        <v>13120</v>
      </c>
      <c r="G64" s="284" t="e">
        <f ca="1">_xll.BDP(C64,"CRNCY")</f>
        <v>#NAME?</v>
      </c>
      <c r="H64" s="281">
        <v>219.5</v>
      </c>
      <c r="I64" s="282">
        <f>F64*H64</f>
        <v>2879840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42660</v>
      </c>
    </row>
    <row r="65" spans="2:14" x14ac:dyDescent="0.2">
      <c r="B65" s="279"/>
      <c r="C65" s="279"/>
      <c r="D65" s="278"/>
      <c r="E65" s="278"/>
      <c r="F65" s="277">
        <f>SUM(F64)</f>
        <v>13120</v>
      </c>
      <c r="G65" s="278"/>
      <c r="H65" s="276">
        <f>I65/F65</f>
        <v>219.5</v>
      </c>
      <c r="I65" s="277">
        <f>SUM(I64)</f>
        <v>2879840</v>
      </c>
      <c r="J65" s="277" t="e">
        <f ca="1">SUM(J64)</f>
        <v>#NAME?</v>
      </c>
      <c r="K65" s="277" t="e">
        <f ca="1">SUM(K64)</f>
        <v>#NAME?</v>
      </c>
      <c r="L65" s="276"/>
      <c r="M65" s="275"/>
      <c r="N65" s="274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287" t="s">
        <v>781</v>
      </c>
      <c r="C67" s="287" t="s">
        <v>829</v>
      </c>
      <c r="D67" s="284" t="e">
        <f ca="1">_xll.BDP(C67,"SECURITY_NAME")</f>
        <v>#NAME?</v>
      </c>
      <c r="E67" s="284" t="s">
        <v>50</v>
      </c>
      <c r="F67" s="285">
        <v>95</v>
      </c>
      <c r="G67" s="284" t="e">
        <f ca="1">_xll.BDP(C67,"CRNCY")</f>
        <v>#NAME?</v>
      </c>
      <c r="H67" s="281">
        <v>198</v>
      </c>
      <c r="I67" s="282">
        <f>F67*H67</f>
        <v>18810</v>
      </c>
      <c r="J67" s="283">
        <f>I67</f>
        <v>18810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42677</v>
      </c>
    </row>
    <row r="68" spans="2:14" x14ac:dyDescent="0.2">
      <c r="B68" s="279"/>
      <c r="C68" s="279"/>
      <c r="D68" s="278"/>
      <c r="E68" s="278"/>
      <c r="F68" s="277">
        <f>SUM(F67)</f>
        <v>95</v>
      </c>
      <c r="G68" s="278"/>
      <c r="H68" s="276">
        <f>I68/F68</f>
        <v>198</v>
      </c>
      <c r="I68" s="277">
        <f>SUM(I67)</f>
        <v>18810</v>
      </c>
      <c r="J68" s="277">
        <f>SUM(J67)</f>
        <v>18810</v>
      </c>
      <c r="K68" s="277" t="e">
        <f ca="1">SUM(K67)</f>
        <v>#NAME?</v>
      </c>
      <c r="L68" s="276"/>
      <c r="M68" s="275"/>
      <c r="N68" s="274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287" t="s">
        <v>781</v>
      </c>
      <c r="C70" s="287" t="s">
        <v>821</v>
      </c>
      <c r="D70" s="284" t="e">
        <f ca="1">_xll.BDP(C70,"SECURITY_NAME")</f>
        <v>#NAME?</v>
      </c>
      <c r="E70" s="284" t="s">
        <v>50</v>
      </c>
      <c r="F70" s="285">
        <v>400</v>
      </c>
      <c r="G70" s="284" t="e">
        <f ca="1">_xll.BDP(C70,"CRNCY")</f>
        <v>#NAME?</v>
      </c>
      <c r="H70" s="281">
        <v>74.31</v>
      </c>
      <c r="I70" s="282">
        <f>F70*H70</f>
        <v>29724</v>
      </c>
      <c r="J70" s="283">
        <f>I70</f>
        <v>29724</v>
      </c>
      <c r="K70" s="282" t="e">
        <f ca="1">J70*L70</f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42664</v>
      </c>
    </row>
    <row r="71" spans="2:14" x14ac:dyDescent="0.2">
      <c r="B71" s="279"/>
      <c r="C71" s="279"/>
      <c r="D71" s="278"/>
      <c r="E71" s="278"/>
      <c r="F71" s="277">
        <f>SUM(F70)</f>
        <v>400</v>
      </c>
      <c r="G71" s="278"/>
      <c r="H71" s="276">
        <f>I71/F71</f>
        <v>74.31</v>
      </c>
      <c r="I71" s="277">
        <f>SUM(I70)</f>
        <v>29724</v>
      </c>
      <c r="J71" s="277">
        <f>SUM(J70)</f>
        <v>29724</v>
      </c>
      <c r="K71" s="277" t="e">
        <f ca="1">SUM(K70)</f>
        <v>#NAME?</v>
      </c>
      <c r="L71" s="276"/>
      <c r="M71" s="275"/>
      <c r="N71" s="274"/>
    </row>
    <row r="72" spans="2:14" x14ac:dyDescent="0.2">
      <c r="F72" s="79"/>
      <c r="H72" s="80"/>
      <c r="I72" s="79"/>
      <c r="J72" s="79"/>
      <c r="K72" s="79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D75" s="87"/>
      <c r="E75" s="87"/>
      <c r="F75" s="79"/>
      <c r="G75" s="87"/>
      <c r="H75" s="80"/>
      <c r="I75" s="79"/>
      <c r="J75" s="79"/>
      <c r="K75" s="79"/>
      <c r="L75" s="88"/>
      <c r="M75" s="158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D79" s="87"/>
      <c r="E79" s="87"/>
      <c r="F79" s="79"/>
      <c r="G79" s="87"/>
      <c r="H79" s="8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H87" s="80"/>
      <c r="I87" s="79"/>
      <c r="J87" s="79"/>
      <c r="K87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F91" s="79"/>
      <c r="G91" s="79"/>
      <c r="H91" s="80"/>
      <c r="I91" s="79"/>
      <c r="J91" s="79"/>
      <c r="K91" s="79"/>
    </row>
    <row r="92" spans="2:14" x14ac:dyDescent="0.2">
      <c r="G92" s="79"/>
      <c r="H92" s="80"/>
      <c r="I92" s="79"/>
      <c r="J92" s="79"/>
      <c r="K92" s="79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C96" s="159"/>
      <c r="D96" s="87"/>
      <c r="E96" s="87"/>
      <c r="F96" s="79"/>
      <c r="G96" s="87"/>
      <c r="H96" s="79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0"/>
      <c r="C99" s="159"/>
      <c r="D99" s="87"/>
      <c r="E99" s="87"/>
      <c r="F99" s="79"/>
      <c r="G99" s="87"/>
      <c r="H99" s="80"/>
      <c r="I99" s="79"/>
      <c r="J99" s="79"/>
      <c r="K99" s="79"/>
      <c r="L99" s="88"/>
      <c r="M99" s="158"/>
      <c r="N99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7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F152" s="79"/>
      <c r="H152" s="88"/>
      <c r="I152" s="79"/>
      <c r="J152" s="79"/>
      <c r="K152" s="79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88"/>
      <c r="I159" s="79"/>
      <c r="J159" s="79"/>
      <c r="K159" s="79"/>
      <c r="L159" s="88"/>
      <c r="M159" s="173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73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168"/>
      <c r="J175" s="169"/>
      <c r="K175" s="168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0"/>
      <c r="I190" s="79"/>
      <c r="J190" s="79"/>
      <c r="K190" s="79"/>
      <c r="L190" s="88"/>
      <c r="M190" s="158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168"/>
      <c r="J191" s="169"/>
      <c r="K191" s="168"/>
      <c r="L191" s="88"/>
      <c r="M191" s="158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168"/>
      <c r="J209" s="169"/>
      <c r="K209" s="168"/>
      <c r="L209" s="88"/>
      <c r="M209" s="173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1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172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3"/>
      <c r="I216" s="79"/>
      <c r="J216" s="79"/>
      <c r="K216" s="79"/>
      <c r="L216" s="88"/>
      <c r="M216" s="158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1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2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0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5"/>
      <c r="I223" s="79"/>
      <c r="J223" s="79"/>
      <c r="K223" s="79"/>
      <c r="L223" s="88"/>
      <c r="M223" s="158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168"/>
      <c r="J224" s="169"/>
      <c r="K224" s="168"/>
      <c r="L224" s="88"/>
      <c r="M224" s="158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96"/>
      <c r="J246" s="96"/>
      <c r="K246" s="96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168"/>
      <c r="J287" s="169"/>
      <c r="K287" s="168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168"/>
      <c r="J301" s="169"/>
      <c r="K301" s="168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56"/>
      <c r="C307" s="156"/>
      <c r="D307" s="156"/>
      <c r="E307" s="102"/>
      <c r="F307" s="102"/>
      <c r="G307" s="156"/>
      <c r="H307" s="156"/>
      <c r="I307" s="156"/>
      <c r="J307" s="156"/>
      <c r="K307" s="156"/>
      <c r="L307" s="102"/>
      <c r="M307" s="156"/>
      <c r="N307" s="156"/>
    </row>
    <row r="308" spans="2:14" x14ac:dyDescent="0.2">
      <c r="H308" s="151"/>
    </row>
    <row r="309" spans="2:14" x14ac:dyDescent="0.2">
      <c r="H309" s="151"/>
    </row>
    <row r="311" spans="2:14" x14ac:dyDescent="0.2">
      <c r="H311" s="151"/>
    </row>
    <row r="312" spans="2:14" x14ac:dyDescent="0.2">
      <c r="H312" s="151"/>
    </row>
    <row r="313" spans="2:14" x14ac:dyDescent="0.2">
      <c r="L313" s="155"/>
    </row>
    <row r="314" spans="2:14" x14ac:dyDescent="0.2">
      <c r="L314" s="155"/>
    </row>
    <row r="315" spans="2:14" x14ac:dyDescent="0.2">
      <c r="L315" s="154"/>
    </row>
    <row r="317" spans="2:14" x14ac:dyDescent="0.2">
      <c r="L317" s="153"/>
    </row>
    <row r="321" spans="5:12" x14ac:dyDescent="0.2">
      <c r="E321" s="32"/>
      <c r="F321" s="32"/>
      <c r="G321" s="151"/>
      <c r="L321" s="32"/>
    </row>
    <row r="322" spans="5:12" x14ac:dyDescent="0.2">
      <c r="E322" s="32"/>
      <c r="F322" s="32"/>
      <c r="G322" s="152"/>
      <c r="L322" s="32"/>
    </row>
    <row r="325" spans="5:12" x14ac:dyDescent="0.2">
      <c r="E325" s="32"/>
      <c r="F325" s="32"/>
      <c r="G325" s="151"/>
      <c r="L325" s="32"/>
    </row>
  </sheetData>
  <sortState ref="A4:Y11">
    <sortCondition descending="1" ref="I4:I11"/>
  </sortState>
  <mergeCells count="1">
    <mergeCell ref="I18:J19"/>
  </mergeCells>
  <conditionalFormatting sqref="E156:E157 E204:E205 E197 E187:E188 E159:E160 E200:E201 E208:E210 D20">
    <cfRule type="containsText" dxfId="10750" priority="711" operator="containsText" text="Buy">
      <formula>NOT(ISERROR(SEARCH("Buy",D20)))</formula>
    </cfRule>
    <cfRule type="containsText" dxfId="10749" priority="712" operator="containsText" text="Sell">
      <formula>NOT(ISERROR(SEARCH("Sell",D20)))</formula>
    </cfRule>
  </conditionalFormatting>
  <conditionalFormatting sqref="E229:E230 E219:E220 E224">
    <cfRule type="containsText" dxfId="10748" priority="709" operator="containsText" text="Buy">
      <formula>NOT(ISERROR(SEARCH("Buy",E219)))</formula>
    </cfRule>
    <cfRule type="containsText" dxfId="10747" priority="710" operator="containsText" text="Sell">
      <formula>NOT(ISERROR(SEARCH("Sell",E219)))</formula>
    </cfRule>
  </conditionalFormatting>
  <conditionalFormatting sqref="E245:E247 E304 E301 E296 E290 E287 E284 E281 E274 E270 E264 E254">
    <cfRule type="containsText" dxfId="10746" priority="707" operator="containsText" text="Buy">
      <formula>NOT(ISERROR(SEARCH("Buy",E245)))</formula>
    </cfRule>
    <cfRule type="containsText" dxfId="10745" priority="708" operator="containsText" text="Sell">
      <formula>NOT(ISERROR(SEARCH("Sell",E245)))</formula>
    </cfRule>
  </conditionalFormatting>
  <conditionalFormatting sqref="E244">
    <cfRule type="containsText" dxfId="10744" priority="705" operator="containsText" text="Buy">
      <formula>NOT(ISERROR(SEARCH("Buy",E244)))</formula>
    </cfRule>
    <cfRule type="containsText" dxfId="10743" priority="706" operator="containsText" text="Sell">
      <formula>NOT(ISERROR(SEARCH("Sell",E244)))</formula>
    </cfRule>
  </conditionalFormatting>
  <conditionalFormatting sqref="E243">
    <cfRule type="containsText" dxfId="10742" priority="703" operator="containsText" text="Buy">
      <formula>NOT(ISERROR(SEARCH("Buy",E243)))</formula>
    </cfRule>
    <cfRule type="containsText" dxfId="10741" priority="704" operator="containsText" text="Sell">
      <formula>NOT(ISERROR(SEARCH("Sell",E243)))</formula>
    </cfRule>
  </conditionalFormatting>
  <conditionalFormatting sqref="E242">
    <cfRule type="containsText" dxfId="10740" priority="701" operator="containsText" text="Buy">
      <formula>NOT(ISERROR(SEARCH("Buy",E242)))</formula>
    </cfRule>
    <cfRule type="containsText" dxfId="10739" priority="702" operator="containsText" text="Sell">
      <formula>NOT(ISERROR(SEARCH("Sell",E242)))</formula>
    </cfRule>
  </conditionalFormatting>
  <conditionalFormatting sqref="E155">
    <cfRule type="containsText" dxfId="10738" priority="699" operator="containsText" text="Buy">
      <formula>NOT(ISERROR(SEARCH("Buy",E155)))</formula>
    </cfRule>
    <cfRule type="containsText" dxfId="10737" priority="700" operator="containsText" text="Sell">
      <formula>NOT(ISERROR(SEARCH("Sell",E155)))</formula>
    </cfRule>
  </conditionalFormatting>
  <conditionalFormatting sqref="E154">
    <cfRule type="containsText" dxfId="10736" priority="697" operator="containsText" text="Buy">
      <formula>NOT(ISERROR(SEARCH("Buy",E154)))</formula>
    </cfRule>
    <cfRule type="containsText" dxfId="10735" priority="698" operator="containsText" text="Sell">
      <formula>NOT(ISERROR(SEARCH("Sell",E154)))</formula>
    </cfRule>
  </conditionalFormatting>
  <conditionalFormatting sqref="E203">
    <cfRule type="containsText" dxfId="10734" priority="695" operator="containsText" text="Buy">
      <formula>NOT(ISERROR(SEARCH("Buy",E203)))</formula>
    </cfRule>
    <cfRule type="containsText" dxfId="10733" priority="696" operator="containsText" text="Sell">
      <formula>NOT(ISERROR(SEARCH("Sell",E203)))</formula>
    </cfRule>
  </conditionalFormatting>
  <conditionalFormatting sqref="E202">
    <cfRule type="containsText" dxfId="10732" priority="693" operator="containsText" text="Buy">
      <formula>NOT(ISERROR(SEARCH("Buy",E202)))</formula>
    </cfRule>
    <cfRule type="containsText" dxfId="10731" priority="694" operator="containsText" text="Sell">
      <formula>NOT(ISERROR(SEARCH("Sell",E202)))</formula>
    </cfRule>
  </conditionalFormatting>
  <conditionalFormatting sqref="E189:E191">
    <cfRule type="containsText" dxfId="10730" priority="691" operator="containsText" text="Buy">
      <formula>NOT(ISERROR(SEARCH("Buy",E189)))</formula>
    </cfRule>
    <cfRule type="containsText" dxfId="10729" priority="692" operator="containsText" text="Sell">
      <formula>NOT(ISERROR(SEARCH("Sell",E189)))</formula>
    </cfRule>
  </conditionalFormatting>
  <conditionalFormatting sqref="E186">
    <cfRule type="containsText" dxfId="10728" priority="689" operator="containsText" text="Buy">
      <formula>NOT(ISERROR(SEARCH("Buy",E186)))</formula>
    </cfRule>
    <cfRule type="containsText" dxfId="10727" priority="690" operator="containsText" text="Sell">
      <formula>NOT(ISERROR(SEARCH("Sell",E186)))</formula>
    </cfRule>
  </conditionalFormatting>
  <conditionalFormatting sqref="E185">
    <cfRule type="containsText" dxfId="10726" priority="687" operator="containsText" text="Buy">
      <formula>NOT(ISERROR(SEARCH("Buy",E185)))</formula>
    </cfRule>
    <cfRule type="containsText" dxfId="10725" priority="688" operator="containsText" text="Sell">
      <formula>NOT(ISERROR(SEARCH("Sell",E185)))</formula>
    </cfRule>
  </conditionalFormatting>
  <conditionalFormatting sqref="E184">
    <cfRule type="containsText" dxfId="10724" priority="685" operator="containsText" text="Buy">
      <formula>NOT(ISERROR(SEARCH("Buy",E184)))</formula>
    </cfRule>
    <cfRule type="containsText" dxfId="10723" priority="686" operator="containsText" text="Sell">
      <formula>NOT(ISERROR(SEARCH("Sell",E184)))</formula>
    </cfRule>
  </conditionalFormatting>
  <conditionalFormatting sqref="E183">
    <cfRule type="containsText" dxfId="10722" priority="683" operator="containsText" text="Buy">
      <formula>NOT(ISERROR(SEARCH("Buy",E183)))</formula>
    </cfRule>
    <cfRule type="containsText" dxfId="10721" priority="684" operator="containsText" text="Sell">
      <formula>NOT(ISERROR(SEARCH("Sell",E183)))</formula>
    </cfRule>
  </conditionalFormatting>
  <conditionalFormatting sqref="E182">
    <cfRule type="containsText" dxfId="10720" priority="681" operator="containsText" text="Buy">
      <formula>NOT(ISERROR(SEARCH("Buy",E182)))</formula>
    </cfRule>
    <cfRule type="containsText" dxfId="10719" priority="682" operator="containsText" text="Sell">
      <formula>NOT(ISERROR(SEARCH("Sell",E182)))</formula>
    </cfRule>
  </conditionalFormatting>
  <conditionalFormatting sqref="E181">
    <cfRule type="containsText" dxfId="10718" priority="679" operator="containsText" text="Buy">
      <formula>NOT(ISERROR(SEARCH("Buy",E181)))</formula>
    </cfRule>
    <cfRule type="containsText" dxfId="10717" priority="680" operator="containsText" text="Sell">
      <formula>NOT(ISERROR(SEARCH("Sell",E181)))</formula>
    </cfRule>
  </conditionalFormatting>
  <conditionalFormatting sqref="E180">
    <cfRule type="containsText" dxfId="10716" priority="677" operator="containsText" text="Buy">
      <formula>NOT(ISERROR(SEARCH("Buy",E180)))</formula>
    </cfRule>
    <cfRule type="containsText" dxfId="10715" priority="678" operator="containsText" text="Sell">
      <formula>NOT(ISERROR(SEARCH("Sell",E180)))</formula>
    </cfRule>
  </conditionalFormatting>
  <conditionalFormatting sqref="E173:E175">
    <cfRule type="containsText" dxfId="10714" priority="675" operator="containsText" text="Buy">
      <formula>NOT(ISERROR(SEARCH("Buy",E173)))</formula>
    </cfRule>
    <cfRule type="containsText" dxfId="10713" priority="676" operator="containsText" text="Sell">
      <formula>NOT(ISERROR(SEARCH("Sell",E173)))</formula>
    </cfRule>
  </conditionalFormatting>
  <conditionalFormatting sqref="E172">
    <cfRule type="containsText" dxfId="10712" priority="673" operator="containsText" text="Buy">
      <formula>NOT(ISERROR(SEARCH("Buy",E172)))</formula>
    </cfRule>
    <cfRule type="containsText" dxfId="10711" priority="674" operator="containsText" text="Sell">
      <formula>NOT(ISERROR(SEARCH("Sell",E172)))</formula>
    </cfRule>
  </conditionalFormatting>
  <conditionalFormatting sqref="E171">
    <cfRule type="containsText" dxfId="10710" priority="671" operator="containsText" text="Buy">
      <formula>NOT(ISERROR(SEARCH("Buy",E171)))</formula>
    </cfRule>
    <cfRule type="containsText" dxfId="10709" priority="672" operator="containsText" text="Sell">
      <formula>NOT(ISERROR(SEARCH("Sell",E171)))</formula>
    </cfRule>
  </conditionalFormatting>
  <conditionalFormatting sqref="E170">
    <cfRule type="containsText" dxfId="10708" priority="669" operator="containsText" text="Buy">
      <formula>NOT(ISERROR(SEARCH("Buy",E170)))</formula>
    </cfRule>
    <cfRule type="containsText" dxfId="10707" priority="670" operator="containsText" text="Sell">
      <formula>NOT(ISERROR(SEARCH("Sell",E170)))</formula>
    </cfRule>
  </conditionalFormatting>
  <conditionalFormatting sqref="E169">
    <cfRule type="containsText" dxfId="10706" priority="667" operator="containsText" text="Buy">
      <formula>NOT(ISERROR(SEARCH("Buy",E169)))</formula>
    </cfRule>
    <cfRule type="containsText" dxfId="10705" priority="668" operator="containsText" text="Sell">
      <formula>NOT(ISERROR(SEARCH("Sell",E169)))</formula>
    </cfRule>
  </conditionalFormatting>
  <conditionalFormatting sqref="E168">
    <cfRule type="containsText" dxfId="10704" priority="665" operator="containsText" text="Buy">
      <formula>NOT(ISERROR(SEARCH("Buy",E168)))</formula>
    </cfRule>
    <cfRule type="containsText" dxfId="10703" priority="666" operator="containsText" text="Sell">
      <formula>NOT(ISERROR(SEARCH("Sell",E168)))</formula>
    </cfRule>
  </conditionalFormatting>
  <conditionalFormatting sqref="E167">
    <cfRule type="containsText" dxfId="10702" priority="663" operator="containsText" text="Buy">
      <formula>NOT(ISERROR(SEARCH("Buy",E167)))</formula>
    </cfRule>
    <cfRule type="containsText" dxfId="10701" priority="664" operator="containsText" text="Sell">
      <formula>NOT(ISERROR(SEARCH("Sell",E167)))</formula>
    </cfRule>
  </conditionalFormatting>
  <conditionalFormatting sqref="E166">
    <cfRule type="containsText" dxfId="10700" priority="661" operator="containsText" text="Buy">
      <formula>NOT(ISERROR(SEARCH("Buy",E166)))</formula>
    </cfRule>
    <cfRule type="containsText" dxfId="10699" priority="662" operator="containsText" text="Sell">
      <formula>NOT(ISERROR(SEARCH("Sell",E166)))</formula>
    </cfRule>
  </conditionalFormatting>
  <conditionalFormatting sqref="E165">
    <cfRule type="containsText" dxfId="10698" priority="659" operator="containsText" text="Buy">
      <formula>NOT(ISERROR(SEARCH("Buy",E165)))</formula>
    </cfRule>
    <cfRule type="containsText" dxfId="10697" priority="660" operator="containsText" text="Sell">
      <formula>NOT(ISERROR(SEARCH("Sell",E165)))</formula>
    </cfRule>
  </conditionalFormatting>
  <conditionalFormatting sqref="E164">
    <cfRule type="containsText" dxfId="10696" priority="657" operator="containsText" text="Buy">
      <formula>NOT(ISERROR(SEARCH("Buy",E164)))</formula>
    </cfRule>
    <cfRule type="containsText" dxfId="10695" priority="658" operator="containsText" text="Sell">
      <formula>NOT(ISERROR(SEARCH("Sell",E164)))</formula>
    </cfRule>
  </conditionalFormatting>
  <conditionalFormatting sqref="E163">
    <cfRule type="containsText" dxfId="10694" priority="655" operator="containsText" text="Buy">
      <formula>NOT(ISERROR(SEARCH("Buy",E163)))</formula>
    </cfRule>
    <cfRule type="containsText" dxfId="10693" priority="656" operator="containsText" text="Sell">
      <formula>NOT(ISERROR(SEARCH("Sell",E163)))</formula>
    </cfRule>
  </conditionalFormatting>
  <conditionalFormatting sqref="E162">
    <cfRule type="containsText" dxfId="10692" priority="653" operator="containsText" text="Buy">
      <formula>NOT(ISERROR(SEARCH("Buy",E162)))</formula>
    </cfRule>
    <cfRule type="containsText" dxfId="10691" priority="654" operator="containsText" text="Sell">
      <formula>NOT(ISERROR(SEARCH("Sell",E162)))</formula>
    </cfRule>
  </conditionalFormatting>
  <conditionalFormatting sqref="E158">
    <cfRule type="containsText" dxfId="10690" priority="651" operator="containsText" text="Buy">
      <formula>NOT(ISERROR(SEARCH("Buy",E158)))</formula>
    </cfRule>
    <cfRule type="containsText" dxfId="10689" priority="652" operator="containsText" text="Sell">
      <formula>NOT(ISERROR(SEARCH("Sell",E158)))</formula>
    </cfRule>
  </conditionalFormatting>
  <conditionalFormatting sqref="E218">
    <cfRule type="containsText" dxfId="10688" priority="649" operator="containsText" text="Buy">
      <formula>NOT(ISERROR(SEARCH("Buy",E218)))</formula>
    </cfRule>
    <cfRule type="containsText" dxfId="10687" priority="650" operator="containsText" text="Sell">
      <formula>NOT(ISERROR(SEARCH("Sell",E218)))</formula>
    </cfRule>
  </conditionalFormatting>
  <conditionalFormatting sqref="E217 E214">
    <cfRule type="containsText" dxfId="10686" priority="647" operator="containsText" text="Buy">
      <formula>NOT(ISERROR(SEARCH("Buy",E214)))</formula>
    </cfRule>
    <cfRule type="containsText" dxfId="10685" priority="648" operator="containsText" text="Sell">
      <formula>NOT(ISERROR(SEARCH("Sell",E214)))</formula>
    </cfRule>
  </conditionalFormatting>
  <conditionalFormatting sqref="E223">
    <cfRule type="containsText" dxfId="10684" priority="645" operator="containsText" text="Buy">
      <formula>NOT(ISERROR(SEARCH("Buy",E223)))</formula>
    </cfRule>
    <cfRule type="containsText" dxfId="10683" priority="646" operator="containsText" text="Sell">
      <formula>NOT(ISERROR(SEARCH("Sell",E223)))</formula>
    </cfRule>
  </conditionalFormatting>
  <conditionalFormatting sqref="E305:E306">
    <cfRule type="containsText" dxfId="10682" priority="643" operator="containsText" text="Buy">
      <formula>NOT(ISERROR(SEARCH("Buy",E305)))</formula>
    </cfRule>
    <cfRule type="containsText" dxfId="10681" priority="644" operator="containsText" text="Sell">
      <formula>NOT(ISERROR(SEARCH("Sell",E305)))</formula>
    </cfRule>
  </conditionalFormatting>
  <conditionalFormatting sqref="E216">
    <cfRule type="containsText" dxfId="10680" priority="641" operator="containsText" text="Buy">
      <formula>NOT(ISERROR(SEARCH("Buy",E216)))</formula>
    </cfRule>
    <cfRule type="containsText" dxfId="10679" priority="642" operator="containsText" text="Sell">
      <formula>NOT(ISERROR(SEARCH("Sell",E216)))</formula>
    </cfRule>
  </conditionalFormatting>
  <conditionalFormatting sqref="E213">
    <cfRule type="containsText" dxfId="10678" priority="639" operator="containsText" text="Buy">
      <formula>NOT(ISERROR(SEARCH("Buy",E213)))</formula>
    </cfRule>
    <cfRule type="containsText" dxfId="10677" priority="640" operator="containsText" text="Sell">
      <formula>NOT(ISERROR(SEARCH("Sell",E213)))</formula>
    </cfRule>
  </conditionalFormatting>
  <conditionalFormatting sqref="E212">
    <cfRule type="containsText" dxfId="10676" priority="637" operator="containsText" text="Buy">
      <formula>NOT(ISERROR(SEARCH("Buy",E212)))</formula>
    </cfRule>
    <cfRule type="containsText" dxfId="10675" priority="638" operator="containsText" text="Sell">
      <formula>NOT(ISERROR(SEARCH("Sell",E212)))</formula>
    </cfRule>
  </conditionalFormatting>
  <conditionalFormatting sqref="E199">
    <cfRule type="containsText" dxfId="10674" priority="635" operator="containsText" text="Buy">
      <formula>NOT(ISERROR(SEARCH("Buy",E199)))</formula>
    </cfRule>
    <cfRule type="containsText" dxfId="10673" priority="636" operator="containsText" text="Sell">
      <formula>NOT(ISERROR(SEARCH("Sell",E199)))</formula>
    </cfRule>
  </conditionalFormatting>
  <conditionalFormatting sqref="E136:E139 E149 E146:E147">
    <cfRule type="containsText" dxfId="10672" priority="633" operator="containsText" text="Buy">
      <formula>NOT(ISERROR(SEARCH("Buy",E136)))</formula>
    </cfRule>
    <cfRule type="containsText" dxfId="10671" priority="634" operator="containsText" text="Sell">
      <formula>NOT(ISERROR(SEARCH("Sell",E136)))</formula>
    </cfRule>
  </conditionalFormatting>
  <conditionalFormatting sqref="E302:E303">
    <cfRule type="containsText" dxfId="10670" priority="631" operator="containsText" text="Buy">
      <formula>NOT(ISERROR(SEARCH("Buy",E302)))</formula>
    </cfRule>
    <cfRule type="containsText" dxfId="10669" priority="632" operator="containsText" text="Sell">
      <formula>NOT(ISERROR(SEARCH("Sell",E302)))</formula>
    </cfRule>
  </conditionalFormatting>
  <conditionalFormatting sqref="E299:E300">
    <cfRule type="containsText" dxfId="10668" priority="629" operator="containsText" text="Buy">
      <formula>NOT(ISERROR(SEARCH("Buy",E299)))</formula>
    </cfRule>
    <cfRule type="containsText" dxfId="10667" priority="630" operator="containsText" text="Sell">
      <formula>NOT(ISERROR(SEARCH("Sell",E299)))</formula>
    </cfRule>
  </conditionalFormatting>
  <conditionalFormatting sqref="E297:E298">
    <cfRule type="containsText" dxfId="10666" priority="627" operator="containsText" text="Buy">
      <formula>NOT(ISERROR(SEARCH("Buy",E297)))</formula>
    </cfRule>
    <cfRule type="containsText" dxfId="10665" priority="628" operator="containsText" text="Sell">
      <formula>NOT(ISERROR(SEARCH("Sell",E297)))</formula>
    </cfRule>
  </conditionalFormatting>
  <conditionalFormatting sqref="E294:E295">
    <cfRule type="containsText" dxfId="10664" priority="625" operator="containsText" text="Buy">
      <formula>NOT(ISERROR(SEARCH("Buy",E294)))</formula>
    </cfRule>
    <cfRule type="containsText" dxfId="10663" priority="626" operator="containsText" text="Sell">
      <formula>NOT(ISERROR(SEARCH("Sell",E294)))</formula>
    </cfRule>
  </conditionalFormatting>
  <conditionalFormatting sqref="E291:E293">
    <cfRule type="containsText" dxfId="10662" priority="623" operator="containsText" text="Buy">
      <formula>NOT(ISERROR(SEARCH("Buy",E291)))</formula>
    </cfRule>
    <cfRule type="containsText" dxfId="10661" priority="624" operator="containsText" text="Sell">
      <formula>NOT(ISERROR(SEARCH("Sell",E291)))</formula>
    </cfRule>
  </conditionalFormatting>
  <conditionalFormatting sqref="E288:E289">
    <cfRule type="containsText" dxfId="10660" priority="621" operator="containsText" text="Buy">
      <formula>NOT(ISERROR(SEARCH("Buy",E288)))</formula>
    </cfRule>
    <cfRule type="containsText" dxfId="10659" priority="622" operator="containsText" text="Sell">
      <formula>NOT(ISERROR(SEARCH("Sell",E288)))</formula>
    </cfRule>
  </conditionalFormatting>
  <conditionalFormatting sqref="E285:E286">
    <cfRule type="containsText" dxfId="10658" priority="619" operator="containsText" text="Buy">
      <formula>NOT(ISERROR(SEARCH("Buy",E285)))</formula>
    </cfRule>
    <cfRule type="containsText" dxfId="10657" priority="620" operator="containsText" text="Sell">
      <formula>NOT(ISERROR(SEARCH("Sell",E285)))</formula>
    </cfRule>
  </conditionalFormatting>
  <conditionalFormatting sqref="E282:E283">
    <cfRule type="containsText" dxfId="10656" priority="617" operator="containsText" text="Buy">
      <formula>NOT(ISERROR(SEARCH("Buy",E282)))</formula>
    </cfRule>
    <cfRule type="containsText" dxfId="10655" priority="618" operator="containsText" text="Sell">
      <formula>NOT(ISERROR(SEARCH("Sell",E282)))</formula>
    </cfRule>
  </conditionalFormatting>
  <conditionalFormatting sqref="E278">
    <cfRule type="containsText" dxfId="10654" priority="613" operator="containsText" text="Buy">
      <formula>NOT(ISERROR(SEARCH("Buy",E278)))</formula>
    </cfRule>
    <cfRule type="containsText" dxfId="10653" priority="614" operator="containsText" text="Sell">
      <formula>NOT(ISERROR(SEARCH("Sell",E278)))</formula>
    </cfRule>
  </conditionalFormatting>
  <conditionalFormatting sqref="E279:E280">
    <cfRule type="containsText" dxfId="10652" priority="615" operator="containsText" text="Buy">
      <formula>NOT(ISERROR(SEARCH("Buy",E279)))</formula>
    </cfRule>
    <cfRule type="containsText" dxfId="10651" priority="616" operator="containsText" text="Sell">
      <formula>NOT(ISERROR(SEARCH("Sell",E279)))</formula>
    </cfRule>
  </conditionalFormatting>
  <conditionalFormatting sqref="E272:E273">
    <cfRule type="containsText" dxfId="10650" priority="611" operator="containsText" text="Buy">
      <formula>NOT(ISERROR(SEARCH("Buy",E272)))</formula>
    </cfRule>
    <cfRule type="containsText" dxfId="10649" priority="612" operator="containsText" text="Sell">
      <formula>NOT(ISERROR(SEARCH("Sell",E272)))</formula>
    </cfRule>
  </conditionalFormatting>
  <conditionalFormatting sqref="E268:E269">
    <cfRule type="containsText" dxfId="10648" priority="609" operator="containsText" text="Buy">
      <formula>NOT(ISERROR(SEARCH("Buy",E268)))</formula>
    </cfRule>
    <cfRule type="containsText" dxfId="10647" priority="610" operator="containsText" text="Sell">
      <formula>NOT(ISERROR(SEARCH("Sell",E268)))</formula>
    </cfRule>
  </conditionalFormatting>
  <conditionalFormatting sqref="E133:E134">
    <cfRule type="containsText" dxfId="10646" priority="607" operator="containsText" text="Buy">
      <formula>NOT(ISERROR(SEARCH("Buy",E133)))</formula>
    </cfRule>
    <cfRule type="containsText" dxfId="10645" priority="608" operator="containsText" text="Sell">
      <formula>NOT(ISERROR(SEARCH("Sell",E133)))</formula>
    </cfRule>
  </conditionalFormatting>
  <conditionalFormatting sqref="E128:E129">
    <cfRule type="containsText" dxfId="10644" priority="605" operator="containsText" text="Buy">
      <formula>NOT(ISERROR(SEARCH("Buy",E128)))</formula>
    </cfRule>
    <cfRule type="containsText" dxfId="10643" priority="606" operator="containsText" text="Sell">
      <formula>NOT(ISERROR(SEARCH("Sell",E128)))</formula>
    </cfRule>
  </conditionalFormatting>
  <conditionalFormatting sqref="E145">
    <cfRule type="containsText" dxfId="10642" priority="603" operator="containsText" text="Buy">
      <formula>NOT(ISERROR(SEARCH("Buy",E145)))</formula>
    </cfRule>
    <cfRule type="containsText" dxfId="10641" priority="604" operator="containsText" text="Sell">
      <formula>NOT(ISERROR(SEARCH("Sell",E145)))</formula>
    </cfRule>
  </conditionalFormatting>
  <conditionalFormatting sqref="E144">
    <cfRule type="containsText" dxfId="10640" priority="601" operator="containsText" text="Buy">
      <formula>NOT(ISERROR(SEARCH("Buy",E144)))</formula>
    </cfRule>
    <cfRule type="containsText" dxfId="10639" priority="602" operator="containsText" text="Sell">
      <formula>NOT(ISERROR(SEARCH("Sell",E144)))</formula>
    </cfRule>
  </conditionalFormatting>
  <conditionalFormatting sqref="E140">
    <cfRule type="containsText" dxfId="10638" priority="599" operator="containsText" text="Buy">
      <formula>NOT(ISERROR(SEARCH("Buy",E140)))</formula>
    </cfRule>
    <cfRule type="containsText" dxfId="10637" priority="600" operator="containsText" text="Sell">
      <formula>NOT(ISERROR(SEARCH("Sell",E140)))</formula>
    </cfRule>
  </conditionalFormatting>
  <conditionalFormatting sqref="E265:E267">
    <cfRule type="containsText" dxfId="10636" priority="597" operator="containsText" text="Buy">
      <formula>NOT(ISERROR(SEARCH("Buy",E265)))</formula>
    </cfRule>
    <cfRule type="containsText" dxfId="10635" priority="598" operator="containsText" text="Sell">
      <formula>NOT(ISERROR(SEARCH("Sell",E265)))</formula>
    </cfRule>
  </conditionalFormatting>
  <conditionalFormatting sqref="E262:E263">
    <cfRule type="containsText" dxfId="10634" priority="595" operator="containsText" text="Buy">
      <formula>NOT(ISERROR(SEARCH("Buy",E262)))</formula>
    </cfRule>
    <cfRule type="containsText" dxfId="10633" priority="596" operator="containsText" text="Sell">
      <formula>NOT(ISERROR(SEARCH("Sell",E262)))</formula>
    </cfRule>
  </conditionalFormatting>
  <conditionalFormatting sqref="E256:E258">
    <cfRule type="containsText" dxfId="10632" priority="593" operator="containsText" text="Buy">
      <formula>NOT(ISERROR(SEARCH("Buy",E256)))</formula>
    </cfRule>
    <cfRule type="containsText" dxfId="10631" priority="594" operator="containsText" text="Sell">
      <formula>NOT(ISERROR(SEARCH("Sell",E256)))</formula>
    </cfRule>
  </conditionalFormatting>
  <conditionalFormatting sqref="E252:E253">
    <cfRule type="containsText" dxfId="10630" priority="591" operator="containsText" text="Buy">
      <formula>NOT(ISERROR(SEARCH("Buy",E252)))</formula>
    </cfRule>
    <cfRule type="containsText" dxfId="10629" priority="592" operator="containsText" text="Sell">
      <formula>NOT(ISERROR(SEARCH("Sell",E252)))</formula>
    </cfRule>
  </conditionalFormatting>
  <conditionalFormatting sqref="E261">
    <cfRule type="containsText" dxfId="10628" priority="589" operator="containsText" text="Buy">
      <formula>NOT(ISERROR(SEARCH("Buy",E261)))</formula>
    </cfRule>
    <cfRule type="containsText" dxfId="10627" priority="590" operator="containsText" text="Sell">
      <formula>NOT(ISERROR(SEARCH("Sell",E261)))</formula>
    </cfRule>
  </conditionalFormatting>
  <conditionalFormatting sqref="E241">
    <cfRule type="containsText" dxfId="10626" priority="587" operator="containsText" text="Buy">
      <formula>NOT(ISERROR(SEARCH("Buy",E241)))</formula>
    </cfRule>
    <cfRule type="containsText" dxfId="10625" priority="588" operator="containsText" text="Sell">
      <formula>NOT(ISERROR(SEARCH("Sell",E241)))</formula>
    </cfRule>
  </conditionalFormatting>
  <conditionalFormatting sqref="E240">
    <cfRule type="containsText" dxfId="10624" priority="585" operator="containsText" text="Buy">
      <formula>NOT(ISERROR(SEARCH("Buy",E240)))</formula>
    </cfRule>
    <cfRule type="containsText" dxfId="10623" priority="586" operator="containsText" text="Sell">
      <formula>NOT(ISERROR(SEARCH("Sell",E240)))</formula>
    </cfRule>
  </conditionalFormatting>
  <conditionalFormatting sqref="E239">
    <cfRule type="containsText" dxfId="10622" priority="583" operator="containsText" text="Buy">
      <formula>NOT(ISERROR(SEARCH("Buy",E239)))</formula>
    </cfRule>
    <cfRule type="containsText" dxfId="10621" priority="584" operator="containsText" text="Sell">
      <formula>NOT(ISERROR(SEARCH("Sell",E239)))</formula>
    </cfRule>
  </conditionalFormatting>
  <conditionalFormatting sqref="E196">
    <cfRule type="containsText" dxfId="10620" priority="581" operator="containsText" text="Buy">
      <formula>NOT(ISERROR(SEARCH("Buy",E196)))</formula>
    </cfRule>
    <cfRule type="containsText" dxfId="10619" priority="582" operator="containsText" text="Sell">
      <formula>NOT(ISERROR(SEARCH("Sell",E196)))</formula>
    </cfRule>
  </conditionalFormatting>
  <conditionalFormatting sqref="E215">
    <cfRule type="containsText" dxfId="10618" priority="579" operator="containsText" text="Buy">
      <formula>NOT(ISERROR(SEARCH("Buy",E215)))</formula>
    </cfRule>
    <cfRule type="containsText" dxfId="10617" priority="580" operator="containsText" text="Sell">
      <formula>NOT(ISERROR(SEARCH("Sell",E215)))</formula>
    </cfRule>
  </conditionalFormatting>
  <conditionalFormatting sqref="E109:E110">
    <cfRule type="containsText" dxfId="10616" priority="577" operator="containsText" text="Buy">
      <formula>NOT(ISERROR(SEARCH("Buy",E109)))</formula>
    </cfRule>
    <cfRule type="containsText" dxfId="10615" priority="578" operator="containsText" text="Sell">
      <formula>NOT(ISERROR(SEARCH("Sell",E109)))</formula>
    </cfRule>
  </conditionalFormatting>
  <conditionalFormatting sqref="E238">
    <cfRule type="containsText" dxfId="10614" priority="573" operator="containsText" text="Buy">
      <formula>NOT(ISERROR(SEARCH("Buy",E238)))</formula>
    </cfRule>
    <cfRule type="containsText" dxfId="10613" priority="574" operator="containsText" text="Sell">
      <formula>NOT(ISERROR(SEARCH("Sell",E238)))</formula>
    </cfRule>
  </conditionalFormatting>
  <conditionalFormatting sqref="E148">
    <cfRule type="containsText" dxfId="10612" priority="575" operator="containsText" text="Buy">
      <formula>NOT(ISERROR(SEARCH("Buy",E148)))</formula>
    </cfRule>
    <cfRule type="containsText" dxfId="10611" priority="576" operator="containsText" text="Sell">
      <formula>NOT(ISERROR(SEARCH("Sell",E148)))</formula>
    </cfRule>
  </conditionalFormatting>
  <conditionalFormatting sqref="E237">
    <cfRule type="containsText" dxfId="10610" priority="571" operator="containsText" text="Buy">
      <formula>NOT(ISERROR(SEARCH("Buy",E237)))</formula>
    </cfRule>
    <cfRule type="containsText" dxfId="10609" priority="572" operator="containsText" text="Sell">
      <formula>NOT(ISERROR(SEARCH("Sell",E237)))</formula>
    </cfRule>
  </conditionalFormatting>
  <conditionalFormatting sqref="E236">
    <cfRule type="containsText" dxfId="10608" priority="569" operator="containsText" text="Buy">
      <formula>NOT(ISERROR(SEARCH("Buy",E236)))</formula>
    </cfRule>
    <cfRule type="containsText" dxfId="10607" priority="570" operator="containsText" text="Sell">
      <formula>NOT(ISERROR(SEARCH("Sell",E236)))</formula>
    </cfRule>
  </conditionalFormatting>
  <conditionalFormatting sqref="E235">
    <cfRule type="containsText" dxfId="10606" priority="567" operator="containsText" text="Buy">
      <formula>NOT(ISERROR(SEARCH("Buy",E235)))</formula>
    </cfRule>
    <cfRule type="containsText" dxfId="10605" priority="568" operator="containsText" text="Sell">
      <formula>NOT(ISERROR(SEARCH("Sell",E235)))</formula>
    </cfRule>
  </conditionalFormatting>
  <conditionalFormatting sqref="E234">
    <cfRule type="containsText" dxfId="10604" priority="565" operator="containsText" text="Buy">
      <formula>NOT(ISERROR(SEARCH("Buy",E234)))</formula>
    </cfRule>
    <cfRule type="containsText" dxfId="10603" priority="566" operator="containsText" text="Sell">
      <formula>NOT(ISERROR(SEARCH("Sell",E234)))</formula>
    </cfRule>
  </conditionalFormatting>
  <conditionalFormatting sqref="E114:E116 E127">
    <cfRule type="containsText" dxfId="10602" priority="563" operator="containsText" text="Buy">
      <formula>NOT(ISERROR(SEARCH("Buy",E114)))</formula>
    </cfRule>
    <cfRule type="containsText" dxfId="10601" priority="564" operator="containsText" text="Sell">
      <formula>NOT(ISERROR(SEARCH("Sell",E114)))</formula>
    </cfRule>
  </conditionalFormatting>
  <conditionalFormatting sqref="E104:E105">
    <cfRule type="containsText" dxfId="10600" priority="561" operator="containsText" text="Buy">
      <formula>NOT(ISERROR(SEARCH("Buy",E104)))</formula>
    </cfRule>
    <cfRule type="containsText" dxfId="10599" priority="562" operator="containsText" text="Sell">
      <formula>NOT(ISERROR(SEARCH("Sell",E104)))</formula>
    </cfRule>
  </conditionalFormatting>
  <conditionalFormatting sqref="E98:E99">
    <cfRule type="containsText" dxfId="10598" priority="559" operator="containsText" text="Buy">
      <formula>NOT(ISERROR(SEARCH("Buy",E98)))</formula>
    </cfRule>
    <cfRule type="containsText" dxfId="10597" priority="560" operator="containsText" text="Sell">
      <formula>NOT(ISERROR(SEARCH("Sell",E98)))</formula>
    </cfRule>
  </conditionalFormatting>
  <conditionalFormatting sqref="E125:E126">
    <cfRule type="containsText" dxfId="10596" priority="557" operator="containsText" text="Buy">
      <formula>NOT(ISERROR(SEARCH("Buy",E125)))</formula>
    </cfRule>
    <cfRule type="containsText" dxfId="10595" priority="558" operator="containsText" text="Sell">
      <formula>NOT(ISERROR(SEARCH("Sell",E125)))</formula>
    </cfRule>
  </conditionalFormatting>
  <conditionalFormatting sqref="E124">
    <cfRule type="containsText" dxfId="10594" priority="555" operator="containsText" text="Buy">
      <formula>NOT(ISERROR(SEARCH("Buy",E124)))</formula>
    </cfRule>
    <cfRule type="containsText" dxfId="10593" priority="556" operator="containsText" text="Sell">
      <formula>NOT(ISERROR(SEARCH("Sell",E124)))</formula>
    </cfRule>
  </conditionalFormatting>
  <conditionalFormatting sqref="E207">
    <cfRule type="containsText" dxfId="10592" priority="553" operator="containsText" text="Buy">
      <formula>NOT(ISERROR(SEARCH("Buy",E207)))</formula>
    </cfRule>
    <cfRule type="containsText" dxfId="10591" priority="554" operator="containsText" text="Sell">
      <formula>NOT(ISERROR(SEARCH("Sell",E207)))</formula>
    </cfRule>
  </conditionalFormatting>
  <conditionalFormatting sqref="E206">
    <cfRule type="containsText" dxfId="10590" priority="551" operator="containsText" text="Buy">
      <formula>NOT(ISERROR(SEARCH("Buy",E206)))</formula>
    </cfRule>
    <cfRule type="containsText" dxfId="10589" priority="552" operator="containsText" text="Sell">
      <formula>NOT(ISERROR(SEARCH("Sell",E206)))</formula>
    </cfRule>
  </conditionalFormatting>
  <conditionalFormatting sqref="E95:E96">
    <cfRule type="containsText" dxfId="10588" priority="549" operator="containsText" text="Buy">
      <formula>NOT(ISERROR(SEARCH("Buy",E95)))</formula>
    </cfRule>
    <cfRule type="containsText" dxfId="10587" priority="550" operator="containsText" text="Sell">
      <formula>NOT(ISERROR(SEARCH("Sell",E95)))</formula>
    </cfRule>
  </conditionalFormatting>
  <conditionalFormatting sqref="E94">
    <cfRule type="containsText" dxfId="10586" priority="547" operator="containsText" text="Buy">
      <formula>NOT(ISERROR(SEARCH("Buy",E94)))</formula>
    </cfRule>
    <cfRule type="containsText" dxfId="10585" priority="548" operator="containsText" text="Sell">
      <formula>NOT(ISERROR(SEARCH("Sell",E94)))</formula>
    </cfRule>
  </conditionalFormatting>
  <conditionalFormatting sqref="E93">
    <cfRule type="containsText" dxfId="10584" priority="545" operator="containsText" text="Buy">
      <formula>NOT(ISERROR(SEARCH("Buy",E93)))</formula>
    </cfRule>
    <cfRule type="containsText" dxfId="10583" priority="546" operator="containsText" text="Sell">
      <formula>NOT(ISERROR(SEARCH("Sell",E93)))</formula>
    </cfRule>
  </conditionalFormatting>
  <conditionalFormatting sqref="E90">
    <cfRule type="containsText" dxfId="10582" priority="543" operator="containsText" text="Buy">
      <formula>NOT(ISERROR(SEARCH("Buy",E90)))</formula>
    </cfRule>
    <cfRule type="containsText" dxfId="10581" priority="544" operator="containsText" text="Sell">
      <formula>NOT(ISERROR(SEARCH("Sell",E90)))</formula>
    </cfRule>
  </conditionalFormatting>
  <conditionalFormatting sqref="E89">
    <cfRule type="containsText" dxfId="10580" priority="541" operator="containsText" text="Buy">
      <formula>NOT(ISERROR(SEARCH("Buy",E89)))</formula>
    </cfRule>
    <cfRule type="containsText" dxfId="10579" priority="542" operator="containsText" text="Sell">
      <formula>NOT(ISERROR(SEARCH("Sell",E89)))</formula>
    </cfRule>
  </conditionalFormatting>
  <conditionalFormatting sqref="E86">
    <cfRule type="containsText" dxfId="10578" priority="539" operator="containsText" text="Buy">
      <formula>NOT(ISERROR(SEARCH("Buy",E86)))</formula>
    </cfRule>
    <cfRule type="containsText" dxfId="10577" priority="540" operator="containsText" text="Sell">
      <formula>NOT(ISERROR(SEARCH("Sell",E86)))</formula>
    </cfRule>
  </conditionalFormatting>
  <conditionalFormatting sqref="E85">
    <cfRule type="containsText" dxfId="10576" priority="537" operator="containsText" text="Buy">
      <formula>NOT(ISERROR(SEARCH("Buy",E85)))</formula>
    </cfRule>
    <cfRule type="containsText" dxfId="10575" priority="538" operator="containsText" text="Sell">
      <formula>NOT(ISERROR(SEARCH("Sell",E85)))</formula>
    </cfRule>
  </conditionalFormatting>
  <conditionalFormatting sqref="E84">
    <cfRule type="containsText" dxfId="10574" priority="535" operator="containsText" text="Buy">
      <formula>NOT(ISERROR(SEARCH("Buy",E84)))</formula>
    </cfRule>
    <cfRule type="containsText" dxfId="10573" priority="536" operator="containsText" text="Sell">
      <formula>NOT(ISERROR(SEARCH("Sell",E84)))</formula>
    </cfRule>
  </conditionalFormatting>
  <conditionalFormatting sqref="E82:E83">
    <cfRule type="containsText" dxfId="10572" priority="533" operator="containsText" text="Buy">
      <formula>NOT(ISERROR(SEARCH("Buy",E82)))</formula>
    </cfRule>
    <cfRule type="containsText" dxfId="10571" priority="534" operator="containsText" text="Sell">
      <formula>NOT(ISERROR(SEARCH("Sell",E82)))</formula>
    </cfRule>
  </conditionalFormatting>
  <conditionalFormatting sqref="E79 E75:E76">
    <cfRule type="containsText" dxfId="10570" priority="531" operator="containsText" text="Buy">
      <formula>NOT(ISERROR(SEARCH("Buy",E75)))</formula>
    </cfRule>
    <cfRule type="containsText" dxfId="10569" priority="532" operator="containsText" text="Sell">
      <formula>NOT(ISERROR(SEARCH("Sell",E75)))</formula>
    </cfRule>
  </conditionalFormatting>
  <conditionalFormatting sqref="E78">
    <cfRule type="containsText" dxfId="10568" priority="525" operator="containsText" text="Buy">
      <formula>NOT(ISERROR(SEARCH("Buy",E78)))</formula>
    </cfRule>
    <cfRule type="containsText" dxfId="10567" priority="526" operator="containsText" text="Sell">
      <formula>NOT(ISERROR(SEARCH("Sell",E78)))</formula>
    </cfRule>
  </conditionalFormatting>
  <conditionalFormatting sqref="E77">
    <cfRule type="containsText" dxfId="10566" priority="523" operator="containsText" text="Buy">
      <formula>NOT(ISERROR(SEARCH("Buy",E77)))</formula>
    </cfRule>
    <cfRule type="containsText" dxfId="10565" priority="524" operator="containsText" text="Sell">
      <formula>NOT(ISERROR(SEARCH("Sell",E77)))</formula>
    </cfRule>
  </conditionalFormatting>
  <conditionalFormatting sqref="E211">
    <cfRule type="containsText" dxfId="10564" priority="521" operator="containsText" text="Buy">
      <formula>NOT(ISERROR(SEARCH("Buy",E211)))</formula>
    </cfRule>
    <cfRule type="containsText" dxfId="10563" priority="522" operator="containsText" text="Sell">
      <formula>NOT(ISERROR(SEARCH("Sell",E211)))</formula>
    </cfRule>
  </conditionalFormatting>
  <conditionalFormatting sqref="E132">
    <cfRule type="containsText" dxfId="10562" priority="519" operator="containsText" text="Buy">
      <formula>NOT(ISERROR(SEARCH("Buy",E132)))</formula>
    </cfRule>
    <cfRule type="containsText" dxfId="10561" priority="520" operator="containsText" text="Sell">
      <formula>NOT(ISERROR(SEARCH("Sell",E132)))</formula>
    </cfRule>
  </conditionalFormatting>
  <conditionalFormatting sqref="E179">
    <cfRule type="containsText" dxfId="10560" priority="517" operator="containsText" text="Buy">
      <formula>NOT(ISERROR(SEARCH("Buy",E179)))</formula>
    </cfRule>
    <cfRule type="containsText" dxfId="10559" priority="518" operator="containsText" text="Sell">
      <formula>NOT(ISERROR(SEARCH("Sell",E179)))</formula>
    </cfRule>
  </conditionalFormatting>
  <conditionalFormatting sqref="E74">
    <cfRule type="containsText" dxfId="10558" priority="515" operator="containsText" text="Buy">
      <formula>NOT(ISERROR(SEARCH("Buy",E74)))</formula>
    </cfRule>
    <cfRule type="containsText" dxfId="10557" priority="516" operator="containsText" text="Sell">
      <formula>NOT(ISERROR(SEARCH("Sell",E74)))</formula>
    </cfRule>
  </conditionalFormatting>
  <conditionalFormatting sqref="E178">
    <cfRule type="containsText" dxfId="10556" priority="511" operator="containsText" text="Buy">
      <formula>NOT(ISERROR(SEARCH("Buy",E178)))</formula>
    </cfRule>
    <cfRule type="containsText" dxfId="10555" priority="512" operator="containsText" text="Sell">
      <formula>NOT(ISERROR(SEARCH("Sell",E178)))</formula>
    </cfRule>
  </conditionalFormatting>
  <conditionalFormatting sqref="E177">
    <cfRule type="containsText" dxfId="10554" priority="509" operator="containsText" text="Buy">
      <formula>NOT(ISERROR(SEARCH("Buy",E177)))</formula>
    </cfRule>
    <cfRule type="containsText" dxfId="10553" priority="510" operator="containsText" text="Sell">
      <formula>NOT(ISERROR(SEARCH("Sell",E177)))</formula>
    </cfRule>
  </conditionalFormatting>
  <conditionalFormatting sqref="E248:E250">
    <cfRule type="containsText" dxfId="10552" priority="507" operator="containsText" text="Buy">
      <formula>NOT(ISERROR(SEARCH("Buy",E248)))</formula>
    </cfRule>
    <cfRule type="containsText" dxfId="10551" priority="508" operator="containsText" text="Sell">
      <formula>NOT(ISERROR(SEARCH("Sell",E248)))</formula>
    </cfRule>
  </conditionalFormatting>
  <conditionalFormatting sqref="E233">
    <cfRule type="containsText" dxfId="10550" priority="505" operator="containsText" text="Buy">
      <formula>NOT(ISERROR(SEARCH("Buy",E233)))</formula>
    </cfRule>
    <cfRule type="containsText" dxfId="10549" priority="506" operator="containsText" text="Sell">
      <formula>NOT(ISERROR(SEARCH("Sell",E233)))</formula>
    </cfRule>
  </conditionalFormatting>
  <conditionalFormatting sqref="E232">
    <cfRule type="containsText" dxfId="10548" priority="503" operator="containsText" text="Buy">
      <formula>NOT(ISERROR(SEARCH("Buy",E232)))</formula>
    </cfRule>
    <cfRule type="containsText" dxfId="10547" priority="504" operator="containsText" text="Sell">
      <formula>NOT(ISERROR(SEARCH("Sell",E232)))</formula>
    </cfRule>
  </conditionalFormatting>
  <conditionalFormatting sqref="E69">
    <cfRule type="containsText" dxfId="10546" priority="501" operator="containsText" text="Buy">
      <formula>NOT(ISERROR(SEARCH("Buy",E69)))</formula>
    </cfRule>
    <cfRule type="containsText" dxfId="10545" priority="502" operator="containsText" text="Sell">
      <formula>NOT(ISERROR(SEARCH("Sell",E69)))</formula>
    </cfRule>
  </conditionalFormatting>
  <conditionalFormatting sqref="E198">
    <cfRule type="containsText" dxfId="10544" priority="499" operator="containsText" text="Buy">
      <formula>NOT(ISERROR(SEARCH("Buy",E198)))</formula>
    </cfRule>
    <cfRule type="containsText" dxfId="10543" priority="500" operator="containsText" text="Sell">
      <formula>NOT(ISERROR(SEARCH("Sell",E198)))</formula>
    </cfRule>
  </conditionalFormatting>
  <conditionalFormatting sqref="E195">
    <cfRule type="containsText" dxfId="10542" priority="497" operator="containsText" text="Buy">
      <formula>NOT(ISERROR(SEARCH("Buy",E195)))</formula>
    </cfRule>
    <cfRule type="containsText" dxfId="10541" priority="498" operator="containsText" text="Sell">
      <formula>NOT(ISERROR(SEARCH("Sell",E195)))</formula>
    </cfRule>
  </conditionalFormatting>
  <conditionalFormatting sqref="E58">
    <cfRule type="containsText" dxfId="10540" priority="495" operator="containsText" text="Buy">
      <formula>NOT(ISERROR(SEARCH("Buy",E58)))</formula>
    </cfRule>
    <cfRule type="containsText" dxfId="10539" priority="496" operator="containsText" text="Sell">
      <formula>NOT(ISERROR(SEARCH("Sell",E58)))</formula>
    </cfRule>
  </conditionalFormatting>
  <conditionalFormatting sqref="E55">
    <cfRule type="containsText" dxfId="10538" priority="493" operator="containsText" text="Buy">
      <formula>NOT(ISERROR(SEARCH("Buy",E55)))</formula>
    </cfRule>
    <cfRule type="containsText" dxfId="10537" priority="494" operator="containsText" text="Sell">
      <formula>NOT(ISERROR(SEARCH("Sell",E55)))</formula>
    </cfRule>
  </conditionalFormatting>
  <conditionalFormatting sqref="E231">
    <cfRule type="containsText" dxfId="10536" priority="491" operator="containsText" text="Buy">
      <formula>NOT(ISERROR(SEARCH("Buy",E231)))</formula>
    </cfRule>
    <cfRule type="containsText" dxfId="10535" priority="492" operator="containsText" text="Sell">
      <formula>NOT(ISERROR(SEARCH("Sell",E231)))</formula>
    </cfRule>
  </conditionalFormatting>
  <conditionalFormatting sqref="E52">
    <cfRule type="containsText" dxfId="10534" priority="489" operator="containsText" text="Buy">
      <formula>NOT(ISERROR(SEARCH("Buy",E52)))</formula>
    </cfRule>
    <cfRule type="containsText" dxfId="10533" priority="490" operator="containsText" text="Sell">
      <formula>NOT(ISERROR(SEARCH("Sell",E52)))</formula>
    </cfRule>
  </conditionalFormatting>
  <conditionalFormatting sqref="E49">
    <cfRule type="containsText" dxfId="10532" priority="487" operator="containsText" text="Buy">
      <formula>NOT(ISERROR(SEARCH("Buy",E49)))</formula>
    </cfRule>
    <cfRule type="containsText" dxfId="10531" priority="488" operator="containsText" text="Sell">
      <formula>NOT(ISERROR(SEARCH("Sell",E49)))</formula>
    </cfRule>
  </conditionalFormatting>
  <conditionalFormatting sqref="E123">
    <cfRule type="containsText" dxfId="10530" priority="485" operator="containsText" text="Buy">
      <formula>NOT(ISERROR(SEARCH("Buy",E123)))</formula>
    </cfRule>
    <cfRule type="containsText" dxfId="10529" priority="486" operator="containsText" text="Sell">
      <formula>NOT(ISERROR(SEARCH("Sell",E123)))</formula>
    </cfRule>
  </conditionalFormatting>
  <conditionalFormatting sqref="E260">
    <cfRule type="containsText" dxfId="10528" priority="479" operator="containsText" text="Buy">
      <formula>NOT(ISERROR(SEARCH("Buy",E260)))</formula>
    </cfRule>
    <cfRule type="containsText" dxfId="10527" priority="480" operator="containsText" text="Sell">
      <formula>NOT(ISERROR(SEARCH("Sell",E260)))</formula>
    </cfRule>
  </conditionalFormatting>
  <conditionalFormatting sqref="E46">
    <cfRule type="containsText" dxfId="10526" priority="481" operator="containsText" text="Buy">
      <formula>NOT(ISERROR(SEARCH("Buy",E46)))</formula>
    </cfRule>
    <cfRule type="containsText" dxfId="10525" priority="482" operator="containsText" text="Sell">
      <formula>NOT(ISERROR(SEARCH("Sell",E46)))</formula>
    </cfRule>
  </conditionalFormatting>
  <conditionalFormatting sqref="E277">
    <cfRule type="containsText" dxfId="10524" priority="477" operator="containsText" text="Buy">
      <formula>NOT(ISERROR(SEARCH("Buy",E277)))</formula>
    </cfRule>
    <cfRule type="containsText" dxfId="10523" priority="478" operator="containsText" text="Sell">
      <formula>NOT(ISERROR(SEARCH("Sell",E277)))</formula>
    </cfRule>
  </conditionalFormatting>
  <conditionalFormatting sqref="E251">
    <cfRule type="containsText" dxfId="10522" priority="473" operator="containsText" text="Buy">
      <formula>NOT(ISERROR(SEARCH("Buy",E251)))</formula>
    </cfRule>
    <cfRule type="containsText" dxfId="10521" priority="474" operator="containsText" text="Sell">
      <formula>NOT(ISERROR(SEARCH("Sell",E251)))</formula>
    </cfRule>
  </conditionalFormatting>
  <conditionalFormatting sqref="E255">
    <cfRule type="containsText" dxfId="10520" priority="475" operator="containsText" text="Buy">
      <formula>NOT(ISERROR(SEARCH("Buy",E255)))</formula>
    </cfRule>
    <cfRule type="containsText" dxfId="10519" priority="476" operator="containsText" text="Sell">
      <formula>NOT(ISERROR(SEARCH("Sell",E255)))</formula>
    </cfRule>
  </conditionalFormatting>
  <conditionalFormatting sqref="E35 E32">
    <cfRule type="containsText" dxfId="10518" priority="471" operator="containsText" text="Buy">
      <formula>NOT(ISERROR(SEARCH("Buy",E32)))</formula>
    </cfRule>
    <cfRule type="containsText" dxfId="10517" priority="472" operator="containsText" text="Sell">
      <formula>NOT(ISERROR(SEARCH("Sell",E32)))</formula>
    </cfRule>
  </conditionalFormatting>
  <conditionalFormatting sqref="E122">
    <cfRule type="containsText" dxfId="10516" priority="469" operator="containsText" text="Buy">
      <formula>NOT(ISERROR(SEARCH("Buy",E122)))</formula>
    </cfRule>
    <cfRule type="containsText" dxfId="10515" priority="470" operator="containsText" text="Sell">
      <formula>NOT(ISERROR(SEARCH("Sell",E122)))</formula>
    </cfRule>
  </conditionalFormatting>
  <conditionalFormatting sqref="E176">
    <cfRule type="containsText" dxfId="10514" priority="467" operator="containsText" text="Buy">
      <formula>NOT(ISERROR(SEARCH("Buy",E176)))</formula>
    </cfRule>
    <cfRule type="containsText" dxfId="10513" priority="468" operator="containsText" text="Sell">
      <formula>NOT(ISERROR(SEARCH("Sell",E176)))</formula>
    </cfRule>
  </conditionalFormatting>
  <conditionalFormatting sqref="E131">
    <cfRule type="containsText" dxfId="10512" priority="465" operator="containsText" text="Buy">
      <formula>NOT(ISERROR(SEARCH("Buy",E131)))</formula>
    </cfRule>
    <cfRule type="containsText" dxfId="10511" priority="466" operator="containsText" text="Sell">
      <formula>NOT(ISERROR(SEARCH("Sell",E131)))</formula>
    </cfRule>
  </conditionalFormatting>
  <conditionalFormatting sqref="E66">
    <cfRule type="containsText" dxfId="10510" priority="463" operator="containsText" text="Buy">
      <formula>NOT(ISERROR(SEARCH("Buy",E66)))</formula>
    </cfRule>
    <cfRule type="containsText" dxfId="10509" priority="464" operator="containsText" text="Sell">
      <formula>NOT(ISERROR(SEARCH("Sell",E66)))</formula>
    </cfRule>
  </conditionalFormatting>
  <conditionalFormatting sqref="E121">
    <cfRule type="containsText" dxfId="10508" priority="457" operator="containsText" text="Buy">
      <formula>NOT(ISERROR(SEARCH("Buy",E121)))</formula>
    </cfRule>
    <cfRule type="containsText" dxfId="10507" priority="458" operator="containsText" text="Sell">
      <formula>NOT(ISERROR(SEARCH("Sell",E121)))</formula>
    </cfRule>
  </conditionalFormatting>
  <conditionalFormatting sqref="E222">
    <cfRule type="containsText" dxfId="10506" priority="461" operator="containsText" text="Buy">
      <formula>NOT(ISERROR(SEARCH("Buy",E222)))</formula>
    </cfRule>
    <cfRule type="containsText" dxfId="10505" priority="462" operator="containsText" text="Sell">
      <formula>NOT(ISERROR(SEARCH("Sell",E222)))</formula>
    </cfRule>
  </conditionalFormatting>
  <conditionalFormatting sqref="E161">
    <cfRule type="containsText" dxfId="10504" priority="449" operator="containsText" text="Buy">
      <formula>NOT(ISERROR(SEARCH("Buy",E161)))</formula>
    </cfRule>
    <cfRule type="containsText" dxfId="10503" priority="450" operator="containsText" text="Sell">
      <formula>NOT(ISERROR(SEARCH("Sell",E161)))</formula>
    </cfRule>
  </conditionalFormatting>
  <conditionalFormatting sqref="E276">
    <cfRule type="containsText" dxfId="10502" priority="459" operator="containsText" text="Buy">
      <formula>NOT(ISERROR(SEARCH("Buy",E276)))</formula>
    </cfRule>
    <cfRule type="containsText" dxfId="10501" priority="460" operator="containsText" text="Sell">
      <formula>NOT(ISERROR(SEARCH("Sell",E276)))</formula>
    </cfRule>
  </conditionalFormatting>
  <conditionalFormatting sqref="E194">
    <cfRule type="containsText" dxfId="10500" priority="455" operator="containsText" text="Buy">
      <formula>NOT(ISERROR(SEARCH("Buy",E194)))</formula>
    </cfRule>
    <cfRule type="containsText" dxfId="10499" priority="456" operator="containsText" text="Sell">
      <formula>NOT(ISERROR(SEARCH("Sell",E194)))</formula>
    </cfRule>
  </conditionalFormatting>
  <conditionalFormatting sqref="E38">
    <cfRule type="containsText" dxfId="10498" priority="451" operator="containsText" text="Buy">
      <formula>NOT(ISERROR(SEARCH("Buy",E38)))</formula>
    </cfRule>
    <cfRule type="containsText" dxfId="10497" priority="452" operator="containsText" text="Sell">
      <formula>NOT(ISERROR(SEARCH("Sell",E38)))</formula>
    </cfRule>
  </conditionalFormatting>
  <conditionalFormatting sqref="E271">
    <cfRule type="containsText" dxfId="10496" priority="453" operator="containsText" text="Buy">
      <formula>NOT(ISERROR(SEARCH("Buy",E271)))</formula>
    </cfRule>
    <cfRule type="containsText" dxfId="10495" priority="454" operator="containsText" text="Sell">
      <formula>NOT(ISERROR(SEARCH("Sell",E271)))</formula>
    </cfRule>
  </conditionalFormatting>
  <conditionalFormatting sqref="E193">
    <cfRule type="containsText" dxfId="10494" priority="441" operator="containsText" text="Buy">
      <formula>NOT(ISERROR(SEARCH("Buy",E193)))</formula>
    </cfRule>
    <cfRule type="containsText" dxfId="10493" priority="442" operator="containsText" text="Sell">
      <formula>NOT(ISERROR(SEARCH("Sell",E193)))</formula>
    </cfRule>
  </conditionalFormatting>
  <conditionalFormatting sqref="E275">
    <cfRule type="containsText" dxfId="10492" priority="447" operator="containsText" text="Buy">
      <formula>NOT(ISERROR(SEARCH("Buy",E275)))</formula>
    </cfRule>
    <cfRule type="containsText" dxfId="10491" priority="448" operator="containsText" text="Sell">
      <formula>NOT(ISERROR(SEARCH("Sell",E275)))</formula>
    </cfRule>
  </conditionalFormatting>
  <conditionalFormatting sqref="E259">
    <cfRule type="containsText" dxfId="10490" priority="445" operator="containsText" text="Buy">
      <formula>NOT(ISERROR(SEARCH("Buy",E259)))</formula>
    </cfRule>
    <cfRule type="containsText" dxfId="10489" priority="446" operator="containsText" text="Sell">
      <formula>NOT(ISERROR(SEARCH("Sell",E259)))</formula>
    </cfRule>
  </conditionalFormatting>
  <conditionalFormatting sqref="E151">
    <cfRule type="containsText" dxfId="10488" priority="437" operator="containsText" text="Buy">
      <formula>NOT(ISERROR(SEARCH("Buy",E151)))</formula>
    </cfRule>
    <cfRule type="containsText" dxfId="10487" priority="438" operator="containsText" text="Sell">
      <formula>NOT(ISERROR(SEARCH("Sell",E151)))</formula>
    </cfRule>
  </conditionalFormatting>
  <conditionalFormatting sqref="E81">
    <cfRule type="containsText" dxfId="10486" priority="435" operator="containsText" text="Buy">
      <formula>NOT(ISERROR(SEARCH("Buy",E81)))</formula>
    </cfRule>
    <cfRule type="containsText" dxfId="10485" priority="436" operator="containsText" text="Sell">
      <formula>NOT(ISERROR(SEARCH("Sell",E81)))</formula>
    </cfRule>
  </conditionalFormatting>
  <conditionalFormatting sqref="E221">
    <cfRule type="containsText" dxfId="10484" priority="443" operator="containsText" text="Buy">
      <formula>NOT(ISERROR(SEARCH("Buy",E221)))</formula>
    </cfRule>
    <cfRule type="containsText" dxfId="10483" priority="444" operator="containsText" text="Sell">
      <formula>NOT(ISERROR(SEARCH("Sell",E221)))</formula>
    </cfRule>
  </conditionalFormatting>
  <conditionalFormatting sqref="E192">
    <cfRule type="containsText" dxfId="10482" priority="439" operator="containsText" text="Buy">
      <formula>NOT(ISERROR(SEARCH("Buy",E192)))</formula>
    </cfRule>
    <cfRule type="containsText" dxfId="10481" priority="440" operator="containsText" text="Sell">
      <formula>NOT(ISERROR(SEARCH("Sell",E192)))</formula>
    </cfRule>
  </conditionalFormatting>
  <conditionalFormatting sqref="E113">
    <cfRule type="containsText" dxfId="10480" priority="419" operator="containsText" text="Buy">
      <formula>NOT(ISERROR(SEARCH("Buy",E113)))</formula>
    </cfRule>
    <cfRule type="containsText" dxfId="10479" priority="420" operator="containsText" text="Sell">
      <formula>NOT(ISERROR(SEARCH("Sell",E113)))</formula>
    </cfRule>
  </conditionalFormatting>
  <conditionalFormatting sqref="E63">
    <cfRule type="containsText" dxfId="10478" priority="433" operator="containsText" text="Buy">
      <formula>NOT(ISERROR(SEARCH("Buy",E63)))</formula>
    </cfRule>
    <cfRule type="containsText" dxfId="10477" priority="434" operator="containsText" text="Sell">
      <formula>NOT(ISERROR(SEARCH("Sell",E63)))</formula>
    </cfRule>
  </conditionalFormatting>
  <conditionalFormatting sqref="E141:E143">
    <cfRule type="containsText" dxfId="10476" priority="425" operator="containsText" text="Buy">
      <formula>NOT(ISERROR(SEARCH("Buy",E141)))</formula>
    </cfRule>
    <cfRule type="containsText" dxfId="10475" priority="426" operator="containsText" text="Sell">
      <formula>NOT(ISERROR(SEARCH("Sell",E141)))</formula>
    </cfRule>
  </conditionalFormatting>
  <conditionalFormatting sqref="E101">
    <cfRule type="containsText" dxfId="10474" priority="407" operator="containsText" text="Buy">
      <formula>NOT(ISERROR(SEARCH("Buy",E101)))</formula>
    </cfRule>
    <cfRule type="containsText" dxfId="10473" priority="408" operator="containsText" text="Sell">
      <formula>NOT(ISERROR(SEARCH("Sell",E101)))</formula>
    </cfRule>
  </conditionalFormatting>
  <conditionalFormatting sqref="E119">
    <cfRule type="containsText" dxfId="10472" priority="421" operator="containsText" text="Buy">
      <formula>NOT(ISERROR(SEARCH("Buy",E119)))</formula>
    </cfRule>
    <cfRule type="containsText" dxfId="10471" priority="422" operator="containsText" text="Sell">
      <formula>NOT(ISERROR(SEARCH("Sell",E119)))</formula>
    </cfRule>
  </conditionalFormatting>
  <conditionalFormatting sqref="E225">
    <cfRule type="containsText" dxfId="10470" priority="405" operator="containsText" text="Buy">
      <formula>NOT(ISERROR(SEARCH("Buy",E225)))</formula>
    </cfRule>
    <cfRule type="containsText" dxfId="10469" priority="406" operator="containsText" text="Sell">
      <formula>NOT(ISERROR(SEARCH("Sell",E225)))</formula>
    </cfRule>
  </conditionalFormatting>
  <conditionalFormatting sqref="E228">
    <cfRule type="containsText" dxfId="10468" priority="431" operator="containsText" text="Buy">
      <formula>NOT(ISERROR(SEARCH("Buy",E228)))</formula>
    </cfRule>
    <cfRule type="containsText" dxfId="10467" priority="432" operator="containsText" text="Sell">
      <formula>NOT(ISERROR(SEARCH("Sell",E228)))</formula>
    </cfRule>
  </conditionalFormatting>
  <conditionalFormatting sqref="E226">
    <cfRule type="containsText" dxfId="10466" priority="409" operator="containsText" text="Buy">
      <formula>NOT(ISERROR(SEARCH("Buy",E226)))</formula>
    </cfRule>
    <cfRule type="containsText" dxfId="10465" priority="410" operator="containsText" text="Sell">
      <formula>NOT(ISERROR(SEARCH("Sell",E226)))</formula>
    </cfRule>
  </conditionalFormatting>
  <conditionalFormatting sqref="E42">
    <cfRule type="containsText" dxfId="10464" priority="429" operator="containsText" text="Buy">
      <formula>NOT(ISERROR(SEARCH("Buy",E42)))</formula>
    </cfRule>
    <cfRule type="containsText" dxfId="10463" priority="430" operator="containsText" text="Sell">
      <formula>NOT(ISERROR(SEARCH("Sell",E42)))</formula>
    </cfRule>
  </conditionalFormatting>
  <conditionalFormatting sqref="E120">
    <cfRule type="containsText" dxfId="10462" priority="423" operator="containsText" text="Buy">
      <formula>NOT(ISERROR(SEARCH("Buy",E120)))</formula>
    </cfRule>
    <cfRule type="containsText" dxfId="10461" priority="424" operator="containsText" text="Sell">
      <formula>NOT(ISERROR(SEARCH("Sell",E120)))</formula>
    </cfRule>
  </conditionalFormatting>
  <conditionalFormatting sqref="E118">
    <cfRule type="containsText" dxfId="10460" priority="417" operator="containsText" text="Buy">
      <formula>NOT(ISERROR(SEARCH("Buy",E118)))</formula>
    </cfRule>
    <cfRule type="containsText" dxfId="10459" priority="418" operator="containsText" text="Sell">
      <formula>NOT(ISERROR(SEARCH("Sell",E118)))</formula>
    </cfRule>
  </conditionalFormatting>
  <conditionalFormatting sqref="E117">
    <cfRule type="containsText" dxfId="10458" priority="415" operator="containsText" text="Buy">
      <formula>NOT(ISERROR(SEARCH("Buy",E117)))</formula>
    </cfRule>
    <cfRule type="containsText" dxfId="10457" priority="416" operator="containsText" text="Sell">
      <formula>NOT(ISERROR(SEARCH("Sell",E117)))</formula>
    </cfRule>
  </conditionalFormatting>
  <conditionalFormatting sqref="E227">
    <cfRule type="containsText" dxfId="10456" priority="413" operator="containsText" text="Buy">
      <formula>NOT(ISERROR(SEARCH("Buy",E227)))</formula>
    </cfRule>
    <cfRule type="containsText" dxfId="10455" priority="414" operator="containsText" text="Sell">
      <formula>NOT(ISERROR(SEARCH("Sell",E227)))</formula>
    </cfRule>
  </conditionalFormatting>
  <conditionalFormatting sqref="E102:E103">
    <cfRule type="containsText" dxfId="10454" priority="411" operator="containsText" text="Buy">
      <formula>NOT(ISERROR(SEARCH("Buy",E102)))</formula>
    </cfRule>
    <cfRule type="containsText" dxfId="10453" priority="412" operator="containsText" text="Sell">
      <formula>NOT(ISERROR(SEARCH("Sell",E102)))</formula>
    </cfRule>
  </conditionalFormatting>
  <conditionalFormatting sqref="E108">
    <cfRule type="containsText" dxfId="10452" priority="403" operator="containsText" text="Buy">
      <formula>NOT(ISERROR(SEARCH("Buy",E108)))</formula>
    </cfRule>
    <cfRule type="containsText" dxfId="10451" priority="404" operator="containsText" text="Sell">
      <formula>NOT(ISERROR(SEARCH("Sell",E108)))</formula>
    </cfRule>
  </conditionalFormatting>
  <conditionalFormatting sqref="E112">
    <cfRule type="containsText" dxfId="10450" priority="401" operator="containsText" text="Buy">
      <formula>NOT(ISERROR(SEARCH("Buy",E112)))</formula>
    </cfRule>
    <cfRule type="containsText" dxfId="10449" priority="402" operator="containsText" text="Sell">
      <formula>NOT(ISERROR(SEARCH("Sell",E112)))</formula>
    </cfRule>
  </conditionalFormatting>
  <conditionalFormatting sqref="E107">
    <cfRule type="containsText" dxfId="10448" priority="399" operator="containsText" text="Buy">
      <formula>NOT(ISERROR(SEARCH("Buy",E107)))</formula>
    </cfRule>
    <cfRule type="containsText" dxfId="10447" priority="400" operator="containsText" text="Sell">
      <formula>NOT(ISERROR(SEARCH("Sell",E107)))</formula>
    </cfRule>
  </conditionalFormatting>
  <conditionalFormatting sqref="E31">
    <cfRule type="containsText" dxfId="10446" priority="397" operator="containsText" text="Buy">
      <formula>NOT(ISERROR(SEARCH("Buy",E31)))</formula>
    </cfRule>
    <cfRule type="containsText" dxfId="10445" priority="398" operator="containsText" text="Sell">
      <formula>NOT(ISERROR(SEARCH("Sell",E31)))</formula>
    </cfRule>
  </conditionalFormatting>
  <conditionalFormatting sqref="E30">
    <cfRule type="containsText" dxfId="10444" priority="395" operator="containsText" text="Buy">
      <formula>NOT(ISERROR(SEARCH("Buy",E30)))</formula>
    </cfRule>
    <cfRule type="containsText" dxfId="10443" priority="396" operator="containsText" text="Sell">
      <formula>NOT(ISERROR(SEARCH("Sell",E30)))</formula>
    </cfRule>
  </conditionalFormatting>
  <conditionalFormatting sqref="E34">
    <cfRule type="containsText" dxfId="10442" priority="393" operator="containsText" text="Buy">
      <formula>NOT(ISERROR(SEARCH("Buy",E34)))</formula>
    </cfRule>
    <cfRule type="containsText" dxfId="10441" priority="394" operator="containsText" text="Sell">
      <formula>NOT(ISERROR(SEARCH("Sell",E34)))</formula>
    </cfRule>
  </conditionalFormatting>
  <conditionalFormatting sqref="E33">
    <cfRule type="containsText" dxfId="10440" priority="391" operator="containsText" text="Buy">
      <formula>NOT(ISERROR(SEARCH("Buy",E33)))</formula>
    </cfRule>
    <cfRule type="containsText" dxfId="10439" priority="392" operator="containsText" text="Sell">
      <formula>NOT(ISERROR(SEARCH("Sell",E33)))</formula>
    </cfRule>
  </conditionalFormatting>
  <conditionalFormatting sqref="E37">
    <cfRule type="containsText" dxfId="10438" priority="389" operator="containsText" text="Buy">
      <formula>NOT(ISERROR(SEARCH("Buy",E37)))</formula>
    </cfRule>
    <cfRule type="containsText" dxfId="10437" priority="390" operator="containsText" text="Sell">
      <formula>NOT(ISERROR(SEARCH("Sell",E37)))</formula>
    </cfRule>
  </conditionalFormatting>
  <conditionalFormatting sqref="L14:M14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{9F5BD5C7-2147-4890-8B10-19333505997F}</x14:id>
        </ext>
      </extLst>
    </cfRule>
  </conditionalFormatting>
  <conditionalFormatting sqref="L14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{26BF479C-0EF1-40A6-A726-72D02FE0D59D}</x14:id>
        </ext>
      </extLst>
    </cfRule>
  </conditionalFormatting>
  <conditionalFormatting sqref="V14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{667D46DA-9FFD-45CC-AC75-39EFE377ADB1}</x14:id>
        </ext>
      </extLst>
    </cfRule>
  </conditionalFormatting>
  <conditionalFormatting sqref="W1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{C1D498D0-0B43-4A17-B2DD-2C5C212AB8AF}</x14:id>
        </ext>
      </extLst>
    </cfRule>
  </conditionalFormatting>
  <conditionalFormatting sqref="X14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{43232B46-E1C0-4855-A1CC-E322F873DB9B}</x14:id>
        </ext>
      </extLst>
    </cfRule>
  </conditionalFormatting>
  <conditionalFormatting sqref="M1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{2173CF27-38BC-4302-932E-109B083AA96E}</x14:id>
        </ext>
      </extLst>
    </cfRule>
  </conditionalFormatting>
  <conditionalFormatting sqref="L14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{AE6CEC2D-5C7F-4E14-B465-48E70925BFE0}</x14:id>
        </ext>
      </extLst>
    </cfRule>
  </conditionalFormatting>
  <conditionalFormatting sqref="M14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{DC72237B-A0F0-4013-B423-483E0ED85767}</x14:id>
        </ext>
      </extLst>
    </cfRule>
  </conditionalFormatting>
  <conditionalFormatting sqref="L14:M14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{F3B09132-C475-4CB6-B0F5-02CB6725D979}</x14:id>
        </ext>
      </extLst>
    </cfRule>
  </conditionalFormatting>
  <conditionalFormatting sqref="E41">
    <cfRule type="containsText" dxfId="10436" priority="371" operator="containsText" text="Buy">
      <formula>NOT(ISERROR(SEARCH("Buy",E41)))</formula>
    </cfRule>
    <cfRule type="containsText" dxfId="10435" priority="372" operator="containsText" text="Sell">
      <formula>NOT(ISERROR(SEARCH("Sell",E41)))</formula>
    </cfRule>
  </conditionalFormatting>
  <conditionalFormatting sqref="H20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{C8DAAE35-03F7-43A8-835D-D84344481555}</x14:id>
        </ext>
      </extLst>
    </cfRule>
    <cfRule type="cellIs" dxfId="10434" priority="730" operator="equal">
      <formula>1</formula>
    </cfRule>
  </conditionalFormatting>
  <conditionalFormatting sqref="E45">
    <cfRule type="containsText" dxfId="10433" priority="335" operator="containsText" text="Buy">
      <formula>NOT(ISERROR(SEARCH("Buy",E45)))</formula>
    </cfRule>
    <cfRule type="containsText" dxfId="10432" priority="336" operator="containsText" text="Sell">
      <formula>NOT(ISERROR(SEARCH("Sell",E45)))</formula>
    </cfRule>
  </conditionalFormatting>
  <conditionalFormatting sqref="E43">
    <cfRule type="containsText" dxfId="10431" priority="333" operator="containsText" text="Buy">
      <formula>NOT(ISERROR(SEARCH("Buy",E43)))</formula>
    </cfRule>
    <cfRule type="containsText" dxfId="10430" priority="334" operator="containsText" text="Sell">
      <formula>NOT(ISERROR(SEARCH("Sell",E43)))</formula>
    </cfRule>
  </conditionalFormatting>
  <conditionalFormatting sqref="E36">
    <cfRule type="containsText" dxfId="10429" priority="331" operator="containsText" text="Buy">
      <formula>NOT(ISERROR(SEARCH("Buy",E36)))</formula>
    </cfRule>
    <cfRule type="containsText" dxfId="10428" priority="332" operator="containsText" text="Sell">
      <formula>NOT(ISERROR(SEARCH("Sell",E36)))</formula>
    </cfRule>
  </conditionalFormatting>
  <conditionalFormatting sqref="T17">
    <cfRule type="dataBar" priority="3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{C700DE9B-CB17-41C6-B8F0-744997F63A0F}</x14:id>
        </ext>
      </extLst>
    </cfRule>
  </conditionalFormatting>
  <conditionalFormatting sqref="T17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{4B9AA719-1416-466E-B2A8-B99814147454}</x14:id>
        </ext>
      </extLst>
    </cfRule>
  </conditionalFormatting>
  <conditionalFormatting sqref="T17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{B842B060-B2CC-4FF1-B892-B90D050EB4C6}</x14:id>
        </ext>
      </extLst>
    </cfRule>
  </conditionalFormatting>
  <conditionalFormatting sqref="T17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{99A6AC23-9FCD-4710-A6CB-1CB81DD98C04}</x14:id>
        </ext>
      </extLst>
    </cfRule>
  </conditionalFormatting>
  <conditionalFormatting sqref="T17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{6111A074-49A4-4D62-9E30-73C28BB0E6FA}</x14:id>
        </ext>
      </extLst>
    </cfRule>
  </conditionalFormatting>
  <conditionalFormatting sqref="T17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{2A3CC2A5-7B9B-4500-86C1-3ABDF0F73FE2}</x14:id>
        </ext>
      </extLst>
    </cfRule>
  </conditionalFormatting>
  <conditionalFormatting sqref="E40">
    <cfRule type="containsText" dxfId="10427" priority="323" operator="containsText" text="Buy">
      <formula>NOT(ISERROR(SEARCH("Buy",E40)))</formula>
    </cfRule>
    <cfRule type="containsText" dxfId="10426" priority="324" operator="containsText" text="Sell">
      <formula>NOT(ISERROR(SEARCH("Sell",E40)))</formula>
    </cfRule>
  </conditionalFormatting>
  <conditionalFormatting sqref="E44">
    <cfRule type="containsText" dxfId="10425" priority="321" operator="containsText" text="Buy">
      <formula>NOT(ISERROR(SEARCH("Buy",E44)))</formula>
    </cfRule>
    <cfRule type="containsText" dxfId="10424" priority="322" operator="containsText" text="Sell">
      <formula>NOT(ISERROR(SEARCH("Sell",E44)))</formula>
    </cfRule>
  </conditionalFormatting>
  <conditionalFormatting sqref="E39">
    <cfRule type="containsText" dxfId="10423" priority="319" operator="containsText" text="Buy">
      <formula>NOT(ISERROR(SEARCH("Buy",E39)))</formula>
    </cfRule>
    <cfRule type="containsText" dxfId="10422" priority="320" operator="containsText" text="Sell">
      <formula>NOT(ISERROR(SEARCH("Sell",E39)))</formula>
    </cfRule>
  </conditionalFormatting>
  <conditionalFormatting sqref="L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{43C27EA5-DC1F-42C7-A58D-A455B382FB4B}</x14:id>
        </ext>
      </extLst>
    </cfRule>
  </conditionalFormatting>
  <conditionalFormatting sqref="L11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{EAEAA0F1-67B6-42BD-8493-97AC03D6391C}</x14:id>
        </ext>
      </extLst>
    </cfRule>
  </conditionalFormatting>
  <conditionalFormatting sqref="M1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{C16FFB79-8C9B-4B2F-B6DA-7556F0972EBC}</x14:id>
        </ext>
      </extLst>
    </cfRule>
  </conditionalFormatting>
  <conditionalFormatting sqref="M11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{2316218B-5D83-4EDF-B21B-9B9DF41A5940}</x14:id>
        </ext>
      </extLst>
    </cfRule>
  </conditionalFormatting>
  <conditionalFormatting sqref="L11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{B7F11929-4873-4F3A-8DB9-B02CEC26207D}</x14:id>
        </ext>
      </extLst>
    </cfRule>
  </conditionalFormatting>
  <conditionalFormatting sqref="M11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{A2F4AE0C-3339-49B4-B143-9614DA8E6A9F}</x14:id>
        </ext>
      </extLst>
    </cfRule>
  </conditionalFormatting>
  <conditionalFormatting sqref="L11:M11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{8923536B-5DA8-4420-BA57-05A6B419ADC5}</x14:id>
        </ext>
      </extLst>
    </cfRule>
  </conditionalFormatting>
  <conditionalFormatting sqref="V11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{988FBB29-DE86-4ED8-B154-49D0D36F0A81}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{D14576CA-D387-4175-8B7E-60224BB7C877}</x14:id>
        </ext>
      </extLst>
    </cfRule>
  </conditionalFormatting>
  <conditionalFormatting sqref="T11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{1D7EE65A-97D7-4E34-ABAD-52F6D45F482E}</x14:id>
        </ext>
      </extLst>
    </cfRule>
  </conditionalFormatting>
  <conditionalFormatting sqref="L11">
    <cfRule type="dataBar" priority="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{6BB70CAC-E861-4A30-912C-AA9392813FE8}</x14:id>
        </ext>
      </extLst>
    </cfRule>
  </conditionalFormatting>
  <conditionalFormatting sqref="M11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{DCF2AFE3-AE28-4B97-A224-E83D9A17F036}</x14:id>
        </ext>
      </extLst>
    </cfRule>
  </conditionalFormatting>
  <conditionalFormatting sqref="L11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{4CD20CCA-558D-4068-9470-031ABBFD5B7C}</x14:id>
        </ext>
      </extLst>
    </cfRule>
  </conditionalFormatting>
  <conditionalFormatting sqref="M1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{9E00480D-606D-4CA5-B46E-C1FDD7846BB2}</x14:id>
        </ext>
      </extLst>
    </cfRule>
  </conditionalFormatting>
  <conditionalFormatting sqref="E51">
    <cfRule type="containsText" dxfId="10421" priority="290" operator="containsText" text="Buy">
      <formula>NOT(ISERROR(SEARCH("Buy",E51)))</formula>
    </cfRule>
    <cfRule type="containsText" dxfId="10420" priority="291" operator="containsText" text="Sell">
      <formula>NOT(ISERROR(SEARCH("Sell",E51)))</formula>
    </cfRule>
  </conditionalFormatting>
  <conditionalFormatting sqref="E50">
    <cfRule type="containsText" dxfId="10419" priority="288" operator="containsText" text="Buy">
      <formula>NOT(ISERROR(SEARCH("Buy",E50)))</formula>
    </cfRule>
    <cfRule type="containsText" dxfId="10418" priority="289" operator="containsText" text="Sell">
      <formula>NOT(ISERROR(SEARCH("Sell",E50)))</formula>
    </cfRule>
  </conditionalFormatting>
  <conditionalFormatting sqref="L15:M15">
    <cfRule type="dataBar" priority="298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{F8DA053B-68F5-4408-A042-E97431814665}</x14:id>
        </ext>
      </extLst>
    </cfRule>
  </conditionalFormatting>
  <conditionalFormatting sqref="L15">
    <cfRule type="dataBar" priority="29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{F2F8A9E7-DF38-4C17-98C2-2F5427D10820}</x14:id>
        </ext>
      </extLst>
    </cfRule>
  </conditionalFormatting>
  <conditionalFormatting sqref="V15">
    <cfRule type="dataBar" priority="29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{A3C9CFFF-6939-4721-B7EB-424EAA4B5157}</x14:id>
        </ext>
      </extLst>
    </cfRule>
  </conditionalFormatting>
  <conditionalFormatting sqref="W15">
    <cfRule type="dataBar" priority="29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{49D6C849-F392-4B31-A1A0-B037DB5FB080}</x14:id>
        </ext>
      </extLst>
    </cfRule>
  </conditionalFormatting>
  <conditionalFormatting sqref="X15">
    <cfRule type="dataBar" priority="29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{B7D6A667-466A-4C1D-9065-A789C02A2B8C}</x14:id>
        </ext>
      </extLst>
    </cfRule>
  </conditionalFormatting>
  <conditionalFormatting sqref="M15">
    <cfRule type="dataBar" priority="29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{B1637104-2D4A-4157-AA93-949D7A54FAC9}</x14:id>
        </ext>
      </extLst>
    </cfRule>
  </conditionalFormatting>
  <conditionalFormatting sqref="L15:M15">
    <cfRule type="dataBar" priority="29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{CAB17DC8-6055-430C-B9F8-EF036ED6D405}</x14:id>
        </ext>
      </extLst>
    </cfRule>
  </conditionalFormatting>
  <conditionalFormatting sqref="L14:L15">
    <cfRule type="dataBar" priority="298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{378A5C1B-CC6A-4BF2-A796-CAA445C79DEF}</x14:id>
        </ext>
      </extLst>
    </cfRule>
  </conditionalFormatting>
  <conditionalFormatting sqref="M14:M15">
    <cfRule type="dataBar" priority="298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{D2BE1C17-948E-4512-BA7F-A9A1E6995083}</x14:id>
        </ext>
      </extLst>
    </cfRule>
  </conditionalFormatting>
  <conditionalFormatting sqref="L14:L15">
    <cfRule type="dataBar" priority="298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{C9EF6B9D-0F6D-491B-A6E8-B7E90C922C52}</x14:id>
        </ext>
      </extLst>
    </cfRule>
  </conditionalFormatting>
  <conditionalFormatting sqref="M14:M15">
    <cfRule type="dataBar" priority="298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{79FA98EC-9589-42AA-A1AD-023F1504392A}</x14:id>
        </ext>
      </extLst>
    </cfRule>
  </conditionalFormatting>
  <conditionalFormatting sqref="T14:T15">
    <cfRule type="dataBar" priority="298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{F8DBA95E-F4C0-4DC9-A757-C999B0C98286}</x14:id>
        </ext>
      </extLst>
    </cfRule>
  </conditionalFormatting>
  <conditionalFormatting sqref="T14:T15">
    <cfRule type="dataBar" priority="29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{3707A104-1115-4A44-8074-180615531067}</x14:id>
        </ext>
      </extLst>
    </cfRule>
  </conditionalFormatting>
  <conditionalFormatting sqref="L13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{82300960-4529-4324-978B-46F7D34EDFE3}</x14:id>
        </ext>
      </extLst>
    </cfRule>
  </conditionalFormatting>
  <conditionalFormatting sqref="L13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{C94CB16A-C87C-4928-BC88-32A4ACB432FD}</x14:id>
        </ext>
      </extLst>
    </cfRule>
  </conditionalFormatting>
  <conditionalFormatting sqref="M13">
    <cfRule type="dataBar" priority="2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{63F0ACD4-BFB1-4E7B-ACDE-EC7739D73126}</x14:id>
        </ext>
      </extLst>
    </cfRule>
  </conditionalFormatting>
  <conditionalFormatting sqref="M13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{A92F656B-44D9-446D-8AB0-1A4E80D2C3A8}</x14:id>
        </ext>
      </extLst>
    </cfRule>
  </conditionalFormatting>
  <conditionalFormatting sqref="L13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{8C5324EB-0F3B-465F-ADFF-E75714EC5C6E}</x14:id>
        </ext>
      </extLst>
    </cfRule>
  </conditionalFormatting>
  <conditionalFormatting sqref="M13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{ACCD32FE-E382-431C-8D5A-6C3674F93C7F}</x14:id>
        </ext>
      </extLst>
    </cfRule>
  </conditionalFormatting>
  <conditionalFormatting sqref="L13:M13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{CA1B3625-FDA0-47CF-A6B5-EB4604FCEC35}</x14:id>
        </ext>
      </extLst>
    </cfRule>
  </conditionalFormatting>
  <conditionalFormatting sqref="V13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{9B4966E5-C297-4C14-ADAA-ED4B8A787147}</x14:id>
        </ext>
      </extLst>
    </cfRule>
  </conditionalFormatting>
  <conditionalFormatting sqref="W13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{8F667A61-7B7C-463D-9D64-47A35A07DD5A}</x14:id>
        </ext>
      </extLst>
    </cfRule>
  </conditionalFormatting>
  <conditionalFormatting sqref="T13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{595BE4BA-EBA3-4C78-842F-E514B87B2A05}</x14:id>
        </ext>
      </extLst>
    </cfRule>
  </conditionalFormatting>
  <conditionalFormatting sqref="L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{E7AFF29E-BB0D-4DC3-A09B-6DDF58DC6B0D}</x14:id>
        </ext>
      </extLst>
    </cfRule>
  </conditionalFormatting>
  <conditionalFormatting sqref="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{DEB15D68-40EB-4D90-88A7-D486E15DADE2}</x14:id>
        </ext>
      </extLst>
    </cfRule>
  </conditionalFormatting>
  <conditionalFormatting sqref="L13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{34D693A8-F9F3-4C0F-A0D1-81E6F43B738C}</x14:id>
        </ext>
      </extLst>
    </cfRule>
  </conditionalFormatting>
  <conditionalFormatting sqref="M13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{A0F393C1-F8BD-412E-B25C-812A23A3AB76}</x14:id>
        </ext>
      </extLst>
    </cfRule>
  </conditionalFormatting>
  <conditionalFormatting sqref="E54">
    <cfRule type="containsText" dxfId="10417" priority="263" operator="containsText" text="Buy">
      <formula>NOT(ISERROR(SEARCH("Buy",E54)))</formula>
    </cfRule>
    <cfRule type="containsText" dxfId="10416" priority="264" operator="containsText" text="Sell">
      <formula>NOT(ISERROR(SEARCH("Sell",E54)))</formula>
    </cfRule>
  </conditionalFormatting>
  <conditionalFormatting sqref="E53">
    <cfRule type="containsText" dxfId="10415" priority="261" operator="containsText" text="Buy">
      <formula>NOT(ISERROR(SEARCH("Buy",E53)))</formula>
    </cfRule>
    <cfRule type="containsText" dxfId="10414" priority="262" operator="containsText" text="Sell">
      <formula>NOT(ISERROR(SEARCH("Sell",E53)))</formula>
    </cfRule>
  </conditionalFormatting>
  <conditionalFormatting sqref="E57">
    <cfRule type="containsText" dxfId="10413" priority="236" operator="containsText" text="Buy">
      <formula>NOT(ISERROR(SEARCH("Buy",E57)))</formula>
    </cfRule>
    <cfRule type="containsText" dxfId="10412" priority="237" operator="containsText" text="Sell">
      <formula>NOT(ISERROR(SEARCH("Sell",E57)))</formula>
    </cfRule>
  </conditionalFormatting>
  <conditionalFormatting sqref="E56">
    <cfRule type="containsText" dxfId="10411" priority="234" operator="containsText" text="Buy">
      <formula>NOT(ISERROR(SEARCH("Buy",E56)))</formula>
    </cfRule>
    <cfRule type="containsText" dxfId="10410" priority="235" operator="containsText" text="Sell">
      <formula>NOT(ISERROR(SEARCH("Sell",E56)))</formula>
    </cfRule>
  </conditionalFormatting>
  <conditionalFormatting sqref="L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{651D377D-122E-4BDA-91CB-153C3D17BCA9}</x14:id>
        </ext>
      </extLst>
    </cfRule>
  </conditionalFormatting>
  <conditionalFormatting sqref="L9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{512AB0F1-ADED-4F9D-83E2-B7CE79B08ACC}</x14:id>
        </ext>
      </extLst>
    </cfRule>
  </conditionalFormatting>
  <conditionalFormatting sqref="M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{EAB6AAD6-8811-49A1-9D52-195753FEF4BC}</x14:id>
        </ext>
      </extLst>
    </cfRule>
  </conditionalFormatting>
  <conditionalFormatting sqref="M9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{0B100BD7-FE9E-41D8-A105-6F52DABF3F6A}</x14:id>
        </ext>
      </extLst>
    </cfRule>
  </conditionalFormatting>
  <conditionalFormatting sqref="L9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{36AB9F7C-D981-4D39-8CF8-2CA3222B15DA}</x14:id>
        </ext>
      </extLst>
    </cfRule>
  </conditionalFormatting>
  <conditionalFormatting sqref="M9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{884A16F6-60A7-4580-9506-421A16187963}</x14:id>
        </ext>
      </extLst>
    </cfRule>
  </conditionalFormatting>
  <conditionalFormatting sqref="L9:M9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{6C5AC8FD-A100-4CD7-85E1-8A21C2739720}</x14:id>
        </ext>
      </extLst>
    </cfRule>
  </conditionalFormatting>
  <conditionalFormatting sqref="V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{389C03BB-B2E9-4411-89EA-5563A7F7EDC4}</x14:id>
        </ext>
      </extLst>
    </cfRule>
  </conditionalFormatting>
  <conditionalFormatting sqref="W9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{1A64A352-91DF-488A-A486-1DE2073196BD}</x14:id>
        </ext>
      </extLst>
    </cfRule>
  </conditionalFormatting>
  <conditionalFormatting sqref="T9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{30795FF1-A002-42B6-99B9-3458DA33A4CA}</x14:id>
        </ext>
      </extLst>
    </cfRule>
  </conditionalFormatting>
  <conditionalFormatting sqref="L9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{20A0F2C4-2A69-4349-BDBA-F8B245AE3B30}</x14:id>
        </ext>
      </extLst>
    </cfRule>
  </conditionalFormatting>
  <conditionalFormatting sqref="M9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{E708CB96-B1C5-4DE3-B0DF-7489DBA41BC2}</x14:id>
        </ext>
      </extLst>
    </cfRule>
  </conditionalFormatting>
  <conditionalFormatting sqref="L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{D6F8A78D-DC4E-40A5-993D-15CC7B769D65}</x14:id>
        </ext>
      </extLst>
    </cfRule>
  </conditionalFormatting>
  <conditionalFormatting sqref="M9">
    <cfRule type="dataBar" priority="2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{B0C56A42-7A41-411F-8558-118B2B2374DF}</x14:id>
        </ext>
      </extLst>
    </cfRule>
  </conditionalFormatting>
  <conditionalFormatting sqref="V14:W14">
    <cfRule type="dataBar" priority="31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{0A9E85D0-9B58-483D-98E3-3F08E2F489DA}</x14:id>
        </ext>
      </extLst>
    </cfRule>
  </conditionalFormatting>
  <conditionalFormatting sqref="V14:W14">
    <cfRule type="dataBar" priority="31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{E4CB0A67-D679-4CF8-9DF9-8286428492D5}</x14:id>
        </ext>
      </extLst>
    </cfRule>
  </conditionalFormatting>
  <conditionalFormatting sqref="V11:W11">
    <cfRule type="dataBar" priority="31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{B8472FF2-9533-411E-B6F5-20AB913529FD}</x14:id>
        </ext>
      </extLst>
    </cfRule>
  </conditionalFormatting>
  <conditionalFormatting sqref="V11:W11">
    <cfRule type="dataBar" priority="31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{B0E641D5-C232-44C5-994D-14EE543497D4}</x14:id>
        </ext>
      </extLst>
    </cfRule>
  </conditionalFormatting>
  <conditionalFormatting sqref="V15:W15">
    <cfRule type="dataBar" priority="31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{9EDEA55C-69B1-45FB-92A1-CB5BE3B55AEF}</x14:id>
        </ext>
      </extLst>
    </cfRule>
  </conditionalFormatting>
  <conditionalFormatting sqref="V15:W15">
    <cfRule type="dataBar" priority="31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{B2AF555E-FCD1-4DB5-880D-D37A4F4027A0}</x14:id>
        </ext>
      </extLst>
    </cfRule>
  </conditionalFormatting>
  <conditionalFormatting sqref="V13:W13">
    <cfRule type="dataBar" priority="318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{D7E6EB96-5550-4BB7-A661-D19F6FCFC484}</x14:id>
        </ext>
      </extLst>
    </cfRule>
  </conditionalFormatting>
  <conditionalFormatting sqref="V13:W13">
    <cfRule type="dataBar" priority="31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{70BE55BE-484C-4D96-ACB6-BB684F8051F0}</x14:id>
        </ext>
      </extLst>
    </cfRule>
  </conditionalFormatting>
  <conditionalFormatting sqref="V9:W9">
    <cfRule type="dataBar" priority="31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{1EB162B5-4534-4370-8D2C-E32D412A453B}</x14:id>
        </ext>
      </extLst>
    </cfRule>
  </conditionalFormatting>
  <conditionalFormatting sqref="V9:W9">
    <cfRule type="dataBar" priority="31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{657F7022-418F-4A6E-8B02-81DB3027D397}</x14:id>
        </ext>
      </extLst>
    </cfRule>
  </conditionalFormatting>
  <conditionalFormatting sqref="L10">
    <cfRule type="dataBar" priority="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{CBA0DADB-40A9-4089-A963-A802132A732B}</x14:id>
        </ext>
      </extLst>
    </cfRule>
  </conditionalFormatting>
  <conditionalFormatting sqref="L10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{5AAF5A62-FBEB-4396-9A9F-1FD73B3FE64E}</x14:id>
        </ext>
      </extLst>
    </cfRule>
  </conditionalFormatting>
  <conditionalFormatting sqref="M10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{7ADB11BC-28DA-419F-81F0-FD274C7AF91A}</x14:id>
        </ext>
      </extLst>
    </cfRule>
  </conditionalFormatting>
  <conditionalFormatting sqref="M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{E61D2E5C-216C-4543-B771-1A5988515A6C}</x14:id>
        </ext>
      </extLst>
    </cfRule>
  </conditionalFormatting>
  <conditionalFormatting sqref="L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{7ABF2C9D-CD85-480F-BDE7-142254E77979}</x14:id>
        </ext>
      </extLst>
    </cfRule>
  </conditionalFormatting>
  <conditionalFormatting sqref="M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{725DE07E-2052-435F-8558-84851D6E27E6}</x14:id>
        </ext>
      </extLst>
    </cfRule>
  </conditionalFormatting>
  <conditionalFormatting sqref="L10:M10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{B70FFFC0-8A63-4A7D-8842-4676ACE3B4B6}</x14:id>
        </ext>
      </extLst>
    </cfRule>
  </conditionalFormatting>
  <conditionalFormatting sqref="V10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{5E786208-9ADE-40F8-BB33-846BADFDEE69}</x14:id>
        </ext>
      </extLst>
    </cfRule>
  </conditionalFormatting>
  <conditionalFormatting sqref="W10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{1C13ED0F-D4B5-4ECA-97F4-87A1ADFCDFEA}</x14:id>
        </ext>
      </extLst>
    </cfRule>
  </conditionalFormatting>
  <conditionalFormatting sqref="X10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{000B3965-8CA9-4CCA-91B7-18B141951517}</x14:id>
        </ext>
      </extLst>
    </cfRule>
  </conditionalFormatting>
  <conditionalFormatting sqref="Y10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{EFEF287C-D26E-4D5E-BF62-A381ACB686BD}</x14:id>
        </ext>
      </extLst>
    </cfRule>
  </conditionalFormatting>
  <conditionalFormatting sqref="T10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{72C67345-A041-4723-AFD2-4753EC7CB0BE}</x14:id>
        </ext>
      </extLst>
    </cfRule>
  </conditionalFormatting>
  <conditionalFormatting sqref="L10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{07BF4AE5-5E40-4AA0-B9C8-3C076E918993}</x14:id>
        </ext>
      </extLst>
    </cfRule>
  </conditionalFormatting>
  <conditionalFormatting sqref="M10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{B84BBCC4-1392-4E96-9951-5728E9CFEBEA}</x14:id>
        </ext>
      </extLst>
    </cfRule>
  </conditionalFormatting>
  <conditionalFormatting sqref="L10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{B6FA7191-40FE-4489-8918-0F89F3B7210D}</x14:id>
        </ext>
      </extLst>
    </cfRule>
  </conditionalFormatting>
  <conditionalFormatting sqref="M10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{AB17A3A1-190A-43B0-95DF-D4CCD1D945D6}</x14:id>
        </ext>
      </extLst>
    </cfRule>
  </conditionalFormatting>
  <conditionalFormatting sqref="V10:W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{AC83ED02-A28C-4383-A586-708940D66CD9}</x14:id>
        </ext>
      </extLst>
    </cfRule>
  </conditionalFormatting>
  <conditionalFormatting sqref="V10:W10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{C0BD4656-E0E1-40FF-8F17-07AC1CFBFB2D}</x14:id>
        </ext>
      </extLst>
    </cfRule>
  </conditionalFormatting>
  <conditionalFormatting sqref="I10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{B711BBD6-F80F-49B5-BCF1-D10AD6FDE08A}</x14:id>
        </ext>
      </extLst>
    </cfRule>
  </conditionalFormatting>
  <conditionalFormatting sqref="I10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{98228536-1385-4C23-99B5-AA261800B503}</x14:id>
        </ext>
      </extLst>
    </cfRule>
  </conditionalFormatting>
  <conditionalFormatting sqref="I10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{A5BFB739-912E-44B7-B6C1-D59083A7D16F}</x14:id>
        </ext>
      </extLst>
    </cfRule>
  </conditionalFormatting>
  <conditionalFormatting sqref="E62">
    <cfRule type="containsText" dxfId="10409" priority="183" operator="containsText" text="Buy">
      <formula>NOT(ISERROR(SEARCH("Buy",E62)))</formula>
    </cfRule>
    <cfRule type="containsText" dxfId="10408" priority="184" operator="containsText" text="Sell">
      <formula>NOT(ISERROR(SEARCH("Sell",E62)))</formula>
    </cfRule>
  </conditionalFormatting>
  <conditionalFormatting sqref="E61">
    <cfRule type="containsText" dxfId="10407" priority="181" operator="containsText" text="Buy">
      <formula>NOT(ISERROR(SEARCH("Buy",E61)))</formula>
    </cfRule>
    <cfRule type="containsText" dxfId="10406" priority="182" operator="containsText" text="Sell">
      <formula>NOT(ISERROR(SEARCH("Sell",E61)))</formula>
    </cfRule>
  </conditionalFormatting>
  <conditionalFormatting sqref="L12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{0ED095E8-D773-4173-8247-33218754AD03}</x14:id>
        </ext>
      </extLst>
    </cfRule>
  </conditionalFormatting>
  <conditionalFormatting sqref="L12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{FBBE7A65-1512-4E72-BE8F-01A291C23126}</x14:id>
        </ext>
      </extLst>
    </cfRule>
  </conditionalFormatting>
  <conditionalFormatting sqref="M12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{91340ADF-132A-47C6-94A4-F86D69AF09F6}</x14:id>
        </ext>
      </extLst>
    </cfRule>
  </conditionalFormatting>
  <conditionalFormatting sqref="M12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{34569BC1-CAF5-4264-909C-515F324F17A4}</x14:id>
        </ext>
      </extLst>
    </cfRule>
  </conditionalFormatting>
  <conditionalFormatting sqref="L12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{09A8CD82-D308-446F-BA5F-9C9DE5A057F6}</x14:id>
        </ext>
      </extLst>
    </cfRule>
  </conditionalFormatting>
  <conditionalFormatting sqref="M12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{F1D80B1F-1AD4-45CB-B623-2CBFABCFC7E8}</x14:id>
        </ext>
      </extLst>
    </cfRule>
  </conditionalFormatting>
  <conditionalFormatting sqref="L12:M12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{02C06D2B-80BF-4AB9-863F-3B9259EBE2E7}</x14:id>
        </ext>
      </extLst>
    </cfRule>
  </conditionalFormatting>
  <conditionalFormatting sqref="V1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{B00F4F22-F4C8-4775-96CE-5B0443F71981}</x14:id>
        </ext>
      </extLst>
    </cfRule>
  </conditionalFormatting>
  <conditionalFormatting sqref="W1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{6311B094-97C6-4C0B-A5DB-9D34987D585B}</x14:id>
        </ext>
      </extLst>
    </cfRule>
  </conditionalFormatting>
  <conditionalFormatting sqref="T12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{2D815935-59F7-40CF-AF7D-82E318A21528}</x14:id>
        </ext>
      </extLst>
    </cfRule>
  </conditionalFormatting>
  <conditionalFormatting sqref="L12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{E735D432-AFE3-4C38-90AF-A999037180D5}</x14:id>
        </ext>
      </extLst>
    </cfRule>
  </conditionalFormatting>
  <conditionalFormatting sqref="M12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{1CEA8926-24D0-4F4A-9FC4-991A217FA627}</x14:id>
        </ext>
      </extLst>
    </cfRule>
  </conditionalFormatting>
  <conditionalFormatting sqref="L12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{4BE1EDE4-4BF4-4D6D-BFA2-8E3144D3E750}</x14:id>
        </ext>
      </extLst>
    </cfRule>
  </conditionalFormatting>
  <conditionalFormatting sqref="M12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{21FE2EF4-AFEA-47DF-9503-67F4FD530EDA}</x14:id>
        </ext>
      </extLst>
    </cfRule>
  </conditionalFormatting>
  <conditionalFormatting sqref="X12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{232DE536-7F1F-4D53-ACB9-DF0722258973}</x14:id>
        </ext>
      </extLst>
    </cfRule>
  </conditionalFormatting>
  <conditionalFormatting sqref="Y12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{19C20ED6-A0B5-4B0A-93A7-DB029CA6D237}</x14:id>
        </ext>
      </extLst>
    </cfRule>
  </conditionalFormatting>
  <conditionalFormatting sqref="V12:W12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{698AC787-D562-4642-9490-84E4D7D7B5C7}</x14:id>
        </ext>
      </extLst>
    </cfRule>
  </conditionalFormatting>
  <conditionalFormatting sqref="V12:W12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{47E200AD-14EB-4C03-A1C9-AC0B8DA70ECD}</x14:id>
        </ext>
      </extLst>
    </cfRule>
  </conditionalFormatting>
  <conditionalFormatting sqref="I12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{3B7EDD9F-9DB2-4FBC-8577-60D791FAFDDE}</x14:id>
        </ext>
      </extLst>
    </cfRule>
  </conditionalFormatting>
  <conditionalFormatting sqref="I12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{6795C06D-1A3E-4CD4-803E-49D71956430D}</x14:id>
        </ext>
      </extLst>
    </cfRule>
  </conditionalFormatting>
  <conditionalFormatting sqref="I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{D5C31C5D-EE96-4DB4-9286-0138090C7216}</x14:id>
        </ext>
      </extLst>
    </cfRule>
  </conditionalFormatting>
  <conditionalFormatting sqref="L12:M12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{0CEDF25B-DB69-4371-B6C5-4019E272194C}</x14:id>
        </ext>
      </extLst>
    </cfRule>
  </conditionalFormatting>
  <conditionalFormatting sqref="T12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{46108D36-6613-4E8C-938C-4F5F836B4E95}</x14:id>
        </ext>
      </extLst>
    </cfRule>
  </conditionalFormatting>
  <conditionalFormatting sqref="V12:W12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{72D8828C-59CB-4350-85BE-2B367F30F5CD}</x14:id>
        </ext>
      </extLst>
    </cfRule>
  </conditionalFormatting>
  <conditionalFormatting sqref="E65">
    <cfRule type="containsText" dxfId="10405" priority="151" operator="containsText" text="Buy">
      <formula>NOT(ISERROR(SEARCH("Buy",E65)))</formula>
    </cfRule>
    <cfRule type="containsText" dxfId="10404" priority="152" operator="containsText" text="Sell">
      <formula>NOT(ISERROR(SEARCH("Sell",E65)))</formula>
    </cfRule>
  </conditionalFormatting>
  <conditionalFormatting sqref="E64">
    <cfRule type="containsText" dxfId="10403" priority="149" operator="containsText" text="Buy">
      <formula>NOT(ISERROR(SEARCH("Buy",E64)))</formula>
    </cfRule>
    <cfRule type="containsText" dxfId="10402" priority="150" operator="containsText" text="Sell">
      <formula>NOT(ISERROR(SEARCH("Sell",E64)))</formula>
    </cfRule>
  </conditionalFormatting>
  <conditionalFormatting sqref="L6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{0295FE65-F6E4-475C-A98E-32BE7AD3A195}</x14:id>
        </ext>
      </extLst>
    </cfRule>
  </conditionalFormatting>
  <conditionalFormatting sqref="L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{65D0EC48-A3C3-46EA-AC7A-7489D62B02DD}</x14:id>
        </ext>
      </extLst>
    </cfRule>
  </conditionalFormatting>
  <conditionalFormatting sqref="M6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{CCC5FF4C-91CD-4C53-AC99-406EC289B921}</x14:id>
        </ext>
      </extLst>
    </cfRule>
  </conditionalFormatting>
  <conditionalFormatting sqref="M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{BAAADF5D-E376-400A-9CB1-C5538DD60EE9}</x14:id>
        </ext>
      </extLst>
    </cfRule>
  </conditionalFormatting>
  <conditionalFormatting sqref="L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{B3180465-164F-4B63-B4C1-67173DF554DD}</x14:id>
        </ext>
      </extLst>
    </cfRule>
  </conditionalFormatting>
  <conditionalFormatting sqref="M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{5EA75857-2AEC-476B-80F6-0C0048299FFC}</x14:id>
        </ext>
      </extLst>
    </cfRule>
  </conditionalFormatting>
  <conditionalFormatting sqref="L6:M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{3D6EF2F9-2A8B-40C1-90BF-66ECF02BF7D1}</x14:id>
        </ext>
      </extLst>
    </cfRule>
  </conditionalFormatting>
  <conditionalFormatting sqref="V6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{2F8D8CA7-0F8E-4A73-9A37-EBA7E2024447}</x14:id>
        </ext>
      </extLst>
    </cfRule>
  </conditionalFormatting>
  <conditionalFormatting sqref="W6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{7C8242AD-3DE5-45B4-AE31-03CD6E4F8EE4}</x14:id>
        </ext>
      </extLst>
    </cfRule>
  </conditionalFormatting>
  <conditionalFormatting sqref="X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{1FFAFFD2-92FC-4860-8918-97F8FE03CFDE}</x14:id>
        </ext>
      </extLst>
    </cfRule>
  </conditionalFormatting>
  <conditionalFormatting sqref="Y6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{FF9D80A1-8FDA-47E6-AEAE-D1B3B149AB05}</x14:id>
        </ext>
      </extLst>
    </cfRule>
  </conditionalFormatting>
  <conditionalFormatting sqref="T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{7FCEAC38-2BD8-4BFF-8E46-431EFAFDFD3F}</x14:id>
        </ext>
      </extLst>
    </cfRule>
  </conditionalFormatting>
  <conditionalFormatting sqref="L6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{5157D112-31DE-44E7-BAB7-9DB1D7F5470A}</x14:id>
        </ext>
      </extLst>
    </cfRule>
  </conditionalFormatting>
  <conditionalFormatting sqref="M6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{C88B8F73-653C-4D11-A22D-31BAD6026CE5}</x14:id>
        </ext>
      </extLst>
    </cfRule>
  </conditionalFormatting>
  <conditionalFormatting sqref="L6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{665FA7EE-2F20-4C4E-AB8D-6A68F4B6FBE6}</x14:id>
        </ext>
      </extLst>
    </cfRule>
  </conditionalFormatting>
  <conditionalFormatting sqref="M6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{5298DE4D-B521-4F6E-BDE2-8F03ED4CBB29}</x14:id>
        </ext>
      </extLst>
    </cfRule>
  </conditionalFormatting>
  <conditionalFormatting sqref="V6:W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{5623BDBD-EFF1-493B-81CD-CBA59570F5B9}</x14:id>
        </ext>
      </extLst>
    </cfRule>
  </conditionalFormatting>
  <conditionalFormatting sqref="V6:W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{6236CE30-48BF-4DB4-AF01-E7F2A420C195}</x14:id>
        </ext>
      </extLst>
    </cfRule>
  </conditionalFormatting>
  <conditionalFormatting sqref="I6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{09806839-61E8-431D-82FA-0FB78FA29242}</x14:id>
        </ext>
      </extLst>
    </cfRule>
  </conditionalFormatting>
  <conditionalFormatting sqref="I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{19A361DA-378B-48DC-9128-6523F6AD076E}</x14:id>
        </ext>
      </extLst>
    </cfRule>
  </conditionalFormatting>
  <conditionalFormatting sqref="L6:M6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{EFB163A3-36BB-4346-8291-7E3D2B3AE0A5}</x14:id>
        </ext>
      </extLst>
    </cfRule>
  </conditionalFormatting>
  <conditionalFormatting sqref="T6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{F247C427-1EB8-44B0-B276-E10190A9821F}</x14:id>
        </ext>
      </extLst>
    </cfRule>
  </conditionalFormatting>
  <conditionalFormatting sqref="V6:W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{4A012004-C06F-4FA5-A867-FB474ADA4548}</x14:id>
        </ext>
      </extLst>
    </cfRule>
  </conditionalFormatting>
  <conditionalFormatting sqref="I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{3CC0FBE1-15FB-42FB-BF66-27212D1345EA}</x14:id>
        </ext>
      </extLst>
    </cfRule>
  </conditionalFormatting>
  <conditionalFormatting sqref="E68">
    <cfRule type="containsText" dxfId="10401" priority="121" operator="containsText" text="Buy">
      <formula>NOT(ISERROR(SEARCH("Buy",E68)))</formula>
    </cfRule>
    <cfRule type="containsText" dxfId="10400" priority="122" operator="containsText" text="Sell">
      <formula>NOT(ISERROR(SEARCH("Sell",E68)))</formula>
    </cfRule>
  </conditionalFormatting>
  <conditionalFormatting sqref="E67">
    <cfRule type="containsText" dxfId="10399" priority="119" operator="containsText" text="Buy">
      <formula>NOT(ISERROR(SEARCH("Buy",E67)))</formula>
    </cfRule>
    <cfRule type="containsText" dxfId="10398" priority="120" operator="containsText" text="Sell">
      <formula>NOT(ISERROR(SEARCH("Sell",E67)))</formula>
    </cfRule>
  </conditionalFormatting>
  <conditionalFormatting sqref="L4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{5C60C54C-1392-4359-B4A9-DA9108FD38D5}</x14:id>
        </ext>
      </extLst>
    </cfRule>
  </conditionalFormatting>
  <conditionalFormatting sqref="L4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{DE49A609-0B84-460E-A957-2A0FA75B54A9}</x14:id>
        </ext>
      </extLst>
    </cfRule>
  </conditionalFormatting>
  <conditionalFormatting sqref="M4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{EB2DD2C3-C8EA-4BEF-9353-EDF6691ED78E}</x14:id>
        </ext>
      </extLst>
    </cfRule>
  </conditionalFormatting>
  <conditionalFormatting sqref="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{5E36C3EC-CFF2-4CCB-8846-BAA143FC9CB7}</x14:id>
        </ext>
      </extLst>
    </cfRule>
  </conditionalFormatting>
  <conditionalFormatting sqref="L4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{E0B3B437-9332-45E1-B45C-27C304CCFC6F}</x14:id>
        </ext>
      </extLst>
    </cfRule>
  </conditionalFormatting>
  <conditionalFormatting sqref="M4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{346AB5BC-888F-4F97-91B0-AA453FA44B4D}</x14:id>
        </ext>
      </extLst>
    </cfRule>
  </conditionalFormatting>
  <conditionalFormatting sqref="L4:M4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{C3EF59E5-AFB8-4545-820A-64C63B316FEB}</x14:id>
        </ext>
      </extLst>
    </cfRule>
  </conditionalFormatting>
  <conditionalFormatting sqref="V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{264A894D-713B-4FC4-A648-F96A49F919AC}</x14:id>
        </ext>
      </extLst>
    </cfRule>
  </conditionalFormatting>
  <conditionalFormatting sqref="W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{A99E2C29-1496-431E-BB8C-60B97B69CF30}</x14:id>
        </ext>
      </extLst>
    </cfRule>
  </conditionalFormatting>
  <conditionalFormatting sqref="X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{94B70B7F-2DC5-4201-BE48-E6E16A2078C2}</x14:id>
        </ext>
      </extLst>
    </cfRule>
  </conditionalFormatting>
  <conditionalFormatting sqref="Y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{17E6BCB3-554B-4452-8483-7203C5C92068}</x14:id>
        </ext>
      </extLst>
    </cfRule>
  </conditionalFormatting>
  <conditionalFormatting sqref="T4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{BF7EBA27-FFA8-4066-891E-50013A02AB02}</x14:id>
        </ext>
      </extLst>
    </cfRule>
  </conditionalFormatting>
  <conditionalFormatting sqref="L4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{3F6D687F-503F-41F5-9FEC-4183B78AA038}</x14:id>
        </ext>
      </extLst>
    </cfRule>
  </conditionalFormatting>
  <conditionalFormatting sqref="M4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{BCB647F3-A1CA-4AC7-98C0-13E30483836C}</x14:id>
        </ext>
      </extLst>
    </cfRule>
  </conditionalFormatting>
  <conditionalFormatting sqref="L4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{C779177E-8981-48DF-B425-68D73048E6F9}</x14:id>
        </ext>
      </extLst>
    </cfRule>
  </conditionalFormatting>
  <conditionalFormatting sqref="M4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{0A1F51FE-C714-4E64-8F24-41A5E71F3EDC}</x14:id>
        </ext>
      </extLst>
    </cfRule>
  </conditionalFormatting>
  <conditionalFormatting sqref="V4:W4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{8584B86E-B135-4FF3-B14B-7321C9D92B36}</x14:id>
        </ext>
      </extLst>
    </cfRule>
  </conditionalFormatting>
  <conditionalFormatting sqref="V4:W4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{1701206D-5BA1-4699-B828-31111974FF4F}</x14:id>
        </ext>
      </extLst>
    </cfRule>
  </conditionalFormatting>
  <conditionalFormatting sqref="I4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{2428EFDA-4238-4BA7-8796-F22DD5C146E7}</x14:id>
        </ext>
      </extLst>
    </cfRule>
  </conditionalFormatting>
  <conditionalFormatting sqref="I4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{2187C8D8-06C7-4A5F-94B6-3CBC4AF00577}</x14:id>
        </ext>
      </extLst>
    </cfRule>
  </conditionalFormatting>
  <conditionalFormatting sqref="L4:M4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{1F97DA2B-2584-4382-8670-F74D95976EE2}</x14:id>
        </ext>
      </extLst>
    </cfRule>
  </conditionalFormatting>
  <conditionalFormatting sqref="T4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{7E7CCF17-9997-4E3A-B0E5-C79A73AC5118}</x14:id>
        </ext>
      </extLst>
    </cfRule>
  </conditionalFormatting>
  <conditionalFormatting sqref="V4:W4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{CF126299-A8D7-4C23-8A5B-8E1949B9E0C5}</x14:id>
        </ext>
      </extLst>
    </cfRule>
  </conditionalFormatting>
  <conditionalFormatting sqref="I4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{BAB5FBFF-58DA-465A-880F-51CE208B98F4}</x14:id>
        </ext>
      </extLst>
    </cfRule>
  </conditionalFormatting>
  <conditionalFormatting sqref="E71">
    <cfRule type="containsText" dxfId="10397" priority="92" operator="containsText" text="Buy">
      <formula>NOT(ISERROR(SEARCH("Buy",E71)))</formula>
    </cfRule>
    <cfRule type="containsText" dxfId="10396" priority="93" operator="containsText" text="Sell">
      <formula>NOT(ISERROR(SEARCH("Sell",E71)))</formula>
    </cfRule>
  </conditionalFormatting>
  <conditionalFormatting sqref="E70">
    <cfRule type="containsText" dxfId="10395" priority="90" operator="containsText" text="Buy">
      <formula>NOT(ISERROR(SEARCH("Buy",E70)))</formula>
    </cfRule>
    <cfRule type="containsText" dxfId="10394" priority="91" operator="containsText" text="Sell">
      <formula>NOT(ISERROR(SEARCH("Sell",E70)))</formula>
    </cfRule>
  </conditionalFormatting>
  <conditionalFormatting sqref="E60">
    <cfRule type="containsText" dxfId="10393" priority="88" operator="containsText" text="Buy">
      <formula>NOT(ISERROR(SEARCH("Buy",E60)))</formula>
    </cfRule>
    <cfRule type="containsText" dxfId="10392" priority="89" operator="containsText" text="Sell">
      <formula>NOT(ISERROR(SEARCH("Sell",E60)))</formula>
    </cfRule>
  </conditionalFormatting>
  <conditionalFormatting sqref="E59">
    <cfRule type="containsText" dxfId="10391" priority="86" operator="containsText" text="Buy">
      <formula>NOT(ISERROR(SEARCH("Buy",E59)))</formula>
    </cfRule>
    <cfRule type="containsText" dxfId="10390" priority="87" operator="containsText" text="Sell">
      <formula>NOT(ISERROR(SEARCH("Sell",E59)))</formula>
    </cfRule>
  </conditionalFormatting>
  <conditionalFormatting sqref="L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{115AFE99-B1B7-4FC8-A09F-342A1A182955}</x14:id>
        </ext>
      </extLst>
    </cfRule>
  </conditionalFormatting>
  <conditionalFormatting sqref="L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{8DFBFD40-96C4-42F8-A307-3DE5FD900573}</x14:id>
        </ext>
      </extLst>
    </cfRule>
  </conditionalFormatting>
  <conditionalFormatting sqref="M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{23E96A45-A328-4687-B086-88B6D2215289}</x14:id>
        </ext>
      </extLst>
    </cfRule>
  </conditionalFormatting>
  <conditionalFormatting sqref="M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{F5DECCE3-C6D6-4B40-BD1A-95C02D87B487}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{836AB31D-B72F-4504-90D3-EEDF4EE50D88}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{E1100A93-D38A-4609-A7DB-445BBBA9DBC5}</x14:id>
        </ext>
      </extLst>
    </cfRule>
  </conditionalFormatting>
  <conditionalFormatting sqref="L5:M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{97BCF772-851C-49B4-AA98-6F9EC8A2F5CE}</x14:id>
        </ext>
      </extLst>
    </cfRule>
  </conditionalFormatting>
  <conditionalFormatting sqref="V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{EB2AF43D-1A17-49A5-867F-0B5FDD27F708}</x14:id>
        </ext>
      </extLst>
    </cfRule>
  </conditionalFormatting>
  <conditionalFormatting sqref="W5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{75EBE192-074A-4C9A-B031-1A514836886F}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{616561D4-4E09-4096-B735-2780AF878C52}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{A79353C2-A8C7-4E01-8219-16C8D6DC5533}</x14:id>
        </ext>
      </extLst>
    </cfRule>
  </conditionalFormatting>
  <conditionalFormatting sqref="T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{9B36D9D5-9016-46DA-8CCE-4607CD6732FE}</x14:id>
        </ext>
      </extLst>
    </cfRule>
  </conditionalFormatting>
  <conditionalFormatting sqref="L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{F0E7FC57-18B0-49DB-BA64-74FAD1C38C1C}</x14:id>
        </ext>
      </extLst>
    </cfRule>
  </conditionalFormatting>
  <conditionalFormatting sqref="M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{8E1E92FA-D7C5-4664-9BDE-6EBD7A87523D}</x14:id>
        </ext>
      </extLst>
    </cfRule>
  </conditionalFormatting>
  <conditionalFormatting sqref="L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{CFCFBBB9-C71C-474B-8B2C-DB34A58474B8}</x14:id>
        </ext>
      </extLst>
    </cfRule>
  </conditionalFormatting>
  <conditionalFormatting sqref="M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{26FFF7BD-5B47-4DAE-8358-5D869A765028}</x14:id>
        </ext>
      </extLst>
    </cfRule>
  </conditionalFormatting>
  <conditionalFormatting sqref="V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{C7E3F10C-BDE4-4F04-9C4D-A1945CDDDD58}</x14:id>
        </ext>
      </extLst>
    </cfRule>
  </conditionalFormatting>
  <conditionalFormatting sqref="V5:W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{856B4EAB-28B5-427D-B525-6822DBF07099}</x14:id>
        </ext>
      </extLst>
    </cfRule>
  </conditionalFormatting>
  <conditionalFormatting sqref="I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{97C098A6-FC78-4E03-8E07-74B5949E7709}</x14:id>
        </ext>
      </extLst>
    </cfRule>
  </conditionalFormatting>
  <conditionalFormatting sqref="I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{F30A4C98-6D38-4F51-92A7-C4D1328FD6A0}</x14:id>
        </ext>
      </extLst>
    </cfRule>
  </conditionalFormatting>
  <conditionalFormatting sqref="L5:M5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{8E2AF026-73DC-4D1C-B23D-87BAF0605F8D}</x14:id>
        </ext>
      </extLst>
    </cfRule>
  </conditionalFormatting>
  <conditionalFormatting sqref="T5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{096E38FE-1BF0-4FA5-90FB-3D0021BDB55B}</x14:id>
        </ext>
      </extLst>
    </cfRule>
  </conditionalFormatting>
  <conditionalFormatting sqref="V5:W5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{7DA735E7-3BC1-4E54-813B-9290364B8C98}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{EBCCEC1E-830A-44FE-AD02-A9BDF979ABE5}</x14:id>
        </ext>
      </extLst>
    </cfRule>
  </conditionalFormatting>
  <conditionalFormatting sqref="E48">
    <cfRule type="containsText" dxfId="10389" priority="59" operator="containsText" text="Buy">
      <formula>NOT(ISERROR(SEARCH("Buy",E48)))</formula>
    </cfRule>
    <cfRule type="containsText" dxfId="10388" priority="60" operator="containsText" text="Sell">
      <formula>NOT(ISERROR(SEARCH("Sell",E48)))</formula>
    </cfRule>
  </conditionalFormatting>
  <conditionalFormatting sqref="E47">
    <cfRule type="containsText" dxfId="10387" priority="57" operator="containsText" text="Buy">
      <formula>NOT(ISERROR(SEARCH("Buy",E47)))</formula>
    </cfRule>
    <cfRule type="containsText" dxfId="10386" priority="58" operator="containsText" text="Sell">
      <formula>NOT(ISERROR(SEARCH("Sell",E47)))</formula>
    </cfRule>
  </conditionalFormatting>
  <conditionalFormatting sqref="H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{B3F88682-2B4F-4071-B30A-4646E786AAFB}</x14:id>
        </ext>
      </extLst>
    </cfRule>
    <cfRule type="cellIs" dxfId="10385" priority="56" operator="equal">
      <formula>1</formula>
    </cfRule>
  </conditionalFormatting>
  <conditionalFormatting sqref="X9 X11 X13">
    <cfRule type="dataBar" priority="33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{FACF5129-2A01-4B1D-8473-E5CA1C1C7F71}</x14:id>
        </ext>
      </extLst>
    </cfRule>
  </conditionalFormatting>
  <conditionalFormatting sqref="Y9 Y11 Y13">
    <cfRule type="dataBar" priority="33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{B2E6831A-954D-41E2-B0E8-18F6B5EB0CF5}</x14:id>
        </ext>
      </extLst>
    </cfRule>
  </conditionalFormatting>
  <conditionalFormatting sqref="I11 I9 I13">
    <cfRule type="dataBar" priority="33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{C25368C8-FE22-4E0A-8DC6-816A0DCBBBA6}</x14:id>
        </ext>
      </extLst>
    </cfRule>
  </conditionalFormatting>
  <conditionalFormatting sqref="I11 I13">
    <cfRule type="dataBar" priority="33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{71D83F6A-BBFA-41D7-B1D9-D128E8050D2A}</x14:id>
        </ext>
      </extLst>
    </cfRule>
  </conditionalFormatting>
  <conditionalFormatting sqref="I11 I9 I13:I17">
    <cfRule type="dataBar" priority="33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{6BE939BC-4C35-4C49-950D-41D15DFBA3CC}</x14:id>
        </ext>
      </extLst>
    </cfRule>
  </conditionalFormatting>
  <conditionalFormatting sqref="L9:M11 L13:M15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{7165696E-0394-4162-9A21-DF6BF0585965}</x14:id>
        </ext>
      </extLst>
    </cfRule>
  </conditionalFormatting>
  <conditionalFormatting sqref="T9:T11 T13:T17">
    <cfRule type="dataBar" priority="33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{4D3069D2-3279-4E02-8318-2C66B69735A6}</x14:id>
        </ext>
      </extLst>
    </cfRule>
  </conditionalFormatting>
  <conditionalFormatting sqref="V9:W11 V13:W15">
    <cfRule type="dataBar" priority="339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{BE89BFE2-49E4-4551-87BB-FDCE9F6D8AC9}</x14:id>
        </ext>
      </extLst>
    </cfRule>
  </conditionalFormatting>
  <conditionalFormatting sqref="I9:I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{E0E55F94-2FBB-4E5D-968C-0ACE1A8D3455}</x14:id>
        </ext>
      </extLst>
    </cfRule>
  </conditionalFormatting>
  <conditionalFormatting sqref="I4:I6 I9:I17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{EFE16F89-1741-4486-95D7-0FEDD915B16F}</x14:id>
        </ext>
      </extLst>
    </cfRule>
  </conditionalFormatting>
  <conditionalFormatting sqref="L4:M6 L9:M17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{699DD41F-88D3-437A-A1AE-0B6454073320}</x14:id>
        </ext>
      </extLst>
    </cfRule>
  </conditionalFormatting>
  <conditionalFormatting sqref="L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{0435D807-3E51-47A1-9024-0C83C73B62CB}</x14:id>
        </ext>
      </extLst>
    </cfRule>
  </conditionalFormatting>
  <conditionalFormatting sqref="L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{59ED6922-FD6E-4829-B0EC-1F4561359A58}</x14:id>
        </ext>
      </extLst>
    </cfRule>
  </conditionalFormatting>
  <conditionalFormatting sqref="M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{8EAC0DA6-4C18-4565-9E5B-14EBA9783729}</x14:id>
        </ext>
      </extLst>
    </cfRule>
  </conditionalFormatting>
  <conditionalFormatting sqref="M8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{716E123C-9711-4E7A-B6C4-B217505044FE}</x14:id>
        </ext>
      </extLst>
    </cfRule>
  </conditionalFormatting>
  <conditionalFormatting sqref="L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{6DDB6419-CA48-49A4-90A4-5F23BCFB66F7}</x14:id>
        </ext>
      </extLst>
    </cfRule>
  </conditionalFormatting>
  <conditionalFormatting sqref="M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{A49FE655-DE4E-4DF5-B918-3AD281584457}</x14:id>
        </ext>
      </extLst>
    </cfRule>
  </conditionalFormatting>
  <conditionalFormatting sqref="L8:M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{EF186226-D9A7-455B-900F-DDEE254B0530}</x14:id>
        </ext>
      </extLst>
    </cfRule>
  </conditionalFormatting>
  <conditionalFormatting sqref="V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{96D7A186-C986-46D4-99E0-98EEB9A3A9D6}</x14:id>
        </ext>
      </extLst>
    </cfRule>
  </conditionalFormatting>
  <conditionalFormatting sqref="W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{F2919ACE-8C0C-4761-B02F-C86623DC28C0}</x14:id>
        </ext>
      </extLst>
    </cfRule>
  </conditionalFormatting>
  <conditionalFormatting sqref="T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{1E0FFF91-1E13-4A20-A3BB-1F5C8002D75B}</x14:id>
        </ext>
      </extLst>
    </cfRule>
  </conditionalFormatting>
  <conditionalFormatting sqref="L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{4B166961-3DE1-4C5F-ACF7-E1EF5AC5B632}</x14:id>
        </ext>
      </extLst>
    </cfRule>
  </conditionalFormatting>
  <conditionalFormatting sqref="M8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{106BABA1-52B8-4355-B2D1-97C5A86AF4E9}</x14:id>
        </ext>
      </extLst>
    </cfRule>
  </conditionalFormatting>
  <conditionalFormatting sqref="L8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{B6999992-AFE6-4301-B926-EB20BAB8B37A}</x14:id>
        </ext>
      </extLst>
    </cfRule>
  </conditionalFormatting>
  <conditionalFormatting sqref="M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{C1530915-85BA-49DE-919E-C94A23546294}</x14:id>
        </ext>
      </extLst>
    </cfRule>
  </conditionalFormatting>
  <conditionalFormatting sqref="V8:W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{0513B7E8-3F63-42EE-ABB3-F1794D526890}</x14:id>
        </ext>
      </extLst>
    </cfRule>
  </conditionalFormatting>
  <conditionalFormatting sqref="V8:W8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{94B7B8B0-145C-46A2-B933-5F16E348F9F4}</x14:id>
        </ext>
      </extLst>
    </cfRule>
  </conditionalFormatting>
  <conditionalFormatting sqref="L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{340B24AE-30AB-4587-9C58-E07B37D056E9}</x14:id>
        </ext>
      </extLst>
    </cfRule>
  </conditionalFormatting>
  <conditionalFormatting sqref="L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{E5F9CE3D-0626-4687-8549-AD23FC5C6EA1}</x14:id>
        </ext>
      </extLst>
    </cfRule>
  </conditionalFormatting>
  <conditionalFormatting sqref="M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{658C53D1-16FB-44C2-BF63-88F0E5F98644}</x14:id>
        </ext>
      </extLst>
    </cfRule>
  </conditionalFormatting>
  <conditionalFormatting sqref="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{631385FD-B861-4FD6-A1E9-04AA5E399D17}</x14:id>
        </ext>
      </extLst>
    </cfRule>
  </conditionalFormatting>
  <conditionalFormatting sqref="L7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{E0C6B449-89F3-42D7-AB3F-49AA2F41562C}</x14:id>
        </ext>
      </extLst>
    </cfRule>
  </conditionalFormatting>
  <conditionalFormatting sqref="M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{DED104A9-B452-4531-9000-EB5166300237}</x14:id>
        </ext>
      </extLst>
    </cfRule>
  </conditionalFormatting>
  <conditionalFormatting sqref="L7:M7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{A7A974E7-28E5-4C0B-AEA7-45A0EF5B6690}</x14:id>
        </ext>
      </extLst>
    </cfRule>
  </conditionalFormatting>
  <conditionalFormatting sqref="V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{DF508C4C-6D2F-4843-A955-645A1862888E}</x14:id>
        </ext>
      </extLst>
    </cfRule>
  </conditionalFormatting>
  <conditionalFormatting sqref="W7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{A9668191-5336-4E72-9AE8-923716BF5527}</x14:id>
        </ext>
      </extLst>
    </cfRule>
  </conditionalFormatting>
  <conditionalFormatting sqref="X7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{D229B78D-42A9-48CF-A905-E8712EB477B0}</x14:id>
        </ext>
      </extLst>
    </cfRule>
  </conditionalFormatting>
  <conditionalFormatting sqref="Y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{BBD450F0-5A68-4C87-BE3B-ABB181E24E25}</x14:id>
        </ext>
      </extLst>
    </cfRule>
  </conditionalFormatting>
  <conditionalFormatting sqref="T7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{B78B6620-7032-4269-95DA-570D46AFF6E6}</x14:id>
        </ext>
      </extLst>
    </cfRule>
  </conditionalFormatting>
  <conditionalFormatting sqref="L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{15898B36-A603-45C1-AD26-6C0E5FFCB237}</x14:id>
        </ext>
      </extLst>
    </cfRule>
  </conditionalFormatting>
  <conditionalFormatting sqref="M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{E8D94FEA-759A-4F2F-838A-4FBAAD933F4D}</x14:id>
        </ext>
      </extLst>
    </cfRule>
  </conditionalFormatting>
  <conditionalFormatting sqref="L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{1FAEA458-9761-4A15-BDFD-0209C8DDFE8A}</x14:id>
        </ext>
      </extLst>
    </cfRule>
  </conditionalFormatting>
  <conditionalFormatting sqref="M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{08FFE818-C00E-48CE-A620-542BC897E7E7}</x14:id>
        </ext>
      </extLst>
    </cfRule>
  </conditionalFormatting>
  <conditionalFormatting sqref="V7:W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{FE77822A-1D2C-4F43-971B-079A3557C056}</x14:id>
        </ext>
      </extLst>
    </cfRule>
  </conditionalFormatting>
  <conditionalFormatting sqref="V7:W7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{5397289A-FF4B-4E55-B50C-3C3D4BD699DE}</x14:id>
        </ext>
      </extLst>
    </cfRule>
  </conditionalFormatting>
  <conditionalFormatting sqref="I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{C63B9349-F7D7-4513-A302-BCD9E62AFC9B}</x14:id>
        </ext>
      </extLst>
    </cfRule>
  </conditionalFormatting>
  <conditionalFormatting sqref="I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{DB1F2F30-EDE0-4789-9D97-DB2F4DD35B1C}</x14:id>
        </ext>
      </extLst>
    </cfRule>
  </conditionalFormatting>
  <conditionalFormatting sqref="I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{65416450-D4BD-4C9E-9BA6-AE946E45ABE0}</x14:id>
        </ext>
      </extLst>
    </cfRule>
  </conditionalFormatting>
  <conditionalFormatting sqref="X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{2ACED825-C991-459F-9256-F0D610990A51}</x14:id>
        </ext>
      </extLst>
    </cfRule>
  </conditionalFormatting>
  <conditionalFormatting sqref="Y8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{C69CBFAC-84A7-4698-838F-CEFA9A28EA3F}</x14:id>
        </ext>
      </extLst>
    </cfRule>
  </conditionalFormatting>
  <conditionalFormatting sqref="I8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{68AFAE33-15B5-4207-B65F-E464BCB88294}</x14:id>
        </ext>
      </extLst>
    </cfRule>
  </conditionalFormatting>
  <conditionalFormatting sqref="I8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{F779D8ED-AB4C-4A4B-A799-492826556781}</x14:id>
        </ext>
      </extLst>
    </cfRule>
  </conditionalFormatting>
  <conditionalFormatting sqref="I8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{8BE96A42-D6D7-4E1D-9F87-81AAB307FD1D}</x14:id>
        </ext>
      </extLst>
    </cfRule>
  </conditionalFormatting>
  <conditionalFormatting sqref="L7:M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{006730D4-B593-402F-9C20-0C72963801B3}</x14:id>
        </ext>
      </extLst>
    </cfRule>
  </conditionalFormatting>
  <conditionalFormatting sqref="T7:T8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{EE6D3E50-4B71-4010-9D88-95D602EF059E}</x14:id>
        </ext>
      </extLst>
    </cfRule>
  </conditionalFormatting>
  <conditionalFormatting sqref="V7:W8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{9039E2F2-3290-4B98-82FB-BDD8A63DAAA9}</x14:id>
        </ext>
      </extLst>
    </cfRule>
  </conditionalFormatting>
  <conditionalFormatting sqref="I7:I8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{D3BD27E8-F50F-423B-AAD5-1823C0A0393B}</x14:id>
        </ext>
      </extLst>
    </cfRule>
  </conditionalFormatting>
  <conditionalFormatting sqref="I7:I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{AD4F6FC4-9DFE-4F86-B72E-28F1AB33968E}</x14:id>
        </ext>
      </extLst>
    </cfRule>
  </conditionalFormatting>
  <conditionalFormatting sqref="L7:M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{05EE9733-FCA8-45FB-BA4D-C21A50882DDB}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BD5C7-2147-4890-8B10-193335059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6BF479C-0EF1-40A6-A726-72D02FE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67D46DA-9FFD-45CC-AC75-39EFE377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C1D498D0-0B43-4A17-B2DD-2C5C212AB8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43232B46-E1C0-4855-A1CC-E322F873DB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173CF27-38BC-4302-932E-109B083AA9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E6CEC2D-5C7F-4E14-B465-48E70925BF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72237B-A0F0-4013-B423-483E0ED85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F3B09132-C475-4CB6-B0F5-02CB6725D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8DAAE35-03F7-43A8-835D-D8434448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700DE9B-CB17-41C6-B8F0-744997F63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B9AA719-1416-466E-B2A8-B9981414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B842B060-B2CC-4FF1-B892-B90D050EB4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99A6AC23-9FCD-4710-A6CB-1CB81DD98C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111A074-49A4-4D62-9E30-73C28BB0E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2A3CC2A5-7B9B-4500-86C1-3ABDF0F73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43C27EA5-DC1F-42C7-A58D-A455B382FB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AEAA0F1-67B6-42BD-8493-97AC03D639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16FFB79-8C9B-4B2F-B6DA-7556F0972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16218B-5D83-4EDF-B21B-9B9DF41A5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7F11929-4873-4F3A-8DB9-B02CEC2620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A2F4AE0C-3339-49B4-B143-9614DA8E6A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923536B-5DA8-4420-BA57-05A6B419A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8FBB29-DE86-4ED8-B154-49D0D36F0A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14576CA-D387-4175-8B7E-60224BB7C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D7EE65A-97D7-4E34-ABAD-52F6D45F48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BB70CAC-E861-4A30-912C-AA9392813F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CF2AFE3-AE28-4B97-A224-E83D9A17F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D20CCA-558D-4068-9470-031ABBFD5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E00480D-606D-4CA5-B46E-C1FDD7846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8DA053B-68F5-4408-A042-E974318146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2F8A9E7-DF38-4C17-98C2-2F5427D1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3C9CFFF-6939-4721-B7EB-424EAA4B51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49D6C849-F392-4B31-A1A0-B037DB5F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7D6A667-466A-4C1D-9065-A789C02A2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1637104-2D4A-4157-AA93-949D7A54F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CAB17DC8-6055-430C-B9F8-EF036ED6D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78A5C1B-CC6A-4BF2-A796-CAA445C79D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D2BE1C17-948E-4512-BA7F-A9A1E69950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C9EF6B9D-0F6D-491B-A6E8-B7E90C922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L14:L15</xm:sqref>
        </x14:conditionalFormatting>
        <x14:conditionalFormatting xmlns:xm="http://schemas.microsoft.com/office/excel/2006/main">
          <x14:cfRule type="dataBar" id="{79FA98EC-9589-42AA-A1AD-023F15043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</xm:sqref>
        </x14:conditionalFormatting>
        <x14:conditionalFormatting xmlns:xm="http://schemas.microsoft.com/office/excel/2006/main">
          <x14:cfRule type="dataBar" id="{F8DBA95E-F4C0-4DC9-A757-C999B0C98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3707A104-1115-4A44-8074-1806155310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T14:T15</xm:sqref>
        </x14:conditionalFormatting>
        <x14:conditionalFormatting xmlns:xm="http://schemas.microsoft.com/office/excel/2006/main">
          <x14:cfRule type="dataBar" id="{82300960-4529-4324-978B-46F7D34EDF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4CB16A-C87C-4928-BC88-32A4ACB43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3F0ACD4-BFB1-4E7B-ACDE-EC7739D73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2F656B-44D9-446D-8AB0-1A4E80D2C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C5324EB-0F3B-465F-ADFF-E75714EC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CCD32FE-E382-431C-8D5A-6C3674F93C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A1B3625-FDA0-47CF-A6B5-EB4604FCE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B4966E5-C297-4C14-ADAA-ED4B8A7871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F667A61-7B7C-463D-9D64-47A35A07D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595BE4BA-EBA3-4C78-842F-E514B87B2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7AFF29E-BB0D-4DC3-A09B-6DDF58DC6B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EB15D68-40EB-4D90-88A7-D486E15DAD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D693A8-F9F3-4C0F-A0D1-81E6F43B73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0F393C1-F8BD-412E-B25C-812A23A3AB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51D377D-122E-4BDA-91CB-153C3D17B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12AB0F1-ADED-4F9D-83E2-B7CE79B08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AB6AAD6-8811-49A1-9D52-195753FEF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B100BD7-FE9E-41D8-A105-6F52DABF3F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6AB9F7C-D981-4D39-8CF8-2CA3222B15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84A16F6-60A7-4580-9506-421A16187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C5AC8FD-A100-4CD7-85E1-8A21C2739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89C03BB-B2E9-4411-89EA-5563A7F7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A64A352-91DF-488A-A486-1DE207319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30795FF1-A002-42B6-99B9-3458DA33A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20A0F2C4-2A69-4349-BDBA-F8B245AE3B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708CB96-B1C5-4DE3-B0DF-7489DBA41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6F8A78D-DC4E-40A5-993D-15CC7B769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0C56A42-7A41-411F-8558-118B2B2374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A9E85D0-9B58-483D-98E3-3F08E2F489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E4CB0A67-D679-4CF8-9DF9-828642849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8472FF2-9533-411E-B6F5-20AB913529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B0E641D5-C232-44C5-994D-14EE543497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9EDEA55C-69B1-45FB-92A1-CB5BE3B55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B2AF555E-FCD1-4DB5-880D-D37A4F402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D7E6EB96-5550-4BB7-A661-D19F6FCFC4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70BE55BE-484C-4D96-ACB6-BB684F8051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1EB162B5-4534-4370-8D2C-E32D412A45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57F7022-418F-4A6E-8B02-81DB3027D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CBA0DADB-40A9-4089-A963-A802132A7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AAF5A62-FBEB-4396-9A9F-1FD73B3FE6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ADB11BC-28DA-419F-81F0-FD274C7AF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E61D2E5C-216C-4543-B771-1A5988515A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ABF2C9D-CD85-480F-BDE7-142254E779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25DE07E-2052-435F-8558-84851D6E27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0FFFC0-8A63-4A7D-8842-4676ACE3B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5E786208-9ADE-40F8-BB33-846BADFDE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13ED0F-D4B5-4ECA-97F4-87A1ADFC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00B3965-8CA9-4CCA-91B7-18B141951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EFEF287C-D26E-4D5E-BF62-A381ACB686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72C67345-A041-4723-AFD2-4753EC7CB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07BF4AE5-5E40-4AA0-B9C8-3C076E9189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4BBCC4-1392-4E96-9951-5728E9CFE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6FA7191-40FE-4489-8918-0F89F3B72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AB17A3A1-190A-43B0-95DF-D4CCD1D945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C83ED02-A28C-4383-A586-708940D66C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C0BD4656-E0E1-40FF-8F17-07AC1CFBF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B711BBD6-F80F-49B5-BCF1-D10AD6FDE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98228536-1385-4C23-99B5-AA261800B5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BFB739-912E-44B7-B6C1-D59083A7D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0ED095E8-D773-4173-8247-33218754AD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BBE7A65-1512-4E72-BE8F-01A291C231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1340ADF-132A-47C6-94A4-F86D69AF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4569BC1-CAF5-4264-909C-515F324F1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9A8CD82-D308-446F-BA5F-9C9DE5A057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1D80B1F-1AD4-45CB-B623-2CBFABCFC7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2C06D2B-80BF-4AB9-863F-3B9259EBE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B00F4F22-F4C8-4775-96CE-5B0443F71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311B094-97C6-4C0B-A5DB-9D34987D5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D815935-59F7-40CF-AF7D-82E318A215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E735D432-AFE3-4C38-90AF-A999037180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CEA8926-24D0-4F4A-9FC4-991A217FA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BE1EDE4-4BF4-4D6D-BFA2-8E3144D3E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1FE2EF4-AFEA-47DF-9503-67F4FD530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2DE536-7F1F-4D53-ACB9-DF07222589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C20ED6-A0B5-4B0A-93A7-DB029CA6D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698AC787-D562-4642-9490-84E4D7D7B5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47E200AD-14EB-4C03-A1C9-AC0B8DA70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B7EDD9F-9DB2-4FBC-8577-60D791FAFD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795C06D-1A3E-4CD4-803E-49D719564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D5C31C5D-EE96-4DB4-9286-0138090C72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0CEDF25B-DB69-4371-B6C5-4019E2721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46108D36-6613-4E8C-938C-4F5F836B4E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2D8828C-59CB-4350-85BE-2B367F30F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0295FE65-F6E4-475C-A98E-32BE7AD3A1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5D0EC48-A3C3-46EA-AC7A-7489D62B02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C5FF4C-91CD-4C53-AC99-406EC289B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AAADF5D-E376-400A-9CB1-C5538DD60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3180465-164F-4B63-B4C1-67173DF55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A75857-2AEC-476B-80F6-0C0048299F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D6EF2F9-2A8B-40C1-90BF-66ECF02BF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F8D8CA7-0F8E-4A73-9A37-EBA7E2024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7C8242AD-3DE5-45B4-AE31-03CD6E4F8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FFAFFD2-92FC-4860-8918-97F8FE03C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F9D80A1-8FDA-47E6-AEAE-D1B3B149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FCEAC38-2BD8-4BFF-8E46-431EFAFDFD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157D112-31DE-44E7-BAB7-9DB1D7F54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88B8F73-653C-4D11-A22D-31BAD6026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665FA7EE-2F20-4C4E-AB8D-6A68F4B6F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298DE4D-B521-4F6E-BDE2-8F03ED4CB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623BDBD-EFF1-493B-81CD-CBA59570F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6236CE30-48BF-4DB4-AF01-E7F2A420C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09806839-61E8-431D-82FA-0FB78FA29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9A361DA-378B-48DC-9128-6523F6AD07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FB163A3-36BB-4346-8291-7E3D2B3AE0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247C427-1EB8-44B0-B276-E10190A98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A012004-C06F-4FA5-A867-FB474ADA4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3CC0FBE1-15FB-42FB-BF66-27212D1345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5C60C54C-1392-4359-B4A9-DA9108FD38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E49A609-0B84-460E-A957-2A0FA75B54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B2DD2C3-C8EA-4BEF-9353-EDF6691ED7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E36C3EC-CFF2-4CCB-8846-BAA143FC9C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E0B3B437-9332-45E1-B45C-27C304CCFC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46AB5BC-888F-4F97-91B0-AA453FA44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3EF59E5-AFB8-4545-820A-64C63B316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64A894D-713B-4FC4-A648-F96A49F91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99E2C29-1496-431E-BB8C-60B97B69C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B70B7F-2DC5-4201-BE48-E6E16A207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7E6BCB3-554B-4452-8483-7203C5C9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F7EBA27-FFA8-4066-891E-50013A02AB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6D687F-503F-41F5-9FEC-4183B78AA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CB647F3-A1CA-4AC7-98C0-13E304838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779177E-8981-48DF-B425-68D73048E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0A1F51FE-C714-4E64-8F24-41A5E71F3E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584B86E-B135-4FF3-B14B-7321C9D92B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701206D-5BA1-4699-B828-31111974F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2428EFDA-4238-4BA7-8796-F22DD5C14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187C8D8-06C7-4A5F-94B6-3CBC4AF00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97DA2B-2584-4382-8670-F74D95976E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E7CCF17-9997-4E3A-B0E5-C79A73AC51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F126299-A8D7-4C23-8A5B-8E1949B9E0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BAB5FBFF-58DA-465A-880F-51CE208B98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15AFE99-B1B7-4FC8-A09F-342A1A1829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DFBFD40-96C4-42F8-A307-3DE5FD9005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3E96A45-A328-4687-B086-88B6D2215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5DECCE3-C6D6-4B40-BD1A-95C02D87B4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36AB31D-B72F-4504-90D3-EEDF4EE50D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1100A93-D38A-4609-A7DB-445BBBA9D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BCF772-851C-49B4-AA98-6F9EC8A2F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B2AF43D-1A17-49A5-867F-0B5FDD27F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5EBE192-074A-4C9A-B031-1A51483688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16561D4-4E09-4096-B735-2780AF878C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79353C2-A8C7-4E01-8219-16C8D6DC5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B36D9D5-9016-46DA-8CCE-4607CD6732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0E7FC57-18B0-49DB-BA64-74FAD1C38C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E92FA-D7C5-4664-9BDE-6EBD7A875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FCFBBB9-C71C-474B-8B2C-DB34A5847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6FFF7BD-5B47-4DAE-8358-5D869A7650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C7E3F10C-BDE4-4F04-9C4D-A1945CDDD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56B4EAB-28B5-427D-B525-6822DBF07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97C098A6-FC78-4E03-8E07-74B5949E7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30A4C98-6D38-4F51-92A7-C4D1328FD6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E2AF026-73DC-4D1C-B23D-87BAF0605F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96E38FE-1BF0-4FA5-90FB-3D0021BDB5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DA735E7-3BC1-4E54-813B-9290364B8C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EBCCEC1E-830A-44FE-AD02-A9BDF979AB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3F88682-2B4F-4071-B30A-4646E786AA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FACF5129-2A01-4B1D-8473-E5CA1C1C7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 X11 X13</xm:sqref>
        </x14:conditionalFormatting>
        <x14:conditionalFormatting xmlns:xm="http://schemas.microsoft.com/office/excel/2006/main">
          <x14:cfRule type="dataBar" id="{B2E6831A-954D-41E2-B0E8-18F6B5EB0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 Y11 Y13</xm:sqref>
        </x14:conditionalFormatting>
        <x14:conditionalFormatting xmlns:xm="http://schemas.microsoft.com/office/excel/2006/main">
          <x14:cfRule type="dataBar" id="{C25368C8-FE22-4E0A-8DC6-816A0DCBBB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</xm:sqref>
        </x14:conditionalFormatting>
        <x14:conditionalFormatting xmlns:xm="http://schemas.microsoft.com/office/excel/2006/main">
          <x14:cfRule type="dataBar" id="{71D83F6A-BBFA-41D7-B1D9-D128E8050D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I13</xm:sqref>
        </x14:conditionalFormatting>
        <x14:conditionalFormatting xmlns:xm="http://schemas.microsoft.com/office/excel/2006/main">
          <x14:cfRule type="dataBar" id="{6BE939BC-4C35-4C49-950D-41D15DFBA3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I9 I13:I17</xm:sqref>
        </x14:conditionalFormatting>
        <x14:conditionalFormatting xmlns:xm="http://schemas.microsoft.com/office/excel/2006/main">
          <x14:cfRule type="dataBar" id="{7165696E-0394-4162-9A21-DF6BF05859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L9:M11 L13:M15</xm:sqref>
        </x14:conditionalFormatting>
        <x14:conditionalFormatting xmlns:xm="http://schemas.microsoft.com/office/excel/2006/main">
          <x14:cfRule type="dataBar" id="{4D3069D2-3279-4E02-8318-2C66B6973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T9:T11 T13:T17</xm:sqref>
        </x14:conditionalFormatting>
        <x14:conditionalFormatting xmlns:xm="http://schemas.microsoft.com/office/excel/2006/main">
          <x14:cfRule type="dataBar" id="{BE89BFE2-49E4-4551-87BB-FDCE9F6D8A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V9:W11 V13:W15</xm:sqref>
        </x14:conditionalFormatting>
        <x14:conditionalFormatting xmlns:xm="http://schemas.microsoft.com/office/excel/2006/main">
          <x14:cfRule type="dataBar" id="{E0E55F94-2FBB-4E5D-968C-0ACE1A8D3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I9:I17</xm:sqref>
        </x14:conditionalFormatting>
        <x14:conditionalFormatting xmlns:xm="http://schemas.microsoft.com/office/excel/2006/main">
          <x14:cfRule type="dataBar" id="{EFE16F89-1741-4486-95D7-0FEDD915B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I4:I6 I9:I17</xm:sqref>
        </x14:conditionalFormatting>
        <x14:conditionalFormatting xmlns:xm="http://schemas.microsoft.com/office/excel/2006/main">
          <x14:cfRule type="dataBar" id="{699DD41F-88D3-437A-A1AE-0B64540733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L4:M6 L9:M17</xm:sqref>
        </x14:conditionalFormatting>
        <x14:conditionalFormatting xmlns:xm="http://schemas.microsoft.com/office/excel/2006/main">
          <x14:cfRule type="dataBar" id="{0435D807-3E51-47A1-9024-0C83C73B62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9ED6922-FD6E-4829-B0EC-1F4561359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EAC0DA6-4C18-4565-9E5B-14EBA9783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16E123C-9711-4E7A-B6C4-B21750504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6DDB6419-CA48-49A4-90A4-5F23BCFB66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49FE655-DE4E-4DF5-B918-3AD28158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F186226-D9A7-455B-900F-DDEE254B05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6D7A186-C986-46D4-99E0-98EEB9A3A9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919ACE-8C0C-4761-B02F-C86623DC28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E0FFF91-1E13-4A20-A3BB-1F5C8002D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B166961-3DE1-4C5F-ACF7-E1EF5AC5B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106BABA1-52B8-4355-B2D1-97C5A86A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6999992-AFE6-4301-B926-EB20BAB8B3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1530915-85BA-49DE-919E-C94A23546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513B7E8-3F63-42EE-ABB3-F1794D526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94B7B8B0-145C-46A2-B933-5F16E348F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340B24AE-30AB-4587-9C58-E07B37D05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5F9CE3D-0626-4687-8549-AD23FC5C6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58C53D1-16FB-44C2-BF63-88F0E5F986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631385FD-B861-4FD6-A1E9-04AA5E399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0C6B449-89F3-42D7-AB3F-49AA2F415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ED104A9-B452-4531-9000-EB5166300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A7A974E7-28E5-4C0B-AEA7-45A0EF5B6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DF508C4C-6D2F-4843-A955-645A18628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A9668191-5336-4E72-9AE8-923716BF5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229B78D-42A9-48CF-A905-E8712EB47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BD450F0-5A68-4C87-BE3B-ABB181E24E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78B6620-7032-4269-95DA-570D46AFF6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5898B36-A603-45C1-AD26-6C0E5FFCB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8D94FEA-759A-4F2F-838A-4FBAAD933F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FAEA458-9761-4A15-BDFD-0209C8DDF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8FFE818-C00E-48CE-A620-542BC897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E77822A-1D2C-4F43-971B-079A3557C0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5397289A-FF4B-4E55-B50C-3C3D4BD69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C63B9349-F7D7-4513-A302-BCD9E62AFC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B1F2F30-EDE0-4789-9D97-DB2F4DD35B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65416450-D4BD-4C9E-9BA6-AE946E45A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ACED825-C991-459F-9256-F0D610990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C69CBFAC-84A7-4698-838F-CEFA9A28E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8AFAE33-15B5-4207-B65F-E464BCB882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779D8ED-AB4C-4A4B-A799-492826556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BE96A42-D6D7-4E1D-9F87-81AAB307FD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06730D4-B593-402F-9C20-0C7296380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dataBar" id="{EE6D3E50-4B71-4010-9D88-95D602EF05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T7:T8</xm:sqref>
        </x14:conditionalFormatting>
        <x14:conditionalFormatting xmlns:xm="http://schemas.microsoft.com/office/excel/2006/main">
          <x14:cfRule type="dataBar" id="{9039E2F2-3290-4B98-82FB-BDD8A63DAA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V7:W8</xm:sqref>
        </x14:conditionalFormatting>
        <x14:conditionalFormatting xmlns:xm="http://schemas.microsoft.com/office/excel/2006/main">
          <x14:cfRule type="dataBar" id="{D3BD27E8-F50F-423B-AAD5-1823C0A039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AD4F6FC4-9DFE-4F86-B72E-28F1AB339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I7:I8</xm:sqref>
        </x14:conditionalFormatting>
        <x14:conditionalFormatting xmlns:xm="http://schemas.microsoft.com/office/excel/2006/main">
          <x14:cfRule type="dataBar" id="{05EE9733-FCA8-45FB-BA4D-C21A50882D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L7:M8</xm:sqref>
        </x14:conditionalFormatting>
        <x14:conditionalFormatting xmlns:xm="http://schemas.microsoft.com/office/excel/2006/main">
          <x14:cfRule type="iconSet" priority="186" id="{DFCB207F-4830-4541-B403-CADB7876B86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157" id="{12F492EF-078E-41D0-A510-C089B3A2F9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J12</xm:sqref>
        </x14:conditionalFormatting>
        <x14:conditionalFormatting xmlns:xm="http://schemas.microsoft.com/office/excel/2006/main">
          <x14:cfRule type="iconSet" priority="128" id="{6B3431E0-D0BB-4EF5-8291-E5F9BB534A3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99" id="{210C68DC-D812-42F6-8A9E-8103CC29A9C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66" id="{65E05B48-6F9A-4B31-AD5F-61989D53817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containsText" priority="54" operator="containsText" text="Buy" id="{F4C02537-367F-49EB-8A07-C993523BCAA3}">
            <xm:f>NOT(ISERROR(SEARCH("Buy",AQLON1!D21)))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55" operator="containsText" text="Sell" id="{A1DD0E07-DCA3-405D-A678-EED263486DCF}">
            <xm:f>NOT(ISERROR(SEARCH("Sell",AQLON1!D21)))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iconSet" priority="33916" id="{8DBC8140-6E35-47BA-820F-42DDEC8DFE7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J9 J11 J13</xm:sqref>
        </x14:conditionalFormatting>
        <x14:conditionalFormatting xmlns:xm="http://schemas.microsoft.com/office/excel/2006/main">
          <x14:cfRule type="iconSet" priority="4" id="{D9327228-A2BF-46B1-8670-CE37F947D0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50" id="{9B707080-5C63-43E7-8C3D-BD7E46E161A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AB317"/>
  <sheetViews>
    <sheetView workbookViewId="0">
      <selection activeCell="T26" sqref="T26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12.285156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4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8" width="15.5703125" style="32" bestFit="1" customWidth="1"/>
    <col min="29" max="31" width="9.140625" style="32"/>
    <col min="32" max="32" width="9.140625" style="32" customWidth="1"/>
    <col min="33" max="16384" width="9.140625" style="32"/>
  </cols>
  <sheetData>
    <row r="1" spans="1:28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8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8" ht="71.2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812</v>
      </c>
      <c r="R3" s="83" t="s">
        <v>827</v>
      </c>
      <c r="S3" s="50" t="s">
        <v>747</v>
      </c>
      <c r="T3" s="83" t="s">
        <v>128</v>
      </c>
      <c r="U3" s="83" t="s">
        <v>129</v>
      </c>
      <c r="V3" s="83" t="s">
        <v>130</v>
      </c>
      <c r="W3" s="83" t="s">
        <v>131</v>
      </c>
      <c r="X3" s="83" t="s">
        <v>132</v>
      </c>
      <c r="Y3" s="83" t="s">
        <v>233</v>
      </c>
      <c r="Z3" s="83" t="s">
        <v>283</v>
      </c>
      <c r="AA3" s="83" t="s">
        <v>284</v>
      </c>
    </row>
    <row r="4" spans="1:28" s="735" customFormat="1" x14ac:dyDescent="0.2">
      <c r="A4" s="103" t="s">
        <v>770</v>
      </c>
      <c r="B4" s="46" t="e">
        <f ca="1">_xll.BDP(C4,"SECURITY_NAME")</f>
        <v>#NAME?</v>
      </c>
      <c r="C4" s="103" t="s">
        <v>697</v>
      </c>
      <c r="D4" s="44" t="e">
        <f t="shared" ref="D4:D10" ca="1" si="0">N4/$N$12</f>
        <v>#NAME?</v>
      </c>
      <c r="E4" s="43">
        <f>$F$35</f>
        <v>300000</v>
      </c>
      <c r="F4" s="38">
        <f>$H$35</f>
        <v>90</v>
      </c>
      <c r="G4" s="38" t="e">
        <f ca="1">_xll.BDP(C4,"PX_MID")</f>
        <v>#NAME?</v>
      </c>
      <c r="H4" s="106" t="e">
        <f ca="1">_xll.BDP($C4,"CRNCY")</f>
        <v>#NAME?</v>
      </c>
      <c r="I4" s="44" t="e">
        <f t="shared" ref="I4:I10" ca="1" si="1">M4/K4-1</f>
        <v>#NAME?</v>
      </c>
      <c r="J4" s="44" t="e">
        <f t="shared" ref="J4:J10" ca="1" si="2">G4/F4-1</f>
        <v>#NAME?</v>
      </c>
      <c r="K4" s="43" t="e">
        <f ca="1">$K$35</f>
        <v>#NAME?</v>
      </c>
      <c r="L4" s="43">
        <f t="shared" ref="L4:L10" si="3">E4*F4/100</f>
        <v>270000</v>
      </c>
      <c r="M4" s="43" t="e">
        <f t="shared" ref="M4:M10" ca="1" si="4">E4*G4/100 *$I$1</f>
        <v>#NAME?</v>
      </c>
      <c r="N4" s="43" t="e">
        <f t="shared" ref="N4:N10" ca="1" si="5">M4/$I$1</f>
        <v>#NAME?</v>
      </c>
      <c r="O4" s="142" t="e">
        <f t="shared" ref="O4:P10" ca="1" si="6">M4-K4</f>
        <v>#NAME?</v>
      </c>
      <c r="P4" s="142" t="e">
        <f t="shared" ca="1" si="6"/>
        <v>#NAME?</v>
      </c>
      <c r="Q4" s="44" t="e">
        <f ca="1">_xll.BDP(C4,"YLD_CNV_MID")/100</f>
        <v>#NAME?</v>
      </c>
      <c r="R4" s="82" t="e">
        <f ca="1">_xll.BDP($C4 &amp; " Corp", "DUR_MID")</f>
        <v>#NAME?</v>
      </c>
      <c r="S4" s="732" t="e">
        <f ca="1">E4*_xll.BDP(C4,"PX_GROSS_MID")/100</f>
        <v>#NAME?</v>
      </c>
      <c r="T4" s="82" t="e">
        <f ca="1">_xll.BDP($C4,"CHG_PCT_YTD")</f>
        <v>#NAME?</v>
      </c>
      <c r="U4" s="82" t="e">
        <f ca="1">_xll.BDP($C4,"CHG_PCT_1YR")</f>
        <v>#NAME?</v>
      </c>
      <c r="V4" s="82" t="e">
        <f ca="1">_xll.BDP($C4,"CHG_PCT_6M")</f>
        <v>#NAME?</v>
      </c>
      <c r="W4" s="82" t="e">
        <f ca="1">_xll.BDP($C4,"CHG_PCT_3M")</f>
        <v>#NAME?</v>
      </c>
      <c r="X4" s="82" t="e">
        <f ca="1">_xll.BDP($C4,"CHG_PCT_1M")</f>
        <v>#NAME?</v>
      </c>
      <c r="Y4" s="82" t="e">
        <f ca="1">_xll.BDP($C4,"CHG_PCT_5D")</f>
        <v>#NAME?</v>
      </c>
      <c r="Z4" s="82"/>
      <c r="AA4" s="103"/>
      <c r="AB4" s="789"/>
    </row>
    <row r="5" spans="1:28" s="103" customFormat="1" x14ac:dyDescent="0.2">
      <c r="A5" s="103" t="s">
        <v>770</v>
      </c>
      <c r="B5" s="46" t="e">
        <f ca="1">_xll.BDP(C5,"SECURITY_NAME")</f>
        <v>#NAME?</v>
      </c>
      <c r="C5" s="103" t="s">
        <v>844</v>
      </c>
      <c r="D5" s="44" t="e">
        <f t="shared" ca="1" si="0"/>
        <v>#NAME?</v>
      </c>
      <c r="E5" s="43">
        <f>$F$45</f>
        <v>200000</v>
      </c>
      <c r="F5" s="38">
        <f>$H$45</f>
        <v>101.49999999999999</v>
      </c>
      <c r="G5" s="38" t="e">
        <f ca="1">_xll.BDP(C5,"PX_MID")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$K$45</f>
        <v>#NAME?</v>
      </c>
      <c r="L5" s="43">
        <f t="shared" si="3"/>
        <v>202999.99999999997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_xll.BDP(C5,"YLD_CNV_MID")/100</f>
        <v>#NAME?</v>
      </c>
      <c r="R5" s="82" t="e">
        <f ca="1">_xll.BDP($C5 &amp; " Corp", "DUR_MID")</f>
        <v>#NAME?</v>
      </c>
      <c r="S5" s="732" t="e">
        <f ca="1">E5*_xll.BDP(C5,"PX_GROSS_MID")/100</f>
        <v>#NAME?</v>
      </c>
      <c r="T5" s="82" t="e">
        <f ca="1">_xll.BDP($C5,"CHG_PCT_YTD")</f>
        <v>#NAME?</v>
      </c>
      <c r="U5" s="82" t="e">
        <f ca="1">_xll.BDP($C5,"CHG_PCT_1YR")</f>
        <v>#NAME?</v>
      </c>
      <c r="V5" s="82" t="e">
        <f ca="1">_xll.BDP($C5,"CHG_PCT_6M")</f>
        <v>#NAME?</v>
      </c>
      <c r="W5" s="82" t="e">
        <f ca="1">_xll.BDP($C5,"CHG_PCT_3M")</f>
        <v>#NAME?</v>
      </c>
      <c r="X5" s="82" t="e">
        <f ca="1">_xll.BDP($C5,"CHG_PCT_1M")</f>
        <v>#NAME?</v>
      </c>
      <c r="Y5" s="82" t="e">
        <f ca="1">_xll.BDP($C5,"CHG_PCT_5D")</f>
        <v>#NAME?</v>
      </c>
      <c r="Z5" s="82"/>
    </row>
    <row r="6" spans="1:28" s="103" customFormat="1" x14ac:dyDescent="0.2">
      <c r="A6" s="103" t="s">
        <v>770</v>
      </c>
      <c r="B6" s="46" t="e">
        <f ca="1">_xll.BDP(C6,"SECURITY_NAME")</f>
        <v>#NAME?</v>
      </c>
      <c r="C6" s="103" t="s">
        <v>750</v>
      </c>
      <c r="D6" s="44" t="e">
        <f t="shared" ca="1" si="0"/>
        <v>#NAME?</v>
      </c>
      <c r="E6" s="43">
        <f>$F$42</f>
        <v>200000</v>
      </c>
      <c r="F6" s="38">
        <f>$H$42</f>
        <v>98.405000000000001</v>
      </c>
      <c r="G6" s="38" t="e">
        <f ca="1">_xll.BDP(C6,"PX_MID")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$K$42</f>
        <v>#NAME?</v>
      </c>
      <c r="L6" s="43">
        <f t="shared" si="3"/>
        <v>196810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_xll.BDP(C6,"YLD_CNV_MID")/100</f>
        <v>#NAME?</v>
      </c>
      <c r="R6" s="82" t="e">
        <f ca="1">_xll.BDP($C6 &amp; " Corp", "DUR_MID")</f>
        <v>#NAME?</v>
      </c>
      <c r="S6" s="732" t="e">
        <f ca="1">E6*_xll.BDP(C6,"PX_GROSS_MID")/100</f>
        <v>#NAME?</v>
      </c>
      <c r="T6" s="82" t="e">
        <f ca="1">_xll.BDP($C6,"CHG_PCT_YTD")</f>
        <v>#NAME?</v>
      </c>
      <c r="U6" s="82" t="e">
        <f ca="1">_xll.BDP($C6,"CHG_PCT_1YR")</f>
        <v>#NAME?</v>
      </c>
      <c r="V6" s="82" t="e">
        <f ca="1">_xll.BDP($C6,"CHG_PCT_6M")</f>
        <v>#NAME?</v>
      </c>
      <c r="W6" s="82" t="e">
        <f ca="1">_xll.BDP($C6,"CHG_PCT_3M")</f>
        <v>#NAME?</v>
      </c>
      <c r="X6" s="82" t="e">
        <f ca="1">_xll.BDP($C6,"CHG_PCT_1M")</f>
        <v>#NAME?</v>
      </c>
      <c r="Y6" s="82" t="e">
        <f ca="1">_xll.BDP($C6,"CHG_PCT_5D")</f>
        <v>#NAME?</v>
      </c>
      <c r="Z6" s="82"/>
    </row>
    <row r="7" spans="1:28" s="103" customFormat="1" x14ac:dyDescent="0.2">
      <c r="A7" s="103" t="s">
        <v>770</v>
      </c>
      <c r="B7" s="46" t="e">
        <f ca="1">_xll.BDP(C7,"SECURITY_NAME")</f>
        <v>#NAME?</v>
      </c>
      <c r="C7" s="103" t="s">
        <v>374</v>
      </c>
      <c r="D7" s="44" t="e">
        <f t="shared" ca="1" si="0"/>
        <v>#NAME?</v>
      </c>
      <c r="E7" s="43">
        <f>$F$32</f>
        <v>300000</v>
      </c>
      <c r="F7" s="38">
        <f>$H$32</f>
        <v>106.74999999999999</v>
      </c>
      <c r="G7" s="38" t="e">
        <f ca="1">_xll.BDP(C7,"PX_MID")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$K$32</f>
        <v>#NAME?</v>
      </c>
      <c r="L7" s="43">
        <f t="shared" si="3"/>
        <v>320249.99999999994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_xll.BDP(C7,"YLD_CNV_MID")/100</f>
        <v>#NAME?</v>
      </c>
      <c r="R7" s="82" t="e">
        <f ca="1">_xll.BDP($C7 &amp; " Corp", "DUR_MID")</f>
        <v>#NAME?</v>
      </c>
      <c r="S7" s="732" t="e">
        <f ca="1">E7*_xll.BDP(C7,"PX_GROSS_MID")/100</f>
        <v>#NAME?</v>
      </c>
      <c r="T7" s="82" t="e">
        <f ca="1">_xll.BDP($C7,"CHG_PCT_YTD")</f>
        <v>#NAME?</v>
      </c>
      <c r="U7" s="82" t="e">
        <f ca="1">_xll.BDP($C7,"CHG_PCT_1YR")</f>
        <v>#NAME?</v>
      </c>
      <c r="V7" s="82" t="e">
        <f ca="1">_xll.BDP($C7,"CHG_PCT_6M")</f>
        <v>#NAME?</v>
      </c>
      <c r="W7" s="82" t="e">
        <f ca="1">_xll.BDP($C7,"CHG_PCT_3M")</f>
        <v>#NAME?</v>
      </c>
      <c r="X7" s="82" t="e">
        <f ca="1">_xll.BDP($C7,"CHG_PCT_1M")</f>
        <v>#NAME?</v>
      </c>
      <c r="Y7" s="82" t="e">
        <f ca="1">_xll.BDP($C7,"CHG_PCT_5D")</f>
        <v>#NAME?</v>
      </c>
      <c r="Z7" s="82"/>
    </row>
    <row r="8" spans="1:28" s="103" customFormat="1" x14ac:dyDescent="0.2">
      <c r="A8" s="103" t="s">
        <v>770</v>
      </c>
      <c r="B8" s="46" t="e">
        <f ca="1">_xll.BDP(C8,"SECURITY_NAME")</f>
        <v>#NAME?</v>
      </c>
      <c r="C8" s="103" t="s">
        <v>763</v>
      </c>
      <c r="D8" s="44" t="e">
        <f t="shared" ca="1" si="0"/>
        <v>#NAME?</v>
      </c>
      <c r="E8" s="43">
        <f>$F$29</f>
        <v>540000</v>
      </c>
      <c r="F8" s="38">
        <f>$H$29</f>
        <v>99.1</v>
      </c>
      <c r="G8" s="38" t="e">
        <f ca="1">_xll.BDP(C8,"PX_MID")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$K$29</f>
        <v>#NAME?</v>
      </c>
      <c r="L8" s="43">
        <f t="shared" si="3"/>
        <v>535140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_xll.BDP(C8,"YLD_CNV_MID")/100</f>
        <v>#NAME?</v>
      </c>
      <c r="R8" s="82" t="e">
        <f ca="1">_xll.BDP($C8 &amp; " Corp", "DUR_MID")</f>
        <v>#NAME?</v>
      </c>
      <c r="S8" s="732" t="e">
        <f ca="1">E8*_xll.BDP(C8,"PX_GROSS_MID")/100</f>
        <v>#NAME?</v>
      </c>
      <c r="T8" s="82" t="e">
        <f ca="1">_xll.BDP($C8,"CHG_PCT_YTD")</f>
        <v>#NAME?</v>
      </c>
      <c r="U8" s="82" t="e">
        <f ca="1">_xll.BDP($C8,"CHG_PCT_1YR")</f>
        <v>#NAME?</v>
      </c>
      <c r="V8" s="82" t="e">
        <f ca="1">_xll.BDP($C8,"CHG_PCT_6M")</f>
        <v>#NAME?</v>
      </c>
      <c r="W8" s="82" t="e">
        <f ca="1">_xll.BDP($C8,"CHG_PCT_3M")</f>
        <v>#NAME?</v>
      </c>
      <c r="X8" s="82" t="e">
        <f ca="1">_xll.BDP($C8,"CHG_PCT_1M")</f>
        <v>#NAME?</v>
      </c>
      <c r="Y8" s="82" t="e">
        <f ca="1">_xll.BDP($C8,"CHG_PCT_5D")</f>
        <v>#NAME?</v>
      </c>
      <c r="Z8" s="82"/>
    </row>
    <row r="9" spans="1:28" s="103" customFormat="1" x14ac:dyDescent="0.2">
      <c r="A9" s="103" t="s">
        <v>770</v>
      </c>
      <c r="B9" s="46" t="e">
        <f ca="1">_xll.BDP(C9,"SECURITY_NAME")</f>
        <v>#NAME?</v>
      </c>
      <c r="C9" s="103" t="s">
        <v>378</v>
      </c>
      <c r="D9" s="44" t="e">
        <f t="shared" ca="1" si="0"/>
        <v>#NAME?</v>
      </c>
      <c r="E9" s="43">
        <f>$F$26</f>
        <v>500000</v>
      </c>
      <c r="F9" s="38">
        <f>$H$26</f>
        <v>94.25</v>
      </c>
      <c r="G9" s="38" t="e">
        <f ca="1">_xll.BDP(C9,"PX_MID")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$K$26</f>
        <v>#NAME?</v>
      </c>
      <c r="L9" s="43">
        <f t="shared" si="3"/>
        <v>471250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_xll.BDP(C9,"YLD_CNV_MID")/100</f>
        <v>#NAME?</v>
      </c>
      <c r="R9" s="82" t="e">
        <f ca="1">_xll.BDP($C9 &amp; " Corp", "DUR_MID")</f>
        <v>#NAME?</v>
      </c>
      <c r="S9" s="732" t="e">
        <f ca="1">E9*_xll.BDP(C9,"PX_GROSS_MID")/100</f>
        <v>#NAME?</v>
      </c>
      <c r="T9" s="82" t="e">
        <f ca="1">_xll.BDP($C9,"CHG_PCT_YTD")</f>
        <v>#NAME?</v>
      </c>
      <c r="U9" s="82" t="e">
        <f ca="1">_xll.BDP($C9,"CHG_PCT_1YR")</f>
        <v>#NAME?</v>
      </c>
      <c r="V9" s="82" t="e">
        <f ca="1">_xll.BDP($C9,"CHG_PCT_6M")</f>
        <v>#NAME?</v>
      </c>
      <c r="W9" s="82" t="e">
        <f ca="1">_xll.BDP($C9,"CHG_PCT_3M")</f>
        <v>#NAME?</v>
      </c>
      <c r="X9" s="82" t="e">
        <f ca="1">_xll.BDP($C9,"CHG_PCT_1M")</f>
        <v>#NAME?</v>
      </c>
      <c r="Y9" s="82" t="e">
        <f ca="1">_xll.BDP($C9,"CHG_PCT_5D")</f>
        <v>#NAME?</v>
      </c>
      <c r="Z9" s="82"/>
    </row>
    <row r="10" spans="1:28" s="103" customFormat="1" x14ac:dyDescent="0.2">
      <c r="A10" s="103" t="s">
        <v>770</v>
      </c>
      <c r="B10" s="46" t="e">
        <f ca="1">_xll.BDP(C10,"SECURITY_NAME")</f>
        <v>#NAME?</v>
      </c>
      <c r="C10" s="103" t="s">
        <v>764</v>
      </c>
      <c r="D10" s="44" t="e">
        <f t="shared" ca="1" si="0"/>
        <v>#NAME?</v>
      </c>
      <c r="E10" s="43">
        <f>$F$39</f>
        <v>550000</v>
      </c>
      <c r="F10" s="38">
        <f>$H$39</f>
        <v>127.97727272727273</v>
      </c>
      <c r="G10" s="38" t="e">
        <f ca="1">_xll.BDP(C10,"PX_MID")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$K$39</f>
        <v>#NAME?</v>
      </c>
      <c r="L10" s="43">
        <f t="shared" si="3"/>
        <v>703875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_xll.BDP(C10,"YLD_CNV_MID")/100</f>
        <v>#NAME?</v>
      </c>
      <c r="R10" s="82" t="e">
        <f ca="1">_xll.BDP($C10 &amp; " Corp", "DUR_MID")</f>
        <v>#NAME?</v>
      </c>
      <c r="S10" s="732" t="e">
        <f ca="1">E10*_xll.BDP(C10,"PX_GROSS_MID")/100</f>
        <v>#NAME?</v>
      </c>
      <c r="T10" s="82" t="e">
        <f ca="1">_xll.BDP($C10,"CHG_PCT_YTD")</f>
        <v>#NAME?</v>
      </c>
      <c r="U10" s="82" t="e">
        <f ca="1">_xll.BDP($C10,"CHG_PCT_1YR")</f>
        <v>#NAME?</v>
      </c>
      <c r="V10" s="82" t="e">
        <f ca="1">_xll.BDP($C10,"CHG_PCT_6M")</f>
        <v>#NAME?</v>
      </c>
      <c r="W10" s="82" t="e">
        <f ca="1">_xll.BDP($C10,"CHG_PCT_3M")</f>
        <v>#NAME?</v>
      </c>
      <c r="X10" s="82" t="e">
        <f ca="1">_xll.BDP($C10,"CHG_PCT_1M")</f>
        <v>#NAME?</v>
      </c>
      <c r="Y10" s="82" t="e">
        <f ca="1">_xll.BDP($C10,"CHG_PCT_5D")</f>
        <v>#NAME?</v>
      </c>
      <c r="Z10" s="82"/>
    </row>
    <row r="11" spans="1:28" x14ac:dyDescent="0.2">
      <c r="B11" s="68" t="s">
        <v>106</v>
      </c>
      <c r="C11" s="68" t="s">
        <v>106</v>
      </c>
      <c r="D11" s="101" t="e">
        <f t="shared" ref="D11" ca="1" si="7">N11/$N$12</f>
        <v>#NAME?</v>
      </c>
      <c r="E11" s="101"/>
      <c r="F11" s="101"/>
      <c r="G11" s="66"/>
      <c r="H11" s="177"/>
      <c r="I11" s="179"/>
      <c r="J11" s="179"/>
      <c r="K11" s="178"/>
      <c r="L11" s="470"/>
      <c r="M11" s="64"/>
      <c r="N11" s="64">
        <v>450000</v>
      </c>
      <c r="O11" s="62"/>
      <c r="P11" s="62"/>
      <c r="Q11" s="62"/>
      <c r="R11" s="177"/>
      <c r="S11" s="452">
        <f>N11</f>
        <v>450000</v>
      </c>
      <c r="T11" s="177"/>
      <c r="U11" s="177"/>
      <c r="V11" s="177"/>
      <c r="W11" s="177"/>
      <c r="X11" s="177"/>
      <c r="Y11" s="177"/>
      <c r="Z11" s="177"/>
      <c r="AA11" s="177"/>
    </row>
    <row r="12" spans="1:28" ht="13.5" customHeight="1" thickBot="1" x14ac:dyDescent="0.25">
      <c r="B12" s="175"/>
      <c r="C12" s="175"/>
      <c r="D12" s="435" t="e">
        <f ca="1">SUM(D4:D11)</f>
        <v>#NAME?</v>
      </c>
      <c r="E12" s="176"/>
      <c r="F12" s="176"/>
      <c r="G12" s="175"/>
      <c r="H12" s="55"/>
      <c r="I12" s="687" t="e">
        <f ca="1">SUMPRODUCT($D$4:$D$10,I4:I10)</f>
        <v>#NAME?</v>
      </c>
      <c r="J12" s="687" t="e">
        <f ca="1">SUMPRODUCT($D$4:$D$10,J4:J10)</f>
        <v>#NAME?</v>
      </c>
      <c r="K12" s="137" t="e">
        <f ca="1">SUM(K4:K11)</f>
        <v>#NAME?</v>
      </c>
      <c r="L12" s="184">
        <v>3435288.41</v>
      </c>
      <c r="M12" s="137" t="e">
        <f ca="1">SUM(M4:M11)</f>
        <v>#NAME?</v>
      </c>
      <c r="N12" s="57" t="e">
        <f ca="1">SUM(N4:N11)</f>
        <v>#NAME?</v>
      </c>
      <c r="O12" s="138" t="e">
        <f ca="1">SUM(O4:O10)</f>
        <v>#NAME?</v>
      </c>
      <c r="P12" s="138" t="e">
        <f ca="1">SUM(P4:P10)</f>
        <v>#NAME?</v>
      </c>
      <c r="Q12" s="676" t="e">
        <f ca="1">SUMPRODUCT(D4:D10,Q4:Q10)</f>
        <v>#NAME?</v>
      </c>
      <c r="R12" s="516" t="e">
        <f ca="1">SUMPRODUCT(D4:D10,R4:R10)</f>
        <v>#NAME?</v>
      </c>
      <c r="S12" s="453" t="e">
        <f ca="1">SUM(S4:S11)</f>
        <v>#NAME?</v>
      </c>
      <c r="T12" s="55"/>
      <c r="U12" s="55"/>
      <c r="V12" s="55"/>
      <c r="W12" s="55"/>
      <c r="X12" s="55"/>
      <c r="Y12" s="55"/>
      <c r="Z12" s="55"/>
      <c r="AA12" s="55"/>
    </row>
    <row r="13" spans="1:28" ht="13.5" customHeight="1" x14ac:dyDescent="0.2">
      <c r="B13" s="35"/>
      <c r="C13" s="35"/>
      <c r="D13" s="54"/>
      <c r="E13" s="46"/>
      <c r="F13" s="46"/>
      <c r="G13" s="35"/>
      <c r="H13" s="35"/>
      <c r="I13" s="40"/>
      <c r="J13" s="40"/>
      <c r="K13" s="42"/>
      <c r="L13" s="43" t="s">
        <v>774</v>
      </c>
      <c r="M13" s="454"/>
      <c r="N13" s="132"/>
      <c r="R13" s="698" t="s">
        <v>754</v>
      </c>
      <c r="S13" s="456"/>
    </row>
    <row r="14" spans="1:28" x14ac:dyDescent="0.2">
      <c r="B14" s="32" t="s">
        <v>276</v>
      </c>
      <c r="E14" s="155"/>
      <c r="K14" s="30"/>
      <c r="L14" s="148"/>
      <c r="M14" s="35"/>
      <c r="N14" s="34"/>
      <c r="O14" s="34"/>
      <c r="P14" s="148"/>
      <c r="Q14" s="49"/>
      <c r="R14" s="790"/>
      <c r="S14" s="562"/>
    </row>
    <row r="15" spans="1:28" x14ac:dyDescent="0.2">
      <c r="B15" s="46">
        <v>2016</v>
      </c>
      <c r="C15" s="118"/>
      <c r="D15" s="73"/>
      <c r="E15" s="43"/>
      <c r="F15" s="43"/>
      <c r="G15" s="43"/>
      <c r="H15" s="47"/>
      <c r="I15" s="43"/>
      <c r="J15" s="45"/>
      <c r="K15" s="38"/>
      <c r="L15" s="38"/>
      <c r="M15" s="44"/>
      <c r="N15" s="130"/>
      <c r="O15" s="106"/>
      <c r="P15" s="106"/>
      <c r="Q15" s="14"/>
      <c r="R15" s="75"/>
      <c r="S15" s="75"/>
    </row>
    <row r="16" spans="1:28" ht="51" x14ac:dyDescent="0.2">
      <c r="B16" s="51" t="s">
        <v>105</v>
      </c>
      <c r="C16" s="50" t="s">
        <v>104</v>
      </c>
      <c r="D16" s="50" t="s">
        <v>174</v>
      </c>
      <c r="E16" s="50" t="s">
        <v>173</v>
      </c>
      <c r="F16" s="50" t="s">
        <v>175</v>
      </c>
      <c r="G16" s="50" t="s">
        <v>172</v>
      </c>
      <c r="H16" s="50" t="s">
        <v>103</v>
      </c>
      <c r="I16" s="50" t="s">
        <v>102</v>
      </c>
      <c r="J16" s="50" t="s">
        <v>101</v>
      </c>
      <c r="K16" s="50" t="s">
        <v>100</v>
      </c>
      <c r="L16" s="50" t="s">
        <v>99</v>
      </c>
      <c r="M16" s="50" t="s">
        <v>98</v>
      </c>
      <c r="N16" s="50" t="s">
        <v>280</v>
      </c>
      <c r="O16" s="50" t="s">
        <v>97</v>
      </c>
      <c r="P16" s="50" t="s">
        <v>279</v>
      </c>
      <c r="Q16" s="50" t="s">
        <v>277</v>
      </c>
      <c r="R16" s="50" t="s">
        <v>278</v>
      </c>
      <c r="S16" s="50"/>
    </row>
    <row r="17" spans="1:27" s="9" customFormat="1" x14ac:dyDescent="0.2">
      <c r="B17" s="103" t="e">
        <f ca="1">_xll.BDP(C17,"SECURITY_NAME")</f>
        <v>#NAME?</v>
      </c>
      <c r="C17" s="118" t="s">
        <v>657</v>
      </c>
      <c r="D17" s="73" t="s">
        <v>51</v>
      </c>
      <c r="E17" s="43" t="e">
        <f ca="1">F17*_xll.BDP(C17,"PX_LAST")/100</f>
        <v>#NAME?</v>
      </c>
      <c r="F17" s="43">
        <v>200000</v>
      </c>
      <c r="G17" s="43">
        <v>200000</v>
      </c>
      <c r="H17" s="47">
        <f>G17/F17</f>
        <v>1</v>
      </c>
      <c r="I17" s="43">
        <f>G17*K17/100</f>
        <v>203810</v>
      </c>
      <c r="J17" s="45">
        <f>G17*L17/100</f>
        <v>206250</v>
      </c>
      <c r="K17" s="38">
        <v>101.905</v>
      </c>
      <c r="L17" s="38">
        <v>103.125</v>
      </c>
      <c r="M17" s="119">
        <f>L17/K17-1</f>
        <v>1.197193464501245E-2</v>
      </c>
      <c r="N17" s="120">
        <f>(J17-I17)</f>
        <v>2440</v>
      </c>
      <c r="O17" s="106" t="e">
        <f ca="1">_xll.BDP($C17,"CRNCY")</f>
        <v>#NAME?</v>
      </c>
      <c r="P17" s="43">
        <f>N17</f>
        <v>2440</v>
      </c>
      <c r="Q17" s="14">
        <v>42725</v>
      </c>
      <c r="R17" s="22" t="e">
        <f ca="1">_xll.BDH("RUB curncy","PX_LAST",$Q17)</f>
        <v>#NAME?</v>
      </c>
    </row>
    <row r="18" spans="1:27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130">
        <f>SUM(P17)</f>
        <v>2440</v>
      </c>
    </row>
    <row r="19" spans="1:27" x14ac:dyDescent="0.2">
      <c r="H19" s="105"/>
      <c r="I19" s="70"/>
      <c r="J19" s="151"/>
      <c r="K19" s="35"/>
      <c r="L19" s="148"/>
      <c r="M19" s="34"/>
      <c r="N19" s="30"/>
      <c r="P19" s="30"/>
    </row>
    <row r="20" spans="1:27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1:27" ht="13.5" thickBot="1" x14ac:dyDescent="0.25">
      <c r="C21" s="30"/>
      <c r="D21" s="30"/>
      <c r="G21" s="30"/>
      <c r="H21" s="151"/>
      <c r="I21" s="30"/>
      <c r="J21" s="151"/>
      <c r="K21" s="30"/>
    </row>
    <row r="22" spans="1:27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1:27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1:27" s="273" customFormat="1" ht="13.5" customHeight="1" x14ac:dyDescent="0.2">
      <c r="A25" s="49"/>
      <c r="B25" s="287" t="s">
        <v>770</v>
      </c>
      <c r="C25" s="286" t="s">
        <v>439</v>
      </c>
      <c r="D25" s="290" t="e">
        <f ca="1">_xll.BDP(C25,"SECURITY_NAME")</f>
        <v>#NAME?</v>
      </c>
      <c r="E25" s="284" t="s">
        <v>50</v>
      </c>
      <c r="F25" s="285">
        <v>500000</v>
      </c>
      <c r="G25" s="284" t="e">
        <f ca="1">_xll.BDP(C25,"CRNCY")</f>
        <v>#NAME?</v>
      </c>
      <c r="H25" s="281">
        <v>94.25</v>
      </c>
      <c r="I25" s="282">
        <f>F25*H25/100</f>
        <v>471250</v>
      </c>
      <c r="J25" s="283">
        <f>I25</f>
        <v>471250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41572</v>
      </c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s="273" customFormat="1" x14ac:dyDescent="0.2">
      <c r="A26" s="49"/>
      <c r="B26" s="279"/>
      <c r="C26" s="279"/>
      <c r="D26" s="290"/>
      <c r="E26" s="278"/>
      <c r="F26" s="277">
        <f>SUM(F25:F25)</f>
        <v>500000</v>
      </c>
      <c r="G26" s="278"/>
      <c r="H26" s="276">
        <f>J26/F26*100</f>
        <v>94.25</v>
      </c>
      <c r="I26" s="277">
        <f>SUM(I25:I25)</f>
        <v>471250</v>
      </c>
      <c r="J26" s="277">
        <f>SUM(J25:J25)</f>
        <v>471250</v>
      </c>
      <c r="K26" s="277" t="e">
        <f ca="1">SUM(K25:K25)</f>
        <v>#NAME?</v>
      </c>
      <c r="L26" s="276"/>
      <c r="M26" s="275"/>
      <c r="N26" s="274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x14ac:dyDescent="0.2">
      <c r="A27" s="49"/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s="273" customFormat="1" ht="13.5" customHeight="1" x14ac:dyDescent="0.2">
      <c r="A28" s="49"/>
      <c r="B28" s="287" t="s">
        <v>770</v>
      </c>
      <c r="C28" s="286" t="s">
        <v>763</v>
      </c>
      <c r="D28" s="290" t="e">
        <f ca="1">_xll.BDP(C28,"SECURITY_NAME")</f>
        <v>#NAME?</v>
      </c>
      <c r="E28" s="284" t="s">
        <v>50</v>
      </c>
      <c r="F28" s="285">
        <v>540000</v>
      </c>
      <c r="G28" s="284" t="e">
        <f ca="1">_xll.BDP(C28,"CRNCY")</f>
        <v>#NAME?</v>
      </c>
      <c r="H28" s="281">
        <v>99.1</v>
      </c>
      <c r="I28" s="282">
        <f>F28*H28/100</f>
        <v>535140</v>
      </c>
      <c r="J28" s="283">
        <f>I28</f>
        <v>535140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41740</v>
      </c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s="273" customFormat="1" x14ac:dyDescent="0.2">
      <c r="A29" s="49"/>
      <c r="B29" s="279"/>
      <c r="C29" s="279"/>
      <c r="D29" s="278"/>
      <c r="E29" s="278"/>
      <c r="F29" s="277">
        <f>SUM(F28:F28)</f>
        <v>540000</v>
      </c>
      <c r="G29" s="278"/>
      <c r="H29" s="276">
        <f>J29/F29*100</f>
        <v>99.1</v>
      </c>
      <c r="I29" s="277">
        <f>SUM(I28:I28)</f>
        <v>535140</v>
      </c>
      <c r="J29" s="277">
        <f>SUM(J28:J28)</f>
        <v>535140</v>
      </c>
      <c r="K29" s="277" t="e">
        <f ca="1">SUM(K28:K28)</f>
        <v>#NAME?</v>
      </c>
      <c r="L29" s="276"/>
      <c r="M29" s="275"/>
      <c r="N29" s="274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x14ac:dyDescent="0.2">
      <c r="A30" s="49"/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s="273" customFormat="1" ht="13.5" customHeight="1" x14ac:dyDescent="0.2">
      <c r="A31" s="49"/>
      <c r="B31" s="287" t="s">
        <v>770</v>
      </c>
      <c r="C31" s="286" t="s">
        <v>437</v>
      </c>
      <c r="D31" s="290" t="e">
        <f ca="1">_xll.BDP(C31,"SECURITY_NAME")</f>
        <v>#NAME?</v>
      </c>
      <c r="E31" s="284" t="s">
        <v>50</v>
      </c>
      <c r="F31" s="285">
        <v>300000</v>
      </c>
      <c r="G31" s="284" t="e">
        <f ca="1">_xll.BDP(C31,"CRNCY")</f>
        <v>#NAME?</v>
      </c>
      <c r="H31" s="281">
        <v>106.75</v>
      </c>
      <c r="I31" s="282">
        <f>F31*H31/100</f>
        <v>320250</v>
      </c>
      <c r="J31" s="283">
        <f>I31</f>
        <v>320250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41572</v>
      </c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</row>
    <row r="32" spans="1:27" s="273" customFormat="1" x14ac:dyDescent="0.2">
      <c r="A32" s="49"/>
      <c r="B32" s="279"/>
      <c r="C32" s="279"/>
      <c r="D32" s="278"/>
      <c r="E32" s="278"/>
      <c r="F32" s="277">
        <f>SUM(F31:F31)</f>
        <v>300000</v>
      </c>
      <c r="G32" s="278"/>
      <c r="H32" s="276">
        <f>J32/F32*100</f>
        <v>106.74999999999999</v>
      </c>
      <c r="I32" s="277">
        <f>SUM(I31:I31)</f>
        <v>320250</v>
      </c>
      <c r="J32" s="277">
        <f>SUM(J31:J31)</f>
        <v>320250</v>
      </c>
      <c r="K32" s="277" t="e">
        <f ca="1">SUM(K31:K31)</f>
        <v>#NAME?</v>
      </c>
      <c r="L32" s="276"/>
      <c r="M32" s="275"/>
      <c r="N32" s="274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</row>
    <row r="33" spans="1:14" x14ac:dyDescent="0.2">
      <c r="A33" s="49"/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1:14" x14ac:dyDescent="0.2">
      <c r="A34" s="49"/>
      <c r="B34" s="287" t="s">
        <v>770</v>
      </c>
      <c r="C34" s="286" t="s">
        <v>697</v>
      </c>
      <c r="D34" s="290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90</v>
      </c>
      <c r="I34" s="282">
        <f>F34*H34/100</f>
        <v>270000</v>
      </c>
      <c r="J34" s="283">
        <f>I34</f>
        <v>270000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42544</v>
      </c>
    </row>
    <row r="35" spans="1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J35/F35*100</f>
        <v>90</v>
      </c>
      <c r="I35" s="277">
        <f>SUM(I34:I34)</f>
        <v>270000</v>
      </c>
      <c r="J35" s="277">
        <f>SUM(J34:J34)</f>
        <v>270000</v>
      </c>
      <c r="K35" s="277" t="e">
        <f ca="1">SUM(K34:K34)</f>
        <v>#NAME?</v>
      </c>
      <c r="L35" s="276"/>
      <c r="M35" s="275"/>
      <c r="N35" s="274"/>
    </row>
    <row r="36" spans="1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1:14" x14ac:dyDescent="0.2">
      <c r="B37" s="287" t="s">
        <v>770</v>
      </c>
      <c r="C37" s="286" t="s">
        <v>764</v>
      </c>
      <c r="D37" s="290" t="e">
        <f ca="1">_xll.BDP(C37,"SECURITY_NAME")</f>
        <v>#NAME?</v>
      </c>
      <c r="E37" s="284" t="s">
        <v>50</v>
      </c>
      <c r="F37" s="285">
        <v>200000</v>
      </c>
      <c r="G37" s="284" t="e">
        <f ca="1">_xll.BDP(C37,"CRNCY")</f>
        <v>#NAME?</v>
      </c>
      <c r="H37" s="281">
        <v>103</v>
      </c>
      <c r="I37" s="282">
        <f>F37*H37/100</f>
        <v>206000</v>
      </c>
      <c r="J37" s="283">
        <f>I37</f>
        <v>206000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42030</v>
      </c>
    </row>
    <row r="38" spans="1:14" x14ac:dyDescent="0.2">
      <c r="B38" s="287" t="s">
        <v>770</v>
      </c>
      <c r="C38" s="286" t="s">
        <v>764</v>
      </c>
      <c r="D38" s="290" t="e">
        <f ca="1">_xll.BDP(C38,"SECURITY_NAME")</f>
        <v>#NAME?</v>
      </c>
      <c r="E38" s="284" t="s">
        <v>50</v>
      </c>
      <c r="F38" s="285">
        <v>350000</v>
      </c>
      <c r="G38" s="284" t="e">
        <f ca="1">_xll.BDP(C38,"CRNCY")</f>
        <v>#NAME?</v>
      </c>
      <c r="H38" s="281">
        <v>142.25</v>
      </c>
      <c r="I38" s="282">
        <f>F38*H38/100</f>
        <v>497875</v>
      </c>
      <c r="J38" s="283">
        <f>I38</f>
        <v>497875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41261</v>
      </c>
    </row>
    <row r="39" spans="1:14" x14ac:dyDescent="0.2">
      <c r="B39" s="279"/>
      <c r="C39" s="286"/>
      <c r="D39" s="278"/>
      <c r="E39" s="278"/>
      <c r="F39" s="277">
        <f>SUM(F37:F38)</f>
        <v>550000</v>
      </c>
      <c r="G39" s="278"/>
      <c r="H39" s="276">
        <f>J39/F39*100</f>
        <v>127.97727272727273</v>
      </c>
      <c r="I39" s="277">
        <f>SUM(I37:I38)</f>
        <v>703875</v>
      </c>
      <c r="J39" s="277">
        <f>SUM(J37:J38)</f>
        <v>703875</v>
      </c>
      <c r="K39" s="277" t="e">
        <f ca="1">SUM(K37:K38)</f>
        <v>#NAME?</v>
      </c>
      <c r="L39" s="276"/>
      <c r="M39" s="275"/>
      <c r="N39" s="274"/>
    </row>
    <row r="40" spans="1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1:14" x14ac:dyDescent="0.2">
      <c r="B41" s="287" t="s">
        <v>770</v>
      </c>
      <c r="C41" s="286" t="s">
        <v>750</v>
      </c>
      <c r="D41" s="290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98.405000000000001</v>
      </c>
      <c r="I41" s="282">
        <f>F41*H41/100</f>
        <v>196810</v>
      </c>
      <c r="J41" s="283">
        <f>I41</f>
        <v>196810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42690</v>
      </c>
    </row>
    <row r="42" spans="1:14" x14ac:dyDescent="0.2">
      <c r="B42" s="279"/>
      <c r="C42" s="279"/>
      <c r="D42" s="290"/>
      <c r="E42" s="278"/>
      <c r="F42" s="277">
        <f>SUM(F41:F41)</f>
        <v>200000</v>
      </c>
      <c r="G42" s="278"/>
      <c r="H42" s="276">
        <f>J42/F42*100</f>
        <v>98.405000000000001</v>
      </c>
      <c r="I42" s="277">
        <f>SUM(I41:I41)</f>
        <v>196810</v>
      </c>
      <c r="J42" s="277">
        <f>SUM(J41:J41)</f>
        <v>196810</v>
      </c>
      <c r="K42" s="277" t="e">
        <f ca="1">SUM(K41:K41)</f>
        <v>#NAME?</v>
      </c>
      <c r="L42" s="276"/>
      <c r="M42" s="275"/>
      <c r="N42" s="274"/>
    </row>
    <row r="43" spans="1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1:14" x14ac:dyDescent="0.2">
      <c r="B44" s="287" t="s">
        <v>770</v>
      </c>
      <c r="C44" s="286" t="s">
        <v>844</v>
      </c>
      <c r="D44" s="290" t="e">
        <f ca="1">_xll.BDP(C44,"SECURITY_NAME")</f>
        <v>#NAME?</v>
      </c>
      <c r="E44" s="284" t="s">
        <v>50</v>
      </c>
      <c r="F44" s="285">
        <v>200000</v>
      </c>
      <c r="G44" s="284" t="e">
        <f ca="1">_xll.BDP(C44,"CRNCY")</f>
        <v>#NAME?</v>
      </c>
      <c r="H44" s="281">
        <v>101.5</v>
      </c>
      <c r="I44" s="282">
        <f>F44*H44/100</f>
        <v>203000</v>
      </c>
      <c r="J44" s="283">
        <f>I44</f>
        <v>203000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42690</v>
      </c>
    </row>
    <row r="45" spans="1:14" x14ac:dyDescent="0.2">
      <c r="B45" s="279"/>
      <c r="C45" s="279"/>
      <c r="D45" s="290"/>
      <c r="E45" s="278"/>
      <c r="F45" s="277">
        <f>SUM(F44:F44)</f>
        <v>200000</v>
      </c>
      <c r="G45" s="278"/>
      <c r="H45" s="276">
        <f>J45/F45*100</f>
        <v>101.49999999999999</v>
      </c>
      <c r="I45" s="277">
        <f>SUM(I44:I44)</f>
        <v>203000</v>
      </c>
      <c r="J45" s="277">
        <f>SUM(J44:J44)</f>
        <v>203000</v>
      </c>
      <c r="K45" s="277" t="e">
        <f ca="1">SUM(K44:K44)</f>
        <v>#NAME?</v>
      </c>
      <c r="L45" s="276"/>
      <c r="M45" s="275"/>
      <c r="N45" s="274"/>
    </row>
    <row r="46" spans="1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1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100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D56" s="87"/>
      <c r="E56" s="87"/>
      <c r="F56" s="79"/>
      <c r="G56" s="87"/>
      <c r="H56" s="80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F64" s="79"/>
      <c r="H64" s="80"/>
      <c r="I64" s="79"/>
      <c r="J64" s="79"/>
      <c r="K64" s="79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D67" s="87"/>
      <c r="E67" s="87"/>
      <c r="F67" s="79"/>
      <c r="G67" s="87"/>
      <c r="H67" s="80"/>
      <c r="I67" s="79"/>
      <c r="J67" s="79"/>
      <c r="K67" s="79"/>
      <c r="L67" s="88"/>
      <c r="M67" s="158"/>
      <c r="N67" s="157"/>
    </row>
    <row r="68" spans="2:14" x14ac:dyDescent="0.2">
      <c r="B68" s="160"/>
      <c r="D68" s="87"/>
      <c r="E68" s="87"/>
      <c r="F68" s="79"/>
      <c r="G68" s="87"/>
      <c r="H68" s="80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D71" s="87"/>
      <c r="E71" s="87"/>
      <c r="F71" s="79"/>
      <c r="G71" s="87"/>
      <c r="H71" s="80"/>
      <c r="I71" s="79"/>
      <c r="J71" s="79"/>
      <c r="K71" s="79"/>
      <c r="L71" s="88"/>
      <c r="M71" s="158"/>
      <c r="N71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F79" s="79"/>
      <c r="H79" s="80"/>
      <c r="I79" s="79"/>
      <c r="J79" s="79"/>
      <c r="K79" s="79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G83" s="79"/>
      <c r="H83" s="80"/>
      <c r="I83" s="79"/>
      <c r="J83" s="79"/>
      <c r="K83" s="79"/>
    </row>
    <row r="84" spans="2:14" x14ac:dyDescent="0.2">
      <c r="G84" s="79"/>
      <c r="H84" s="80"/>
      <c r="I84" s="79"/>
      <c r="J84" s="79"/>
      <c r="K84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79"/>
      <c r="I88" s="79"/>
      <c r="J88" s="79"/>
      <c r="K88" s="79"/>
      <c r="L88" s="88"/>
      <c r="M88" s="158"/>
      <c r="N88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80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7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80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80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0"/>
      <c r="C126" s="159"/>
      <c r="D126" s="87"/>
      <c r="E126" s="87"/>
      <c r="F126" s="79"/>
      <c r="G126" s="87"/>
      <c r="H126" s="80"/>
      <c r="I126" s="79"/>
      <c r="J126" s="79"/>
      <c r="K126" s="79"/>
      <c r="L126" s="88"/>
      <c r="M126" s="158"/>
      <c r="N126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0"/>
      <c r="C129" s="159"/>
      <c r="D129" s="87"/>
      <c r="E129" s="87"/>
      <c r="F129" s="79"/>
      <c r="G129" s="87"/>
      <c r="H129" s="80"/>
      <c r="I129" s="79"/>
      <c r="J129" s="79"/>
      <c r="K129" s="79"/>
      <c r="L129" s="88"/>
      <c r="M129" s="158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80"/>
      <c r="I131" s="79"/>
      <c r="J131" s="79"/>
      <c r="K131" s="79"/>
      <c r="L131" s="88"/>
      <c r="M131" s="158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F144" s="79"/>
      <c r="H144" s="88"/>
      <c r="I144" s="79"/>
      <c r="J144" s="79"/>
      <c r="K144" s="79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73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80"/>
      <c r="I149" s="79"/>
      <c r="J149" s="79"/>
      <c r="K149" s="79"/>
      <c r="L149" s="88"/>
      <c r="M149" s="173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8"/>
      <c r="I151" s="79"/>
      <c r="J151" s="79"/>
      <c r="K151" s="79"/>
      <c r="L151" s="88"/>
      <c r="M151" s="173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168"/>
      <c r="J167" s="169"/>
      <c r="K167" s="168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0"/>
      <c r="C179" s="159"/>
      <c r="D179" s="87"/>
      <c r="E179" s="87"/>
      <c r="F179" s="79"/>
      <c r="G179" s="87"/>
      <c r="H179" s="80"/>
      <c r="I179" s="79"/>
      <c r="J179" s="79"/>
      <c r="K179" s="79"/>
      <c r="L179" s="88"/>
      <c r="M179" s="173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73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168"/>
      <c r="J183" s="169"/>
      <c r="K183" s="168"/>
      <c r="L183" s="88"/>
      <c r="M183" s="158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168"/>
      <c r="J201" s="169"/>
      <c r="K201" s="168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91"/>
      <c r="I202" s="79"/>
      <c r="J202" s="79"/>
      <c r="K202" s="79"/>
      <c r="L202" s="88"/>
      <c r="M202" s="158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172"/>
      <c r="I207" s="163"/>
      <c r="J207" s="164"/>
      <c r="K207" s="163"/>
      <c r="L207" s="162"/>
      <c r="M207" s="161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3"/>
      <c r="I208" s="79"/>
      <c r="J208" s="79"/>
      <c r="K208" s="79"/>
      <c r="L208" s="88"/>
      <c r="M208" s="158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92"/>
      <c r="I209" s="79"/>
      <c r="J209" s="79"/>
      <c r="K209" s="79"/>
      <c r="L209" s="88"/>
      <c r="M209" s="158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171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2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2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0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0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5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168"/>
      <c r="J216" s="169"/>
      <c r="K216" s="168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96"/>
      <c r="J238" s="96"/>
      <c r="K238" s="96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96"/>
      <c r="J239" s="96"/>
      <c r="K239" s="96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80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168"/>
      <c r="J279" s="169"/>
      <c r="K279" s="168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58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56"/>
      <c r="C299" s="156"/>
      <c r="D299" s="156"/>
      <c r="E299" s="102"/>
      <c r="F299" s="102"/>
      <c r="G299" s="156"/>
      <c r="H299" s="156"/>
      <c r="I299" s="156"/>
      <c r="J299" s="156"/>
      <c r="K299" s="156"/>
      <c r="L299" s="102"/>
      <c r="M299" s="156"/>
      <c r="N299" s="156"/>
    </row>
    <row r="300" spans="2:14" x14ac:dyDescent="0.2">
      <c r="H300" s="151"/>
    </row>
    <row r="301" spans="2:14" x14ac:dyDescent="0.2">
      <c r="H301" s="151"/>
    </row>
    <row r="303" spans="2:14" x14ac:dyDescent="0.2">
      <c r="H303" s="151"/>
    </row>
    <row r="304" spans="2:14" x14ac:dyDescent="0.2">
      <c r="H304" s="151"/>
    </row>
    <row r="305" spans="5:12" x14ac:dyDescent="0.2">
      <c r="L305" s="155"/>
    </row>
    <row r="306" spans="5:12" x14ac:dyDescent="0.2">
      <c r="L306" s="155"/>
    </row>
    <row r="307" spans="5:12" x14ac:dyDescent="0.2">
      <c r="L307" s="154"/>
    </row>
    <row r="309" spans="5:12" x14ac:dyDescent="0.2">
      <c r="L309" s="153"/>
    </row>
    <row r="313" spans="5:12" x14ac:dyDescent="0.2">
      <c r="E313" s="32"/>
      <c r="F313" s="32"/>
      <c r="G313" s="151"/>
      <c r="L313" s="32"/>
    </row>
    <row r="314" spans="5:12" x14ac:dyDescent="0.2">
      <c r="E314" s="32"/>
      <c r="F314" s="32"/>
      <c r="G314" s="152"/>
      <c r="L314" s="32"/>
    </row>
    <row r="317" spans="5:12" x14ac:dyDescent="0.2">
      <c r="E317" s="32"/>
      <c r="F317" s="32"/>
      <c r="G317" s="151"/>
      <c r="L317" s="32"/>
    </row>
  </sheetData>
  <sortState ref="A4:AA10">
    <sortCondition ref="R4:R10"/>
  </sortState>
  <conditionalFormatting sqref="E148:E149 E196:E197 E189 E179:E180 E151:E152 E192:E193 E200:E202 D15">
    <cfRule type="containsText" dxfId="10382" priority="564" operator="containsText" text="Buy">
      <formula>NOT(ISERROR(SEARCH("Buy",D15)))</formula>
    </cfRule>
    <cfRule type="containsText" dxfId="10381" priority="565" operator="containsText" text="Sell">
      <formula>NOT(ISERROR(SEARCH("Sell",D15)))</formula>
    </cfRule>
  </conditionalFormatting>
  <conditionalFormatting sqref="E221:E222 E211:E212 E216">
    <cfRule type="containsText" dxfId="10380" priority="562" operator="containsText" text="Buy">
      <formula>NOT(ISERROR(SEARCH("Buy",E211)))</formula>
    </cfRule>
    <cfRule type="containsText" dxfId="10379" priority="563" operator="containsText" text="Sell">
      <formula>NOT(ISERROR(SEARCH("Sell",E211)))</formula>
    </cfRule>
  </conditionalFormatting>
  <conditionalFormatting sqref="E237:E239 E296 E293 E288 E282 E279 E276 E273 E266 E262 E256 E246">
    <cfRule type="containsText" dxfId="10378" priority="560" operator="containsText" text="Buy">
      <formula>NOT(ISERROR(SEARCH("Buy",E237)))</formula>
    </cfRule>
    <cfRule type="containsText" dxfId="10377" priority="561" operator="containsText" text="Sell">
      <formula>NOT(ISERROR(SEARCH("Sell",E237)))</formula>
    </cfRule>
  </conditionalFormatting>
  <conditionalFormatting sqref="E236">
    <cfRule type="containsText" dxfId="10376" priority="558" operator="containsText" text="Buy">
      <formula>NOT(ISERROR(SEARCH("Buy",E236)))</formula>
    </cfRule>
    <cfRule type="containsText" dxfId="10375" priority="559" operator="containsText" text="Sell">
      <formula>NOT(ISERROR(SEARCH("Sell",E236)))</formula>
    </cfRule>
  </conditionalFormatting>
  <conditionalFormatting sqref="E235">
    <cfRule type="containsText" dxfId="10374" priority="556" operator="containsText" text="Buy">
      <formula>NOT(ISERROR(SEARCH("Buy",E235)))</formula>
    </cfRule>
    <cfRule type="containsText" dxfId="10373" priority="557" operator="containsText" text="Sell">
      <formula>NOT(ISERROR(SEARCH("Sell",E235)))</formula>
    </cfRule>
  </conditionalFormatting>
  <conditionalFormatting sqref="E234">
    <cfRule type="containsText" dxfId="10372" priority="554" operator="containsText" text="Buy">
      <formula>NOT(ISERROR(SEARCH("Buy",E234)))</formula>
    </cfRule>
    <cfRule type="containsText" dxfId="10371" priority="555" operator="containsText" text="Sell">
      <formula>NOT(ISERROR(SEARCH("Sell",E234)))</formula>
    </cfRule>
  </conditionalFormatting>
  <conditionalFormatting sqref="E147">
    <cfRule type="containsText" dxfId="10370" priority="552" operator="containsText" text="Buy">
      <formula>NOT(ISERROR(SEARCH("Buy",E147)))</formula>
    </cfRule>
    <cfRule type="containsText" dxfId="10369" priority="553" operator="containsText" text="Sell">
      <formula>NOT(ISERROR(SEARCH("Sell",E147)))</formula>
    </cfRule>
  </conditionalFormatting>
  <conditionalFormatting sqref="E146">
    <cfRule type="containsText" dxfId="10368" priority="550" operator="containsText" text="Buy">
      <formula>NOT(ISERROR(SEARCH("Buy",E146)))</formula>
    </cfRule>
    <cfRule type="containsText" dxfId="10367" priority="551" operator="containsText" text="Sell">
      <formula>NOT(ISERROR(SEARCH("Sell",E146)))</formula>
    </cfRule>
  </conditionalFormatting>
  <conditionalFormatting sqref="E195">
    <cfRule type="containsText" dxfId="10366" priority="548" operator="containsText" text="Buy">
      <formula>NOT(ISERROR(SEARCH("Buy",E195)))</formula>
    </cfRule>
    <cfRule type="containsText" dxfId="10365" priority="549" operator="containsText" text="Sell">
      <formula>NOT(ISERROR(SEARCH("Sell",E195)))</formula>
    </cfRule>
  </conditionalFormatting>
  <conditionalFormatting sqref="E194">
    <cfRule type="containsText" dxfId="10364" priority="546" operator="containsText" text="Buy">
      <formula>NOT(ISERROR(SEARCH("Buy",E194)))</formula>
    </cfRule>
    <cfRule type="containsText" dxfId="10363" priority="547" operator="containsText" text="Sell">
      <formula>NOT(ISERROR(SEARCH("Sell",E194)))</formula>
    </cfRule>
  </conditionalFormatting>
  <conditionalFormatting sqref="E181:E183">
    <cfRule type="containsText" dxfId="10362" priority="544" operator="containsText" text="Buy">
      <formula>NOT(ISERROR(SEARCH("Buy",E181)))</formula>
    </cfRule>
    <cfRule type="containsText" dxfId="10361" priority="545" operator="containsText" text="Sell">
      <formula>NOT(ISERROR(SEARCH("Sell",E181)))</formula>
    </cfRule>
  </conditionalFormatting>
  <conditionalFormatting sqref="E178">
    <cfRule type="containsText" dxfId="10360" priority="542" operator="containsText" text="Buy">
      <formula>NOT(ISERROR(SEARCH("Buy",E178)))</formula>
    </cfRule>
    <cfRule type="containsText" dxfId="10359" priority="543" operator="containsText" text="Sell">
      <formula>NOT(ISERROR(SEARCH("Sell",E178)))</formula>
    </cfRule>
  </conditionalFormatting>
  <conditionalFormatting sqref="E177">
    <cfRule type="containsText" dxfId="10358" priority="540" operator="containsText" text="Buy">
      <formula>NOT(ISERROR(SEARCH("Buy",E177)))</formula>
    </cfRule>
    <cfRule type="containsText" dxfId="10357" priority="541" operator="containsText" text="Sell">
      <formula>NOT(ISERROR(SEARCH("Sell",E177)))</formula>
    </cfRule>
  </conditionalFormatting>
  <conditionalFormatting sqref="E176">
    <cfRule type="containsText" dxfId="10356" priority="538" operator="containsText" text="Buy">
      <formula>NOT(ISERROR(SEARCH("Buy",E176)))</formula>
    </cfRule>
    <cfRule type="containsText" dxfId="10355" priority="539" operator="containsText" text="Sell">
      <formula>NOT(ISERROR(SEARCH("Sell",E176)))</formula>
    </cfRule>
  </conditionalFormatting>
  <conditionalFormatting sqref="E175">
    <cfRule type="containsText" dxfId="10354" priority="536" operator="containsText" text="Buy">
      <formula>NOT(ISERROR(SEARCH("Buy",E175)))</formula>
    </cfRule>
    <cfRule type="containsText" dxfId="10353" priority="537" operator="containsText" text="Sell">
      <formula>NOT(ISERROR(SEARCH("Sell",E175)))</formula>
    </cfRule>
  </conditionalFormatting>
  <conditionalFormatting sqref="E174">
    <cfRule type="containsText" dxfId="10352" priority="534" operator="containsText" text="Buy">
      <formula>NOT(ISERROR(SEARCH("Buy",E174)))</formula>
    </cfRule>
    <cfRule type="containsText" dxfId="10351" priority="535" operator="containsText" text="Sell">
      <formula>NOT(ISERROR(SEARCH("Sell",E174)))</formula>
    </cfRule>
  </conditionalFormatting>
  <conditionalFormatting sqref="E173">
    <cfRule type="containsText" dxfId="10350" priority="532" operator="containsText" text="Buy">
      <formula>NOT(ISERROR(SEARCH("Buy",E173)))</formula>
    </cfRule>
    <cfRule type="containsText" dxfId="10349" priority="533" operator="containsText" text="Sell">
      <formula>NOT(ISERROR(SEARCH("Sell",E173)))</formula>
    </cfRule>
  </conditionalFormatting>
  <conditionalFormatting sqref="E172">
    <cfRule type="containsText" dxfId="10348" priority="530" operator="containsText" text="Buy">
      <formula>NOT(ISERROR(SEARCH("Buy",E172)))</formula>
    </cfRule>
    <cfRule type="containsText" dxfId="10347" priority="531" operator="containsText" text="Sell">
      <formula>NOT(ISERROR(SEARCH("Sell",E172)))</formula>
    </cfRule>
  </conditionalFormatting>
  <conditionalFormatting sqref="E165:E167">
    <cfRule type="containsText" dxfId="10346" priority="528" operator="containsText" text="Buy">
      <formula>NOT(ISERROR(SEARCH("Buy",E165)))</formula>
    </cfRule>
    <cfRule type="containsText" dxfId="10345" priority="529" operator="containsText" text="Sell">
      <formula>NOT(ISERROR(SEARCH("Sell",E165)))</formula>
    </cfRule>
  </conditionalFormatting>
  <conditionalFormatting sqref="E164">
    <cfRule type="containsText" dxfId="10344" priority="526" operator="containsText" text="Buy">
      <formula>NOT(ISERROR(SEARCH("Buy",E164)))</formula>
    </cfRule>
    <cfRule type="containsText" dxfId="10343" priority="527" operator="containsText" text="Sell">
      <formula>NOT(ISERROR(SEARCH("Sell",E164)))</formula>
    </cfRule>
  </conditionalFormatting>
  <conditionalFormatting sqref="E163">
    <cfRule type="containsText" dxfId="10342" priority="524" operator="containsText" text="Buy">
      <formula>NOT(ISERROR(SEARCH("Buy",E163)))</formula>
    </cfRule>
    <cfRule type="containsText" dxfId="10341" priority="525" operator="containsText" text="Sell">
      <formula>NOT(ISERROR(SEARCH("Sell",E163)))</formula>
    </cfRule>
  </conditionalFormatting>
  <conditionalFormatting sqref="E162">
    <cfRule type="containsText" dxfId="10340" priority="522" operator="containsText" text="Buy">
      <formula>NOT(ISERROR(SEARCH("Buy",E162)))</formula>
    </cfRule>
    <cfRule type="containsText" dxfId="10339" priority="523" operator="containsText" text="Sell">
      <formula>NOT(ISERROR(SEARCH("Sell",E162)))</formula>
    </cfRule>
  </conditionalFormatting>
  <conditionalFormatting sqref="E161">
    <cfRule type="containsText" dxfId="10338" priority="520" operator="containsText" text="Buy">
      <formula>NOT(ISERROR(SEARCH("Buy",E161)))</formula>
    </cfRule>
    <cfRule type="containsText" dxfId="10337" priority="521" operator="containsText" text="Sell">
      <formula>NOT(ISERROR(SEARCH("Sell",E161)))</formula>
    </cfRule>
  </conditionalFormatting>
  <conditionalFormatting sqref="E160">
    <cfRule type="containsText" dxfId="10336" priority="518" operator="containsText" text="Buy">
      <formula>NOT(ISERROR(SEARCH("Buy",E160)))</formula>
    </cfRule>
    <cfRule type="containsText" dxfId="10335" priority="519" operator="containsText" text="Sell">
      <formula>NOT(ISERROR(SEARCH("Sell",E160)))</formula>
    </cfRule>
  </conditionalFormatting>
  <conditionalFormatting sqref="E159">
    <cfRule type="containsText" dxfId="10334" priority="516" operator="containsText" text="Buy">
      <formula>NOT(ISERROR(SEARCH("Buy",E159)))</formula>
    </cfRule>
    <cfRule type="containsText" dxfId="10333" priority="517" operator="containsText" text="Sell">
      <formula>NOT(ISERROR(SEARCH("Sell",E159)))</formula>
    </cfRule>
  </conditionalFormatting>
  <conditionalFormatting sqref="E158">
    <cfRule type="containsText" dxfId="10332" priority="514" operator="containsText" text="Buy">
      <formula>NOT(ISERROR(SEARCH("Buy",E158)))</formula>
    </cfRule>
    <cfRule type="containsText" dxfId="10331" priority="515" operator="containsText" text="Sell">
      <formula>NOT(ISERROR(SEARCH("Sell",E158)))</formula>
    </cfRule>
  </conditionalFormatting>
  <conditionalFormatting sqref="E157">
    <cfRule type="containsText" dxfId="10330" priority="512" operator="containsText" text="Buy">
      <formula>NOT(ISERROR(SEARCH("Buy",E157)))</formula>
    </cfRule>
    <cfRule type="containsText" dxfId="10329" priority="513" operator="containsText" text="Sell">
      <formula>NOT(ISERROR(SEARCH("Sell",E157)))</formula>
    </cfRule>
  </conditionalFormatting>
  <conditionalFormatting sqref="E156">
    <cfRule type="containsText" dxfId="10328" priority="510" operator="containsText" text="Buy">
      <formula>NOT(ISERROR(SEARCH("Buy",E156)))</formula>
    </cfRule>
    <cfRule type="containsText" dxfId="10327" priority="511" operator="containsText" text="Sell">
      <formula>NOT(ISERROR(SEARCH("Sell",E156)))</formula>
    </cfRule>
  </conditionalFormatting>
  <conditionalFormatting sqref="E155">
    <cfRule type="containsText" dxfId="10326" priority="508" operator="containsText" text="Buy">
      <formula>NOT(ISERROR(SEARCH("Buy",E155)))</formula>
    </cfRule>
    <cfRule type="containsText" dxfId="10325" priority="509" operator="containsText" text="Sell">
      <formula>NOT(ISERROR(SEARCH("Sell",E155)))</formula>
    </cfRule>
  </conditionalFormatting>
  <conditionalFormatting sqref="E154">
    <cfRule type="containsText" dxfId="10324" priority="506" operator="containsText" text="Buy">
      <formula>NOT(ISERROR(SEARCH("Buy",E154)))</formula>
    </cfRule>
    <cfRule type="containsText" dxfId="10323" priority="507" operator="containsText" text="Sell">
      <formula>NOT(ISERROR(SEARCH("Sell",E154)))</formula>
    </cfRule>
  </conditionalFormatting>
  <conditionalFormatting sqref="E150">
    <cfRule type="containsText" dxfId="10322" priority="504" operator="containsText" text="Buy">
      <formula>NOT(ISERROR(SEARCH("Buy",E150)))</formula>
    </cfRule>
    <cfRule type="containsText" dxfId="10321" priority="505" operator="containsText" text="Sell">
      <formula>NOT(ISERROR(SEARCH("Sell",E150)))</formula>
    </cfRule>
  </conditionalFormatting>
  <conditionalFormatting sqref="E210">
    <cfRule type="containsText" dxfId="10320" priority="502" operator="containsText" text="Buy">
      <formula>NOT(ISERROR(SEARCH("Buy",E210)))</formula>
    </cfRule>
    <cfRule type="containsText" dxfId="10319" priority="503" operator="containsText" text="Sell">
      <formula>NOT(ISERROR(SEARCH("Sell",E210)))</formula>
    </cfRule>
  </conditionalFormatting>
  <conditionalFormatting sqref="E209 E206">
    <cfRule type="containsText" dxfId="10318" priority="500" operator="containsText" text="Buy">
      <formula>NOT(ISERROR(SEARCH("Buy",E206)))</formula>
    </cfRule>
    <cfRule type="containsText" dxfId="10317" priority="501" operator="containsText" text="Sell">
      <formula>NOT(ISERROR(SEARCH("Sell",E206)))</formula>
    </cfRule>
  </conditionalFormatting>
  <conditionalFormatting sqref="E215">
    <cfRule type="containsText" dxfId="10316" priority="498" operator="containsText" text="Buy">
      <formula>NOT(ISERROR(SEARCH("Buy",E215)))</formula>
    </cfRule>
    <cfRule type="containsText" dxfId="10315" priority="499" operator="containsText" text="Sell">
      <formula>NOT(ISERROR(SEARCH("Sell",E215)))</formula>
    </cfRule>
  </conditionalFormatting>
  <conditionalFormatting sqref="E297:E298">
    <cfRule type="containsText" dxfId="10314" priority="496" operator="containsText" text="Buy">
      <formula>NOT(ISERROR(SEARCH("Buy",E297)))</formula>
    </cfRule>
    <cfRule type="containsText" dxfId="10313" priority="497" operator="containsText" text="Sell">
      <formula>NOT(ISERROR(SEARCH("Sell",E297)))</formula>
    </cfRule>
  </conditionalFormatting>
  <conditionalFormatting sqref="E208">
    <cfRule type="containsText" dxfId="10312" priority="494" operator="containsText" text="Buy">
      <formula>NOT(ISERROR(SEARCH("Buy",E208)))</formula>
    </cfRule>
    <cfRule type="containsText" dxfId="10311" priority="495" operator="containsText" text="Sell">
      <formula>NOT(ISERROR(SEARCH("Sell",E208)))</formula>
    </cfRule>
  </conditionalFormatting>
  <conditionalFormatting sqref="E205">
    <cfRule type="containsText" dxfId="10310" priority="492" operator="containsText" text="Buy">
      <formula>NOT(ISERROR(SEARCH("Buy",E205)))</formula>
    </cfRule>
    <cfRule type="containsText" dxfId="10309" priority="493" operator="containsText" text="Sell">
      <formula>NOT(ISERROR(SEARCH("Sell",E205)))</formula>
    </cfRule>
  </conditionalFormatting>
  <conditionalFormatting sqref="E204">
    <cfRule type="containsText" dxfId="10308" priority="490" operator="containsText" text="Buy">
      <formula>NOT(ISERROR(SEARCH("Buy",E204)))</formula>
    </cfRule>
    <cfRule type="containsText" dxfId="10307" priority="491" operator="containsText" text="Sell">
      <formula>NOT(ISERROR(SEARCH("Sell",E204)))</formula>
    </cfRule>
  </conditionalFormatting>
  <conditionalFormatting sqref="E191">
    <cfRule type="containsText" dxfId="10306" priority="488" operator="containsText" text="Buy">
      <formula>NOT(ISERROR(SEARCH("Buy",E191)))</formula>
    </cfRule>
    <cfRule type="containsText" dxfId="10305" priority="489" operator="containsText" text="Sell">
      <formula>NOT(ISERROR(SEARCH("Sell",E191)))</formula>
    </cfRule>
  </conditionalFormatting>
  <conditionalFormatting sqref="E128:E131 E141 E138:E139">
    <cfRule type="containsText" dxfId="10304" priority="486" operator="containsText" text="Buy">
      <formula>NOT(ISERROR(SEARCH("Buy",E128)))</formula>
    </cfRule>
    <cfRule type="containsText" dxfId="10303" priority="487" operator="containsText" text="Sell">
      <formula>NOT(ISERROR(SEARCH("Sell",E128)))</formula>
    </cfRule>
  </conditionalFormatting>
  <conditionalFormatting sqref="E294:E295">
    <cfRule type="containsText" dxfId="10302" priority="484" operator="containsText" text="Buy">
      <formula>NOT(ISERROR(SEARCH("Buy",E294)))</formula>
    </cfRule>
    <cfRule type="containsText" dxfId="10301" priority="485" operator="containsText" text="Sell">
      <formula>NOT(ISERROR(SEARCH("Sell",E294)))</formula>
    </cfRule>
  </conditionalFormatting>
  <conditionalFormatting sqref="E291:E292">
    <cfRule type="containsText" dxfId="10300" priority="482" operator="containsText" text="Buy">
      <formula>NOT(ISERROR(SEARCH("Buy",E291)))</formula>
    </cfRule>
    <cfRule type="containsText" dxfId="10299" priority="483" operator="containsText" text="Sell">
      <formula>NOT(ISERROR(SEARCH("Sell",E291)))</formula>
    </cfRule>
  </conditionalFormatting>
  <conditionalFormatting sqref="E289:E290">
    <cfRule type="containsText" dxfId="10298" priority="480" operator="containsText" text="Buy">
      <formula>NOT(ISERROR(SEARCH("Buy",E289)))</formula>
    </cfRule>
    <cfRule type="containsText" dxfId="10297" priority="481" operator="containsText" text="Sell">
      <formula>NOT(ISERROR(SEARCH("Sell",E289)))</formula>
    </cfRule>
  </conditionalFormatting>
  <conditionalFormatting sqref="E286:E287">
    <cfRule type="containsText" dxfId="10296" priority="478" operator="containsText" text="Buy">
      <formula>NOT(ISERROR(SEARCH("Buy",E286)))</formula>
    </cfRule>
    <cfRule type="containsText" dxfId="10295" priority="479" operator="containsText" text="Sell">
      <formula>NOT(ISERROR(SEARCH("Sell",E286)))</formula>
    </cfRule>
  </conditionalFormatting>
  <conditionalFormatting sqref="E283:E285">
    <cfRule type="containsText" dxfId="10294" priority="476" operator="containsText" text="Buy">
      <formula>NOT(ISERROR(SEARCH("Buy",E283)))</formula>
    </cfRule>
    <cfRule type="containsText" dxfId="10293" priority="477" operator="containsText" text="Sell">
      <formula>NOT(ISERROR(SEARCH("Sell",E283)))</formula>
    </cfRule>
  </conditionalFormatting>
  <conditionalFormatting sqref="E280:E281">
    <cfRule type="containsText" dxfId="10292" priority="474" operator="containsText" text="Buy">
      <formula>NOT(ISERROR(SEARCH("Buy",E280)))</formula>
    </cfRule>
    <cfRule type="containsText" dxfId="10291" priority="475" operator="containsText" text="Sell">
      <formula>NOT(ISERROR(SEARCH("Sell",E280)))</formula>
    </cfRule>
  </conditionalFormatting>
  <conditionalFormatting sqref="E277:E278">
    <cfRule type="containsText" dxfId="10290" priority="472" operator="containsText" text="Buy">
      <formula>NOT(ISERROR(SEARCH("Buy",E277)))</formula>
    </cfRule>
    <cfRule type="containsText" dxfId="10289" priority="473" operator="containsText" text="Sell">
      <formula>NOT(ISERROR(SEARCH("Sell",E277)))</formula>
    </cfRule>
  </conditionalFormatting>
  <conditionalFormatting sqref="E274:E275">
    <cfRule type="containsText" dxfId="10288" priority="470" operator="containsText" text="Buy">
      <formula>NOT(ISERROR(SEARCH("Buy",E274)))</formula>
    </cfRule>
    <cfRule type="containsText" dxfId="10287" priority="471" operator="containsText" text="Sell">
      <formula>NOT(ISERROR(SEARCH("Sell",E274)))</formula>
    </cfRule>
  </conditionalFormatting>
  <conditionalFormatting sqref="E270">
    <cfRule type="containsText" dxfId="10286" priority="466" operator="containsText" text="Buy">
      <formula>NOT(ISERROR(SEARCH("Buy",E270)))</formula>
    </cfRule>
    <cfRule type="containsText" dxfId="10285" priority="467" operator="containsText" text="Sell">
      <formula>NOT(ISERROR(SEARCH("Sell",E270)))</formula>
    </cfRule>
  </conditionalFormatting>
  <conditionalFormatting sqref="E271:E272">
    <cfRule type="containsText" dxfId="10284" priority="468" operator="containsText" text="Buy">
      <formula>NOT(ISERROR(SEARCH("Buy",E271)))</formula>
    </cfRule>
    <cfRule type="containsText" dxfId="10283" priority="469" operator="containsText" text="Sell">
      <formula>NOT(ISERROR(SEARCH("Sell",E271)))</formula>
    </cfRule>
  </conditionalFormatting>
  <conditionalFormatting sqref="E264:E265">
    <cfRule type="containsText" dxfId="10282" priority="464" operator="containsText" text="Buy">
      <formula>NOT(ISERROR(SEARCH("Buy",E264)))</formula>
    </cfRule>
    <cfRule type="containsText" dxfId="10281" priority="465" operator="containsText" text="Sell">
      <formula>NOT(ISERROR(SEARCH("Sell",E264)))</formula>
    </cfRule>
  </conditionalFormatting>
  <conditionalFormatting sqref="E260:E261">
    <cfRule type="containsText" dxfId="10280" priority="462" operator="containsText" text="Buy">
      <formula>NOT(ISERROR(SEARCH("Buy",E260)))</formula>
    </cfRule>
    <cfRule type="containsText" dxfId="10279" priority="463" operator="containsText" text="Sell">
      <formula>NOT(ISERROR(SEARCH("Sell",E260)))</formula>
    </cfRule>
  </conditionalFormatting>
  <conditionalFormatting sqref="E125:E126">
    <cfRule type="containsText" dxfId="10278" priority="460" operator="containsText" text="Buy">
      <formula>NOT(ISERROR(SEARCH("Buy",E125)))</formula>
    </cfRule>
    <cfRule type="containsText" dxfId="10277" priority="461" operator="containsText" text="Sell">
      <formula>NOT(ISERROR(SEARCH("Sell",E125)))</formula>
    </cfRule>
  </conditionalFormatting>
  <conditionalFormatting sqref="E120:E121">
    <cfRule type="containsText" dxfId="10276" priority="458" operator="containsText" text="Buy">
      <formula>NOT(ISERROR(SEARCH("Buy",E120)))</formula>
    </cfRule>
    <cfRule type="containsText" dxfId="10275" priority="459" operator="containsText" text="Sell">
      <formula>NOT(ISERROR(SEARCH("Sell",E120)))</formula>
    </cfRule>
  </conditionalFormatting>
  <conditionalFormatting sqref="E137">
    <cfRule type="containsText" dxfId="10274" priority="456" operator="containsText" text="Buy">
      <formula>NOT(ISERROR(SEARCH("Buy",E137)))</formula>
    </cfRule>
    <cfRule type="containsText" dxfId="10273" priority="457" operator="containsText" text="Sell">
      <formula>NOT(ISERROR(SEARCH("Sell",E137)))</formula>
    </cfRule>
  </conditionalFormatting>
  <conditionalFormatting sqref="E136">
    <cfRule type="containsText" dxfId="10272" priority="454" operator="containsText" text="Buy">
      <formula>NOT(ISERROR(SEARCH("Buy",E136)))</formula>
    </cfRule>
    <cfRule type="containsText" dxfId="10271" priority="455" operator="containsText" text="Sell">
      <formula>NOT(ISERROR(SEARCH("Sell",E136)))</formula>
    </cfRule>
  </conditionalFormatting>
  <conditionalFormatting sqref="E132">
    <cfRule type="containsText" dxfId="10270" priority="452" operator="containsText" text="Buy">
      <formula>NOT(ISERROR(SEARCH("Buy",E132)))</formula>
    </cfRule>
    <cfRule type="containsText" dxfId="10269" priority="453" operator="containsText" text="Sell">
      <formula>NOT(ISERROR(SEARCH("Sell",E132)))</formula>
    </cfRule>
  </conditionalFormatting>
  <conditionalFormatting sqref="E257:E259">
    <cfRule type="containsText" dxfId="10268" priority="450" operator="containsText" text="Buy">
      <formula>NOT(ISERROR(SEARCH("Buy",E257)))</formula>
    </cfRule>
    <cfRule type="containsText" dxfId="10267" priority="451" operator="containsText" text="Sell">
      <formula>NOT(ISERROR(SEARCH("Sell",E257)))</formula>
    </cfRule>
  </conditionalFormatting>
  <conditionalFormatting sqref="E254:E255">
    <cfRule type="containsText" dxfId="10266" priority="448" operator="containsText" text="Buy">
      <formula>NOT(ISERROR(SEARCH("Buy",E254)))</formula>
    </cfRule>
    <cfRule type="containsText" dxfId="10265" priority="449" operator="containsText" text="Sell">
      <formula>NOT(ISERROR(SEARCH("Sell",E254)))</formula>
    </cfRule>
  </conditionalFormatting>
  <conditionalFormatting sqref="E248:E250">
    <cfRule type="containsText" dxfId="10264" priority="446" operator="containsText" text="Buy">
      <formula>NOT(ISERROR(SEARCH("Buy",E248)))</formula>
    </cfRule>
    <cfRule type="containsText" dxfId="10263" priority="447" operator="containsText" text="Sell">
      <formula>NOT(ISERROR(SEARCH("Sell",E248)))</formula>
    </cfRule>
  </conditionalFormatting>
  <conditionalFormatting sqref="E244:E245">
    <cfRule type="containsText" dxfId="10262" priority="444" operator="containsText" text="Buy">
      <formula>NOT(ISERROR(SEARCH("Buy",E244)))</formula>
    </cfRule>
    <cfRule type="containsText" dxfId="10261" priority="445" operator="containsText" text="Sell">
      <formula>NOT(ISERROR(SEARCH("Sell",E244)))</formula>
    </cfRule>
  </conditionalFormatting>
  <conditionalFormatting sqref="E253">
    <cfRule type="containsText" dxfId="10260" priority="442" operator="containsText" text="Buy">
      <formula>NOT(ISERROR(SEARCH("Buy",E253)))</formula>
    </cfRule>
    <cfRule type="containsText" dxfId="10259" priority="443" operator="containsText" text="Sell">
      <formula>NOT(ISERROR(SEARCH("Sell",E253)))</formula>
    </cfRule>
  </conditionalFormatting>
  <conditionalFormatting sqref="E233">
    <cfRule type="containsText" dxfId="10258" priority="440" operator="containsText" text="Buy">
      <formula>NOT(ISERROR(SEARCH("Buy",E233)))</formula>
    </cfRule>
    <cfRule type="containsText" dxfId="10257" priority="441" operator="containsText" text="Sell">
      <formula>NOT(ISERROR(SEARCH("Sell",E233)))</formula>
    </cfRule>
  </conditionalFormatting>
  <conditionalFormatting sqref="E232">
    <cfRule type="containsText" dxfId="10256" priority="438" operator="containsText" text="Buy">
      <formula>NOT(ISERROR(SEARCH("Buy",E232)))</formula>
    </cfRule>
    <cfRule type="containsText" dxfId="10255" priority="439" operator="containsText" text="Sell">
      <formula>NOT(ISERROR(SEARCH("Sell",E232)))</formula>
    </cfRule>
  </conditionalFormatting>
  <conditionalFormatting sqref="E231">
    <cfRule type="containsText" dxfId="10254" priority="436" operator="containsText" text="Buy">
      <formula>NOT(ISERROR(SEARCH("Buy",E231)))</formula>
    </cfRule>
    <cfRule type="containsText" dxfId="10253" priority="437" operator="containsText" text="Sell">
      <formula>NOT(ISERROR(SEARCH("Sell",E231)))</formula>
    </cfRule>
  </conditionalFormatting>
  <conditionalFormatting sqref="E188">
    <cfRule type="containsText" dxfId="10252" priority="434" operator="containsText" text="Buy">
      <formula>NOT(ISERROR(SEARCH("Buy",E188)))</formula>
    </cfRule>
    <cfRule type="containsText" dxfId="10251" priority="435" operator="containsText" text="Sell">
      <formula>NOT(ISERROR(SEARCH("Sell",E188)))</formula>
    </cfRule>
  </conditionalFormatting>
  <conditionalFormatting sqref="E207">
    <cfRule type="containsText" dxfId="10250" priority="432" operator="containsText" text="Buy">
      <formula>NOT(ISERROR(SEARCH("Buy",E207)))</formula>
    </cfRule>
    <cfRule type="containsText" dxfId="10249" priority="433" operator="containsText" text="Sell">
      <formula>NOT(ISERROR(SEARCH("Sell",E207)))</formula>
    </cfRule>
  </conditionalFormatting>
  <conditionalFormatting sqref="E101:E102">
    <cfRule type="containsText" dxfId="10248" priority="430" operator="containsText" text="Buy">
      <formula>NOT(ISERROR(SEARCH("Buy",E101)))</formula>
    </cfRule>
    <cfRule type="containsText" dxfId="10247" priority="431" operator="containsText" text="Sell">
      <formula>NOT(ISERROR(SEARCH("Sell",E101)))</formula>
    </cfRule>
  </conditionalFormatting>
  <conditionalFormatting sqref="E230">
    <cfRule type="containsText" dxfId="10246" priority="426" operator="containsText" text="Buy">
      <formula>NOT(ISERROR(SEARCH("Buy",E230)))</formula>
    </cfRule>
    <cfRule type="containsText" dxfId="10245" priority="427" operator="containsText" text="Sell">
      <formula>NOT(ISERROR(SEARCH("Sell",E230)))</formula>
    </cfRule>
  </conditionalFormatting>
  <conditionalFormatting sqref="E140">
    <cfRule type="containsText" dxfId="10244" priority="428" operator="containsText" text="Buy">
      <formula>NOT(ISERROR(SEARCH("Buy",E140)))</formula>
    </cfRule>
    <cfRule type="containsText" dxfId="10243" priority="429" operator="containsText" text="Sell">
      <formula>NOT(ISERROR(SEARCH("Sell",E140)))</formula>
    </cfRule>
  </conditionalFormatting>
  <conditionalFormatting sqref="E229">
    <cfRule type="containsText" dxfId="10242" priority="424" operator="containsText" text="Buy">
      <formula>NOT(ISERROR(SEARCH("Buy",E229)))</formula>
    </cfRule>
    <cfRule type="containsText" dxfId="10241" priority="425" operator="containsText" text="Sell">
      <formula>NOT(ISERROR(SEARCH("Sell",E229)))</formula>
    </cfRule>
  </conditionalFormatting>
  <conditionalFormatting sqref="E228">
    <cfRule type="containsText" dxfId="10240" priority="422" operator="containsText" text="Buy">
      <formula>NOT(ISERROR(SEARCH("Buy",E228)))</formula>
    </cfRule>
    <cfRule type="containsText" dxfId="10239" priority="423" operator="containsText" text="Sell">
      <formula>NOT(ISERROR(SEARCH("Sell",E228)))</formula>
    </cfRule>
  </conditionalFormatting>
  <conditionalFormatting sqref="E227">
    <cfRule type="containsText" dxfId="10238" priority="420" operator="containsText" text="Buy">
      <formula>NOT(ISERROR(SEARCH("Buy",E227)))</formula>
    </cfRule>
    <cfRule type="containsText" dxfId="10237" priority="421" operator="containsText" text="Sell">
      <formula>NOT(ISERROR(SEARCH("Sell",E227)))</formula>
    </cfRule>
  </conditionalFormatting>
  <conditionalFormatting sqref="E226">
    <cfRule type="containsText" dxfId="10236" priority="418" operator="containsText" text="Buy">
      <formula>NOT(ISERROR(SEARCH("Buy",E226)))</formula>
    </cfRule>
    <cfRule type="containsText" dxfId="10235" priority="419" operator="containsText" text="Sell">
      <formula>NOT(ISERROR(SEARCH("Sell",E226)))</formula>
    </cfRule>
  </conditionalFormatting>
  <conditionalFormatting sqref="E106:E108 E119">
    <cfRule type="containsText" dxfId="10234" priority="416" operator="containsText" text="Buy">
      <formula>NOT(ISERROR(SEARCH("Buy",E106)))</formula>
    </cfRule>
    <cfRule type="containsText" dxfId="10233" priority="417" operator="containsText" text="Sell">
      <formula>NOT(ISERROR(SEARCH("Sell",E106)))</formula>
    </cfRule>
  </conditionalFormatting>
  <conditionalFormatting sqref="E96:E97">
    <cfRule type="containsText" dxfId="10232" priority="414" operator="containsText" text="Buy">
      <formula>NOT(ISERROR(SEARCH("Buy",E96)))</formula>
    </cfRule>
    <cfRule type="containsText" dxfId="10231" priority="415" operator="containsText" text="Sell">
      <formula>NOT(ISERROR(SEARCH("Sell",E96)))</formula>
    </cfRule>
  </conditionalFormatting>
  <conditionalFormatting sqref="E90:E91">
    <cfRule type="containsText" dxfId="10230" priority="412" operator="containsText" text="Buy">
      <formula>NOT(ISERROR(SEARCH("Buy",E90)))</formula>
    </cfRule>
    <cfRule type="containsText" dxfId="10229" priority="413" operator="containsText" text="Sell">
      <formula>NOT(ISERROR(SEARCH("Sell",E90)))</formula>
    </cfRule>
  </conditionalFormatting>
  <conditionalFormatting sqref="E117:E118">
    <cfRule type="containsText" dxfId="10228" priority="410" operator="containsText" text="Buy">
      <formula>NOT(ISERROR(SEARCH("Buy",E117)))</formula>
    </cfRule>
    <cfRule type="containsText" dxfId="10227" priority="411" operator="containsText" text="Sell">
      <formula>NOT(ISERROR(SEARCH("Sell",E117)))</formula>
    </cfRule>
  </conditionalFormatting>
  <conditionalFormatting sqref="E116">
    <cfRule type="containsText" dxfId="10226" priority="408" operator="containsText" text="Buy">
      <formula>NOT(ISERROR(SEARCH("Buy",E116)))</formula>
    </cfRule>
    <cfRule type="containsText" dxfId="10225" priority="409" operator="containsText" text="Sell">
      <formula>NOT(ISERROR(SEARCH("Sell",E116)))</formula>
    </cfRule>
  </conditionalFormatting>
  <conditionalFormatting sqref="E199">
    <cfRule type="containsText" dxfId="10224" priority="406" operator="containsText" text="Buy">
      <formula>NOT(ISERROR(SEARCH("Buy",E199)))</formula>
    </cfRule>
    <cfRule type="containsText" dxfId="10223" priority="407" operator="containsText" text="Sell">
      <formula>NOT(ISERROR(SEARCH("Sell",E199)))</formula>
    </cfRule>
  </conditionalFormatting>
  <conditionalFormatting sqref="E198">
    <cfRule type="containsText" dxfId="10222" priority="404" operator="containsText" text="Buy">
      <formula>NOT(ISERROR(SEARCH("Buy",E198)))</formula>
    </cfRule>
    <cfRule type="containsText" dxfId="10221" priority="405" operator="containsText" text="Sell">
      <formula>NOT(ISERROR(SEARCH("Sell",E198)))</formula>
    </cfRule>
  </conditionalFormatting>
  <conditionalFormatting sqref="E87:E88">
    <cfRule type="containsText" dxfId="10220" priority="402" operator="containsText" text="Buy">
      <formula>NOT(ISERROR(SEARCH("Buy",E87)))</formula>
    </cfRule>
    <cfRule type="containsText" dxfId="10219" priority="403" operator="containsText" text="Sell">
      <formula>NOT(ISERROR(SEARCH("Sell",E87)))</formula>
    </cfRule>
  </conditionalFormatting>
  <conditionalFormatting sqref="E86">
    <cfRule type="containsText" dxfId="10218" priority="400" operator="containsText" text="Buy">
      <formula>NOT(ISERROR(SEARCH("Buy",E86)))</formula>
    </cfRule>
    <cfRule type="containsText" dxfId="10217" priority="401" operator="containsText" text="Sell">
      <formula>NOT(ISERROR(SEARCH("Sell",E86)))</formula>
    </cfRule>
  </conditionalFormatting>
  <conditionalFormatting sqref="E85">
    <cfRule type="containsText" dxfId="10216" priority="398" operator="containsText" text="Buy">
      <formula>NOT(ISERROR(SEARCH("Buy",E85)))</formula>
    </cfRule>
    <cfRule type="containsText" dxfId="10215" priority="399" operator="containsText" text="Sell">
      <formula>NOT(ISERROR(SEARCH("Sell",E85)))</formula>
    </cfRule>
  </conditionalFormatting>
  <conditionalFormatting sqref="E82">
    <cfRule type="containsText" dxfId="10214" priority="396" operator="containsText" text="Buy">
      <formula>NOT(ISERROR(SEARCH("Buy",E82)))</formula>
    </cfRule>
    <cfRule type="containsText" dxfId="10213" priority="397" operator="containsText" text="Sell">
      <formula>NOT(ISERROR(SEARCH("Sell",E82)))</formula>
    </cfRule>
  </conditionalFormatting>
  <conditionalFormatting sqref="E81">
    <cfRule type="containsText" dxfId="10212" priority="394" operator="containsText" text="Buy">
      <formula>NOT(ISERROR(SEARCH("Buy",E81)))</formula>
    </cfRule>
    <cfRule type="containsText" dxfId="10211" priority="395" operator="containsText" text="Sell">
      <formula>NOT(ISERROR(SEARCH("Sell",E81)))</formula>
    </cfRule>
  </conditionalFormatting>
  <conditionalFormatting sqref="E78">
    <cfRule type="containsText" dxfId="10210" priority="392" operator="containsText" text="Buy">
      <formula>NOT(ISERROR(SEARCH("Buy",E78)))</formula>
    </cfRule>
    <cfRule type="containsText" dxfId="10209" priority="393" operator="containsText" text="Sell">
      <formula>NOT(ISERROR(SEARCH("Sell",E78)))</formula>
    </cfRule>
  </conditionalFormatting>
  <conditionalFormatting sqref="E77">
    <cfRule type="containsText" dxfId="10208" priority="390" operator="containsText" text="Buy">
      <formula>NOT(ISERROR(SEARCH("Buy",E77)))</formula>
    </cfRule>
    <cfRule type="containsText" dxfId="10207" priority="391" operator="containsText" text="Sell">
      <formula>NOT(ISERROR(SEARCH("Sell",E77)))</formula>
    </cfRule>
  </conditionalFormatting>
  <conditionalFormatting sqref="E76">
    <cfRule type="containsText" dxfId="10206" priority="388" operator="containsText" text="Buy">
      <formula>NOT(ISERROR(SEARCH("Buy",E76)))</formula>
    </cfRule>
    <cfRule type="containsText" dxfId="10205" priority="389" operator="containsText" text="Sell">
      <formula>NOT(ISERROR(SEARCH("Sell",E76)))</formula>
    </cfRule>
  </conditionalFormatting>
  <conditionalFormatting sqref="E74:E75">
    <cfRule type="containsText" dxfId="10204" priority="386" operator="containsText" text="Buy">
      <formula>NOT(ISERROR(SEARCH("Buy",E74)))</formula>
    </cfRule>
    <cfRule type="containsText" dxfId="10203" priority="387" operator="containsText" text="Sell">
      <formula>NOT(ISERROR(SEARCH("Sell",E74)))</formula>
    </cfRule>
  </conditionalFormatting>
  <conditionalFormatting sqref="E71 E67:E68">
    <cfRule type="containsText" dxfId="10202" priority="384" operator="containsText" text="Buy">
      <formula>NOT(ISERROR(SEARCH("Buy",E67)))</formula>
    </cfRule>
    <cfRule type="containsText" dxfId="10201" priority="385" operator="containsText" text="Sell">
      <formula>NOT(ISERROR(SEARCH("Sell",E67)))</formula>
    </cfRule>
  </conditionalFormatting>
  <conditionalFormatting sqref="E63">
    <cfRule type="containsText" dxfId="10200" priority="382" operator="containsText" text="Buy">
      <formula>NOT(ISERROR(SEARCH("Buy",E63)))</formula>
    </cfRule>
    <cfRule type="containsText" dxfId="10199" priority="383" operator="containsText" text="Sell">
      <formula>NOT(ISERROR(SEARCH("Sell",E63)))</formula>
    </cfRule>
  </conditionalFormatting>
  <conditionalFormatting sqref="E62">
    <cfRule type="containsText" dxfId="10198" priority="380" operator="containsText" text="Buy">
      <formula>NOT(ISERROR(SEARCH("Buy",E62)))</formula>
    </cfRule>
    <cfRule type="containsText" dxfId="10197" priority="381" operator="containsText" text="Sell">
      <formula>NOT(ISERROR(SEARCH("Sell",E62)))</formula>
    </cfRule>
  </conditionalFormatting>
  <conditionalFormatting sqref="E70">
    <cfRule type="containsText" dxfId="10196" priority="378" operator="containsText" text="Buy">
      <formula>NOT(ISERROR(SEARCH("Buy",E70)))</formula>
    </cfRule>
    <cfRule type="containsText" dxfId="10195" priority="379" operator="containsText" text="Sell">
      <formula>NOT(ISERROR(SEARCH("Sell",E70)))</formula>
    </cfRule>
  </conditionalFormatting>
  <conditionalFormatting sqref="E69">
    <cfRule type="containsText" dxfId="10194" priority="376" operator="containsText" text="Buy">
      <formula>NOT(ISERROR(SEARCH("Buy",E69)))</formula>
    </cfRule>
    <cfRule type="containsText" dxfId="10193" priority="377" operator="containsText" text="Sell">
      <formula>NOT(ISERROR(SEARCH("Sell",E69)))</formula>
    </cfRule>
  </conditionalFormatting>
  <conditionalFormatting sqref="E203">
    <cfRule type="containsText" dxfId="10192" priority="374" operator="containsText" text="Buy">
      <formula>NOT(ISERROR(SEARCH("Buy",E203)))</formula>
    </cfRule>
    <cfRule type="containsText" dxfId="10191" priority="375" operator="containsText" text="Sell">
      <formula>NOT(ISERROR(SEARCH("Sell",E203)))</formula>
    </cfRule>
  </conditionalFormatting>
  <conditionalFormatting sqref="E124">
    <cfRule type="containsText" dxfId="10190" priority="372" operator="containsText" text="Buy">
      <formula>NOT(ISERROR(SEARCH("Buy",E124)))</formula>
    </cfRule>
    <cfRule type="containsText" dxfId="10189" priority="373" operator="containsText" text="Sell">
      <formula>NOT(ISERROR(SEARCH("Sell",E124)))</formula>
    </cfRule>
  </conditionalFormatting>
  <conditionalFormatting sqref="E171">
    <cfRule type="containsText" dxfId="10188" priority="370" operator="containsText" text="Buy">
      <formula>NOT(ISERROR(SEARCH("Buy",E171)))</formula>
    </cfRule>
    <cfRule type="containsText" dxfId="10187" priority="371" operator="containsText" text="Sell">
      <formula>NOT(ISERROR(SEARCH("Sell",E171)))</formula>
    </cfRule>
  </conditionalFormatting>
  <conditionalFormatting sqref="E66">
    <cfRule type="containsText" dxfId="10186" priority="368" operator="containsText" text="Buy">
      <formula>NOT(ISERROR(SEARCH("Buy",E66)))</formula>
    </cfRule>
    <cfRule type="containsText" dxfId="10185" priority="369" operator="containsText" text="Sell">
      <formula>NOT(ISERROR(SEARCH("Sell",E66)))</formula>
    </cfRule>
  </conditionalFormatting>
  <conditionalFormatting sqref="E56">
    <cfRule type="containsText" dxfId="10184" priority="366" operator="containsText" text="Buy">
      <formula>NOT(ISERROR(SEARCH("Buy",E56)))</formula>
    </cfRule>
    <cfRule type="containsText" dxfId="10183" priority="367" operator="containsText" text="Sell">
      <formula>NOT(ISERROR(SEARCH("Sell",E56)))</formula>
    </cfRule>
  </conditionalFormatting>
  <conditionalFormatting sqref="E170">
    <cfRule type="containsText" dxfId="10182" priority="364" operator="containsText" text="Buy">
      <formula>NOT(ISERROR(SEARCH("Buy",E170)))</formula>
    </cfRule>
    <cfRule type="containsText" dxfId="10181" priority="365" operator="containsText" text="Sell">
      <formula>NOT(ISERROR(SEARCH("Sell",E170)))</formula>
    </cfRule>
  </conditionalFormatting>
  <conditionalFormatting sqref="E169">
    <cfRule type="containsText" dxfId="10180" priority="362" operator="containsText" text="Buy">
      <formula>NOT(ISERROR(SEARCH("Buy",E169)))</formula>
    </cfRule>
    <cfRule type="containsText" dxfId="10179" priority="363" operator="containsText" text="Sell">
      <formula>NOT(ISERROR(SEARCH("Sell",E169)))</formula>
    </cfRule>
  </conditionalFormatting>
  <conditionalFormatting sqref="E240:E242">
    <cfRule type="containsText" dxfId="10178" priority="360" operator="containsText" text="Buy">
      <formula>NOT(ISERROR(SEARCH("Buy",E240)))</formula>
    </cfRule>
    <cfRule type="containsText" dxfId="10177" priority="361" operator="containsText" text="Sell">
      <formula>NOT(ISERROR(SEARCH("Sell",E240)))</formula>
    </cfRule>
  </conditionalFormatting>
  <conditionalFormatting sqref="E225">
    <cfRule type="containsText" dxfId="10176" priority="358" operator="containsText" text="Buy">
      <formula>NOT(ISERROR(SEARCH("Buy",E225)))</formula>
    </cfRule>
    <cfRule type="containsText" dxfId="10175" priority="359" operator="containsText" text="Sell">
      <formula>NOT(ISERROR(SEARCH("Sell",E225)))</formula>
    </cfRule>
  </conditionalFormatting>
  <conditionalFormatting sqref="E224">
    <cfRule type="containsText" dxfId="10174" priority="356" operator="containsText" text="Buy">
      <formula>NOT(ISERROR(SEARCH("Buy",E224)))</formula>
    </cfRule>
    <cfRule type="containsText" dxfId="10173" priority="357" operator="containsText" text="Sell">
      <formula>NOT(ISERROR(SEARCH("Sell",E224)))</formula>
    </cfRule>
  </conditionalFormatting>
  <conditionalFormatting sqref="E61">
    <cfRule type="containsText" dxfId="10172" priority="354" operator="containsText" text="Buy">
      <formula>NOT(ISERROR(SEARCH("Buy",E61)))</formula>
    </cfRule>
    <cfRule type="containsText" dxfId="10171" priority="355" operator="containsText" text="Sell">
      <formula>NOT(ISERROR(SEARCH("Sell",E61)))</formula>
    </cfRule>
  </conditionalFormatting>
  <conditionalFormatting sqref="E190">
    <cfRule type="containsText" dxfId="10170" priority="352" operator="containsText" text="Buy">
      <formula>NOT(ISERROR(SEARCH("Buy",E190)))</formula>
    </cfRule>
    <cfRule type="containsText" dxfId="10169" priority="353" operator="containsText" text="Sell">
      <formula>NOT(ISERROR(SEARCH("Sell",E190)))</formula>
    </cfRule>
  </conditionalFormatting>
  <conditionalFormatting sqref="E187">
    <cfRule type="containsText" dxfId="10168" priority="350" operator="containsText" text="Buy">
      <formula>NOT(ISERROR(SEARCH("Buy",E187)))</formula>
    </cfRule>
    <cfRule type="containsText" dxfId="10167" priority="351" operator="containsText" text="Sell">
      <formula>NOT(ISERROR(SEARCH("Sell",E187)))</formula>
    </cfRule>
  </conditionalFormatting>
  <conditionalFormatting sqref="E52:E53">
    <cfRule type="containsText" dxfId="10166" priority="348" operator="containsText" text="Buy">
      <formula>NOT(ISERROR(SEARCH("Buy",E52)))</formula>
    </cfRule>
    <cfRule type="containsText" dxfId="10165" priority="349" operator="containsText" text="Sell">
      <formula>NOT(ISERROR(SEARCH("Sell",E52)))</formula>
    </cfRule>
  </conditionalFormatting>
  <conditionalFormatting sqref="E49:E50">
    <cfRule type="containsText" dxfId="10164" priority="346" operator="containsText" text="Buy">
      <formula>NOT(ISERROR(SEARCH("Buy",E49)))</formula>
    </cfRule>
    <cfRule type="containsText" dxfId="10163" priority="347" operator="containsText" text="Sell">
      <formula>NOT(ISERROR(SEARCH("Sell",E49)))</formula>
    </cfRule>
  </conditionalFormatting>
  <conditionalFormatting sqref="E223">
    <cfRule type="containsText" dxfId="10162" priority="344" operator="containsText" text="Buy">
      <formula>NOT(ISERROR(SEARCH("Buy",E223)))</formula>
    </cfRule>
    <cfRule type="containsText" dxfId="10161" priority="345" operator="containsText" text="Sell">
      <formula>NOT(ISERROR(SEARCH("Sell",E223)))</formula>
    </cfRule>
  </conditionalFormatting>
  <conditionalFormatting sqref="E46:E47">
    <cfRule type="containsText" dxfId="10160" priority="342" operator="containsText" text="Buy">
      <formula>NOT(ISERROR(SEARCH("Buy",E46)))</formula>
    </cfRule>
    <cfRule type="containsText" dxfId="10159" priority="343" operator="containsText" text="Sell">
      <formula>NOT(ISERROR(SEARCH("Sell",E46)))</formula>
    </cfRule>
  </conditionalFormatting>
  <conditionalFormatting sqref="E43">
    <cfRule type="containsText" dxfId="10158" priority="340" operator="containsText" text="Buy">
      <formula>NOT(ISERROR(SEARCH("Buy",E43)))</formula>
    </cfRule>
    <cfRule type="containsText" dxfId="10157" priority="341" operator="containsText" text="Sell">
      <formula>NOT(ISERROR(SEARCH("Sell",E43)))</formula>
    </cfRule>
  </conditionalFormatting>
  <conditionalFormatting sqref="E115">
    <cfRule type="containsText" dxfId="10156" priority="338" operator="containsText" text="Buy">
      <formula>NOT(ISERROR(SEARCH("Buy",E115)))</formula>
    </cfRule>
    <cfRule type="containsText" dxfId="10155" priority="339" operator="containsText" text="Sell">
      <formula>NOT(ISERROR(SEARCH("Sell",E115)))</formula>
    </cfRule>
  </conditionalFormatting>
  <conditionalFormatting sqref="E247">
    <cfRule type="containsText" dxfId="10154" priority="328" operator="containsText" text="Buy">
      <formula>NOT(ISERROR(SEARCH("Buy",E247)))</formula>
    </cfRule>
    <cfRule type="containsText" dxfId="10153" priority="329" operator="containsText" text="Sell">
      <formula>NOT(ISERROR(SEARCH("Sell",E247)))</formula>
    </cfRule>
  </conditionalFormatting>
  <conditionalFormatting sqref="E40">
    <cfRule type="containsText" dxfId="10152" priority="334" operator="containsText" text="Buy">
      <formula>NOT(ISERROR(SEARCH("Buy",E40)))</formula>
    </cfRule>
    <cfRule type="containsText" dxfId="10151" priority="335" operator="containsText" text="Sell">
      <formula>NOT(ISERROR(SEARCH("Sell",E40)))</formula>
    </cfRule>
  </conditionalFormatting>
  <conditionalFormatting sqref="E252">
    <cfRule type="containsText" dxfId="10150" priority="332" operator="containsText" text="Buy">
      <formula>NOT(ISERROR(SEARCH("Buy",E252)))</formula>
    </cfRule>
    <cfRule type="containsText" dxfId="10149" priority="333" operator="containsText" text="Sell">
      <formula>NOT(ISERROR(SEARCH("Sell",E252)))</formula>
    </cfRule>
  </conditionalFormatting>
  <conditionalFormatting sqref="E269">
    <cfRule type="containsText" dxfId="10148" priority="330" operator="containsText" text="Buy">
      <formula>NOT(ISERROR(SEARCH("Buy",E269)))</formula>
    </cfRule>
    <cfRule type="containsText" dxfId="10147" priority="331" operator="containsText" text="Sell">
      <formula>NOT(ISERROR(SEARCH("Sell",E269)))</formula>
    </cfRule>
  </conditionalFormatting>
  <conditionalFormatting sqref="E243">
    <cfRule type="containsText" dxfId="10146" priority="326" operator="containsText" text="Buy">
      <formula>NOT(ISERROR(SEARCH("Buy",E243)))</formula>
    </cfRule>
    <cfRule type="containsText" dxfId="10145" priority="327" operator="containsText" text="Sell">
      <formula>NOT(ISERROR(SEARCH("Sell",E243)))</formula>
    </cfRule>
  </conditionalFormatting>
  <conditionalFormatting sqref="E30 E27">
    <cfRule type="containsText" dxfId="10144" priority="324" operator="containsText" text="Buy">
      <formula>NOT(ISERROR(SEARCH("Buy",E27)))</formula>
    </cfRule>
    <cfRule type="containsText" dxfId="10143" priority="325" operator="containsText" text="Sell">
      <formula>NOT(ISERROR(SEARCH("Sell",E27)))</formula>
    </cfRule>
  </conditionalFormatting>
  <conditionalFormatting sqref="E114">
    <cfRule type="containsText" dxfId="10142" priority="322" operator="containsText" text="Buy">
      <formula>NOT(ISERROR(SEARCH("Buy",E114)))</formula>
    </cfRule>
    <cfRule type="containsText" dxfId="10141" priority="323" operator="containsText" text="Sell">
      <formula>NOT(ISERROR(SEARCH("Sell",E114)))</formula>
    </cfRule>
  </conditionalFormatting>
  <conditionalFormatting sqref="E168">
    <cfRule type="containsText" dxfId="10140" priority="320" operator="containsText" text="Buy">
      <formula>NOT(ISERROR(SEARCH("Buy",E168)))</formula>
    </cfRule>
    <cfRule type="containsText" dxfId="10139" priority="321" operator="containsText" text="Sell">
      <formula>NOT(ISERROR(SEARCH("Sell",E168)))</formula>
    </cfRule>
  </conditionalFormatting>
  <conditionalFormatting sqref="E123">
    <cfRule type="containsText" dxfId="10138" priority="318" operator="containsText" text="Buy">
      <formula>NOT(ISERROR(SEARCH("Buy",E123)))</formula>
    </cfRule>
    <cfRule type="containsText" dxfId="10137" priority="319" operator="containsText" text="Sell">
      <formula>NOT(ISERROR(SEARCH("Sell",E123)))</formula>
    </cfRule>
  </conditionalFormatting>
  <conditionalFormatting sqref="E58">
    <cfRule type="containsText" dxfId="10136" priority="316" operator="containsText" text="Buy">
      <formula>NOT(ISERROR(SEARCH("Buy",E58)))</formula>
    </cfRule>
    <cfRule type="containsText" dxfId="10135" priority="317" operator="containsText" text="Sell">
      <formula>NOT(ISERROR(SEARCH("Sell",E58)))</formula>
    </cfRule>
  </conditionalFormatting>
  <conditionalFormatting sqref="E113">
    <cfRule type="containsText" dxfId="10134" priority="310" operator="containsText" text="Buy">
      <formula>NOT(ISERROR(SEARCH("Buy",E113)))</formula>
    </cfRule>
    <cfRule type="containsText" dxfId="10133" priority="311" operator="containsText" text="Sell">
      <formula>NOT(ISERROR(SEARCH("Sell",E113)))</formula>
    </cfRule>
  </conditionalFormatting>
  <conditionalFormatting sqref="E214">
    <cfRule type="containsText" dxfId="10132" priority="314" operator="containsText" text="Buy">
      <formula>NOT(ISERROR(SEARCH("Buy",E214)))</formula>
    </cfRule>
    <cfRule type="containsText" dxfId="10131" priority="315" operator="containsText" text="Sell">
      <formula>NOT(ISERROR(SEARCH("Sell",E214)))</formula>
    </cfRule>
  </conditionalFormatting>
  <conditionalFormatting sqref="E153">
    <cfRule type="containsText" dxfId="10130" priority="302" operator="containsText" text="Buy">
      <formula>NOT(ISERROR(SEARCH("Buy",E153)))</formula>
    </cfRule>
    <cfRule type="containsText" dxfId="10129" priority="303" operator="containsText" text="Sell">
      <formula>NOT(ISERROR(SEARCH("Sell",E153)))</formula>
    </cfRule>
  </conditionalFormatting>
  <conditionalFormatting sqref="E268">
    <cfRule type="containsText" dxfId="10128" priority="312" operator="containsText" text="Buy">
      <formula>NOT(ISERROR(SEARCH("Buy",E268)))</formula>
    </cfRule>
    <cfRule type="containsText" dxfId="10127" priority="313" operator="containsText" text="Sell">
      <formula>NOT(ISERROR(SEARCH("Sell",E268)))</formula>
    </cfRule>
  </conditionalFormatting>
  <conditionalFormatting sqref="E186">
    <cfRule type="containsText" dxfId="10126" priority="308" operator="containsText" text="Buy">
      <formula>NOT(ISERROR(SEARCH("Buy",E186)))</formula>
    </cfRule>
    <cfRule type="containsText" dxfId="10125" priority="309" operator="containsText" text="Sell">
      <formula>NOT(ISERROR(SEARCH("Sell",E186)))</formula>
    </cfRule>
  </conditionalFormatting>
  <conditionalFormatting sqref="E33">
    <cfRule type="containsText" dxfId="10124" priority="304" operator="containsText" text="Buy">
      <formula>NOT(ISERROR(SEARCH("Buy",E33)))</formula>
    </cfRule>
    <cfRule type="containsText" dxfId="10123" priority="305" operator="containsText" text="Sell">
      <formula>NOT(ISERROR(SEARCH("Sell",E33)))</formula>
    </cfRule>
  </conditionalFormatting>
  <conditionalFormatting sqref="E263">
    <cfRule type="containsText" dxfId="10122" priority="306" operator="containsText" text="Buy">
      <formula>NOT(ISERROR(SEARCH("Buy",E263)))</formula>
    </cfRule>
    <cfRule type="containsText" dxfId="10121" priority="307" operator="containsText" text="Sell">
      <formula>NOT(ISERROR(SEARCH("Sell",E263)))</formula>
    </cfRule>
  </conditionalFormatting>
  <conditionalFormatting sqref="E185">
    <cfRule type="containsText" dxfId="10120" priority="294" operator="containsText" text="Buy">
      <formula>NOT(ISERROR(SEARCH("Buy",E185)))</formula>
    </cfRule>
    <cfRule type="containsText" dxfId="10119" priority="295" operator="containsText" text="Sell">
      <formula>NOT(ISERROR(SEARCH("Sell",E185)))</formula>
    </cfRule>
  </conditionalFormatting>
  <conditionalFormatting sqref="E267">
    <cfRule type="containsText" dxfId="10118" priority="300" operator="containsText" text="Buy">
      <formula>NOT(ISERROR(SEARCH("Buy",E267)))</formula>
    </cfRule>
    <cfRule type="containsText" dxfId="10117" priority="301" operator="containsText" text="Sell">
      <formula>NOT(ISERROR(SEARCH("Sell",E267)))</formula>
    </cfRule>
  </conditionalFormatting>
  <conditionalFormatting sqref="E251">
    <cfRule type="containsText" dxfId="10116" priority="298" operator="containsText" text="Buy">
      <formula>NOT(ISERROR(SEARCH("Buy",E251)))</formula>
    </cfRule>
    <cfRule type="containsText" dxfId="10115" priority="299" operator="containsText" text="Sell">
      <formula>NOT(ISERROR(SEARCH("Sell",E251)))</formula>
    </cfRule>
  </conditionalFormatting>
  <conditionalFormatting sqref="E143">
    <cfRule type="containsText" dxfId="10114" priority="290" operator="containsText" text="Buy">
      <formula>NOT(ISERROR(SEARCH("Buy",E143)))</formula>
    </cfRule>
    <cfRule type="containsText" dxfId="10113" priority="291" operator="containsText" text="Sell">
      <formula>NOT(ISERROR(SEARCH("Sell",E143)))</formula>
    </cfRule>
  </conditionalFormatting>
  <conditionalFormatting sqref="E73">
    <cfRule type="containsText" dxfId="10112" priority="288" operator="containsText" text="Buy">
      <formula>NOT(ISERROR(SEARCH("Buy",E73)))</formula>
    </cfRule>
    <cfRule type="containsText" dxfId="10111" priority="289" operator="containsText" text="Sell">
      <formula>NOT(ISERROR(SEARCH("Sell",E73)))</formula>
    </cfRule>
  </conditionalFormatting>
  <conditionalFormatting sqref="E213">
    <cfRule type="containsText" dxfId="10110" priority="296" operator="containsText" text="Buy">
      <formula>NOT(ISERROR(SEARCH("Buy",E213)))</formula>
    </cfRule>
    <cfRule type="containsText" dxfId="10109" priority="297" operator="containsText" text="Sell">
      <formula>NOT(ISERROR(SEARCH("Sell",E213)))</formula>
    </cfRule>
  </conditionalFormatting>
  <conditionalFormatting sqref="E184">
    <cfRule type="containsText" dxfId="10108" priority="292" operator="containsText" text="Buy">
      <formula>NOT(ISERROR(SEARCH("Buy",E184)))</formula>
    </cfRule>
    <cfRule type="containsText" dxfId="10107" priority="293" operator="containsText" text="Sell">
      <formula>NOT(ISERROR(SEARCH("Sell",E184)))</formula>
    </cfRule>
  </conditionalFormatting>
  <conditionalFormatting sqref="E105">
    <cfRule type="containsText" dxfId="10106" priority="272" operator="containsText" text="Buy">
      <formula>NOT(ISERROR(SEARCH("Buy",E105)))</formula>
    </cfRule>
    <cfRule type="containsText" dxfId="10105" priority="273" operator="containsText" text="Sell">
      <formula>NOT(ISERROR(SEARCH("Sell",E105)))</formula>
    </cfRule>
  </conditionalFormatting>
  <conditionalFormatting sqref="E55">
    <cfRule type="containsText" dxfId="10104" priority="286" operator="containsText" text="Buy">
      <formula>NOT(ISERROR(SEARCH("Buy",E55)))</formula>
    </cfRule>
    <cfRule type="containsText" dxfId="10103" priority="287" operator="containsText" text="Sell">
      <formula>NOT(ISERROR(SEARCH("Sell",E55)))</formula>
    </cfRule>
  </conditionalFormatting>
  <conditionalFormatting sqref="E133:E135">
    <cfRule type="containsText" dxfId="10102" priority="278" operator="containsText" text="Buy">
      <formula>NOT(ISERROR(SEARCH("Buy",E133)))</formula>
    </cfRule>
    <cfRule type="containsText" dxfId="10101" priority="279" operator="containsText" text="Sell">
      <formula>NOT(ISERROR(SEARCH("Sell",E133)))</formula>
    </cfRule>
  </conditionalFormatting>
  <conditionalFormatting sqref="E93">
    <cfRule type="containsText" dxfId="10100" priority="260" operator="containsText" text="Buy">
      <formula>NOT(ISERROR(SEARCH("Buy",E93)))</formula>
    </cfRule>
    <cfRule type="containsText" dxfId="10099" priority="261" operator="containsText" text="Sell">
      <formula>NOT(ISERROR(SEARCH("Sell",E93)))</formula>
    </cfRule>
  </conditionalFormatting>
  <conditionalFormatting sqref="E111">
    <cfRule type="containsText" dxfId="10098" priority="274" operator="containsText" text="Buy">
      <formula>NOT(ISERROR(SEARCH("Buy",E111)))</formula>
    </cfRule>
    <cfRule type="containsText" dxfId="10097" priority="275" operator="containsText" text="Sell">
      <formula>NOT(ISERROR(SEARCH("Sell",E111)))</formula>
    </cfRule>
  </conditionalFormatting>
  <conditionalFormatting sqref="E217">
    <cfRule type="containsText" dxfId="10096" priority="258" operator="containsText" text="Buy">
      <formula>NOT(ISERROR(SEARCH("Buy",E217)))</formula>
    </cfRule>
    <cfRule type="containsText" dxfId="10095" priority="259" operator="containsText" text="Sell">
      <formula>NOT(ISERROR(SEARCH("Sell",E217)))</formula>
    </cfRule>
  </conditionalFormatting>
  <conditionalFormatting sqref="E220">
    <cfRule type="containsText" dxfId="10094" priority="284" operator="containsText" text="Buy">
      <formula>NOT(ISERROR(SEARCH("Buy",E220)))</formula>
    </cfRule>
    <cfRule type="containsText" dxfId="10093" priority="285" operator="containsText" text="Sell">
      <formula>NOT(ISERROR(SEARCH("Sell",E220)))</formula>
    </cfRule>
  </conditionalFormatting>
  <conditionalFormatting sqref="E218">
    <cfRule type="containsText" dxfId="10092" priority="262" operator="containsText" text="Buy">
      <formula>NOT(ISERROR(SEARCH("Buy",E218)))</formula>
    </cfRule>
    <cfRule type="containsText" dxfId="10091" priority="263" operator="containsText" text="Sell">
      <formula>NOT(ISERROR(SEARCH("Sell",E218)))</formula>
    </cfRule>
  </conditionalFormatting>
  <conditionalFormatting sqref="E36">
    <cfRule type="containsText" dxfId="10090" priority="282" operator="containsText" text="Buy">
      <formula>NOT(ISERROR(SEARCH("Buy",E36)))</formula>
    </cfRule>
    <cfRule type="containsText" dxfId="10089" priority="283" operator="containsText" text="Sell">
      <formula>NOT(ISERROR(SEARCH("Sell",E36)))</formula>
    </cfRule>
  </conditionalFormatting>
  <conditionalFormatting sqref="E59:E60">
    <cfRule type="containsText" dxfId="10088" priority="280" operator="containsText" text="Buy">
      <formula>NOT(ISERROR(SEARCH("Buy",E59)))</formula>
    </cfRule>
    <cfRule type="containsText" dxfId="10087" priority="281" operator="containsText" text="Sell">
      <formula>NOT(ISERROR(SEARCH("Sell",E59)))</formula>
    </cfRule>
  </conditionalFormatting>
  <conditionalFormatting sqref="E112">
    <cfRule type="containsText" dxfId="10086" priority="276" operator="containsText" text="Buy">
      <formula>NOT(ISERROR(SEARCH("Buy",E112)))</formula>
    </cfRule>
    <cfRule type="containsText" dxfId="10085" priority="277" operator="containsText" text="Sell">
      <formula>NOT(ISERROR(SEARCH("Sell",E112)))</formula>
    </cfRule>
  </conditionalFormatting>
  <conditionalFormatting sqref="E110">
    <cfRule type="containsText" dxfId="10084" priority="270" operator="containsText" text="Buy">
      <formula>NOT(ISERROR(SEARCH("Buy",E110)))</formula>
    </cfRule>
    <cfRule type="containsText" dxfId="10083" priority="271" operator="containsText" text="Sell">
      <formula>NOT(ISERROR(SEARCH("Sell",E110)))</formula>
    </cfRule>
  </conditionalFormatting>
  <conditionalFormatting sqref="E109">
    <cfRule type="containsText" dxfId="10082" priority="268" operator="containsText" text="Buy">
      <formula>NOT(ISERROR(SEARCH("Buy",E109)))</formula>
    </cfRule>
    <cfRule type="containsText" dxfId="10081" priority="269" operator="containsText" text="Sell">
      <formula>NOT(ISERROR(SEARCH("Sell",E109)))</formula>
    </cfRule>
  </conditionalFormatting>
  <conditionalFormatting sqref="E219">
    <cfRule type="containsText" dxfId="10080" priority="266" operator="containsText" text="Buy">
      <formula>NOT(ISERROR(SEARCH("Buy",E219)))</formula>
    </cfRule>
    <cfRule type="containsText" dxfId="10079" priority="267" operator="containsText" text="Sell">
      <formula>NOT(ISERROR(SEARCH("Sell",E219)))</formula>
    </cfRule>
  </conditionalFormatting>
  <conditionalFormatting sqref="E94:E95">
    <cfRule type="containsText" dxfId="10078" priority="264" operator="containsText" text="Buy">
      <formula>NOT(ISERROR(SEARCH("Buy",E94)))</formula>
    </cfRule>
    <cfRule type="containsText" dxfId="10077" priority="265" operator="containsText" text="Sell">
      <formula>NOT(ISERROR(SEARCH("Sell",E94)))</formula>
    </cfRule>
  </conditionalFormatting>
  <conditionalFormatting sqref="E100">
    <cfRule type="containsText" dxfId="10076" priority="256" operator="containsText" text="Buy">
      <formula>NOT(ISERROR(SEARCH("Buy",E100)))</formula>
    </cfRule>
    <cfRule type="containsText" dxfId="10075" priority="257" operator="containsText" text="Sell">
      <formula>NOT(ISERROR(SEARCH("Sell",E100)))</formula>
    </cfRule>
  </conditionalFormatting>
  <conditionalFormatting sqref="E104">
    <cfRule type="containsText" dxfId="10074" priority="254" operator="containsText" text="Buy">
      <formula>NOT(ISERROR(SEARCH("Buy",E104)))</formula>
    </cfRule>
    <cfRule type="containsText" dxfId="10073" priority="255" operator="containsText" text="Sell">
      <formula>NOT(ISERROR(SEARCH("Sell",E104)))</formula>
    </cfRule>
  </conditionalFormatting>
  <conditionalFormatting sqref="E99">
    <cfRule type="containsText" dxfId="10072" priority="252" operator="containsText" text="Buy">
      <formula>NOT(ISERROR(SEARCH("Buy",E99)))</formula>
    </cfRule>
    <cfRule type="containsText" dxfId="10071" priority="253" operator="containsText" text="Sell">
      <formula>NOT(ISERROR(SEARCH("Sell",E99)))</formula>
    </cfRule>
  </conditionalFormatting>
  <conditionalFormatting sqref="E26">
    <cfRule type="containsText" dxfId="10070" priority="250" operator="containsText" text="Buy">
      <formula>NOT(ISERROR(SEARCH("Buy",E26)))</formula>
    </cfRule>
    <cfRule type="containsText" dxfId="10069" priority="251" operator="containsText" text="Sell">
      <formula>NOT(ISERROR(SEARCH("Sell",E26)))</formula>
    </cfRule>
  </conditionalFormatting>
  <conditionalFormatting sqref="E25">
    <cfRule type="containsText" dxfId="10068" priority="248" operator="containsText" text="Buy">
      <formula>NOT(ISERROR(SEARCH("Buy",E25)))</formula>
    </cfRule>
    <cfRule type="containsText" dxfId="10067" priority="249" operator="containsText" text="Sell">
      <formula>NOT(ISERROR(SEARCH("Sell",E25)))</formula>
    </cfRule>
  </conditionalFormatting>
  <conditionalFormatting sqref="E29">
    <cfRule type="containsText" dxfId="10066" priority="246" operator="containsText" text="Buy">
      <formula>NOT(ISERROR(SEARCH("Buy",E29)))</formula>
    </cfRule>
    <cfRule type="containsText" dxfId="10065" priority="247" operator="containsText" text="Sell">
      <formula>NOT(ISERROR(SEARCH("Sell",E29)))</formula>
    </cfRule>
  </conditionalFormatting>
  <conditionalFormatting sqref="E28">
    <cfRule type="containsText" dxfId="10064" priority="244" operator="containsText" text="Buy">
      <formula>NOT(ISERROR(SEARCH("Buy",E28)))</formula>
    </cfRule>
    <cfRule type="containsText" dxfId="10063" priority="245" operator="containsText" text="Sell">
      <formula>NOT(ISERROR(SEARCH("Sell",E28)))</formula>
    </cfRule>
  </conditionalFormatting>
  <conditionalFormatting sqref="E32">
    <cfRule type="containsText" dxfId="10062" priority="242" operator="containsText" text="Buy">
      <formula>NOT(ISERROR(SEARCH("Buy",E32)))</formula>
    </cfRule>
    <cfRule type="containsText" dxfId="10061" priority="243" operator="containsText" text="Sell">
      <formula>NOT(ISERROR(SEARCH("Sell",E32)))</formula>
    </cfRule>
  </conditionalFormatting>
  <conditionalFormatting sqref="I4:J4">
    <cfRule type="dataBar" priority="2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{5E1D4CB0-B7DF-49C3-B8D9-9F337D7BE108}</x14:id>
        </ext>
      </extLst>
    </cfRule>
  </conditionalFormatting>
  <conditionalFormatting sqref="I4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{2F81A8F4-A0A8-4D6E-B87C-082BFF31AC49}</x14:id>
        </ext>
      </extLst>
    </cfRule>
  </conditionalFormatting>
  <conditionalFormatting sqref="T4:X4 R4:R7 R10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{137A1E3D-862C-4C70-99D0-EF08D4E573EB}</x14:id>
        </ext>
      </extLst>
    </cfRule>
  </conditionalFormatting>
  <conditionalFormatting sqref="X4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{F5DD5BEA-B752-4FAE-8DE1-B3486CBE7835}</x14:id>
        </ext>
      </extLst>
    </cfRule>
  </conditionalFormatting>
  <conditionalFormatting sqref="R4:R7 R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{50FADE15-90F0-4B86-AF48-778F1A64ACD5}</x14:id>
        </ext>
      </extLst>
    </cfRule>
  </conditionalFormatting>
  <conditionalFormatting sqref="T4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{022CFB19-1435-4DA8-9E51-CAAE08ED2980}</x14:id>
        </ext>
      </extLst>
    </cfRule>
  </conditionalFormatting>
  <conditionalFormatting sqref="U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{9FBD545D-60D4-4073-B008-1BC0B756DA00}</x14:id>
        </ext>
      </extLst>
    </cfRule>
  </conditionalFormatting>
  <conditionalFormatting sqref="V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{97579F56-F591-42AE-959B-F788DC41A557}</x14:id>
        </ext>
      </extLst>
    </cfRule>
  </conditionalFormatting>
  <conditionalFormatting sqref="W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{ED0F7502-FB13-4C16-8BA7-27C83FD97141}</x14:id>
        </ext>
      </extLst>
    </cfRule>
  </conditionalFormatting>
  <conditionalFormatting sqref="Y4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{B25ADA54-2934-4CF6-AE99-494707A3A851}</x14:id>
        </ext>
      </extLst>
    </cfRule>
  </conditionalFormatting>
  <conditionalFormatting sqref="T4:Y4 R4:R7 R10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{8B663CB1-5DA6-4269-9440-1AC6B8DDA0DC}</x14:id>
        </ext>
      </extLst>
    </cfRule>
  </conditionalFormatting>
  <conditionalFormatting sqref="J4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{570E09EE-5AE7-4078-8261-69A4319AB584}</x14:id>
        </ext>
      </extLst>
    </cfRule>
  </conditionalFormatting>
  <conditionalFormatting sqref="I4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{985E5345-372F-43BE-851F-0D01AFED3292}</x14:id>
        </ext>
      </extLst>
    </cfRule>
  </conditionalFormatting>
  <conditionalFormatting sqref="J4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{BABB5F51-4123-4ABD-AE90-448382B0124E}</x14:id>
        </ext>
      </extLst>
    </cfRule>
  </conditionalFormatting>
  <conditionalFormatting sqref="I4:J4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{92D1FFD8-4756-44AB-A0C5-5FB0C0676D1C}</x14:id>
        </ext>
      </extLst>
    </cfRule>
  </conditionalFormatting>
  <conditionalFormatting sqref="E35">
    <cfRule type="containsText" dxfId="10060" priority="199" operator="containsText" text="Buy">
      <formula>NOT(ISERROR(SEARCH("Buy",E35)))</formula>
    </cfRule>
    <cfRule type="containsText" dxfId="10059" priority="200" operator="containsText" text="Sell">
      <formula>NOT(ISERROR(SEARCH("Sell",E35)))</formula>
    </cfRule>
  </conditionalFormatting>
  <conditionalFormatting sqref="I10:J10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{CCA79141-1461-4443-9CD7-EDC385132F7A}</x14:id>
        </ext>
      </extLst>
    </cfRule>
  </conditionalFormatting>
  <conditionalFormatting sqref="I10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{4B9F9938-9E56-4157-8487-DCD40B38D324}</x14:id>
        </ext>
      </extLst>
    </cfRule>
  </conditionalFormatting>
  <conditionalFormatting sqref="X10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{ACEC7F21-CDAE-44F3-89A8-F1DA8CB6EAF4}</x14:id>
        </ext>
      </extLst>
    </cfRule>
  </conditionalFormatting>
  <conditionalFormatting sqref="R10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{8E794553-57F0-46C3-9CEF-F1D893511839}</x14:id>
        </ext>
      </extLst>
    </cfRule>
  </conditionalFormatting>
  <conditionalFormatting sqref="T10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{9C04D13E-429A-43C4-AF3C-6BD41F44DC73}</x14:id>
        </ext>
      </extLst>
    </cfRule>
  </conditionalFormatting>
  <conditionalFormatting sqref="U10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{70ABE64F-81F9-4152-B468-8B4CCA6475B1}</x14:id>
        </ext>
      </extLst>
    </cfRule>
  </conditionalFormatting>
  <conditionalFormatting sqref="V1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{EB903398-F84B-4613-BEE0-D9C2C3840CCA}</x14:id>
        </ext>
      </extLst>
    </cfRule>
  </conditionalFormatting>
  <conditionalFormatting sqref="W10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{62D0712D-6811-4D76-A2FC-12CB3C7826E0}</x14:id>
        </ext>
      </extLst>
    </cfRule>
  </conditionalFormatting>
  <conditionalFormatting sqref="Y10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{4181370A-8336-43CB-8C00-674C4EF66754}</x14:id>
        </ext>
      </extLst>
    </cfRule>
  </conditionalFormatting>
  <conditionalFormatting sqref="J10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{353CDB1F-DFFC-48F3-8F25-3E69F49361A0}</x14:id>
        </ext>
      </extLst>
    </cfRule>
  </conditionalFormatting>
  <conditionalFormatting sqref="I10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{D86DD23E-AD27-48F9-83B8-50B2A50F5C79}</x14:id>
        </ext>
      </extLst>
    </cfRule>
  </conditionalFormatting>
  <conditionalFormatting sqref="J10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{43C87B4D-32CD-4ED5-8816-3F54B20487F1}</x14:id>
        </ext>
      </extLst>
    </cfRule>
  </conditionalFormatting>
  <conditionalFormatting sqref="I10:J10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{787D9148-9D66-47DC-8C39-AD465D56BB41}</x14:id>
        </ext>
      </extLst>
    </cfRule>
  </conditionalFormatting>
  <conditionalFormatting sqref="I7:J7 I5:J5">
    <cfRule type="dataBar" priority="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{BA2A8F8D-C46D-491B-BEB7-E2664DB5C301}</x14:id>
        </ext>
      </extLst>
    </cfRule>
  </conditionalFormatting>
  <conditionalFormatting sqref="I7 I5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{AE1E7F0A-986E-469F-9460-429002CBFBC2}</x14:id>
        </ext>
      </extLst>
    </cfRule>
  </conditionalFormatting>
  <conditionalFormatting sqref="X5 X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{9AADF0EC-BFAA-45A6-993E-318FE2EE4DD0}</x14:id>
        </ext>
      </extLst>
    </cfRule>
  </conditionalFormatting>
  <conditionalFormatting sqref="R5 R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{F5D84C6C-F30E-47B5-9C2C-1EFE827C1A6D}</x14:id>
        </ext>
      </extLst>
    </cfRule>
  </conditionalFormatting>
  <conditionalFormatting sqref="T5 T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{3188FC70-6558-45F8-A23F-8CA4CBDCCB78}</x14:id>
        </ext>
      </extLst>
    </cfRule>
  </conditionalFormatting>
  <conditionalFormatting sqref="U7 U5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{C2C58DA5-07C3-4DAE-8B05-885DDB14DB5E}</x14:id>
        </ext>
      </extLst>
    </cfRule>
  </conditionalFormatting>
  <conditionalFormatting sqref="V5 V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{862ADDF2-3C7B-4F13-950F-6484CDC0BAEC}</x14:id>
        </ext>
      </extLst>
    </cfRule>
  </conditionalFormatting>
  <conditionalFormatting sqref="W5 W7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{97A347F4-C845-45E6-A55F-9BFBF575850F}</x14:id>
        </ext>
      </extLst>
    </cfRule>
  </conditionalFormatting>
  <conditionalFormatting sqref="Y5 Y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{F98E8D62-28C0-4439-B699-57C4A0F4C89B}</x14:id>
        </ext>
      </extLst>
    </cfRule>
  </conditionalFormatting>
  <conditionalFormatting sqref="J5 J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{10E7150A-95D5-4110-9668-D98682E3460E}</x14:id>
        </ext>
      </extLst>
    </cfRule>
  </conditionalFormatting>
  <conditionalFormatting sqref="I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{E7309359-BE1C-4045-8DFC-3548F47B1760}</x14:id>
        </ext>
      </extLst>
    </cfRule>
  </conditionalFormatting>
  <conditionalFormatting sqref="J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{2DF2413A-22D4-468A-B5C1-EBA492D47E4F}</x14:id>
        </ext>
      </extLst>
    </cfRule>
  </conditionalFormatting>
  <conditionalFormatting sqref="I7:J7 I5:J5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{CED87732-3AF9-4EF7-84FE-4FFE7DA6E6D5}</x14:id>
        </ext>
      </extLst>
    </cfRule>
  </conditionalFormatting>
  <conditionalFormatting sqref="H15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{21F53D9C-E33D-41E6-A272-36B1CA8F16CA}</x14:id>
        </ext>
      </extLst>
    </cfRule>
    <cfRule type="cellIs" dxfId="10058" priority="583" operator="equal">
      <formula>1</formula>
    </cfRule>
  </conditionalFormatting>
  <conditionalFormatting sqref="I4:I5 I7 I10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{2FAF17E5-C895-4E4D-9292-19233BA98AFB}</x14:id>
        </ext>
      </extLst>
    </cfRule>
  </conditionalFormatting>
  <conditionalFormatting sqref="J4:J5 J7 J10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{F337BC5B-AA87-4C04-9A5B-35A3CC1F6EA1}</x14:id>
        </ext>
      </extLst>
    </cfRule>
  </conditionalFormatting>
  <conditionalFormatting sqref="I6:J6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{A7174B1B-6E2F-429E-A99F-AA03C6DD1E64}</x14:id>
        </ext>
      </extLst>
    </cfRule>
  </conditionalFormatting>
  <conditionalFormatting sqref="I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{06716182-1ADA-4B24-AAA4-FDB6FA0BE536}</x14:id>
        </ext>
      </extLst>
    </cfRule>
  </conditionalFormatting>
  <conditionalFormatting sqref="X6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{A9D224C7-6178-459F-B0CF-86B0C2682C4F}</x14:id>
        </ext>
      </extLst>
    </cfRule>
  </conditionalFormatting>
  <conditionalFormatting sqref="R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{86F7C54D-CF2D-4318-A23B-B8B65A68F3D7}</x14:id>
        </ext>
      </extLst>
    </cfRule>
  </conditionalFormatting>
  <conditionalFormatting sqref="T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{953C1451-990C-4082-8C18-075CB27FB082}</x14:id>
        </ext>
      </extLst>
    </cfRule>
  </conditionalFormatting>
  <conditionalFormatting sqref="U6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{A94F1C6B-C02A-4A43-ACFB-45E14AD61334}</x14:id>
        </ext>
      </extLst>
    </cfRule>
  </conditionalFormatting>
  <conditionalFormatting sqref="V6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{3CE4C45C-1F67-49A4-945C-71F0BAF091B7}</x14:id>
        </ext>
      </extLst>
    </cfRule>
  </conditionalFormatting>
  <conditionalFormatting sqref="W6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{B0E88CF1-B30C-4DC6-B398-1D9CEEC30A5A}</x14:id>
        </ext>
      </extLst>
    </cfRule>
  </conditionalFormatting>
  <conditionalFormatting sqref="Y6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{DDB61207-6FF3-4D36-AE66-3518F064279B}</x14:id>
        </ext>
      </extLst>
    </cfRule>
  </conditionalFormatting>
  <conditionalFormatting sqref="J6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{211B7999-7A48-4FA6-9ABD-7481BE848B9A}</x14:id>
        </ext>
      </extLst>
    </cfRule>
  </conditionalFormatting>
  <conditionalFormatting sqref="I6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{339A74B7-3D33-4F94-905F-12D43F22D15A}</x14:id>
        </ext>
      </extLst>
    </cfRule>
  </conditionalFormatting>
  <conditionalFormatting sqref="J6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{DF98820B-B90C-49FB-A81F-9BC10810E0CE}</x14:id>
        </ext>
      </extLst>
    </cfRule>
  </conditionalFormatting>
  <conditionalFormatting sqref="I6:J6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{A5A8716B-B700-4770-AD4D-6DAA88EB5CC3}</x14:id>
        </ext>
      </extLst>
    </cfRule>
  </conditionalFormatting>
  <conditionalFormatting sqref="I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{7F0E1E1E-2CDE-45F3-B23E-56AC697406E2}</x14:id>
        </ext>
      </extLst>
    </cfRule>
  </conditionalFormatting>
  <conditionalFormatting sqref="J6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{A7C81ABE-9BEC-4DA3-93A5-B451A6262C9C}</x14:id>
        </ext>
      </extLst>
    </cfRule>
  </conditionalFormatting>
  <conditionalFormatting sqref="E39">
    <cfRule type="containsText" dxfId="10057" priority="139" operator="containsText" text="Buy">
      <formula>NOT(ISERROR(SEARCH("Buy",E39)))</formula>
    </cfRule>
    <cfRule type="containsText" dxfId="10056" priority="140" operator="containsText" text="Sell">
      <formula>NOT(ISERROR(SEARCH("Sell",E39)))</formula>
    </cfRule>
  </conditionalFormatting>
  <conditionalFormatting sqref="E37">
    <cfRule type="containsText" dxfId="10055" priority="137" operator="containsText" text="Buy">
      <formula>NOT(ISERROR(SEARCH("Buy",E37)))</formula>
    </cfRule>
    <cfRule type="containsText" dxfId="10054" priority="138" operator="containsText" text="Sell">
      <formula>NOT(ISERROR(SEARCH("Sell",E37)))</formula>
    </cfRule>
  </conditionalFormatting>
  <conditionalFormatting sqref="E31">
    <cfRule type="containsText" dxfId="10053" priority="133" operator="containsText" text="Buy">
      <formula>NOT(ISERROR(SEARCH("Buy",E31)))</formula>
    </cfRule>
    <cfRule type="containsText" dxfId="10052" priority="134" operator="containsText" text="Sell">
      <formula>NOT(ISERROR(SEARCH("Sell",E31)))</formula>
    </cfRule>
  </conditionalFormatting>
  <conditionalFormatting sqref="Q12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{D245F67B-71C9-4AA1-A41A-3F688915F3F2}</x14:id>
        </ext>
      </extLst>
    </cfRule>
  </conditionalFormatting>
  <conditionalFormatting sqref="Q12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{BECFEC7A-FE56-4490-95F4-58A9D6D3FD2E}</x14:id>
        </ext>
      </extLst>
    </cfRule>
  </conditionalFormatting>
  <conditionalFormatting sqref="Q12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{CB528AC6-6A22-4E86-9BA5-AA426D5BEB93}</x14:id>
        </ext>
      </extLst>
    </cfRule>
  </conditionalFormatting>
  <conditionalFormatting sqref="Q12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{12767470-D32E-43E6-B982-15BCC933FAB2}</x14:id>
        </ext>
      </extLst>
    </cfRule>
  </conditionalFormatting>
  <conditionalFormatting sqref="Q12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{0F7904C2-2F34-4A15-A60B-493A584F316B}</x14:id>
        </ext>
      </extLst>
    </cfRule>
  </conditionalFormatting>
  <conditionalFormatting sqref="Q12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{98E9C2A6-1A1B-4BE9-8CD2-DC37A7A75DB9}</x14:id>
        </ext>
      </extLst>
    </cfRule>
  </conditionalFormatting>
  <conditionalFormatting sqref="E34">
    <cfRule type="containsText" dxfId="10051" priority="121" operator="containsText" text="Buy">
      <formula>NOT(ISERROR(SEARCH("Buy",E34)))</formula>
    </cfRule>
    <cfRule type="containsText" dxfId="10050" priority="122" operator="containsText" text="Sell">
      <formula>NOT(ISERROR(SEARCH("Sell",E34)))</formula>
    </cfRule>
  </conditionalFormatting>
  <conditionalFormatting sqref="I4:I7 I10">
    <cfRule type="dataBar" priority="265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{F9827CC6-1FC0-4CC5-9F52-33693F859D3E}</x14:id>
        </ext>
      </extLst>
    </cfRule>
  </conditionalFormatting>
  <conditionalFormatting sqref="J4:J7 J10">
    <cfRule type="dataBar" priority="265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{3D95DD4D-A178-49FB-98FA-F708D73D931F}</x14:id>
        </ext>
      </extLst>
    </cfRule>
  </conditionalFormatting>
  <conditionalFormatting sqref="Q4:Q7 Q10">
    <cfRule type="dataBar" priority="26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{D69246D5-69C8-4D25-9E6A-D3AE5EF8D518}</x14:id>
        </ext>
      </extLst>
    </cfRule>
  </conditionalFormatting>
  <conditionalFormatting sqref="Q4:Q7 Q10">
    <cfRule type="dataBar" priority="26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{A6C729FD-91E7-437E-9882-D9543B996ACB}</x14:id>
        </ext>
      </extLst>
    </cfRule>
  </conditionalFormatting>
  <conditionalFormatting sqref="E38">
    <cfRule type="containsText" dxfId="10049" priority="117" operator="containsText" text="Buy">
      <formula>NOT(ISERROR(SEARCH("Buy",E38)))</formula>
    </cfRule>
    <cfRule type="containsText" dxfId="10048" priority="118" operator="containsText" text="Sell">
      <formula>NOT(ISERROR(SEARCH("Sell",E38)))</formula>
    </cfRule>
  </conditionalFormatting>
  <conditionalFormatting sqref="Y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{A7C7E79A-661F-47C7-B1E2-664C8AF96ACA}</x14:id>
        </ext>
      </extLst>
    </cfRule>
  </conditionalFormatting>
  <conditionalFormatting sqref="T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{417AC041-F6C1-40C1-87C2-014B5A37C7DD}</x14:id>
        </ext>
      </extLst>
    </cfRule>
  </conditionalFormatting>
  <conditionalFormatting sqref="U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{57BBF285-4BB0-4714-9426-8E8E5E4D6BC6}</x14:id>
        </ext>
      </extLst>
    </cfRule>
  </conditionalFormatting>
  <conditionalFormatting sqref="V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{BF0CDFC2-9C12-428A-BBE8-1E3918B0C07D}</x14:id>
        </ext>
      </extLst>
    </cfRule>
  </conditionalFormatting>
  <conditionalFormatting sqref="W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{0726E5B6-023D-4032-9D31-EAE3A439A673}</x14:id>
        </ext>
      </extLst>
    </cfRule>
  </conditionalFormatting>
  <conditionalFormatting sqref="X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{48EAC0C0-83F6-4CBC-B079-80495E893969}</x14:id>
        </ext>
      </extLst>
    </cfRule>
  </conditionalFormatting>
  <conditionalFormatting sqref="Z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{9D8BD7C6-54EC-44F7-8243-1E942004022F}</x14:id>
        </ext>
      </extLst>
    </cfRule>
  </conditionalFormatting>
  <conditionalFormatting sqref="Y10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{463B8C72-56CE-45EF-A3B6-A1F84B50F045}</x14:id>
        </ext>
      </extLst>
    </cfRule>
  </conditionalFormatting>
  <conditionalFormatting sqref="T10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{CBA909C6-889B-484C-8861-90C74DC6712D}</x14:id>
        </ext>
      </extLst>
    </cfRule>
  </conditionalFormatting>
  <conditionalFormatting sqref="U1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{163A8126-298F-47FB-B53F-7A78DFD0CC45}</x14:id>
        </ext>
      </extLst>
    </cfRule>
  </conditionalFormatting>
  <conditionalFormatting sqref="V10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{A91BF5B6-8CB9-4F6D-A809-881F1DD51645}</x14:id>
        </ext>
      </extLst>
    </cfRule>
  </conditionalFormatting>
  <conditionalFormatting sqref="W10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{E684606C-2BF6-434C-BDA4-D91927108543}</x14:id>
        </ext>
      </extLst>
    </cfRule>
  </conditionalFormatting>
  <conditionalFormatting sqref="X10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{B1BD788E-5692-4F04-B58D-1948528D3FE7}</x14:id>
        </ext>
      </extLst>
    </cfRule>
  </conditionalFormatting>
  <conditionalFormatting sqref="Z1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{2B75A639-8DAE-4EC3-8E23-E7602B6E434E}</x14:id>
        </ext>
      </extLst>
    </cfRule>
  </conditionalFormatting>
  <conditionalFormatting sqref="Y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{1A7F0DD7-6F19-4E16-82A2-45272BD1197A}</x14:id>
        </ext>
      </extLst>
    </cfRule>
  </conditionalFormatting>
  <conditionalFormatting sqref="T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{D861750C-A911-460B-B05F-1376F7DED8D5}</x14:id>
        </ext>
      </extLst>
    </cfRule>
  </conditionalFormatting>
  <conditionalFormatting sqref="U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{B7C84992-D8FB-4789-9076-D2D2EAB0CC12}</x14:id>
        </ext>
      </extLst>
    </cfRule>
  </conditionalFormatting>
  <conditionalFormatting sqref="V7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{44514B04-7ABF-4488-8090-2BC87BD15A60}</x14:id>
        </ext>
      </extLst>
    </cfRule>
  </conditionalFormatting>
  <conditionalFormatting sqref="W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{C15AD68C-E61C-48C0-AA9B-A3886E3363D8}</x14:id>
        </ext>
      </extLst>
    </cfRule>
  </conditionalFormatting>
  <conditionalFormatting sqref="X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{17554770-E66A-4883-9C2A-9F608AF317A3}</x14:id>
        </ext>
      </extLst>
    </cfRule>
  </conditionalFormatting>
  <conditionalFormatting sqref="Z5 Z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{8A4BEFDF-FBA8-48E2-B964-2F7340C0423C}</x14:id>
        </ext>
      </extLst>
    </cfRule>
  </conditionalFormatting>
  <conditionalFormatting sqref="Y6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{56B6B466-212E-4881-8A70-516A08DAEFAE}</x14:id>
        </ext>
      </extLst>
    </cfRule>
  </conditionalFormatting>
  <conditionalFormatting sqref="T6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{2CD4589E-3AAA-4F76-AE56-3220AB8D9B73}</x14:id>
        </ext>
      </extLst>
    </cfRule>
  </conditionalFormatting>
  <conditionalFormatting sqref="U6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{CE2567EA-75F7-4DC1-B578-988B0F0807AB}</x14:id>
        </ext>
      </extLst>
    </cfRule>
  </conditionalFormatting>
  <conditionalFormatting sqref="V6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{22F23D29-7966-41A5-B6E3-44D87B1E3A51}</x14:id>
        </ext>
      </extLst>
    </cfRule>
  </conditionalFormatting>
  <conditionalFormatting sqref="W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{535E8BBC-354A-4F2C-8202-C739D59E8E1F}</x14:id>
        </ext>
      </extLst>
    </cfRule>
  </conditionalFormatting>
  <conditionalFormatting sqref="X6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{95585475-B39C-4A88-85A8-47CFCE456B50}</x14:id>
        </ext>
      </extLst>
    </cfRule>
  </conditionalFormatting>
  <conditionalFormatting sqref="Z6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{A6942FE8-DACC-4F31-8AD6-6F07756AA970}</x14:id>
        </ext>
      </extLst>
    </cfRule>
  </conditionalFormatting>
  <conditionalFormatting sqref="T4:X4 R4">
    <cfRule type="dataBar" priority="32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{E8A67229-66DB-4E1A-94FD-EE45F14AB209}</x14:id>
        </ext>
      </extLst>
    </cfRule>
  </conditionalFormatting>
  <conditionalFormatting sqref="T10:X10 R10">
    <cfRule type="dataBar" priority="328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{7C5DFB9A-C372-4365-A6A2-01F593A24D54}</x14:id>
        </ext>
      </extLst>
    </cfRule>
  </conditionalFormatting>
  <conditionalFormatting sqref="T10:Y10 R10">
    <cfRule type="dataBar" priority="32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{3D402D05-A8D8-4168-BAF3-F57E7F8BE08D}</x14:id>
        </ext>
      </extLst>
    </cfRule>
  </conditionalFormatting>
  <conditionalFormatting sqref="T7:X7 R7 T5:X5 R5">
    <cfRule type="dataBar" priority="328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{A680C4CF-675C-4396-A914-43009A8E6611}</x14:id>
        </ext>
      </extLst>
    </cfRule>
  </conditionalFormatting>
  <conditionalFormatting sqref="T7:X7 R7">
    <cfRule type="dataBar" priority="32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{47B05557-1C36-4B99-A0D5-8BEAB969E88B}</x14:id>
        </ext>
      </extLst>
    </cfRule>
  </conditionalFormatting>
  <conditionalFormatting sqref="T7:Y7 R7 T5:Y5 R5">
    <cfRule type="dataBar" priority="32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{B23FFE90-EB15-4420-9AC5-06458AFFB466}</x14:id>
        </ext>
      </extLst>
    </cfRule>
  </conditionalFormatting>
  <conditionalFormatting sqref="T6:X6 R6">
    <cfRule type="dataBar" priority="32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{B7C302B0-4CE3-458B-B4DF-C4C9ED88DF92}</x14:id>
        </ext>
      </extLst>
    </cfRule>
  </conditionalFormatting>
  <conditionalFormatting sqref="T6:Y6 R6">
    <cfRule type="dataBar" priority="32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{FB28CB05-2666-4AA9-BBA4-B6FD9BBCADB1}</x14:id>
        </ext>
      </extLst>
    </cfRule>
  </conditionalFormatting>
  <conditionalFormatting sqref="T4:Y7 R4:R7 R10 T10:Y10">
    <cfRule type="dataBar" priority="32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{CE8B01D9-F551-4491-8783-3A69BF3A6FF5}</x14:id>
        </ext>
      </extLst>
    </cfRule>
  </conditionalFormatting>
  <conditionalFormatting sqref="R4:R7 R10:R12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{4F1B5068-A532-4787-9FC7-01720CF14411}</x14:id>
        </ext>
      </extLst>
    </cfRule>
  </conditionalFormatting>
  <conditionalFormatting sqref="E42">
    <cfRule type="containsText" dxfId="10047" priority="85" operator="containsText" text="Buy">
      <formula>NOT(ISERROR(SEARCH("Buy",E42)))</formula>
    </cfRule>
    <cfRule type="containsText" dxfId="10046" priority="86" operator="containsText" text="Sell">
      <formula>NOT(ISERROR(SEARCH("Sell",E42)))</formula>
    </cfRule>
  </conditionalFormatting>
  <conditionalFormatting sqref="E41">
    <cfRule type="containsText" dxfId="10045" priority="83" operator="containsText" text="Buy">
      <formula>NOT(ISERROR(SEARCH("Buy",E41)))</formula>
    </cfRule>
    <cfRule type="containsText" dxfId="10044" priority="84" operator="containsText" text="Sell">
      <formula>NOT(ISERROR(SEARCH("Sell",E41)))</formula>
    </cfRule>
  </conditionalFormatting>
  <conditionalFormatting sqref="E45">
    <cfRule type="containsText" dxfId="10043" priority="81" operator="containsText" text="Buy">
      <formula>NOT(ISERROR(SEARCH("Buy",E45)))</formula>
    </cfRule>
    <cfRule type="containsText" dxfId="10042" priority="82" operator="containsText" text="Sell">
      <formula>NOT(ISERROR(SEARCH("Sell",E45)))</formula>
    </cfRule>
  </conditionalFormatting>
  <conditionalFormatting sqref="E44">
    <cfRule type="containsText" dxfId="10041" priority="79" operator="containsText" text="Buy">
      <formula>NOT(ISERROR(SEARCH("Buy",E44)))</formula>
    </cfRule>
    <cfRule type="containsText" dxfId="10040" priority="80" operator="containsText" text="Sell">
      <formula>NOT(ISERROR(SEARCH("Sell",E44)))</formula>
    </cfRule>
  </conditionalFormatting>
  <conditionalFormatting sqref="R8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{020F58FB-E336-490C-B556-E0DFF67D528D}</x14:id>
        </ext>
      </extLst>
    </cfRule>
  </conditionalFormatting>
  <conditionalFormatting sqref="R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{207912EA-FF15-431D-B1CF-F42F75CD3DE3}</x14:id>
        </ext>
      </extLst>
    </cfRule>
  </conditionalFormatting>
  <conditionalFormatting sqref="R8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{9D403A3C-FA1A-4003-B08B-1CA31C557C4B}</x14:id>
        </ext>
      </extLst>
    </cfRule>
  </conditionalFormatting>
  <conditionalFormatting sqref="I8:J8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{E0408C0C-78CF-4334-B6B2-910E38B7619E}</x14:id>
        </ext>
      </extLst>
    </cfRule>
  </conditionalFormatting>
  <conditionalFormatting sqref="I8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{1E820283-722C-46E4-BBA5-EEEA881B731C}</x14:id>
        </ext>
      </extLst>
    </cfRule>
  </conditionalFormatting>
  <conditionalFormatting sqref="X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{93775336-F937-40BD-81B6-6D258A18095C}</x14:id>
        </ext>
      </extLst>
    </cfRule>
  </conditionalFormatting>
  <conditionalFormatting sqref="R8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{B5C71620-A0BF-4D7C-905D-15F0239EE920}</x14:id>
        </ext>
      </extLst>
    </cfRule>
  </conditionalFormatting>
  <conditionalFormatting sqref="T8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{2268ED71-3565-4600-9773-A9E0D6C0FFCE}</x14:id>
        </ext>
      </extLst>
    </cfRule>
  </conditionalFormatting>
  <conditionalFormatting sqref="U8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{C1A1A9D5-214B-4CF3-910F-EF28DE81371F}</x14:id>
        </ext>
      </extLst>
    </cfRule>
  </conditionalFormatting>
  <conditionalFormatting sqref="V8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{5D4206A3-780A-48D5-8EAB-877E25463605}</x14:id>
        </ext>
      </extLst>
    </cfRule>
  </conditionalFormatting>
  <conditionalFormatting sqref="W8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{D97B7579-47A4-447B-8910-642EFF232534}</x14:id>
        </ext>
      </extLst>
    </cfRule>
  </conditionalFormatting>
  <conditionalFormatting sqref="Y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{52ACB864-0C36-4D82-8036-FE2BD9EC4A39}</x14:id>
        </ext>
      </extLst>
    </cfRule>
  </conditionalFormatting>
  <conditionalFormatting sqref="J8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{66A4C2DC-E029-4734-9FA5-88A187AB8407}</x14:id>
        </ext>
      </extLst>
    </cfRule>
  </conditionalFormatting>
  <conditionalFormatting sqref="I8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{4BFAEC8D-D945-4C3F-9901-D4590B30860F}</x14:id>
        </ext>
      </extLst>
    </cfRule>
  </conditionalFormatting>
  <conditionalFormatting sqref="J8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{2383AFBF-8868-45CB-AA7D-0A07CE80534A}</x14:id>
        </ext>
      </extLst>
    </cfRule>
  </conditionalFormatting>
  <conditionalFormatting sqref="I8:J8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{6A2F516D-8784-441E-81BF-25623D9C8347}</x14:id>
        </ext>
      </extLst>
    </cfRule>
  </conditionalFormatting>
  <conditionalFormatting sqref="I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{34BF2C18-76DD-4587-9ABF-6F405A2744A0}</x14:id>
        </ext>
      </extLst>
    </cfRule>
  </conditionalFormatting>
  <conditionalFormatting sqref="J8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{A619B895-7915-403A-92AE-49EF7B92E54D}</x14:id>
        </ext>
      </extLst>
    </cfRule>
  </conditionalFormatting>
  <conditionalFormatting sqref="I8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{45612DDA-6846-47F9-8C12-E353BFB7F875}</x14:id>
        </ext>
      </extLst>
    </cfRule>
  </conditionalFormatting>
  <conditionalFormatting sqref="J8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{893C98D5-8F97-4F7B-979B-0EB666F6FA5E}</x14:id>
        </ext>
      </extLst>
    </cfRule>
  </conditionalFormatting>
  <conditionalFormatting sqref="Q8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{ECCEEAD6-CC2A-4840-876C-AFFA89A57AF6}</x14:id>
        </ext>
      </extLst>
    </cfRule>
  </conditionalFormatting>
  <conditionalFormatting sqref="Q8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{778D1252-3963-4591-A42D-3DEDA9451666}</x14:id>
        </ext>
      </extLst>
    </cfRule>
  </conditionalFormatting>
  <conditionalFormatting sqref="Y8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{15F1C9BC-DE32-4F14-95E6-83B3CC46B041}</x14:id>
        </ext>
      </extLst>
    </cfRule>
  </conditionalFormatting>
  <conditionalFormatting sqref="T8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{B4E81A41-0F74-463F-86CB-F4467C784403}</x14:id>
        </ext>
      </extLst>
    </cfRule>
  </conditionalFormatting>
  <conditionalFormatting sqref="U8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{454BE580-02CE-4661-84AE-E4DD7C954262}</x14:id>
        </ext>
      </extLst>
    </cfRule>
  </conditionalFormatting>
  <conditionalFormatting sqref="V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{E6992259-881A-4C71-A9B3-B8FD08B7D3EC}</x14:id>
        </ext>
      </extLst>
    </cfRule>
  </conditionalFormatting>
  <conditionalFormatting sqref="W8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{935F0361-9216-4B0E-BA0E-6DE1BDBA31DE}</x14:id>
        </ext>
      </extLst>
    </cfRule>
  </conditionalFormatting>
  <conditionalFormatting sqref="X8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{50FBF668-3E03-4F69-80BB-6C97B4FB652D}</x14:id>
        </ext>
      </extLst>
    </cfRule>
  </conditionalFormatting>
  <conditionalFormatting sqref="Z8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{700C831E-05E2-4B58-B2B8-5072550394CF}</x14:id>
        </ext>
      </extLst>
    </cfRule>
  </conditionalFormatting>
  <conditionalFormatting sqref="T8:X8 R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{D5481559-51F3-4D97-82D8-C04207089C6B}</x14:id>
        </ext>
      </extLst>
    </cfRule>
  </conditionalFormatting>
  <conditionalFormatting sqref="T8:Y8 R8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{CD47433F-CFB8-4E78-9A9A-67947781C958}</x14:id>
        </ext>
      </extLst>
    </cfRule>
  </conditionalFormatting>
  <conditionalFormatting sqref="T8:Y8 R8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{F124A41D-AF14-44DD-ACA7-9B7CBF644DCC}</x14:id>
        </ext>
      </extLst>
    </cfRule>
  </conditionalFormatting>
  <conditionalFormatting sqref="R8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{E86307EC-EF71-4B03-9BF4-F95504FF1EB7}</x14:id>
        </ext>
      </extLst>
    </cfRule>
  </conditionalFormatting>
  <conditionalFormatting sqref="R9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{F29C0832-76A2-4EBC-A5D0-E38B177E6948}</x14:id>
        </ext>
      </extLst>
    </cfRule>
  </conditionalFormatting>
  <conditionalFormatting sqref="R9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{6350A9A4-75C7-4BF9-BF50-A0F1155FFC76}</x14:id>
        </ext>
      </extLst>
    </cfRule>
  </conditionalFormatting>
  <conditionalFormatting sqref="R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{52ED2426-D8D7-405B-B0AA-3C67837E44FC}</x14:id>
        </ext>
      </extLst>
    </cfRule>
  </conditionalFormatting>
  <conditionalFormatting sqref="I9:J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{C7BCAAD2-8F08-4FE6-8394-40C9FC68F6A4}</x14:id>
        </ext>
      </extLst>
    </cfRule>
  </conditionalFormatting>
  <conditionalFormatting sqref="I9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{6E7A21B6-FB49-4FEB-B426-457286AB7EBD}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{7D4AB94E-084E-4D89-B7D5-393F680AA766}</x14:id>
        </ext>
      </extLst>
    </cfRule>
  </conditionalFormatting>
  <conditionalFormatting sqref="R9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{5D83A0B6-0E4E-41E3-9D09-09AF0464754D}</x14:id>
        </ext>
      </extLst>
    </cfRule>
  </conditionalFormatting>
  <conditionalFormatting sqref="T9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{418EF6BF-EC9C-4C96-8540-3102FD8F174F}</x14:id>
        </ext>
      </extLst>
    </cfRule>
  </conditionalFormatting>
  <conditionalFormatting sqref="U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{A9197D73-28BC-4D1B-8B3A-C1283E628EFC}</x14:id>
        </ext>
      </extLst>
    </cfRule>
  </conditionalFormatting>
  <conditionalFormatting sqref="V9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{3D29AABF-D2F4-498E-BFF2-18EEA39A8069}</x14:id>
        </ext>
      </extLst>
    </cfRule>
  </conditionalFormatting>
  <conditionalFormatting sqref="W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{16A766E5-BEED-4D1F-9375-BD713AD0D273}</x14:id>
        </ext>
      </extLst>
    </cfRule>
  </conditionalFormatting>
  <conditionalFormatting sqref="Y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{1FBD565E-9CD6-40BB-BCBD-ACAE2A4AB7DF}</x14:id>
        </ext>
      </extLst>
    </cfRule>
  </conditionalFormatting>
  <conditionalFormatting sqref="J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{B7305AC3-EDA3-4420-995C-83A180BE118B}</x14:id>
        </ext>
      </extLst>
    </cfRule>
  </conditionalFormatting>
  <conditionalFormatting sqref="I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{85DC3FC8-4CE5-48BE-8102-1D0C83EFB3F0}</x14:id>
        </ext>
      </extLst>
    </cfRule>
  </conditionalFormatting>
  <conditionalFormatting sqref="J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{BBBF3747-5A4A-4AEE-93BD-2F2E440BD7C1}</x14:id>
        </ext>
      </extLst>
    </cfRule>
  </conditionalFormatting>
  <conditionalFormatting sqref="I9:J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{A29BDAB5-7012-44AC-ADA6-34B042D7DBF7}</x14:id>
        </ext>
      </extLst>
    </cfRule>
  </conditionalFormatting>
  <conditionalFormatting sqref="I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{CC035659-835F-4C16-8400-97A58E518C3C}</x14:id>
        </ext>
      </extLst>
    </cfRule>
  </conditionalFormatting>
  <conditionalFormatting sqref="J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{B49B5935-62D1-489D-AA09-FA36A4C8DA3F}</x14:id>
        </ext>
      </extLst>
    </cfRule>
  </conditionalFormatting>
  <conditionalFormatting sqref="I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{0810478B-CC4C-4377-8F95-6BB945FC77CA}</x14:id>
        </ext>
      </extLst>
    </cfRule>
  </conditionalFormatting>
  <conditionalFormatting sqref="J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{84C2D804-043F-484D-8F98-CCB4298A9639}</x14:id>
        </ext>
      </extLst>
    </cfRule>
  </conditionalFormatting>
  <conditionalFormatting sqref="Q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{16DB06D5-636F-4647-A28C-2F0C5C23D868}</x14:id>
        </ext>
      </extLst>
    </cfRule>
  </conditionalFormatting>
  <conditionalFormatting sqref="Q9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{F453DC6B-7FDA-4E25-B10B-5E7AF197A215}</x14:id>
        </ext>
      </extLst>
    </cfRule>
  </conditionalFormatting>
  <conditionalFormatting sqref="Y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{FE6EDFF4-01BE-4062-B970-F4F9501E4114}</x14:id>
        </ext>
      </extLst>
    </cfRule>
  </conditionalFormatting>
  <conditionalFormatting sqref="T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{53B82DEA-4FC5-4EEB-9B31-3A1E0657CA6A}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{71D9A493-BFE8-40C4-844C-3A7C05E5FF5C}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{A9271D10-8A96-4185-82B7-E43D22789B7A}</x14:id>
        </ext>
      </extLst>
    </cfRule>
  </conditionalFormatting>
  <conditionalFormatting sqref="W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{2C1AC0DC-0380-4BBE-8894-4D9A9C9CA8B4}</x14:id>
        </ext>
      </extLst>
    </cfRule>
  </conditionalFormatting>
  <conditionalFormatting sqref="X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{502CA2E6-E406-47BD-8548-2516C8E032E1}</x14:id>
        </ext>
      </extLst>
    </cfRule>
  </conditionalFormatting>
  <conditionalFormatting sqref="Z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{06AF62A5-C790-42D2-A804-068033922272}</x14:id>
        </ext>
      </extLst>
    </cfRule>
  </conditionalFormatting>
  <conditionalFormatting sqref="T9:X9 R9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{C2B38B19-7D27-41D1-B2C0-D46B56FC962F}</x14:id>
        </ext>
      </extLst>
    </cfRule>
  </conditionalFormatting>
  <conditionalFormatting sqref="T9:Y9 R9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{DCF30582-14DE-41CE-866B-B3804DF60CD1}</x14:id>
        </ext>
      </extLst>
    </cfRule>
  </conditionalFormatting>
  <conditionalFormatting sqref="T9:Y9 R9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{F7772A2D-BB64-40D4-8481-0B994A21B26B}</x14:id>
        </ext>
      </extLst>
    </cfRule>
  </conditionalFormatting>
  <conditionalFormatting sqref="R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{4CFE2251-E75B-431A-AA9B-3E0C4CE2DA73}</x14:id>
        </ext>
      </extLst>
    </cfRule>
  </conditionalFormatting>
  <conditionalFormatting sqref="I4:J12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{2C2B0311-05AC-4007-B98E-B838BC6EDA46}</x14:id>
        </ext>
      </extLst>
    </cfRule>
  </conditionalFormatting>
  <conditionalFormatting sqref="Q4:R12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{A8D74DBB-2EA3-4361-BB0D-436E3077A58E}</x14:id>
        </ext>
      </extLst>
    </cfRule>
  </conditionalFormatting>
  <conditionalFormatting sqref="H17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{F8FDDCEE-9263-4CBF-B30E-4DD88F3721C5}</x14:id>
        </ext>
      </extLst>
    </cfRule>
    <cfRule type="cellIs" dxfId="10039" priority="10" operator="equal">
      <formula>1</formula>
    </cfRule>
  </conditionalFormatting>
  <conditionalFormatting sqref="Q4:Q7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{C0F39D4E-0C65-4D64-B3C9-B10BA65D9A71}</x14:id>
        </ext>
      </extLst>
    </cfRule>
  </conditionalFormatting>
  <conditionalFormatting sqref="Q4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{CAB25C9E-2A9E-4DF1-8C1A-5A5B6421DAAB}</x14:id>
        </ext>
      </extLst>
    </cfRule>
  </conditionalFormatting>
  <conditionalFormatting sqref="Q9:Q1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{1F4FC907-BABA-4BF6-80F0-0D346283B541}</x14:id>
        </ext>
      </extLst>
    </cfRule>
  </conditionalFormatting>
  <conditionalFormatting sqref="Q9:Q1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{D80DA855-16AB-4F55-A75E-EDB0DFB096F0}</x14:id>
        </ext>
      </extLst>
    </cfRule>
  </conditionalFormatting>
  <conditionalFormatting sqref="Q4:Q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{A95CA9F2-A45C-4FD1-8FA8-289A67B9EF13}</x14:id>
        </ext>
      </extLst>
    </cfRule>
  </conditionalFormatting>
  <conditionalFormatting sqref="R4:R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{9421FEEC-DAD7-473C-8699-618DE9746D64}</x14:id>
        </ext>
      </extLst>
    </cfRule>
  </conditionalFormatting>
  <pageMargins left="0.25" right="0.25" top="0.75" bottom="0.75" header="0.3" footer="0.3"/>
  <pageSetup paperSize="9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1D4CB0-B7DF-49C3-B8D9-9F337D7BE1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F81A8F4-A0A8-4D6E-B87C-082BFF31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37A1E3D-862C-4C70-99D0-EF08D4E57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R4:R7 R10</xm:sqref>
        </x14:conditionalFormatting>
        <x14:conditionalFormatting xmlns:xm="http://schemas.microsoft.com/office/excel/2006/main">
          <x14:cfRule type="dataBar" id="{F5DD5BEA-B752-4FAE-8DE1-B3486CBE7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0FADE15-90F0-4B86-AF48-778F1A64AC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R4:R7 R10</xm:sqref>
        </x14:conditionalFormatting>
        <x14:conditionalFormatting xmlns:xm="http://schemas.microsoft.com/office/excel/2006/main">
          <x14:cfRule type="dataBar" id="{022CFB19-1435-4DA8-9E51-CAAE08ED2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FBD545D-60D4-4073-B008-1BC0B756DA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97579F56-F591-42AE-959B-F788DC41A5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D0F7502-FB13-4C16-8BA7-27C83FD971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25ADA54-2934-4CF6-AE99-494707A3A8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B663CB1-5DA6-4269-9440-1AC6B8DDA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T4:Y4 R4:R7 R10</xm:sqref>
        </x14:conditionalFormatting>
        <x14:conditionalFormatting xmlns:xm="http://schemas.microsoft.com/office/excel/2006/main">
          <x14:cfRule type="dataBar" id="{570E09EE-5AE7-4078-8261-69A4319AB5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85E5345-372F-43BE-851F-0D01AFED3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ABB5F51-4123-4ABD-AE90-448382B01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2D1FFD8-4756-44AB-A0C5-5FB0C0676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CCA79141-1461-4443-9CD7-EDC385132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4B9F9938-9E56-4157-8487-DCD40B38D3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EC7F21-CDAE-44F3-89A8-F1DA8CB6E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8E794553-57F0-46C3-9CEF-F1D893511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9C04D13E-429A-43C4-AF3C-6BD41F44D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0ABE64F-81F9-4152-B468-8B4CCA647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B903398-F84B-4613-BEE0-D9C2C3840C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62D0712D-6811-4D76-A2FC-12CB3C7826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181370A-8336-43CB-8C00-674C4EF667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353CDB1F-DFFC-48F3-8F25-3E69F4936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D86DD23E-AD27-48F9-83B8-50B2A50F5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3C87B4D-32CD-4ED5-8816-3F54B20487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87D9148-9D66-47DC-8C39-AD465D56BB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A2A8F8D-C46D-491B-BEB7-E2664DB5C3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AE1E7F0A-986E-469F-9460-429002CBFB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 I5</xm:sqref>
        </x14:conditionalFormatting>
        <x14:conditionalFormatting xmlns:xm="http://schemas.microsoft.com/office/excel/2006/main">
          <x14:cfRule type="dataBar" id="{9AADF0EC-BFAA-45A6-993E-318FE2EE4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 X7</xm:sqref>
        </x14:conditionalFormatting>
        <x14:conditionalFormatting xmlns:xm="http://schemas.microsoft.com/office/excel/2006/main">
          <x14:cfRule type="dataBar" id="{F5D84C6C-F30E-47B5-9C2C-1EFE827C1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 R7</xm:sqref>
        </x14:conditionalFormatting>
        <x14:conditionalFormatting xmlns:xm="http://schemas.microsoft.com/office/excel/2006/main">
          <x14:cfRule type="dataBar" id="{3188FC70-6558-45F8-A23F-8CA4CBDCC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 T7</xm:sqref>
        </x14:conditionalFormatting>
        <x14:conditionalFormatting xmlns:xm="http://schemas.microsoft.com/office/excel/2006/main">
          <x14:cfRule type="dataBar" id="{C2C58DA5-07C3-4DAE-8B05-885DDB14DB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U5</xm:sqref>
        </x14:conditionalFormatting>
        <x14:conditionalFormatting xmlns:xm="http://schemas.microsoft.com/office/excel/2006/main">
          <x14:cfRule type="dataBar" id="{862ADDF2-3C7B-4F13-950F-6484CDC0B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 V7</xm:sqref>
        </x14:conditionalFormatting>
        <x14:conditionalFormatting xmlns:xm="http://schemas.microsoft.com/office/excel/2006/main">
          <x14:cfRule type="dataBar" id="{97A347F4-C845-45E6-A55F-9BFBF5758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 W7</xm:sqref>
        </x14:conditionalFormatting>
        <x14:conditionalFormatting xmlns:xm="http://schemas.microsoft.com/office/excel/2006/main">
          <x14:cfRule type="dataBar" id="{F98E8D62-28C0-4439-B699-57C4A0F4C8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 Y7</xm:sqref>
        </x14:conditionalFormatting>
        <x14:conditionalFormatting xmlns:xm="http://schemas.microsoft.com/office/excel/2006/main">
          <x14:cfRule type="dataBar" id="{10E7150A-95D5-4110-9668-D98682E346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 J7</xm:sqref>
        </x14:conditionalFormatting>
        <x14:conditionalFormatting xmlns:xm="http://schemas.microsoft.com/office/excel/2006/main">
          <x14:cfRule type="dataBar" id="{E7309359-BE1C-4045-8DFC-3548F47B17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DF2413A-22D4-468A-B5C1-EBA492D47E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ED87732-3AF9-4EF7-84FE-4FFE7DA6E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 I5:J5</xm:sqref>
        </x14:conditionalFormatting>
        <x14:conditionalFormatting xmlns:xm="http://schemas.microsoft.com/office/excel/2006/main">
          <x14:cfRule type="dataBar" id="{21F53D9C-E33D-41E6-A272-36B1CA8F16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2FAF17E5-C895-4E4D-9292-19233BA98A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I7 I10</xm:sqref>
        </x14:conditionalFormatting>
        <x14:conditionalFormatting xmlns:xm="http://schemas.microsoft.com/office/excel/2006/main">
          <x14:cfRule type="dataBar" id="{F337BC5B-AA87-4C04-9A5B-35A3CC1F6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J4:J5 J7 J10</xm:sqref>
        </x14:conditionalFormatting>
        <x14:conditionalFormatting xmlns:xm="http://schemas.microsoft.com/office/excel/2006/main">
          <x14:cfRule type="dataBar" id="{A7174B1B-6E2F-429E-A99F-AA03C6DD1E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6716182-1ADA-4B24-AAA4-FDB6FA0BE5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9D224C7-6178-459F-B0CF-86B0C2682C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6F7C54D-CF2D-4318-A23B-B8B65A68F3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953C1451-990C-4082-8C18-075CB27FB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94F1C6B-C02A-4A43-ACFB-45E14AD61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3CE4C45C-1F67-49A4-945C-71F0BAF091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0E88CF1-B30C-4DC6-B398-1D9CEEC30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DB61207-6FF3-4D36-AE66-3518F06427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11B7999-7A48-4FA6-9ABD-7481BE848B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339A74B7-3D33-4F94-905F-12D43F22D1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DF98820B-B90C-49FB-A81F-9BC10810E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A5A8716B-B700-4770-AD4D-6DAA88EB5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F0E1E1E-2CDE-45F3-B23E-56AC69740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C81ABE-9BEC-4DA3-93A5-B451A6262C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D245F67B-71C9-4AA1-A41A-3F688915F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BECFEC7A-FE56-4490-95F4-58A9D6D3FD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528AC6-6A22-4E86-9BA5-AA426D5B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12767470-D32E-43E6-B982-15BCC933FA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0F7904C2-2F34-4A15-A60B-493A584F31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98E9C2A6-1A1B-4BE9-8CD2-DC37A7A75D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F9827CC6-1FC0-4CC5-9F52-33693F859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 I10</xm:sqref>
        </x14:conditionalFormatting>
        <x14:conditionalFormatting xmlns:xm="http://schemas.microsoft.com/office/excel/2006/main">
          <x14:cfRule type="dataBar" id="{3D95DD4D-A178-49FB-98FA-F708D73D9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J4:J7 J10</xm:sqref>
        </x14:conditionalFormatting>
        <x14:conditionalFormatting xmlns:xm="http://schemas.microsoft.com/office/excel/2006/main">
          <x14:cfRule type="dataBar" id="{D69246D5-69C8-4D25-9E6A-D3AE5EF8D5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6C729FD-91E7-437E-9882-D9543B996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 Q10</xm:sqref>
        </x14:conditionalFormatting>
        <x14:conditionalFormatting xmlns:xm="http://schemas.microsoft.com/office/excel/2006/main">
          <x14:cfRule type="dataBar" id="{A7C7E79A-661F-47C7-B1E2-664C8AF96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17AC041-F6C1-40C1-87C2-014B5A37C7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57BBF285-4BB0-4714-9426-8E8E5E4D6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BF0CDFC2-9C12-428A-BBE8-1E3918B0C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726E5B6-023D-4032-9D31-EAE3A439A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8EAC0C0-83F6-4CBC-B079-80495E8939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8BD7C6-54EC-44F7-8243-1E9420040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463B8C72-56CE-45EF-A3B6-A1F84B50F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CBA909C6-889B-484C-8861-90C74DC67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63A8126-298F-47FB-B53F-7A78DFD0C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A91BF5B6-8CB9-4F6D-A809-881F1DD51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84606C-2BF6-434C-BDA4-D91927108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1BD788E-5692-4F04-B58D-1948528D3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B75A639-8DAE-4EC3-8E23-E7602B6E4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A7F0DD7-6F19-4E16-82A2-45272BD119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D861750C-A911-460B-B05F-1376F7DED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7C84992-D8FB-4789-9076-D2D2EAB0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44514B04-7ABF-4488-8090-2BC87BD15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C15AD68C-E61C-48C0-AA9B-A3886E336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17554770-E66A-4883-9C2A-9F608AF31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A4BEFDF-FBA8-48E2-B964-2F7340C0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 Z7</xm:sqref>
        </x14:conditionalFormatting>
        <x14:conditionalFormatting xmlns:xm="http://schemas.microsoft.com/office/excel/2006/main">
          <x14:cfRule type="dataBar" id="{56B6B466-212E-4881-8A70-516A08DAE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CD4589E-3AAA-4F76-AE56-3220AB8D9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CE2567EA-75F7-4DC1-B578-988B0F080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2F23D29-7966-41A5-B6E3-44D87B1E3A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35E8BBC-354A-4F2C-8202-C739D59E8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5585475-B39C-4A88-85A8-47CFCE456B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6942FE8-DACC-4F31-8AD6-6F07756AA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8A67229-66DB-4E1A-94FD-EE45F14AB2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T4:X4 R4</xm:sqref>
        </x14:conditionalFormatting>
        <x14:conditionalFormatting xmlns:xm="http://schemas.microsoft.com/office/excel/2006/main">
          <x14:cfRule type="dataBar" id="{7C5DFB9A-C372-4365-A6A2-01F593A24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T10:X10 R10</xm:sqref>
        </x14:conditionalFormatting>
        <x14:conditionalFormatting xmlns:xm="http://schemas.microsoft.com/office/excel/2006/main">
          <x14:cfRule type="dataBar" id="{3D402D05-A8D8-4168-BAF3-F57E7F8BE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T10:Y10 R10</xm:sqref>
        </x14:conditionalFormatting>
        <x14:conditionalFormatting xmlns:xm="http://schemas.microsoft.com/office/excel/2006/main">
          <x14:cfRule type="dataBar" id="{A680C4CF-675C-4396-A914-43009A8E6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 T5:X5 R5</xm:sqref>
        </x14:conditionalFormatting>
        <x14:conditionalFormatting xmlns:xm="http://schemas.microsoft.com/office/excel/2006/main">
          <x14:cfRule type="dataBar" id="{47B05557-1C36-4B99-A0D5-8BEAB969E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T7:X7 R7</xm:sqref>
        </x14:conditionalFormatting>
        <x14:conditionalFormatting xmlns:xm="http://schemas.microsoft.com/office/excel/2006/main">
          <x14:cfRule type="dataBar" id="{B23FFE90-EB15-4420-9AC5-06458AFFB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T7:Y7 R7 T5:Y5 R5</xm:sqref>
        </x14:conditionalFormatting>
        <x14:conditionalFormatting xmlns:xm="http://schemas.microsoft.com/office/excel/2006/main">
          <x14:cfRule type="dataBar" id="{B7C302B0-4CE3-458B-B4DF-C4C9ED88D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T6:X6 R6</xm:sqref>
        </x14:conditionalFormatting>
        <x14:conditionalFormatting xmlns:xm="http://schemas.microsoft.com/office/excel/2006/main">
          <x14:cfRule type="dataBar" id="{FB28CB05-2666-4AA9-BBA4-B6FD9BBCAD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T6:Y6 R6</xm:sqref>
        </x14:conditionalFormatting>
        <x14:conditionalFormatting xmlns:xm="http://schemas.microsoft.com/office/excel/2006/main">
          <x14:cfRule type="dataBar" id="{CE8B01D9-F551-4491-8783-3A69BF3A6F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T4:Y7 R4:R7 R10 T10:Y10</xm:sqref>
        </x14:conditionalFormatting>
        <x14:conditionalFormatting xmlns:xm="http://schemas.microsoft.com/office/excel/2006/main">
          <x14:cfRule type="dataBar" id="{4F1B5068-A532-4787-9FC7-01720CF14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R4:R7 R10:R12</xm:sqref>
        </x14:conditionalFormatting>
        <x14:conditionalFormatting xmlns:xm="http://schemas.microsoft.com/office/excel/2006/main">
          <x14:cfRule type="dataBar" id="{020F58FB-E336-490C-B556-E0DFF67D5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07912EA-FF15-431D-B1CF-F42F75CD3D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9D403A3C-FA1A-4003-B08B-1CA31C557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E0408C0C-78CF-4334-B6B2-910E38B7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1E820283-722C-46E4-BBA5-EEEA881B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93775336-F937-40BD-81B6-6D258A180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5C71620-A0BF-4D7C-905D-15F0239EE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2268ED71-3565-4600-9773-A9E0D6C0F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C1A1A9D5-214B-4CF3-910F-EF28DE813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D4206A3-780A-48D5-8EAB-877E254636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97B7579-47A4-447B-8910-642EFF232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2ACB864-0C36-4D82-8036-FE2BD9EC4A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4C2DC-E029-4734-9FA5-88A187AB8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BFAEC8D-D945-4C3F-9901-D4590B3086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2383AFBF-8868-45CB-AA7D-0A07CE8053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A2F516D-8784-441E-81BF-25623D9C83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4BF2C18-76DD-4587-9ABF-6F405A2744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A619B895-7915-403A-92AE-49EF7B92E5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5612DDA-6846-47F9-8C12-E353BFB7F8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93C98D5-8F97-4F7B-979B-0EB666F6FA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ECCEEAD6-CC2A-4840-876C-AFFA89A57A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778D1252-3963-4591-A42D-3DEDA9451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15F1C9BC-DE32-4F14-95E6-83B3CC46B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4E81A41-0F74-463F-86CB-F4467C784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454BE580-02CE-4661-84AE-E4DD7C954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6992259-881A-4C71-A9B3-B8FD08B7D3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935F0361-9216-4B0E-BA0E-6DE1BDBA31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0FBF668-3E03-4F69-80BB-6C97B4FB6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00C831E-05E2-4B58-B2B8-507255039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5481559-51F3-4D97-82D8-C0420708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T8:X8 R8</xm:sqref>
        </x14:conditionalFormatting>
        <x14:conditionalFormatting xmlns:xm="http://schemas.microsoft.com/office/excel/2006/main">
          <x14:cfRule type="dataBar" id="{CD47433F-CFB8-4E78-9A9A-67947781C9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F124A41D-AF14-44DD-ACA7-9B7CBF644D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T8:Y8 R8</xm:sqref>
        </x14:conditionalFormatting>
        <x14:conditionalFormatting xmlns:xm="http://schemas.microsoft.com/office/excel/2006/main">
          <x14:cfRule type="dataBar" id="{E86307EC-EF71-4B03-9BF4-F95504FF1E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F29C0832-76A2-4EBC-A5D0-E38B177E6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6350A9A4-75C7-4BF9-BF50-A0F1155F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52ED2426-D8D7-405B-B0AA-3C67837E4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C7BCAAD2-8F08-4FE6-8394-40C9FC68F6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6E7A21B6-FB49-4FEB-B426-457286AB7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7D4AB94E-084E-4D89-B7D5-393F680AA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D83A0B6-0E4E-41E3-9D09-09AF046475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418EF6BF-EC9C-4C96-8540-3102FD8F1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A9197D73-28BC-4D1B-8B3A-C1283E628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3D29AABF-D2F4-498E-BFF2-18EEA39A8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6A766E5-BEED-4D1F-9375-BD713AD0D2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FBD565E-9CD6-40BB-BCBD-ACAE2A4AB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7305AC3-EDA3-4420-995C-83A180BE11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85DC3FC8-4CE5-48BE-8102-1D0C83EFB3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BBF3747-5A4A-4AEE-93BD-2F2E440BD7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A29BDAB5-7012-44AC-ADA6-34B042D7DB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CC035659-835F-4C16-8400-97A58E518C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B49B5935-62D1-489D-AA09-FA36A4C8D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810478B-CC4C-4377-8F95-6BB945FC7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84C2D804-043F-484D-8F98-CCB4298A9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16DB06D5-636F-4647-A28C-2F0C5C23D8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453DC6B-7FDA-4E25-B10B-5E7AF197A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FE6EDFF4-01BE-4062-B970-F4F9501E4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3B82DEA-4FC5-4EEB-9B31-3A1E0657C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71D9A493-BFE8-40C4-844C-3A7C05E5FF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A9271D10-8A96-4185-82B7-E43D22789B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C1AC0DC-0380-4BBE-8894-4D9A9C9CA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02CA2E6-E406-47BD-8548-2516C8E03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6AF62A5-C790-42D2-A804-068033922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C2B38B19-7D27-41D1-B2C0-D46B56FC9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T9:X9 R9</xm:sqref>
        </x14:conditionalFormatting>
        <x14:conditionalFormatting xmlns:xm="http://schemas.microsoft.com/office/excel/2006/main">
          <x14:cfRule type="dataBar" id="{DCF30582-14DE-41CE-866B-B3804DF60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F7772A2D-BB64-40D4-8481-0B994A21B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T9:Y9 R9</xm:sqref>
        </x14:conditionalFormatting>
        <x14:conditionalFormatting xmlns:xm="http://schemas.microsoft.com/office/excel/2006/main">
          <x14:cfRule type="dataBar" id="{4CFE2251-E75B-431A-AA9B-3E0C4CE2DA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2C2B0311-05AC-4007-B98E-B838BC6EDA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I4:J12</xm:sqref>
        </x14:conditionalFormatting>
        <x14:conditionalFormatting xmlns:xm="http://schemas.microsoft.com/office/excel/2006/main">
          <x14:cfRule type="dataBar" id="{A8D74DBB-2EA3-4361-BB0D-436E3077A5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Q4:R12</xm:sqref>
        </x14:conditionalFormatting>
        <x14:conditionalFormatting xmlns:xm="http://schemas.microsoft.com/office/excel/2006/main">
          <x14:cfRule type="dataBar" id="{F8FDDCEE-9263-4CBF-B30E-4DD88F372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C0F39D4E-0C65-4D64-B3C9-B10BA65D9A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CAB25C9E-2A9E-4DF1-8C1A-5A5B6421DA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Q4:Q7</xm:sqref>
        </x14:conditionalFormatting>
        <x14:conditionalFormatting xmlns:xm="http://schemas.microsoft.com/office/excel/2006/main">
          <x14:cfRule type="dataBar" id="{1F4FC907-BABA-4BF6-80F0-0D346283B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D80DA855-16AB-4F55-A75E-EDB0DFB09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Q9:Q10</xm:sqref>
        </x14:conditionalFormatting>
        <x14:conditionalFormatting xmlns:xm="http://schemas.microsoft.com/office/excel/2006/main">
          <x14:cfRule type="dataBar" id="{A95CA9F2-A45C-4FD1-8FA8-289A67B9EF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Q4:Q12</xm:sqref>
        </x14:conditionalFormatting>
        <x14:conditionalFormatting xmlns:xm="http://schemas.microsoft.com/office/excel/2006/main">
          <x14:cfRule type="dataBar" id="{9421FEEC-DAD7-473C-8699-618DE9746D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R4:R12</xm:sqref>
        </x14:conditionalFormatting>
        <x14:conditionalFormatting xmlns:xm="http://schemas.microsoft.com/office/excel/2006/main">
          <x14:cfRule type="containsText" priority="8" operator="containsText" text="Buy" id="{B19A330C-9B53-456F-A58E-8B5E0433C3EF}">
            <xm:f>NOT(ISERROR(SEARCH("Buy",PYUMF!D16)))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9" operator="containsText" text="Sell" id="{7EBB4BF4-4E57-4F15-B1A5-039406601004}">
            <xm:f>NOT(ISERROR(SEARCH("Sell",PYUMF!D16)))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  <pageSetUpPr fitToPage="1"/>
  </sheetPr>
  <dimension ref="A1:AD321"/>
  <sheetViews>
    <sheetView workbookViewId="0">
      <selection activeCell="E14" sqref="E1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769</v>
      </c>
      <c r="B4" s="441" t="e">
        <f ca="1">_xll.BDP(C4,"SECURITY_NAME")</f>
        <v>#NAME?</v>
      </c>
      <c r="C4" s="440" t="s">
        <v>680</v>
      </c>
      <c r="D4" s="442" t="e">
        <f t="shared" ref="D4:D15" ca="1" si="0">N4/$N$16</f>
        <v>#NAME?</v>
      </c>
      <c r="E4" s="443">
        <f>$F$51</f>
        <v>800000</v>
      </c>
      <c r="F4" s="444">
        <f>$H$51</f>
        <v>98.53</v>
      </c>
      <c r="G4" s="444" t="e">
        <f ca="1">_xll.BDP(C4,"PX_BID")</f>
        <v>#NAME?</v>
      </c>
      <c r="H4" s="445" t="e">
        <f ca="1">_xll.BDP($C4,"CRNCY")</f>
        <v>#NAME?</v>
      </c>
      <c r="I4" s="442" t="e">
        <f t="shared" ref="I4:I14" ca="1" si="1">M4/K4-1</f>
        <v>#NAME?</v>
      </c>
      <c r="J4" s="442" t="e">
        <f t="shared" ref="J4:J14" ca="1" si="2">G4/F4-1</f>
        <v>#NAME?</v>
      </c>
      <c r="K4" s="443" t="e">
        <f ca="1">$K$51</f>
        <v>#NAME?</v>
      </c>
      <c r="L4" s="443">
        <f>$J$45</f>
        <v>792000</v>
      </c>
      <c r="M4" s="443" t="e">
        <f t="shared" ref="M4:M14" ca="1" si="3">E4*G4/100 *$I$1</f>
        <v>#NAME?</v>
      </c>
      <c r="N4" s="443" t="e">
        <f t="shared" ref="N4:N15" ca="1" si="4">M4/$I$1</f>
        <v>#NAME?</v>
      </c>
      <c r="O4" s="446" t="e">
        <f t="shared" ref="O4:P14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769</v>
      </c>
      <c r="B5" s="441" t="e">
        <f ca="1">_xll.BDP(C5,"SECURITY_NAME")</f>
        <v>#NAME?</v>
      </c>
      <c r="C5" s="440" t="s">
        <v>757</v>
      </c>
      <c r="D5" s="442" t="e">
        <f t="shared" ca="1" si="0"/>
        <v>#NAME?</v>
      </c>
      <c r="E5" s="443">
        <f>$F$45</f>
        <v>800000</v>
      </c>
      <c r="F5" s="444">
        <f>$H$45</f>
        <v>99</v>
      </c>
      <c r="G5" s="444" t="e">
        <f ca="1">_xll.BDP(C5,"PX_BID")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$K$45</f>
        <v>#NAME?</v>
      </c>
      <c r="L5" s="443">
        <f>$J$45</f>
        <v>792000</v>
      </c>
      <c r="M5" s="443" t="e">
        <f t="shared" ca="1" si="3"/>
        <v>#NAME?</v>
      </c>
      <c r="N5" s="443" t="e">
        <f t="shared" ca="1" si="4"/>
        <v>#NAME?</v>
      </c>
      <c r="O5" s="446" t="e">
        <f t="shared" ca="1" si="5"/>
        <v>#NAME?</v>
      </c>
      <c r="P5" s="446" t="e">
        <f t="shared" ca="1" si="5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769</v>
      </c>
      <c r="B6" s="441" t="e">
        <f ca="1">_xll.BDP(C6,"SECURITY_NAME")</f>
        <v>#NAME?</v>
      </c>
      <c r="C6" s="440" t="s">
        <v>759</v>
      </c>
      <c r="D6" s="442" t="e">
        <f t="shared" ca="1" si="0"/>
        <v>#NAME?</v>
      </c>
      <c r="E6" s="443">
        <f>$F$36</f>
        <v>600000</v>
      </c>
      <c r="F6" s="444">
        <f>$H$36</f>
        <v>99.655000000000001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>$J$36</f>
        <v>597930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5"/>
        <v>#NAME?</v>
      </c>
      <c r="P6" s="446" t="e">
        <f t="shared" ca="1" si="5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761</v>
      </c>
      <c r="D7" s="442" t="e">
        <f t="shared" ca="1" si="0"/>
        <v>#NAME?</v>
      </c>
      <c r="E7" s="443">
        <f>$F$33</f>
        <v>600000</v>
      </c>
      <c r="F7" s="444">
        <f>$H$33</f>
        <v>104.23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$K$33</f>
        <v>#NAME?</v>
      </c>
      <c r="L7" s="443">
        <f>$J$33</f>
        <v>625380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5"/>
        <v>#NAME?</v>
      </c>
      <c r="P7" s="446" t="e">
        <f t="shared" ca="1" si="5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453</v>
      </c>
      <c r="D8" s="442" t="e">
        <f t="shared" ca="1" si="0"/>
        <v>#NAME?</v>
      </c>
      <c r="E8" s="443">
        <f>$F$48</f>
        <v>300000</v>
      </c>
      <c r="F8" s="444">
        <f>$H$48</f>
        <v>103.375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$K$48</f>
        <v>#NAME?</v>
      </c>
      <c r="L8" s="443">
        <f>$J$33</f>
        <v>625380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762</v>
      </c>
      <c r="D9" s="442" t="e">
        <f t="shared" ca="1" si="0"/>
        <v>#NAME?</v>
      </c>
      <c r="E9" s="443">
        <f>$F$54</f>
        <v>600000</v>
      </c>
      <c r="F9" s="444">
        <f>$H$54</f>
        <v>105.98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$K$54</f>
        <v>#NAME?</v>
      </c>
      <c r="L9" s="443">
        <f t="shared" ref="L9:L14" si="6">E9*F9/100</f>
        <v>635880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765</v>
      </c>
      <c r="D10" s="442" t="e">
        <f t="shared" ca="1" si="0"/>
        <v>#NAME?</v>
      </c>
      <c r="E10" s="443">
        <f>$F$30</f>
        <v>600000</v>
      </c>
      <c r="F10" s="444">
        <f>$H$30</f>
        <v>95.53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6"/>
        <v>573180</v>
      </c>
      <c r="M10" s="443" t="e">
        <f t="shared" ca="1" si="3"/>
        <v>#NAME?</v>
      </c>
      <c r="N10" s="443" t="e">
        <f t="shared" ca="1" si="4"/>
        <v>#NAME?</v>
      </c>
      <c r="O10" s="446" t="e">
        <f t="shared" ca="1" si="5"/>
        <v>#NAME?</v>
      </c>
      <c r="P10" s="446" t="e">
        <f t="shared" ca="1" si="5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678</v>
      </c>
      <c r="D11" s="442" t="e">
        <f t="shared" ca="1" si="0"/>
        <v>#NAME?</v>
      </c>
      <c r="E11" s="443">
        <f>$F$39</f>
        <v>300000</v>
      </c>
      <c r="F11" s="444">
        <f>$H$39</f>
        <v>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$K$39</f>
        <v>#NAME?</v>
      </c>
      <c r="L11" s="443">
        <f t="shared" si="6"/>
        <v>294000</v>
      </c>
      <c r="M11" s="443" t="e">
        <f t="shared" ca="1" si="3"/>
        <v>#NAME?</v>
      </c>
      <c r="N11" s="443" t="e">
        <f t="shared" ca="1" si="4"/>
        <v>#NAME?</v>
      </c>
      <c r="O11" s="446" t="e">
        <f t="shared" ca="1" si="5"/>
        <v>#NAME?</v>
      </c>
      <c r="P11" s="446" t="e">
        <f t="shared" ca="1" si="5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753</v>
      </c>
      <c r="D12" s="442" t="e">
        <f t="shared" ca="1" si="0"/>
        <v>#NAME?</v>
      </c>
      <c r="E12" s="443">
        <f>$F$42</f>
        <v>350000</v>
      </c>
      <c r="F12" s="444">
        <f>$H$42</f>
        <v>101.25</v>
      </c>
      <c r="G12" s="444" t="e">
        <f ca="1">_xll.BDP(C12,"PX_BID")</f>
        <v>#NAME?</v>
      </c>
      <c r="H12" s="445" t="e">
        <f ca="1">_xll.BDP($C12,"CRNCY")</f>
        <v>#NAME?</v>
      </c>
      <c r="I12" s="442" t="e">
        <f t="shared" ca="1" si="1"/>
        <v>#NAME?</v>
      </c>
      <c r="J12" s="442" t="e">
        <f t="shared" ca="1" si="2"/>
        <v>#NAME?</v>
      </c>
      <c r="K12" s="443" t="e">
        <f ca="1">$K$42</f>
        <v>#NAME?</v>
      </c>
      <c r="L12" s="443">
        <f t="shared" si="6"/>
        <v>354375</v>
      </c>
      <c r="M12" s="443" t="e">
        <f t="shared" ca="1" si="3"/>
        <v>#NAME?</v>
      </c>
      <c r="N12" s="443" t="e">
        <f t="shared" ca="1" si="4"/>
        <v>#NAME?</v>
      </c>
      <c r="O12" s="446" t="e">
        <f t="shared" ca="1" si="5"/>
        <v>#NAME?</v>
      </c>
      <c r="P12" s="446" t="e">
        <f t="shared" ca="1" si="5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167</v>
      </c>
      <c r="D13" s="442" t="e">
        <f t="shared" ca="1" si="0"/>
        <v>#NAME?</v>
      </c>
      <c r="E13" s="443">
        <f>$F$60</f>
        <v>300000</v>
      </c>
      <c r="F13" s="444">
        <f>$H$60</f>
        <v>108.25</v>
      </c>
      <c r="G13" s="444" t="e">
        <f ca="1">_xll.BDP(C13,"PX_BID")</f>
        <v>#NAME?</v>
      </c>
      <c r="H13" s="445" t="e">
        <f ca="1">_xll.BDP($C13,"CRNCY")</f>
        <v>#NAME?</v>
      </c>
      <c r="I13" s="442" t="e">
        <f t="shared" ca="1" si="1"/>
        <v>#NAME?</v>
      </c>
      <c r="J13" s="442" t="e">
        <f t="shared" ca="1" si="2"/>
        <v>#NAME?</v>
      </c>
      <c r="K13" s="443" t="e">
        <f ca="1">$K$60</f>
        <v>#NAME?</v>
      </c>
      <c r="L13" s="443">
        <f t="shared" si="6"/>
        <v>324750</v>
      </c>
      <c r="M13" s="443" t="e">
        <f t="shared" ca="1" si="3"/>
        <v>#NAME?</v>
      </c>
      <c r="N13" s="443" t="e">
        <f t="shared" ca="1" si="4"/>
        <v>#NAME?</v>
      </c>
      <c r="O13" s="446" t="e">
        <f t="shared" ca="1" si="5"/>
        <v>#NAME?</v>
      </c>
      <c r="P13" s="446" t="e">
        <f t="shared" ca="1" si="5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225</v>
      </c>
      <c r="D14" s="442" t="e">
        <f t="shared" ca="1" si="0"/>
        <v>#NAME?</v>
      </c>
      <c r="E14" s="443">
        <f>$F$57</f>
        <v>660000</v>
      </c>
      <c r="F14" s="444">
        <f>$H$57</f>
        <v>98.75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t="shared" ca="1" si="1"/>
        <v>#NAME?</v>
      </c>
      <c r="J14" s="442" t="e">
        <f t="shared" ca="1" si="2"/>
        <v>#NAME?</v>
      </c>
      <c r="K14" s="443" t="e">
        <f ca="1">$K$57</f>
        <v>#NAME?</v>
      </c>
      <c r="L14" s="443">
        <f t="shared" si="6"/>
        <v>651750</v>
      </c>
      <c r="M14" s="443" t="e">
        <f t="shared" ca="1" si="3"/>
        <v>#NAME?</v>
      </c>
      <c r="N14" s="443" t="e">
        <f t="shared" ca="1" si="4"/>
        <v>#NAME?</v>
      </c>
      <c r="O14" s="446" t="e">
        <f t="shared" ca="1" si="5"/>
        <v>#NAME?</v>
      </c>
      <c r="P14" s="446" t="e">
        <f t="shared" ca="1" si="5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x14ac:dyDescent="0.2">
      <c r="B15" s="68" t="s">
        <v>106</v>
      </c>
      <c r="C15" s="68" t="s">
        <v>106</v>
      </c>
      <c r="D15" s="101" t="e">
        <f t="shared" ca="1" si="0"/>
        <v>#NAME?</v>
      </c>
      <c r="E15" s="101"/>
      <c r="F15" s="101"/>
      <c r="G15" s="66"/>
      <c r="H15" s="177"/>
      <c r="I15" s="179"/>
      <c r="J15" s="179"/>
      <c r="K15" s="64"/>
      <c r="L15" s="322"/>
      <c r="M15" s="64"/>
      <c r="N15" s="64" t="e">
        <f t="shared" ca="1" si="4"/>
        <v>#NAME?</v>
      </c>
      <c r="O15" s="61"/>
      <c r="P15" s="61"/>
      <c r="Q15" s="61"/>
      <c r="R15" s="420" t="e">
        <f ca="1">N15</f>
        <v>#NAME?</v>
      </c>
      <c r="S15" s="177"/>
      <c r="T15" s="177"/>
      <c r="U15" s="177"/>
      <c r="V15" s="177"/>
      <c r="W15" s="177"/>
      <c r="X15" s="177"/>
      <c r="Y15" s="177"/>
      <c r="Z15" s="177"/>
    </row>
    <row r="16" spans="1:30" ht="13.5" customHeight="1" thickBot="1" x14ac:dyDescent="0.25">
      <c r="B16" s="421"/>
      <c r="C16" s="421"/>
      <c r="D16" s="475" t="e">
        <f ca="1">SUM(D4:D15)</f>
        <v>#NAME?</v>
      </c>
      <c r="E16" s="421"/>
      <c r="F16" s="421"/>
      <c r="G16" s="421"/>
      <c r="H16" s="423"/>
      <c r="I16" s="421"/>
      <c r="J16" s="421"/>
      <c r="K16" s="424" t="e">
        <f ca="1">SUM(K4:K15)</f>
        <v>#NAME?</v>
      </c>
      <c r="L16" s="424">
        <f>SUM(L4:L14)</f>
        <v>6266625</v>
      </c>
      <c r="M16" s="424" t="e">
        <f ca="1">SUM(M4:M15)</f>
        <v>#NAME?</v>
      </c>
      <c r="N16" s="476" t="e">
        <f ca="1">SUM(N4:N15)</f>
        <v>#NAME?</v>
      </c>
      <c r="O16" s="477" t="e">
        <f ca="1">SUM(O4:O14)</f>
        <v>#NAME?</v>
      </c>
      <c r="P16" s="477" t="e">
        <f ca="1">SUM(P4:P14)</f>
        <v>#NAME?</v>
      </c>
      <c r="Q16" s="472" t="e">
        <f ca="1">SUMPRODUCT(D4:D14,Q4:Q14)</f>
        <v>#NAME?</v>
      </c>
      <c r="R16" s="471" t="e">
        <f ca="1">SUM(R4:R15)</f>
        <v>#NAME?</v>
      </c>
      <c r="S16" s="55"/>
      <c r="T16" s="55"/>
      <c r="U16" s="55"/>
      <c r="V16" s="55"/>
      <c r="W16" s="55"/>
      <c r="X16" s="55"/>
      <c r="Y16" s="55"/>
      <c r="Z16" s="55"/>
    </row>
    <row r="17" spans="2:22" ht="76.5" x14ac:dyDescent="0.2">
      <c r="B17" s="116"/>
      <c r="C17" s="116"/>
      <c r="D17" s="425"/>
      <c r="E17" s="116"/>
      <c r="F17" s="116"/>
      <c r="G17" s="116"/>
      <c r="H17" s="116"/>
      <c r="I17" s="426"/>
      <c r="J17" s="426"/>
      <c r="K17" s="120"/>
      <c r="L17" s="120"/>
      <c r="M17" s="478"/>
      <c r="N17" s="474"/>
      <c r="O17" s="479" t="e">
        <f ca="1">M16/K16-1</f>
        <v>#NAME?</v>
      </c>
      <c r="P17" s="479" t="e">
        <f ca="1">N16/L16-1</f>
        <v>#NAME?</v>
      </c>
      <c r="Q17" s="473" t="s">
        <v>771</v>
      </c>
      <c r="R17" s="474"/>
      <c r="S17" s="429"/>
      <c r="T17" s="429"/>
      <c r="U17" s="429"/>
      <c r="V17" s="429"/>
    </row>
    <row r="18" spans="2:22" x14ac:dyDescent="0.2">
      <c r="E18" s="155"/>
      <c r="K18" s="30"/>
      <c r="L18" s="148"/>
      <c r="M18" s="35"/>
      <c r="N18" s="34"/>
      <c r="O18" s="34"/>
      <c r="P18" s="30"/>
    </row>
    <row r="19" spans="2:22" x14ac:dyDescent="0.2">
      <c r="B19" s="32" t="s">
        <v>276</v>
      </c>
      <c r="E19" s="155"/>
      <c r="M19" s="35"/>
      <c r="N19" s="34"/>
      <c r="O19" s="34"/>
      <c r="P19" s="30"/>
    </row>
    <row r="20" spans="2:22" x14ac:dyDescent="0.2">
      <c r="B20" s="46">
        <v>2016</v>
      </c>
      <c r="C20" s="118"/>
      <c r="D20" s="73"/>
      <c r="E20" s="43"/>
      <c r="F20" s="43"/>
      <c r="G20" s="43"/>
      <c r="H20" s="47"/>
      <c r="I20" s="43"/>
      <c r="J20" s="45"/>
      <c r="K20" s="38"/>
      <c r="L20" s="38"/>
      <c r="M20" s="44"/>
      <c r="N20" s="130"/>
      <c r="O20" s="106"/>
      <c r="P20" s="130"/>
      <c r="Q20" s="14"/>
      <c r="R20" s="75"/>
    </row>
    <row r="21" spans="2:22" ht="5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2" x14ac:dyDescent="0.2">
      <c r="B22" s="35"/>
      <c r="C22" s="35"/>
      <c r="D22" s="40"/>
      <c r="G22" s="35"/>
      <c r="H22" s="35"/>
      <c r="I22" s="35"/>
      <c r="J22" s="35"/>
      <c r="K22" s="35"/>
      <c r="L22" s="46"/>
      <c r="N22" s="40"/>
      <c r="O22" s="35" t="s">
        <v>94</v>
      </c>
      <c r="P22" s="355" t="e">
        <f>SUM(#REF!)</f>
        <v>#REF!</v>
      </c>
    </row>
    <row r="23" spans="2:22" x14ac:dyDescent="0.2">
      <c r="H23" s="105"/>
      <c r="I23" s="70"/>
      <c r="J23" s="151"/>
      <c r="K23" s="35"/>
      <c r="L23" s="148"/>
      <c r="M23" s="34"/>
      <c r="N23" s="30"/>
      <c r="P23" s="30"/>
    </row>
    <row r="24" spans="2:22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22" ht="13.5" thickBot="1" x14ac:dyDescent="0.25">
      <c r="C25" s="30"/>
      <c r="D25" s="30"/>
      <c r="G25" s="30"/>
      <c r="H25" s="151"/>
      <c r="I25" s="30"/>
      <c r="J25" s="151"/>
      <c r="K25" s="30"/>
    </row>
    <row r="26" spans="2:22" ht="15" x14ac:dyDescent="0.35">
      <c r="B26" s="26"/>
      <c r="C26" s="26"/>
      <c r="D26" s="26"/>
      <c r="E26" s="26"/>
      <c r="F26" s="26"/>
      <c r="G26" s="26"/>
      <c r="H26" s="28" t="s">
        <v>92</v>
      </c>
      <c r="I26" s="27" t="s">
        <v>91</v>
      </c>
      <c r="J26" s="27" t="s">
        <v>90</v>
      </c>
      <c r="K26" s="27"/>
      <c r="L26" s="27"/>
      <c r="M26" s="26"/>
      <c r="N26" s="26"/>
      <c r="Q26" s="174"/>
    </row>
    <row r="27" spans="2:22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9" spans="2:22" s="273" customFormat="1" ht="13.5" customHeight="1" x14ac:dyDescent="0.2">
      <c r="B29" s="287" t="s">
        <v>769</v>
      </c>
      <c r="C29" s="286" t="s">
        <v>766</v>
      </c>
      <c r="D29" s="284" t="e">
        <f ca="1">_xll.BDP(C29,"SECURITY_NAME")</f>
        <v>#NAME?</v>
      </c>
      <c r="E29" s="284" t="s">
        <v>50</v>
      </c>
      <c r="F29" s="285">
        <v>600000</v>
      </c>
      <c r="G29" s="284" t="e">
        <f ca="1">_xll.BDP(C29,"CRNCY")</f>
        <v>#NAME?</v>
      </c>
      <c r="H29" s="281">
        <v>95.53</v>
      </c>
      <c r="I29" s="282">
        <f>F29*H29/100</f>
        <v>573180</v>
      </c>
      <c r="J29" s="283">
        <f>I29</f>
        <v>573180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41878</v>
      </c>
    </row>
    <row r="30" spans="2:22" s="273" customFormat="1" x14ac:dyDescent="0.2">
      <c r="B30" s="279"/>
      <c r="C30" s="279"/>
      <c r="D30" s="278"/>
      <c r="E30" s="278"/>
      <c r="F30" s="277">
        <f>SUM(F29:F29)</f>
        <v>600000</v>
      </c>
      <c r="G30" s="278"/>
      <c r="H30" s="276">
        <f>J30/F30*100</f>
        <v>95.53</v>
      </c>
      <c r="I30" s="277">
        <f>SUM(I29:I29)</f>
        <v>573180</v>
      </c>
      <c r="J30" s="277">
        <f>SUM(J29:J29)</f>
        <v>573180</v>
      </c>
      <c r="K30" s="277" t="e">
        <f ca="1">SUM(K29:K29)</f>
        <v>#NAME?</v>
      </c>
      <c r="L30" s="276"/>
      <c r="M30" s="275"/>
      <c r="N30" s="274"/>
    </row>
    <row r="31" spans="2:22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22" s="273" customFormat="1" ht="13.5" customHeight="1" x14ac:dyDescent="0.2">
      <c r="B32" s="287" t="s">
        <v>769</v>
      </c>
      <c r="C32" s="303" t="s">
        <v>761</v>
      </c>
      <c r="D32" s="284" t="e">
        <f ca="1">_xll.BDP(C32,"SECURITY_NAME")</f>
        <v>#NAME?</v>
      </c>
      <c r="E32" s="284" t="s">
        <v>50</v>
      </c>
      <c r="F32" s="285">
        <v>600000</v>
      </c>
      <c r="G32" s="284" t="e">
        <f ca="1">_xll.BDP(C32,"CRNCY")</f>
        <v>#NAME?</v>
      </c>
      <c r="H32" s="281">
        <v>104.23</v>
      </c>
      <c r="I32" s="282">
        <f>F32*H32/100</f>
        <v>625380</v>
      </c>
      <c r="J32" s="283">
        <f>I32</f>
        <v>625380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41871</v>
      </c>
    </row>
    <row r="33" spans="2:14" s="273" customFormat="1" x14ac:dyDescent="0.2">
      <c r="B33" s="279"/>
      <c r="C33" s="303"/>
      <c r="D33" s="278"/>
      <c r="E33" s="278"/>
      <c r="F33" s="277">
        <f>SUM(F32)</f>
        <v>600000</v>
      </c>
      <c r="G33" s="278"/>
      <c r="H33" s="276">
        <f>J33/F33*100</f>
        <v>104.23</v>
      </c>
      <c r="I33" s="277">
        <f>SUM(I32)</f>
        <v>625380</v>
      </c>
      <c r="J33" s="277">
        <f>SUM(J32)</f>
        <v>625380</v>
      </c>
      <c r="K33" s="277" t="e">
        <f ca="1">SUM(K32)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769</v>
      </c>
      <c r="C35" s="286" t="s">
        <v>760</v>
      </c>
      <c r="D35" s="284" t="e">
        <f ca="1">_xll.BDP(C35,"SECURITY_NAME")</f>
        <v>#NAME?</v>
      </c>
      <c r="E35" s="284" t="s">
        <v>50</v>
      </c>
      <c r="F35" s="285">
        <v>600000</v>
      </c>
      <c r="G35" s="284" t="e">
        <f ca="1">_xll.BDP(C35,"CRNCY")</f>
        <v>#NAME?</v>
      </c>
      <c r="H35" s="281">
        <v>99.655000000000001</v>
      </c>
      <c r="I35" s="282">
        <f>F35*H35/100</f>
        <v>597930</v>
      </c>
      <c r="J35" s="283">
        <f>I35</f>
        <v>597930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41870</v>
      </c>
    </row>
    <row r="36" spans="2:14" s="273" customFormat="1" x14ac:dyDescent="0.2">
      <c r="B36" s="279"/>
      <c r="C36" s="279"/>
      <c r="D36" s="278"/>
      <c r="E36" s="278"/>
      <c r="F36" s="277">
        <f>SUM(F35:F35)</f>
        <v>600000</v>
      </c>
      <c r="G36" s="278"/>
      <c r="H36" s="276">
        <f>J36/F36*100</f>
        <v>99.655000000000001</v>
      </c>
      <c r="I36" s="277">
        <f>SUM(I35:I35)</f>
        <v>597930</v>
      </c>
      <c r="J36" s="277">
        <f>SUM(J35:J35)</f>
        <v>597930</v>
      </c>
      <c r="K36" s="277" t="e">
        <f ca="1">SUM(K35:K35)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s="273" customFormat="1" ht="13.5" customHeight="1" x14ac:dyDescent="0.2">
      <c r="B38" s="287" t="s">
        <v>769</v>
      </c>
      <c r="C38" s="286" t="s">
        <v>767</v>
      </c>
      <c r="D38" s="284" t="e">
        <f ca="1">_xll.BDP(C38,"SECURITY_NAME")</f>
        <v>#NAME?</v>
      </c>
      <c r="E38" s="284" t="s">
        <v>50</v>
      </c>
      <c r="F38" s="285">
        <v>300000</v>
      </c>
      <c r="G38" s="284" t="e">
        <f ca="1">_xll.BDP(C38,"CRNCY")</f>
        <v>#NAME?</v>
      </c>
      <c r="H38" s="281">
        <v>98</v>
      </c>
      <c r="I38" s="282">
        <f>F38*H38/100</f>
        <v>294000</v>
      </c>
      <c r="J38" s="283">
        <f>I38</f>
        <v>294000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41906</v>
      </c>
    </row>
    <row r="39" spans="2:14" s="273" customFormat="1" x14ac:dyDescent="0.2">
      <c r="B39" s="279"/>
      <c r="C39" s="279"/>
      <c r="D39" s="278"/>
      <c r="E39" s="278"/>
      <c r="F39" s="277">
        <f>SUM(F38:F38)</f>
        <v>300000</v>
      </c>
      <c r="G39" s="278"/>
      <c r="H39" s="276">
        <f>J39/F39*100</f>
        <v>98</v>
      </c>
      <c r="I39" s="277">
        <f>SUM(I38:I38)</f>
        <v>294000</v>
      </c>
      <c r="J39" s="277">
        <f>SUM(J38:J38)</f>
        <v>294000</v>
      </c>
      <c r="K39" s="277" t="e">
        <f ca="1">SUM(K38:K38)</f>
        <v>#NAME?</v>
      </c>
      <c r="L39" s="276"/>
      <c r="M39" s="275"/>
      <c r="N39" s="274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s="273" customFormat="1" ht="13.5" customHeight="1" x14ac:dyDescent="0.2">
      <c r="B41" s="287" t="s">
        <v>769</v>
      </c>
      <c r="C41" s="286" t="s">
        <v>768</v>
      </c>
      <c r="D41" s="284" t="e">
        <f ca="1">_xll.BDP(C41,"SECURITY_NAME")</f>
        <v>#NAME?</v>
      </c>
      <c r="E41" s="284" t="s">
        <v>50</v>
      </c>
      <c r="F41" s="285">
        <v>350000</v>
      </c>
      <c r="G41" s="284" t="e">
        <f ca="1">_xll.BDP(C41,"CRNCY")</f>
        <v>#NAME?</v>
      </c>
      <c r="H41" s="281">
        <v>101.25</v>
      </c>
      <c r="I41" s="282">
        <f>F41*H41/100</f>
        <v>354375</v>
      </c>
      <c r="J41" s="283">
        <f>I41</f>
        <v>354375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42583</v>
      </c>
    </row>
    <row r="42" spans="2:14" s="273" customFormat="1" x14ac:dyDescent="0.2">
      <c r="B42" s="279"/>
      <c r="C42" s="279"/>
      <c r="D42" s="278"/>
      <c r="E42" s="278"/>
      <c r="F42" s="277">
        <f>SUM(F41)</f>
        <v>350000</v>
      </c>
      <c r="G42" s="278"/>
      <c r="H42" s="276">
        <f>J42/F42*100</f>
        <v>101.25</v>
      </c>
      <c r="I42" s="277">
        <f>SUM(I41)</f>
        <v>354375</v>
      </c>
      <c r="J42" s="277">
        <f>SUM(J41)</f>
        <v>354375</v>
      </c>
      <c r="K42" s="277" t="e">
        <f ca="1">SUM(K41)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s="273" customFormat="1" ht="13.5" customHeight="1" x14ac:dyDescent="0.2">
      <c r="B44" s="287" t="s">
        <v>769</v>
      </c>
      <c r="C44" s="286" t="s">
        <v>758</v>
      </c>
      <c r="D44" s="284" t="e">
        <f ca="1">_xll.BDP(C44,"SECURITY_NAME")</f>
        <v>#NAME?</v>
      </c>
      <c r="E44" s="284" t="s">
        <v>50</v>
      </c>
      <c r="F44" s="285">
        <v>800000</v>
      </c>
      <c r="G44" s="284" t="e">
        <f ca="1">_xll.BDP(C44,"CRNCY")</f>
        <v>#NAME?</v>
      </c>
      <c r="H44" s="281">
        <v>99</v>
      </c>
      <c r="I44" s="282">
        <f>F44*H44/100</f>
        <v>792000</v>
      </c>
      <c r="J44" s="283">
        <f>I44</f>
        <v>792000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41870</v>
      </c>
    </row>
    <row r="45" spans="2:14" s="273" customFormat="1" x14ac:dyDescent="0.2">
      <c r="B45" s="279"/>
      <c r="C45" s="279"/>
      <c r="D45" s="278"/>
      <c r="E45" s="278"/>
      <c r="F45" s="277">
        <f>SUM(F44)</f>
        <v>800000</v>
      </c>
      <c r="G45" s="278"/>
      <c r="H45" s="276">
        <f>J45/F45*100</f>
        <v>99</v>
      </c>
      <c r="I45" s="277">
        <f>SUM(I44:I44)</f>
        <v>792000</v>
      </c>
      <c r="J45" s="277">
        <f>SUM(J44:J44)</f>
        <v>792000</v>
      </c>
      <c r="K45" s="277" t="e">
        <f ca="1">SUM(K44:K44)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769</v>
      </c>
      <c r="C47" s="303" t="s">
        <v>453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103.375</v>
      </c>
      <c r="I47" s="282">
        <f>F47*H47/100</f>
        <v>310125</v>
      </c>
      <c r="J47" s="283">
        <f>I47</f>
        <v>310125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42593</v>
      </c>
    </row>
    <row r="48" spans="2:14" x14ac:dyDescent="0.2">
      <c r="B48" s="279"/>
      <c r="C48" s="303"/>
      <c r="D48" s="278"/>
      <c r="E48" s="278"/>
      <c r="F48" s="277">
        <f>SUM(F47)</f>
        <v>300000</v>
      </c>
      <c r="G48" s="278"/>
      <c r="H48" s="276">
        <f>J48/F48*100</f>
        <v>103.375</v>
      </c>
      <c r="I48" s="277">
        <f>SUM(I47)</f>
        <v>310125</v>
      </c>
      <c r="J48" s="277">
        <f>SUM(J47)</f>
        <v>310125</v>
      </c>
      <c r="K48" s="277" t="e">
        <f ca="1">SUM(K47)</f>
        <v>#NAME?</v>
      </c>
      <c r="L48" s="276"/>
      <c r="M48" s="275"/>
      <c r="N48" s="274"/>
    </row>
    <row r="50" spans="2:14" x14ac:dyDescent="0.2">
      <c r="B50" s="287" t="s">
        <v>769</v>
      </c>
      <c r="C50" s="303" t="s">
        <v>680</v>
      </c>
      <c r="D50" s="284" t="e">
        <f ca="1">_xll.BDP(C50,"SECURITY_NAME")</f>
        <v>#NAME?</v>
      </c>
      <c r="E50" s="284" t="s">
        <v>50</v>
      </c>
      <c r="F50" s="285">
        <v>800000</v>
      </c>
      <c r="G50" s="284" t="e">
        <f ca="1">_xll.BDP(C50,"CRNCY")</f>
        <v>#NAME?</v>
      </c>
      <c r="H50" s="281">
        <v>98.53</v>
      </c>
      <c r="I50" s="282">
        <f>F50*H50/100</f>
        <v>788240</v>
      </c>
      <c r="J50" s="283">
        <f>I50</f>
        <v>788240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41870</v>
      </c>
    </row>
    <row r="51" spans="2:14" x14ac:dyDescent="0.2">
      <c r="B51" s="279"/>
      <c r="C51" s="279"/>
      <c r="D51" s="278"/>
      <c r="E51" s="278"/>
      <c r="F51" s="277">
        <f>SUM(F50:F50)</f>
        <v>800000</v>
      </c>
      <c r="G51" s="278"/>
      <c r="H51" s="276">
        <f>J51/F51*100</f>
        <v>98.53</v>
      </c>
      <c r="I51" s="277">
        <f>SUM(I50:I50)</f>
        <v>788240</v>
      </c>
      <c r="J51" s="277">
        <f>SUM(J50:J50)</f>
        <v>788240</v>
      </c>
      <c r="K51" s="277" t="e">
        <f ca="1">SUM(K50:K50)</f>
        <v>#NAME?</v>
      </c>
      <c r="L51" s="276"/>
      <c r="M51" s="275"/>
      <c r="N51" s="274"/>
    </row>
    <row r="53" spans="2:14" x14ac:dyDescent="0.2">
      <c r="B53" s="287" t="s">
        <v>769</v>
      </c>
      <c r="C53" s="303" t="s">
        <v>762</v>
      </c>
      <c r="D53" s="284" t="e">
        <f ca="1">_xll.BDP(C53,"SECURITY_NAME")</f>
        <v>#NAME?</v>
      </c>
      <c r="E53" s="284" t="s">
        <v>50</v>
      </c>
      <c r="F53" s="285">
        <v>600000</v>
      </c>
      <c r="G53" s="284" t="e">
        <f ca="1">_xll.BDP(C53,"CRNCY")</f>
        <v>#NAME?</v>
      </c>
      <c r="H53" s="281">
        <v>105.98</v>
      </c>
      <c r="I53" s="282">
        <f>F53*H53/100</f>
        <v>635880</v>
      </c>
      <c r="J53" s="283">
        <f>I53</f>
        <v>635880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41877</v>
      </c>
    </row>
    <row r="54" spans="2:14" x14ac:dyDescent="0.2">
      <c r="B54" s="279"/>
      <c r="C54" s="303"/>
      <c r="D54" s="278"/>
      <c r="E54" s="278"/>
      <c r="F54" s="277">
        <f>SUM(F53)</f>
        <v>600000</v>
      </c>
      <c r="G54" s="278"/>
      <c r="H54" s="276">
        <f>J54/F54*100</f>
        <v>105.98</v>
      </c>
      <c r="I54" s="277">
        <f>SUM(I53)</f>
        <v>635880</v>
      </c>
      <c r="J54" s="277">
        <f>SUM(J53)</f>
        <v>635880</v>
      </c>
      <c r="K54" s="277" t="e">
        <f ca="1">SUM(K53)</f>
        <v>#NAME?</v>
      </c>
      <c r="L54" s="276"/>
      <c r="M54" s="275"/>
      <c r="N54" s="274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287" t="s">
        <v>769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660000</v>
      </c>
      <c r="G56" s="284" t="e">
        <f ca="1">_xll.BDP(C56,"CRNCY")</f>
        <v>#NAME?</v>
      </c>
      <c r="H56" s="281">
        <v>98.75</v>
      </c>
      <c r="I56" s="282">
        <f>F56*H56/100</f>
        <v>651750</v>
      </c>
      <c r="J56" s="283">
        <f>I56</f>
        <v>651750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42583</v>
      </c>
    </row>
    <row r="57" spans="2:14" x14ac:dyDescent="0.2">
      <c r="B57" s="279"/>
      <c r="C57" s="303"/>
      <c r="D57" s="278"/>
      <c r="E57" s="278"/>
      <c r="F57" s="277">
        <f>SUM(F56)</f>
        <v>660000</v>
      </c>
      <c r="G57" s="278"/>
      <c r="H57" s="276">
        <f>J57/F57*100</f>
        <v>98.75</v>
      </c>
      <c r="I57" s="277">
        <f>SUM(I56)</f>
        <v>651750</v>
      </c>
      <c r="J57" s="277">
        <f>SUM(J56)</f>
        <v>651750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287" t="s">
        <v>769</v>
      </c>
      <c r="C59" s="303" t="s">
        <v>167</v>
      </c>
      <c r="D59" s="284" t="e">
        <f ca="1">_xll.BDP(C59,"SECURITY_NAME")</f>
        <v>#NAME?</v>
      </c>
      <c r="E59" s="284" t="s">
        <v>50</v>
      </c>
      <c r="F59" s="285">
        <v>300000</v>
      </c>
      <c r="G59" s="284" t="e">
        <f ca="1">_xll.BDP(C59,"CRNCY")</f>
        <v>#NAME?</v>
      </c>
      <c r="H59" s="281">
        <v>108.25</v>
      </c>
      <c r="I59" s="282">
        <f>F59*H59/100</f>
        <v>324750</v>
      </c>
      <c r="J59" s="283">
        <f>I59</f>
        <v>324750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42593</v>
      </c>
    </row>
    <row r="60" spans="2:14" x14ac:dyDescent="0.2">
      <c r="B60" s="279"/>
      <c r="C60" s="303"/>
      <c r="D60" s="278"/>
      <c r="E60" s="278"/>
      <c r="F60" s="277">
        <f>SUM(F59)</f>
        <v>300000</v>
      </c>
      <c r="G60" s="278"/>
      <c r="H60" s="276">
        <f>J60/F60*100</f>
        <v>108.25</v>
      </c>
      <c r="I60" s="277">
        <f>SUM(I59)</f>
        <v>324750</v>
      </c>
      <c r="J60" s="277">
        <f>SUM(J59)</f>
        <v>324750</v>
      </c>
      <c r="K60" s="277" t="e">
        <f ca="1">SUM(K59)</f>
        <v>#NAME?</v>
      </c>
      <c r="L60" s="276"/>
      <c r="M60" s="275"/>
      <c r="N60" s="274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287" t="s">
        <v>769</v>
      </c>
      <c r="C62" s="287" t="s">
        <v>18</v>
      </c>
      <c r="D62" s="284" t="e">
        <f ca="1">_xll.BDP(C62,"SECURITY_NAME")</f>
        <v>#NAME?</v>
      </c>
      <c r="E62" s="284" t="s">
        <v>50</v>
      </c>
      <c r="F62" s="285">
        <v>49000</v>
      </c>
      <c r="G62" s="284" t="e">
        <f ca="1">_xll.BDP(C62,"CRNCY")</f>
        <v>#NAME?</v>
      </c>
      <c r="H62" s="281">
        <v>262</v>
      </c>
      <c r="I62" s="282">
        <f>F62*H62</f>
        <v>12838000</v>
      </c>
      <c r="J62" s="283" t="e">
        <f ca="1">I62/L62</f>
        <v>#NAME?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41954</v>
      </c>
    </row>
    <row r="63" spans="2:14" x14ac:dyDescent="0.2">
      <c r="B63" s="287" t="s">
        <v>769</v>
      </c>
      <c r="C63" s="287" t="s">
        <v>18</v>
      </c>
      <c r="D63" s="284" t="e">
        <f ca="1">_xll.BDP(C63,"SECURITY_NAME")</f>
        <v>#NAME?</v>
      </c>
      <c r="E63" s="284" t="s">
        <v>50</v>
      </c>
      <c r="F63" s="285">
        <v>49000</v>
      </c>
      <c r="G63" s="284" t="e">
        <f ca="1">_xll.BDP(C63,"CRNCY")</f>
        <v>#NAME?</v>
      </c>
      <c r="H63" s="281">
        <v>264</v>
      </c>
      <c r="I63" s="282">
        <f>F63*H63</f>
        <v>12936000</v>
      </c>
      <c r="J63" s="283" t="e">
        <f ca="1">I63/L63</f>
        <v>#NAME?</v>
      </c>
      <c r="K63" s="282" t="e">
        <f ca="1">J63*L63</f>
        <v>#NAME?</v>
      </c>
      <c r="L63" s="281" t="e">
        <f ca="1">_xll.BDH("RUB curncy","PX_LAST",$N63)</f>
        <v>#NAME?</v>
      </c>
      <c r="M63" s="280" t="e">
        <f ca="1">1/_xll.BDH("RUB curncy","PX_LAST",$N63)</f>
        <v>#NAME?</v>
      </c>
      <c r="N63" s="274">
        <v>41954</v>
      </c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250000</v>
      </c>
      <c r="G64" s="284" t="e">
        <f ca="1">_xll.BDP(C64,"CRNCY")</f>
        <v>#NAME?</v>
      </c>
      <c r="H64" s="281">
        <v>260</v>
      </c>
      <c r="I64" s="282">
        <f>F64*H64</f>
        <v>65000000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41949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101000</v>
      </c>
      <c r="G65" s="284" t="e">
        <f ca="1">_xll.BDP(C65,"CRNCY")</f>
        <v>#NAME?</v>
      </c>
      <c r="H65" s="281">
        <v>257</v>
      </c>
      <c r="I65" s="282">
        <f>F65*H65</f>
        <v>25957000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41948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51000</v>
      </c>
      <c r="G66" s="284" t="e">
        <f ca="1">_xll.BDP(C66,"CRNCY")</f>
        <v>#NAME?</v>
      </c>
      <c r="H66" s="281">
        <v>255</v>
      </c>
      <c r="I66" s="282">
        <f>F66*H66</f>
        <v>13005000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41948</v>
      </c>
    </row>
    <row r="67" spans="2:14" x14ac:dyDescent="0.2">
      <c r="B67" s="279"/>
      <c r="C67" s="279"/>
      <c r="D67" s="278"/>
      <c r="E67" s="278"/>
      <c r="F67" s="277">
        <f>SUM(F62:F66)</f>
        <v>500000</v>
      </c>
      <c r="G67" s="278"/>
      <c r="H67" s="276">
        <f>I67/F67</f>
        <v>259.47199999999998</v>
      </c>
      <c r="I67" s="277">
        <f>SUM(I62:I66)</f>
        <v>129736000</v>
      </c>
      <c r="J67" s="277" t="e">
        <f ca="1">SUM(J62:J66)</f>
        <v>#NAME?</v>
      </c>
      <c r="K67" s="277" t="e">
        <f ca="1">SUM(K62:K66)</f>
        <v>#NAME?</v>
      </c>
      <c r="L67" s="276"/>
      <c r="M67" s="275"/>
      <c r="N67" s="274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287" t="s">
        <v>769</v>
      </c>
      <c r="C69" s="287" t="s">
        <v>21</v>
      </c>
      <c r="D69" s="284" t="e">
        <f ca="1">_xll.BDP(C69,"SECURITY_NAME")</f>
        <v>#NAME?</v>
      </c>
      <c r="E69" s="284" t="s">
        <v>50</v>
      </c>
      <c r="F69" s="285">
        <v>7800</v>
      </c>
      <c r="G69" s="284" t="e">
        <f ca="1">_xll.BDP(C69,"CRNCY")</f>
        <v>#NAME?</v>
      </c>
      <c r="H69" s="281">
        <v>211</v>
      </c>
      <c r="I69" s="282">
        <f t="shared" ref="I69:I75" si="7">F69*H69</f>
        <v>1645800</v>
      </c>
      <c r="J69" s="283" t="e">
        <f t="shared" ref="J69:J75" ca="1" si="8">I69/L69</f>
        <v>#NAME?</v>
      </c>
      <c r="K69" s="282" t="e">
        <f t="shared" ref="K69:K75" ca="1" si="9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41954</v>
      </c>
    </row>
    <row r="70" spans="2:14" x14ac:dyDescent="0.2">
      <c r="B70" s="287" t="s">
        <v>769</v>
      </c>
      <c r="C70" s="287" t="s">
        <v>21</v>
      </c>
      <c r="D70" s="284" t="e">
        <f ca="1">_xll.BDP(C70,"SECURITY_NAME")</f>
        <v>#NAME?</v>
      </c>
      <c r="E70" s="284" t="s">
        <v>50</v>
      </c>
      <c r="F70" s="285">
        <v>27140</v>
      </c>
      <c r="G70" s="284" t="e">
        <f ca="1">_xll.BDP(C70,"CRNCY")</f>
        <v>#NAME?</v>
      </c>
      <c r="H70" s="281">
        <v>214</v>
      </c>
      <c r="I70" s="282">
        <f t="shared" si="7"/>
        <v>5807960</v>
      </c>
      <c r="J70" s="283" t="e">
        <f t="shared" ca="1" si="8"/>
        <v>#NAME?</v>
      </c>
      <c r="K70" s="282" t="e">
        <f t="shared" ca="1" si="9"/>
        <v>#NAME?</v>
      </c>
      <c r="L70" s="281" t="e">
        <f ca="1">_xll.BDH("RUB curncy","PX_LAST",$N70)</f>
        <v>#NAME?</v>
      </c>
      <c r="M70" s="280" t="e">
        <f ca="1">1/_xll.BDH("RUB curncy","PX_LAST",$N70)</f>
        <v>#NAME?</v>
      </c>
      <c r="N70" s="274">
        <v>41954</v>
      </c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23300</v>
      </c>
      <c r="G71" s="284" t="e">
        <f ca="1">_xll.BDP(C71,"CRNCY")</f>
        <v>#NAME?</v>
      </c>
      <c r="H71" s="281">
        <v>214</v>
      </c>
      <c r="I71" s="282">
        <f t="shared" si="7"/>
        <v>4986200</v>
      </c>
      <c r="J71" s="283" t="e">
        <f t="shared" ca="1" si="8"/>
        <v>#NAME?</v>
      </c>
      <c r="K71" s="282" t="e">
        <f t="shared" ca="1" si="9"/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19280</v>
      </c>
      <c r="G72" s="284" t="e">
        <f ca="1">_xll.BDP(C72,"CRNCY")</f>
        <v>#NAME?</v>
      </c>
      <c r="H72" s="281">
        <v>210</v>
      </c>
      <c r="I72" s="282">
        <f t="shared" si="7"/>
        <v>4048800</v>
      </c>
      <c r="J72" s="283" t="e">
        <f t="shared" ca="1" si="8"/>
        <v>#NAME?</v>
      </c>
      <c r="K72" s="282" t="e">
        <f t="shared" ca="1" si="9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41953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23500</v>
      </c>
      <c r="G73" s="284" t="e">
        <f ca="1">_xll.BDP(C73,"CRNCY")</f>
        <v>#NAME?</v>
      </c>
      <c r="H73" s="281">
        <v>212</v>
      </c>
      <c r="I73" s="282">
        <f t="shared" si="7"/>
        <v>4982000</v>
      </c>
      <c r="J73" s="283" t="e">
        <f t="shared" ca="1" si="8"/>
        <v>#NAME?</v>
      </c>
      <c r="K73" s="282" t="e">
        <f t="shared" ca="1" si="9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41953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550</v>
      </c>
      <c r="G74" s="284" t="e">
        <f ca="1">_xll.BDP(C74,"CRNCY")</f>
        <v>#NAME?</v>
      </c>
      <c r="H74" s="281">
        <v>210</v>
      </c>
      <c r="I74" s="282">
        <f t="shared" si="7"/>
        <v>115500</v>
      </c>
      <c r="J74" s="283" t="e">
        <f t="shared" ca="1" si="8"/>
        <v>#NAME?</v>
      </c>
      <c r="K74" s="282" t="e">
        <f t="shared" ca="1" si="9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41950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46520</v>
      </c>
      <c r="G75" s="284" t="e">
        <f ca="1">_xll.BDP(C75,"CRNCY")</f>
        <v>#NAME?</v>
      </c>
      <c r="H75" s="281">
        <v>216</v>
      </c>
      <c r="I75" s="282">
        <f t="shared" si="7"/>
        <v>10048320</v>
      </c>
      <c r="J75" s="283" t="e">
        <f t="shared" ca="1" si="8"/>
        <v>#NAME?</v>
      </c>
      <c r="K75" s="282" t="e">
        <f t="shared" ca="1" si="9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41949</v>
      </c>
    </row>
    <row r="76" spans="2:14" x14ac:dyDescent="0.2">
      <c r="B76" s="279"/>
      <c r="C76" s="279"/>
      <c r="D76" s="278"/>
      <c r="E76" s="278"/>
      <c r="F76" s="277">
        <f>SUM(F69:F75)</f>
        <v>148090</v>
      </c>
      <c r="G76" s="278"/>
      <c r="H76" s="276">
        <f>I76/F76</f>
        <v>213.61725977446147</v>
      </c>
      <c r="I76" s="277">
        <f>SUM(I69:I75)</f>
        <v>31634580</v>
      </c>
      <c r="J76" s="277" t="e">
        <f ca="1">SUM(J69:J75)</f>
        <v>#NAME?</v>
      </c>
      <c r="K76" s="277" t="e">
        <f ca="1">SUM(K69:K75)</f>
        <v>#NAME?</v>
      </c>
      <c r="L76" s="276"/>
      <c r="M76" s="275"/>
      <c r="N76" s="274"/>
    </row>
    <row r="77" spans="2:14" x14ac:dyDescent="0.2">
      <c r="B77" s="160"/>
      <c r="C77" s="159"/>
      <c r="D77" s="87"/>
      <c r="E77" s="87"/>
      <c r="F77" s="79"/>
      <c r="G77" s="87"/>
      <c r="H77" s="10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F83" s="79"/>
      <c r="H83" s="80"/>
      <c r="I83" s="79"/>
      <c r="J83" s="79"/>
      <c r="K83" s="79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F87" s="79"/>
      <c r="G87" s="79"/>
      <c r="H87" s="80"/>
      <c r="I87" s="79"/>
      <c r="J87" s="79"/>
      <c r="K87" s="79"/>
    </row>
    <row r="88" spans="2:14" x14ac:dyDescent="0.2">
      <c r="G88" s="79"/>
      <c r="H88" s="80"/>
      <c r="I88" s="79"/>
      <c r="J88" s="79"/>
      <c r="K88" s="79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79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80"/>
      <c r="I101" s="79"/>
      <c r="J101" s="79"/>
      <c r="K101" s="79"/>
      <c r="L101" s="88"/>
      <c r="M101" s="158"/>
      <c r="N101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79"/>
      <c r="I111" s="79"/>
      <c r="J111" s="79"/>
      <c r="K111" s="79"/>
      <c r="L111" s="88"/>
      <c r="M111" s="158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80"/>
      <c r="I112" s="79"/>
      <c r="J112" s="79"/>
      <c r="K112" s="79"/>
      <c r="L112" s="88"/>
      <c r="M112" s="158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80"/>
      <c r="I123" s="79"/>
      <c r="J123" s="79"/>
      <c r="K123" s="79"/>
      <c r="L123" s="88"/>
      <c r="M123" s="158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80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F148" s="79"/>
      <c r="H148" s="88"/>
      <c r="I148" s="79"/>
      <c r="J148" s="79"/>
      <c r="K148" s="79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73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73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8"/>
      <c r="I155" s="79"/>
      <c r="J155" s="79"/>
      <c r="K155" s="79"/>
      <c r="L155" s="88"/>
      <c r="M155" s="173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73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168"/>
      <c r="J171" s="169"/>
      <c r="K171" s="168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73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168"/>
      <c r="J187" s="169"/>
      <c r="K187" s="168"/>
      <c r="L187" s="88"/>
      <c r="M187" s="158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73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73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73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168"/>
      <c r="J205" s="169"/>
      <c r="K205" s="168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91"/>
      <c r="I206" s="79"/>
      <c r="J206" s="79"/>
      <c r="K206" s="79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91"/>
      <c r="I210" s="79"/>
      <c r="J210" s="79"/>
      <c r="K210" s="79"/>
      <c r="L210" s="88"/>
      <c r="M210" s="158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172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3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92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171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2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170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170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95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168"/>
      <c r="J220" s="169"/>
      <c r="K220" s="168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96"/>
      <c r="J242" s="96"/>
      <c r="K242" s="96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96"/>
      <c r="J243" s="96"/>
      <c r="K243" s="96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80"/>
      <c r="I245" s="79"/>
      <c r="J245" s="79"/>
      <c r="K245" s="79"/>
      <c r="L245" s="88"/>
      <c r="M245" s="158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0"/>
      <c r="C249" s="159"/>
      <c r="D249" s="87"/>
      <c r="E249" s="87"/>
      <c r="F249" s="79"/>
      <c r="G249" s="87"/>
      <c r="H249" s="80"/>
      <c r="I249" s="79"/>
      <c r="J249" s="79"/>
      <c r="K249" s="79"/>
      <c r="L249" s="88"/>
      <c r="M249" s="158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58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168"/>
      <c r="J283" s="169"/>
      <c r="K283" s="168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168"/>
      <c r="J286" s="169"/>
      <c r="K286" s="168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56"/>
      <c r="C303" s="156"/>
      <c r="D303" s="156"/>
      <c r="E303" s="102"/>
      <c r="F303" s="102"/>
      <c r="G303" s="156"/>
      <c r="H303" s="156"/>
      <c r="I303" s="156"/>
      <c r="J303" s="156"/>
      <c r="K303" s="156"/>
      <c r="L303" s="102"/>
      <c r="M303" s="156"/>
      <c r="N303" s="156"/>
    </row>
    <row r="304" spans="2:14" x14ac:dyDescent="0.2">
      <c r="H304" s="151"/>
    </row>
    <row r="305" spans="5:12" x14ac:dyDescent="0.2">
      <c r="H305" s="151"/>
    </row>
    <row r="307" spans="5:12" x14ac:dyDescent="0.2">
      <c r="H307" s="151"/>
    </row>
    <row r="308" spans="5:12" x14ac:dyDescent="0.2">
      <c r="H308" s="151"/>
    </row>
    <row r="309" spans="5:12" x14ac:dyDescent="0.2">
      <c r="L309" s="155"/>
    </row>
    <row r="310" spans="5:12" x14ac:dyDescent="0.2">
      <c r="L310" s="155"/>
    </row>
    <row r="311" spans="5:12" x14ac:dyDescent="0.2">
      <c r="L311" s="154"/>
    </row>
    <row r="313" spans="5:12" x14ac:dyDescent="0.2">
      <c r="L313" s="153"/>
    </row>
    <row r="317" spans="5:12" x14ac:dyDescent="0.2">
      <c r="E317" s="32"/>
      <c r="F317" s="32"/>
      <c r="G317" s="151"/>
      <c r="L317" s="32"/>
    </row>
    <row r="318" spans="5:12" x14ac:dyDescent="0.2">
      <c r="E318" s="32"/>
      <c r="F318" s="32"/>
      <c r="G318" s="152"/>
      <c r="L318" s="32"/>
    </row>
    <row r="321" spans="5:12" x14ac:dyDescent="0.2">
      <c r="E321" s="32"/>
      <c r="F321" s="32"/>
      <c r="G321" s="151"/>
      <c r="L321" s="32"/>
    </row>
  </sheetData>
  <conditionalFormatting sqref="E152:E153 E200:E201 E193 E183:E184 E155:E156 E196:E197 E204:E206 D20">
    <cfRule type="containsText" dxfId="10036" priority="543" operator="containsText" text="Buy">
      <formula>NOT(ISERROR(SEARCH("Buy",D20)))</formula>
    </cfRule>
    <cfRule type="containsText" dxfId="10035" priority="544" operator="containsText" text="Sell">
      <formula>NOT(ISERROR(SEARCH("Sell",D20)))</formula>
    </cfRule>
  </conditionalFormatting>
  <conditionalFormatting sqref="E225:E226 E215:E216 E220">
    <cfRule type="containsText" dxfId="10034" priority="541" operator="containsText" text="Buy">
      <formula>NOT(ISERROR(SEARCH("Buy",E215)))</formula>
    </cfRule>
    <cfRule type="containsText" dxfId="10033" priority="542" operator="containsText" text="Sell">
      <formula>NOT(ISERROR(SEARCH("Sell",E215)))</formula>
    </cfRule>
  </conditionalFormatting>
  <conditionalFormatting sqref="E241:E243 E300 E297 E292 E286 E283 E280 E277 E270 E266 E260 E250">
    <cfRule type="containsText" dxfId="10032" priority="539" operator="containsText" text="Buy">
      <formula>NOT(ISERROR(SEARCH("Buy",E241)))</formula>
    </cfRule>
    <cfRule type="containsText" dxfId="10031" priority="540" operator="containsText" text="Sell">
      <formula>NOT(ISERROR(SEARCH("Sell",E241)))</formula>
    </cfRule>
  </conditionalFormatting>
  <conditionalFormatting sqref="E240">
    <cfRule type="containsText" dxfId="10030" priority="537" operator="containsText" text="Buy">
      <formula>NOT(ISERROR(SEARCH("Buy",E240)))</formula>
    </cfRule>
    <cfRule type="containsText" dxfId="10029" priority="538" operator="containsText" text="Sell">
      <formula>NOT(ISERROR(SEARCH("Sell",E240)))</formula>
    </cfRule>
  </conditionalFormatting>
  <conditionalFormatting sqref="E239">
    <cfRule type="containsText" dxfId="10028" priority="535" operator="containsText" text="Buy">
      <formula>NOT(ISERROR(SEARCH("Buy",E239)))</formula>
    </cfRule>
    <cfRule type="containsText" dxfId="10027" priority="536" operator="containsText" text="Sell">
      <formula>NOT(ISERROR(SEARCH("Sell",E239)))</formula>
    </cfRule>
  </conditionalFormatting>
  <conditionalFormatting sqref="E238">
    <cfRule type="containsText" dxfId="10026" priority="533" operator="containsText" text="Buy">
      <formula>NOT(ISERROR(SEARCH("Buy",E238)))</formula>
    </cfRule>
    <cfRule type="containsText" dxfId="10025" priority="534" operator="containsText" text="Sell">
      <formula>NOT(ISERROR(SEARCH("Sell",E238)))</formula>
    </cfRule>
  </conditionalFormatting>
  <conditionalFormatting sqref="E151">
    <cfRule type="containsText" dxfId="10024" priority="531" operator="containsText" text="Buy">
      <formula>NOT(ISERROR(SEARCH("Buy",E151)))</formula>
    </cfRule>
    <cfRule type="containsText" dxfId="10023" priority="532" operator="containsText" text="Sell">
      <formula>NOT(ISERROR(SEARCH("Sell",E151)))</formula>
    </cfRule>
  </conditionalFormatting>
  <conditionalFormatting sqref="E150">
    <cfRule type="containsText" dxfId="10022" priority="529" operator="containsText" text="Buy">
      <formula>NOT(ISERROR(SEARCH("Buy",E150)))</formula>
    </cfRule>
    <cfRule type="containsText" dxfId="10021" priority="530" operator="containsText" text="Sell">
      <formula>NOT(ISERROR(SEARCH("Sell",E150)))</formula>
    </cfRule>
  </conditionalFormatting>
  <conditionalFormatting sqref="E199">
    <cfRule type="containsText" dxfId="10020" priority="527" operator="containsText" text="Buy">
      <formula>NOT(ISERROR(SEARCH("Buy",E199)))</formula>
    </cfRule>
    <cfRule type="containsText" dxfId="10019" priority="528" operator="containsText" text="Sell">
      <formula>NOT(ISERROR(SEARCH("Sell",E199)))</formula>
    </cfRule>
  </conditionalFormatting>
  <conditionalFormatting sqref="E198">
    <cfRule type="containsText" dxfId="10018" priority="525" operator="containsText" text="Buy">
      <formula>NOT(ISERROR(SEARCH("Buy",E198)))</formula>
    </cfRule>
    <cfRule type="containsText" dxfId="10017" priority="526" operator="containsText" text="Sell">
      <formula>NOT(ISERROR(SEARCH("Sell",E198)))</formula>
    </cfRule>
  </conditionalFormatting>
  <conditionalFormatting sqref="E185:E187">
    <cfRule type="containsText" dxfId="10016" priority="523" operator="containsText" text="Buy">
      <formula>NOT(ISERROR(SEARCH("Buy",E185)))</formula>
    </cfRule>
    <cfRule type="containsText" dxfId="10015" priority="524" operator="containsText" text="Sell">
      <formula>NOT(ISERROR(SEARCH("Sell",E185)))</formula>
    </cfRule>
  </conditionalFormatting>
  <conditionalFormatting sqref="E182">
    <cfRule type="containsText" dxfId="10014" priority="521" operator="containsText" text="Buy">
      <formula>NOT(ISERROR(SEARCH("Buy",E182)))</formula>
    </cfRule>
    <cfRule type="containsText" dxfId="10013" priority="522" operator="containsText" text="Sell">
      <formula>NOT(ISERROR(SEARCH("Sell",E182)))</formula>
    </cfRule>
  </conditionalFormatting>
  <conditionalFormatting sqref="E181">
    <cfRule type="containsText" dxfId="10012" priority="519" operator="containsText" text="Buy">
      <formula>NOT(ISERROR(SEARCH("Buy",E181)))</formula>
    </cfRule>
    <cfRule type="containsText" dxfId="10011" priority="520" operator="containsText" text="Sell">
      <formula>NOT(ISERROR(SEARCH("Sell",E181)))</formula>
    </cfRule>
  </conditionalFormatting>
  <conditionalFormatting sqref="E180">
    <cfRule type="containsText" dxfId="10010" priority="517" operator="containsText" text="Buy">
      <formula>NOT(ISERROR(SEARCH("Buy",E180)))</formula>
    </cfRule>
    <cfRule type="containsText" dxfId="10009" priority="518" operator="containsText" text="Sell">
      <formula>NOT(ISERROR(SEARCH("Sell",E180)))</formula>
    </cfRule>
  </conditionalFormatting>
  <conditionalFormatting sqref="E179">
    <cfRule type="containsText" dxfId="10008" priority="515" operator="containsText" text="Buy">
      <formula>NOT(ISERROR(SEARCH("Buy",E179)))</formula>
    </cfRule>
    <cfRule type="containsText" dxfId="10007" priority="516" operator="containsText" text="Sell">
      <formula>NOT(ISERROR(SEARCH("Sell",E179)))</formula>
    </cfRule>
  </conditionalFormatting>
  <conditionalFormatting sqref="E178">
    <cfRule type="containsText" dxfId="10006" priority="513" operator="containsText" text="Buy">
      <formula>NOT(ISERROR(SEARCH("Buy",E178)))</formula>
    </cfRule>
    <cfRule type="containsText" dxfId="10005" priority="514" operator="containsText" text="Sell">
      <formula>NOT(ISERROR(SEARCH("Sell",E178)))</formula>
    </cfRule>
  </conditionalFormatting>
  <conditionalFormatting sqref="E177">
    <cfRule type="containsText" dxfId="10004" priority="511" operator="containsText" text="Buy">
      <formula>NOT(ISERROR(SEARCH("Buy",E177)))</formula>
    </cfRule>
    <cfRule type="containsText" dxfId="10003" priority="512" operator="containsText" text="Sell">
      <formula>NOT(ISERROR(SEARCH("Sell",E177)))</formula>
    </cfRule>
  </conditionalFormatting>
  <conditionalFormatting sqref="E176">
    <cfRule type="containsText" dxfId="10002" priority="509" operator="containsText" text="Buy">
      <formula>NOT(ISERROR(SEARCH("Buy",E176)))</formula>
    </cfRule>
    <cfRule type="containsText" dxfId="10001" priority="510" operator="containsText" text="Sell">
      <formula>NOT(ISERROR(SEARCH("Sell",E176)))</formula>
    </cfRule>
  </conditionalFormatting>
  <conditionalFormatting sqref="E169:E171">
    <cfRule type="containsText" dxfId="10000" priority="507" operator="containsText" text="Buy">
      <formula>NOT(ISERROR(SEARCH("Buy",E169)))</formula>
    </cfRule>
    <cfRule type="containsText" dxfId="9999" priority="508" operator="containsText" text="Sell">
      <formula>NOT(ISERROR(SEARCH("Sell",E169)))</formula>
    </cfRule>
  </conditionalFormatting>
  <conditionalFormatting sqref="E168">
    <cfRule type="containsText" dxfId="9998" priority="505" operator="containsText" text="Buy">
      <formula>NOT(ISERROR(SEARCH("Buy",E168)))</formula>
    </cfRule>
    <cfRule type="containsText" dxfId="9997" priority="506" operator="containsText" text="Sell">
      <formula>NOT(ISERROR(SEARCH("Sell",E168)))</formula>
    </cfRule>
  </conditionalFormatting>
  <conditionalFormatting sqref="E167">
    <cfRule type="containsText" dxfId="9996" priority="503" operator="containsText" text="Buy">
      <formula>NOT(ISERROR(SEARCH("Buy",E167)))</formula>
    </cfRule>
    <cfRule type="containsText" dxfId="9995" priority="504" operator="containsText" text="Sell">
      <formula>NOT(ISERROR(SEARCH("Sell",E167)))</formula>
    </cfRule>
  </conditionalFormatting>
  <conditionalFormatting sqref="E166">
    <cfRule type="containsText" dxfId="9994" priority="501" operator="containsText" text="Buy">
      <formula>NOT(ISERROR(SEARCH("Buy",E166)))</formula>
    </cfRule>
    <cfRule type="containsText" dxfId="9993" priority="502" operator="containsText" text="Sell">
      <formula>NOT(ISERROR(SEARCH("Sell",E166)))</formula>
    </cfRule>
  </conditionalFormatting>
  <conditionalFormatting sqref="E165">
    <cfRule type="containsText" dxfId="9992" priority="499" operator="containsText" text="Buy">
      <formula>NOT(ISERROR(SEARCH("Buy",E165)))</formula>
    </cfRule>
    <cfRule type="containsText" dxfId="9991" priority="500" operator="containsText" text="Sell">
      <formula>NOT(ISERROR(SEARCH("Sell",E165)))</formula>
    </cfRule>
  </conditionalFormatting>
  <conditionalFormatting sqref="E164">
    <cfRule type="containsText" dxfId="9990" priority="497" operator="containsText" text="Buy">
      <formula>NOT(ISERROR(SEARCH("Buy",E164)))</formula>
    </cfRule>
    <cfRule type="containsText" dxfId="9989" priority="498" operator="containsText" text="Sell">
      <formula>NOT(ISERROR(SEARCH("Sell",E164)))</formula>
    </cfRule>
  </conditionalFormatting>
  <conditionalFormatting sqref="E163">
    <cfRule type="containsText" dxfId="9988" priority="495" operator="containsText" text="Buy">
      <formula>NOT(ISERROR(SEARCH("Buy",E163)))</formula>
    </cfRule>
    <cfRule type="containsText" dxfId="9987" priority="496" operator="containsText" text="Sell">
      <formula>NOT(ISERROR(SEARCH("Sell",E163)))</formula>
    </cfRule>
  </conditionalFormatting>
  <conditionalFormatting sqref="E162">
    <cfRule type="containsText" dxfId="9986" priority="493" operator="containsText" text="Buy">
      <formula>NOT(ISERROR(SEARCH("Buy",E162)))</formula>
    </cfRule>
    <cfRule type="containsText" dxfId="9985" priority="494" operator="containsText" text="Sell">
      <formula>NOT(ISERROR(SEARCH("Sell",E162)))</formula>
    </cfRule>
  </conditionalFormatting>
  <conditionalFormatting sqref="E161">
    <cfRule type="containsText" dxfId="9984" priority="491" operator="containsText" text="Buy">
      <formula>NOT(ISERROR(SEARCH("Buy",E161)))</formula>
    </cfRule>
    <cfRule type="containsText" dxfId="9983" priority="492" operator="containsText" text="Sell">
      <formula>NOT(ISERROR(SEARCH("Sell",E161)))</formula>
    </cfRule>
  </conditionalFormatting>
  <conditionalFormatting sqref="E160">
    <cfRule type="containsText" dxfId="9982" priority="489" operator="containsText" text="Buy">
      <formula>NOT(ISERROR(SEARCH("Buy",E160)))</formula>
    </cfRule>
    <cfRule type="containsText" dxfId="9981" priority="490" operator="containsText" text="Sell">
      <formula>NOT(ISERROR(SEARCH("Sell",E160)))</formula>
    </cfRule>
  </conditionalFormatting>
  <conditionalFormatting sqref="E159">
    <cfRule type="containsText" dxfId="9980" priority="487" operator="containsText" text="Buy">
      <formula>NOT(ISERROR(SEARCH("Buy",E159)))</formula>
    </cfRule>
    <cfRule type="containsText" dxfId="9979" priority="488" operator="containsText" text="Sell">
      <formula>NOT(ISERROR(SEARCH("Sell",E159)))</formula>
    </cfRule>
  </conditionalFormatting>
  <conditionalFormatting sqref="E158">
    <cfRule type="containsText" dxfId="9978" priority="485" operator="containsText" text="Buy">
      <formula>NOT(ISERROR(SEARCH("Buy",E158)))</formula>
    </cfRule>
    <cfRule type="containsText" dxfId="9977" priority="486" operator="containsText" text="Sell">
      <formula>NOT(ISERROR(SEARCH("Sell",E158)))</formula>
    </cfRule>
  </conditionalFormatting>
  <conditionalFormatting sqref="E154">
    <cfRule type="containsText" dxfId="9976" priority="483" operator="containsText" text="Buy">
      <formula>NOT(ISERROR(SEARCH("Buy",E154)))</formula>
    </cfRule>
    <cfRule type="containsText" dxfId="9975" priority="484" operator="containsText" text="Sell">
      <formula>NOT(ISERROR(SEARCH("Sell",E154)))</formula>
    </cfRule>
  </conditionalFormatting>
  <conditionalFormatting sqref="E214">
    <cfRule type="containsText" dxfId="9974" priority="481" operator="containsText" text="Buy">
      <formula>NOT(ISERROR(SEARCH("Buy",E214)))</formula>
    </cfRule>
    <cfRule type="containsText" dxfId="9973" priority="482" operator="containsText" text="Sell">
      <formula>NOT(ISERROR(SEARCH("Sell",E214)))</formula>
    </cfRule>
  </conditionalFormatting>
  <conditionalFormatting sqref="E213 E210">
    <cfRule type="containsText" dxfId="9972" priority="479" operator="containsText" text="Buy">
      <formula>NOT(ISERROR(SEARCH("Buy",E210)))</formula>
    </cfRule>
    <cfRule type="containsText" dxfId="9971" priority="480" operator="containsText" text="Sell">
      <formula>NOT(ISERROR(SEARCH("Sell",E210)))</formula>
    </cfRule>
  </conditionalFormatting>
  <conditionalFormatting sqref="E219">
    <cfRule type="containsText" dxfId="9970" priority="477" operator="containsText" text="Buy">
      <formula>NOT(ISERROR(SEARCH("Buy",E219)))</formula>
    </cfRule>
    <cfRule type="containsText" dxfId="9969" priority="478" operator="containsText" text="Sell">
      <formula>NOT(ISERROR(SEARCH("Sell",E219)))</formula>
    </cfRule>
  </conditionalFormatting>
  <conditionalFormatting sqref="E301:E302">
    <cfRule type="containsText" dxfId="9968" priority="475" operator="containsText" text="Buy">
      <formula>NOT(ISERROR(SEARCH("Buy",E301)))</formula>
    </cfRule>
    <cfRule type="containsText" dxfId="9967" priority="476" operator="containsText" text="Sell">
      <formula>NOT(ISERROR(SEARCH("Sell",E301)))</formula>
    </cfRule>
  </conditionalFormatting>
  <conditionalFormatting sqref="E212">
    <cfRule type="containsText" dxfId="9966" priority="473" operator="containsText" text="Buy">
      <formula>NOT(ISERROR(SEARCH("Buy",E212)))</formula>
    </cfRule>
    <cfRule type="containsText" dxfId="9965" priority="474" operator="containsText" text="Sell">
      <formula>NOT(ISERROR(SEARCH("Sell",E212)))</formula>
    </cfRule>
  </conditionalFormatting>
  <conditionalFormatting sqref="E209">
    <cfRule type="containsText" dxfId="9964" priority="471" operator="containsText" text="Buy">
      <formula>NOT(ISERROR(SEARCH("Buy",E209)))</formula>
    </cfRule>
    <cfRule type="containsText" dxfId="9963" priority="472" operator="containsText" text="Sell">
      <formula>NOT(ISERROR(SEARCH("Sell",E209)))</formula>
    </cfRule>
  </conditionalFormatting>
  <conditionalFormatting sqref="E208">
    <cfRule type="containsText" dxfId="9962" priority="469" operator="containsText" text="Buy">
      <formula>NOT(ISERROR(SEARCH("Buy",E208)))</formula>
    </cfRule>
    <cfRule type="containsText" dxfId="9961" priority="470" operator="containsText" text="Sell">
      <formula>NOT(ISERROR(SEARCH("Sell",E208)))</formula>
    </cfRule>
  </conditionalFormatting>
  <conditionalFormatting sqref="E195">
    <cfRule type="containsText" dxfId="9960" priority="467" operator="containsText" text="Buy">
      <formula>NOT(ISERROR(SEARCH("Buy",E195)))</formula>
    </cfRule>
    <cfRule type="containsText" dxfId="9959" priority="468" operator="containsText" text="Sell">
      <formula>NOT(ISERROR(SEARCH("Sell",E195)))</formula>
    </cfRule>
  </conditionalFormatting>
  <conditionalFormatting sqref="E132:E135 E145 E142:E143">
    <cfRule type="containsText" dxfId="9958" priority="465" operator="containsText" text="Buy">
      <formula>NOT(ISERROR(SEARCH("Buy",E132)))</formula>
    </cfRule>
    <cfRule type="containsText" dxfId="9957" priority="466" operator="containsText" text="Sell">
      <formula>NOT(ISERROR(SEARCH("Sell",E132)))</formula>
    </cfRule>
  </conditionalFormatting>
  <conditionalFormatting sqref="E298:E299">
    <cfRule type="containsText" dxfId="9956" priority="463" operator="containsText" text="Buy">
      <formula>NOT(ISERROR(SEARCH("Buy",E298)))</formula>
    </cfRule>
    <cfRule type="containsText" dxfId="9955" priority="464" operator="containsText" text="Sell">
      <formula>NOT(ISERROR(SEARCH("Sell",E298)))</formula>
    </cfRule>
  </conditionalFormatting>
  <conditionalFormatting sqref="E295:E296">
    <cfRule type="containsText" dxfId="9954" priority="461" operator="containsText" text="Buy">
      <formula>NOT(ISERROR(SEARCH("Buy",E295)))</formula>
    </cfRule>
    <cfRule type="containsText" dxfId="9953" priority="462" operator="containsText" text="Sell">
      <formula>NOT(ISERROR(SEARCH("Sell",E295)))</formula>
    </cfRule>
  </conditionalFormatting>
  <conditionalFormatting sqref="E293:E294">
    <cfRule type="containsText" dxfId="9952" priority="459" operator="containsText" text="Buy">
      <formula>NOT(ISERROR(SEARCH("Buy",E293)))</formula>
    </cfRule>
    <cfRule type="containsText" dxfId="9951" priority="460" operator="containsText" text="Sell">
      <formula>NOT(ISERROR(SEARCH("Sell",E293)))</formula>
    </cfRule>
  </conditionalFormatting>
  <conditionalFormatting sqref="E290:E291">
    <cfRule type="containsText" dxfId="9950" priority="457" operator="containsText" text="Buy">
      <formula>NOT(ISERROR(SEARCH("Buy",E290)))</formula>
    </cfRule>
    <cfRule type="containsText" dxfId="9949" priority="458" operator="containsText" text="Sell">
      <formula>NOT(ISERROR(SEARCH("Sell",E290)))</formula>
    </cfRule>
  </conditionalFormatting>
  <conditionalFormatting sqref="E287:E289">
    <cfRule type="containsText" dxfId="9948" priority="455" operator="containsText" text="Buy">
      <formula>NOT(ISERROR(SEARCH("Buy",E287)))</formula>
    </cfRule>
    <cfRule type="containsText" dxfId="9947" priority="456" operator="containsText" text="Sell">
      <formula>NOT(ISERROR(SEARCH("Sell",E287)))</formula>
    </cfRule>
  </conditionalFormatting>
  <conditionalFormatting sqref="E284:E285">
    <cfRule type="containsText" dxfId="9946" priority="453" operator="containsText" text="Buy">
      <formula>NOT(ISERROR(SEARCH("Buy",E284)))</formula>
    </cfRule>
    <cfRule type="containsText" dxfId="9945" priority="454" operator="containsText" text="Sell">
      <formula>NOT(ISERROR(SEARCH("Sell",E284)))</formula>
    </cfRule>
  </conditionalFormatting>
  <conditionalFormatting sqref="E281:E282">
    <cfRule type="containsText" dxfId="9944" priority="451" operator="containsText" text="Buy">
      <formula>NOT(ISERROR(SEARCH("Buy",E281)))</formula>
    </cfRule>
    <cfRule type="containsText" dxfId="9943" priority="452" operator="containsText" text="Sell">
      <formula>NOT(ISERROR(SEARCH("Sell",E281)))</formula>
    </cfRule>
  </conditionalFormatting>
  <conditionalFormatting sqref="E278:E279">
    <cfRule type="containsText" dxfId="9942" priority="449" operator="containsText" text="Buy">
      <formula>NOT(ISERROR(SEARCH("Buy",E278)))</formula>
    </cfRule>
    <cfRule type="containsText" dxfId="9941" priority="450" operator="containsText" text="Sell">
      <formula>NOT(ISERROR(SEARCH("Sell",E278)))</formula>
    </cfRule>
  </conditionalFormatting>
  <conditionalFormatting sqref="E274">
    <cfRule type="containsText" dxfId="9940" priority="445" operator="containsText" text="Buy">
      <formula>NOT(ISERROR(SEARCH("Buy",E274)))</formula>
    </cfRule>
    <cfRule type="containsText" dxfId="9939" priority="446" operator="containsText" text="Sell">
      <formula>NOT(ISERROR(SEARCH("Sell",E274)))</formula>
    </cfRule>
  </conditionalFormatting>
  <conditionalFormatting sqref="E275:E276">
    <cfRule type="containsText" dxfId="9938" priority="447" operator="containsText" text="Buy">
      <formula>NOT(ISERROR(SEARCH("Buy",E275)))</formula>
    </cfRule>
    <cfRule type="containsText" dxfId="9937" priority="448" operator="containsText" text="Sell">
      <formula>NOT(ISERROR(SEARCH("Sell",E275)))</formula>
    </cfRule>
  </conditionalFormatting>
  <conditionalFormatting sqref="E268:E269">
    <cfRule type="containsText" dxfId="9936" priority="443" operator="containsText" text="Buy">
      <formula>NOT(ISERROR(SEARCH("Buy",E268)))</formula>
    </cfRule>
    <cfRule type="containsText" dxfId="9935" priority="444" operator="containsText" text="Sell">
      <formula>NOT(ISERROR(SEARCH("Sell",E268)))</formula>
    </cfRule>
  </conditionalFormatting>
  <conditionalFormatting sqref="E264:E265">
    <cfRule type="containsText" dxfId="9934" priority="441" operator="containsText" text="Buy">
      <formula>NOT(ISERROR(SEARCH("Buy",E264)))</formula>
    </cfRule>
    <cfRule type="containsText" dxfId="9933" priority="442" operator="containsText" text="Sell">
      <formula>NOT(ISERROR(SEARCH("Sell",E264)))</formula>
    </cfRule>
  </conditionalFormatting>
  <conditionalFormatting sqref="E129:E130">
    <cfRule type="containsText" dxfId="9932" priority="439" operator="containsText" text="Buy">
      <formula>NOT(ISERROR(SEARCH("Buy",E129)))</formula>
    </cfRule>
    <cfRule type="containsText" dxfId="9931" priority="440" operator="containsText" text="Sell">
      <formula>NOT(ISERROR(SEARCH("Sell",E129)))</formula>
    </cfRule>
  </conditionalFormatting>
  <conditionalFormatting sqref="E124:E125">
    <cfRule type="containsText" dxfId="9930" priority="437" operator="containsText" text="Buy">
      <formula>NOT(ISERROR(SEARCH("Buy",E124)))</formula>
    </cfRule>
    <cfRule type="containsText" dxfId="9929" priority="438" operator="containsText" text="Sell">
      <formula>NOT(ISERROR(SEARCH("Sell",E124)))</formula>
    </cfRule>
  </conditionalFormatting>
  <conditionalFormatting sqref="E141">
    <cfRule type="containsText" dxfId="9928" priority="435" operator="containsText" text="Buy">
      <formula>NOT(ISERROR(SEARCH("Buy",E141)))</formula>
    </cfRule>
    <cfRule type="containsText" dxfId="9927" priority="436" operator="containsText" text="Sell">
      <formula>NOT(ISERROR(SEARCH("Sell",E141)))</formula>
    </cfRule>
  </conditionalFormatting>
  <conditionalFormatting sqref="E140">
    <cfRule type="containsText" dxfId="9926" priority="433" operator="containsText" text="Buy">
      <formula>NOT(ISERROR(SEARCH("Buy",E140)))</formula>
    </cfRule>
    <cfRule type="containsText" dxfId="9925" priority="434" operator="containsText" text="Sell">
      <formula>NOT(ISERROR(SEARCH("Sell",E140)))</formula>
    </cfRule>
  </conditionalFormatting>
  <conditionalFormatting sqref="E136">
    <cfRule type="containsText" dxfId="9924" priority="431" operator="containsText" text="Buy">
      <formula>NOT(ISERROR(SEARCH("Buy",E136)))</formula>
    </cfRule>
    <cfRule type="containsText" dxfId="9923" priority="432" operator="containsText" text="Sell">
      <formula>NOT(ISERROR(SEARCH("Sell",E136)))</formula>
    </cfRule>
  </conditionalFormatting>
  <conditionalFormatting sqref="E261:E263">
    <cfRule type="containsText" dxfId="9922" priority="429" operator="containsText" text="Buy">
      <formula>NOT(ISERROR(SEARCH("Buy",E261)))</formula>
    </cfRule>
    <cfRule type="containsText" dxfId="9921" priority="430" operator="containsText" text="Sell">
      <formula>NOT(ISERROR(SEARCH("Sell",E261)))</formula>
    </cfRule>
  </conditionalFormatting>
  <conditionalFormatting sqref="E258:E259">
    <cfRule type="containsText" dxfId="9920" priority="427" operator="containsText" text="Buy">
      <formula>NOT(ISERROR(SEARCH("Buy",E258)))</formula>
    </cfRule>
    <cfRule type="containsText" dxfId="9919" priority="428" operator="containsText" text="Sell">
      <formula>NOT(ISERROR(SEARCH("Sell",E258)))</formula>
    </cfRule>
  </conditionalFormatting>
  <conditionalFormatting sqref="E252:E254">
    <cfRule type="containsText" dxfId="9918" priority="425" operator="containsText" text="Buy">
      <formula>NOT(ISERROR(SEARCH("Buy",E252)))</formula>
    </cfRule>
    <cfRule type="containsText" dxfId="9917" priority="426" operator="containsText" text="Sell">
      <formula>NOT(ISERROR(SEARCH("Sell",E252)))</formula>
    </cfRule>
  </conditionalFormatting>
  <conditionalFormatting sqref="E248:E249">
    <cfRule type="containsText" dxfId="9916" priority="423" operator="containsText" text="Buy">
      <formula>NOT(ISERROR(SEARCH("Buy",E248)))</formula>
    </cfRule>
    <cfRule type="containsText" dxfId="9915" priority="424" operator="containsText" text="Sell">
      <formula>NOT(ISERROR(SEARCH("Sell",E248)))</formula>
    </cfRule>
  </conditionalFormatting>
  <conditionalFormatting sqref="E257">
    <cfRule type="containsText" dxfId="9914" priority="421" operator="containsText" text="Buy">
      <formula>NOT(ISERROR(SEARCH("Buy",E257)))</formula>
    </cfRule>
    <cfRule type="containsText" dxfId="9913" priority="422" operator="containsText" text="Sell">
      <formula>NOT(ISERROR(SEARCH("Sell",E257)))</formula>
    </cfRule>
  </conditionalFormatting>
  <conditionalFormatting sqref="E237">
    <cfRule type="containsText" dxfId="9912" priority="419" operator="containsText" text="Buy">
      <formula>NOT(ISERROR(SEARCH("Buy",E237)))</formula>
    </cfRule>
    <cfRule type="containsText" dxfId="9911" priority="420" operator="containsText" text="Sell">
      <formula>NOT(ISERROR(SEARCH("Sell",E237)))</formula>
    </cfRule>
  </conditionalFormatting>
  <conditionalFormatting sqref="E236">
    <cfRule type="containsText" dxfId="9910" priority="417" operator="containsText" text="Buy">
      <formula>NOT(ISERROR(SEARCH("Buy",E236)))</formula>
    </cfRule>
    <cfRule type="containsText" dxfId="9909" priority="418" operator="containsText" text="Sell">
      <formula>NOT(ISERROR(SEARCH("Sell",E236)))</formula>
    </cfRule>
  </conditionalFormatting>
  <conditionalFormatting sqref="E235">
    <cfRule type="containsText" dxfId="9908" priority="415" operator="containsText" text="Buy">
      <formula>NOT(ISERROR(SEARCH("Buy",E235)))</formula>
    </cfRule>
    <cfRule type="containsText" dxfId="9907" priority="416" operator="containsText" text="Sell">
      <formula>NOT(ISERROR(SEARCH("Sell",E235)))</formula>
    </cfRule>
  </conditionalFormatting>
  <conditionalFormatting sqref="E192">
    <cfRule type="containsText" dxfId="9906" priority="413" operator="containsText" text="Buy">
      <formula>NOT(ISERROR(SEARCH("Buy",E192)))</formula>
    </cfRule>
    <cfRule type="containsText" dxfId="9905" priority="414" operator="containsText" text="Sell">
      <formula>NOT(ISERROR(SEARCH("Sell",E192)))</formula>
    </cfRule>
  </conditionalFormatting>
  <conditionalFormatting sqref="E211">
    <cfRule type="containsText" dxfId="9904" priority="411" operator="containsText" text="Buy">
      <formula>NOT(ISERROR(SEARCH("Buy",E211)))</formula>
    </cfRule>
    <cfRule type="containsText" dxfId="9903" priority="412" operator="containsText" text="Sell">
      <formula>NOT(ISERROR(SEARCH("Sell",E211)))</formula>
    </cfRule>
  </conditionalFormatting>
  <conditionalFormatting sqref="E105:E106">
    <cfRule type="containsText" dxfId="9902" priority="407" operator="containsText" text="Buy">
      <formula>NOT(ISERROR(SEARCH("Buy",E105)))</formula>
    </cfRule>
    <cfRule type="containsText" dxfId="9901" priority="408" operator="containsText" text="Sell">
      <formula>NOT(ISERROR(SEARCH("Sell",E105)))</formula>
    </cfRule>
  </conditionalFormatting>
  <conditionalFormatting sqref="E234">
    <cfRule type="containsText" dxfId="9900" priority="403" operator="containsText" text="Buy">
      <formula>NOT(ISERROR(SEARCH("Buy",E234)))</formula>
    </cfRule>
    <cfRule type="containsText" dxfId="9899" priority="404" operator="containsText" text="Sell">
      <formula>NOT(ISERROR(SEARCH("Sell",E234)))</formula>
    </cfRule>
  </conditionalFormatting>
  <conditionalFormatting sqref="E144">
    <cfRule type="containsText" dxfId="9898" priority="405" operator="containsText" text="Buy">
      <formula>NOT(ISERROR(SEARCH("Buy",E144)))</formula>
    </cfRule>
    <cfRule type="containsText" dxfId="9897" priority="406" operator="containsText" text="Sell">
      <formula>NOT(ISERROR(SEARCH("Sell",E144)))</formula>
    </cfRule>
  </conditionalFormatting>
  <conditionalFormatting sqref="E233">
    <cfRule type="containsText" dxfId="9896" priority="401" operator="containsText" text="Buy">
      <formula>NOT(ISERROR(SEARCH("Buy",E233)))</formula>
    </cfRule>
    <cfRule type="containsText" dxfId="9895" priority="402" operator="containsText" text="Sell">
      <formula>NOT(ISERROR(SEARCH("Sell",E233)))</formula>
    </cfRule>
  </conditionalFormatting>
  <conditionalFormatting sqref="E232">
    <cfRule type="containsText" dxfId="9894" priority="399" operator="containsText" text="Buy">
      <formula>NOT(ISERROR(SEARCH("Buy",E232)))</formula>
    </cfRule>
    <cfRule type="containsText" dxfId="9893" priority="400" operator="containsText" text="Sell">
      <formula>NOT(ISERROR(SEARCH("Sell",E232)))</formula>
    </cfRule>
  </conditionalFormatting>
  <conditionalFormatting sqref="E231">
    <cfRule type="containsText" dxfId="9892" priority="397" operator="containsText" text="Buy">
      <formula>NOT(ISERROR(SEARCH("Buy",E231)))</formula>
    </cfRule>
    <cfRule type="containsText" dxfId="9891" priority="398" operator="containsText" text="Sell">
      <formula>NOT(ISERROR(SEARCH("Sell",E231)))</formula>
    </cfRule>
  </conditionalFormatting>
  <conditionalFormatting sqref="E230">
    <cfRule type="containsText" dxfId="9890" priority="395" operator="containsText" text="Buy">
      <formula>NOT(ISERROR(SEARCH("Buy",E230)))</formula>
    </cfRule>
    <cfRule type="containsText" dxfId="9889" priority="396" operator="containsText" text="Sell">
      <formula>NOT(ISERROR(SEARCH("Sell",E230)))</formula>
    </cfRule>
  </conditionalFormatting>
  <conditionalFormatting sqref="E110:E112 E123">
    <cfRule type="containsText" dxfId="9888" priority="393" operator="containsText" text="Buy">
      <formula>NOT(ISERROR(SEARCH("Buy",E110)))</formula>
    </cfRule>
    <cfRule type="containsText" dxfId="9887" priority="394" operator="containsText" text="Sell">
      <formula>NOT(ISERROR(SEARCH("Sell",E110)))</formula>
    </cfRule>
  </conditionalFormatting>
  <conditionalFormatting sqref="E100:E101">
    <cfRule type="containsText" dxfId="9886" priority="391" operator="containsText" text="Buy">
      <formula>NOT(ISERROR(SEARCH("Buy",E100)))</formula>
    </cfRule>
    <cfRule type="containsText" dxfId="9885" priority="392" operator="containsText" text="Sell">
      <formula>NOT(ISERROR(SEARCH("Sell",E100)))</formula>
    </cfRule>
  </conditionalFormatting>
  <conditionalFormatting sqref="E94:E95">
    <cfRule type="containsText" dxfId="9884" priority="389" operator="containsText" text="Buy">
      <formula>NOT(ISERROR(SEARCH("Buy",E94)))</formula>
    </cfRule>
    <cfRule type="containsText" dxfId="9883" priority="390" operator="containsText" text="Sell">
      <formula>NOT(ISERROR(SEARCH("Sell",E94)))</formula>
    </cfRule>
  </conditionalFormatting>
  <conditionalFormatting sqref="E121:E122">
    <cfRule type="containsText" dxfId="9882" priority="387" operator="containsText" text="Buy">
      <formula>NOT(ISERROR(SEARCH("Buy",E121)))</formula>
    </cfRule>
    <cfRule type="containsText" dxfId="9881" priority="388" operator="containsText" text="Sell">
      <formula>NOT(ISERROR(SEARCH("Sell",E121)))</formula>
    </cfRule>
  </conditionalFormatting>
  <conditionalFormatting sqref="E120">
    <cfRule type="containsText" dxfId="9880" priority="385" operator="containsText" text="Buy">
      <formula>NOT(ISERROR(SEARCH("Buy",E120)))</formula>
    </cfRule>
    <cfRule type="containsText" dxfId="9879" priority="386" operator="containsText" text="Sell">
      <formula>NOT(ISERROR(SEARCH("Sell",E120)))</formula>
    </cfRule>
  </conditionalFormatting>
  <conditionalFormatting sqref="E203">
    <cfRule type="containsText" dxfId="9878" priority="383" operator="containsText" text="Buy">
      <formula>NOT(ISERROR(SEARCH("Buy",E203)))</formula>
    </cfRule>
    <cfRule type="containsText" dxfId="9877" priority="384" operator="containsText" text="Sell">
      <formula>NOT(ISERROR(SEARCH("Sell",E203)))</formula>
    </cfRule>
  </conditionalFormatting>
  <conditionalFormatting sqref="E202">
    <cfRule type="containsText" dxfId="9876" priority="381" operator="containsText" text="Buy">
      <formula>NOT(ISERROR(SEARCH("Buy",E202)))</formula>
    </cfRule>
    <cfRule type="containsText" dxfId="9875" priority="382" operator="containsText" text="Sell">
      <formula>NOT(ISERROR(SEARCH("Sell",E202)))</formula>
    </cfRule>
  </conditionalFormatting>
  <conditionalFormatting sqref="E91:E92">
    <cfRule type="containsText" dxfId="9874" priority="379" operator="containsText" text="Buy">
      <formula>NOT(ISERROR(SEARCH("Buy",E91)))</formula>
    </cfRule>
    <cfRule type="containsText" dxfId="9873" priority="380" operator="containsText" text="Sell">
      <formula>NOT(ISERROR(SEARCH("Sell",E91)))</formula>
    </cfRule>
  </conditionalFormatting>
  <conditionalFormatting sqref="E90">
    <cfRule type="containsText" dxfId="9872" priority="377" operator="containsText" text="Buy">
      <formula>NOT(ISERROR(SEARCH("Buy",E90)))</formula>
    </cfRule>
    <cfRule type="containsText" dxfId="9871" priority="378" operator="containsText" text="Sell">
      <formula>NOT(ISERROR(SEARCH("Sell",E90)))</formula>
    </cfRule>
  </conditionalFormatting>
  <conditionalFormatting sqref="E89">
    <cfRule type="containsText" dxfId="9870" priority="375" operator="containsText" text="Buy">
      <formula>NOT(ISERROR(SEARCH("Buy",E89)))</formula>
    </cfRule>
    <cfRule type="containsText" dxfId="9869" priority="376" operator="containsText" text="Sell">
      <formula>NOT(ISERROR(SEARCH("Sell",E89)))</formula>
    </cfRule>
  </conditionalFormatting>
  <conditionalFormatting sqref="E86">
    <cfRule type="containsText" dxfId="9868" priority="373" operator="containsText" text="Buy">
      <formula>NOT(ISERROR(SEARCH("Buy",E86)))</formula>
    </cfRule>
    <cfRule type="containsText" dxfId="9867" priority="374" operator="containsText" text="Sell">
      <formula>NOT(ISERROR(SEARCH("Sell",E86)))</formula>
    </cfRule>
  </conditionalFormatting>
  <conditionalFormatting sqref="E85">
    <cfRule type="containsText" dxfId="9866" priority="371" operator="containsText" text="Buy">
      <formula>NOT(ISERROR(SEARCH("Buy",E85)))</formula>
    </cfRule>
    <cfRule type="containsText" dxfId="9865" priority="372" operator="containsText" text="Sell">
      <formula>NOT(ISERROR(SEARCH("Sell",E85)))</formula>
    </cfRule>
  </conditionalFormatting>
  <conditionalFormatting sqref="E82">
    <cfRule type="containsText" dxfId="9864" priority="369" operator="containsText" text="Buy">
      <formula>NOT(ISERROR(SEARCH("Buy",E82)))</formula>
    </cfRule>
    <cfRule type="containsText" dxfId="9863" priority="370" operator="containsText" text="Sell">
      <formula>NOT(ISERROR(SEARCH("Sell",E82)))</formula>
    </cfRule>
  </conditionalFormatting>
  <conditionalFormatting sqref="E81">
    <cfRule type="containsText" dxfId="9862" priority="367" operator="containsText" text="Buy">
      <formula>NOT(ISERROR(SEARCH("Buy",E81)))</formula>
    </cfRule>
    <cfRule type="containsText" dxfId="9861" priority="368" operator="containsText" text="Sell">
      <formula>NOT(ISERROR(SEARCH("Sell",E81)))</formula>
    </cfRule>
  </conditionalFormatting>
  <conditionalFormatting sqref="E80">
    <cfRule type="containsText" dxfId="9860" priority="365" operator="containsText" text="Buy">
      <formula>NOT(ISERROR(SEARCH("Buy",E80)))</formula>
    </cfRule>
    <cfRule type="containsText" dxfId="9859" priority="366" operator="containsText" text="Sell">
      <formula>NOT(ISERROR(SEARCH("Sell",E80)))</formula>
    </cfRule>
  </conditionalFormatting>
  <conditionalFormatting sqref="E189">
    <cfRule type="containsText" dxfId="9858" priority="293" operator="containsText" text="Buy">
      <formula>NOT(ISERROR(SEARCH("Buy",E189)))</formula>
    </cfRule>
    <cfRule type="containsText" dxfId="9857" priority="294" operator="containsText" text="Sell">
      <formula>NOT(ISERROR(SEARCH("Sell",E189)))</formula>
    </cfRule>
  </conditionalFormatting>
  <conditionalFormatting sqref="E188">
    <cfRule type="containsText" dxfId="9856" priority="291" operator="containsText" text="Buy">
      <formula>NOT(ISERROR(SEARCH("Buy",E188)))</formula>
    </cfRule>
    <cfRule type="containsText" dxfId="9855" priority="292" operator="containsText" text="Sell">
      <formula>NOT(ISERROR(SEARCH("Sell",E188)))</formula>
    </cfRule>
  </conditionalFormatting>
  <conditionalFormatting sqref="E147">
    <cfRule type="containsText" dxfId="9854" priority="289" operator="containsText" text="Buy">
      <formula>NOT(ISERROR(SEARCH("Buy",E147)))</formula>
    </cfRule>
    <cfRule type="containsText" dxfId="9853" priority="290" operator="containsText" text="Sell">
      <formula>NOT(ISERROR(SEARCH("Sell",E147)))</formula>
    </cfRule>
  </conditionalFormatting>
  <conditionalFormatting sqref="E207">
    <cfRule type="containsText" dxfId="9852" priority="363" operator="containsText" text="Buy">
      <formula>NOT(ISERROR(SEARCH("Buy",E207)))</formula>
    </cfRule>
    <cfRule type="containsText" dxfId="9851" priority="364" operator="containsText" text="Sell">
      <formula>NOT(ISERROR(SEARCH("Sell",E207)))</formula>
    </cfRule>
  </conditionalFormatting>
  <conditionalFormatting sqref="E128">
    <cfRule type="containsText" dxfId="9850" priority="361" operator="containsText" text="Buy">
      <formula>NOT(ISERROR(SEARCH("Buy",E128)))</formula>
    </cfRule>
    <cfRule type="containsText" dxfId="9849" priority="362" operator="containsText" text="Sell">
      <formula>NOT(ISERROR(SEARCH("Sell",E128)))</formula>
    </cfRule>
  </conditionalFormatting>
  <conditionalFormatting sqref="E175">
    <cfRule type="containsText" dxfId="9848" priority="359" operator="containsText" text="Buy">
      <formula>NOT(ISERROR(SEARCH("Buy",E175)))</formula>
    </cfRule>
    <cfRule type="containsText" dxfId="9847" priority="360" operator="containsText" text="Sell">
      <formula>NOT(ISERROR(SEARCH("Sell",E175)))</formula>
    </cfRule>
  </conditionalFormatting>
  <conditionalFormatting sqref="E79">
    <cfRule type="containsText" dxfId="9846" priority="287" operator="containsText" text="Buy">
      <formula>NOT(ISERROR(SEARCH("Buy",E79)))</formula>
    </cfRule>
    <cfRule type="containsText" dxfId="9845" priority="288" operator="containsText" text="Sell">
      <formula>NOT(ISERROR(SEARCH("Sell",E79)))</formula>
    </cfRule>
  </conditionalFormatting>
  <conditionalFormatting sqref="E174">
    <cfRule type="containsText" dxfId="9844" priority="357" operator="containsText" text="Buy">
      <formula>NOT(ISERROR(SEARCH("Buy",E174)))</formula>
    </cfRule>
    <cfRule type="containsText" dxfId="9843" priority="358" operator="containsText" text="Sell">
      <formula>NOT(ISERROR(SEARCH("Sell",E174)))</formula>
    </cfRule>
  </conditionalFormatting>
  <conditionalFormatting sqref="E173">
    <cfRule type="containsText" dxfId="9842" priority="355" operator="containsText" text="Buy">
      <formula>NOT(ISERROR(SEARCH("Buy",E173)))</formula>
    </cfRule>
    <cfRule type="containsText" dxfId="9841" priority="356" operator="containsText" text="Sell">
      <formula>NOT(ISERROR(SEARCH("Sell",E173)))</formula>
    </cfRule>
  </conditionalFormatting>
  <conditionalFormatting sqref="E244:E246">
    <cfRule type="containsText" dxfId="9840" priority="353" operator="containsText" text="Buy">
      <formula>NOT(ISERROR(SEARCH("Buy",E244)))</formula>
    </cfRule>
    <cfRule type="containsText" dxfId="9839" priority="354" operator="containsText" text="Sell">
      <formula>NOT(ISERROR(SEARCH("Sell",E244)))</formula>
    </cfRule>
  </conditionalFormatting>
  <conditionalFormatting sqref="E229">
    <cfRule type="containsText" dxfId="9838" priority="351" operator="containsText" text="Buy">
      <formula>NOT(ISERROR(SEARCH("Buy",E229)))</formula>
    </cfRule>
    <cfRule type="containsText" dxfId="9837" priority="352" operator="containsText" text="Sell">
      <formula>NOT(ISERROR(SEARCH("Sell",E229)))</formula>
    </cfRule>
  </conditionalFormatting>
  <conditionalFormatting sqref="E228">
    <cfRule type="containsText" dxfId="9836" priority="349" operator="containsText" text="Buy">
      <formula>NOT(ISERROR(SEARCH("Buy",E228)))</formula>
    </cfRule>
    <cfRule type="containsText" dxfId="9835" priority="350" operator="containsText" text="Sell">
      <formula>NOT(ISERROR(SEARCH("Sell",E228)))</formula>
    </cfRule>
  </conditionalFormatting>
  <conditionalFormatting sqref="E115">
    <cfRule type="containsText" dxfId="9834" priority="277" operator="containsText" text="Buy">
      <formula>NOT(ISERROR(SEARCH("Buy",E115)))</formula>
    </cfRule>
    <cfRule type="containsText" dxfId="9833" priority="278" operator="containsText" text="Sell">
      <formula>NOT(ISERROR(SEARCH("Sell",E115)))</formula>
    </cfRule>
  </conditionalFormatting>
  <conditionalFormatting sqref="E194">
    <cfRule type="containsText" dxfId="9832" priority="347" operator="containsText" text="Buy">
      <formula>NOT(ISERROR(SEARCH("Buy",E194)))</formula>
    </cfRule>
    <cfRule type="containsText" dxfId="9831" priority="348" operator="containsText" text="Sell">
      <formula>NOT(ISERROR(SEARCH("Sell",E194)))</formula>
    </cfRule>
  </conditionalFormatting>
  <conditionalFormatting sqref="E191">
    <cfRule type="containsText" dxfId="9830" priority="345" operator="containsText" text="Buy">
      <formula>NOT(ISERROR(SEARCH("Buy",E191)))</formula>
    </cfRule>
    <cfRule type="containsText" dxfId="9829" priority="346" operator="containsText" text="Sell">
      <formula>NOT(ISERROR(SEARCH("Sell",E191)))</formula>
    </cfRule>
  </conditionalFormatting>
  <conditionalFormatting sqref="E77">
    <cfRule type="containsText" dxfId="9828" priority="343" operator="containsText" text="Buy">
      <formula>NOT(ISERROR(SEARCH("Buy",E77)))</formula>
    </cfRule>
    <cfRule type="containsText" dxfId="9827" priority="344" operator="containsText" text="Sell">
      <formula>NOT(ISERROR(SEARCH("Sell",E77)))</formula>
    </cfRule>
  </conditionalFormatting>
  <conditionalFormatting sqref="E58">
    <cfRule type="containsText" dxfId="9826" priority="333" operator="containsText" text="Buy">
      <formula>NOT(ISERROR(SEARCH("Buy",E58)))</formula>
    </cfRule>
    <cfRule type="containsText" dxfId="9825" priority="334" operator="containsText" text="Sell">
      <formula>NOT(ISERROR(SEARCH("Sell",E58)))</formula>
    </cfRule>
  </conditionalFormatting>
  <conditionalFormatting sqref="E227">
    <cfRule type="containsText" dxfId="9824" priority="341" operator="containsText" text="Buy">
      <formula>NOT(ISERROR(SEARCH("Buy",E227)))</formula>
    </cfRule>
    <cfRule type="containsText" dxfId="9823" priority="342" operator="containsText" text="Sell">
      <formula>NOT(ISERROR(SEARCH("Sell",E227)))</formula>
    </cfRule>
  </conditionalFormatting>
  <conditionalFormatting sqref="E68">
    <cfRule type="containsText" dxfId="9822" priority="339" operator="containsText" text="Buy">
      <formula>NOT(ISERROR(SEARCH("Buy",E68)))</formula>
    </cfRule>
    <cfRule type="containsText" dxfId="9821" priority="340" operator="containsText" text="Sell">
      <formula>NOT(ISERROR(SEARCH("Sell",E68)))</formula>
    </cfRule>
  </conditionalFormatting>
  <conditionalFormatting sqref="E61">
    <cfRule type="containsText" dxfId="9820" priority="337" operator="containsText" text="Buy">
      <formula>NOT(ISERROR(SEARCH("Buy",E61)))</formula>
    </cfRule>
    <cfRule type="containsText" dxfId="9819" priority="338" operator="containsText" text="Sell">
      <formula>NOT(ISERROR(SEARCH("Sell",E61)))</formula>
    </cfRule>
  </conditionalFormatting>
  <conditionalFormatting sqref="E119">
    <cfRule type="containsText" dxfId="9818" priority="335" operator="containsText" text="Buy">
      <formula>NOT(ISERROR(SEARCH("Buy",E119)))</formula>
    </cfRule>
    <cfRule type="containsText" dxfId="9817" priority="336" operator="containsText" text="Sell">
      <formula>NOT(ISERROR(SEARCH("Sell",E119)))</formula>
    </cfRule>
  </conditionalFormatting>
  <conditionalFormatting sqref="E251">
    <cfRule type="containsText" dxfId="9816" priority="327" operator="containsText" text="Buy">
      <formula>NOT(ISERROR(SEARCH("Buy",E251)))</formula>
    </cfRule>
    <cfRule type="containsText" dxfId="9815" priority="328" operator="containsText" text="Sell">
      <formula>NOT(ISERROR(SEARCH("Sell",E251)))</formula>
    </cfRule>
  </conditionalFormatting>
  <conditionalFormatting sqref="E256">
    <cfRule type="containsText" dxfId="9814" priority="331" operator="containsText" text="Buy">
      <formula>NOT(ISERROR(SEARCH("Buy",E256)))</formula>
    </cfRule>
    <cfRule type="containsText" dxfId="9813" priority="332" operator="containsText" text="Sell">
      <formula>NOT(ISERROR(SEARCH("Sell",E256)))</formula>
    </cfRule>
  </conditionalFormatting>
  <conditionalFormatting sqref="E273">
    <cfRule type="containsText" dxfId="9812" priority="329" operator="containsText" text="Buy">
      <formula>NOT(ISERROR(SEARCH("Buy",E273)))</formula>
    </cfRule>
    <cfRule type="containsText" dxfId="9811" priority="330" operator="containsText" text="Sell">
      <formula>NOT(ISERROR(SEARCH("Sell",E273)))</formula>
    </cfRule>
  </conditionalFormatting>
  <conditionalFormatting sqref="E247">
    <cfRule type="containsText" dxfId="9810" priority="325" operator="containsText" text="Buy">
      <formula>NOT(ISERROR(SEARCH("Buy",E247)))</formula>
    </cfRule>
    <cfRule type="containsText" dxfId="9809" priority="326" operator="containsText" text="Sell">
      <formula>NOT(ISERROR(SEARCH("Sell",E247)))</formula>
    </cfRule>
  </conditionalFormatting>
  <conditionalFormatting sqref="E43 E37 E34 E31">
    <cfRule type="containsText" dxfId="9808" priority="323" operator="containsText" text="Buy">
      <formula>NOT(ISERROR(SEARCH("Buy",E31)))</formula>
    </cfRule>
    <cfRule type="containsText" dxfId="9807" priority="324" operator="containsText" text="Sell">
      <formula>NOT(ISERROR(SEARCH("Sell",E31)))</formula>
    </cfRule>
  </conditionalFormatting>
  <conditionalFormatting sqref="E118">
    <cfRule type="containsText" dxfId="9806" priority="321" operator="containsText" text="Buy">
      <formula>NOT(ISERROR(SEARCH("Buy",E118)))</formula>
    </cfRule>
    <cfRule type="containsText" dxfId="9805" priority="322" operator="containsText" text="Sell">
      <formula>NOT(ISERROR(SEARCH("Sell",E118)))</formula>
    </cfRule>
  </conditionalFormatting>
  <conditionalFormatting sqref="E172">
    <cfRule type="containsText" dxfId="9804" priority="319" operator="containsText" text="Buy">
      <formula>NOT(ISERROR(SEARCH("Buy",E172)))</formula>
    </cfRule>
    <cfRule type="containsText" dxfId="9803" priority="320" operator="containsText" text="Sell">
      <formula>NOT(ISERROR(SEARCH("Sell",E172)))</formula>
    </cfRule>
  </conditionalFormatting>
  <conditionalFormatting sqref="E127">
    <cfRule type="containsText" dxfId="9802" priority="317" operator="containsText" text="Buy">
      <formula>NOT(ISERROR(SEARCH("Buy",E127)))</formula>
    </cfRule>
    <cfRule type="containsText" dxfId="9801" priority="318" operator="containsText" text="Sell">
      <formula>NOT(ISERROR(SEARCH("Sell",E127)))</formula>
    </cfRule>
  </conditionalFormatting>
  <conditionalFormatting sqref="E117">
    <cfRule type="containsText" dxfId="9800" priority="311" operator="containsText" text="Buy">
      <formula>NOT(ISERROR(SEARCH("Buy",E117)))</formula>
    </cfRule>
    <cfRule type="containsText" dxfId="9799" priority="312" operator="containsText" text="Sell">
      <formula>NOT(ISERROR(SEARCH("Sell",E117)))</formula>
    </cfRule>
  </conditionalFormatting>
  <conditionalFormatting sqref="E218">
    <cfRule type="containsText" dxfId="9798" priority="315" operator="containsText" text="Buy">
      <formula>NOT(ISERROR(SEARCH("Buy",E218)))</formula>
    </cfRule>
    <cfRule type="containsText" dxfId="9797" priority="316" operator="containsText" text="Sell">
      <formula>NOT(ISERROR(SEARCH("Sell",E218)))</formula>
    </cfRule>
  </conditionalFormatting>
  <conditionalFormatting sqref="E157">
    <cfRule type="containsText" dxfId="9796" priority="303" operator="containsText" text="Buy">
      <formula>NOT(ISERROR(SEARCH("Buy",E157)))</formula>
    </cfRule>
    <cfRule type="containsText" dxfId="9795" priority="304" operator="containsText" text="Sell">
      <formula>NOT(ISERROR(SEARCH("Sell",E157)))</formula>
    </cfRule>
  </conditionalFormatting>
  <conditionalFormatting sqref="E272">
    <cfRule type="containsText" dxfId="9794" priority="313" operator="containsText" text="Buy">
      <formula>NOT(ISERROR(SEARCH("Buy",E272)))</formula>
    </cfRule>
    <cfRule type="containsText" dxfId="9793" priority="314" operator="containsText" text="Sell">
      <formula>NOT(ISERROR(SEARCH("Sell",E272)))</formula>
    </cfRule>
  </conditionalFormatting>
  <conditionalFormatting sqref="E190">
    <cfRule type="containsText" dxfId="9792" priority="309" operator="containsText" text="Buy">
      <formula>NOT(ISERROR(SEARCH("Buy",E190)))</formula>
    </cfRule>
    <cfRule type="containsText" dxfId="9791" priority="310" operator="containsText" text="Sell">
      <formula>NOT(ISERROR(SEARCH("Sell",E190)))</formula>
    </cfRule>
  </conditionalFormatting>
  <conditionalFormatting sqref="E40">
    <cfRule type="containsText" dxfId="9790" priority="305" operator="containsText" text="Buy">
      <formula>NOT(ISERROR(SEARCH("Buy",E40)))</formula>
    </cfRule>
    <cfRule type="containsText" dxfId="9789" priority="306" operator="containsText" text="Sell">
      <formula>NOT(ISERROR(SEARCH("Sell",E40)))</formula>
    </cfRule>
  </conditionalFormatting>
  <conditionalFormatting sqref="E267">
    <cfRule type="containsText" dxfId="9788" priority="307" operator="containsText" text="Buy">
      <formula>NOT(ISERROR(SEARCH("Buy",E267)))</formula>
    </cfRule>
    <cfRule type="containsText" dxfId="9787" priority="308" operator="containsText" text="Sell">
      <formula>NOT(ISERROR(SEARCH("Sell",E267)))</formula>
    </cfRule>
  </conditionalFormatting>
  <conditionalFormatting sqref="E271">
    <cfRule type="containsText" dxfId="9786" priority="301" operator="containsText" text="Buy">
      <formula>NOT(ISERROR(SEARCH("Buy",E271)))</formula>
    </cfRule>
    <cfRule type="containsText" dxfId="9785" priority="302" operator="containsText" text="Sell">
      <formula>NOT(ISERROR(SEARCH("Sell",E271)))</formula>
    </cfRule>
  </conditionalFormatting>
  <conditionalFormatting sqref="E255">
    <cfRule type="containsText" dxfId="9784" priority="299" operator="containsText" text="Buy">
      <formula>NOT(ISERROR(SEARCH("Buy",E255)))</formula>
    </cfRule>
    <cfRule type="containsText" dxfId="9783" priority="300" operator="containsText" text="Sell">
      <formula>NOT(ISERROR(SEARCH("Sell",E255)))</formula>
    </cfRule>
  </conditionalFormatting>
  <conditionalFormatting sqref="E46">
    <cfRule type="containsText" dxfId="9782" priority="297" operator="containsText" text="Buy">
      <formula>NOT(ISERROR(SEARCH("Buy",E46)))</formula>
    </cfRule>
    <cfRule type="containsText" dxfId="9781" priority="298" operator="containsText" text="Sell">
      <formula>NOT(ISERROR(SEARCH("Sell",E46)))</formula>
    </cfRule>
  </conditionalFormatting>
  <conditionalFormatting sqref="E217">
    <cfRule type="containsText" dxfId="9780" priority="295" operator="containsText" text="Buy">
      <formula>NOT(ISERROR(SEARCH("Buy",E217)))</formula>
    </cfRule>
    <cfRule type="containsText" dxfId="9779" priority="296" operator="containsText" text="Sell">
      <formula>NOT(ISERROR(SEARCH("Sell",E217)))</formula>
    </cfRule>
  </conditionalFormatting>
  <conditionalFormatting sqref="E109">
    <cfRule type="containsText" dxfId="9778" priority="275" operator="containsText" text="Buy">
      <formula>NOT(ISERROR(SEARCH("Buy",E109)))</formula>
    </cfRule>
    <cfRule type="containsText" dxfId="9777" priority="276" operator="containsText" text="Sell">
      <formula>NOT(ISERROR(SEARCH("Sell",E109)))</formula>
    </cfRule>
  </conditionalFormatting>
  <conditionalFormatting sqref="E137:E139">
    <cfRule type="containsText" dxfId="9776" priority="281" operator="containsText" text="Buy">
      <formula>NOT(ISERROR(SEARCH("Buy",E137)))</formula>
    </cfRule>
    <cfRule type="containsText" dxfId="9775" priority="282" operator="containsText" text="Sell">
      <formula>NOT(ISERROR(SEARCH("Sell",E137)))</formula>
    </cfRule>
  </conditionalFormatting>
  <conditionalFormatting sqref="E97">
    <cfRule type="containsText" dxfId="9774" priority="263" operator="containsText" text="Buy">
      <formula>NOT(ISERROR(SEARCH("Buy",E97)))</formula>
    </cfRule>
    <cfRule type="containsText" dxfId="9773" priority="264" operator="containsText" text="Sell">
      <formula>NOT(ISERROR(SEARCH("Sell",E97)))</formula>
    </cfRule>
  </conditionalFormatting>
  <conditionalFormatting sqref="E221">
    <cfRule type="containsText" dxfId="9772" priority="261" operator="containsText" text="Buy">
      <formula>NOT(ISERROR(SEARCH("Buy",E221)))</formula>
    </cfRule>
    <cfRule type="containsText" dxfId="9771" priority="262" operator="containsText" text="Sell">
      <formula>NOT(ISERROR(SEARCH("Sell",E221)))</formula>
    </cfRule>
  </conditionalFormatting>
  <conditionalFormatting sqref="E224">
    <cfRule type="containsText" dxfId="9770" priority="285" operator="containsText" text="Buy">
      <formula>NOT(ISERROR(SEARCH("Buy",E224)))</formula>
    </cfRule>
    <cfRule type="containsText" dxfId="9769" priority="286" operator="containsText" text="Sell">
      <formula>NOT(ISERROR(SEARCH("Sell",E224)))</formula>
    </cfRule>
  </conditionalFormatting>
  <conditionalFormatting sqref="E55">
    <cfRule type="containsText" dxfId="9768" priority="283" operator="containsText" text="Buy">
      <formula>NOT(ISERROR(SEARCH("Buy",E55)))</formula>
    </cfRule>
    <cfRule type="containsText" dxfId="9767" priority="284" operator="containsText" text="Sell">
      <formula>NOT(ISERROR(SEARCH("Sell",E55)))</formula>
    </cfRule>
  </conditionalFormatting>
  <conditionalFormatting sqref="E222">
    <cfRule type="containsText" dxfId="9766" priority="265" operator="containsText" text="Buy">
      <formula>NOT(ISERROR(SEARCH("Buy",E222)))</formula>
    </cfRule>
    <cfRule type="containsText" dxfId="9765" priority="266" operator="containsText" text="Sell">
      <formula>NOT(ISERROR(SEARCH("Sell",E222)))</formula>
    </cfRule>
  </conditionalFormatting>
  <conditionalFormatting sqref="E116">
    <cfRule type="containsText" dxfId="9764" priority="279" operator="containsText" text="Buy">
      <formula>NOT(ISERROR(SEARCH("Buy",E116)))</formula>
    </cfRule>
    <cfRule type="containsText" dxfId="9763" priority="280" operator="containsText" text="Sell">
      <formula>NOT(ISERROR(SEARCH("Sell",E116)))</formula>
    </cfRule>
  </conditionalFormatting>
  <conditionalFormatting sqref="E114">
    <cfRule type="containsText" dxfId="9762" priority="273" operator="containsText" text="Buy">
      <formula>NOT(ISERROR(SEARCH("Buy",E114)))</formula>
    </cfRule>
    <cfRule type="containsText" dxfId="9761" priority="274" operator="containsText" text="Sell">
      <formula>NOT(ISERROR(SEARCH("Sell",E114)))</formula>
    </cfRule>
  </conditionalFormatting>
  <conditionalFormatting sqref="E113">
    <cfRule type="containsText" dxfId="9760" priority="271" operator="containsText" text="Buy">
      <formula>NOT(ISERROR(SEARCH("Buy",E113)))</formula>
    </cfRule>
    <cfRule type="containsText" dxfId="9759" priority="272" operator="containsText" text="Sell">
      <formula>NOT(ISERROR(SEARCH("Sell",E113)))</formula>
    </cfRule>
  </conditionalFormatting>
  <conditionalFormatting sqref="E223">
    <cfRule type="containsText" dxfId="9758" priority="269" operator="containsText" text="Buy">
      <formula>NOT(ISERROR(SEARCH("Buy",E223)))</formula>
    </cfRule>
    <cfRule type="containsText" dxfId="9757" priority="270" operator="containsText" text="Sell">
      <formula>NOT(ISERROR(SEARCH("Sell",E223)))</formula>
    </cfRule>
  </conditionalFormatting>
  <conditionalFormatting sqref="E98:E99">
    <cfRule type="containsText" dxfId="9756" priority="267" operator="containsText" text="Buy">
      <formula>NOT(ISERROR(SEARCH("Buy",E98)))</formula>
    </cfRule>
    <cfRule type="containsText" dxfId="9755" priority="268" operator="containsText" text="Sell">
      <formula>NOT(ISERROR(SEARCH("Sell",E98)))</formula>
    </cfRule>
  </conditionalFormatting>
  <conditionalFormatting sqref="E104">
    <cfRule type="containsText" dxfId="9754" priority="259" operator="containsText" text="Buy">
      <formula>NOT(ISERROR(SEARCH("Buy",E104)))</formula>
    </cfRule>
    <cfRule type="containsText" dxfId="9753" priority="260" operator="containsText" text="Sell">
      <formula>NOT(ISERROR(SEARCH("Sell",E104)))</formula>
    </cfRule>
  </conditionalFormatting>
  <conditionalFormatting sqref="E108">
    <cfRule type="containsText" dxfId="9752" priority="257" operator="containsText" text="Buy">
      <formula>NOT(ISERROR(SEARCH("Buy",E108)))</formula>
    </cfRule>
    <cfRule type="containsText" dxfId="9751" priority="258" operator="containsText" text="Sell">
      <formula>NOT(ISERROR(SEARCH("Sell",E108)))</formula>
    </cfRule>
  </conditionalFormatting>
  <conditionalFormatting sqref="E103">
    <cfRule type="containsText" dxfId="9750" priority="255" operator="containsText" text="Buy">
      <formula>NOT(ISERROR(SEARCH("Buy",E103)))</formula>
    </cfRule>
    <cfRule type="containsText" dxfId="9749" priority="256" operator="containsText" text="Sell">
      <formula>NOT(ISERROR(SEARCH("Sell",E103)))</formula>
    </cfRule>
  </conditionalFormatting>
  <conditionalFormatting sqref="E41">
    <cfRule type="containsText" dxfId="9748" priority="235" operator="containsText" text="Buy">
      <formula>NOT(ISERROR(SEARCH("Buy",E41)))</formula>
    </cfRule>
    <cfRule type="containsText" dxfId="9747" priority="236" operator="containsText" text="Sell">
      <formula>NOT(ISERROR(SEARCH("Sell",E41)))</formula>
    </cfRule>
  </conditionalFormatting>
  <conditionalFormatting sqref="E30">
    <cfRule type="containsText" dxfId="9746" priority="253" operator="containsText" text="Buy">
      <formula>NOT(ISERROR(SEARCH("Buy",E30)))</formula>
    </cfRule>
    <cfRule type="containsText" dxfId="9745" priority="254" operator="containsText" text="Sell">
      <formula>NOT(ISERROR(SEARCH("Sell",E30)))</formula>
    </cfRule>
  </conditionalFormatting>
  <conditionalFormatting sqref="E29">
    <cfRule type="containsText" dxfId="9744" priority="251" operator="containsText" text="Buy">
      <formula>NOT(ISERROR(SEARCH("Buy",E29)))</formula>
    </cfRule>
    <cfRule type="containsText" dxfId="9743" priority="252" operator="containsText" text="Sell">
      <formula>NOT(ISERROR(SEARCH("Sell",E29)))</formula>
    </cfRule>
  </conditionalFormatting>
  <conditionalFormatting sqref="E33">
    <cfRule type="containsText" dxfId="9742" priority="249" operator="containsText" text="Buy">
      <formula>NOT(ISERROR(SEARCH("Buy",E33)))</formula>
    </cfRule>
    <cfRule type="containsText" dxfId="9741" priority="250" operator="containsText" text="Sell">
      <formula>NOT(ISERROR(SEARCH("Sell",E33)))</formula>
    </cfRule>
  </conditionalFormatting>
  <conditionalFormatting sqref="E32">
    <cfRule type="containsText" dxfId="9740" priority="247" operator="containsText" text="Buy">
      <formula>NOT(ISERROR(SEARCH("Buy",E32)))</formula>
    </cfRule>
    <cfRule type="containsText" dxfId="9739" priority="248" operator="containsText" text="Sell">
      <formula>NOT(ISERROR(SEARCH("Sell",E32)))</formula>
    </cfRule>
  </conditionalFormatting>
  <conditionalFormatting sqref="E36">
    <cfRule type="containsText" dxfId="9738" priority="245" operator="containsText" text="Buy">
      <formula>NOT(ISERROR(SEARCH("Buy",E36)))</formula>
    </cfRule>
    <cfRule type="containsText" dxfId="9737" priority="246" operator="containsText" text="Sell">
      <formula>NOT(ISERROR(SEARCH("Sell",E36)))</formula>
    </cfRule>
  </conditionalFormatting>
  <conditionalFormatting sqref="E35">
    <cfRule type="containsText" dxfId="9736" priority="243" operator="containsText" text="Buy">
      <formula>NOT(ISERROR(SEARCH("Buy",E35)))</formula>
    </cfRule>
    <cfRule type="containsText" dxfId="9735" priority="244" operator="containsText" text="Sell">
      <formula>NOT(ISERROR(SEARCH("Sell",E35)))</formula>
    </cfRule>
  </conditionalFormatting>
  <conditionalFormatting sqref="E39">
    <cfRule type="containsText" dxfId="9734" priority="241" operator="containsText" text="Buy">
      <formula>NOT(ISERROR(SEARCH("Buy",E39)))</formula>
    </cfRule>
    <cfRule type="containsText" dxfId="9733" priority="242" operator="containsText" text="Sell">
      <formula>NOT(ISERROR(SEARCH("Sell",E39)))</formula>
    </cfRule>
  </conditionalFormatting>
  <conditionalFormatting sqref="E38">
    <cfRule type="containsText" dxfId="9732" priority="239" operator="containsText" text="Buy">
      <formula>NOT(ISERROR(SEARCH("Buy",E38)))</formula>
    </cfRule>
    <cfRule type="containsText" dxfId="9731" priority="240" operator="containsText" text="Sell">
      <formula>NOT(ISERROR(SEARCH("Sell",E38)))</formula>
    </cfRule>
  </conditionalFormatting>
  <conditionalFormatting sqref="E42">
    <cfRule type="containsText" dxfId="9730" priority="237" operator="containsText" text="Buy">
      <formula>NOT(ISERROR(SEARCH("Buy",E42)))</formula>
    </cfRule>
    <cfRule type="containsText" dxfId="9729" priority="238" operator="containsText" text="Sell">
      <formula>NOT(ISERROR(SEARCH("Sell",E42)))</formula>
    </cfRule>
  </conditionalFormatting>
  <conditionalFormatting sqref="E45">
    <cfRule type="containsText" dxfId="9728" priority="233" operator="containsText" text="Buy">
      <formula>NOT(ISERROR(SEARCH("Buy",E45)))</formula>
    </cfRule>
    <cfRule type="containsText" dxfId="9727" priority="234" operator="containsText" text="Sell">
      <formula>NOT(ISERROR(SEARCH("Sell",E45)))</formula>
    </cfRule>
  </conditionalFormatting>
  <conditionalFormatting sqref="E44">
    <cfRule type="containsText" dxfId="9726" priority="231" operator="containsText" text="Buy">
      <formula>NOT(ISERROR(SEARCH("Buy",E44)))</formula>
    </cfRule>
    <cfRule type="containsText" dxfId="9725" priority="232" operator="containsText" text="Sell">
      <formula>NOT(ISERROR(SEARCH("Sell",E44)))</formula>
    </cfRule>
  </conditionalFormatting>
  <conditionalFormatting sqref="I8:J8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{0604438A-0313-4C46-9C56-3416DC349D5F}</x14:id>
        </ext>
      </extLst>
    </cfRule>
  </conditionalFormatting>
  <conditionalFormatting sqref="I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{6271BAA6-052A-4BCC-B6E1-23ED72A4C5B1}</x14:id>
        </ext>
      </extLst>
    </cfRule>
  </conditionalFormatting>
  <conditionalFormatting sqref="S8: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{B615F994-655C-4BE4-BCE8-4D0C20301B65}</x14:id>
        </ext>
      </extLst>
    </cfRule>
  </conditionalFormatting>
  <conditionalFormatting sqref="S8:W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{536386A1-B988-4E23-A148-5670F82AC22A}</x14:id>
        </ext>
      </extLst>
    </cfRule>
  </conditionalFormatting>
  <conditionalFormatting sqref="X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{CA68D943-F3DC-4B1B-8691-30CFF1003E67}</x14:id>
        </ext>
      </extLst>
    </cfRule>
  </conditionalFormatting>
  <conditionalFormatting sqref="S8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{FCB8400A-1D97-4892-8114-384FF88A3F01}</x14:id>
        </ext>
      </extLst>
    </cfRule>
  </conditionalFormatting>
  <conditionalFormatting sqref="T8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{282C9D1A-7ED2-4601-A5A4-B34EDF22715F}</x14:id>
        </ext>
      </extLst>
    </cfRule>
  </conditionalFormatting>
  <conditionalFormatting sqref="U8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{28FA5D65-68B1-45AA-8EA0-228D8021A212}</x14:id>
        </ext>
      </extLst>
    </cfRule>
  </conditionalFormatting>
  <conditionalFormatting sqref="V8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{015FBF08-DA54-4249-A2C2-4065979F89EC}</x14:id>
        </ext>
      </extLst>
    </cfRule>
  </conditionalFormatting>
  <conditionalFormatting sqref="W8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{B3929537-E731-4B9D-A48B-94C3AC3CE688}</x14:id>
        </ext>
      </extLst>
    </cfRule>
  </conditionalFormatting>
  <conditionalFormatting sqref="Y8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{CD891BC6-4302-404A-BD44-4373BA4D38C9}</x14:id>
        </ext>
      </extLst>
    </cfRule>
  </conditionalFormatting>
  <conditionalFormatting sqref="S8:X8">
    <cfRule type="dataBar" priority="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{66A17BD6-2935-4595-BBC2-D2335F517ECB}</x14:id>
        </ext>
      </extLst>
    </cfRule>
  </conditionalFormatting>
  <conditionalFormatting sqref="J8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{586341BF-15D0-49F7-A909-6BD4080B647D}</x14:id>
        </ext>
      </extLst>
    </cfRule>
  </conditionalFormatting>
  <conditionalFormatting sqref="I8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{66AA8C53-FEB5-4A9E-9FBA-9CABA5A590F5}</x14:id>
        </ext>
      </extLst>
    </cfRule>
  </conditionalFormatting>
  <conditionalFormatting sqref="J8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{B33F229A-05B8-4D8C-B454-0D3358491D05}</x14:id>
        </ext>
      </extLst>
    </cfRule>
  </conditionalFormatting>
  <conditionalFormatting sqref="E48">
    <cfRule type="containsText" dxfId="9724" priority="212" operator="containsText" text="Buy">
      <formula>NOT(ISERROR(SEARCH("Buy",E48)))</formula>
    </cfRule>
    <cfRule type="containsText" dxfId="9723" priority="213" operator="containsText" text="Sell">
      <formula>NOT(ISERROR(SEARCH("Sell",E48)))</formula>
    </cfRule>
  </conditionalFormatting>
  <conditionalFormatting sqref="E47">
    <cfRule type="containsText" dxfId="9722" priority="210" operator="containsText" text="Buy">
      <formula>NOT(ISERROR(SEARCH("Buy",E47)))</formula>
    </cfRule>
    <cfRule type="containsText" dxfId="9721" priority="211" operator="containsText" text="Sell">
      <formula>NOT(ISERROR(SEARCH("Sell",E47)))</formula>
    </cfRule>
  </conditionalFormatting>
  <conditionalFormatting sqref="I4:J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{F8D717DC-4847-4615-AE71-B610CFAFC9C3}</x14:id>
        </ext>
      </extLst>
    </cfRule>
  </conditionalFormatting>
  <conditionalFormatting sqref="I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{24B35136-1D23-482D-A997-E3B97E812ABE}</x14:id>
        </ext>
      </extLst>
    </cfRule>
  </conditionalFormatting>
  <conditionalFormatting sqref="S4:W4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{6A5E26B5-DB39-4206-8174-FF5ABF49CB26}</x14:id>
        </ext>
      </extLst>
    </cfRule>
  </conditionalFormatting>
  <conditionalFormatting sqref="S4:W4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{04361B79-3C80-4D11-A267-C5C4CF28C560}</x14:id>
        </ext>
      </extLst>
    </cfRule>
  </conditionalFormatting>
  <conditionalFormatting sqref="X4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{DCFE0ED8-7EF0-4536-B3F2-FEF0772C3B6E}</x14:id>
        </ext>
      </extLst>
    </cfRule>
  </conditionalFormatting>
  <conditionalFormatting sqref="S4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{FEC40179-2F37-4749-9868-E2AB8E65F18D}</x14:id>
        </ext>
      </extLst>
    </cfRule>
  </conditionalFormatting>
  <conditionalFormatting sqref="T4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{41BA9D37-2B23-420E-8E43-F957885C4216}</x14:id>
        </ext>
      </extLst>
    </cfRule>
  </conditionalFormatting>
  <conditionalFormatting sqref="U4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{E9B45C1C-30EA-4EBF-8A23-A7D4D361C782}</x14:id>
        </ext>
      </extLst>
    </cfRule>
  </conditionalFormatting>
  <conditionalFormatting sqref="V4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{7D5F788A-B928-4230-AC6E-2A83E1D479D1}</x14:id>
        </ext>
      </extLst>
    </cfRule>
  </conditionalFormatting>
  <conditionalFormatting sqref="W4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{3E4684A6-4EC1-45FD-B527-E471D6D0EF70}</x14:id>
        </ext>
      </extLst>
    </cfRule>
  </conditionalFormatting>
  <conditionalFormatting sqref="Y4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{39DF2135-6402-4B20-8373-AB361F162B6F}</x14:id>
        </ext>
      </extLst>
    </cfRule>
  </conditionalFormatting>
  <conditionalFormatting sqref="S4:X4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{ED58A7AE-26CD-4CCF-BB50-DCDB0ECBC7F4}</x14:id>
        </ext>
      </extLst>
    </cfRule>
  </conditionalFormatting>
  <conditionalFormatting sqref="J4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{ECE76C34-B5DA-4259-BFEA-035E9BD9A86E}</x14:id>
        </ext>
      </extLst>
    </cfRule>
  </conditionalFormatting>
  <conditionalFormatting sqref="I4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{7A0CFD9E-D82C-4BFA-AE75-BA1D01819535}</x14:id>
        </ext>
      </extLst>
    </cfRule>
  </conditionalFormatting>
  <conditionalFormatting sqref="J4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{9002E5AC-DB2D-4EDD-8F4A-89B0EDA7ED8C}</x14:id>
        </ext>
      </extLst>
    </cfRule>
  </conditionalFormatting>
  <conditionalFormatting sqref="I4:J4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{E9EC8B84-7485-4368-8554-057606170F85}</x14:id>
        </ext>
      </extLst>
    </cfRule>
  </conditionalFormatting>
  <conditionalFormatting sqref="E51">
    <cfRule type="containsText" dxfId="9720" priority="192" operator="containsText" text="Buy">
      <formula>NOT(ISERROR(SEARCH("Buy",E51)))</formula>
    </cfRule>
    <cfRule type="containsText" dxfId="9719" priority="193" operator="containsText" text="Sell">
      <formula>NOT(ISERROR(SEARCH("Sell",E51)))</formula>
    </cfRule>
  </conditionalFormatting>
  <conditionalFormatting sqref="E50">
    <cfRule type="containsText" dxfId="9718" priority="190" operator="containsText" text="Buy">
      <formula>NOT(ISERROR(SEARCH("Buy",E50)))</formula>
    </cfRule>
    <cfRule type="containsText" dxfId="9717" priority="191" operator="containsText" text="Sell">
      <formula>NOT(ISERROR(SEARCH("Sell",E50)))</formula>
    </cfRule>
  </conditionalFormatting>
  <conditionalFormatting sqref="I14:J1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{9F69A4B8-A263-46F7-9A65-C4F50E59E3B6}</x14:id>
        </ext>
      </extLst>
    </cfRule>
  </conditionalFormatting>
  <conditionalFormatting sqref="I14">
    <cfRule type="dataBar" priority="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{13251F31-57C6-4196-BA76-1F895794206D}</x14:id>
        </ext>
      </extLst>
    </cfRule>
  </conditionalFormatting>
  <conditionalFormatting sqref="S14:W14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{0489A336-2A23-4B10-9A17-905D6F414444}</x14:id>
        </ext>
      </extLst>
    </cfRule>
  </conditionalFormatting>
  <conditionalFormatting sqref="S14:W14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{A6D7C4AB-624D-400E-89BA-B05364BE236D}</x14:id>
        </ext>
      </extLst>
    </cfRule>
  </conditionalFormatting>
  <conditionalFormatting sqref="X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{0D6D6C3E-5822-4D69-AA03-40A0D73A3520}</x14:id>
        </ext>
      </extLst>
    </cfRule>
  </conditionalFormatting>
  <conditionalFormatting sqref="S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{D753B502-81B4-43BB-AB92-0715648F4EEE}</x14:id>
        </ext>
      </extLst>
    </cfRule>
  </conditionalFormatting>
  <conditionalFormatting sqref="T14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{37C8F598-754E-4B10-81DF-F99855A8713C}</x14:id>
        </ext>
      </extLst>
    </cfRule>
  </conditionalFormatting>
  <conditionalFormatting sqref="U14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{B2D40D0F-8000-4006-A714-8783D269A15D}</x14:id>
        </ext>
      </extLst>
    </cfRule>
  </conditionalFormatting>
  <conditionalFormatting sqref="V14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{394FF2C8-F59A-46F6-B7DD-4B5A415662CD}</x14:id>
        </ext>
      </extLst>
    </cfRule>
  </conditionalFormatting>
  <conditionalFormatting sqref="W14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{5DA116B7-2177-4D8F-B973-BD53CC918FF8}</x14:id>
        </ext>
      </extLst>
    </cfRule>
  </conditionalFormatting>
  <conditionalFormatting sqref="Y1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{D4249DE2-1AC8-489D-AE46-78E1A0945B95}</x14:id>
        </ext>
      </extLst>
    </cfRule>
  </conditionalFormatting>
  <conditionalFormatting sqref="S14:X14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{FC410B22-2C9B-422C-9A51-B22CFD8577ED}</x14:id>
        </ext>
      </extLst>
    </cfRule>
  </conditionalFormatting>
  <conditionalFormatting sqref="J14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{505CA1A4-0234-4EB3-A16F-15D0F8AFF199}</x14:id>
        </ext>
      </extLst>
    </cfRule>
  </conditionalFormatting>
  <conditionalFormatting sqref="I14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{AB58940B-6EE9-4854-B4EE-87EB481D36A0}</x14:id>
        </ext>
      </extLst>
    </cfRule>
  </conditionalFormatting>
  <conditionalFormatting sqref="J14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{91C2FC1A-2C44-401C-B138-D1D6DDBB24E0}</x14:id>
        </ext>
      </extLst>
    </cfRule>
  </conditionalFormatting>
  <conditionalFormatting sqref="I14:J14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{2AC071B1-44F1-43DB-94B2-13968EC69B85}</x14:id>
        </ext>
      </extLst>
    </cfRule>
  </conditionalFormatting>
  <conditionalFormatting sqref="E54">
    <cfRule type="containsText" dxfId="9716" priority="172" operator="containsText" text="Buy">
      <formula>NOT(ISERROR(SEARCH("Buy",E54)))</formula>
    </cfRule>
    <cfRule type="containsText" dxfId="9715" priority="173" operator="containsText" text="Sell">
      <formula>NOT(ISERROR(SEARCH("Sell",E54)))</formula>
    </cfRule>
  </conditionalFormatting>
  <conditionalFormatting sqref="E53">
    <cfRule type="containsText" dxfId="9714" priority="170" operator="containsText" text="Buy">
      <formula>NOT(ISERROR(SEARCH("Buy",E53)))</formula>
    </cfRule>
    <cfRule type="containsText" dxfId="9713" priority="171" operator="containsText" text="Sell">
      <formula>NOT(ISERROR(SEARCH("Sell",E53)))</formula>
    </cfRule>
  </conditionalFormatting>
  <conditionalFormatting sqref="I5:J7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{54B801DC-4898-4719-99AF-BCD0D5D33F24}</x14:id>
        </ext>
      </extLst>
    </cfRule>
  </conditionalFormatting>
  <conditionalFormatting sqref="I5:I7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{6FEC1331-02ED-48AA-987E-8E929FD2A4B9}</x14:id>
        </ext>
      </extLst>
    </cfRule>
  </conditionalFormatting>
  <conditionalFormatting sqref="S5:W7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{E3F02F32-56F8-4A7E-AB06-77615A43455E}</x14:id>
        </ext>
      </extLst>
    </cfRule>
  </conditionalFormatting>
  <conditionalFormatting sqref="S5:W7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{5B74E500-4A0D-427D-8A48-B9EE44CBE4D0}</x14:id>
        </ext>
      </extLst>
    </cfRule>
  </conditionalFormatting>
  <conditionalFormatting sqref="X5:X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{A56951E0-E328-4F3E-9A4E-63CEC3B658E1}</x14:id>
        </ext>
      </extLst>
    </cfRule>
  </conditionalFormatting>
  <conditionalFormatting sqref="S5:S7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{5377BCA5-93A1-4948-BF00-40F4F3942DE6}</x14:id>
        </ext>
      </extLst>
    </cfRule>
  </conditionalFormatting>
  <conditionalFormatting sqref="T5:T7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{C02F0F5E-6D54-478E-B5A4-F632ACB32FCE}</x14:id>
        </ext>
      </extLst>
    </cfRule>
  </conditionalFormatting>
  <conditionalFormatting sqref="U5:U7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{5A9FDC34-2F8B-4B2B-A41D-111E2F9885DE}</x14:id>
        </ext>
      </extLst>
    </cfRule>
  </conditionalFormatting>
  <conditionalFormatting sqref="V5:V7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{B3AD61B7-40A8-4AE7-88C3-CEC483FAA861}</x14:id>
        </ext>
      </extLst>
    </cfRule>
  </conditionalFormatting>
  <conditionalFormatting sqref="W5:W7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{647361F0-BFB1-415E-BDAE-0CB7ED3B207B}</x14:id>
        </ext>
      </extLst>
    </cfRule>
  </conditionalFormatting>
  <conditionalFormatting sqref="Y5:Y7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{EA0B3615-FB74-43EC-8916-92D4D32D8219}</x14:id>
        </ext>
      </extLst>
    </cfRule>
  </conditionalFormatting>
  <conditionalFormatting sqref="S5:X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{2EA22378-6E56-48AD-9B9A-75D3B2A854F7}</x14:id>
        </ext>
      </extLst>
    </cfRule>
  </conditionalFormatting>
  <conditionalFormatting sqref="J5:J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{5F51365B-BC2B-4889-B3F7-3922F356DB73}</x14:id>
        </ext>
      </extLst>
    </cfRule>
  </conditionalFormatting>
  <conditionalFormatting sqref="I5:I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{596E59DA-5740-4E1C-9955-2B1AB2B7D13C}</x14:id>
        </ext>
      </extLst>
    </cfRule>
  </conditionalFormatting>
  <conditionalFormatting sqref="J5:J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{63FC04A6-8548-4059-B45E-6C7D195B62F4}</x14:id>
        </ext>
      </extLst>
    </cfRule>
  </conditionalFormatting>
  <conditionalFormatting sqref="I5:J8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{BB4ABFE9-E97E-4E53-95A4-087DA6BFDF7A}</x14:id>
        </ext>
      </extLst>
    </cfRule>
  </conditionalFormatting>
  <conditionalFormatting sqref="Q4:Q1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{28C3994F-03B2-440A-8027-6FA5C38BA669}</x14:id>
        </ext>
      </extLst>
    </cfRule>
  </conditionalFormatting>
  <conditionalFormatting sqref="Q4:Q1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{281B83F6-3D7A-4567-99A8-423F2DCEFA73}</x14:id>
        </ext>
      </extLst>
    </cfRule>
  </conditionalFormatting>
  <conditionalFormatting sqref="Q4:Q1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{64E740F3-FA46-4C58-A6C9-DD35C80BCB91}</x14:id>
        </ext>
      </extLst>
    </cfRule>
  </conditionalFormatting>
  <conditionalFormatting sqref="Q4:Q1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{9514CC80-063A-44B7-81F9-0ECAFDFFCB16}</x14:id>
        </ext>
      </extLst>
    </cfRule>
  </conditionalFormatting>
  <conditionalFormatting sqref="Q4:Q14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{A1351C46-1418-4E6B-9B59-C27A9B3BF969}</x14:id>
        </ext>
      </extLst>
    </cfRule>
  </conditionalFormatting>
  <conditionalFormatting sqref="I4:I8 I14">
    <cfRule type="dataBar" priority="5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{B21BF088-F600-4018-B5AD-6B878D983B49}</x14:id>
        </ext>
      </extLst>
    </cfRule>
  </conditionalFormatting>
  <conditionalFormatting sqref="J4:J8 J14">
    <cfRule type="dataBar" priority="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{D2820E3B-DD78-4349-9CF7-B840C822B0C0}</x14:id>
        </ext>
      </extLst>
    </cfRule>
  </conditionalFormatting>
  <conditionalFormatting sqref="H20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{2DE3EBCA-51BB-4688-B791-51B3A826F232}</x14:id>
        </ext>
      </extLst>
    </cfRule>
    <cfRule type="cellIs" dxfId="9712" priority="574" operator="equal">
      <formula>1</formula>
    </cfRule>
  </conditionalFormatting>
  <conditionalFormatting sqref="I9:J9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{8C38D2DF-6E63-45F5-A7C4-D8F8C94484C2}</x14:id>
        </ext>
      </extLst>
    </cfRule>
  </conditionalFormatting>
  <conditionalFormatting sqref="I9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{5FD1F79F-DD48-43F9-B216-7995E482C74A}</x14:id>
        </ext>
      </extLst>
    </cfRule>
  </conditionalFormatting>
  <conditionalFormatting sqref="S9:W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{3A7FDFF8-4C4B-4479-BEF8-AA3117472240}</x14:id>
        </ext>
      </extLst>
    </cfRule>
  </conditionalFormatting>
  <conditionalFormatting sqref="S9:W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{38CD6FA5-9AB7-4BA0-8795-5738792A3D58}</x14:id>
        </ext>
      </extLst>
    </cfRule>
  </conditionalFormatting>
  <conditionalFormatting sqref="X9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{01034A16-A28A-4A32-9F5B-7FC93988600F}</x14:id>
        </ext>
      </extLst>
    </cfRule>
  </conditionalFormatting>
  <conditionalFormatting sqref="S9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{0E4D6F7D-1BC9-4516-B2BA-6DB4548A7BC3}</x14:id>
        </ext>
      </extLst>
    </cfRule>
  </conditionalFormatting>
  <conditionalFormatting sqref="T9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{970CC293-C2A0-4ADE-BC4A-3D2F3F8A1CF9}</x14:id>
        </ext>
      </extLst>
    </cfRule>
  </conditionalFormatting>
  <conditionalFormatting sqref="U9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{514F7C4C-6B25-49BE-986F-1E55DCF62A64}</x14:id>
        </ext>
      </extLst>
    </cfRule>
  </conditionalFormatting>
  <conditionalFormatting sqref="V9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{E539C10D-8E43-4027-8006-5712602BFA14}</x14:id>
        </ext>
      </extLst>
    </cfRule>
  </conditionalFormatting>
  <conditionalFormatting sqref="W9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{0F86D312-EA0E-4BAC-977D-FBAEE5D8EE04}</x14:id>
        </ext>
      </extLst>
    </cfRule>
  </conditionalFormatting>
  <conditionalFormatting sqref="Y9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{AFCE773A-61E6-409D-A618-D181F7790E58}</x14:id>
        </ext>
      </extLst>
    </cfRule>
  </conditionalFormatting>
  <conditionalFormatting sqref="S9:X9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{38A3A98D-61B2-442F-AEDD-3C4CBA1C3A81}</x14:id>
        </ext>
      </extLst>
    </cfRule>
  </conditionalFormatting>
  <conditionalFormatting sqref="J9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{73B91788-1FFF-4A9C-A901-17028213EB93}</x14:id>
        </ext>
      </extLst>
    </cfRule>
  </conditionalFormatting>
  <conditionalFormatting sqref="I9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{EBB331BE-2597-436E-A326-9D85646B069E}</x14:id>
        </ext>
      </extLst>
    </cfRule>
  </conditionalFormatting>
  <conditionalFormatting sqref="J9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{008DE912-18CE-47D3-AA10-62602E926C5F}</x14:id>
        </ext>
      </extLst>
    </cfRule>
  </conditionalFormatting>
  <conditionalFormatting sqref="I9:J9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{B1626E1D-1583-425B-96E3-07898DF62DC7}</x14:id>
        </ext>
      </extLst>
    </cfRule>
  </conditionalFormatting>
  <conditionalFormatting sqref="Q9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{33D533B2-FEEE-42D6-8A0B-DC37EC9FDDA6}</x14:id>
        </ext>
      </extLst>
    </cfRule>
  </conditionalFormatting>
  <conditionalFormatting sqref="Q9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{6E6FC7D6-A2B0-4649-8727-E23AE769A603}</x14:id>
        </ext>
      </extLst>
    </cfRule>
  </conditionalFormatting>
  <conditionalFormatting sqref="Q9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{4824ECE1-7438-441B-A978-A9ADD6C95109}</x14:id>
        </ext>
      </extLst>
    </cfRule>
  </conditionalFormatting>
  <conditionalFormatting sqref="Q9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{824BE374-0DC1-4257-875A-B0C6AB9E965C}</x14:id>
        </ext>
      </extLst>
    </cfRule>
  </conditionalFormatting>
  <conditionalFormatting sqref="Q9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{93E5F65E-DF95-455F-BA3B-7ADB91EDBA66}</x14:id>
        </ext>
      </extLst>
    </cfRule>
  </conditionalFormatting>
  <conditionalFormatting sqref="I9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{3FB3309B-083F-4D6E-BB66-7871761ECAEA}</x14:id>
        </ext>
      </extLst>
    </cfRule>
  </conditionalFormatting>
  <conditionalFormatting sqref="J9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{F278AB03-ACD4-40B0-A1F6-842A11D0F1C3}</x14:id>
        </ext>
      </extLst>
    </cfRule>
  </conditionalFormatting>
  <conditionalFormatting sqref="I10:J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{502CADB2-5EC0-4D12-9799-A64D6D9BBE23}</x14:id>
        </ext>
      </extLst>
    </cfRule>
  </conditionalFormatting>
  <conditionalFormatting sqref="I10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{3961401B-BE8D-43BC-A327-BFC510AD35F6}</x14:id>
        </ext>
      </extLst>
    </cfRule>
  </conditionalFormatting>
  <conditionalFormatting sqref="S10:W1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{C6EF9676-909F-4343-8615-6469D3F93E14}</x14:id>
        </ext>
      </extLst>
    </cfRule>
  </conditionalFormatting>
  <conditionalFormatting sqref="S10:W10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{2580CCCB-ADAF-4BDB-B32F-6826C538026F}</x14:id>
        </ext>
      </extLst>
    </cfRule>
  </conditionalFormatting>
  <conditionalFormatting sqref="X10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{3F9890B5-DB93-449D-8F93-B29D6006711C}</x14:id>
        </ext>
      </extLst>
    </cfRule>
  </conditionalFormatting>
  <conditionalFormatting sqref="S10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{756BCAC3-4498-484A-BD5B-43EB14598405}</x14:id>
        </ext>
      </extLst>
    </cfRule>
  </conditionalFormatting>
  <conditionalFormatting sqref="T10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{944B77ED-6799-45FE-B89A-0F70A1A27A5F}</x14:id>
        </ext>
      </extLst>
    </cfRule>
  </conditionalFormatting>
  <conditionalFormatting sqref="U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{91D6ABDA-5FEB-4CA2-B425-C6124C55C300}</x14:id>
        </ext>
      </extLst>
    </cfRule>
  </conditionalFormatting>
  <conditionalFormatting sqref="V1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{496FB3DC-C5C0-4F96-8D22-D56C4E024A0F}</x14:id>
        </ext>
      </extLst>
    </cfRule>
  </conditionalFormatting>
  <conditionalFormatting sqref="W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{2219F010-7FB2-4047-AE85-56FEB9083E6B}</x14:id>
        </ext>
      </extLst>
    </cfRule>
  </conditionalFormatting>
  <conditionalFormatting sqref="Y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{102AD27E-7EC7-4EE5-A859-F51B9140AE53}</x14:id>
        </ext>
      </extLst>
    </cfRule>
  </conditionalFormatting>
  <conditionalFormatting sqref="S10:X1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{0431B8F8-3F66-4E9E-8143-80F893033847}</x14:id>
        </ext>
      </extLst>
    </cfRule>
  </conditionalFormatting>
  <conditionalFormatting sqref="J1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{2EE851D0-D4D0-4DFD-BA12-144BA7DF7CD3}</x14:id>
        </ext>
      </extLst>
    </cfRule>
  </conditionalFormatting>
  <conditionalFormatting sqref="I1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{A284F74F-BEB3-44E1-A41F-3DC699E61763}</x14:id>
        </ext>
      </extLst>
    </cfRule>
  </conditionalFormatting>
  <conditionalFormatting sqref="J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{85F3A44A-4339-46C0-A630-F671D2027FBE}</x14:id>
        </ext>
      </extLst>
    </cfRule>
  </conditionalFormatting>
  <conditionalFormatting sqref="I10:J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{C5E4435F-C6AA-426C-BC31-F2930A608BAA}</x14:id>
        </ext>
      </extLst>
    </cfRule>
  </conditionalFormatting>
  <conditionalFormatting sqref="Q10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{5F66EC6D-6818-4ED5-96C9-C65EA4104E7E}</x14:id>
        </ext>
      </extLst>
    </cfRule>
  </conditionalFormatting>
  <conditionalFormatting sqref="Q10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{96726DB8-01B3-4CC1-9DE0-4D7792E2B523}</x14:id>
        </ext>
      </extLst>
    </cfRule>
  </conditionalFormatting>
  <conditionalFormatting sqref="I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{C5EC4B79-1567-4E55-8648-5AFAAF150BEF}</x14:id>
        </ext>
      </extLst>
    </cfRule>
  </conditionalFormatting>
  <conditionalFormatting sqref="J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{5C554B03-565D-406A-B187-C6CFEDD03D23}</x14:id>
        </ext>
      </extLst>
    </cfRule>
  </conditionalFormatting>
  <conditionalFormatting sqref="I11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{90DDA0EB-E761-4ED0-85CC-1E4630861CF0}</x14:id>
        </ext>
      </extLst>
    </cfRule>
  </conditionalFormatting>
  <conditionalFormatting sqref="I11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{003A4C80-3B2C-436A-98EC-8C51E1E3DA3E}</x14:id>
        </ext>
      </extLst>
    </cfRule>
  </conditionalFormatting>
  <conditionalFormatting sqref="S11:W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{F2542FD0-5F2B-40B2-94C1-82985D297580}</x14:id>
        </ext>
      </extLst>
    </cfRule>
  </conditionalFormatting>
  <conditionalFormatting sqref="S11:W1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{B82B25B5-C8FE-480F-AC9E-522DD76E48B7}</x14:id>
        </ext>
      </extLst>
    </cfRule>
  </conditionalFormatting>
  <conditionalFormatting sqref="X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{1178D09B-ADB2-4E00-9B40-295A8B74F280}</x14:id>
        </ext>
      </extLst>
    </cfRule>
  </conditionalFormatting>
  <conditionalFormatting sqref="S1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{ACB36686-3211-49C8-9A2D-1EA4F3BDD6CC}</x14:id>
        </ext>
      </extLst>
    </cfRule>
  </conditionalFormatting>
  <conditionalFormatting sqref="T11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{4C0407C2-FA9B-416B-81A2-FDFE8CD11108}</x14:id>
        </ext>
      </extLst>
    </cfRule>
  </conditionalFormatting>
  <conditionalFormatting sqref="U1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{E18ED3E6-FA38-4AFE-8F56-1CA222FDD88E}</x14:id>
        </ext>
      </extLst>
    </cfRule>
  </conditionalFormatting>
  <conditionalFormatting sqref="V11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{8BA3ADB9-C9BA-47E9-BFC4-A1B0F425F3D1}</x14:id>
        </ext>
      </extLst>
    </cfRule>
  </conditionalFormatting>
  <conditionalFormatting sqref="W11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{31EFB634-3A15-4289-AC38-994F494EF8BF}</x14:id>
        </ext>
      </extLst>
    </cfRule>
  </conditionalFormatting>
  <conditionalFormatting sqref="Y1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{6D5793FF-F15D-4DD6-8BC9-552F80ABA71D}</x14:id>
        </ext>
      </extLst>
    </cfRule>
  </conditionalFormatting>
  <conditionalFormatting sqref="S11:X11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{DB58CE98-613D-41CA-8E81-8C77AD8576CE}</x14:id>
        </ext>
      </extLst>
    </cfRule>
  </conditionalFormatting>
  <conditionalFormatting sqref="J11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{A177EBE0-5E75-4C22-B2AD-A1E32F8152C4}</x14:id>
        </ext>
      </extLst>
    </cfRule>
  </conditionalFormatting>
  <conditionalFormatting sqref="I11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{26ABFD32-DB40-424E-A39E-B7D189481647}</x14:id>
        </ext>
      </extLst>
    </cfRule>
  </conditionalFormatting>
  <conditionalFormatting sqref="J11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{687E7302-E5E2-46E3-9C7A-CAD1CF6BD6B6}</x14:id>
        </ext>
      </extLst>
    </cfRule>
  </conditionalFormatting>
  <conditionalFormatting sqref="I11:J1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{7625B5D5-C6C7-4961-B59E-81AE7934C140}</x14:id>
        </ext>
      </extLst>
    </cfRule>
  </conditionalFormatting>
  <conditionalFormatting sqref="Q11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{12426397-BE4C-4F32-BA77-F0A72554101B}</x14:id>
        </ext>
      </extLst>
    </cfRule>
  </conditionalFormatting>
  <conditionalFormatting sqref="Q11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{168C753D-1ADD-403B-9D75-8EB49D2D58B8}</x14:id>
        </ext>
      </extLst>
    </cfRule>
  </conditionalFormatting>
  <conditionalFormatting sqref="I11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{DCBBCDA6-2256-4F10-90BC-4FE95F920AD9}</x14:id>
        </ext>
      </extLst>
    </cfRule>
  </conditionalFormatting>
  <conditionalFormatting sqref="J11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{B3E90C4D-EAF1-4B04-9CA5-8BAAF26A15C7}</x14:id>
        </ext>
      </extLst>
    </cfRule>
  </conditionalFormatting>
  <conditionalFormatting sqref="I12:J12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{FDA56E18-A47A-4DEC-8E7A-5A4C6E54BE4C}</x14:id>
        </ext>
      </extLst>
    </cfRule>
  </conditionalFormatting>
  <conditionalFormatting sqref="I12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{04453FD9-396B-4867-9874-EB09A1A6685E}</x14:id>
        </ext>
      </extLst>
    </cfRule>
  </conditionalFormatting>
  <conditionalFormatting sqref="S12:W12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{7E0BB67D-E5B2-45B1-BAF0-EE71A7B3BAE8}</x14:id>
        </ext>
      </extLst>
    </cfRule>
  </conditionalFormatting>
  <conditionalFormatting sqref="S12:W12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{F7461A85-08A4-435A-A75C-9B6CDFF3F930}</x14:id>
        </ext>
      </extLst>
    </cfRule>
  </conditionalFormatting>
  <conditionalFormatting sqref="X12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{0B4DCBAB-B522-4EE0-94C5-94D2B586E764}</x14:id>
        </ext>
      </extLst>
    </cfRule>
  </conditionalFormatting>
  <conditionalFormatting sqref="S12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{6120C4DC-2B7A-407E-B61A-BF514D17D19F}</x14:id>
        </ext>
      </extLst>
    </cfRule>
  </conditionalFormatting>
  <conditionalFormatting sqref="T12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{C190FC2C-B2CF-42B3-A62B-3477CAEA0F52}</x14:id>
        </ext>
      </extLst>
    </cfRule>
  </conditionalFormatting>
  <conditionalFormatting sqref="U1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{9904534F-D2D5-4B6D-8128-4D9DEDF83698}</x14:id>
        </ext>
      </extLst>
    </cfRule>
  </conditionalFormatting>
  <conditionalFormatting sqref="V1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{451D1712-520D-4BFE-8114-EA09CC025130}</x14:id>
        </ext>
      </extLst>
    </cfRule>
  </conditionalFormatting>
  <conditionalFormatting sqref="W1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{AFB48109-A69B-49C2-AE96-A445D4DDDC50}</x14:id>
        </ext>
      </extLst>
    </cfRule>
  </conditionalFormatting>
  <conditionalFormatting sqref="Y1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{FE3F1844-A6AC-4F9F-AAA4-D1CDF7AEC059}</x14:id>
        </ext>
      </extLst>
    </cfRule>
  </conditionalFormatting>
  <conditionalFormatting sqref="S12:X1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{08294D03-0851-4313-A565-0E193F618D5A}</x14:id>
        </ext>
      </extLst>
    </cfRule>
  </conditionalFormatting>
  <conditionalFormatting sqref="J1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{FC34B2C2-10EF-4B91-9AEC-68D957672840}</x14:id>
        </ext>
      </extLst>
    </cfRule>
  </conditionalFormatting>
  <conditionalFormatting sqref="I12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{E3038B90-14EC-4BCD-AE56-78017A97D5D1}</x14:id>
        </ext>
      </extLst>
    </cfRule>
  </conditionalFormatting>
  <conditionalFormatting sqref="J12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{309DC0B7-93D0-4007-8087-D6C185BB7658}</x14:id>
        </ext>
      </extLst>
    </cfRule>
  </conditionalFormatting>
  <conditionalFormatting sqref="I12:J12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{D530AB9A-C6CC-4D76-983F-C4DC6ACCE2E0}</x14:id>
        </ext>
      </extLst>
    </cfRule>
  </conditionalFormatting>
  <conditionalFormatting sqref="Q12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{0F3E4D1D-F10C-4BA8-9035-672E8FB8339A}</x14:id>
        </ext>
      </extLst>
    </cfRule>
  </conditionalFormatting>
  <conditionalFormatting sqref="Q12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{A1424DD4-465D-441B-948F-C7DC7AA41AA8}</x14:id>
        </ext>
      </extLst>
    </cfRule>
  </conditionalFormatting>
  <conditionalFormatting sqref="I12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{E54C222B-884E-470A-AC53-815C094DBBD5}</x14:id>
        </ext>
      </extLst>
    </cfRule>
  </conditionalFormatting>
  <conditionalFormatting sqref="J12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{C95E7920-3A96-4175-BBE9-F08DFCFEBC08}</x14:id>
        </ext>
      </extLst>
    </cfRule>
  </conditionalFormatting>
  <conditionalFormatting sqref="E57">
    <cfRule type="containsText" dxfId="9711" priority="57" operator="containsText" text="Buy">
      <formula>NOT(ISERROR(SEARCH("Buy",E57)))</formula>
    </cfRule>
    <cfRule type="containsText" dxfId="9710" priority="58" operator="containsText" text="Sell">
      <formula>NOT(ISERROR(SEARCH("Sell",E57)))</formula>
    </cfRule>
  </conditionalFormatting>
  <conditionalFormatting sqref="E56">
    <cfRule type="containsText" dxfId="9709" priority="55" operator="containsText" text="Buy">
      <formula>NOT(ISERROR(SEARCH("Buy",E56)))</formula>
    </cfRule>
    <cfRule type="containsText" dxfId="9708" priority="56" operator="containsText" text="Sell">
      <formula>NOT(ISERROR(SEARCH("Sell",E56)))</formula>
    </cfRule>
  </conditionalFormatting>
  <conditionalFormatting sqref="I13:J1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{2FC56B4F-0523-4623-AF79-69642103A6D1}</x14:id>
        </ext>
      </extLst>
    </cfRule>
  </conditionalFormatting>
  <conditionalFormatting sqref="I13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{4BDBE13B-CB8A-4630-A19C-03D558757493}</x14:id>
        </ext>
      </extLst>
    </cfRule>
  </conditionalFormatting>
  <conditionalFormatting sqref="S13:W13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{21C3844F-099D-442D-8254-C0A2D3123707}</x14:id>
        </ext>
      </extLst>
    </cfRule>
  </conditionalFormatting>
  <conditionalFormatting sqref="S13:W13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{9E8177B6-F08F-4C1D-ABFE-08E3751F524A}</x14:id>
        </ext>
      </extLst>
    </cfRule>
  </conditionalFormatting>
  <conditionalFormatting sqref="X13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{45DAED17-8A62-420A-9DA9-12EC1EC1F6FD}</x14:id>
        </ext>
      </extLst>
    </cfRule>
  </conditionalFormatting>
  <conditionalFormatting sqref="S13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{6686AE92-A16E-424B-A4FD-43619860C45B}</x14:id>
        </ext>
      </extLst>
    </cfRule>
  </conditionalFormatting>
  <conditionalFormatting sqref="T13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{CD2D0145-A826-4B83-B33B-ADF5DB0F2CB3}</x14:id>
        </ext>
      </extLst>
    </cfRule>
  </conditionalFormatting>
  <conditionalFormatting sqref="U13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{E691DECF-F6F1-48FD-92D0-9E4A06ACDB4F}</x14:id>
        </ext>
      </extLst>
    </cfRule>
  </conditionalFormatting>
  <conditionalFormatting sqref="V13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{53C7F3C1-D1FB-4364-940D-C9603872BF79}</x14:id>
        </ext>
      </extLst>
    </cfRule>
  </conditionalFormatting>
  <conditionalFormatting sqref="W13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{21D5EE50-3DFB-4B09-9805-C2FE402961D4}</x14:id>
        </ext>
      </extLst>
    </cfRule>
  </conditionalFormatting>
  <conditionalFormatting sqref="Y13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{AFE198DC-939B-48F2-AE0B-CA1498BD1E67}</x14:id>
        </ext>
      </extLst>
    </cfRule>
  </conditionalFormatting>
  <conditionalFormatting sqref="S13:X13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{E685DC5F-FD0E-4827-88C2-CDE7628EB189}</x14:id>
        </ext>
      </extLst>
    </cfRule>
  </conditionalFormatting>
  <conditionalFormatting sqref="J13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{A9F4712B-6469-4DF7-B188-726B4C1A8DB9}</x14:id>
        </ext>
      </extLst>
    </cfRule>
  </conditionalFormatting>
  <conditionalFormatting sqref="I13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{2F61A73B-41A8-4DDA-830A-9F50063EFD0B}</x14:id>
        </ext>
      </extLst>
    </cfRule>
  </conditionalFormatting>
  <conditionalFormatting sqref="J1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{1286F256-CF9C-4E9D-8D80-AD54F2564543}</x14:id>
        </ext>
      </extLst>
    </cfRule>
  </conditionalFormatting>
  <conditionalFormatting sqref="I13:J13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{93A82AC0-6E4C-46D3-841C-DDC657E1B9C5}</x14:id>
        </ext>
      </extLst>
    </cfRule>
  </conditionalFormatting>
  <conditionalFormatting sqref="Q13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{33FD77B1-9267-43FE-918A-C9FED25047B2}</x14:id>
        </ext>
      </extLst>
    </cfRule>
  </conditionalFormatting>
  <conditionalFormatting sqref="Q13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{E0BE54AD-1B94-478E-BF7E-85D0941DBB55}</x14:id>
        </ext>
      </extLst>
    </cfRule>
  </conditionalFormatting>
  <conditionalFormatting sqref="I13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{B3C23A09-1CDF-41F8-AD70-D87FD4CC0F66}</x14:id>
        </ext>
      </extLst>
    </cfRule>
  </conditionalFormatting>
  <conditionalFormatting sqref="J13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{849F7426-A440-459B-A14B-4041D7A74EC9}</x14:id>
        </ext>
      </extLst>
    </cfRule>
  </conditionalFormatting>
  <conditionalFormatting sqref="E60">
    <cfRule type="containsText" dxfId="9707" priority="33" operator="containsText" text="Buy">
      <formula>NOT(ISERROR(SEARCH("Buy",E60)))</formula>
    </cfRule>
    <cfRule type="containsText" dxfId="9706" priority="34" operator="containsText" text="Sell">
      <formula>NOT(ISERROR(SEARCH("Sell",E60)))</formula>
    </cfRule>
  </conditionalFormatting>
  <conditionalFormatting sqref="E59">
    <cfRule type="containsText" dxfId="9705" priority="31" operator="containsText" text="Buy">
      <formula>NOT(ISERROR(SEARCH("Buy",E59)))</formula>
    </cfRule>
    <cfRule type="containsText" dxfId="9704" priority="32" operator="containsText" text="Sell">
      <formula>NOT(ISERROR(SEARCH("Sell",E59)))</formula>
    </cfRule>
  </conditionalFormatting>
  <conditionalFormatting sqref="E67">
    <cfRule type="containsText" dxfId="9703" priority="29" operator="containsText" text="Buy">
      <formula>NOT(ISERROR(SEARCH("Buy",E67)))</formula>
    </cfRule>
    <cfRule type="containsText" dxfId="9702" priority="30" operator="containsText" text="Sell">
      <formula>NOT(ISERROR(SEARCH("Sell",E67)))</formula>
    </cfRule>
  </conditionalFormatting>
  <conditionalFormatting sqref="E66">
    <cfRule type="containsText" dxfId="9701" priority="27" operator="containsText" text="Buy">
      <formula>NOT(ISERROR(SEARCH("Buy",E66)))</formula>
    </cfRule>
    <cfRule type="containsText" dxfId="9700" priority="28" operator="containsText" text="Sell">
      <formula>NOT(ISERROR(SEARCH("Sell",E66)))</formula>
    </cfRule>
  </conditionalFormatting>
  <conditionalFormatting sqref="E65">
    <cfRule type="containsText" dxfId="9699" priority="25" operator="containsText" text="Buy">
      <formula>NOT(ISERROR(SEARCH("Buy",E65)))</formula>
    </cfRule>
    <cfRule type="containsText" dxfId="9698" priority="26" operator="containsText" text="Sell">
      <formula>NOT(ISERROR(SEARCH("Sell",E65)))</formula>
    </cfRule>
  </conditionalFormatting>
  <conditionalFormatting sqref="E64">
    <cfRule type="containsText" dxfId="9697" priority="23" operator="containsText" text="Buy">
      <formula>NOT(ISERROR(SEARCH("Buy",E64)))</formula>
    </cfRule>
    <cfRule type="containsText" dxfId="9696" priority="24" operator="containsText" text="Sell">
      <formula>NOT(ISERROR(SEARCH("Sell",E64)))</formula>
    </cfRule>
  </conditionalFormatting>
  <conditionalFormatting sqref="E63">
    <cfRule type="containsText" dxfId="9695" priority="21" operator="containsText" text="Buy">
      <formula>NOT(ISERROR(SEARCH("Buy",E63)))</formula>
    </cfRule>
    <cfRule type="containsText" dxfId="9694" priority="22" operator="containsText" text="Sell">
      <formula>NOT(ISERROR(SEARCH("Sell",E63)))</formula>
    </cfRule>
  </conditionalFormatting>
  <conditionalFormatting sqref="E62">
    <cfRule type="containsText" dxfId="9693" priority="19" operator="containsText" text="Buy">
      <formula>NOT(ISERROR(SEARCH("Buy",E62)))</formula>
    </cfRule>
    <cfRule type="containsText" dxfId="9692" priority="20" operator="containsText" text="Sell">
      <formula>NOT(ISERROR(SEARCH("Sell",E62)))</formula>
    </cfRule>
  </conditionalFormatting>
  <conditionalFormatting sqref="E76">
    <cfRule type="containsText" dxfId="9691" priority="17" operator="containsText" text="Buy">
      <formula>NOT(ISERROR(SEARCH("Buy",E76)))</formula>
    </cfRule>
    <cfRule type="containsText" dxfId="9690" priority="18" operator="containsText" text="Sell">
      <formula>NOT(ISERROR(SEARCH("Sell",E76)))</formula>
    </cfRule>
  </conditionalFormatting>
  <conditionalFormatting sqref="E75">
    <cfRule type="containsText" dxfId="9689" priority="15" operator="containsText" text="Buy">
      <formula>NOT(ISERROR(SEARCH("Buy",E75)))</formula>
    </cfRule>
    <cfRule type="containsText" dxfId="9688" priority="16" operator="containsText" text="Sell">
      <formula>NOT(ISERROR(SEARCH("Sell",E75)))</formula>
    </cfRule>
  </conditionalFormatting>
  <conditionalFormatting sqref="E74">
    <cfRule type="containsText" dxfId="9687" priority="13" operator="containsText" text="Buy">
      <formula>NOT(ISERROR(SEARCH("Buy",E74)))</formula>
    </cfRule>
    <cfRule type="containsText" dxfId="9686" priority="14" operator="containsText" text="Sell">
      <formula>NOT(ISERROR(SEARCH("Sell",E74)))</formula>
    </cfRule>
  </conditionalFormatting>
  <conditionalFormatting sqref="E73">
    <cfRule type="containsText" dxfId="9685" priority="11" operator="containsText" text="Buy">
      <formula>NOT(ISERROR(SEARCH("Buy",E73)))</formula>
    </cfRule>
    <cfRule type="containsText" dxfId="9684" priority="12" operator="containsText" text="Sell">
      <formula>NOT(ISERROR(SEARCH("Sell",E73)))</formula>
    </cfRule>
  </conditionalFormatting>
  <conditionalFormatting sqref="E72">
    <cfRule type="containsText" dxfId="9683" priority="9" operator="containsText" text="Buy">
      <formula>NOT(ISERROR(SEARCH("Buy",E72)))</formula>
    </cfRule>
    <cfRule type="containsText" dxfId="9682" priority="10" operator="containsText" text="Sell">
      <formula>NOT(ISERROR(SEARCH("Sell",E72)))</formula>
    </cfRule>
  </conditionalFormatting>
  <conditionalFormatting sqref="E71">
    <cfRule type="containsText" dxfId="9681" priority="7" operator="containsText" text="Buy">
      <formula>NOT(ISERROR(SEARCH("Buy",E71)))</formula>
    </cfRule>
    <cfRule type="containsText" dxfId="9680" priority="8" operator="containsText" text="Sell">
      <formula>NOT(ISERROR(SEARCH("Sell",E71)))</formula>
    </cfRule>
  </conditionalFormatting>
  <conditionalFormatting sqref="E70">
    <cfRule type="containsText" dxfId="9679" priority="5" operator="containsText" text="Buy">
      <formula>NOT(ISERROR(SEARCH("Buy",E70)))</formula>
    </cfRule>
    <cfRule type="containsText" dxfId="9678" priority="6" operator="containsText" text="Sell">
      <formula>NOT(ISERROR(SEARCH("Sell",E70)))</formula>
    </cfRule>
  </conditionalFormatting>
  <conditionalFormatting sqref="E69">
    <cfRule type="containsText" dxfId="9677" priority="3" operator="containsText" text="Buy">
      <formula>NOT(ISERROR(SEARCH("Buy",E69)))</formula>
    </cfRule>
    <cfRule type="containsText" dxfId="9676" priority="4" operator="containsText" text="Sell">
      <formula>NOT(ISERROR(SEARCH("Sell",E69)))</formula>
    </cfRule>
  </conditionalFormatting>
  <conditionalFormatting sqref="I4:I14">
    <cfRule type="dataBar" priority="266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{9E9E1B7F-F2A6-47DF-A173-5DA957205C11}</x14:id>
        </ext>
      </extLst>
    </cfRule>
  </conditionalFormatting>
  <conditionalFormatting sqref="J4:J14">
    <cfRule type="dataBar" priority="266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{5DB54357-336D-4FBA-AA14-F3161837C64B}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04438A-0313-4C46-9C56-3416DC34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6271BAA6-052A-4BCC-B6E1-23ED72A4C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615F994-655C-4BE4-BCE8-4D0C20301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536386A1-B988-4E23-A148-5670F82AC2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CA68D943-F3DC-4B1B-8691-30CFF1003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CB8400A-1D97-4892-8114-384FF88A3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282C9D1A-7ED2-4601-A5A4-B34EDF227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28FA5D65-68B1-45AA-8EA0-228D8021A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15FBF08-DA54-4249-A2C2-4065979F89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3929537-E731-4B9D-A48B-94C3AC3CE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D891BC6-4302-404A-BD44-4373BA4D38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66A17BD6-2935-4595-BBC2-D2335F517E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586341BF-15D0-49F7-A909-6BD4080B64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66AA8C53-FEB5-4A9E-9FBA-9CABA5A590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B33F229A-05B8-4D8C-B454-0D3358491D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F8D717DC-4847-4615-AE71-B610CFAFC9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4B35136-1D23-482D-A997-E3B97E812A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6A5E26B5-DB39-4206-8174-FF5ABF49C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4361B79-3C80-4D11-A267-C5C4CF28C5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CFE0ED8-7EF0-4536-B3F2-FEF0772C3B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EC40179-2F37-4749-9868-E2AB8E65F1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41BA9D37-2B23-420E-8E43-F957885C42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E9B45C1C-30EA-4EBF-8A23-A7D4D361C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7D5F788A-B928-4230-AC6E-2A83E1D479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E4684A6-4EC1-45FD-B527-E471D6D0EF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39DF2135-6402-4B20-8373-AB361F162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D58A7AE-26CD-4CCF-BB50-DCDB0ECBC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ECE76C34-B5DA-4259-BFEA-035E9BD9A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7A0CFD9E-D82C-4BFA-AE75-BA1D018195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9002E5AC-DB2D-4EDD-8F4A-89B0EDA7E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9EC8B84-7485-4368-8554-057606170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F69A4B8-A263-46F7-9A65-C4F50E59E3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13251F31-57C6-4196-BA76-1F89579420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489A336-2A23-4B10-9A17-905D6F4144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A6D7C4AB-624D-400E-89BA-B05364BE2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0D6D6C3E-5822-4D69-AA03-40A0D73A3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D753B502-81B4-43BB-AB92-0715648F4E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7C8F598-754E-4B10-81DF-F99855A87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B2D40D0F-8000-4006-A714-8783D269A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394FF2C8-F59A-46F6-B7DD-4B5A41566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5DA116B7-2177-4D8F-B973-BD53CC918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4249DE2-1AC8-489D-AE46-78E1A0945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C410B22-2C9B-422C-9A51-B22CFD8577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505CA1A4-0234-4EB3-A16F-15D0F8AFF1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AB58940B-6EE9-4854-B4EE-87EB481D3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1C2FC1A-2C44-401C-B138-D1D6DDBB24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2AC071B1-44F1-43DB-94B2-13968EC69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54B801DC-4898-4719-99AF-BCD0D5D33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I5:J7</xm:sqref>
        </x14:conditionalFormatting>
        <x14:conditionalFormatting xmlns:xm="http://schemas.microsoft.com/office/excel/2006/main">
          <x14:cfRule type="dataBar" id="{6FEC1331-02ED-48AA-987E-8E929FD2A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E3F02F32-56F8-4A7E-AB06-77615A4345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5B74E500-4A0D-427D-8A48-B9EE44CB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S5:W7</xm:sqref>
        </x14:conditionalFormatting>
        <x14:conditionalFormatting xmlns:xm="http://schemas.microsoft.com/office/excel/2006/main">
          <x14:cfRule type="dataBar" id="{A56951E0-E328-4F3E-9A4E-63CEC3B658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X5:X7</xm:sqref>
        </x14:conditionalFormatting>
        <x14:conditionalFormatting xmlns:xm="http://schemas.microsoft.com/office/excel/2006/main">
          <x14:cfRule type="dataBar" id="{5377BCA5-93A1-4948-BF00-40F4F3942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dataBar" id="{C02F0F5E-6D54-478E-B5A4-F632ACB32F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T5:T7</xm:sqref>
        </x14:conditionalFormatting>
        <x14:conditionalFormatting xmlns:xm="http://schemas.microsoft.com/office/excel/2006/main">
          <x14:cfRule type="dataBar" id="{5A9FDC34-2F8B-4B2B-A41D-111E2F988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U5:U7</xm:sqref>
        </x14:conditionalFormatting>
        <x14:conditionalFormatting xmlns:xm="http://schemas.microsoft.com/office/excel/2006/main">
          <x14:cfRule type="dataBar" id="{B3AD61B7-40A8-4AE7-88C3-CEC483FAA8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V5:V7</xm:sqref>
        </x14:conditionalFormatting>
        <x14:conditionalFormatting xmlns:xm="http://schemas.microsoft.com/office/excel/2006/main">
          <x14:cfRule type="dataBar" id="{647361F0-BFB1-415E-BDAE-0CB7ED3B2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W5:W7</xm:sqref>
        </x14:conditionalFormatting>
        <x14:conditionalFormatting xmlns:xm="http://schemas.microsoft.com/office/excel/2006/main">
          <x14:cfRule type="dataBar" id="{EA0B3615-FB74-43EC-8916-92D4D32D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Y5:Y7</xm:sqref>
        </x14:conditionalFormatting>
        <x14:conditionalFormatting xmlns:xm="http://schemas.microsoft.com/office/excel/2006/main">
          <x14:cfRule type="dataBar" id="{2EA22378-6E56-48AD-9B9A-75D3B2A854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S5:X7</xm:sqref>
        </x14:conditionalFormatting>
        <x14:conditionalFormatting xmlns:xm="http://schemas.microsoft.com/office/excel/2006/main">
          <x14:cfRule type="dataBar" id="{5F51365B-BC2B-4889-B3F7-3922F356DB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596E59DA-5740-4E1C-9955-2B1AB2B7D1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I5:I7</xm:sqref>
        </x14:conditionalFormatting>
        <x14:conditionalFormatting xmlns:xm="http://schemas.microsoft.com/office/excel/2006/main">
          <x14:cfRule type="dataBar" id="{63FC04A6-8548-4059-B45E-6C7D195B6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J5:J7</xm:sqref>
        </x14:conditionalFormatting>
        <x14:conditionalFormatting xmlns:xm="http://schemas.microsoft.com/office/excel/2006/main">
          <x14:cfRule type="dataBar" id="{BB4ABFE9-E97E-4E53-95A4-087DA6BFDF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I5:J8</xm:sqref>
        </x14:conditionalFormatting>
        <x14:conditionalFormatting xmlns:xm="http://schemas.microsoft.com/office/excel/2006/main">
          <x14:cfRule type="dataBar" id="{28C3994F-03B2-440A-8027-6FA5C38BA6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281B83F6-3D7A-4567-99A8-423F2DCEFA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64E740F3-FA46-4C58-A6C9-DD35C80BC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9514CC80-063A-44B7-81F9-0ECAFDFFCB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A1351C46-1418-4E6B-9B59-C27A9B3BF9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Q4:Q14</xm:sqref>
        </x14:conditionalFormatting>
        <x14:conditionalFormatting xmlns:xm="http://schemas.microsoft.com/office/excel/2006/main">
          <x14:cfRule type="dataBar" id="{B21BF088-F600-4018-B5AD-6B878D983B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 I14</xm:sqref>
        </x14:conditionalFormatting>
        <x14:conditionalFormatting xmlns:xm="http://schemas.microsoft.com/office/excel/2006/main">
          <x14:cfRule type="dataBar" id="{D2820E3B-DD78-4349-9CF7-B840C822B0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J4:J8 J14</xm:sqref>
        </x14:conditionalFormatting>
        <x14:conditionalFormatting xmlns:xm="http://schemas.microsoft.com/office/excel/2006/main">
          <x14:cfRule type="dataBar" id="{2DE3EBCA-51BB-4688-B791-51B3A826F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8C38D2DF-6E63-45F5-A7C4-D8F8C94484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5FD1F79F-DD48-43F9-B216-7995E482C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A7FDFF8-4C4B-4479-BEF8-AA3117472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38CD6FA5-9AB7-4BA0-8795-5738792A3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S9:W9</xm:sqref>
        </x14:conditionalFormatting>
        <x14:conditionalFormatting xmlns:xm="http://schemas.microsoft.com/office/excel/2006/main">
          <x14:cfRule type="dataBar" id="{01034A16-A28A-4A32-9F5B-7FC9398860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E4D6F7D-1BC9-4516-B2BA-6DB4548A7B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970CC293-C2A0-4ADE-BC4A-3D2F3F8A1C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514F7C4C-6B25-49BE-986F-1E55DCF6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539C10D-8E43-4027-8006-5712602BF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F86D312-EA0E-4BAC-977D-FBAEE5D8E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AFCE773A-61E6-409D-A618-D181F7790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8A3A98D-61B2-442F-AEDD-3C4CBA1C3A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S9:X9</xm:sqref>
        </x14:conditionalFormatting>
        <x14:conditionalFormatting xmlns:xm="http://schemas.microsoft.com/office/excel/2006/main">
          <x14:cfRule type="dataBar" id="{73B91788-1FFF-4A9C-A901-17028213E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BB331BE-2597-436E-A326-9D85646B06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008DE912-18CE-47D3-AA10-62602E926C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B1626E1D-1583-425B-96E3-07898DF62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I9:J9</xm:sqref>
        </x14:conditionalFormatting>
        <x14:conditionalFormatting xmlns:xm="http://schemas.microsoft.com/office/excel/2006/main">
          <x14:cfRule type="dataBar" id="{33D533B2-FEEE-42D6-8A0B-DC37EC9FD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6E6FC7D6-A2B0-4649-8727-E23AE769A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4824ECE1-7438-441B-A978-A9ADD6C95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824BE374-0DC1-4257-875A-B0C6AB9E9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3E5F65E-DF95-455F-BA3B-7ADB91EDBA6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3FB3309B-083F-4D6E-BB66-7871761EC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278AB03-ACD4-40B0-A1F6-842A11D0F1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2CADB2-5EC0-4D12-9799-A64D6D9BB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3961401B-BE8D-43BC-A327-BFC510AD3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6EF9676-909F-4343-8615-6469D3F93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2580CCCB-ADAF-4BDB-B32F-6826C53802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3F9890B5-DB93-449D-8F93-B29D600671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756BCAC3-4498-484A-BD5B-43EB14598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944B77ED-6799-45FE-B89A-0F70A1A27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91D6ABDA-5FEB-4CA2-B425-C6124C55C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96FB3DC-C5C0-4F96-8D22-D56C4E024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219F010-7FB2-4047-AE85-56FEB9083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102AD27E-7EC7-4EE5-A859-F51B9140A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0431B8F8-3F66-4E9E-8143-80F893033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2EE851D0-D4D0-4DFD-BA12-144BA7DF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A284F74F-BEB3-44E1-A41F-3DC699E61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5F3A44A-4339-46C0-A630-F671D2027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C5E4435F-C6AA-426C-BC31-F2930A608B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5F66EC6D-6818-4ED5-96C9-C65EA4104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96726DB8-01B3-4CC1-9DE0-4D7792E2B5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C5EC4B79-1567-4E55-8648-5AFAAF150B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C554B03-565D-406A-B187-C6CFEDD03D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0DDA0EB-E761-4ED0-85CC-1E4630861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3A4C80-3B2C-436A-98EC-8C51E1E3D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542FD0-5F2B-40B2-94C1-82985D2975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B82B25B5-C8FE-480F-AC9E-522DD76E48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178D09B-ADB2-4E00-9B40-295A8B74F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CB36686-3211-49C8-9A2D-1EA4F3BDD6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4C0407C2-FA9B-416B-81A2-FDFE8CD111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8ED3E6-FA38-4AFE-8F56-1CA222FDD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BA3ADB9-C9BA-47E9-BFC4-A1B0F425F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1EFB634-3A15-4289-AC38-994F494EF8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D5793FF-F15D-4DD6-8BC9-552F80AB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58CE98-613D-41CA-8E81-8C77AD8576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A177EBE0-5E75-4C22-B2AD-A1E32F8152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26ABFD32-DB40-424E-A39E-B7D189481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87E7302-E5E2-46E3-9C7A-CAD1CF6BD6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625B5D5-C6C7-4961-B59E-81AE7934C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12426397-BE4C-4F32-BA77-F0A7255410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168C753D-1ADD-403B-9D75-8EB49D2D58B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CBBCDA6-2256-4F10-90BC-4FE95F920A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E90C4D-EAF1-4B04-9CA5-8BAAF26A1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DA56E18-A47A-4DEC-8E7A-5A4C6E54BE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4453FD9-396B-4867-9874-EB09A1A66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7E0BB67D-E5B2-45B1-BAF0-EE71A7B3B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7461A85-08A4-435A-A75C-9B6CDFF3F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0B4DCBAB-B522-4EE0-94C5-94D2B586E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120C4DC-2B7A-407E-B61A-BF514D17D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C190FC2C-B2CF-42B3-A62B-3477CAEA0F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9904534F-D2D5-4B6D-8128-4D9DEDF83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451D1712-520D-4BFE-8114-EA09CC0251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B48109-A69B-49C2-AE96-A445D4DDD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E3F1844-A6AC-4F9F-AAA4-D1CDF7AEC0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08294D03-0851-4313-A565-0E193F618D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FC34B2C2-10EF-4B91-9AEC-68D9576728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E3038B90-14EC-4BCD-AE56-78017A97D5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09DC0B7-93D0-4007-8087-D6C185BB7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D530AB9A-C6CC-4D76-983F-C4DC6ACCE2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0F3E4D1D-F10C-4BA8-9035-672E8FB83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A1424DD4-465D-441B-948F-C7DC7AA41AA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54C222B-884E-470A-AC53-815C094DB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95E7920-3A96-4175-BBE9-F08DFCFEBC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FC56B4F-0523-4623-AF79-69642103A6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4BDBE13B-CB8A-4630-A19C-03D558757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21C3844F-099D-442D-8254-C0A2D3123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9E8177B6-F08F-4C1D-ABFE-08E3751F5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45DAED17-8A62-420A-9DA9-12EC1EC1F6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6686AE92-A16E-424B-A4FD-43619860C4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CD2D0145-A826-4B83-B33B-ADF5DB0F2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E691DECF-F6F1-48FD-92D0-9E4A06ACDB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53C7F3C1-D1FB-4364-940D-C9603872B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1D5EE50-3DFB-4B09-9805-C2FE402961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AFE198DC-939B-48F2-AE0B-CA1498BD1E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E685DC5F-FD0E-4827-88C2-CDE7628EB1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A9F4712B-6469-4DF7-B188-726B4C1A8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2F61A73B-41A8-4DDA-830A-9F50063EFD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86F256-CF9C-4E9D-8D80-AD54F25645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3A82AC0-6E4C-46D3-841C-DDC657E1B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33FD77B1-9267-43FE-918A-C9FED25047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0BE54AD-1B94-478E-BF7E-85D0941DBB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B3C23A09-1CDF-41F8-AD70-D87FD4CC0F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49F7426-A440-459B-A14B-4041D7A74E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E9E1B7F-F2A6-47DF-A173-5DA957205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5DB54357-336D-4FBA-AA14-F3161837C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  <pageSetUpPr fitToPage="1"/>
  </sheetPr>
  <dimension ref="A1:AD323"/>
  <sheetViews>
    <sheetView workbookViewId="0">
      <selection activeCell="B84" sqref="B84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2.140625" style="32" customWidth="1"/>
    <col min="5" max="5" width="9.42578125" style="49" customWidth="1"/>
    <col min="6" max="6" width="12.42578125" style="49" customWidth="1"/>
    <col min="7" max="7" width="9.85546875" style="32" customWidth="1"/>
    <col min="8" max="8" width="8" style="32" customWidth="1"/>
    <col min="9" max="9" width="13.710937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7109375" style="32" bestFit="1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189" customFormat="1" ht="15" x14ac:dyDescent="0.25">
      <c r="A4" s="118" t="s">
        <v>769</v>
      </c>
      <c r="B4" s="116" t="s">
        <v>145</v>
      </c>
      <c r="C4" s="118" t="s">
        <v>146</v>
      </c>
      <c r="D4" s="119" t="e">
        <f t="shared" ref="D4:D17" ca="1" si="0">N4/$N$18</f>
        <v>#NAME?</v>
      </c>
      <c r="E4" s="120">
        <f>$F$78</f>
        <v>148090</v>
      </c>
      <c r="F4" s="120">
        <f>$H$78</f>
        <v>213.61725977446147</v>
      </c>
      <c r="G4" s="181" t="e">
        <f ca="1">_xll.BDP($C4,"PX_LAST")</f>
        <v>#NAME?</v>
      </c>
      <c r="H4" s="182" t="e">
        <f ca="1">_xll.BDP($C4,"CRNCY")</f>
        <v>#NAME?</v>
      </c>
      <c r="I4" s="119" t="e">
        <f ca="1">G4/F4-1</f>
        <v>#NAME?</v>
      </c>
      <c r="J4" s="119" t="e">
        <f ca="1">N4/L4-1</f>
        <v>#NAME?</v>
      </c>
      <c r="K4" s="120">
        <f>E4*F4</f>
        <v>31634580</v>
      </c>
      <c r="L4" s="120" t="e">
        <f ca="1">$J$78</f>
        <v>#NAME?</v>
      </c>
      <c r="M4" s="120" t="e">
        <f ca="1">E4*G4</f>
        <v>#NAME?</v>
      </c>
      <c r="N4" s="120" t="e">
        <f t="shared" ref="N4:N17" ca="1" si="1">M4/$I$1</f>
        <v>#NAME?</v>
      </c>
      <c r="O4" s="123" t="e">
        <f ca="1">M4-K4</f>
        <v>#NAME?</v>
      </c>
      <c r="P4" s="123" t="e">
        <f ca="1">N4-L4</f>
        <v>#NAME?</v>
      </c>
      <c r="Q4" s="7" t="e">
        <f ca="1">_xll.BDP($C4,"EQY_DVD_YLD_EST")</f>
        <v>#NAME?</v>
      </c>
      <c r="R4" s="436" t="e">
        <f ca="1">N4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 t="e">
        <f ca="1">_xll.BDP($C4,"EXPECTED_REPORT_DT")</f>
        <v>#NAME?</v>
      </c>
      <c r="Z4" s="125" t="e">
        <f ca="1">_xll.BDP($C4,"DVD_EX_DT")</f>
        <v>#NAME?</v>
      </c>
      <c r="AA4" s="183">
        <f ca="1">IF(ISERROR(_xll.BDP($C4,"DVD_SH_LAST")*$E4),0,_xll.BDP($C4,"DVD_SH_LAST")*$E4)</f>
        <v>0</v>
      </c>
      <c r="AB4" s="118">
        <v>0</v>
      </c>
      <c r="AC4" s="118"/>
      <c r="AD4" s="202">
        <f ca="1">AA4</f>
        <v>0</v>
      </c>
    </row>
    <row r="5" spans="1:30" s="189" customFormat="1" ht="15" x14ac:dyDescent="0.25">
      <c r="A5" s="118" t="s">
        <v>769</v>
      </c>
      <c r="B5" s="116" t="s">
        <v>95</v>
      </c>
      <c r="C5" s="118" t="s">
        <v>78</v>
      </c>
      <c r="D5" s="119" t="e">
        <f t="shared" ca="1" si="0"/>
        <v>#NAME?</v>
      </c>
      <c r="E5" s="120">
        <f>$F$69</f>
        <v>500000</v>
      </c>
      <c r="F5" s="120">
        <f>$H$69</f>
        <v>259.47199999999998</v>
      </c>
      <c r="G5" s="181" t="e">
        <f ca="1">_xll.BDP($C5,"PX_LAST")</f>
        <v>#NAME?</v>
      </c>
      <c r="H5" s="182" t="e">
        <f ca="1">_xll.BDP($C5,"CRNCY")</f>
        <v>#NAME?</v>
      </c>
      <c r="I5" s="119" t="e">
        <f ca="1">G5/F5-1</f>
        <v>#NAME?</v>
      </c>
      <c r="J5" s="119" t="e">
        <f ca="1">N5/L5-1</f>
        <v>#NAME?</v>
      </c>
      <c r="K5" s="120">
        <f>E5*F5</f>
        <v>129735999.99999999</v>
      </c>
      <c r="L5" s="120" t="e">
        <f ca="1">$J$69</f>
        <v>#NAME?</v>
      </c>
      <c r="M5" s="120" t="e">
        <f ca="1">E5*G5</f>
        <v>#NAME?</v>
      </c>
      <c r="N5" s="120" t="e">
        <f t="shared" ca="1" si="1"/>
        <v>#NAME?</v>
      </c>
      <c r="O5" s="123" t="e">
        <f t="shared" ref="O5:P9" ca="1" si="2">M5-K5</f>
        <v>#NAME?</v>
      </c>
      <c r="P5" s="123" t="e">
        <f t="shared" ca="1" si="2"/>
        <v>#NAME?</v>
      </c>
      <c r="Q5" s="7" t="e">
        <f ca="1">_xll.BDP($C5,"EQY_DVD_YLD_EST")</f>
        <v>#NAME?</v>
      </c>
      <c r="R5" s="436" t="e">
        <f ca="1">N5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 t="e">
        <f ca="1">_xll.BDP($C5,"EXPECTED_REPORT_DT")</f>
        <v>#NAME?</v>
      </c>
      <c r="Z5" s="125" t="e">
        <f ca="1">_xll.BDP($C5,"DVD_EX_DT")</f>
        <v>#NAME?</v>
      </c>
      <c r="AA5" s="183">
        <f ca="1">IF(ISERROR(_xll.BDP($C5,"DVD_SH_LAST")*$E5),0,_xll.BDP($C5,"DVD_SH_LAST")*$E5)</f>
        <v>0</v>
      </c>
      <c r="AB5" s="118">
        <v>0</v>
      </c>
      <c r="AC5" s="118"/>
      <c r="AD5" s="202">
        <f ca="1">AA5</f>
        <v>0</v>
      </c>
    </row>
    <row r="6" spans="1:30" s="450" customFormat="1" ht="15" x14ac:dyDescent="0.25">
      <c r="A6" s="440" t="s">
        <v>769</v>
      </c>
      <c r="B6" s="441" t="e">
        <f ca="1">_xll.BDP(C6,"SECURITY_NAME")</f>
        <v>#NAME?</v>
      </c>
      <c r="C6" s="440" t="s">
        <v>680</v>
      </c>
      <c r="D6" s="442" t="e">
        <f t="shared" ca="1" si="0"/>
        <v>#NAME?</v>
      </c>
      <c r="E6" s="443">
        <f>$F$53</f>
        <v>800000</v>
      </c>
      <c r="F6" s="444">
        <f>$H$53</f>
        <v>98.53</v>
      </c>
      <c r="G6" s="444" t="e">
        <f ca="1">_xll.BDP(C6,"PX_BID")</f>
        <v>#NAME?</v>
      </c>
      <c r="H6" s="445" t="e">
        <f ca="1">_xll.BDP($C6,"CRNCY")</f>
        <v>#NAME?</v>
      </c>
      <c r="I6" s="442" t="e">
        <f t="shared" ref="I6:I16" ca="1" si="3">M6/K6-1</f>
        <v>#NAME?</v>
      </c>
      <c r="J6" s="442" t="e">
        <f t="shared" ref="J6:J16" ca="1" si="4">G6/F6-1</f>
        <v>#NAME?</v>
      </c>
      <c r="K6" s="443" t="e">
        <f ca="1">$K$53</f>
        <v>#NAME?</v>
      </c>
      <c r="L6" s="443">
        <f>$J$47</f>
        <v>792000</v>
      </c>
      <c r="M6" s="443" t="e">
        <f t="shared" ref="M6:M16" ca="1" si="5">E6*G6/100 *$I$1</f>
        <v>#NAME?</v>
      </c>
      <c r="N6" s="443" t="e">
        <f t="shared" ca="1" si="1"/>
        <v>#NAME?</v>
      </c>
      <c r="O6" s="446" t="e">
        <f t="shared" ca="1" si="2"/>
        <v>#NAME?</v>
      </c>
      <c r="P6" s="446" t="e">
        <f t="shared" ca="1" si="2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  <c r="Z6" s="440"/>
      <c r="AA6" s="440"/>
      <c r="AB6" s="440"/>
      <c r="AC6" s="440"/>
      <c r="AD6" s="449"/>
    </row>
    <row r="7" spans="1:30" s="440" customFormat="1" ht="15" x14ac:dyDescent="0.25">
      <c r="A7" s="440" t="s">
        <v>769</v>
      </c>
      <c r="B7" s="441" t="e">
        <f ca="1">_xll.BDP(C7,"SECURITY_NAME")</f>
        <v>#NAME?</v>
      </c>
      <c r="C7" s="440" t="s">
        <v>757</v>
      </c>
      <c r="D7" s="442" t="e">
        <f t="shared" ca="1" si="0"/>
        <v>#NAME?</v>
      </c>
      <c r="E7" s="443">
        <f>$F$47</f>
        <v>800000</v>
      </c>
      <c r="F7" s="444">
        <f>$H$47</f>
        <v>99</v>
      </c>
      <c r="G7" s="444" t="e">
        <f ca="1">_xll.BDP(C7,"PX_BID")</f>
        <v>#NAME?</v>
      </c>
      <c r="H7" s="445" t="e">
        <f ca="1">_xll.BDP($C7,"CRNCY")</f>
        <v>#NAME?</v>
      </c>
      <c r="I7" s="442" t="e">
        <f t="shared" ca="1" si="3"/>
        <v>#NAME?</v>
      </c>
      <c r="J7" s="442" t="e">
        <f t="shared" ca="1" si="4"/>
        <v>#NAME?</v>
      </c>
      <c r="K7" s="443" t="e">
        <f ca="1">$K$47</f>
        <v>#NAME?</v>
      </c>
      <c r="L7" s="443">
        <f>$J$47</f>
        <v>792000</v>
      </c>
      <c r="M7" s="443" t="e">
        <f t="shared" ca="1" si="5"/>
        <v>#NAME?</v>
      </c>
      <c r="N7" s="443" t="e">
        <f t="shared" ca="1" si="1"/>
        <v>#NAME?</v>
      </c>
      <c r="O7" s="446" t="e">
        <f t="shared" ca="1" si="2"/>
        <v>#NAME?</v>
      </c>
      <c r="P7" s="446" t="e">
        <f t="shared" ca="1" si="2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769</v>
      </c>
      <c r="B8" s="441" t="e">
        <f ca="1">_xll.BDP(C8,"SECURITY_NAME")</f>
        <v>#NAME?</v>
      </c>
      <c r="C8" s="440" t="s">
        <v>759</v>
      </c>
      <c r="D8" s="442" t="e">
        <f t="shared" ca="1" si="0"/>
        <v>#NAME?</v>
      </c>
      <c r="E8" s="443">
        <f>$F$38</f>
        <v>600000</v>
      </c>
      <c r="F8" s="444">
        <f>$H$38</f>
        <v>99.655000000000001</v>
      </c>
      <c r="G8" s="444" t="e">
        <f ca="1">_xll.BDP(C8,"PX_BID")</f>
        <v>#NAME?</v>
      </c>
      <c r="H8" s="445" t="e">
        <f ca="1">_xll.BDP($C8,"CRNCY")</f>
        <v>#NAME?</v>
      </c>
      <c r="I8" s="442" t="e">
        <f t="shared" ca="1" si="3"/>
        <v>#NAME?</v>
      </c>
      <c r="J8" s="442" t="e">
        <f t="shared" ca="1" si="4"/>
        <v>#NAME?</v>
      </c>
      <c r="K8" s="443" t="e">
        <f ca="1">$K$38</f>
        <v>#NAME?</v>
      </c>
      <c r="L8" s="443">
        <f>$J$38</f>
        <v>597930</v>
      </c>
      <c r="M8" s="443" t="e">
        <f t="shared" ca="1" si="5"/>
        <v>#NAME?</v>
      </c>
      <c r="N8" s="443" t="e">
        <f t="shared" ca="1" si="1"/>
        <v>#NAME?</v>
      </c>
      <c r="O8" s="446" t="e">
        <f t="shared" ca="1" si="2"/>
        <v>#NAME?</v>
      </c>
      <c r="P8" s="446" t="e">
        <f t="shared" ca="1" si="2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769</v>
      </c>
      <c r="B9" s="441" t="e">
        <f ca="1">_xll.BDP(C9,"SECURITY_NAME")</f>
        <v>#NAME?</v>
      </c>
      <c r="C9" s="440" t="s">
        <v>761</v>
      </c>
      <c r="D9" s="442" t="e">
        <f t="shared" ca="1" si="0"/>
        <v>#NAME?</v>
      </c>
      <c r="E9" s="443">
        <f>$F$35</f>
        <v>600000</v>
      </c>
      <c r="F9" s="444">
        <f>$H$35</f>
        <v>104.23</v>
      </c>
      <c r="G9" s="444" t="e">
        <f ca="1">_xll.BDP(C9,"PX_BID")</f>
        <v>#NAME?</v>
      </c>
      <c r="H9" s="445" t="e">
        <f ca="1">_xll.BDP($C9,"CRNCY")</f>
        <v>#NAME?</v>
      </c>
      <c r="I9" s="442" t="e">
        <f t="shared" ca="1" si="3"/>
        <v>#NAME?</v>
      </c>
      <c r="J9" s="442" t="e">
        <f t="shared" ca="1" si="4"/>
        <v>#NAME?</v>
      </c>
      <c r="K9" s="443" t="e">
        <f ca="1">$K$35</f>
        <v>#NAME?</v>
      </c>
      <c r="L9" s="443">
        <f>$J$35</f>
        <v>625380</v>
      </c>
      <c r="M9" s="443" t="e">
        <f t="shared" ca="1" si="5"/>
        <v>#NAME?</v>
      </c>
      <c r="N9" s="443" t="e">
        <f t="shared" ca="1" si="1"/>
        <v>#NAME?</v>
      </c>
      <c r="O9" s="446" t="e">
        <f t="shared" ca="1" si="2"/>
        <v>#NAME?</v>
      </c>
      <c r="P9" s="446" t="e">
        <f t="shared" ca="1" si="2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769</v>
      </c>
      <c r="B10" s="441" t="e">
        <f ca="1">_xll.BDP(C10,"SECURITY_NAME")</f>
        <v>#NAME?</v>
      </c>
      <c r="C10" s="440" t="s">
        <v>453</v>
      </c>
      <c r="D10" s="442" t="e">
        <f t="shared" ca="1" si="0"/>
        <v>#NAME?</v>
      </c>
      <c r="E10" s="443">
        <f>$F$50</f>
        <v>300000</v>
      </c>
      <c r="F10" s="444">
        <f>$H$50</f>
        <v>103.375</v>
      </c>
      <c r="G10" s="444" t="e">
        <f ca="1">_xll.BDP(C10,"PX_BID")</f>
        <v>#NAME?</v>
      </c>
      <c r="H10" s="445" t="e">
        <f ca="1">_xll.BDP($C10,"CRNCY")</f>
        <v>#NAME?</v>
      </c>
      <c r="I10" s="442" t="e">
        <f t="shared" ca="1" si="3"/>
        <v>#NAME?</v>
      </c>
      <c r="J10" s="442" t="e">
        <f t="shared" ca="1" si="4"/>
        <v>#NAME?</v>
      </c>
      <c r="K10" s="443" t="e">
        <f ca="1">$K$50</f>
        <v>#NAME?</v>
      </c>
      <c r="L10" s="443">
        <f>$J$35</f>
        <v>625380</v>
      </c>
      <c r="M10" s="443" t="e">
        <f t="shared" ca="1" si="5"/>
        <v>#NAME?</v>
      </c>
      <c r="N10" s="443" t="e">
        <f t="shared" ca="1" si="1"/>
        <v>#NAME?</v>
      </c>
      <c r="O10" s="446" t="e">
        <f t="shared" ref="O10:P16" ca="1" si="6">M10-K10</f>
        <v>#NAME?</v>
      </c>
      <c r="P10" s="446" t="e">
        <f t="shared" ca="1" si="6"/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769</v>
      </c>
      <c r="B11" s="441" t="e">
        <f ca="1">_xll.BDP(C11,"SECURITY_NAME")</f>
        <v>#NAME?</v>
      </c>
      <c r="C11" s="440" t="s">
        <v>762</v>
      </c>
      <c r="D11" s="442" t="e">
        <f ca="1">N11/$N$18</f>
        <v>#NAME?</v>
      </c>
      <c r="E11" s="443">
        <f>$F$56</f>
        <v>600000</v>
      </c>
      <c r="F11" s="444">
        <f>$H$56</f>
        <v>105.98</v>
      </c>
      <c r="G11" s="444" t="e">
        <f ca="1">_xll.BDP(C11,"PX_BID")</f>
        <v>#NAME?</v>
      </c>
      <c r="H11" s="445" t="e">
        <f ca="1">_xll.BDP($C11,"CRNCY")</f>
        <v>#NAME?</v>
      </c>
      <c r="I11" s="442" t="e">
        <f ca="1">M11/K11-1</f>
        <v>#NAME?</v>
      </c>
      <c r="J11" s="442" t="e">
        <f ca="1">G11/F11-1</f>
        <v>#NAME?</v>
      </c>
      <c r="K11" s="443" t="e">
        <f ca="1">$K$56</f>
        <v>#NAME?</v>
      </c>
      <c r="L11" s="443">
        <f t="shared" ref="L11:L16" si="7">E11*F11/100</f>
        <v>635880</v>
      </c>
      <c r="M11" s="443" t="e">
        <f ca="1">E11*G11/100 *$I$1</f>
        <v>#NAME?</v>
      </c>
      <c r="N11" s="443" t="e">
        <f t="shared" ca="1" si="1"/>
        <v>#NAME?</v>
      </c>
      <c r="O11" s="446" t="e">
        <f t="shared" ca="1" si="6"/>
        <v>#NAME?</v>
      </c>
      <c r="P11" s="446" t="e">
        <f t="shared" ca="1" si="6"/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s="440" customFormat="1" ht="15" x14ac:dyDescent="0.25">
      <c r="A12" s="440" t="s">
        <v>769</v>
      </c>
      <c r="B12" s="441" t="e">
        <f ca="1">_xll.BDP(C12,"SECURITY_NAME")</f>
        <v>#NAME?</v>
      </c>
      <c r="C12" s="440" t="s">
        <v>765</v>
      </c>
      <c r="D12" s="442" t="e">
        <f ca="1">N12/$N$18</f>
        <v>#NAME?</v>
      </c>
      <c r="E12" s="443">
        <f>$F$32</f>
        <v>600000</v>
      </c>
      <c r="F12" s="444">
        <f>$H$32</f>
        <v>95.53</v>
      </c>
      <c r="G12" s="444" t="e">
        <f ca="1">_xll.BDP(C12,"PX_BID")</f>
        <v>#NAME?</v>
      </c>
      <c r="H12" s="445" t="e">
        <f ca="1">_xll.BDP($C12,"CRNCY")</f>
        <v>#NAME?</v>
      </c>
      <c r="I12" s="442" t="e">
        <f ca="1">M12/K12-1</f>
        <v>#NAME?</v>
      </c>
      <c r="J12" s="442" t="e">
        <f ca="1">G12/F12-1</f>
        <v>#NAME?</v>
      </c>
      <c r="K12" s="443" t="e">
        <f ca="1">$K$32</f>
        <v>#NAME?</v>
      </c>
      <c r="L12" s="443">
        <f t="shared" si="7"/>
        <v>573180</v>
      </c>
      <c r="M12" s="443" t="e">
        <f ca="1">E12*G12/100 *$I$1</f>
        <v>#NAME?</v>
      </c>
      <c r="N12" s="443" t="e">
        <f t="shared" ca="1" si="1"/>
        <v>#NAME?</v>
      </c>
      <c r="O12" s="446" t="e">
        <f t="shared" ca="1" si="6"/>
        <v>#NAME?</v>
      </c>
      <c r="P12" s="446" t="e">
        <f t="shared" ca="1" si="6"/>
        <v>#NAME?</v>
      </c>
      <c r="Q12" s="447" t="e">
        <f ca="1">_xll.BDP(C12,"YLD_YTM_MID")</f>
        <v>#NAME?</v>
      </c>
      <c r="R12" s="451" t="e">
        <f ca="1">E12*_xll.BDP(C12,"PX_GROSS_BID")/100</f>
        <v>#NAME?</v>
      </c>
      <c r="S12" s="448" t="e">
        <f ca="1">_xll.BDP($C12,"CHG_PCT_YTD")</f>
        <v>#NAME?</v>
      </c>
      <c r="T12" s="448" t="e">
        <f ca="1">_xll.BDP($C12,"CHG_PCT_1YR")</f>
        <v>#NAME?</v>
      </c>
      <c r="U12" s="448" t="e">
        <f ca="1">_xll.BDP($C12,"CHG_PCT_6M")</f>
        <v>#NAME?</v>
      </c>
      <c r="V12" s="448" t="e">
        <f ca="1">_xll.BDP($C12,"CHG_PCT_3M")</f>
        <v>#NAME?</v>
      </c>
      <c r="W12" s="448" t="e">
        <f ca="1">_xll.BDP($C12,"CHG_PCT_1M")</f>
        <v>#NAME?</v>
      </c>
      <c r="X12" s="448" t="e">
        <f ca="1">_xll.BDP($C12,"CHG_PCT_5D")</f>
        <v>#NAME?</v>
      </c>
      <c r="Y12" s="448"/>
    </row>
    <row r="13" spans="1:30" s="440" customFormat="1" ht="15" x14ac:dyDescent="0.25">
      <c r="A13" s="440" t="s">
        <v>769</v>
      </c>
      <c r="B13" s="441" t="e">
        <f ca="1">_xll.BDP(C13,"SECURITY_NAME")</f>
        <v>#NAME?</v>
      </c>
      <c r="C13" s="440" t="s">
        <v>678</v>
      </c>
      <c r="D13" s="442" t="e">
        <f ca="1">N13/$N$18</f>
        <v>#NAME?</v>
      </c>
      <c r="E13" s="443">
        <f>$F$41</f>
        <v>300000</v>
      </c>
      <c r="F13" s="444">
        <f>$H$41</f>
        <v>98</v>
      </c>
      <c r="G13" s="444" t="e">
        <f ca="1">_xll.BDP(C13,"PX_BID")</f>
        <v>#NAME?</v>
      </c>
      <c r="H13" s="445" t="e">
        <f ca="1">_xll.BDP($C13,"CRNCY")</f>
        <v>#NAME?</v>
      </c>
      <c r="I13" s="442" t="e">
        <f ca="1">M13/K13-1</f>
        <v>#NAME?</v>
      </c>
      <c r="J13" s="442" t="e">
        <f ca="1">G13/F13-1</f>
        <v>#NAME?</v>
      </c>
      <c r="K13" s="443" t="e">
        <f ca="1">$K$41</f>
        <v>#NAME?</v>
      </c>
      <c r="L13" s="443">
        <f t="shared" si="7"/>
        <v>294000</v>
      </c>
      <c r="M13" s="443" t="e">
        <f ca="1">E13*G13/100 *$I$1</f>
        <v>#NAME?</v>
      </c>
      <c r="N13" s="443" t="e">
        <f t="shared" ca="1" si="1"/>
        <v>#NAME?</v>
      </c>
      <c r="O13" s="446" t="e">
        <f t="shared" ca="1" si="6"/>
        <v>#NAME?</v>
      </c>
      <c r="P13" s="446" t="e">
        <f t="shared" ca="1" si="6"/>
        <v>#NAME?</v>
      </c>
      <c r="Q13" s="447" t="e">
        <f ca="1">_xll.BDP(C13,"YLD_YTM_MID")</f>
        <v>#NAME?</v>
      </c>
      <c r="R13" s="451" t="e">
        <f ca="1">E13*_xll.BDP(C13,"PX_GROSS_BID")/100</f>
        <v>#NAME?</v>
      </c>
      <c r="S13" s="448" t="e">
        <f ca="1">_xll.BDP($C13,"CHG_PCT_YTD")</f>
        <v>#NAME?</v>
      </c>
      <c r="T13" s="448" t="e">
        <f ca="1">_xll.BDP($C13,"CHG_PCT_1YR")</f>
        <v>#NAME?</v>
      </c>
      <c r="U13" s="448" t="e">
        <f ca="1">_xll.BDP($C13,"CHG_PCT_6M")</f>
        <v>#NAME?</v>
      </c>
      <c r="V13" s="448" t="e">
        <f ca="1">_xll.BDP($C13,"CHG_PCT_3M")</f>
        <v>#NAME?</v>
      </c>
      <c r="W13" s="448" t="e">
        <f ca="1">_xll.BDP($C13,"CHG_PCT_1M")</f>
        <v>#NAME?</v>
      </c>
      <c r="X13" s="448" t="e">
        <f ca="1">_xll.BDP($C13,"CHG_PCT_5D")</f>
        <v>#NAME?</v>
      </c>
      <c r="Y13" s="448"/>
    </row>
    <row r="14" spans="1:30" s="440" customFormat="1" ht="15" x14ac:dyDescent="0.25">
      <c r="A14" s="440" t="s">
        <v>769</v>
      </c>
      <c r="B14" s="441" t="e">
        <f ca="1">_xll.BDP(C14,"SECURITY_NAME")</f>
        <v>#NAME?</v>
      </c>
      <c r="C14" s="440" t="s">
        <v>753</v>
      </c>
      <c r="D14" s="442" t="e">
        <f ca="1">N14/$N$18</f>
        <v>#NAME?</v>
      </c>
      <c r="E14" s="443">
        <f>$F$44</f>
        <v>350000</v>
      </c>
      <c r="F14" s="444">
        <f>$H$44</f>
        <v>101.25</v>
      </c>
      <c r="G14" s="444" t="e">
        <f ca="1">_xll.BDP(C14,"PX_BID")</f>
        <v>#NAME?</v>
      </c>
      <c r="H14" s="445" t="e">
        <f ca="1">_xll.BDP($C14,"CRNCY")</f>
        <v>#NAME?</v>
      </c>
      <c r="I14" s="442" t="e">
        <f ca="1">M14/K14-1</f>
        <v>#NAME?</v>
      </c>
      <c r="J14" s="442" t="e">
        <f ca="1">G14/F14-1</f>
        <v>#NAME?</v>
      </c>
      <c r="K14" s="443" t="e">
        <f ca="1">$K$44</f>
        <v>#NAME?</v>
      </c>
      <c r="L14" s="443">
        <f t="shared" si="7"/>
        <v>354375</v>
      </c>
      <c r="M14" s="443" t="e">
        <f ca="1">E14*G14/100 *$I$1</f>
        <v>#NAME?</v>
      </c>
      <c r="N14" s="443" t="e">
        <f t="shared" ca="1" si="1"/>
        <v>#NAME?</v>
      </c>
      <c r="O14" s="446" t="e">
        <f t="shared" ca="1" si="6"/>
        <v>#NAME?</v>
      </c>
      <c r="P14" s="446" t="e">
        <f t="shared" ca="1" si="6"/>
        <v>#NAME?</v>
      </c>
      <c r="Q14" s="447" t="e">
        <f ca="1">_xll.BDP(C14,"YLD_YTM_MID")</f>
        <v>#NAME?</v>
      </c>
      <c r="R14" s="451" t="e">
        <f ca="1">E14*_xll.BDP(C14,"PX_GROSS_BID")/100</f>
        <v>#NAME?</v>
      </c>
      <c r="S14" s="448" t="e">
        <f ca="1">_xll.BDP($C14,"CHG_PCT_YTD")</f>
        <v>#NAME?</v>
      </c>
      <c r="T14" s="448" t="e">
        <f ca="1">_xll.BDP($C14,"CHG_PCT_1YR")</f>
        <v>#NAME?</v>
      </c>
      <c r="U14" s="448" t="e">
        <f ca="1">_xll.BDP($C14,"CHG_PCT_6M")</f>
        <v>#NAME?</v>
      </c>
      <c r="V14" s="448" t="e">
        <f ca="1">_xll.BDP($C14,"CHG_PCT_3M")</f>
        <v>#NAME?</v>
      </c>
      <c r="W14" s="448" t="e">
        <f ca="1">_xll.BDP($C14,"CHG_PCT_1M")</f>
        <v>#NAME?</v>
      </c>
      <c r="X14" s="448" t="e">
        <f ca="1">_xll.BDP($C14,"CHG_PCT_5D")</f>
        <v>#NAME?</v>
      </c>
      <c r="Y14" s="448"/>
    </row>
    <row r="15" spans="1:30" s="440" customFormat="1" ht="15" x14ac:dyDescent="0.25">
      <c r="A15" s="440" t="s">
        <v>769</v>
      </c>
      <c r="B15" s="441" t="e">
        <f ca="1">_xll.BDP(C15,"SECURITY_NAME")</f>
        <v>#NAME?</v>
      </c>
      <c r="C15" s="440" t="s">
        <v>167</v>
      </c>
      <c r="D15" s="442" t="e">
        <f ca="1">N15/$N$18</f>
        <v>#NAME?</v>
      </c>
      <c r="E15" s="443">
        <f>$F$62</f>
        <v>300000</v>
      </c>
      <c r="F15" s="444">
        <f>$H$62</f>
        <v>108.25</v>
      </c>
      <c r="G15" s="444" t="e">
        <f ca="1">_xll.BDP(C15,"PX_BID")</f>
        <v>#NAME?</v>
      </c>
      <c r="H15" s="445" t="e">
        <f ca="1">_xll.BDP($C15,"CRNCY")</f>
        <v>#NAME?</v>
      </c>
      <c r="I15" s="442" t="e">
        <f ca="1">M15/K15-1</f>
        <v>#NAME?</v>
      </c>
      <c r="J15" s="442" t="e">
        <f ca="1">G15/F15-1</f>
        <v>#NAME?</v>
      </c>
      <c r="K15" s="443" t="e">
        <f ca="1">$K$62</f>
        <v>#NAME?</v>
      </c>
      <c r="L15" s="443">
        <f t="shared" si="7"/>
        <v>324750</v>
      </c>
      <c r="M15" s="443" t="e">
        <f ca="1">E15*G15/100 *$I$1</f>
        <v>#NAME?</v>
      </c>
      <c r="N15" s="443" t="e">
        <f t="shared" ca="1" si="1"/>
        <v>#NAME?</v>
      </c>
      <c r="O15" s="446" t="e">
        <f t="shared" ca="1" si="6"/>
        <v>#NAME?</v>
      </c>
      <c r="P15" s="446" t="e">
        <f t="shared" ca="1" si="6"/>
        <v>#NAME?</v>
      </c>
      <c r="Q15" s="447" t="e">
        <f ca="1">_xll.BDP(C15,"YLD_YTM_MID")</f>
        <v>#NAME?</v>
      </c>
      <c r="R15" s="451" t="e">
        <f ca="1">E15*_xll.BDP(C15,"PX_GROSS_BID")/100</f>
        <v>#NAME?</v>
      </c>
      <c r="S15" s="448" t="e">
        <f ca="1">_xll.BDP($C15,"CHG_PCT_YTD")</f>
        <v>#NAME?</v>
      </c>
      <c r="T15" s="448" t="e">
        <f ca="1">_xll.BDP($C15,"CHG_PCT_1YR")</f>
        <v>#NAME?</v>
      </c>
      <c r="U15" s="448" t="e">
        <f ca="1">_xll.BDP($C15,"CHG_PCT_6M")</f>
        <v>#NAME?</v>
      </c>
      <c r="V15" s="448" t="e">
        <f ca="1">_xll.BDP($C15,"CHG_PCT_3M")</f>
        <v>#NAME?</v>
      </c>
      <c r="W15" s="448" t="e">
        <f ca="1">_xll.BDP($C15,"CHG_PCT_1M")</f>
        <v>#NAME?</v>
      </c>
      <c r="X15" s="448" t="e">
        <f ca="1">_xll.BDP($C15,"CHG_PCT_5D")</f>
        <v>#NAME?</v>
      </c>
      <c r="Y15" s="448"/>
    </row>
    <row r="16" spans="1:30" s="440" customFormat="1" ht="15" x14ac:dyDescent="0.25">
      <c r="A16" s="440" t="s">
        <v>769</v>
      </c>
      <c r="B16" s="441" t="e">
        <f ca="1">_xll.BDP(C16,"SECURITY_NAME")</f>
        <v>#NAME?</v>
      </c>
      <c r="C16" s="440" t="s">
        <v>225</v>
      </c>
      <c r="D16" s="442" t="e">
        <f t="shared" ca="1" si="0"/>
        <v>#NAME?</v>
      </c>
      <c r="E16" s="443">
        <f>$F$59</f>
        <v>660000</v>
      </c>
      <c r="F16" s="444">
        <f>$H$59</f>
        <v>98.75</v>
      </c>
      <c r="G16" s="444" t="e">
        <f ca="1">_xll.BDP(C16,"PX_BID")</f>
        <v>#NAME?</v>
      </c>
      <c r="H16" s="445" t="e">
        <f ca="1">_xll.BDP($C16,"CRNCY")</f>
        <v>#NAME?</v>
      </c>
      <c r="I16" s="442" t="e">
        <f t="shared" ca="1" si="3"/>
        <v>#NAME?</v>
      </c>
      <c r="J16" s="442" t="e">
        <f t="shared" ca="1" si="4"/>
        <v>#NAME?</v>
      </c>
      <c r="K16" s="443" t="e">
        <f ca="1">$K$59</f>
        <v>#NAME?</v>
      </c>
      <c r="L16" s="443">
        <f t="shared" si="7"/>
        <v>651750</v>
      </c>
      <c r="M16" s="443" t="e">
        <f t="shared" ca="1" si="5"/>
        <v>#NAME?</v>
      </c>
      <c r="N16" s="443" t="e">
        <f t="shared" ca="1" si="1"/>
        <v>#NAME?</v>
      </c>
      <c r="O16" s="446" t="e">
        <f t="shared" ca="1" si="6"/>
        <v>#NAME?</v>
      </c>
      <c r="P16" s="446" t="e">
        <f t="shared" ca="1" si="6"/>
        <v>#NAME?</v>
      </c>
      <c r="Q16" s="447" t="e">
        <f ca="1">_xll.BDP(C16,"YLD_YTM_MID")</f>
        <v>#NAME?</v>
      </c>
      <c r="R16" s="451" t="e">
        <f ca="1">E16*_xll.BDP(C16,"PX_GROSS_BID")/100</f>
        <v>#NAME?</v>
      </c>
      <c r="S16" s="448" t="e">
        <f ca="1">_xll.BDP($C16,"CHG_PCT_YTD")</f>
        <v>#NAME?</v>
      </c>
      <c r="T16" s="448" t="e">
        <f ca="1">_xll.BDP($C16,"CHG_PCT_1YR")</f>
        <v>#NAME?</v>
      </c>
      <c r="U16" s="448" t="e">
        <f ca="1">_xll.BDP($C16,"CHG_PCT_6M")</f>
        <v>#NAME?</v>
      </c>
      <c r="V16" s="448" t="e">
        <f ca="1">_xll.BDP($C16,"CHG_PCT_3M")</f>
        <v>#NAME?</v>
      </c>
      <c r="W16" s="448" t="e">
        <f ca="1">_xll.BDP($C16,"CHG_PCT_1M")</f>
        <v>#NAME?</v>
      </c>
      <c r="X16" s="448" t="e">
        <f ca="1">_xll.BDP($C16,"CHG_PCT_5D")</f>
        <v>#NAME?</v>
      </c>
      <c r="Y16" s="448"/>
    </row>
    <row r="17" spans="2:26" x14ac:dyDescent="0.2">
      <c r="B17" s="68" t="s">
        <v>106</v>
      </c>
      <c r="C17" s="68" t="s">
        <v>106</v>
      </c>
      <c r="D17" s="101" t="e">
        <f t="shared" ca="1" si="0"/>
        <v>#NAME?</v>
      </c>
      <c r="E17" s="101"/>
      <c r="F17" s="101"/>
      <c r="G17" s="66"/>
      <c r="H17" s="177"/>
      <c r="I17" s="179"/>
      <c r="J17" s="179"/>
      <c r="K17" s="64"/>
      <c r="L17" s="322"/>
      <c r="M17" s="64"/>
      <c r="N17" s="64" t="e">
        <f t="shared" ca="1" si="1"/>
        <v>#NAME?</v>
      </c>
      <c r="O17" s="61"/>
      <c r="P17" s="61"/>
      <c r="Q17" s="61"/>
      <c r="R17" s="420" t="e">
        <f ca="1">N17</f>
        <v>#NAME?</v>
      </c>
      <c r="S17" s="177"/>
      <c r="T17" s="177"/>
      <c r="U17" s="177"/>
      <c r="V17" s="177"/>
      <c r="W17" s="177"/>
      <c r="X17" s="177"/>
      <c r="Y17" s="177"/>
      <c r="Z17" s="177"/>
    </row>
    <row r="18" spans="2:26" ht="13.5" customHeight="1" thickBot="1" x14ac:dyDescent="0.25">
      <c r="B18" s="421"/>
      <c r="C18" s="421"/>
      <c r="D18" s="475" t="e">
        <f ca="1">SUM(D4:D17)</f>
        <v>#NAME?</v>
      </c>
      <c r="E18" s="421"/>
      <c r="F18" s="421"/>
      <c r="G18" s="421"/>
      <c r="H18" s="423"/>
      <c r="I18" s="421"/>
      <c r="J18" s="421"/>
      <c r="K18" s="424" t="e">
        <f ca="1">SUM(K4:K17)</f>
        <v>#NAME?</v>
      </c>
      <c r="L18" s="424" t="e">
        <f ca="1">SUM(L4:L16)</f>
        <v>#NAME?</v>
      </c>
      <c r="M18" s="424" t="e">
        <f ca="1">SUM(M4:M17)</f>
        <v>#NAME?</v>
      </c>
      <c r="N18" s="476" t="e">
        <f ca="1">SUM(N4:N17)</f>
        <v>#NAME?</v>
      </c>
      <c r="O18" s="477" t="e">
        <f ca="1">SUM(O4:O16)</f>
        <v>#NAME?</v>
      </c>
      <c r="P18" s="477" t="e">
        <f ca="1">SUM(P4:P16)</f>
        <v>#NAME?</v>
      </c>
      <c r="Q18" s="472" t="e">
        <f ca="1">SUMPRODUCT(D4:D16,Q4:Q16)</f>
        <v>#NAME?</v>
      </c>
      <c r="R18" s="471" t="e">
        <f ca="1">SUM(R4:R17)</f>
        <v>#NAME?</v>
      </c>
      <c r="S18" s="55"/>
      <c r="T18" s="55"/>
      <c r="U18" s="55"/>
      <c r="V18" s="55"/>
      <c r="W18" s="55"/>
      <c r="X18" s="55"/>
      <c r="Y18" s="55"/>
      <c r="Z18" s="55"/>
    </row>
    <row r="19" spans="2:26" ht="83.25" customHeight="1" x14ac:dyDescent="0.2">
      <c r="B19" s="116"/>
      <c r="C19" s="116"/>
      <c r="D19" s="425"/>
      <c r="E19" s="116"/>
      <c r="F19" s="116"/>
      <c r="G19" s="116"/>
      <c r="H19" s="116"/>
      <c r="I19" s="426"/>
      <c r="J19" s="426"/>
      <c r="K19" s="120"/>
      <c r="L19" s="120"/>
      <c r="M19" s="478"/>
      <c r="N19" s="474"/>
      <c r="O19" s="479" t="e">
        <f ca="1">M18/K18-1</f>
        <v>#NAME?</v>
      </c>
      <c r="P19" s="479" t="e">
        <f ca="1">N18/L18-1</f>
        <v>#NAME?</v>
      </c>
      <c r="Q19" s="473" t="s">
        <v>771</v>
      </c>
      <c r="R19" s="474"/>
      <c r="S19" s="429"/>
      <c r="T19" s="429"/>
      <c r="U19" s="429"/>
      <c r="V19" s="429"/>
    </row>
    <row r="20" spans="2:26" x14ac:dyDescent="0.2">
      <c r="E20" s="155"/>
      <c r="K20" s="30"/>
      <c r="L20" s="148"/>
      <c r="M20" s="35"/>
      <c r="N20" s="34"/>
      <c r="O20" s="34"/>
      <c r="P20" s="30"/>
    </row>
    <row r="21" spans="2:26" x14ac:dyDescent="0.2">
      <c r="B21" s="32" t="s">
        <v>276</v>
      </c>
      <c r="E21" s="155"/>
      <c r="M21" s="35"/>
      <c r="N21" s="34"/>
      <c r="O21" s="34"/>
      <c r="P21" s="30"/>
    </row>
    <row r="22" spans="2:26" x14ac:dyDescent="0.2">
      <c r="B22" s="46">
        <v>2016</v>
      </c>
      <c r="C22" s="118"/>
      <c r="D22" s="73"/>
      <c r="E22" s="43"/>
      <c r="F22" s="43"/>
      <c r="G22" s="43"/>
      <c r="H22" s="47"/>
      <c r="I22" s="43"/>
      <c r="J22" s="45"/>
      <c r="K22" s="38"/>
      <c r="L22" s="38"/>
      <c r="M22" s="44"/>
      <c r="N22" s="130"/>
      <c r="O22" s="106"/>
      <c r="P22" s="130"/>
      <c r="Q22" s="14"/>
      <c r="R22" s="75"/>
    </row>
    <row r="23" spans="2:26" ht="51" x14ac:dyDescent="0.2">
      <c r="B23" s="51" t="s">
        <v>105</v>
      </c>
      <c r="C23" s="50" t="s">
        <v>104</v>
      </c>
      <c r="D23" s="50" t="s">
        <v>174</v>
      </c>
      <c r="E23" s="50" t="s">
        <v>173</v>
      </c>
      <c r="F23" s="50" t="s">
        <v>175</v>
      </c>
      <c r="G23" s="50" t="s">
        <v>172</v>
      </c>
      <c r="H23" s="50" t="s">
        <v>103</v>
      </c>
      <c r="I23" s="50" t="s">
        <v>102</v>
      </c>
      <c r="J23" s="50" t="s">
        <v>101</v>
      </c>
      <c r="K23" s="50" t="s">
        <v>100</v>
      </c>
      <c r="L23" s="50" t="s">
        <v>99</v>
      </c>
      <c r="M23" s="50" t="s">
        <v>98</v>
      </c>
      <c r="N23" s="50" t="s">
        <v>280</v>
      </c>
      <c r="O23" s="50" t="s">
        <v>97</v>
      </c>
      <c r="P23" s="50" t="s">
        <v>279</v>
      </c>
      <c r="Q23" s="50" t="s">
        <v>277</v>
      </c>
      <c r="R23" s="50" t="s">
        <v>278</v>
      </c>
    </row>
    <row r="24" spans="2:26" x14ac:dyDescent="0.2">
      <c r="B24" s="35"/>
      <c r="C24" s="35"/>
      <c r="D24" s="40"/>
      <c r="G24" s="35"/>
      <c r="H24" s="35"/>
      <c r="I24" s="35"/>
      <c r="J24" s="35"/>
      <c r="K24" s="35"/>
      <c r="L24" s="46"/>
      <c r="N24" s="40"/>
      <c r="O24" s="35" t="s">
        <v>94</v>
      </c>
      <c r="P24" s="355" t="e">
        <f>SUM(#REF!)</f>
        <v>#REF!</v>
      </c>
    </row>
    <row r="25" spans="2:26" x14ac:dyDescent="0.2">
      <c r="H25" s="105"/>
      <c r="I25" s="70"/>
      <c r="J25" s="151"/>
      <c r="K25" s="35"/>
      <c r="L25" s="148"/>
      <c r="M25" s="34"/>
      <c r="N25" s="30"/>
      <c r="P25" s="30"/>
    </row>
    <row r="26" spans="2:26" x14ac:dyDescent="0.2">
      <c r="B26" s="32" t="s">
        <v>93</v>
      </c>
      <c r="C26" s="151"/>
      <c r="D26" s="105"/>
      <c r="H26" s="105"/>
      <c r="I26" s="151"/>
      <c r="J26" s="151"/>
      <c r="K26" s="30"/>
    </row>
    <row r="27" spans="2:26" ht="13.5" thickBot="1" x14ac:dyDescent="0.25">
      <c r="C27" s="30"/>
      <c r="D27" s="30"/>
      <c r="G27" s="30"/>
      <c r="H27" s="151"/>
      <c r="I27" s="30"/>
      <c r="J27" s="151"/>
      <c r="K27" s="30"/>
    </row>
    <row r="28" spans="2:26" ht="15" x14ac:dyDescent="0.35">
      <c r="B28" s="26"/>
      <c r="C28" s="26"/>
      <c r="D28" s="26"/>
      <c r="E28" s="26"/>
      <c r="F28" s="26"/>
      <c r="G28" s="26"/>
      <c r="H28" s="28" t="s">
        <v>92</v>
      </c>
      <c r="I28" s="27" t="s">
        <v>91</v>
      </c>
      <c r="J28" s="27" t="s">
        <v>90</v>
      </c>
      <c r="K28" s="27"/>
      <c r="L28" s="27"/>
      <c r="M28" s="26"/>
      <c r="N28" s="26"/>
      <c r="Q28" s="174"/>
    </row>
    <row r="29" spans="2:26" ht="15" x14ac:dyDescent="0.35">
      <c r="B29" s="23" t="s">
        <v>89</v>
      </c>
      <c r="C29" s="23" t="s">
        <v>88</v>
      </c>
      <c r="D29" s="23" t="s">
        <v>87</v>
      </c>
      <c r="E29" s="23" t="s">
        <v>86</v>
      </c>
      <c r="F29" s="23" t="s">
        <v>85</v>
      </c>
      <c r="G29" s="23" t="s">
        <v>84</v>
      </c>
      <c r="H29" s="25" t="s">
        <v>83</v>
      </c>
      <c r="I29" s="24" t="s">
        <v>83</v>
      </c>
      <c r="J29" s="24" t="s">
        <v>75</v>
      </c>
      <c r="K29" s="24" t="s">
        <v>73</v>
      </c>
      <c r="L29" s="24" t="s">
        <v>82</v>
      </c>
      <c r="M29" s="23" t="s">
        <v>81</v>
      </c>
      <c r="N29" s="23" t="s">
        <v>80</v>
      </c>
    </row>
    <row r="31" spans="2:26" s="273" customFormat="1" ht="13.5" customHeight="1" x14ac:dyDescent="0.2">
      <c r="B31" s="287" t="s">
        <v>769</v>
      </c>
      <c r="C31" s="286" t="s">
        <v>766</v>
      </c>
      <c r="D31" s="284" t="e">
        <f ca="1">_xll.BDP(C31,"SECURITY_NAME")</f>
        <v>#NAME?</v>
      </c>
      <c r="E31" s="284" t="s">
        <v>50</v>
      </c>
      <c r="F31" s="285">
        <v>600000</v>
      </c>
      <c r="G31" s="284" t="e">
        <f ca="1">_xll.BDP(C31,"CRNCY")</f>
        <v>#NAME?</v>
      </c>
      <c r="H31" s="281">
        <v>95.53</v>
      </c>
      <c r="I31" s="282">
        <f>F31*H31/100</f>
        <v>573180</v>
      </c>
      <c r="J31" s="283">
        <f>I31</f>
        <v>573180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41878</v>
      </c>
    </row>
    <row r="32" spans="2:26" s="273" customFormat="1" x14ac:dyDescent="0.2">
      <c r="B32" s="279"/>
      <c r="C32" s="279"/>
      <c r="D32" s="278"/>
      <c r="E32" s="278"/>
      <c r="F32" s="277">
        <f>SUM(F31:F31)</f>
        <v>600000</v>
      </c>
      <c r="G32" s="278"/>
      <c r="H32" s="276">
        <f>J32/F32*100</f>
        <v>95.53</v>
      </c>
      <c r="I32" s="277">
        <f>SUM(I31:I31)</f>
        <v>573180</v>
      </c>
      <c r="J32" s="277">
        <f>SUM(J31:J31)</f>
        <v>573180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s="273" customFormat="1" ht="13.5" customHeight="1" x14ac:dyDescent="0.2">
      <c r="B34" s="287" t="s">
        <v>769</v>
      </c>
      <c r="C34" s="303" t="s">
        <v>761</v>
      </c>
      <c r="D34" s="284" t="e">
        <f ca="1">_xll.BDP(C34,"SECURITY_NAME")</f>
        <v>#NAME?</v>
      </c>
      <c r="E34" s="284" t="s">
        <v>50</v>
      </c>
      <c r="F34" s="285">
        <v>600000</v>
      </c>
      <c r="G34" s="284" t="e">
        <f ca="1">_xll.BDP(C34,"CRNCY")</f>
        <v>#NAME?</v>
      </c>
      <c r="H34" s="281">
        <v>104.23</v>
      </c>
      <c r="I34" s="282">
        <f>F34*H34/100</f>
        <v>625380</v>
      </c>
      <c r="J34" s="283">
        <f>I34</f>
        <v>625380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41871</v>
      </c>
    </row>
    <row r="35" spans="2:14" s="273" customFormat="1" x14ac:dyDescent="0.2">
      <c r="B35" s="279"/>
      <c r="C35" s="303"/>
      <c r="D35" s="278"/>
      <c r="E35" s="278"/>
      <c r="F35" s="277">
        <f>SUM(F34)</f>
        <v>600000</v>
      </c>
      <c r="G35" s="278"/>
      <c r="H35" s="276">
        <f>J35/F35*100</f>
        <v>104.23</v>
      </c>
      <c r="I35" s="277">
        <f>SUM(I34)</f>
        <v>625380</v>
      </c>
      <c r="J35" s="277">
        <f>SUM(J34)</f>
        <v>625380</v>
      </c>
      <c r="K35" s="277" t="e">
        <f ca="1">SUM(K34)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769</v>
      </c>
      <c r="C37" s="286" t="s">
        <v>760</v>
      </c>
      <c r="D37" s="284" t="e">
        <f ca="1">_xll.BDP(C37,"SECURITY_NAME")</f>
        <v>#NAME?</v>
      </c>
      <c r="E37" s="284" t="s">
        <v>50</v>
      </c>
      <c r="F37" s="285">
        <v>600000</v>
      </c>
      <c r="G37" s="284" t="e">
        <f ca="1">_xll.BDP(C37,"CRNCY")</f>
        <v>#NAME?</v>
      </c>
      <c r="H37" s="281">
        <v>99.655000000000001</v>
      </c>
      <c r="I37" s="282">
        <f>F37*H37/100</f>
        <v>597930</v>
      </c>
      <c r="J37" s="283">
        <f>I37</f>
        <v>597930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41870</v>
      </c>
    </row>
    <row r="38" spans="2:14" s="273" customFormat="1" x14ac:dyDescent="0.2">
      <c r="B38" s="279"/>
      <c r="C38" s="279"/>
      <c r="D38" s="278"/>
      <c r="E38" s="278"/>
      <c r="F38" s="277">
        <f>SUM(F37:F37)</f>
        <v>600000</v>
      </c>
      <c r="G38" s="278"/>
      <c r="H38" s="276">
        <f>J38/F38*100</f>
        <v>99.655000000000001</v>
      </c>
      <c r="I38" s="277">
        <f>SUM(I37:I37)</f>
        <v>597930</v>
      </c>
      <c r="J38" s="277">
        <f>SUM(J37:J37)</f>
        <v>597930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s="273" customFormat="1" ht="13.5" customHeight="1" x14ac:dyDescent="0.2">
      <c r="B40" s="287" t="s">
        <v>769</v>
      </c>
      <c r="C40" s="286" t="s">
        <v>767</v>
      </c>
      <c r="D40" s="284" t="e">
        <f ca="1">_xll.BDP(C40,"SECURITY_NAME")</f>
        <v>#NAME?</v>
      </c>
      <c r="E40" s="284" t="s">
        <v>50</v>
      </c>
      <c r="F40" s="285">
        <v>300000</v>
      </c>
      <c r="G40" s="284" t="e">
        <f ca="1">_xll.BDP(C40,"CRNCY")</f>
        <v>#NAME?</v>
      </c>
      <c r="H40" s="281">
        <v>98</v>
      </c>
      <c r="I40" s="282">
        <f>F40*H40/100</f>
        <v>294000</v>
      </c>
      <c r="J40" s="283">
        <f>I40</f>
        <v>294000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41906</v>
      </c>
    </row>
    <row r="41" spans="2:14" s="273" customFormat="1" x14ac:dyDescent="0.2">
      <c r="B41" s="279"/>
      <c r="C41" s="279"/>
      <c r="D41" s="278"/>
      <c r="E41" s="278"/>
      <c r="F41" s="277">
        <f>SUM(F40:F40)</f>
        <v>300000</v>
      </c>
      <c r="G41" s="278"/>
      <c r="H41" s="276">
        <f>J41/F41*100</f>
        <v>98</v>
      </c>
      <c r="I41" s="277">
        <f>SUM(I40:I40)</f>
        <v>294000</v>
      </c>
      <c r="J41" s="277">
        <f>SUM(J40:J40)</f>
        <v>294000</v>
      </c>
      <c r="K41" s="277" t="e">
        <f ca="1">SUM(K40:K40)</f>
        <v>#NAME?</v>
      </c>
      <c r="L41" s="276"/>
      <c r="M41" s="275"/>
      <c r="N41" s="274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s="273" customFormat="1" ht="13.5" customHeight="1" x14ac:dyDescent="0.2">
      <c r="B43" s="287" t="s">
        <v>769</v>
      </c>
      <c r="C43" s="286" t="s">
        <v>768</v>
      </c>
      <c r="D43" s="284" t="e">
        <f ca="1">_xll.BDP(C43,"SECURITY_NAME")</f>
        <v>#NAME?</v>
      </c>
      <c r="E43" s="284" t="s">
        <v>50</v>
      </c>
      <c r="F43" s="285">
        <v>350000</v>
      </c>
      <c r="G43" s="284" t="e">
        <f ca="1">_xll.BDP(C43,"CRNCY")</f>
        <v>#NAME?</v>
      </c>
      <c r="H43" s="281">
        <v>101.25</v>
      </c>
      <c r="I43" s="282">
        <f>F43*H43/100</f>
        <v>354375</v>
      </c>
      <c r="J43" s="283">
        <f>I43</f>
        <v>354375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42583</v>
      </c>
    </row>
    <row r="44" spans="2:14" s="273" customFormat="1" x14ac:dyDescent="0.2">
      <c r="B44" s="279"/>
      <c r="C44" s="279"/>
      <c r="D44" s="278"/>
      <c r="E44" s="278"/>
      <c r="F44" s="277">
        <f>SUM(F43)</f>
        <v>350000</v>
      </c>
      <c r="G44" s="278"/>
      <c r="H44" s="276">
        <f>J44/F44*100</f>
        <v>101.25</v>
      </c>
      <c r="I44" s="277">
        <f>SUM(I43)</f>
        <v>354375</v>
      </c>
      <c r="J44" s="277">
        <f>SUM(J43)</f>
        <v>354375</v>
      </c>
      <c r="K44" s="277" t="e">
        <f ca="1">SUM(K43)</f>
        <v>#NAME?</v>
      </c>
      <c r="L44" s="276"/>
      <c r="M44" s="275"/>
      <c r="N44" s="274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s="273" customFormat="1" ht="13.5" customHeight="1" x14ac:dyDescent="0.2">
      <c r="B46" s="287" t="s">
        <v>769</v>
      </c>
      <c r="C46" s="286" t="s">
        <v>758</v>
      </c>
      <c r="D46" s="284" t="e">
        <f ca="1">_xll.BDP(C46,"SECURITY_NAME")</f>
        <v>#NAME?</v>
      </c>
      <c r="E46" s="284" t="s">
        <v>50</v>
      </c>
      <c r="F46" s="285">
        <v>800000</v>
      </c>
      <c r="G46" s="284" t="e">
        <f ca="1">_xll.BDP(C46,"CRNCY")</f>
        <v>#NAME?</v>
      </c>
      <c r="H46" s="281">
        <v>99</v>
      </c>
      <c r="I46" s="282">
        <f>F46*H46/100</f>
        <v>792000</v>
      </c>
      <c r="J46" s="283">
        <f>I46</f>
        <v>792000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41870</v>
      </c>
    </row>
    <row r="47" spans="2:14" s="273" customFormat="1" x14ac:dyDescent="0.2">
      <c r="B47" s="279"/>
      <c r="C47" s="279"/>
      <c r="D47" s="278"/>
      <c r="E47" s="278"/>
      <c r="F47" s="277">
        <f>SUM(F46)</f>
        <v>800000</v>
      </c>
      <c r="G47" s="278"/>
      <c r="H47" s="276">
        <f>J47/F47*100</f>
        <v>99</v>
      </c>
      <c r="I47" s="277">
        <f>SUM(I46:I46)</f>
        <v>792000</v>
      </c>
      <c r="J47" s="277">
        <f>SUM(J46:J46)</f>
        <v>792000</v>
      </c>
      <c r="K47" s="277" t="e">
        <f ca="1">SUM(K46:K46)</f>
        <v>#NAME?</v>
      </c>
      <c r="L47" s="276"/>
      <c r="M47" s="275"/>
      <c r="N47" s="274"/>
    </row>
    <row r="48" spans="2:14" x14ac:dyDescent="0.2">
      <c r="B48" s="167"/>
      <c r="C48" s="166"/>
      <c r="D48" s="165"/>
      <c r="E48" s="165"/>
      <c r="F48" s="96"/>
      <c r="G48" s="165"/>
      <c r="H48" s="97"/>
      <c r="I48" s="163"/>
      <c r="J48" s="164"/>
      <c r="K48" s="163"/>
      <c r="L48" s="162"/>
      <c r="M48" s="161"/>
      <c r="N48" s="157"/>
    </row>
    <row r="49" spans="2:14" x14ac:dyDescent="0.2">
      <c r="B49" s="287" t="s">
        <v>769</v>
      </c>
      <c r="C49" s="303" t="s">
        <v>453</v>
      </c>
      <c r="D49" s="284" t="e">
        <f ca="1">_xll.BDP(C49,"SECURITY_NAME")</f>
        <v>#NAME?</v>
      </c>
      <c r="E49" s="284" t="s">
        <v>50</v>
      </c>
      <c r="F49" s="285">
        <v>300000</v>
      </c>
      <c r="G49" s="284" t="e">
        <f ca="1">_xll.BDP(C49,"CRNCY")</f>
        <v>#NAME?</v>
      </c>
      <c r="H49" s="281">
        <v>103.375</v>
      </c>
      <c r="I49" s="282">
        <f>F49*H49/100</f>
        <v>310125</v>
      </c>
      <c r="J49" s="283">
        <f>I49</f>
        <v>310125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42593</v>
      </c>
    </row>
    <row r="50" spans="2:14" x14ac:dyDescent="0.2">
      <c r="B50" s="279"/>
      <c r="C50" s="303"/>
      <c r="D50" s="278"/>
      <c r="E50" s="278"/>
      <c r="F50" s="277">
        <f>SUM(F49)</f>
        <v>300000</v>
      </c>
      <c r="G50" s="278"/>
      <c r="H50" s="276">
        <f>J50/F50*100</f>
        <v>103.375</v>
      </c>
      <c r="I50" s="277">
        <f>SUM(I49)</f>
        <v>310125</v>
      </c>
      <c r="J50" s="277">
        <f>SUM(J49)</f>
        <v>310125</v>
      </c>
      <c r="K50" s="277" t="e">
        <f ca="1">SUM(K49)</f>
        <v>#NAME?</v>
      </c>
      <c r="L50" s="276"/>
      <c r="M50" s="275"/>
      <c r="N50" s="274"/>
    </row>
    <row r="52" spans="2:14" x14ac:dyDescent="0.2">
      <c r="B52" s="287" t="s">
        <v>769</v>
      </c>
      <c r="C52" s="303" t="s">
        <v>680</v>
      </c>
      <c r="D52" s="284" t="e">
        <f ca="1">_xll.BDP(C52,"SECURITY_NAME")</f>
        <v>#NAME?</v>
      </c>
      <c r="E52" s="284" t="s">
        <v>50</v>
      </c>
      <c r="F52" s="285">
        <v>800000</v>
      </c>
      <c r="G52" s="284" t="e">
        <f ca="1">_xll.BDP(C52,"CRNCY")</f>
        <v>#NAME?</v>
      </c>
      <c r="H52" s="281">
        <v>98.53</v>
      </c>
      <c r="I52" s="282">
        <f>F52*H52/100</f>
        <v>788240</v>
      </c>
      <c r="J52" s="283">
        <f>I52</f>
        <v>788240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41870</v>
      </c>
    </row>
    <row r="53" spans="2:14" x14ac:dyDescent="0.2">
      <c r="B53" s="279"/>
      <c r="C53" s="279"/>
      <c r="D53" s="278"/>
      <c r="E53" s="278"/>
      <c r="F53" s="277">
        <f>SUM(F52:F52)</f>
        <v>800000</v>
      </c>
      <c r="G53" s="278"/>
      <c r="H53" s="276">
        <f>J53/F53*100</f>
        <v>98.53</v>
      </c>
      <c r="I53" s="277">
        <f>SUM(I52:I52)</f>
        <v>788240</v>
      </c>
      <c r="J53" s="277">
        <f>SUM(J52:J52)</f>
        <v>788240</v>
      </c>
      <c r="K53" s="277" t="e">
        <f ca="1">SUM(K52:K52)</f>
        <v>#NAME?</v>
      </c>
      <c r="L53" s="276"/>
      <c r="M53" s="275"/>
      <c r="N53" s="274"/>
    </row>
    <row r="55" spans="2:14" x14ac:dyDescent="0.2">
      <c r="B55" s="287" t="s">
        <v>769</v>
      </c>
      <c r="C55" s="303" t="s">
        <v>762</v>
      </c>
      <c r="D55" s="284" t="e">
        <f ca="1">_xll.BDP(C55,"SECURITY_NAME")</f>
        <v>#NAME?</v>
      </c>
      <c r="E55" s="284" t="s">
        <v>50</v>
      </c>
      <c r="F55" s="285">
        <v>600000</v>
      </c>
      <c r="G55" s="284" t="e">
        <f ca="1">_xll.BDP(C55,"CRNCY")</f>
        <v>#NAME?</v>
      </c>
      <c r="H55" s="281">
        <v>105.98</v>
      </c>
      <c r="I55" s="282">
        <f>F55*H55/100</f>
        <v>635880</v>
      </c>
      <c r="J55" s="283">
        <f>I55</f>
        <v>635880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41877</v>
      </c>
    </row>
    <row r="56" spans="2:14" x14ac:dyDescent="0.2">
      <c r="B56" s="279"/>
      <c r="C56" s="303"/>
      <c r="D56" s="278"/>
      <c r="E56" s="278"/>
      <c r="F56" s="277">
        <f>SUM(F55)</f>
        <v>600000</v>
      </c>
      <c r="G56" s="278"/>
      <c r="H56" s="276">
        <f>J56/F56*100</f>
        <v>105.98</v>
      </c>
      <c r="I56" s="277">
        <f>SUM(I55)</f>
        <v>635880</v>
      </c>
      <c r="J56" s="277">
        <f>SUM(J55)</f>
        <v>635880</v>
      </c>
      <c r="K56" s="277" t="e">
        <f ca="1">SUM(K55)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769</v>
      </c>
      <c r="C58" s="303" t="s">
        <v>225</v>
      </c>
      <c r="D58" s="284" t="e">
        <f ca="1">_xll.BDP(C58,"SECURITY_NAME")</f>
        <v>#NAME?</v>
      </c>
      <c r="E58" s="284" t="s">
        <v>50</v>
      </c>
      <c r="F58" s="285">
        <v>660000</v>
      </c>
      <c r="G58" s="284" t="e">
        <f ca="1">_xll.BDP(C58,"CRNCY")</f>
        <v>#NAME?</v>
      </c>
      <c r="H58" s="281">
        <v>98.75</v>
      </c>
      <c r="I58" s="282">
        <f>F58*H58/100</f>
        <v>651750</v>
      </c>
      <c r="J58" s="283">
        <f>I58</f>
        <v>651750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42583</v>
      </c>
    </row>
    <row r="59" spans="2:14" x14ac:dyDescent="0.2">
      <c r="B59" s="279"/>
      <c r="C59" s="303"/>
      <c r="D59" s="278"/>
      <c r="E59" s="278"/>
      <c r="F59" s="277">
        <f>SUM(F58)</f>
        <v>660000</v>
      </c>
      <c r="G59" s="278"/>
      <c r="H59" s="276">
        <f>J59/F59*100</f>
        <v>98.75</v>
      </c>
      <c r="I59" s="277">
        <f>SUM(I58)</f>
        <v>651750</v>
      </c>
      <c r="J59" s="277">
        <f>SUM(J58)</f>
        <v>651750</v>
      </c>
      <c r="K59" s="277" t="e">
        <f ca="1">SUM(K58)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287" t="s">
        <v>769</v>
      </c>
      <c r="C61" s="303" t="s">
        <v>167</v>
      </c>
      <c r="D61" s="284" t="e">
        <f ca="1">_xll.BDP(C61,"SECURITY_NAME")</f>
        <v>#NAME?</v>
      </c>
      <c r="E61" s="284" t="s">
        <v>50</v>
      </c>
      <c r="F61" s="285">
        <v>300000</v>
      </c>
      <c r="G61" s="284" t="e">
        <f ca="1">_xll.BDP(C61,"CRNCY")</f>
        <v>#NAME?</v>
      </c>
      <c r="H61" s="281">
        <v>108.25</v>
      </c>
      <c r="I61" s="282">
        <f>F61*H61/100</f>
        <v>324750</v>
      </c>
      <c r="J61" s="283">
        <f>I61</f>
        <v>324750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42593</v>
      </c>
    </row>
    <row r="62" spans="2:14" x14ac:dyDescent="0.2">
      <c r="B62" s="279"/>
      <c r="C62" s="303"/>
      <c r="D62" s="278"/>
      <c r="E62" s="278"/>
      <c r="F62" s="277">
        <f>SUM(F61)</f>
        <v>300000</v>
      </c>
      <c r="G62" s="278"/>
      <c r="H62" s="276">
        <f>J62/F62*100</f>
        <v>108.25</v>
      </c>
      <c r="I62" s="277">
        <f>SUM(I61)</f>
        <v>324750</v>
      </c>
      <c r="J62" s="277">
        <f>SUM(J61)</f>
        <v>324750</v>
      </c>
      <c r="K62" s="277" t="e">
        <f ca="1">SUM(K61)</f>
        <v>#NAME?</v>
      </c>
      <c r="L62" s="276"/>
      <c r="M62" s="275"/>
      <c r="N62" s="274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287" t="s">
        <v>769</v>
      </c>
      <c r="C64" s="287" t="s">
        <v>18</v>
      </c>
      <c r="D64" s="284" t="e">
        <f ca="1">_xll.BDP(C64,"SECURITY_NAME")</f>
        <v>#NAME?</v>
      </c>
      <c r="E64" s="284" t="s">
        <v>50</v>
      </c>
      <c r="F64" s="285">
        <v>49000</v>
      </c>
      <c r="G64" s="284" t="e">
        <f ca="1">_xll.BDP(C64,"CRNCY")</f>
        <v>#NAME?</v>
      </c>
      <c r="H64" s="281">
        <v>262</v>
      </c>
      <c r="I64" s="282">
        <f>F64*H64</f>
        <v>12838000</v>
      </c>
      <c r="J64" s="283" t="e">
        <f ca="1">I64/L64</f>
        <v>#NAME?</v>
      </c>
      <c r="K64" s="282" t="e">
        <f ca="1">J64*L64</f>
        <v>#NAME?</v>
      </c>
      <c r="L64" s="281" t="e">
        <f ca="1">_xll.BDH("RUB curncy","PX_LAST",$N64)</f>
        <v>#NAME?</v>
      </c>
      <c r="M64" s="280" t="e">
        <f ca="1">1/_xll.BDH("RUB curncy","PX_LAST",$N64)</f>
        <v>#NAME?</v>
      </c>
      <c r="N64" s="274">
        <v>41954</v>
      </c>
    </row>
    <row r="65" spans="2:14" x14ac:dyDescent="0.2">
      <c r="B65" s="287" t="s">
        <v>769</v>
      </c>
      <c r="C65" s="287" t="s">
        <v>18</v>
      </c>
      <c r="D65" s="284" t="e">
        <f ca="1">_xll.BDP(C65,"SECURITY_NAME")</f>
        <v>#NAME?</v>
      </c>
      <c r="E65" s="284" t="s">
        <v>50</v>
      </c>
      <c r="F65" s="285">
        <v>49000</v>
      </c>
      <c r="G65" s="284" t="e">
        <f ca="1">_xll.BDP(C65,"CRNCY")</f>
        <v>#NAME?</v>
      </c>
      <c r="H65" s="281">
        <v>264</v>
      </c>
      <c r="I65" s="282">
        <f>F65*H65</f>
        <v>12936000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41954</v>
      </c>
    </row>
    <row r="66" spans="2:14" x14ac:dyDescent="0.2">
      <c r="B66" s="287" t="s">
        <v>769</v>
      </c>
      <c r="C66" s="287" t="s">
        <v>18</v>
      </c>
      <c r="D66" s="284" t="e">
        <f ca="1">_xll.BDP(C66,"SECURITY_NAME")</f>
        <v>#NAME?</v>
      </c>
      <c r="E66" s="284" t="s">
        <v>50</v>
      </c>
      <c r="F66" s="285">
        <v>250000</v>
      </c>
      <c r="G66" s="284" t="e">
        <f ca="1">_xll.BDP(C66,"CRNCY")</f>
        <v>#NAME?</v>
      </c>
      <c r="H66" s="281">
        <v>260</v>
      </c>
      <c r="I66" s="282">
        <f>F66*H66</f>
        <v>65000000</v>
      </c>
      <c r="J66" s="283" t="e">
        <f ca="1">I66/L66</f>
        <v>#NAME?</v>
      </c>
      <c r="K66" s="282" t="e">
        <f ca="1">J66*L66</f>
        <v>#NAME?</v>
      </c>
      <c r="L66" s="281" t="e">
        <f ca="1">_xll.BDH("RUB curncy","PX_LAST",$N66)</f>
        <v>#NAME?</v>
      </c>
      <c r="M66" s="280" t="e">
        <f ca="1">1/_xll.BDH("RUB curncy","PX_LAST",$N66)</f>
        <v>#NAME?</v>
      </c>
      <c r="N66" s="274">
        <v>41949</v>
      </c>
    </row>
    <row r="67" spans="2:14" x14ac:dyDescent="0.2">
      <c r="B67" s="287" t="s">
        <v>769</v>
      </c>
      <c r="C67" s="287" t="s">
        <v>18</v>
      </c>
      <c r="D67" s="284" t="e">
        <f ca="1">_xll.BDP(C67,"SECURITY_NAME")</f>
        <v>#NAME?</v>
      </c>
      <c r="E67" s="284" t="s">
        <v>50</v>
      </c>
      <c r="F67" s="285">
        <v>101000</v>
      </c>
      <c r="G67" s="284" t="e">
        <f ca="1">_xll.BDP(C67,"CRNCY")</f>
        <v>#NAME?</v>
      </c>
      <c r="H67" s="281">
        <v>257</v>
      </c>
      <c r="I67" s="282">
        <f>F67*H67</f>
        <v>25957000</v>
      </c>
      <c r="J67" s="283" t="e">
        <f ca="1">I67/L67</f>
        <v>#NAME?</v>
      </c>
      <c r="K67" s="282" t="e">
        <f ca="1">J67*L67</f>
        <v>#NAME?</v>
      </c>
      <c r="L67" s="281" t="e">
        <f ca="1">_xll.BDH("RUB curncy","PX_LAST",$N67)</f>
        <v>#NAME?</v>
      </c>
      <c r="M67" s="280" t="e">
        <f ca="1">1/_xll.BDH("RUB curncy","PX_LAST",$N67)</f>
        <v>#NAME?</v>
      </c>
      <c r="N67" s="274">
        <v>41948</v>
      </c>
    </row>
    <row r="68" spans="2:14" x14ac:dyDescent="0.2">
      <c r="B68" s="287" t="s">
        <v>769</v>
      </c>
      <c r="C68" s="287" t="s">
        <v>18</v>
      </c>
      <c r="D68" s="284" t="e">
        <f ca="1">_xll.BDP(C68,"SECURITY_NAME")</f>
        <v>#NAME?</v>
      </c>
      <c r="E68" s="284" t="s">
        <v>50</v>
      </c>
      <c r="F68" s="285">
        <v>51000</v>
      </c>
      <c r="G68" s="284" t="e">
        <f ca="1">_xll.BDP(C68,"CRNCY")</f>
        <v>#NAME?</v>
      </c>
      <c r="H68" s="281">
        <v>255</v>
      </c>
      <c r="I68" s="282">
        <f>F68*H68</f>
        <v>13005000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41948</v>
      </c>
    </row>
    <row r="69" spans="2:14" x14ac:dyDescent="0.2">
      <c r="B69" s="279"/>
      <c r="C69" s="279"/>
      <c r="D69" s="278"/>
      <c r="E69" s="278"/>
      <c r="F69" s="277">
        <f>SUM(F64:F68)</f>
        <v>500000</v>
      </c>
      <c r="G69" s="278"/>
      <c r="H69" s="276">
        <f>I69/F69</f>
        <v>259.47199999999998</v>
      </c>
      <c r="I69" s="277">
        <f>SUM(I64:I68)</f>
        <v>129736000</v>
      </c>
      <c r="J69" s="277" t="e">
        <f ca="1">SUM(J64:J68)</f>
        <v>#NAME?</v>
      </c>
      <c r="K69" s="277" t="e">
        <f ca="1">SUM(K64:K68)</f>
        <v>#NAME?</v>
      </c>
      <c r="L69" s="276"/>
      <c r="M69" s="275"/>
      <c r="N69" s="274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287" t="s">
        <v>769</v>
      </c>
      <c r="C71" s="287" t="s">
        <v>21</v>
      </c>
      <c r="D71" s="284" t="e">
        <f ca="1">_xll.BDP(C71,"SECURITY_NAME")</f>
        <v>#NAME?</v>
      </c>
      <c r="E71" s="284" t="s">
        <v>50</v>
      </c>
      <c r="F71" s="285">
        <v>7800</v>
      </c>
      <c r="G71" s="284" t="e">
        <f ca="1">_xll.BDP(C71,"CRNCY")</f>
        <v>#NAME?</v>
      </c>
      <c r="H71" s="281">
        <v>211</v>
      </c>
      <c r="I71" s="282">
        <f t="shared" ref="I71:I77" si="8">F71*H71</f>
        <v>1645800</v>
      </c>
      <c r="J71" s="283" t="e">
        <f t="shared" ref="J71:J77" ca="1" si="9">I71/L71</f>
        <v>#NAME?</v>
      </c>
      <c r="K71" s="282" t="e">
        <f t="shared" ref="K71:K77" ca="1" si="10">J71*L71</f>
        <v>#NAME?</v>
      </c>
      <c r="L71" s="281" t="e">
        <f ca="1">_xll.BDH("RUB curncy","PX_LAST",$N71)</f>
        <v>#NAME?</v>
      </c>
      <c r="M71" s="280" t="e">
        <f ca="1">1/_xll.BDH("RUB curncy","PX_LAST",$N71)</f>
        <v>#NAME?</v>
      </c>
      <c r="N71" s="274">
        <v>41954</v>
      </c>
    </row>
    <row r="72" spans="2:14" x14ac:dyDescent="0.2">
      <c r="B72" s="287" t="s">
        <v>769</v>
      </c>
      <c r="C72" s="287" t="s">
        <v>21</v>
      </c>
      <c r="D72" s="284" t="e">
        <f ca="1">_xll.BDP(C72,"SECURITY_NAME")</f>
        <v>#NAME?</v>
      </c>
      <c r="E72" s="284" t="s">
        <v>50</v>
      </c>
      <c r="F72" s="285">
        <v>27140</v>
      </c>
      <c r="G72" s="284" t="e">
        <f ca="1">_xll.BDP(C72,"CRNCY")</f>
        <v>#NAME?</v>
      </c>
      <c r="H72" s="281">
        <v>214</v>
      </c>
      <c r="I72" s="282">
        <f t="shared" si="8"/>
        <v>5807960</v>
      </c>
      <c r="J72" s="283" t="e">
        <f t="shared" ca="1" si="9"/>
        <v>#NAME?</v>
      </c>
      <c r="K72" s="282" t="e">
        <f t="shared" ca="1" si="10"/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41954</v>
      </c>
    </row>
    <row r="73" spans="2:14" x14ac:dyDescent="0.2">
      <c r="B73" s="287" t="s">
        <v>769</v>
      </c>
      <c r="C73" s="287" t="s">
        <v>21</v>
      </c>
      <c r="D73" s="284" t="e">
        <f ca="1">_xll.BDP(C73,"SECURITY_NAME")</f>
        <v>#NAME?</v>
      </c>
      <c r="E73" s="284" t="s">
        <v>50</v>
      </c>
      <c r="F73" s="285">
        <v>23300</v>
      </c>
      <c r="G73" s="284" t="e">
        <f ca="1">_xll.BDP(C73,"CRNCY")</f>
        <v>#NAME?</v>
      </c>
      <c r="H73" s="281">
        <v>214</v>
      </c>
      <c r="I73" s="282">
        <f t="shared" si="8"/>
        <v>4986200</v>
      </c>
      <c r="J73" s="283" t="e">
        <f t="shared" ca="1" si="9"/>
        <v>#NAME?</v>
      </c>
      <c r="K73" s="282" t="e">
        <f t="shared" ca="1" si="10"/>
        <v>#NAME?</v>
      </c>
      <c r="L73" s="281" t="e">
        <f ca="1">_xll.BDH("RUB curncy","PX_LAST",$N73)</f>
        <v>#NAME?</v>
      </c>
      <c r="M73" s="280" t="e">
        <f ca="1">1/_xll.BDH("RUB curncy","PX_LAST",$N73)</f>
        <v>#NAME?</v>
      </c>
      <c r="N73" s="274">
        <v>41954</v>
      </c>
    </row>
    <row r="74" spans="2:14" x14ac:dyDescent="0.2">
      <c r="B74" s="287" t="s">
        <v>769</v>
      </c>
      <c r="C74" s="287" t="s">
        <v>21</v>
      </c>
      <c r="D74" s="284" t="e">
        <f ca="1">_xll.BDP(C74,"SECURITY_NAME")</f>
        <v>#NAME?</v>
      </c>
      <c r="E74" s="284" t="s">
        <v>50</v>
      </c>
      <c r="F74" s="285">
        <v>19280</v>
      </c>
      <c r="G74" s="284" t="e">
        <f ca="1">_xll.BDP(C74,"CRNCY")</f>
        <v>#NAME?</v>
      </c>
      <c r="H74" s="281">
        <v>210</v>
      </c>
      <c r="I74" s="282">
        <f t="shared" si="8"/>
        <v>4048800</v>
      </c>
      <c r="J74" s="283" t="e">
        <f t="shared" ca="1" si="9"/>
        <v>#NAME?</v>
      </c>
      <c r="K74" s="282" t="e">
        <f t="shared" ca="1" si="10"/>
        <v>#NAME?</v>
      </c>
      <c r="L74" s="281" t="e">
        <f ca="1">_xll.BDH("RUB curncy","PX_LAST",$N74)</f>
        <v>#NAME?</v>
      </c>
      <c r="M74" s="280" t="e">
        <f ca="1">1/_xll.BDH("RUB curncy","PX_LAST",$N74)</f>
        <v>#NAME?</v>
      </c>
      <c r="N74" s="274">
        <v>41953</v>
      </c>
    </row>
    <row r="75" spans="2:14" x14ac:dyDescent="0.2">
      <c r="B75" s="287" t="s">
        <v>769</v>
      </c>
      <c r="C75" s="287" t="s">
        <v>21</v>
      </c>
      <c r="D75" s="284" t="e">
        <f ca="1">_xll.BDP(C75,"SECURITY_NAME")</f>
        <v>#NAME?</v>
      </c>
      <c r="E75" s="284" t="s">
        <v>50</v>
      </c>
      <c r="F75" s="285">
        <v>23500</v>
      </c>
      <c r="G75" s="284" t="e">
        <f ca="1">_xll.BDP(C75,"CRNCY")</f>
        <v>#NAME?</v>
      </c>
      <c r="H75" s="281">
        <v>212</v>
      </c>
      <c r="I75" s="282">
        <f t="shared" si="8"/>
        <v>4982000</v>
      </c>
      <c r="J75" s="283" t="e">
        <f t="shared" ca="1" si="9"/>
        <v>#NAME?</v>
      </c>
      <c r="K75" s="282" t="e">
        <f t="shared" ca="1" si="10"/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41953</v>
      </c>
    </row>
    <row r="76" spans="2:14" x14ac:dyDescent="0.2">
      <c r="B76" s="287" t="s">
        <v>769</v>
      </c>
      <c r="C76" s="287" t="s">
        <v>21</v>
      </c>
      <c r="D76" s="284" t="e">
        <f ca="1">_xll.BDP(C76,"SECURITY_NAME")</f>
        <v>#NAME?</v>
      </c>
      <c r="E76" s="284" t="s">
        <v>50</v>
      </c>
      <c r="F76" s="285">
        <v>550</v>
      </c>
      <c r="G76" s="284" t="e">
        <f ca="1">_xll.BDP(C76,"CRNCY")</f>
        <v>#NAME?</v>
      </c>
      <c r="H76" s="281">
        <v>210</v>
      </c>
      <c r="I76" s="282">
        <f t="shared" si="8"/>
        <v>115500</v>
      </c>
      <c r="J76" s="283" t="e">
        <f t="shared" ca="1" si="9"/>
        <v>#NAME?</v>
      </c>
      <c r="K76" s="282" t="e">
        <f t="shared" ca="1" si="10"/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41950</v>
      </c>
    </row>
    <row r="77" spans="2:14" x14ac:dyDescent="0.2">
      <c r="B77" s="287" t="s">
        <v>769</v>
      </c>
      <c r="C77" s="287" t="s">
        <v>21</v>
      </c>
      <c r="D77" s="284" t="e">
        <f ca="1">_xll.BDP(C77,"SECURITY_NAME")</f>
        <v>#NAME?</v>
      </c>
      <c r="E77" s="284" t="s">
        <v>50</v>
      </c>
      <c r="F77" s="285">
        <v>46520</v>
      </c>
      <c r="G77" s="284" t="e">
        <f ca="1">_xll.BDP(C77,"CRNCY")</f>
        <v>#NAME?</v>
      </c>
      <c r="H77" s="281">
        <v>216</v>
      </c>
      <c r="I77" s="282">
        <f t="shared" si="8"/>
        <v>10048320</v>
      </c>
      <c r="J77" s="283" t="e">
        <f t="shared" ca="1" si="9"/>
        <v>#NAME?</v>
      </c>
      <c r="K77" s="282" t="e">
        <f t="shared" ca="1" si="10"/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41949</v>
      </c>
    </row>
    <row r="78" spans="2:14" x14ac:dyDescent="0.2">
      <c r="B78" s="279"/>
      <c r="C78" s="279"/>
      <c r="D78" s="278"/>
      <c r="E78" s="278"/>
      <c r="F78" s="277">
        <f>SUM(F71:F77)</f>
        <v>148090</v>
      </c>
      <c r="G78" s="278"/>
      <c r="H78" s="276">
        <f>I78/F78</f>
        <v>213.61725977446147</v>
      </c>
      <c r="I78" s="277">
        <f>SUM(I71:I77)</f>
        <v>31634580</v>
      </c>
      <c r="J78" s="277" t="e">
        <f ca="1">SUM(J71:J77)</f>
        <v>#NAME?</v>
      </c>
      <c r="K78" s="277" t="e">
        <f ca="1">SUM(K71:K77)</f>
        <v>#NAME?</v>
      </c>
      <c r="L78" s="276"/>
      <c r="M78" s="275"/>
      <c r="N78" s="274"/>
    </row>
    <row r="79" spans="2:14" x14ac:dyDescent="0.2">
      <c r="B79" s="160"/>
      <c r="C79" s="159"/>
      <c r="D79" s="87"/>
      <c r="E79" s="87"/>
      <c r="F79" s="79"/>
      <c r="G79" s="87"/>
      <c r="H79" s="100"/>
      <c r="I79" s="79"/>
      <c r="J79" s="79"/>
      <c r="K79" s="79"/>
      <c r="L79" s="88"/>
      <c r="M79" s="158"/>
      <c r="N79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F85" s="79"/>
      <c r="H85" s="80"/>
      <c r="I85" s="79"/>
      <c r="J85" s="79"/>
      <c r="K85" s="79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G89" s="79"/>
      <c r="H89" s="80"/>
      <c r="I89" s="79"/>
      <c r="J89" s="79"/>
      <c r="K89" s="79"/>
    </row>
    <row r="90" spans="2:14" x14ac:dyDescent="0.2">
      <c r="G90" s="79"/>
      <c r="H90" s="80"/>
      <c r="I90" s="79"/>
      <c r="J90" s="79"/>
      <c r="K90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79"/>
      <c r="I94" s="79"/>
      <c r="J94" s="79"/>
      <c r="K94" s="79"/>
      <c r="L94" s="88"/>
      <c r="M94" s="158"/>
      <c r="N94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80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80"/>
      <c r="I108" s="79"/>
      <c r="J108" s="79"/>
      <c r="K108" s="79"/>
      <c r="L108" s="88"/>
      <c r="M108" s="158"/>
      <c r="N108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80"/>
      <c r="I114" s="79"/>
      <c r="J114" s="79"/>
      <c r="K114" s="79"/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80"/>
      <c r="I124" s="79"/>
      <c r="J124" s="79"/>
      <c r="K124" s="79"/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80"/>
      <c r="I125" s="79"/>
      <c r="J125" s="79"/>
      <c r="K125" s="79"/>
      <c r="L125" s="88"/>
      <c r="M125" s="158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F150" s="79"/>
      <c r="H150" s="88"/>
      <c r="I150" s="79"/>
      <c r="J150" s="79"/>
      <c r="K150" s="79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73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73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8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168"/>
      <c r="J173" s="169"/>
      <c r="K173" s="168"/>
      <c r="L173" s="88"/>
      <c r="M173" s="158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73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168"/>
      <c r="J189" s="169"/>
      <c r="K189" s="168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73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73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168"/>
      <c r="J207" s="169"/>
      <c r="K207" s="168"/>
      <c r="L207" s="88"/>
      <c r="M207" s="173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91"/>
      <c r="I208" s="79"/>
      <c r="J208" s="79"/>
      <c r="K208" s="79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91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172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93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2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1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2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0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170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5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168"/>
      <c r="J228" s="169"/>
      <c r="K228" s="168"/>
      <c r="L228" s="88"/>
      <c r="M228" s="158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96"/>
      <c r="J244" s="96"/>
      <c r="K244" s="96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96"/>
      <c r="J245" s="96"/>
      <c r="K245" s="96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59"/>
      <c r="D265" s="87"/>
      <c r="E265" s="87"/>
      <c r="F265" s="79"/>
      <c r="G265" s="87"/>
      <c r="H265" s="80"/>
      <c r="I265" s="79"/>
      <c r="J265" s="79"/>
      <c r="K265" s="79"/>
      <c r="L265" s="88"/>
      <c r="M265" s="158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168"/>
      <c r="J285" s="169"/>
      <c r="K285" s="168"/>
      <c r="L285" s="88"/>
      <c r="M285" s="158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168"/>
      <c r="J294" s="169"/>
      <c r="K294" s="168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168"/>
      <c r="J299" s="169"/>
      <c r="K299" s="168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56"/>
      <c r="C305" s="156"/>
      <c r="D305" s="156"/>
      <c r="E305" s="102"/>
      <c r="F305" s="102"/>
      <c r="G305" s="156"/>
      <c r="H305" s="156"/>
      <c r="I305" s="156"/>
      <c r="J305" s="156"/>
      <c r="K305" s="156"/>
      <c r="L305" s="102"/>
      <c r="M305" s="156"/>
      <c r="N305" s="156"/>
    </row>
    <row r="306" spans="2:14" x14ac:dyDescent="0.2">
      <c r="H306" s="151"/>
    </row>
    <row r="307" spans="2:14" x14ac:dyDescent="0.2">
      <c r="H307" s="151"/>
    </row>
    <row r="309" spans="2:14" x14ac:dyDescent="0.2">
      <c r="H309" s="151"/>
    </row>
    <row r="310" spans="2:14" x14ac:dyDescent="0.2">
      <c r="H310" s="151"/>
    </row>
    <row r="311" spans="2:14" x14ac:dyDescent="0.2">
      <c r="L311" s="155"/>
    </row>
    <row r="312" spans="2:14" x14ac:dyDescent="0.2">
      <c r="L312" s="155"/>
    </row>
    <row r="313" spans="2:14" x14ac:dyDescent="0.2">
      <c r="L313" s="154"/>
    </row>
    <row r="315" spans="2:14" x14ac:dyDescent="0.2">
      <c r="L315" s="153"/>
    </row>
    <row r="319" spans="2:14" x14ac:dyDescent="0.2">
      <c r="E319" s="32"/>
      <c r="F319" s="32"/>
      <c r="G319" s="151"/>
      <c r="L319" s="32"/>
    </row>
    <row r="320" spans="2:14" x14ac:dyDescent="0.2">
      <c r="E320" s="32"/>
      <c r="F320" s="32"/>
      <c r="G320" s="152"/>
      <c r="L320" s="32"/>
    </row>
    <row r="323" spans="5:12" x14ac:dyDescent="0.2">
      <c r="E323" s="32"/>
      <c r="F323" s="32"/>
      <c r="G323" s="151"/>
      <c r="L323" s="32"/>
    </row>
  </sheetData>
  <conditionalFormatting sqref="E154:E155 E202:E203 E195 E185:E186 E157:E158 E198:E199 E206:E208 D22">
    <cfRule type="containsText" dxfId="9675" priority="1009" operator="containsText" text="Buy">
      <formula>NOT(ISERROR(SEARCH("Buy",D22)))</formula>
    </cfRule>
    <cfRule type="containsText" dxfId="9674" priority="1010" operator="containsText" text="Sell">
      <formula>NOT(ISERROR(SEARCH("Sell",D22)))</formula>
    </cfRule>
  </conditionalFormatting>
  <conditionalFormatting sqref="E227:E228 E217:E218 E222">
    <cfRule type="containsText" dxfId="9673" priority="1007" operator="containsText" text="Buy">
      <formula>NOT(ISERROR(SEARCH("Buy",E217)))</formula>
    </cfRule>
    <cfRule type="containsText" dxfId="9672" priority="1008" operator="containsText" text="Sell">
      <formula>NOT(ISERROR(SEARCH("Sell",E217)))</formula>
    </cfRule>
  </conditionalFormatting>
  <conditionalFormatting sqref="E243:E245 E302 E299 E294 E288 E285 E282 E279 E272 E268 E262 E252">
    <cfRule type="containsText" dxfId="9671" priority="1005" operator="containsText" text="Buy">
      <formula>NOT(ISERROR(SEARCH("Buy",E243)))</formula>
    </cfRule>
    <cfRule type="containsText" dxfId="9670" priority="1006" operator="containsText" text="Sell">
      <formula>NOT(ISERROR(SEARCH("Sell",E243)))</formula>
    </cfRule>
  </conditionalFormatting>
  <conditionalFormatting sqref="E242">
    <cfRule type="containsText" dxfId="9669" priority="1003" operator="containsText" text="Buy">
      <formula>NOT(ISERROR(SEARCH("Buy",E242)))</formula>
    </cfRule>
    <cfRule type="containsText" dxfId="9668" priority="1004" operator="containsText" text="Sell">
      <formula>NOT(ISERROR(SEARCH("Sell",E242)))</formula>
    </cfRule>
  </conditionalFormatting>
  <conditionalFormatting sqref="E241">
    <cfRule type="containsText" dxfId="9667" priority="1001" operator="containsText" text="Buy">
      <formula>NOT(ISERROR(SEARCH("Buy",E241)))</formula>
    </cfRule>
    <cfRule type="containsText" dxfId="9666" priority="1002" operator="containsText" text="Sell">
      <formula>NOT(ISERROR(SEARCH("Sell",E241)))</formula>
    </cfRule>
  </conditionalFormatting>
  <conditionalFormatting sqref="E240">
    <cfRule type="containsText" dxfId="9665" priority="999" operator="containsText" text="Buy">
      <formula>NOT(ISERROR(SEARCH("Buy",E240)))</formula>
    </cfRule>
    <cfRule type="containsText" dxfId="9664" priority="1000" operator="containsText" text="Sell">
      <formula>NOT(ISERROR(SEARCH("Sell",E240)))</formula>
    </cfRule>
  </conditionalFormatting>
  <conditionalFormatting sqref="E153">
    <cfRule type="containsText" dxfId="9663" priority="997" operator="containsText" text="Buy">
      <formula>NOT(ISERROR(SEARCH("Buy",E153)))</formula>
    </cfRule>
    <cfRule type="containsText" dxfId="9662" priority="998" operator="containsText" text="Sell">
      <formula>NOT(ISERROR(SEARCH("Sell",E153)))</formula>
    </cfRule>
  </conditionalFormatting>
  <conditionalFormatting sqref="E152">
    <cfRule type="containsText" dxfId="9661" priority="995" operator="containsText" text="Buy">
      <formula>NOT(ISERROR(SEARCH("Buy",E152)))</formula>
    </cfRule>
    <cfRule type="containsText" dxfId="9660" priority="996" operator="containsText" text="Sell">
      <formula>NOT(ISERROR(SEARCH("Sell",E152)))</formula>
    </cfRule>
  </conditionalFormatting>
  <conditionalFormatting sqref="E201">
    <cfRule type="containsText" dxfId="9659" priority="993" operator="containsText" text="Buy">
      <formula>NOT(ISERROR(SEARCH("Buy",E201)))</formula>
    </cfRule>
    <cfRule type="containsText" dxfId="9658" priority="994" operator="containsText" text="Sell">
      <formula>NOT(ISERROR(SEARCH("Sell",E201)))</formula>
    </cfRule>
  </conditionalFormatting>
  <conditionalFormatting sqref="E200">
    <cfRule type="containsText" dxfId="9657" priority="991" operator="containsText" text="Buy">
      <formula>NOT(ISERROR(SEARCH("Buy",E200)))</formula>
    </cfRule>
    <cfRule type="containsText" dxfId="9656" priority="992" operator="containsText" text="Sell">
      <formula>NOT(ISERROR(SEARCH("Sell",E200)))</formula>
    </cfRule>
  </conditionalFormatting>
  <conditionalFormatting sqref="E187:E189">
    <cfRule type="containsText" dxfId="9655" priority="989" operator="containsText" text="Buy">
      <formula>NOT(ISERROR(SEARCH("Buy",E187)))</formula>
    </cfRule>
    <cfRule type="containsText" dxfId="9654" priority="990" operator="containsText" text="Sell">
      <formula>NOT(ISERROR(SEARCH("Sell",E187)))</formula>
    </cfRule>
  </conditionalFormatting>
  <conditionalFormatting sqref="E184">
    <cfRule type="containsText" dxfId="9653" priority="987" operator="containsText" text="Buy">
      <formula>NOT(ISERROR(SEARCH("Buy",E184)))</formula>
    </cfRule>
    <cfRule type="containsText" dxfId="9652" priority="988" operator="containsText" text="Sell">
      <formula>NOT(ISERROR(SEARCH("Sell",E184)))</formula>
    </cfRule>
  </conditionalFormatting>
  <conditionalFormatting sqref="E183">
    <cfRule type="containsText" dxfId="9651" priority="985" operator="containsText" text="Buy">
      <formula>NOT(ISERROR(SEARCH("Buy",E183)))</formula>
    </cfRule>
    <cfRule type="containsText" dxfId="9650" priority="986" operator="containsText" text="Sell">
      <formula>NOT(ISERROR(SEARCH("Sell",E183)))</formula>
    </cfRule>
  </conditionalFormatting>
  <conditionalFormatting sqref="E182">
    <cfRule type="containsText" dxfId="9649" priority="983" operator="containsText" text="Buy">
      <formula>NOT(ISERROR(SEARCH("Buy",E182)))</formula>
    </cfRule>
    <cfRule type="containsText" dxfId="9648" priority="984" operator="containsText" text="Sell">
      <formula>NOT(ISERROR(SEARCH("Sell",E182)))</formula>
    </cfRule>
  </conditionalFormatting>
  <conditionalFormatting sqref="E181">
    <cfRule type="containsText" dxfId="9647" priority="981" operator="containsText" text="Buy">
      <formula>NOT(ISERROR(SEARCH("Buy",E181)))</formula>
    </cfRule>
    <cfRule type="containsText" dxfId="9646" priority="982" operator="containsText" text="Sell">
      <formula>NOT(ISERROR(SEARCH("Sell",E181)))</formula>
    </cfRule>
  </conditionalFormatting>
  <conditionalFormatting sqref="E180">
    <cfRule type="containsText" dxfId="9645" priority="979" operator="containsText" text="Buy">
      <formula>NOT(ISERROR(SEARCH("Buy",E180)))</formula>
    </cfRule>
    <cfRule type="containsText" dxfId="9644" priority="980" operator="containsText" text="Sell">
      <formula>NOT(ISERROR(SEARCH("Sell",E180)))</formula>
    </cfRule>
  </conditionalFormatting>
  <conditionalFormatting sqref="E179">
    <cfRule type="containsText" dxfId="9643" priority="977" operator="containsText" text="Buy">
      <formula>NOT(ISERROR(SEARCH("Buy",E179)))</formula>
    </cfRule>
    <cfRule type="containsText" dxfId="9642" priority="978" operator="containsText" text="Sell">
      <formula>NOT(ISERROR(SEARCH("Sell",E179)))</formula>
    </cfRule>
  </conditionalFormatting>
  <conditionalFormatting sqref="E178">
    <cfRule type="containsText" dxfId="9641" priority="975" operator="containsText" text="Buy">
      <formula>NOT(ISERROR(SEARCH("Buy",E178)))</formula>
    </cfRule>
    <cfRule type="containsText" dxfId="9640" priority="976" operator="containsText" text="Sell">
      <formula>NOT(ISERROR(SEARCH("Sell",E178)))</formula>
    </cfRule>
  </conditionalFormatting>
  <conditionalFormatting sqref="E171:E173">
    <cfRule type="containsText" dxfId="9639" priority="973" operator="containsText" text="Buy">
      <formula>NOT(ISERROR(SEARCH("Buy",E171)))</formula>
    </cfRule>
    <cfRule type="containsText" dxfId="9638" priority="974" operator="containsText" text="Sell">
      <formula>NOT(ISERROR(SEARCH("Sell",E171)))</formula>
    </cfRule>
  </conditionalFormatting>
  <conditionalFormatting sqref="E170">
    <cfRule type="containsText" dxfId="9637" priority="971" operator="containsText" text="Buy">
      <formula>NOT(ISERROR(SEARCH("Buy",E170)))</formula>
    </cfRule>
    <cfRule type="containsText" dxfId="9636" priority="972" operator="containsText" text="Sell">
      <formula>NOT(ISERROR(SEARCH("Sell",E170)))</formula>
    </cfRule>
  </conditionalFormatting>
  <conditionalFormatting sqref="E169">
    <cfRule type="containsText" dxfId="9635" priority="969" operator="containsText" text="Buy">
      <formula>NOT(ISERROR(SEARCH("Buy",E169)))</formula>
    </cfRule>
    <cfRule type="containsText" dxfId="9634" priority="970" operator="containsText" text="Sell">
      <formula>NOT(ISERROR(SEARCH("Sell",E169)))</formula>
    </cfRule>
  </conditionalFormatting>
  <conditionalFormatting sqref="E168">
    <cfRule type="containsText" dxfId="9633" priority="967" operator="containsText" text="Buy">
      <formula>NOT(ISERROR(SEARCH("Buy",E168)))</formula>
    </cfRule>
    <cfRule type="containsText" dxfId="9632" priority="968" operator="containsText" text="Sell">
      <formula>NOT(ISERROR(SEARCH("Sell",E168)))</formula>
    </cfRule>
  </conditionalFormatting>
  <conditionalFormatting sqref="E167">
    <cfRule type="containsText" dxfId="9631" priority="965" operator="containsText" text="Buy">
      <formula>NOT(ISERROR(SEARCH("Buy",E167)))</formula>
    </cfRule>
    <cfRule type="containsText" dxfId="9630" priority="966" operator="containsText" text="Sell">
      <formula>NOT(ISERROR(SEARCH("Sell",E167)))</formula>
    </cfRule>
  </conditionalFormatting>
  <conditionalFormatting sqref="E166">
    <cfRule type="containsText" dxfId="9629" priority="963" operator="containsText" text="Buy">
      <formula>NOT(ISERROR(SEARCH("Buy",E166)))</formula>
    </cfRule>
    <cfRule type="containsText" dxfId="9628" priority="964" operator="containsText" text="Sell">
      <formula>NOT(ISERROR(SEARCH("Sell",E166)))</formula>
    </cfRule>
  </conditionalFormatting>
  <conditionalFormatting sqref="E165">
    <cfRule type="containsText" dxfId="9627" priority="961" operator="containsText" text="Buy">
      <formula>NOT(ISERROR(SEARCH("Buy",E165)))</formula>
    </cfRule>
    <cfRule type="containsText" dxfId="9626" priority="962" operator="containsText" text="Sell">
      <formula>NOT(ISERROR(SEARCH("Sell",E165)))</formula>
    </cfRule>
  </conditionalFormatting>
  <conditionalFormatting sqref="E164">
    <cfRule type="containsText" dxfId="9625" priority="959" operator="containsText" text="Buy">
      <formula>NOT(ISERROR(SEARCH("Buy",E164)))</formula>
    </cfRule>
    <cfRule type="containsText" dxfId="9624" priority="960" operator="containsText" text="Sell">
      <formula>NOT(ISERROR(SEARCH("Sell",E164)))</formula>
    </cfRule>
  </conditionalFormatting>
  <conditionalFormatting sqref="E163">
    <cfRule type="containsText" dxfId="9623" priority="957" operator="containsText" text="Buy">
      <formula>NOT(ISERROR(SEARCH("Buy",E163)))</formula>
    </cfRule>
    <cfRule type="containsText" dxfId="9622" priority="958" operator="containsText" text="Sell">
      <formula>NOT(ISERROR(SEARCH("Sell",E163)))</formula>
    </cfRule>
  </conditionalFormatting>
  <conditionalFormatting sqref="E162">
    <cfRule type="containsText" dxfId="9621" priority="955" operator="containsText" text="Buy">
      <formula>NOT(ISERROR(SEARCH("Buy",E162)))</formula>
    </cfRule>
    <cfRule type="containsText" dxfId="9620" priority="956" operator="containsText" text="Sell">
      <formula>NOT(ISERROR(SEARCH("Sell",E162)))</formula>
    </cfRule>
  </conditionalFormatting>
  <conditionalFormatting sqref="E161">
    <cfRule type="containsText" dxfId="9619" priority="953" operator="containsText" text="Buy">
      <formula>NOT(ISERROR(SEARCH("Buy",E161)))</formula>
    </cfRule>
    <cfRule type="containsText" dxfId="9618" priority="954" operator="containsText" text="Sell">
      <formula>NOT(ISERROR(SEARCH("Sell",E161)))</formula>
    </cfRule>
  </conditionalFormatting>
  <conditionalFormatting sqref="E160">
    <cfRule type="containsText" dxfId="9617" priority="951" operator="containsText" text="Buy">
      <formula>NOT(ISERROR(SEARCH("Buy",E160)))</formula>
    </cfRule>
    <cfRule type="containsText" dxfId="9616" priority="952" operator="containsText" text="Sell">
      <formula>NOT(ISERROR(SEARCH("Sell",E160)))</formula>
    </cfRule>
  </conditionalFormatting>
  <conditionalFormatting sqref="E156">
    <cfRule type="containsText" dxfId="9615" priority="949" operator="containsText" text="Buy">
      <formula>NOT(ISERROR(SEARCH("Buy",E156)))</formula>
    </cfRule>
    <cfRule type="containsText" dxfId="9614" priority="950" operator="containsText" text="Sell">
      <formula>NOT(ISERROR(SEARCH("Sell",E156)))</formula>
    </cfRule>
  </conditionalFormatting>
  <conditionalFormatting sqref="E216">
    <cfRule type="containsText" dxfId="9613" priority="947" operator="containsText" text="Buy">
      <formula>NOT(ISERROR(SEARCH("Buy",E216)))</formula>
    </cfRule>
    <cfRule type="containsText" dxfId="9612" priority="948" operator="containsText" text="Sell">
      <formula>NOT(ISERROR(SEARCH("Sell",E216)))</formula>
    </cfRule>
  </conditionalFormatting>
  <conditionalFormatting sqref="E215 E212">
    <cfRule type="containsText" dxfId="9611" priority="945" operator="containsText" text="Buy">
      <formula>NOT(ISERROR(SEARCH("Buy",E212)))</formula>
    </cfRule>
    <cfRule type="containsText" dxfId="9610" priority="946" operator="containsText" text="Sell">
      <formula>NOT(ISERROR(SEARCH("Sell",E212)))</formula>
    </cfRule>
  </conditionalFormatting>
  <conditionalFormatting sqref="E221">
    <cfRule type="containsText" dxfId="9609" priority="943" operator="containsText" text="Buy">
      <formula>NOT(ISERROR(SEARCH("Buy",E221)))</formula>
    </cfRule>
    <cfRule type="containsText" dxfId="9608" priority="944" operator="containsText" text="Sell">
      <formula>NOT(ISERROR(SEARCH("Sell",E221)))</formula>
    </cfRule>
  </conditionalFormatting>
  <conditionalFormatting sqref="E303:E304">
    <cfRule type="containsText" dxfId="9607" priority="940" operator="containsText" text="Buy">
      <formula>NOT(ISERROR(SEARCH("Buy",E303)))</formula>
    </cfRule>
    <cfRule type="containsText" dxfId="9606" priority="941" operator="containsText" text="Sell">
      <formula>NOT(ISERROR(SEARCH("Sell",E303)))</formula>
    </cfRule>
  </conditionalFormatting>
  <conditionalFormatting sqref="E214">
    <cfRule type="containsText" dxfId="9605" priority="938" operator="containsText" text="Buy">
      <formula>NOT(ISERROR(SEARCH("Buy",E214)))</formula>
    </cfRule>
    <cfRule type="containsText" dxfId="9604" priority="939" operator="containsText" text="Sell">
      <formula>NOT(ISERROR(SEARCH("Sell",E214)))</formula>
    </cfRule>
  </conditionalFormatting>
  <conditionalFormatting sqref="E211">
    <cfRule type="containsText" dxfId="9603" priority="936" operator="containsText" text="Buy">
      <formula>NOT(ISERROR(SEARCH("Buy",E211)))</formula>
    </cfRule>
    <cfRule type="containsText" dxfId="9602" priority="937" operator="containsText" text="Sell">
      <formula>NOT(ISERROR(SEARCH("Sell",E211)))</formula>
    </cfRule>
  </conditionalFormatting>
  <conditionalFormatting sqref="E210">
    <cfRule type="containsText" dxfId="9601" priority="934" operator="containsText" text="Buy">
      <formula>NOT(ISERROR(SEARCH("Buy",E210)))</formula>
    </cfRule>
    <cfRule type="containsText" dxfId="9600" priority="935" operator="containsText" text="Sell">
      <formula>NOT(ISERROR(SEARCH("Sell",E210)))</formula>
    </cfRule>
  </conditionalFormatting>
  <conditionalFormatting sqref="E197">
    <cfRule type="containsText" dxfId="9599" priority="932" operator="containsText" text="Buy">
      <formula>NOT(ISERROR(SEARCH("Buy",E197)))</formula>
    </cfRule>
    <cfRule type="containsText" dxfId="9598" priority="933" operator="containsText" text="Sell">
      <formula>NOT(ISERROR(SEARCH("Sell",E197)))</formula>
    </cfRule>
  </conditionalFormatting>
  <conditionalFormatting sqref="E134:E137 E147 E144:E145">
    <cfRule type="containsText" dxfId="9597" priority="930" operator="containsText" text="Buy">
      <formula>NOT(ISERROR(SEARCH("Buy",E134)))</formula>
    </cfRule>
    <cfRule type="containsText" dxfId="9596" priority="931" operator="containsText" text="Sell">
      <formula>NOT(ISERROR(SEARCH("Sell",E134)))</formula>
    </cfRule>
  </conditionalFormatting>
  <conditionalFormatting sqref="E300:E301">
    <cfRule type="containsText" dxfId="9595" priority="928" operator="containsText" text="Buy">
      <formula>NOT(ISERROR(SEARCH("Buy",E300)))</formula>
    </cfRule>
    <cfRule type="containsText" dxfId="9594" priority="929" operator="containsText" text="Sell">
      <formula>NOT(ISERROR(SEARCH("Sell",E300)))</formula>
    </cfRule>
  </conditionalFormatting>
  <conditionalFormatting sqref="E297:E298">
    <cfRule type="containsText" dxfId="9593" priority="926" operator="containsText" text="Buy">
      <formula>NOT(ISERROR(SEARCH("Buy",E297)))</formula>
    </cfRule>
    <cfRule type="containsText" dxfId="9592" priority="927" operator="containsText" text="Sell">
      <formula>NOT(ISERROR(SEARCH("Sell",E297)))</formula>
    </cfRule>
  </conditionalFormatting>
  <conditionalFormatting sqref="E295:E296">
    <cfRule type="containsText" dxfId="9591" priority="924" operator="containsText" text="Buy">
      <formula>NOT(ISERROR(SEARCH("Buy",E295)))</formula>
    </cfRule>
    <cfRule type="containsText" dxfId="9590" priority="925" operator="containsText" text="Sell">
      <formula>NOT(ISERROR(SEARCH("Sell",E295)))</formula>
    </cfRule>
  </conditionalFormatting>
  <conditionalFormatting sqref="E292:E293">
    <cfRule type="containsText" dxfId="9589" priority="922" operator="containsText" text="Buy">
      <formula>NOT(ISERROR(SEARCH("Buy",E292)))</formula>
    </cfRule>
    <cfRule type="containsText" dxfId="9588" priority="923" operator="containsText" text="Sell">
      <formula>NOT(ISERROR(SEARCH("Sell",E292)))</formula>
    </cfRule>
  </conditionalFormatting>
  <conditionalFormatting sqref="E289:E291">
    <cfRule type="containsText" dxfId="9587" priority="920" operator="containsText" text="Buy">
      <formula>NOT(ISERROR(SEARCH("Buy",E289)))</formula>
    </cfRule>
    <cfRule type="containsText" dxfId="9586" priority="921" operator="containsText" text="Sell">
      <formula>NOT(ISERROR(SEARCH("Sell",E289)))</formula>
    </cfRule>
  </conditionalFormatting>
  <conditionalFormatting sqref="E286:E287">
    <cfRule type="containsText" dxfId="9585" priority="918" operator="containsText" text="Buy">
      <formula>NOT(ISERROR(SEARCH("Buy",E286)))</formula>
    </cfRule>
    <cfRule type="containsText" dxfId="9584" priority="919" operator="containsText" text="Sell">
      <formula>NOT(ISERROR(SEARCH("Sell",E286)))</formula>
    </cfRule>
  </conditionalFormatting>
  <conditionalFormatting sqref="E283:E284">
    <cfRule type="containsText" dxfId="9583" priority="916" operator="containsText" text="Buy">
      <formula>NOT(ISERROR(SEARCH("Buy",E283)))</formula>
    </cfRule>
    <cfRule type="containsText" dxfId="9582" priority="917" operator="containsText" text="Sell">
      <formula>NOT(ISERROR(SEARCH("Sell",E283)))</formula>
    </cfRule>
  </conditionalFormatting>
  <conditionalFormatting sqref="E280:E281">
    <cfRule type="containsText" dxfId="9581" priority="914" operator="containsText" text="Buy">
      <formula>NOT(ISERROR(SEARCH("Buy",E280)))</formula>
    </cfRule>
    <cfRule type="containsText" dxfId="9580" priority="915" operator="containsText" text="Sell">
      <formula>NOT(ISERROR(SEARCH("Sell",E280)))</formula>
    </cfRule>
  </conditionalFormatting>
  <conditionalFormatting sqref="E276">
    <cfRule type="containsText" dxfId="9579" priority="910" operator="containsText" text="Buy">
      <formula>NOT(ISERROR(SEARCH("Buy",E276)))</formula>
    </cfRule>
    <cfRule type="containsText" dxfId="9578" priority="911" operator="containsText" text="Sell">
      <formula>NOT(ISERROR(SEARCH("Sell",E276)))</formula>
    </cfRule>
  </conditionalFormatting>
  <conditionalFormatting sqref="E277:E278">
    <cfRule type="containsText" dxfId="9577" priority="912" operator="containsText" text="Buy">
      <formula>NOT(ISERROR(SEARCH("Buy",E277)))</formula>
    </cfRule>
    <cfRule type="containsText" dxfId="9576" priority="913" operator="containsText" text="Sell">
      <formula>NOT(ISERROR(SEARCH("Sell",E277)))</formula>
    </cfRule>
  </conditionalFormatting>
  <conditionalFormatting sqref="E270:E271">
    <cfRule type="containsText" dxfId="9575" priority="908" operator="containsText" text="Buy">
      <formula>NOT(ISERROR(SEARCH("Buy",E270)))</formula>
    </cfRule>
    <cfRule type="containsText" dxfId="9574" priority="909" operator="containsText" text="Sell">
      <formula>NOT(ISERROR(SEARCH("Sell",E270)))</formula>
    </cfRule>
  </conditionalFormatting>
  <conditionalFormatting sqref="E266:E267">
    <cfRule type="containsText" dxfId="9573" priority="906" operator="containsText" text="Buy">
      <formula>NOT(ISERROR(SEARCH("Buy",E266)))</formula>
    </cfRule>
    <cfRule type="containsText" dxfId="9572" priority="907" operator="containsText" text="Sell">
      <formula>NOT(ISERROR(SEARCH("Sell",E266)))</formula>
    </cfRule>
  </conditionalFormatting>
  <conditionalFormatting sqref="E131:E132">
    <cfRule type="containsText" dxfId="9571" priority="904" operator="containsText" text="Buy">
      <formula>NOT(ISERROR(SEARCH("Buy",E131)))</formula>
    </cfRule>
    <cfRule type="containsText" dxfId="9570" priority="905" operator="containsText" text="Sell">
      <formula>NOT(ISERROR(SEARCH("Sell",E131)))</formula>
    </cfRule>
  </conditionalFormatting>
  <conditionalFormatting sqref="E126:E127">
    <cfRule type="containsText" dxfId="9569" priority="902" operator="containsText" text="Buy">
      <formula>NOT(ISERROR(SEARCH("Buy",E126)))</formula>
    </cfRule>
    <cfRule type="containsText" dxfId="9568" priority="903" operator="containsText" text="Sell">
      <formula>NOT(ISERROR(SEARCH("Sell",E126)))</formula>
    </cfRule>
  </conditionalFormatting>
  <conditionalFormatting sqref="E143">
    <cfRule type="containsText" dxfId="9567" priority="900" operator="containsText" text="Buy">
      <formula>NOT(ISERROR(SEARCH("Buy",E143)))</formula>
    </cfRule>
    <cfRule type="containsText" dxfId="9566" priority="901" operator="containsText" text="Sell">
      <formula>NOT(ISERROR(SEARCH("Sell",E143)))</formula>
    </cfRule>
  </conditionalFormatting>
  <conditionalFormatting sqref="E142">
    <cfRule type="containsText" dxfId="9565" priority="898" operator="containsText" text="Buy">
      <formula>NOT(ISERROR(SEARCH("Buy",E142)))</formula>
    </cfRule>
    <cfRule type="containsText" dxfId="9564" priority="899" operator="containsText" text="Sell">
      <formula>NOT(ISERROR(SEARCH("Sell",E142)))</formula>
    </cfRule>
  </conditionalFormatting>
  <conditionalFormatting sqref="E138">
    <cfRule type="containsText" dxfId="9563" priority="896" operator="containsText" text="Buy">
      <formula>NOT(ISERROR(SEARCH("Buy",E138)))</formula>
    </cfRule>
    <cfRule type="containsText" dxfId="9562" priority="897" operator="containsText" text="Sell">
      <formula>NOT(ISERROR(SEARCH("Sell",E138)))</formula>
    </cfRule>
  </conditionalFormatting>
  <conditionalFormatting sqref="E263:E265">
    <cfRule type="containsText" dxfId="9561" priority="894" operator="containsText" text="Buy">
      <formula>NOT(ISERROR(SEARCH("Buy",E263)))</formula>
    </cfRule>
    <cfRule type="containsText" dxfId="9560" priority="895" operator="containsText" text="Sell">
      <formula>NOT(ISERROR(SEARCH("Sell",E263)))</formula>
    </cfRule>
  </conditionalFormatting>
  <conditionalFormatting sqref="E260:E261">
    <cfRule type="containsText" dxfId="9559" priority="892" operator="containsText" text="Buy">
      <formula>NOT(ISERROR(SEARCH("Buy",E260)))</formula>
    </cfRule>
    <cfRule type="containsText" dxfId="9558" priority="893" operator="containsText" text="Sell">
      <formula>NOT(ISERROR(SEARCH("Sell",E260)))</formula>
    </cfRule>
  </conditionalFormatting>
  <conditionalFormatting sqref="E254:E256">
    <cfRule type="containsText" dxfId="9557" priority="890" operator="containsText" text="Buy">
      <formula>NOT(ISERROR(SEARCH("Buy",E254)))</formula>
    </cfRule>
    <cfRule type="containsText" dxfId="9556" priority="891" operator="containsText" text="Sell">
      <formula>NOT(ISERROR(SEARCH("Sell",E254)))</formula>
    </cfRule>
  </conditionalFormatting>
  <conditionalFormatting sqref="E250:E251">
    <cfRule type="containsText" dxfId="9555" priority="888" operator="containsText" text="Buy">
      <formula>NOT(ISERROR(SEARCH("Buy",E250)))</formula>
    </cfRule>
    <cfRule type="containsText" dxfId="9554" priority="889" operator="containsText" text="Sell">
      <formula>NOT(ISERROR(SEARCH("Sell",E250)))</formula>
    </cfRule>
  </conditionalFormatting>
  <conditionalFormatting sqref="E259">
    <cfRule type="containsText" dxfId="9553" priority="886" operator="containsText" text="Buy">
      <formula>NOT(ISERROR(SEARCH("Buy",E259)))</formula>
    </cfRule>
    <cfRule type="containsText" dxfId="9552" priority="887" operator="containsText" text="Sell">
      <formula>NOT(ISERROR(SEARCH("Sell",E259)))</formula>
    </cfRule>
  </conditionalFormatting>
  <conditionalFormatting sqref="E239">
    <cfRule type="containsText" dxfId="9551" priority="884" operator="containsText" text="Buy">
      <formula>NOT(ISERROR(SEARCH("Buy",E239)))</formula>
    </cfRule>
    <cfRule type="containsText" dxfId="9550" priority="885" operator="containsText" text="Sell">
      <formula>NOT(ISERROR(SEARCH("Sell",E239)))</formula>
    </cfRule>
  </conditionalFormatting>
  <conditionalFormatting sqref="E238">
    <cfRule type="containsText" dxfId="9549" priority="882" operator="containsText" text="Buy">
      <formula>NOT(ISERROR(SEARCH("Buy",E238)))</formula>
    </cfRule>
    <cfRule type="containsText" dxfId="9548" priority="883" operator="containsText" text="Sell">
      <formula>NOT(ISERROR(SEARCH("Sell",E238)))</formula>
    </cfRule>
  </conditionalFormatting>
  <conditionalFormatting sqref="E237">
    <cfRule type="containsText" dxfId="9547" priority="880" operator="containsText" text="Buy">
      <formula>NOT(ISERROR(SEARCH("Buy",E237)))</formula>
    </cfRule>
    <cfRule type="containsText" dxfId="9546" priority="881" operator="containsText" text="Sell">
      <formula>NOT(ISERROR(SEARCH("Sell",E237)))</formula>
    </cfRule>
  </conditionalFormatting>
  <conditionalFormatting sqref="E194">
    <cfRule type="containsText" dxfId="9545" priority="876" operator="containsText" text="Buy">
      <formula>NOT(ISERROR(SEARCH("Buy",E194)))</formula>
    </cfRule>
    <cfRule type="containsText" dxfId="9544" priority="877" operator="containsText" text="Sell">
      <formula>NOT(ISERROR(SEARCH("Sell",E194)))</formula>
    </cfRule>
  </conditionalFormatting>
  <conditionalFormatting sqref="E213">
    <cfRule type="containsText" dxfId="9543" priority="874" operator="containsText" text="Buy">
      <formula>NOT(ISERROR(SEARCH("Buy",E213)))</formula>
    </cfRule>
    <cfRule type="containsText" dxfId="9542" priority="875" operator="containsText" text="Sell">
      <formula>NOT(ISERROR(SEARCH("Sell",E213)))</formula>
    </cfRule>
  </conditionalFormatting>
  <conditionalFormatting sqref="S5:W5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{E404EB11-0EE8-4C56-8FB6-F6E166A893CE}</x14:id>
        </ext>
      </extLst>
    </cfRule>
  </conditionalFormatting>
  <conditionalFormatting sqref="S5:W5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{26B76ED9-2F96-4EC2-9DF3-ABAA26D9A277}</x14:id>
        </ext>
      </extLst>
    </cfRule>
  </conditionalFormatting>
  <conditionalFormatting sqref="E107:E108">
    <cfRule type="containsText" dxfId="9541" priority="870" operator="containsText" text="Buy">
      <formula>NOT(ISERROR(SEARCH("Buy",E107)))</formula>
    </cfRule>
    <cfRule type="containsText" dxfId="9540" priority="871" operator="containsText" text="Sell">
      <formula>NOT(ISERROR(SEARCH("Sell",E107)))</formula>
    </cfRule>
  </conditionalFormatting>
  <conditionalFormatting sqref="E236">
    <cfRule type="containsText" dxfId="9539" priority="866" operator="containsText" text="Buy">
      <formula>NOT(ISERROR(SEARCH("Buy",E236)))</formula>
    </cfRule>
    <cfRule type="containsText" dxfId="9538" priority="867" operator="containsText" text="Sell">
      <formula>NOT(ISERROR(SEARCH("Sell",E236)))</formula>
    </cfRule>
  </conditionalFormatting>
  <conditionalFormatting sqref="E146">
    <cfRule type="containsText" dxfId="9537" priority="868" operator="containsText" text="Buy">
      <formula>NOT(ISERROR(SEARCH("Buy",E146)))</formula>
    </cfRule>
    <cfRule type="containsText" dxfId="9536" priority="869" operator="containsText" text="Sell">
      <formula>NOT(ISERROR(SEARCH("Sell",E146)))</formula>
    </cfRule>
  </conditionalFormatting>
  <conditionalFormatting sqref="E235">
    <cfRule type="containsText" dxfId="9535" priority="864" operator="containsText" text="Buy">
      <formula>NOT(ISERROR(SEARCH("Buy",E235)))</formula>
    </cfRule>
    <cfRule type="containsText" dxfId="9534" priority="865" operator="containsText" text="Sell">
      <formula>NOT(ISERROR(SEARCH("Sell",E235)))</formula>
    </cfRule>
  </conditionalFormatting>
  <conditionalFormatting sqref="E234">
    <cfRule type="containsText" dxfId="9533" priority="862" operator="containsText" text="Buy">
      <formula>NOT(ISERROR(SEARCH("Buy",E234)))</formula>
    </cfRule>
    <cfRule type="containsText" dxfId="9532" priority="863" operator="containsText" text="Sell">
      <formula>NOT(ISERROR(SEARCH("Sell",E234)))</formula>
    </cfRule>
  </conditionalFormatting>
  <conditionalFormatting sqref="E233">
    <cfRule type="containsText" dxfId="9531" priority="860" operator="containsText" text="Buy">
      <formula>NOT(ISERROR(SEARCH("Buy",E233)))</formula>
    </cfRule>
    <cfRule type="containsText" dxfId="9530" priority="861" operator="containsText" text="Sell">
      <formula>NOT(ISERROR(SEARCH("Sell",E233)))</formula>
    </cfRule>
  </conditionalFormatting>
  <conditionalFormatting sqref="E232">
    <cfRule type="containsText" dxfId="9529" priority="858" operator="containsText" text="Buy">
      <formula>NOT(ISERROR(SEARCH("Buy",E232)))</formula>
    </cfRule>
    <cfRule type="containsText" dxfId="9528" priority="859" operator="containsText" text="Sell">
      <formula>NOT(ISERROR(SEARCH("Sell",E232)))</formula>
    </cfRule>
  </conditionalFormatting>
  <conditionalFormatting sqref="E112:E114 E125">
    <cfRule type="containsText" dxfId="9527" priority="856" operator="containsText" text="Buy">
      <formula>NOT(ISERROR(SEARCH("Buy",E112)))</formula>
    </cfRule>
    <cfRule type="containsText" dxfId="9526" priority="857" operator="containsText" text="Sell">
      <formula>NOT(ISERROR(SEARCH("Sell",E112)))</formula>
    </cfRule>
  </conditionalFormatting>
  <conditionalFormatting sqref="E102:E103">
    <cfRule type="containsText" dxfId="9525" priority="854" operator="containsText" text="Buy">
      <formula>NOT(ISERROR(SEARCH("Buy",E102)))</formula>
    </cfRule>
    <cfRule type="containsText" dxfId="9524" priority="855" operator="containsText" text="Sell">
      <formula>NOT(ISERROR(SEARCH("Sell",E102)))</formula>
    </cfRule>
  </conditionalFormatting>
  <conditionalFormatting sqref="E96:E97">
    <cfRule type="containsText" dxfId="9523" priority="852" operator="containsText" text="Buy">
      <formula>NOT(ISERROR(SEARCH("Buy",E96)))</formula>
    </cfRule>
    <cfRule type="containsText" dxfId="9522" priority="853" operator="containsText" text="Sell">
      <formula>NOT(ISERROR(SEARCH("Sell",E96)))</formula>
    </cfRule>
  </conditionalFormatting>
  <conditionalFormatting sqref="E123:E124">
    <cfRule type="containsText" dxfId="9521" priority="850" operator="containsText" text="Buy">
      <formula>NOT(ISERROR(SEARCH("Buy",E123)))</formula>
    </cfRule>
    <cfRule type="containsText" dxfId="9520" priority="851" operator="containsText" text="Sell">
      <formula>NOT(ISERROR(SEARCH("Sell",E123)))</formula>
    </cfRule>
  </conditionalFormatting>
  <conditionalFormatting sqref="E122">
    <cfRule type="containsText" dxfId="9519" priority="848" operator="containsText" text="Buy">
      <formula>NOT(ISERROR(SEARCH("Buy",E122)))</formula>
    </cfRule>
    <cfRule type="containsText" dxfId="9518" priority="849" operator="containsText" text="Sell">
      <formula>NOT(ISERROR(SEARCH("Sell",E122)))</formula>
    </cfRule>
  </conditionalFormatting>
  <conditionalFormatting sqref="E205">
    <cfRule type="containsText" dxfId="9517" priority="846" operator="containsText" text="Buy">
      <formula>NOT(ISERROR(SEARCH("Buy",E205)))</formula>
    </cfRule>
    <cfRule type="containsText" dxfId="9516" priority="847" operator="containsText" text="Sell">
      <formula>NOT(ISERROR(SEARCH("Sell",E205)))</formula>
    </cfRule>
  </conditionalFormatting>
  <conditionalFormatting sqref="E204">
    <cfRule type="containsText" dxfId="9515" priority="844" operator="containsText" text="Buy">
      <formula>NOT(ISERROR(SEARCH("Buy",E204)))</formula>
    </cfRule>
    <cfRule type="containsText" dxfId="9514" priority="845" operator="containsText" text="Sell">
      <formula>NOT(ISERROR(SEARCH("Sell",E204)))</formula>
    </cfRule>
  </conditionalFormatting>
  <conditionalFormatting sqref="E93:E94">
    <cfRule type="containsText" dxfId="9513" priority="842" operator="containsText" text="Buy">
      <formula>NOT(ISERROR(SEARCH("Buy",E93)))</formula>
    </cfRule>
    <cfRule type="containsText" dxfId="9512" priority="843" operator="containsText" text="Sell">
      <formula>NOT(ISERROR(SEARCH("Sell",E93)))</formula>
    </cfRule>
  </conditionalFormatting>
  <conditionalFormatting sqref="E92">
    <cfRule type="containsText" dxfId="9511" priority="840" operator="containsText" text="Buy">
      <formula>NOT(ISERROR(SEARCH("Buy",E92)))</formula>
    </cfRule>
    <cfRule type="containsText" dxfId="9510" priority="841" operator="containsText" text="Sell">
      <formula>NOT(ISERROR(SEARCH("Sell",E92)))</formula>
    </cfRule>
  </conditionalFormatting>
  <conditionalFormatting sqref="E91">
    <cfRule type="containsText" dxfId="9509" priority="838" operator="containsText" text="Buy">
      <formula>NOT(ISERROR(SEARCH("Buy",E91)))</formula>
    </cfRule>
    <cfRule type="containsText" dxfId="9508" priority="839" operator="containsText" text="Sell">
      <formula>NOT(ISERROR(SEARCH("Sell",E91)))</formula>
    </cfRule>
  </conditionalFormatting>
  <conditionalFormatting sqref="E88">
    <cfRule type="containsText" dxfId="9507" priority="836" operator="containsText" text="Buy">
      <formula>NOT(ISERROR(SEARCH("Buy",E88)))</formula>
    </cfRule>
    <cfRule type="containsText" dxfId="9506" priority="837" operator="containsText" text="Sell">
      <formula>NOT(ISERROR(SEARCH("Sell",E88)))</formula>
    </cfRule>
  </conditionalFormatting>
  <conditionalFormatting sqref="E87">
    <cfRule type="containsText" dxfId="9505" priority="834" operator="containsText" text="Buy">
      <formula>NOT(ISERROR(SEARCH("Buy",E87)))</formula>
    </cfRule>
    <cfRule type="containsText" dxfId="9504" priority="835" operator="containsText" text="Sell">
      <formula>NOT(ISERROR(SEARCH("Sell",E87)))</formula>
    </cfRule>
  </conditionalFormatting>
  <conditionalFormatting sqref="E84">
    <cfRule type="containsText" dxfId="9503" priority="832" operator="containsText" text="Buy">
      <formula>NOT(ISERROR(SEARCH("Buy",E84)))</formula>
    </cfRule>
    <cfRule type="containsText" dxfId="9502" priority="833" operator="containsText" text="Sell">
      <formula>NOT(ISERROR(SEARCH("Sell",E84)))</formula>
    </cfRule>
  </conditionalFormatting>
  <conditionalFormatting sqref="E83">
    <cfRule type="containsText" dxfId="9501" priority="830" operator="containsText" text="Buy">
      <formula>NOT(ISERROR(SEARCH("Buy",E83)))</formula>
    </cfRule>
    <cfRule type="containsText" dxfId="9500" priority="831" operator="containsText" text="Sell">
      <formula>NOT(ISERROR(SEARCH("Sell",E83)))</formula>
    </cfRule>
  </conditionalFormatting>
  <conditionalFormatting sqref="E82">
    <cfRule type="containsText" dxfId="9499" priority="828" operator="containsText" text="Buy">
      <formula>NOT(ISERROR(SEARCH("Buy",E82)))</formula>
    </cfRule>
    <cfRule type="containsText" dxfId="9498" priority="829" operator="containsText" text="Sell">
      <formula>NOT(ISERROR(SEARCH("Sell",E82)))</formula>
    </cfRule>
  </conditionalFormatting>
  <conditionalFormatting sqref="E191">
    <cfRule type="containsText" dxfId="9497" priority="726" operator="containsText" text="Buy">
      <formula>NOT(ISERROR(SEARCH("Buy",E191)))</formula>
    </cfRule>
    <cfRule type="containsText" dxfId="9496" priority="727" operator="containsText" text="Sell">
      <formula>NOT(ISERROR(SEARCH("Sell",E191)))</formula>
    </cfRule>
  </conditionalFormatting>
  <conditionalFormatting sqref="E190">
    <cfRule type="containsText" dxfId="9495" priority="724" operator="containsText" text="Buy">
      <formula>NOT(ISERROR(SEARCH("Buy",E190)))</formula>
    </cfRule>
    <cfRule type="containsText" dxfId="9494" priority="725" operator="containsText" text="Sell">
      <formula>NOT(ISERROR(SEARCH("Sell",E190)))</formula>
    </cfRule>
  </conditionalFormatting>
  <conditionalFormatting sqref="E149">
    <cfRule type="containsText" dxfId="9493" priority="722" operator="containsText" text="Buy">
      <formula>NOT(ISERROR(SEARCH("Buy",E149)))</formula>
    </cfRule>
    <cfRule type="containsText" dxfId="9492" priority="723" operator="containsText" text="Sell">
      <formula>NOT(ISERROR(SEARCH("Sell",E149)))</formula>
    </cfRule>
  </conditionalFormatting>
  <conditionalFormatting sqref="E209">
    <cfRule type="containsText" dxfId="9491" priority="812" operator="containsText" text="Buy">
      <formula>NOT(ISERROR(SEARCH("Buy",E209)))</formula>
    </cfRule>
    <cfRule type="containsText" dxfId="9490" priority="813" operator="containsText" text="Sell">
      <formula>NOT(ISERROR(SEARCH("Sell",E209)))</formula>
    </cfRule>
  </conditionalFormatting>
  <conditionalFormatting sqref="E130">
    <cfRule type="containsText" dxfId="9489" priority="810" operator="containsText" text="Buy">
      <formula>NOT(ISERROR(SEARCH("Buy",E130)))</formula>
    </cfRule>
    <cfRule type="containsText" dxfId="9488" priority="811" operator="containsText" text="Sell">
      <formula>NOT(ISERROR(SEARCH("Sell",E130)))</formula>
    </cfRule>
  </conditionalFormatting>
  <conditionalFormatting sqref="E177">
    <cfRule type="containsText" dxfId="9487" priority="808" operator="containsText" text="Buy">
      <formula>NOT(ISERROR(SEARCH("Buy",E177)))</formula>
    </cfRule>
    <cfRule type="containsText" dxfId="9486" priority="809" operator="containsText" text="Sell">
      <formula>NOT(ISERROR(SEARCH("Sell",E177)))</formula>
    </cfRule>
  </conditionalFormatting>
  <conditionalFormatting sqref="E81">
    <cfRule type="containsText" dxfId="9485" priority="708" operator="containsText" text="Buy">
      <formula>NOT(ISERROR(SEARCH("Buy",E81)))</formula>
    </cfRule>
    <cfRule type="containsText" dxfId="9484" priority="709" operator="containsText" text="Sell">
      <formula>NOT(ISERROR(SEARCH("Sell",E81)))</formula>
    </cfRule>
  </conditionalFormatting>
  <conditionalFormatting sqref="E176">
    <cfRule type="containsText" dxfId="9483" priority="802" operator="containsText" text="Buy">
      <formula>NOT(ISERROR(SEARCH("Buy",E176)))</formula>
    </cfRule>
    <cfRule type="containsText" dxfId="9482" priority="803" operator="containsText" text="Sell">
      <formula>NOT(ISERROR(SEARCH("Sell",E176)))</formula>
    </cfRule>
  </conditionalFormatting>
  <conditionalFormatting sqref="E175">
    <cfRule type="containsText" dxfId="9481" priority="800" operator="containsText" text="Buy">
      <formula>NOT(ISERROR(SEARCH("Buy",E175)))</formula>
    </cfRule>
    <cfRule type="containsText" dxfId="9480" priority="801" operator="containsText" text="Sell">
      <formula>NOT(ISERROR(SEARCH("Sell",E175)))</formula>
    </cfRule>
  </conditionalFormatting>
  <conditionalFormatting sqref="E246:E248">
    <cfRule type="containsText" dxfId="9479" priority="796" operator="containsText" text="Buy">
      <formula>NOT(ISERROR(SEARCH("Buy",E246)))</formula>
    </cfRule>
    <cfRule type="containsText" dxfId="9478" priority="797" operator="containsText" text="Sell">
      <formula>NOT(ISERROR(SEARCH("Sell",E246)))</formula>
    </cfRule>
  </conditionalFormatting>
  <conditionalFormatting sqref="E231">
    <cfRule type="containsText" dxfId="9477" priority="794" operator="containsText" text="Buy">
      <formula>NOT(ISERROR(SEARCH("Buy",E231)))</formula>
    </cfRule>
    <cfRule type="containsText" dxfId="9476" priority="795" operator="containsText" text="Sell">
      <formula>NOT(ISERROR(SEARCH("Sell",E231)))</formula>
    </cfRule>
  </conditionalFormatting>
  <conditionalFormatting sqref="E230">
    <cfRule type="containsText" dxfId="9475" priority="792" operator="containsText" text="Buy">
      <formula>NOT(ISERROR(SEARCH("Buy",E230)))</formula>
    </cfRule>
    <cfRule type="containsText" dxfId="9474" priority="793" operator="containsText" text="Sell">
      <formula>NOT(ISERROR(SEARCH("Sell",E230)))</formula>
    </cfRule>
  </conditionalFormatting>
  <conditionalFormatting sqref="E117">
    <cfRule type="containsText" dxfId="9473" priority="692" operator="containsText" text="Buy">
      <formula>NOT(ISERROR(SEARCH("Buy",E117)))</formula>
    </cfRule>
    <cfRule type="containsText" dxfId="9472" priority="693" operator="containsText" text="Sell">
      <formula>NOT(ISERROR(SEARCH("Sell",E117)))</formula>
    </cfRule>
  </conditionalFormatting>
  <conditionalFormatting sqref="E196">
    <cfRule type="containsText" dxfId="9471" priority="788" operator="containsText" text="Buy">
      <formula>NOT(ISERROR(SEARCH("Buy",E196)))</formula>
    </cfRule>
    <cfRule type="containsText" dxfId="9470" priority="789" operator="containsText" text="Sell">
      <formula>NOT(ISERROR(SEARCH("Sell",E196)))</formula>
    </cfRule>
  </conditionalFormatting>
  <conditionalFormatting sqref="E193">
    <cfRule type="containsText" dxfId="9469" priority="786" operator="containsText" text="Buy">
      <formula>NOT(ISERROR(SEARCH("Buy",E193)))</formula>
    </cfRule>
    <cfRule type="containsText" dxfId="9468" priority="787" operator="containsText" text="Sell">
      <formula>NOT(ISERROR(SEARCH("Sell",E193)))</formula>
    </cfRule>
  </conditionalFormatting>
  <conditionalFormatting sqref="E79">
    <cfRule type="containsText" dxfId="9467" priority="784" operator="containsText" text="Buy">
      <formula>NOT(ISERROR(SEARCH("Buy",E79)))</formula>
    </cfRule>
    <cfRule type="containsText" dxfId="9466" priority="785" operator="containsText" text="Sell">
      <formula>NOT(ISERROR(SEARCH("Sell",E79)))</formula>
    </cfRule>
  </conditionalFormatting>
  <conditionalFormatting sqref="E60">
    <cfRule type="containsText" dxfId="9465" priority="770" operator="containsText" text="Buy">
      <formula>NOT(ISERROR(SEARCH("Buy",E60)))</formula>
    </cfRule>
    <cfRule type="containsText" dxfId="9464" priority="771" operator="containsText" text="Sell">
      <formula>NOT(ISERROR(SEARCH("Sell",E60)))</formula>
    </cfRule>
  </conditionalFormatting>
  <conditionalFormatting sqref="E229">
    <cfRule type="containsText" dxfId="9463" priority="780" operator="containsText" text="Buy">
      <formula>NOT(ISERROR(SEARCH("Buy",E229)))</formula>
    </cfRule>
    <cfRule type="containsText" dxfId="9462" priority="781" operator="containsText" text="Sell">
      <formula>NOT(ISERROR(SEARCH("Sell",E229)))</formula>
    </cfRule>
  </conditionalFormatting>
  <conditionalFormatting sqref="E70">
    <cfRule type="containsText" dxfId="9461" priority="778" operator="containsText" text="Buy">
      <formula>NOT(ISERROR(SEARCH("Buy",E70)))</formula>
    </cfRule>
    <cfRule type="containsText" dxfId="9460" priority="779" operator="containsText" text="Sell">
      <formula>NOT(ISERROR(SEARCH("Sell",E70)))</formula>
    </cfRule>
  </conditionalFormatting>
  <conditionalFormatting sqref="E63">
    <cfRule type="containsText" dxfId="9459" priority="776" operator="containsText" text="Buy">
      <formula>NOT(ISERROR(SEARCH("Buy",E63)))</formula>
    </cfRule>
    <cfRule type="containsText" dxfId="9458" priority="777" operator="containsText" text="Sell">
      <formula>NOT(ISERROR(SEARCH("Sell",E63)))</formula>
    </cfRule>
  </conditionalFormatting>
  <conditionalFormatting sqref="E121">
    <cfRule type="containsText" dxfId="9457" priority="774" operator="containsText" text="Buy">
      <formula>NOT(ISERROR(SEARCH("Buy",E121)))</formula>
    </cfRule>
    <cfRule type="containsText" dxfId="9456" priority="775" operator="containsText" text="Sell">
      <formula>NOT(ISERROR(SEARCH("Sell",E121)))</formula>
    </cfRule>
  </conditionalFormatting>
  <conditionalFormatting sqref="E253">
    <cfRule type="containsText" dxfId="9455" priority="764" operator="containsText" text="Buy">
      <formula>NOT(ISERROR(SEARCH("Buy",E253)))</formula>
    </cfRule>
    <cfRule type="containsText" dxfId="9454" priority="765" operator="containsText" text="Sell">
      <formula>NOT(ISERROR(SEARCH("Sell",E253)))</formula>
    </cfRule>
  </conditionalFormatting>
  <conditionalFormatting sqref="E258">
    <cfRule type="containsText" dxfId="9453" priority="768" operator="containsText" text="Buy">
      <formula>NOT(ISERROR(SEARCH("Buy",E258)))</formula>
    </cfRule>
    <cfRule type="containsText" dxfId="9452" priority="769" operator="containsText" text="Sell">
      <formula>NOT(ISERROR(SEARCH("Sell",E258)))</formula>
    </cfRule>
  </conditionalFormatting>
  <conditionalFormatting sqref="E275">
    <cfRule type="containsText" dxfId="9451" priority="766" operator="containsText" text="Buy">
      <formula>NOT(ISERROR(SEARCH("Buy",E275)))</formula>
    </cfRule>
    <cfRule type="containsText" dxfId="9450" priority="767" operator="containsText" text="Sell">
      <formula>NOT(ISERROR(SEARCH("Sell",E275)))</formula>
    </cfRule>
  </conditionalFormatting>
  <conditionalFormatting sqref="E249">
    <cfRule type="containsText" dxfId="9449" priority="762" operator="containsText" text="Buy">
      <formula>NOT(ISERROR(SEARCH("Buy",E249)))</formula>
    </cfRule>
    <cfRule type="containsText" dxfId="9448" priority="763" operator="containsText" text="Sell">
      <formula>NOT(ISERROR(SEARCH("Sell",E249)))</formula>
    </cfRule>
  </conditionalFormatting>
  <conditionalFormatting sqref="E45 E39 E36 E33">
    <cfRule type="containsText" dxfId="9447" priority="760" operator="containsText" text="Buy">
      <formula>NOT(ISERROR(SEARCH("Buy",E33)))</formula>
    </cfRule>
    <cfRule type="containsText" dxfId="9446" priority="761" operator="containsText" text="Sell">
      <formula>NOT(ISERROR(SEARCH("Sell",E33)))</formula>
    </cfRule>
  </conditionalFormatting>
  <conditionalFormatting sqref="E120">
    <cfRule type="containsText" dxfId="9445" priority="758" operator="containsText" text="Buy">
      <formula>NOT(ISERROR(SEARCH("Buy",E120)))</formula>
    </cfRule>
    <cfRule type="containsText" dxfId="9444" priority="759" operator="containsText" text="Sell">
      <formula>NOT(ISERROR(SEARCH("Sell",E120)))</formula>
    </cfRule>
  </conditionalFormatting>
  <conditionalFormatting sqref="E174">
    <cfRule type="containsText" dxfId="9443" priority="756" operator="containsText" text="Buy">
      <formula>NOT(ISERROR(SEARCH("Buy",E174)))</formula>
    </cfRule>
    <cfRule type="containsText" dxfId="9442" priority="757" operator="containsText" text="Sell">
      <formula>NOT(ISERROR(SEARCH("Sell",E174)))</formula>
    </cfRule>
  </conditionalFormatting>
  <conditionalFormatting sqref="E129">
    <cfRule type="containsText" dxfId="9441" priority="754" operator="containsText" text="Buy">
      <formula>NOT(ISERROR(SEARCH("Buy",E129)))</formula>
    </cfRule>
    <cfRule type="containsText" dxfId="9440" priority="755" operator="containsText" text="Sell">
      <formula>NOT(ISERROR(SEARCH("Sell",E129)))</formula>
    </cfRule>
  </conditionalFormatting>
  <conditionalFormatting sqref="E119">
    <cfRule type="containsText" dxfId="9439" priority="744" operator="containsText" text="Buy">
      <formula>NOT(ISERROR(SEARCH("Buy",E119)))</formula>
    </cfRule>
    <cfRule type="containsText" dxfId="9438" priority="745" operator="containsText" text="Sell">
      <formula>NOT(ISERROR(SEARCH("Sell",E119)))</formula>
    </cfRule>
  </conditionalFormatting>
  <conditionalFormatting sqref="E220">
    <cfRule type="containsText" dxfId="9437" priority="748" operator="containsText" text="Buy">
      <formula>NOT(ISERROR(SEARCH("Buy",E220)))</formula>
    </cfRule>
    <cfRule type="containsText" dxfId="9436" priority="749" operator="containsText" text="Sell">
      <formula>NOT(ISERROR(SEARCH("Sell",E220)))</formula>
    </cfRule>
  </conditionalFormatting>
  <conditionalFormatting sqref="E159">
    <cfRule type="containsText" dxfId="9435" priority="736" operator="containsText" text="Buy">
      <formula>NOT(ISERROR(SEARCH("Buy",E159)))</formula>
    </cfRule>
    <cfRule type="containsText" dxfId="9434" priority="737" operator="containsText" text="Sell">
      <formula>NOT(ISERROR(SEARCH("Sell",E159)))</formula>
    </cfRule>
  </conditionalFormatting>
  <conditionalFormatting sqref="E274">
    <cfRule type="containsText" dxfId="9433" priority="746" operator="containsText" text="Buy">
      <formula>NOT(ISERROR(SEARCH("Buy",E274)))</formula>
    </cfRule>
    <cfRule type="containsText" dxfId="9432" priority="747" operator="containsText" text="Sell">
      <formula>NOT(ISERROR(SEARCH("Sell",E274)))</formula>
    </cfRule>
  </conditionalFormatting>
  <conditionalFormatting sqref="E192">
    <cfRule type="containsText" dxfId="9431" priority="742" operator="containsText" text="Buy">
      <formula>NOT(ISERROR(SEARCH("Buy",E192)))</formula>
    </cfRule>
    <cfRule type="containsText" dxfId="9430" priority="743" operator="containsText" text="Sell">
      <formula>NOT(ISERROR(SEARCH("Sell",E192)))</formula>
    </cfRule>
  </conditionalFormatting>
  <conditionalFormatting sqref="E42">
    <cfRule type="containsText" dxfId="9429" priority="738" operator="containsText" text="Buy">
      <formula>NOT(ISERROR(SEARCH("Buy",E42)))</formula>
    </cfRule>
    <cfRule type="containsText" dxfId="9428" priority="739" operator="containsText" text="Sell">
      <formula>NOT(ISERROR(SEARCH("Sell",E42)))</formula>
    </cfRule>
  </conditionalFormatting>
  <conditionalFormatting sqref="E269">
    <cfRule type="containsText" dxfId="9427" priority="740" operator="containsText" text="Buy">
      <formula>NOT(ISERROR(SEARCH("Buy",E269)))</formula>
    </cfRule>
    <cfRule type="containsText" dxfId="9426" priority="741" operator="containsText" text="Sell">
      <formula>NOT(ISERROR(SEARCH("Sell",E269)))</formula>
    </cfRule>
  </conditionalFormatting>
  <conditionalFormatting sqref="E273">
    <cfRule type="containsText" dxfId="9425" priority="734" operator="containsText" text="Buy">
      <formula>NOT(ISERROR(SEARCH("Buy",E273)))</formula>
    </cfRule>
    <cfRule type="containsText" dxfId="9424" priority="735" operator="containsText" text="Sell">
      <formula>NOT(ISERROR(SEARCH("Sell",E273)))</formula>
    </cfRule>
  </conditionalFormatting>
  <conditionalFormatting sqref="E257">
    <cfRule type="containsText" dxfId="9423" priority="732" operator="containsText" text="Buy">
      <formula>NOT(ISERROR(SEARCH("Buy",E257)))</formula>
    </cfRule>
    <cfRule type="containsText" dxfId="9422" priority="733" operator="containsText" text="Sell">
      <formula>NOT(ISERROR(SEARCH("Sell",E257)))</formula>
    </cfRule>
  </conditionalFormatting>
  <conditionalFormatting sqref="E48">
    <cfRule type="containsText" dxfId="9421" priority="730" operator="containsText" text="Buy">
      <formula>NOT(ISERROR(SEARCH("Buy",E48)))</formula>
    </cfRule>
    <cfRule type="containsText" dxfId="9420" priority="731" operator="containsText" text="Sell">
      <formula>NOT(ISERROR(SEARCH("Sell",E48)))</formula>
    </cfRule>
  </conditionalFormatting>
  <conditionalFormatting sqref="E219">
    <cfRule type="containsText" dxfId="9419" priority="728" operator="containsText" text="Buy">
      <formula>NOT(ISERROR(SEARCH("Buy",E219)))</formula>
    </cfRule>
    <cfRule type="containsText" dxfId="9418" priority="729" operator="containsText" text="Sell">
      <formula>NOT(ISERROR(SEARCH("Sell",E219)))</formula>
    </cfRule>
  </conditionalFormatting>
  <conditionalFormatting sqref="E111">
    <cfRule type="containsText" dxfId="9417" priority="690" operator="containsText" text="Buy">
      <formula>NOT(ISERROR(SEARCH("Buy",E111)))</formula>
    </cfRule>
    <cfRule type="containsText" dxfId="9416" priority="691" operator="containsText" text="Sell">
      <formula>NOT(ISERROR(SEARCH("Sell",E111)))</formula>
    </cfRule>
  </conditionalFormatting>
  <conditionalFormatting sqref="E139:E141">
    <cfRule type="containsText" dxfId="9415" priority="696" operator="containsText" text="Buy">
      <formula>NOT(ISERROR(SEARCH("Buy",E139)))</formula>
    </cfRule>
    <cfRule type="containsText" dxfId="9414" priority="697" operator="containsText" text="Sell">
      <formula>NOT(ISERROR(SEARCH("Sell",E139)))</formula>
    </cfRule>
  </conditionalFormatting>
  <conditionalFormatting sqref="E99">
    <cfRule type="containsText" dxfId="9413" priority="678" operator="containsText" text="Buy">
      <formula>NOT(ISERROR(SEARCH("Buy",E99)))</formula>
    </cfRule>
    <cfRule type="containsText" dxfId="9412" priority="679" operator="containsText" text="Sell">
      <formula>NOT(ISERROR(SEARCH("Sell",E99)))</formula>
    </cfRule>
  </conditionalFormatting>
  <conditionalFormatting sqref="E223">
    <cfRule type="containsText" dxfId="9411" priority="674" operator="containsText" text="Buy">
      <formula>NOT(ISERROR(SEARCH("Buy",E223)))</formula>
    </cfRule>
    <cfRule type="containsText" dxfId="9410" priority="675" operator="containsText" text="Sell">
      <formula>NOT(ISERROR(SEARCH("Sell",E223)))</formula>
    </cfRule>
  </conditionalFormatting>
  <conditionalFormatting sqref="E226">
    <cfRule type="containsText" dxfId="9409" priority="706" operator="containsText" text="Buy">
      <formula>NOT(ISERROR(SEARCH("Buy",E226)))</formula>
    </cfRule>
    <cfRule type="containsText" dxfId="9408" priority="707" operator="containsText" text="Sell">
      <formula>NOT(ISERROR(SEARCH("Sell",E226)))</formula>
    </cfRule>
  </conditionalFormatting>
  <conditionalFormatting sqref="E57">
    <cfRule type="containsText" dxfId="9407" priority="700" operator="containsText" text="Buy">
      <formula>NOT(ISERROR(SEARCH("Buy",E57)))</formula>
    </cfRule>
    <cfRule type="containsText" dxfId="9406" priority="701" operator="containsText" text="Sell">
      <formula>NOT(ISERROR(SEARCH("Sell",E57)))</formula>
    </cfRule>
  </conditionalFormatting>
  <conditionalFormatting sqref="E224">
    <cfRule type="containsText" dxfId="9405" priority="680" operator="containsText" text="Buy">
      <formula>NOT(ISERROR(SEARCH("Buy",E224)))</formula>
    </cfRule>
    <cfRule type="containsText" dxfId="9404" priority="681" operator="containsText" text="Sell">
      <formula>NOT(ISERROR(SEARCH("Sell",E224)))</formula>
    </cfRule>
  </conditionalFormatting>
  <conditionalFormatting sqref="E118">
    <cfRule type="containsText" dxfId="9403" priority="694" operator="containsText" text="Buy">
      <formula>NOT(ISERROR(SEARCH("Buy",E118)))</formula>
    </cfRule>
    <cfRule type="containsText" dxfId="9402" priority="695" operator="containsText" text="Sell">
      <formula>NOT(ISERROR(SEARCH("Sell",E118)))</formula>
    </cfRule>
  </conditionalFormatting>
  <conditionalFormatting sqref="E116">
    <cfRule type="containsText" dxfId="9401" priority="688" operator="containsText" text="Buy">
      <formula>NOT(ISERROR(SEARCH("Buy",E116)))</formula>
    </cfRule>
    <cfRule type="containsText" dxfId="9400" priority="689" operator="containsText" text="Sell">
      <formula>NOT(ISERROR(SEARCH("Sell",E116)))</formula>
    </cfRule>
  </conditionalFormatting>
  <conditionalFormatting sqref="E115">
    <cfRule type="containsText" dxfId="9399" priority="686" operator="containsText" text="Buy">
      <formula>NOT(ISERROR(SEARCH("Buy",E115)))</formula>
    </cfRule>
    <cfRule type="containsText" dxfId="9398" priority="687" operator="containsText" text="Sell">
      <formula>NOT(ISERROR(SEARCH("Sell",E115)))</formula>
    </cfRule>
  </conditionalFormatting>
  <conditionalFormatting sqref="E225">
    <cfRule type="containsText" dxfId="9397" priority="684" operator="containsText" text="Buy">
      <formula>NOT(ISERROR(SEARCH("Buy",E225)))</formula>
    </cfRule>
    <cfRule type="containsText" dxfId="9396" priority="685" operator="containsText" text="Sell">
      <formula>NOT(ISERROR(SEARCH("Sell",E225)))</formula>
    </cfRule>
  </conditionalFormatting>
  <conditionalFormatting sqref="E100:E101">
    <cfRule type="containsText" dxfId="9395" priority="682" operator="containsText" text="Buy">
      <formula>NOT(ISERROR(SEARCH("Buy",E100)))</formula>
    </cfRule>
    <cfRule type="containsText" dxfId="9394" priority="683" operator="containsText" text="Sell">
      <formula>NOT(ISERROR(SEARCH("Sell",E100)))</formula>
    </cfRule>
  </conditionalFormatting>
  <conditionalFormatting sqref="E106">
    <cfRule type="containsText" dxfId="9393" priority="657" operator="containsText" text="Buy">
      <formula>NOT(ISERROR(SEARCH("Buy",E106)))</formula>
    </cfRule>
    <cfRule type="containsText" dxfId="9392" priority="658" operator="containsText" text="Sell">
      <formula>NOT(ISERROR(SEARCH("Sell",E106)))</formula>
    </cfRule>
  </conditionalFormatting>
  <conditionalFormatting sqref="E110">
    <cfRule type="containsText" dxfId="9391" priority="655" operator="containsText" text="Buy">
      <formula>NOT(ISERROR(SEARCH("Buy",E110)))</formula>
    </cfRule>
    <cfRule type="containsText" dxfId="9390" priority="656" operator="containsText" text="Sell">
      <formula>NOT(ISERROR(SEARCH("Sell",E110)))</formula>
    </cfRule>
  </conditionalFormatting>
  <conditionalFormatting sqref="E105">
    <cfRule type="containsText" dxfId="9389" priority="649" operator="containsText" text="Buy">
      <formula>NOT(ISERROR(SEARCH("Buy",E105)))</formula>
    </cfRule>
    <cfRule type="containsText" dxfId="9388" priority="650" operator="containsText" text="Sell">
      <formula>NOT(ISERROR(SEARCH("Sell",E105)))</formula>
    </cfRule>
  </conditionalFormatting>
  <conditionalFormatting sqref="E43">
    <cfRule type="containsText" dxfId="9387" priority="494" operator="containsText" text="Buy">
      <formula>NOT(ISERROR(SEARCH("Buy",E43)))</formula>
    </cfRule>
    <cfRule type="containsText" dxfId="9386" priority="495" operator="containsText" text="Sell">
      <formula>NOT(ISERROR(SEARCH("Sell",E43)))</formula>
    </cfRule>
  </conditionalFormatting>
  <conditionalFormatting sqref="E32">
    <cfRule type="containsText" dxfId="9385" priority="522" operator="containsText" text="Buy">
      <formula>NOT(ISERROR(SEARCH("Buy",E32)))</formula>
    </cfRule>
    <cfRule type="containsText" dxfId="9384" priority="523" operator="containsText" text="Sell">
      <formula>NOT(ISERROR(SEARCH("Sell",E32)))</formula>
    </cfRule>
  </conditionalFormatting>
  <conditionalFormatting sqref="E31">
    <cfRule type="containsText" dxfId="9383" priority="520" operator="containsText" text="Buy">
      <formula>NOT(ISERROR(SEARCH("Buy",E31)))</formula>
    </cfRule>
    <cfRule type="containsText" dxfId="9382" priority="521" operator="containsText" text="Sell">
      <formula>NOT(ISERROR(SEARCH("Sell",E31)))</formula>
    </cfRule>
  </conditionalFormatting>
  <conditionalFormatting sqref="E35">
    <cfRule type="containsText" dxfId="9381" priority="516" operator="containsText" text="Buy">
      <formula>NOT(ISERROR(SEARCH("Buy",E35)))</formula>
    </cfRule>
    <cfRule type="containsText" dxfId="9380" priority="517" operator="containsText" text="Sell">
      <formula>NOT(ISERROR(SEARCH("Sell",E35)))</formula>
    </cfRule>
  </conditionalFormatting>
  <conditionalFormatting sqref="E34">
    <cfRule type="containsText" dxfId="9379" priority="514" operator="containsText" text="Buy">
      <formula>NOT(ISERROR(SEARCH("Buy",E34)))</formula>
    </cfRule>
    <cfRule type="containsText" dxfId="9378" priority="515" operator="containsText" text="Sell">
      <formula>NOT(ISERROR(SEARCH("Sell",E34)))</formula>
    </cfRule>
  </conditionalFormatting>
  <conditionalFormatting sqref="E38">
    <cfRule type="containsText" dxfId="9377" priority="510" operator="containsText" text="Buy">
      <formula>NOT(ISERROR(SEARCH("Buy",E38)))</formula>
    </cfRule>
    <cfRule type="containsText" dxfId="9376" priority="511" operator="containsText" text="Sell">
      <formula>NOT(ISERROR(SEARCH("Sell",E38)))</formula>
    </cfRule>
  </conditionalFormatting>
  <conditionalFormatting sqref="E37">
    <cfRule type="containsText" dxfId="9375" priority="508" operator="containsText" text="Buy">
      <formula>NOT(ISERROR(SEARCH("Buy",E37)))</formula>
    </cfRule>
    <cfRule type="containsText" dxfId="9374" priority="509" operator="containsText" text="Sell">
      <formula>NOT(ISERROR(SEARCH("Sell",E37)))</formula>
    </cfRule>
  </conditionalFormatting>
  <conditionalFormatting sqref="E41">
    <cfRule type="containsText" dxfId="9373" priority="502" operator="containsText" text="Buy">
      <formula>NOT(ISERROR(SEARCH("Buy",E41)))</formula>
    </cfRule>
    <cfRule type="containsText" dxfId="9372" priority="503" operator="containsText" text="Sell">
      <formula>NOT(ISERROR(SEARCH("Sell",E41)))</formula>
    </cfRule>
  </conditionalFormatting>
  <conditionalFormatting sqref="E40">
    <cfRule type="containsText" dxfId="9371" priority="500" operator="containsText" text="Buy">
      <formula>NOT(ISERROR(SEARCH("Buy",E40)))</formula>
    </cfRule>
    <cfRule type="containsText" dxfId="9370" priority="501" operator="containsText" text="Sell">
      <formula>NOT(ISERROR(SEARCH("Sell",E40)))</formula>
    </cfRule>
  </conditionalFormatting>
  <conditionalFormatting sqref="E44">
    <cfRule type="containsText" dxfId="9369" priority="496" operator="containsText" text="Buy">
      <formula>NOT(ISERROR(SEARCH("Buy",E44)))</formula>
    </cfRule>
    <cfRule type="containsText" dxfId="9368" priority="497" operator="containsText" text="Sell">
      <formula>NOT(ISERROR(SEARCH("Sell",E44)))</formula>
    </cfRule>
  </conditionalFormatting>
  <conditionalFormatting sqref="E47">
    <cfRule type="containsText" dxfId="9367" priority="490" operator="containsText" text="Buy">
      <formula>NOT(ISERROR(SEARCH("Buy",E47)))</formula>
    </cfRule>
    <cfRule type="containsText" dxfId="9366" priority="491" operator="containsText" text="Sell">
      <formula>NOT(ISERROR(SEARCH("Sell",E47)))</formula>
    </cfRule>
  </conditionalFormatting>
  <conditionalFormatting sqref="E46">
    <cfRule type="containsText" dxfId="9365" priority="488" operator="containsText" text="Buy">
      <formula>NOT(ISERROR(SEARCH("Buy",E46)))</formula>
    </cfRule>
    <cfRule type="containsText" dxfId="9364" priority="489" operator="containsText" text="Sell">
      <formula>NOT(ISERROR(SEARCH("Sell",E46)))</formula>
    </cfRule>
  </conditionalFormatting>
  <conditionalFormatting sqref="I5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{C37E1BF9-F7CC-48B3-B5EE-0CFE4E3063BA}</x14:id>
        </ext>
      </extLst>
    </cfRule>
  </conditionalFormatting>
  <conditionalFormatting sqref="I5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{255B648E-F10E-4FB6-B935-718844E68AC8}</x14:id>
        </ext>
      </extLst>
    </cfRule>
  </conditionalFormatting>
  <conditionalFormatting sqref="I10:J10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{08758700-3DA3-4731-AA86-40AC430ECC10}</x14:id>
        </ext>
      </extLst>
    </cfRule>
  </conditionalFormatting>
  <conditionalFormatting sqref="I10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{E56B840E-E1BB-485E-BED3-638F96566258}</x14:id>
        </ext>
      </extLst>
    </cfRule>
  </conditionalFormatting>
  <conditionalFormatting sqref="S10:W10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{5E869FA4-D0BA-47E0-BF86-047F6DE51355}</x14:id>
        </ext>
      </extLst>
    </cfRule>
  </conditionalFormatting>
  <conditionalFormatting sqref="S10:W10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{798CFD56-D500-457C-96FF-CF3F1B673E87}</x14:id>
        </ext>
      </extLst>
    </cfRule>
  </conditionalFormatting>
  <conditionalFormatting sqref="X10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{FC5AD125-7F42-481D-9EAC-E168EA5F7774}</x14:id>
        </ext>
      </extLst>
    </cfRule>
  </conditionalFormatting>
  <conditionalFormatting sqref="S10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{2049C426-CF62-4F8C-8652-AF8224938477}</x14:id>
        </ext>
      </extLst>
    </cfRule>
  </conditionalFormatting>
  <conditionalFormatting sqref="T10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{818D07EA-0B04-4C99-8E53-39D83562C23A}</x14:id>
        </ext>
      </extLst>
    </cfRule>
  </conditionalFormatting>
  <conditionalFormatting sqref="U10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{A225D3C6-4722-4DAC-9122-34FB9397CD43}</x14:id>
        </ext>
      </extLst>
    </cfRule>
  </conditionalFormatting>
  <conditionalFormatting sqref="V10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{03154F39-B8C3-4B9A-B3B0-49076F44A6A2}</x14:id>
        </ext>
      </extLst>
    </cfRule>
  </conditionalFormatting>
  <conditionalFormatting sqref="W10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{E61A64EE-0C21-426B-AC05-7AAFF9141BC2}</x14:id>
        </ext>
      </extLst>
    </cfRule>
  </conditionalFormatting>
  <conditionalFormatting sqref="Y10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{BFACD74F-29CF-45FB-8055-B7DA68D183DF}</x14:id>
        </ext>
      </extLst>
    </cfRule>
  </conditionalFormatting>
  <conditionalFormatting sqref="S10:X1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{BC89C8C1-7D60-41B9-BCF9-8164054F0881}</x14:id>
        </ext>
      </extLst>
    </cfRule>
  </conditionalFormatting>
  <conditionalFormatting sqref="J10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{C4BC0EE6-0EE6-46E2-9569-1CF464CF1C15}</x14:id>
        </ext>
      </extLst>
    </cfRule>
  </conditionalFormatting>
  <conditionalFormatting sqref="I10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{8F63BB50-B502-48A9-9344-1EFA2B146499}</x14:id>
        </ext>
      </extLst>
    </cfRule>
  </conditionalFormatting>
  <conditionalFormatting sqref="J10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{24E45C81-8D19-4B90-BB31-3EE900328B68}</x14:id>
        </ext>
      </extLst>
    </cfRule>
  </conditionalFormatting>
  <conditionalFormatting sqref="E50">
    <cfRule type="containsText" dxfId="9363" priority="361" operator="containsText" text="Buy">
      <formula>NOT(ISERROR(SEARCH("Buy",E50)))</formula>
    </cfRule>
    <cfRule type="containsText" dxfId="9362" priority="362" operator="containsText" text="Sell">
      <formula>NOT(ISERROR(SEARCH("Sell",E50)))</formula>
    </cfRule>
  </conditionalFormatting>
  <conditionalFormatting sqref="E49">
    <cfRule type="containsText" dxfId="9361" priority="359" operator="containsText" text="Buy">
      <formula>NOT(ISERROR(SEARCH("Buy",E49)))</formula>
    </cfRule>
    <cfRule type="containsText" dxfId="9360" priority="360" operator="containsText" text="Sell">
      <formula>NOT(ISERROR(SEARCH("Sell",E49)))</formula>
    </cfRule>
  </conditionalFormatting>
  <conditionalFormatting sqref="I6:J6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{287F47AD-5CE1-4AD7-945C-0FA822847188}</x14:id>
        </ext>
      </extLst>
    </cfRule>
  </conditionalFormatting>
  <conditionalFormatting sqref="I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{158D0E60-64B2-4FEA-80A3-F852274191A0}</x14:id>
        </ext>
      </extLst>
    </cfRule>
  </conditionalFormatting>
  <conditionalFormatting sqref="S6:W6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{8BCD6909-CE55-490F-99E1-CF7872EEC47B}</x14:id>
        </ext>
      </extLst>
    </cfRule>
  </conditionalFormatting>
  <conditionalFormatting sqref="S6:W6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{6B5A3B8D-5B9F-46DE-A7B3-A877D85F35E6}</x14:id>
        </ext>
      </extLst>
    </cfRule>
  </conditionalFormatting>
  <conditionalFormatting sqref="X6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{778D1841-50EA-4FBA-A6EF-C3BEBF78932B}</x14:id>
        </ext>
      </extLst>
    </cfRule>
  </conditionalFormatting>
  <conditionalFormatting sqref="S6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{ABBF4AF0-8CD4-4EAD-B908-8F1ACABEDF41}</x14:id>
        </ext>
      </extLst>
    </cfRule>
  </conditionalFormatting>
  <conditionalFormatting sqref="T6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{50748817-285A-4A36-92AF-FB102A65ACD3}</x14:id>
        </ext>
      </extLst>
    </cfRule>
  </conditionalFormatting>
  <conditionalFormatting sqref="U6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{8FEC0B65-0C49-4BE6-9004-3D9EECDE94BB}</x14:id>
        </ext>
      </extLst>
    </cfRule>
  </conditionalFormatting>
  <conditionalFormatting sqref="V6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{B4D9EE18-84BA-468D-A996-E2F14934AADF}</x14:id>
        </ext>
      </extLst>
    </cfRule>
  </conditionalFormatting>
  <conditionalFormatting sqref="W6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{62EF5AAC-148D-4C1A-B60D-F41B7055DCBA}</x14:id>
        </ext>
      </extLst>
    </cfRule>
  </conditionalFormatting>
  <conditionalFormatting sqref="Y6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{AAFC7069-C553-4D50-870F-EFC272F77759}</x14:id>
        </ext>
      </extLst>
    </cfRule>
  </conditionalFormatting>
  <conditionalFormatting sqref="S6:X6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{010ABA40-B7ED-43C0-8DD4-8782819F3070}</x14:id>
        </ext>
      </extLst>
    </cfRule>
  </conditionalFormatting>
  <conditionalFormatting sqref="J6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{0530B571-15DA-41EC-9D9C-EC067BE161C3}</x14:id>
        </ext>
      </extLst>
    </cfRule>
  </conditionalFormatting>
  <conditionalFormatting sqref="I6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{91098990-39D3-4642-AA7C-CE0B7AE89A63}</x14:id>
        </ext>
      </extLst>
    </cfRule>
  </conditionalFormatting>
  <conditionalFormatting sqref="J6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{FB4AD58F-251F-499E-B31F-C483B4BC43F4}</x14:id>
        </ext>
      </extLst>
    </cfRule>
  </conditionalFormatting>
  <conditionalFormatting sqref="I6:J6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{55770CC6-1222-4A67-B6E2-2E06840C96F1}</x14:id>
        </ext>
      </extLst>
    </cfRule>
  </conditionalFormatting>
  <conditionalFormatting sqref="E53">
    <cfRule type="containsText" dxfId="9359" priority="333" operator="containsText" text="Buy">
      <formula>NOT(ISERROR(SEARCH("Buy",E53)))</formula>
    </cfRule>
    <cfRule type="containsText" dxfId="9358" priority="334" operator="containsText" text="Sell">
      <formula>NOT(ISERROR(SEARCH("Sell",E53)))</formula>
    </cfRule>
  </conditionalFormatting>
  <conditionalFormatting sqref="E52">
    <cfRule type="containsText" dxfId="9357" priority="331" operator="containsText" text="Buy">
      <formula>NOT(ISERROR(SEARCH("Buy",E52)))</formula>
    </cfRule>
    <cfRule type="containsText" dxfId="9356" priority="332" operator="containsText" text="Sell">
      <formula>NOT(ISERROR(SEARCH("Sell",E52)))</formula>
    </cfRule>
  </conditionalFormatting>
  <conditionalFormatting sqref="I16:J16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{E0E0A5BD-4EC3-4F2F-9B47-EA71CE6F2131}</x14:id>
        </ext>
      </extLst>
    </cfRule>
  </conditionalFormatting>
  <conditionalFormatting sqref="I16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{6BCC549E-0E7E-48E3-949B-02CDE3B79A56}</x14:id>
        </ext>
      </extLst>
    </cfRule>
  </conditionalFormatting>
  <conditionalFormatting sqref="S16:W16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{4B501967-8FA0-45A0-B354-FF9FCF5448A8}</x14:id>
        </ext>
      </extLst>
    </cfRule>
  </conditionalFormatting>
  <conditionalFormatting sqref="S16:W1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{D2A14571-8BD8-4057-B8D7-D59226797F7C}</x14:id>
        </ext>
      </extLst>
    </cfRule>
  </conditionalFormatting>
  <conditionalFormatting sqref="X16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{41D6A99E-EDD3-4E9B-94BC-F9CE1503A041}</x14:id>
        </ext>
      </extLst>
    </cfRule>
  </conditionalFormatting>
  <conditionalFormatting sqref="S16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{0D548697-CFD8-4E12-B158-2C05AECE359E}</x14:id>
        </ext>
      </extLst>
    </cfRule>
  </conditionalFormatting>
  <conditionalFormatting sqref="T16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{0B512085-8CCF-4ED3-98D5-1440FB14A7BB}</x14:id>
        </ext>
      </extLst>
    </cfRule>
  </conditionalFormatting>
  <conditionalFormatting sqref="U16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{F919F2C0-B7A1-4548-B935-8D096A27B534}</x14:id>
        </ext>
      </extLst>
    </cfRule>
  </conditionalFormatting>
  <conditionalFormatting sqref="V16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{F377FD55-1DAA-44D2-BB46-01F29DAF00D8}</x14:id>
        </ext>
      </extLst>
    </cfRule>
  </conditionalFormatting>
  <conditionalFormatting sqref="W16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{601C32FD-0209-49B0-8163-44BE8CB5C41E}</x14:id>
        </ext>
      </extLst>
    </cfRule>
  </conditionalFormatting>
  <conditionalFormatting sqref="Y16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{21255E2E-985E-406E-A8DC-6A6AFF1945B4}</x14:id>
        </ext>
      </extLst>
    </cfRule>
  </conditionalFormatting>
  <conditionalFormatting sqref="S16:X16">
    <cfRule type="dataBar" priority="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{771E0712-2CB0-40B0-9474-0E5F99622F94}</x14:id>
        </ext>
      </extLst>
    </cfRule>
  </conditionalFormatting>
  <conditionalFormatting sqref="J16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{1167F003-247A-4AB2-B59F-A9360E41CABB}</x14:id>
        </ext>
      </extLst>
    </cfRule>
  </conditionalFormatting>
  <conditionalFormatting sqref="I16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{2167BD1A-E3A9-473D-9CB0-6AF802424B36}</x14:id>
        </ext>
      </extLst>
    </cfRule>
  </conditionalFormatting>
  <conditionalFormatting sqref="J16">
    <cfRule type="dataBar" priority="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{377B9BB7-3585-47FB-A282-D86FF838B5F9}</x14:id>
        </ext>
      </extLst>
    </cfRule>
  </conditionalFormatting>
  <conditionalFormatting sqref="I16:J16">
    <cfRule type="dataBar" priority="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{11FCE8FD-8F3F-46F9-BFA8-CBC7C73F5C7D}</x14:id>
        </ext>
      </extLst>
    </cfRule>
  </conditionalFormatting>
  <conditionalFormatting sqref="E56">
    <cfRule type="containsText" dxfId="9355" priority="313" operator="containsText" text="Buy">
      <formula>NOT(ISERROR(SEARCH("Buy",E56)))</formula>
    </cfRule>
    <cfRule type="containsText" dxfId="9354" priority="314" operator="containsText" text="Sell">
      <formula>NOT(ISERROR(SEARCH("Sell",E56)))</formula>
    </cfRule>
  </conditionalFormatting>
  <conditionalFormatting sqref="E55">
    <cfRule type="containsText" dxfId="9353" priority="311" operator="containsText" text="Buy">
      <formula>NOT(ISERROR(SEARCH("Buy",E55)))</formula>
    </cfRule>
    <cfRule type="containsText" dxfId="9352" priority="312" operator="containsText" text="Sell">
      <formula>NOT(ISERROR(SEARCH("Sell",E55)))</formula>
    </cfRule>
  </conditionalFormatting>
  <conditionalFormatting sqref="I7:J9 J5">
    <cfRule type="dataBar" priority="10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{F38775D9-BFFD-49B6-85B2-16781C50E973}</x14:id>
        </ext>
      </extLst>
    </cfRule>
  </conditionalFormatting>
  <conditionalFormatting sqref="I7:I9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{FA8B32E0-486D-4E8A-8359-EB3E2F3FAA61}</x14:id>
        </ext>
      </extLst>
    </cfRule>
  </conditionalFormatting>
  <conditionalFormatting sqref="S7:W9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{0FA9D823-24FC-45BA-B628-A9FF9A8C76D9}</x14:id>
        </ext>
      </extLst>
    </cfRule>
  </conditionalFormatting>
  <conditionalFormatting sqref="S7:W9">
    <cfRule type="dataBar" priority="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{0ACFF52B-DF35-4A7E-9CAE-0EED6812CF0D}</x14:id>
        </ext>
      </extLst>
    </cfRule>
  </conditionalFormatting>
  <conditionalFormatting sqref="X7:X9">
    <cfRule type="dataBar" priority="10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{5ADFD35B-D01E-4E8C-BFE5-59659F26FFE8}</x14:id>
        </ext>
      </extLst>
    </cfRule>
  </conditionalFormatting>
  <conditionalFormatting sqref="S7:S9">
    <cfRule type="dataBar" priority="10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{BBEF4D23-F265-4E9F-95BA-51A405E408D0}</x14:id>
        </ext>
      </extLst>
    </cfRule>
  </conditionalFormatting>
  <conditionalFormatting sqref="T7:T9">
    <cfRule type="dataBar" priority="10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{C4F6ADF9-5E3B-42FC-9B37-03788F725D7A}</x14:id>
        </ext>
      </extLst>
    </cfRule>
  </conditionalFormatting>
  <conditionalFormatting sqref="U7:U9">
    <cfRule type="dataBar" priority="10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{67CC2483-DB5C-4B16-BBCF-70D4D0E2B5F8}</x14:id>
        </ext>
      </extLst>
    </cfRule>
  </conditionalFormatting>
  <conditionalFormatting sqref="V7:V9">
    <cfRule type="dataBar" priority="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{6EED2785-5861-400B-BA94-9AF0E6B3A6EB}</x14:id>
        </ext>
      </extLst>
    </cfRule>
  </conditionalFormatting>
  <conditionalFormatting sqref="W7:W9">
    <cfRule type="dataBar" priority="10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{B34C3F77-8AB0-4EF7-8CE2-0664ECA680EE}</x14:id>
        </ext>
      </extLst>
    </cfRule>
  </conditionalFormatting>
  <conditionalFormatting sqref="Y7:Y9">
    <cfRule type="dataBar" priority="10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{A697DB75-D463-4AA5-B4F3-E935485E8CEA}</x14:id>
        </ext>
      </extLst>
    </cfRule>
  </conditionalFormatting>
  <conditionalFormatting sqref="S7:X9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{85322D94-275A-4412-8070-270DA2FE3560}</x14:id>
        </ext>
      </extLst>
    </cfRule>
  </conditionalFormatting>
  <conditionalFormatting sqref="J7:J9 J5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{65968218-E025-4648-8EC2-A5432AC2F529}</x14:id>
        </ext>
      </extLst>
    </cfRule>
  </conditionalFormatting>
  <conditionalFormatting sqref="I7:I9 I5">
    <cfRule type="dataBar" priority="10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{454E40FC-072A-4202-B9EB-325FE5007FA3}</x14:id>
        </ext>
      </extLst>
    </cfRule>
  </conditionalFormatting>
  <conditionalFormatting sqref="J7:J9 J5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{0293BA43-DDE7-40DE-8B9B-CEA1DF86E3D5}</x14:id>
        </ext>
      </extLst>
    </cfRule>
  </conditionalFormatting>
  <conditionalFormatting sqref="I7:J10 I5:J5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{4C089F97-A6E5-4928-8D30-FCA75A8BBC35}</x14:id>
        </ext>
      </extLst>
    </cfRule>
  </conditionalFormatting>
  <conditionalFormatting sqref="Q6:Q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{7BB22598-D190-4C29-B68A-652F5BEA5E25}</x14:id>
        </ext>
      </extLst>
    </cfRule>
  </conditionalFormatting>
  <conditionalFormatting sqref="Q6:Q16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{F9DC9CCF-7295-4633-A62C-C851531F4898}</x14:id>
        </ext>
      </extLst>
    </cfRule>
  </conditionalFormatting>
  <conditionalFormatting sqref="Q6:Q16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{841E7669-9744-493C-8928-ADB7A5CE82EA}</x14:id>
        </ext>
      </extLst>
    </cfRule>
  </conditionalFormatting>
  <conditionalFormatting sqref="Q6:Q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{F5E4B5AC-829C-4229-AD05-485DE8AF8847}</x14:id>
        </ext>
      </extLst>
    </cfRule>
  </conditionalFormatting>
  <conditionalFormatting sqref="Q6:Q16">
    <cfRule type="dataBar" priority="2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{449658FD-5207-4FBE-93ED-A2B9F6CCC3A3}</x14:id>
        </ext>
      </extLst>
    </cfRule>
  </conditionalFormatting>
  <conditionalFormatting sqref="S4:W4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{EC1BEF35-51D4-4D20-ADB9-F200FE8B9EFA}</x14:id>
        </ext>
      </extLst>
    </cfRule>
  </conditionalFormatting>
  <conditionalFormatting sqref="S4:W4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{9DA6C9B2-04E4-452D-835B-884F8A009B06}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{FFDB664F-7964-4DE5-9600-03C8C286B90D}</x14:id>
        </ext>
      </extLst>
    </cfRule>
  </conditionalFormatting>
  <conditionalFormatting sqref="S4:W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{5EA860CD-CC42-4686-BC1F-ACE0AF7B2EBC}</x14:id>
        </ext>
      </extLst>
    </cfRule>
  </conditionalFormatting>
  <conditionalFormatting sqref="I4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{E92CC93F-B3BE-4952-9A4B-98F38E3AA519}</x14:id>
        </ext>
      </extLst>
    </cfRule>
  </conditionalFormatting>
  <conditionalFormatting sqref="I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{EA833918-2B64-42C5-9F7D-62E25623D93C}</x14:id>
        </ext>
      </extLst>
    </cfRule>
  </conditionalFormatting>
  <conditionalFormatting sqref="S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{12A0AF43-C5C1-414D-A299-E35F98BA5C10}</x14:id>
        </ext>
      </extLst>
    </cfRule>
  </conditionalFormatting>
  <conditionalFormatting sqref="T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{3F57777C-77AF-4B20-B861-DC5E4170ECDB}</x14:id>
        </ext>
      </extLst>
    </cfRule>
  </conditionalFormatting>
  <conditionalFormatting sqref="U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{0A35D552-550A-4235-9681-5C6194E7487C}</x14:id>
        </ext>
      </extLst>
    </cfRule>
  </conditionalFormatting>
  <conditionalFormatting sqref="V4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{CE36D28A-0BAE-413B-B513-D6D6160B1BF1}</x14:id>
        </ext>
      </extLst>
    </cfRule>
  </conditionalFormatting>
  <conditionalFormatting sqref="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{F4B1484B-C1F6-4866-A48E-BA2704BA46BE}</x14:id>
        </ext>
      </extLst>
    </cfRule>
  </conditionalFormatting>
  <conditionalFormatting sqref="X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{FA9073D1-87E8-4B1B-9BC3-33952D624991}</x14:id>
        </ext>
      </extLst>
    </cfRule>
  </conditionalFormatting>
  <conditionalFormatting sqref="Y4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{25956811-F471-4746-9DBD-C56B68DDB9B9}</x14:id>
        </ext>
      </extLst>
    </cfRule>
  </conditionalFormatting>
  <conditionalFormatting sqref="S4:X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{6C18FA89-356E-418B-B48A-375ED74274A1}</x14:id>
        </ext>
      </extLst>
    </cfRule>
  </conditionalFormatting>
  <conditionalFormatting sqref="Z4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{47E179AA-DDE8-4384-994A-49A491BE0D1C}</x14:id>
        </ext>
      </extLst>
    </cfRule>
  </conditionalFormatting>
  <conditionalFormatting sqref="J4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{FAEA8EAF-441B-4200-8085-D882C564C708}</x14:id>
        </ext>
      </extLst>
    </cfRule>
  </conditionalFormatting>
  <conditionalFormatting sqref="J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{ADCB4B3A-0477-4B8A-A8C2-79AEFB97FEF3}</x14:id>
        </ext>
      </extLst>
    </cfRule>
  </conditionalFormatting>
  <conditionalFormatting sqref="I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{EACFD85C-8B54-4DA6-B4F1-2E613800E8BF}</x14:id>
        </ext>
      </extLst>
    </cfRule>
  </conditionalFormatting>
  <conditionalFormatting sqref="J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{4DBB87C9-3A6D-41C0-A71A-0CEEEBD3E9EA}</x14:id>
        </ext>
      </extLst>
    </cfRule>
  </conditionalFormatting>
  <conditionalFormatting sqref="I4:J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{1A2C0F34-719C-4CB7-8B34-4F0B169B26E5}</x14:id>
        </ext>
      </extLst>
    </cfRule>
  </conditionalFormatting>
  <conditionalFormatting sqref="Q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{98D5E46A-ADE6-4522-87A8-0C14A1E66200}</x14:id>
        </ext>
      </extLst>
    </cfRule>
  </conditionalFormatting>
  <conditionalFormatting sqref="I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{3F2D4B69-4D81-47F7-A120-7F0C6CC2088E}</x14:id>
        </ext>
      </extLst>
    </cfRule>
  </conditionalFormatting>
  <conditionalFormatting sqref="J4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{E6995EF5-FE47-45AB-AB40-CA558CA80A93}</x14:id>
        </ext>
      </extLst>
    </cfRule>
  </conditionalFormatting>
  <conditionalFormatting sqref="X5">
    <cfRule type="dataBar" priority="26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{B4ACD8ED-1B89-4F69-9D66-2B90C942ED5D}</x14:id>
        </ext>
      </extLst>
    </cfRule>
  </conditionalFormatting>
  <conditionalFormatting sqref="S5">
    <cfRule type="dataBar" priority="26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{74BF73C3-AFEC-4D03-8E1C-2D8A4F6C9416}</x14:id>
        </ext>
      </extLst>
    </cfRule>
  </conditionalFormatting>
  <conditionalFormatting sqref="T5">
    <cfRule type="dataBar" priority="26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{8ACEB8D9-A66E-44F7-9006-0B9AA082B080}</x14:id>
        </ext>
      </extLst>
    </cfRule>
  </conditionalFormatting>
  <conditionalFormatting sqref="U5">
    <cfRule type="dataBar" priority="26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{ABC48060-6C25-4181-A2C8-901D600A0B85}</x14:id>
        </ext>
      </extLst>
    </cfRule>
  </conditionalFormatting>
  <conditionalFormatting sqref="V5">
    <cfRule type="dataBar" priority="26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{7389ADBD-A9BA-498A-9CCB-127A5FEB7397}</x14:id>
        </ext>
      </extLst>
    </cfRule>
  </conditionalFormatting>
  <conditionalFormatting sqref="W5">
    <cfRule type="dataBar" priority="26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{FCDCB3FE-E1FC-4006-A02B-1E19F62E1210}</x14:id>
        </ext>
      </extLst>
    </cfRule>
  </conditionalFormatting>
  <conditionalFormatting sqref="Y5">
    <cfRule type="dataBar" priority="26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{E1AC979D-44A3-49A4-AB07-9A7558FE5DD0}</x14:id>
        </ext>
      </extLst>
    </cfRule>
  </conditionalFormatting>
  <conditionalFormatting sqref="S5:X5">
    <cfRule type="dataBar" priority="26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{0159F716-D343-4F45-9CC5-E7ABFC16BFD5}</x14:id>
        </ext>
      </extLst>
    </cfRule>
  </conditionalFormatting>
  <conditionalFormatting sqref="Z5">
    <cfRule type="dataBar" priority="26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{64917916-79FE-43C4-B485-10CD69532058}</x14:id>
        </ext>
      </extLst>
    </cfRule>
  </conditionalFormatting>
  <conditionalFormatting sqref="Q5">
    <cfRule type="dataBar" priority="26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{32E4EEDE-8E82-4748-BE99-184397B62086}</x14:id>
        </ext>
      </extLst>
    </cfRule>
  </conditionalFormatting>
  <conditionalFormatting sqref="I5:I10 I16">
    <cfRule type="dataBar" priority="26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{EBC4D5D8-5DB9-4B9A-BEF7-98BF59A1A17E}</x14:id>
        </ext>
      </extLst>
    </cfRule>
  </conditionalFormatting>
  <conditionalFormatting sqref="J5:J10 J16">
    <cfRule type="dataBar" priority="266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{3BD1833D-4360-451B-B4C8-2E7E1C43856A}</x14:id>
        </ext>
      </extLst>
    </cfRule>
  </conditionalFormatting>
  <conditionalFormatting sqref="H22">
    <cfRule type="dataBar" priority="26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{42E0474E-0F45-4637-B722-9E7BD336571F}</x14:id>
        </ext>
      </extLst>
    </cfRule>
    <cfRule type="cellIs" dxfId="9351" priority="26629" operator="equal">
      <formula>1</formula>
    </cfRule>
  </conditionalFormatting>
  <conditionalFormatting sqref="I11:J11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{7A424AD3-2498-4036-A000-E50361460A52}</x14:id>
        </ext>
      </extLst>
    </cfRule>
  </conditionalFormatting>
  <conditionalFormatting sqref="I1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{C4EE8491-0188-481C-A590-E6C3421F77A0}</x14:id>
        </ext>
      </extLst>
    </cfRule>
  </conditionalFormatting>
  <conditionalFormatting sqref="S11:W11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{174874FC-5CE8-415C-B738-89B35CEEE4DC}</x14:id>
        </ext>
      </extLst>
    </cfRule>
  </conditionalFormatting>
  <conditionalFormatting sqref="S11:W11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{A68F4025-A223-4707-84F8-07BAA909C0E4}</x14:id>
        </ext>
      </extLst>
    </cfRule>
  </conditionalFormatting>
  <conditionalFormatting sqref="X1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{1CF7702F-E196-4AF7-B5D0-162B0B62F2B9}</x14:id>
        </ext>
      </extLst>
    </cfRule>
  </conditionalFormatting>
  <conditionalFormatting sqref="S11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{296FDC94-49E4-44A8-96DE-1D8988082027}</x14:id>
        </ext>
      </extLst>
    </cfRule>
  </conditionalFormatting>
  <conditionalFormatting sqref="T11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{0FE3C6AB-C856-4C53-8F2F-A206D4803D02}</x14:id>
        </ext>
      </extLst>
    </cfRule>
  </conditionalFormatting>
  <conditionalFormatting sqref="U11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{4515CD24-278F-4E27-A31B-C878BBAE1869}</x14:id>
        </ext>
      </extLst>
    </cfRule>
  </conditionalFormatting>
  <conditionalFormatting sqref="V11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{1CAE9FA7-BF1E-451A-9CD2-4B11C4A918F3}</x14:id>
        </ext>
      </extLst>
    </cfRule>
  </conditionalFormatting>
  <conditionalFormatting sqref="W1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{4BEC444D-3532-4E58-9445-695464B7CEC8}</x14:id>
        </ext>
      </extLst>
    </cfRule>
  </conditionalFormatting>
  <conditionalFormatting sqref="Y1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{8E1D96A6-8072-41BC-A956-1C29C5428368}</x14:id>
        </ext>
      </extLst>
    </cfRule>
  </conditionalFormatting>
  <conditionalFormatting sqref="S11:X1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{9D1A13DC-9086-452D-8E7A-37B247AF4D19}</x14:id>
        </ext>
      </extLst>
    </cfRule>
  </conditionalFormatting>
  <conditionalFormatting sqref="J1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{270EE589-5D1E-4C40-8CC5-668A9C6744C0}</x14:id>
        </ext>
      </extLst>
    </cfRule>
  </conditionalFormatting>
  <conditionalFormatting sqref="I11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{F74F8BC8-ECC0-4390-9E58-E83DAC8EF6DA}</x14:id>
        </ext>
      </extLst>
    </cfRule>
  </conditionalFormatting>
  <conditionalFormatting sqref="J11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{84B5806E-6E81-4CB3-AB67-785514BABF0D}</x14:id>
        </ext>
      </extLst>
    </cfRule>
  </conditionalFormatting>
  <conditionalFormatting sqref="I11:J11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{54C24CB1-D54F-4E0E-80DD-C6CDABA243F6}</x14:id>
        </ext>
      </extLst>
    </cfRule>
  </conditionalFormatting>
  <conditionalFormatting sqref="Q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{05D593DA-80DE-41DE-9C9E-EACA737A5C6E}</x14:id>
        </ext>
      </extLst>
    </cfRule>
  </conditionalFormatting>
  <conditionalFormatting sqref="Q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{D74B1E3C-0C9E-4810-9F6E-151FD19CE943}</x14:id>
        </ext>
      </extLst>
    </cfRule>
  </conditionalFormatting>
  <conditionalFormatting sqref="Q1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{D85D3FE9-2C03-4012-9809-329388372E36}</x14:id>
        </ext>
      </extLst>
    </cfRule>
  </conditionalFormatting>
  <conditionalFormatting sqref="Q1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{4C2B31F2-99B3-4B86-B8D8-8278E166C9AB}</x14:id>
        </ext>
      </extLst>
    </cfRule>
  </conditionalFormatting>
  <conditionalFormatting sqref="Q11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{9BBDD194-849A-43F0-A79B-34F5BA14F5F2}</x14:id>
        </ext>
      </extLst>
    </cfRule>
  </conditionalFormatting>
  <conditionalFormatting sqref="I11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{DDF8597E-7DF1-4AD2-AD92-66703AB27C40}</x14:id>
        </ext>
      </extLst>
    </cfRule>
  </conditionalFormatting>
  <conditionalFormatting sqref="J11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{15B245CF-8318-4062-AC9A-2C1AE77CCC84}</x14:id>
        </ext>
      </extLst>
    </cfRule>
  </conditionalFormatting>
  <conditionalFormatting sqref="I12:J12"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{0ED823F0-4A52-45D5-8E04-D980748E38C0}</x14:id>
        </ext>
      </extLst>
    </cfRule>
  </conditionalFormatting>
  <conditionalFormatting sqref="I12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{F9224897-1807-43B0-959C-01C76457CDC0}</x14:id>
        </ext>
      </extLst>
    </cfRule>
  </conditionalFormatting>
  <conditionalFormatting sqref="S12:W12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{AD6898BA-7679-42E6-A621-770CE0103A0F}</x14:id>
        </ext>
      </extLst>
    </cfRule>
  </conditionalFormatting>
  <conditionalFormatting sqref="S12:W12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{F63E3E41-C5D9-47CF-AED0-FCB1BEBB6EDA}</x14:id>
        </ext>
      </extLst>
    </cfRule>
  </conditionalFormatting>
  <conditionalFormatting sqref="X12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{BC09ED4D-B72B-4662-858C-18916DB76F43}</x14:id>
        </ext>
      </extLst>
    </cfRule>
  </conditionalFormatting>
  <conditionalFormatting sqref="S12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{5B1710FD-0A41-46B9-AD46-A2AE961E7F8E}</x14:id>
        </ext>
      </extLst>
    </cfRule>
  </conditionalFormatting>
  <conditionalFormatting sqref="T12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{7FA8DD97-E60C-48EA-BE7F-3BE2EDF8971A}</x14:id>
        </ext>
      </extLst>
    </cfRule>
  </conditionalFormatting>
  <conditionalFormatting sqref="U12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{7D7077CF-3EB6-42FC-9FD8-1388481ECB18}</x14:id>
        </ext>
      </extLst>
    </cfRule>
  </conditionalFormatting>
  <conditionalFormatting sqref="V12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{8D2AE4A5-3905-47C1-B2D0-0583930AEF80}</x14:id>
        </ext>
      </extLst>
    </cfRule>
  </conditionalFormatting>
  <conditionalFormatting sqref="W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{81E18904-6520-414C-9A04-C883CBAB78AB}</x14:id>
        </ext>
      </extLst>
    </cfRule>
  </conditionalFormatting>
  <conditionalFormatting sqref="Y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{B067D77B-633D-4D49-96C2-A165DFC5F197}</x14:id>
        </ext>
      </extLst>
    </cfRule>
  </conditionalFormatting>
  <conditionalFormatting sqref="S12:X12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{F6986A73-79E1-45FD-81D9-0EB9F3353B37}</x14:id>
        </ext>
      </extLst>
    </cfRule>
  </conditionalFormatting>
  <conditionalFormatting sqref="J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{E7AEB441-CF7E-4DD4-888D-54124A933F2E}</x14:id>
        </ext>
      </extLst>
    </cfRule>
  </conditionalFormatting>
  <conditionalFormatting sqref="I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{FA885442-561A-4657-9425-8E8FA8C583BB}</x14:id>
        </ext>
      </extLst>
    </cfRule>
  </conditionalFormatting>
  <conditionalFormatting sqref="J12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{3D13ED07-3F08-4ED1-AA79-C5A5B1D3BD67}</x14:id>
        </ext>
      </extLst>
    </cfRule>
  </conditionalFormatting>
  <conditionalFormatting sqref="I12:J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{22F6CC5E-DF49-46D6-BF06-CE96B97A910E}</x14:id>
        </ext>
      </extLst>
    </cfRule>
  </conditionalFormatting>
  <conditionalFormatting sqref="Q12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{30496C43-0FF6-4A57-A6BC-3EFCA1EE06F9}</x14:id>
        </ext>
      </extLst>
    </cfRule>
  </conditionalFormatting>
  <conditionalFormatting sqref="Q12">
    <cfRule type="dataBar" priority="1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{CB9B1282-8F0E-4F44-B3C0-BBEAA0CDEB5D}</x14:id>
        </ext>
      </extLst>
    </cfRule>
  </conditionalFormatting>
  <conditionalFormatting sqref="I12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{46499372-1EE8-4029-8688-D0B15B7A661E}</x14:id>
        </ext>
      </extLst>
    </cfRule>
  </conditionalFormatting>
  <conditionalFormatting sqref="J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{968C6F0F-C8BD-4FBD-9304-C2993B4E7439}</x14:id>
        </ext>
      </extLst>
    </cfRule>
  </conditionalFormatting>
  <conditionalFormatting sqref="I13:J13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{CDE33EA7-C699-43D5-9AF1-8E19538B2792}</x14:id>
        </ext>
      </extLst>
    </cfRule>
  </conditionalFormatting>
  <conditionalFormatting sqref="I13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{B82D242C-E11A-4523-AF65-E2E36627638E}</x14:id>
        </ext>
      </extLst>
    </cfRule>
  </conditionalFormatting>
  <conditionalFormatting sqref="S13:W13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{4F7D5D52-12AA-4D6E-AACF-B222DCD117F4}</x14:id>
        </ext>
      </extLst>
    </cfRule>
  </conditionalFormatting>
  <conditionalFormatting sqref="S13:W13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{E50AED8A-2853-4241-B658-D9F4C7ED70B9}</x14:id>
        </ext>
      </extLst>
    </cfRule>
  </conditionalFormatting>
  <conditionalFormatting sqref="X13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{8F42E56F-9010-4E30-AD20-90DA3330E944}</x14:id>
        </ext>
      </extLst>
    </cfRule>
  </conditionalFormatting>
  <conditionalFormatting sqref="S13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{718504BC-F315-439F-9546-48E00C53B736}</x14:id>
        </ext>
      </extLst>
    </cfRule>
  </conditionalFormatting>
  <conditionalFormatting sqref="T13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{53419AA4-ED70-4378-9354-8FE795BA814E}</x14:id>
        </ext>
      </extLst>
    </cfRule>
  </conditionalFormatting>
  <conditionalFormatting sqref="U13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{6564A2A1-FAE9-4476-96AF-80B2D13E448F}</x14:id>
        </ext>
      </extLst>
    </cfRule>
  </conditionalFormatting>
  <conditionalFormatting sqref="V13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{85A180C2-C28F-4296-9164-BB19AFBC9E6B}</x14:id>
        </ext>
      </extLst>
    </cfRule>
  </conditionalFormatting>
  <conditionalFormatting sqref="W13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{267CF125-B4AE-48DE-900E-BF0D74B43507}</x14:id>
        </ext>
      </extLst>
    </cfRule>
  </conditionalFormatting>
  <conditionalFormatting sqref="Y13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{B49CC5F1-5DD2-498D-A015-FB0AE7D221A4}</x14:id>
        </ext>
      </extLst>
    </cfRule>
  </conditionalFormatting>
  <conditionalFormatting sqref="S13:X13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{A6E11D99-4858-4091-9DF4-AD479FBD47DB}</x14:id>
        </ext>
      </extLst>
    </cfRule>
  </conditionalFormatting>
  <conditionalFormatting sqref="J13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{9C401C58-2547-45A8-9417-3F39DA50A152}</x14:id>
        </ext>
      </extLst>
    </cfRule>
  </conditionalFormatting>
  <conditionalFormatting sqref="I13">
    <cfRule type="dataBar" priority="1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{69529450-A1E1-4AAB-AC6F-BBEF5C02174F}</x14:id>
        </ext>
      </extLst>
    </cfRule>
  </conditionalFormatting>
  <conditionalFormatting sqref="J13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{122DFD8A-9ED2-418F-B56A-254129CEA320}</x14:id>
        </ext>
      </extLst>
    </cfRule>
  </conditionalFormatting>
  <conditionalFormatting sqref="I13:J13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{33F4B129-7F70-4B4B-AA78-1F5B34CC399F}</x14:id>
        </ext>
      </extLst>
    </cfRule>
  </conditionalFormatting>
  <conditionalFormatting sqref="Q13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{C84AB031-AEFA-48D6-AAD8-35ED7C44C1EB}</x14:id>
        </ext>
      </extLst>
    </cfRule>
  </conditionalFormatting>
  <conditionalFormatting sqref="Q13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{58D3815C-319A-4BC4-9E73-680D28DF9121}</x14:id>
        </ext>
      </extLst>
    </cfRule>
  </conditionalFormatting>
  <conditionalFormatting sqref="I13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{CD0DF460-93DF-4F86-BC94-8B4D0769FDD6}</x14:id>
        </ext>
      </extLst>
    </cfRule>
  </conditionalFormatting>
  <conditionalFormatting sqref="J13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{C068C9B2-D4FD-47C8-AA18-4052825D0DF7}</x14:id>
        </ext>
      </extLst>
    </cfRule>
  </conditionalFormatting>
  <conditionalFormatting sqref="I14:J14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{9696E106-030C-4DC1-86A4-2C7A11F2B01D}</x14:id>
        </ext>
      </extLst>
    </cfRule>
  </conditionalFormatting>
  <conditionalFormatting sqref="I1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{A3937860-2537-4A11-A994-F8F45C6C28E5}</x14:id>
        </ext>
      </extLst>
    </cfRule>
  </conditionalFormatting>
  <conditionalFormatting sqref="S14:W1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{A932ABE8-C9DD-48E1-9E25-BF2102B84775}</x14:id>
        </ext>
      </extLst>
    </cfRule>
  </conditionalFormatting>
  <conditionalFormatting sqref="S14:W14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{DC7CD040-8021-43D3-9C91-EDA0DDFB2495}</x14:id>
        </ext>
      </extLst>
    </cfRule>
  </conditionalFormatting>
  <conditionalFormatting sqref="X1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{859A9956-1B6B-4130-9644-5F6C35EC9AF3}</x14:id>
        </ext>
      </extLst>
    </cfRule>
  </conditionalFormatting>
  <conditionalFormatting sqref="S14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{93DBA414-2B6C-4A16-AC74-F2FD9B7E3881}</x14:id>
        </ext>
      </extLst>
    </cfRule>
  </conditionalFormatting>
  <conditionalFormatting sqref="T14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{304916C3-76CB-4E03-B772-75A78CEFB5E2}</x14:id>
        </ext>
      </extLst>
    </cfRule>
  </conditionalFormatting>
  <conditionalFormatting sqref="U14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{F3810522-7D56-4AF3-A88A-6225A78B7E68}</x14:id>
        </ext>
      </extLst>
    </cfRule>
  </conditionalFormatting>
  <conditionalFormatting sqref="V14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{6C490B65-AD66-40F3-B50C-0E668DF4C675}</x14:id>
        </ext>
      </extLst>
    </cfRule>
  </conditionalFormatting>
  <conditionalFormatting sqref="W14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{000CC1BF-EFCD-45AD-A09E-05B38568F15E}</x14:id>
        </ext>
      </extLst>
    </cfRule>
  </conditionalFormatting>
  <conditionalFormatting sqref="Y1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{DAA13D3C-A6B1-4ADF-8512-FF6F755685A5}</x14:id>
        </ext>
      </extLst>
    </cfRule>
  </conditionalFormatting>
  <conditionalFormatting sqref="S14:X1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{2BB0DD08-FDB0-44C1-9206-40FDFC183485}</x14:id>
        </ext>
      </extLst>
    </cfRule>
  </conditionalFormatting>
  <conditionalFormatting sqref="J14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{4E22A124-2341-4A25-B4A3-2078B78B84CD}</x14:id>
        </ext>
      </extLst>
    </cfRule>
  </conditionalFormatting>
  <conditionalFormatting sqref="I14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{E2EBA3D1-3AAC-4E3B-A5B4-B61EFEB4ED83}</x14:id>
        </ext>
      </extLst>
    </cfRule>
  </conditionalFormatting>
  <conditionalFormatting sqref="J1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{7E31BEDA-04B0-48BC-B8B1-912A6D1A6B18}</x14:id>
        </ext>
      </extLst>
    </cfRule>
  </conditionalFormatting>
  <conditionalFormatting sqref="I14:J14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{E1E0D22B-5D46-46DC-B693-EA03F5072A39}</x14:id>
        </ext>
      </extLst>
    </cfRule>
  </conditionalFormatting>
  <conditionalFormatting sqref="Q1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{054771FC-DF98-4D41-AAF0-5B54E44E50F3}</x14:id>
        </ext>
      </extLst>
    </cfRule>
  </conditionalFormatting>
  <conditionalFormatting sqref="Q14">
    <cfRule type="dataBar" priority="1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{DD9508C5-3BF9-4DC9-AE36-843564CB642D}</x14:id>
        </ext>
      </extLst>
    </cfRule>
  </conditionalFormatting>
  <conditionalFormatting sqref="I1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{26F94AB8-4B80-4A5A-9AB0-39B49BE7CD06}</x14:id>
        </ext>
      </extLst>
    </cfRule>
  </conditionalFormatting>
  <conditionalFormatting sqref="J1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{0ED135A9-CC77-4634-91AF-15894ABD5586}</x14:id>
        </ext>
      </extLst>
    </cfRule>
  </conditionalFormatting>
  <conditionalFormatting sqref="E59">
    <cfRule type="containsText" dxfId="9350" priority="155" operator="containsText" text="Buy">
      <formula>NOT(ISERROR(SEARCH("Buy",E59)))</formula>
    </cfRule>
    <cfRule type="containsText" dxfId="9349" priority="156" operator="containsText" text="Sell">
      <formula>NOT(ISERROR(SEARCH("Sell",E59)))</formula>
    </cfRule>
  </conditionalFormatting>
  <conditionalFormatting sqref="E58">
    <cfRule type="containsText" dxfId="9348" priority="153" operator="containsText" text="Buy">
      <formula>NOT(ISERROR(SEARCH("Buy",E58)))</formula>
    </cfRule>
    <cfRule type="containsText" dxfId="9347" priority="154" operator="containsText" text="Sell">
      <formula>NOT(ISERROR(SEARCH("Sell",E58)))</formula>
    </cfRule>
  </conditionalFormatting>
  <conditionalFormatting sqref="I15:J15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{198C3A7A-586C-4323-8428-312DF7FA03E3}</x14:id>
        </ext>
      </extLst>
    </cfRule>
  </conditionalFormatting>
  <conditionalFormatting sqref="I15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{23394F2C-92B1-4D1D-B1EA-B087107DEB53}</x14:id>
        </ext>
      </extLst>
    </cfRule>
  </conditionalFormatting>
  <conditionalFormatting sqref="S15:W1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{1147C37A-8E28-4C67-A940-A79D8A22EDC5}</x14:id>
        </ext>
      </extLst>
    </cfRule>
  </conditionalFormatting>
  <conditionalFormatting sqref="S15:W15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{CD4E8AE4-3305-4813-9CB6-4E75F6A948CE}</x14:id>
        </ext>
      </extLst>
    </cfRule>
  </conditionalFormatting>
  <conditionalFormatting sqref="X15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{2D3FA653-FA74-4DC1-B999-AE89E6CABBE6}</x14:id>
        </ext>
      </extLst>
    </cfRule>
  </conditionalFormatting>
  <conditionalFormatting sqref="S15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{C894DB8B-445C-4FD8-9A42-C680C2A79979}</x14:id>
        </ext>
      </extLst>
    </cfRule>
  </conditionalFormatting>
  <conditionalFormatting sqref="T15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{69016988-D180-4C1C-B95C-B39C21D44F06}</x14:id>
        </ext>
      </extLst>
    </cfRule>
  </conditionalFormatting>
  <conditionalFormatting sqref="U15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{10592873-80B8-4D88-BEDB-F41115631363}</x14:id>
        </ext>
      </extLst>
    </cfRule>
  </conditionalFormatting>
  <conditionalFormatting sqref="V1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{0FA7AA16-6B26-417F-B4D8-F1EC59BA3759}</x14:id>
        </ext>
      </extLst>
    </cfRule>
  </conditionalFormatting>
  <conditionalFormatting sqref="W1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{7B1E97C2-E0A5-4F60-9FC1-3C4B6790B2E5}</x14:id>
        </ext>
      </extLst>
    </cfRule>
  </conditionalFormatting>
  <conditionalFormatting sqref="Y1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{5AF9E01D-ED23-4E2D-A2B9-59B93869CD62}</x14:id>
        </ext>
      </extLst>
    </cfRule>
  </conditionalFormatting>
  <conditionalFormatting sqref="S15:X15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{1B7587A8-A583-42C6-85D0-94CE629A9AFC}</x14:id>
        </ext>
      </extLst>
    </cfRule>
  </conditionalFormatting>
  <conditionalFormatting sqref="J15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{72F29907-5F3C-470C-99BE-D21933B27534}</x14:id>
        </ext>
      </extLst>
    </cfRule>
  </conditionalFormatting>
  <conditionalFormatting sqref="I1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{CE8CC506-347D-4755-8C50-59A580723D85}</x14:id>
        </ext>
      </extLst>
    </cfRule>
  </conditionalFormatting>
  <conditionalFormatting sqref="J15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{F6AA816D-0C8F-4677-810F-BCD32876B76D}</x14:id>
        </ext>
      </extLst>
    </cfRule>
  </conditionalFormatting>
  <conditionalFormatting sqref="I15:J15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{300651F6-ED59-4E06-8BFF-1E5B0D385425}</x14:id>
        </ext>
      </extLst>
    </cfRule>
  </conditionalFormatting>
  <conditionalFormatting sqref="Q15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{88164B37-D641-46C5-A3F5-DDF0AEC1A9C7}</x14:id>
        </ext>
      </extLst>
    </cfRule>
  </conditionalFormatting>
  <conditionalFormatting sqref="Q15">
    <cfRule type="dataBar" priority="13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{2F298310-3150-4BA3-9463-8BD99643DEF0}</x14:id>
        </ext>
      </extLst>
    </cfRule>
  </conditionalFormatting>
  <conditionalFormatting sqref="I1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{4AF97B4C-4DEF-4B55-947D-7478F14EC887}</x14:id>
        </ext>
      </extLst>
    </cfRule>
  </conditionalFormatting>
  <conditionalFormatting sqref="J15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{461C8EE2-EBB1-4E6A-B9ED-1AB7938DD6AC}</x14:id>
        </ext>
      </extLst>
    </cfRule>
  </conditionalFormatting>
  <conditionalFormatting sqref="E62">
    <cfRule type="containsText" dxfId="9346" priority="131" operator="containsText" text="Buy">
      <formula>NOT(ISERROR(SEARCH("Buy",E62)))</formula>
    </cfRule>
    <cfRule type="containsText" dxfId="9345" priority="132" operator="containsText" text="Sell">
      <formula>NOT(ISERROR(SEARCH("Sell",E62)))</formula>
    </cfRule>
  </conditionalFormatting>
  <conditionalFormatting sqref="E61">
    <cfRule type="containsText" dxfId="9344" priority="129" operator="containsText" text="Buy">
      <formula>NOT(ISERROR(SEARCH("Buy",E61)))</formula>
    </cfRule>
    <cfRule type="containsText" dxfId="9343" priority="130" operator="containsText" text="Sell">
      <formula>NOT(ISERROR(SEARCH("Sell",E61)))</formula>
    </cfRule>
  </conditionalFormatting>
  <conditionalFormatting sqref="E69">
    <cfRule type="containsText" dxfId="9342" priority="127" operator="containsText" text="Buy">
      <formula>NOT(ISERROR(SEARCH("Buy",E69)))</formula>
    </cfRule>
    <cfRule type="containsText" dxfId="9341" priority="128" operator="containsText" text="Sell">
      <formula>NOT(ISERROR(SEARCH("Sell",E69)))</formula>
    </cfRule>
  </conditionalFormatting>
  <conditionalFormatting sqref="E68">
    <cfRule type="containsText" dxfId="9340" priority="125" operator="containsText" text="Buy">
      <formula>NOT(ISERROR(SEARCH("Buy",E68)))</formula>
    </cfRule>
    <cfRule type="containsText" dxfId="9339" priority="126" operator="containsText" text="Sell">
      <formula>NOT(ISERROR(SEARCH("Sell",E68)))</formula>
    </cfRule>
  </conditionalFormatting>
  <conditionalFormatting sqref="E67">
    <cfRule type="containsText" dxfId="9338" priority="123" operator="containsText" text="Buy">
      <formula>NOT(ISERROR(SEARCH("Buy",E67)))</formula>
    </cfRule>
    <cfRule type="containsText" dxfId="9337" priority="124" operator="containsText" text="Sell">
      <formula>NOT(ISERROR(SEARCH("Sell",E67)))</formula>
    </cfRule>
  </conditionalFormatting>
  <conditionalFormatting sqref="E66">
    <cfRule type="containsText" dxfId="9336" priority="121" operator="containsText" text="Buy">
      <formula>NOT(ISERROR(SEARCH("Buy",E66)))</formula>
    </cfRule>
    <cfRule type="containsText" dxfId="9335" priority="122" operator="containsText" text="Sell">
      <formula>NOT(ISERROR(SEARCH("Sell",E66)))</formula>
    </cfRule>
  </conditionalFormatting>
  <conditionalFormatting sqref="E65">
    <cfRule type="containsText" dxfId="9334" priority="119" operator="containsText" text="Buy">
      <formula>NOT(ISERROR(SEARCH("Buy",E65)))</formula>
    </cfRule>
    <cfRule type="containsText" dxfId="9333" priority="120" operator="containsText" text="Sell">
      <formula>NOT(ISERROR(SEARCH("Sell",E65)))</formula>
    </cfRule>
  </conditionalFormatting>
  <conditionalFormatting sqref="E64">
    <cfRule type="containsText" dxfId="9332" priority="117" operator="containsText" text="Buy">
      <formula>NOT(ISERROR(SEARCH("Buy",E64)))</formula>
    </cfRule>
    <cfRule type="containsText" dxfId="9331" priority="118" operator="containsText" text="Sell">
      <formula>NOT(ISERROR(SEARCH("Sell",E64)))</formula>
    </cfRule>
  </conditionalFormatting>
  <conditionalFormatting sqref="E78">
    <cfRule type="containsText" dxfId="9330" priority="115" operator="containsText" text="Buy">
      <formula>NOT(ISERROR(SEARCH("Buy",E78)))</formula>
    </cfRule>
    <cfRule type="containsText" dxfId="9329" priority="116" operator="containsText" text="Sell">
      <formula>NOT(ISERROR(SEARCH("Sell",E78)))</formula>
    </cfRule>
  </conditionalFormatting>
  <conditionalFormatting sqref="E77">
    <cfRule type="containsText" dxfId="9328" priority="113" operator="containsText" text="Buy">
      <formula>NOT(ISERROR(SEARCH("Buy",E77)))</formula>
    </cfRule>
    <cfRule type="containsText" dxfId="9327" priority="114" operator="containsText" text="Sell">
      <formula>NOT(ISERROR(SEARCH("Sell",E77)))</formula>
    </cfRule>
  </conditionalFormatting>
  <conditionalFormatting sqref="E76">
    <cfRule type="containsText" dxfId="9326" priority="111" operator="containsText" text="Buy">
      <formula>NOT(ISERROR(SEARCH("Buy",E76)))</formula>
    </cfRule>
    <cfRule type="containsText" dxfId="9325" priority="112" operator="containsText" text="Sell">
      <formula>NOT(ISERROR(SEARCH("Sell",E76)))</formula>
    </cfRule>
  </conditionalFormatting>
  <conditionalFormatting sqref="E75">
    <cfRule type="containsText" dxfId="9324" priority="109" operator="containsText" text="Buy">
      <formula>NOT(ISERROR(SEARCH("Buy",E75)))</formula>
    </cfRule>
    <cfRule type="containsText" dxfId="9323" priority="110" operator="containsText" text="Sell">
      <formula>NOT(ISERROR(SEARCH("Sell",E75)))</formula>
    </cfRule>
  </conditionalFormatting>
  <conditionalFormatting sqref="E74">
    <cfRule type="containsText" dxfId="9322" priority="107" operator="containsText" text="Buy">
      <formula>NOT(ISERROR(SEARCH("Buy",E74)))</formula>
    </cfRule>
    <cfRule type="containsText" dxfId="9321" priority="108" operator="containsText" text="Sell">
      <formula>NOT(ISERROR(SEARCH("Sell",E74)))</formula>
    </cfRule>
  </conditionalFormatting>
  <conditionalFormatting sqref="E73">
    <cfRule type="containsText" dxfId="9320" priority="105" operator="containsText" text="Buy">
      <formula>NOT(ISERROR(SEARCH("Buy",E73)))</formula>
    </cfRule>
    <cfRule type="containsText" dxfId="9319" priority="106" operator="containsText" text="Sell">
      <formula>NOT(ISERROR(SEARCH("Sell",E73)))</formula>
    </cfRule>
  </conditionalFormatting>
  <conditionalFormatting sqref="E72">
    <cfRule type="containsText" dxfId="9318" priority="103" operator="containsText" text="Buy">
      <formula>NOT(ISERROR(SEARCH("Buy",E72)))</formula>
    </cfRule>
    <cfRule type="containsText" dxfId="9317" priority="104" operator="containsText" text="Sell">
      <formula>NOT(ISERROR(SEARCH("Sell",E72)))</formula>
    </cfRule>
  </conditionalFormatting>
  <conditionalFormatting sqref="E71">
    <cfRule type="containsText" dxfId="9316" priority="101" operator="containsText" text="Buy">
      <formula>NOT(ISERROR(SEARCH("Buy",E71)))</formula>
    </cfRule>
    <cfRule type="containsText" dxfId="9315" priority="102" operator="containsText" text="Sell">
      <formula>NOT(ISERROR(SEARCH("Sell",E71)))</formula>
    </cfRule>
  </conditionalFormatting>
  <conditionalFormatting sqref="I4:I16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{88772B6E-6DD3-4805-8691-6EC91DE48EDE}</x14:id>
        </ext>
      </extLst>
    </cfRule>
  </conditionalFormatting>
  <conditionalFormatting sqref="J4:J16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{4F1066D1-F38F-4DF2-8B2A-56A2C773E30D}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04EB11-0EE8-4C56-8FB6-F6E166A893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26B76ED9-2F96-4EC2-9DF3-ABAA26D9A2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37E1BF9-F7CC-48B3-B5EE-0CFE4E3063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55B648E-F10E-4FB6-B935-718844E68A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8758700-3DA3-4731-AA86-40AC430EC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E56B840E-E1BB-485E-BED3-638F96566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E869FA4-D0BA-47E0-BF86-047F6DE51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98CFD56-D500-457C-96FF-CF3F1B673E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FC5AD125-7F42-481D-9EAC-E168EA5F7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2049C426-CF62-4F8C-8652-AF8224938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818D07EA-0B04-4C99-8E53-39D83562C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225D3C6-4722-4DAC-9122-34FB9397C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03154F39-B8C3-4B9A-B3B0-49076F44A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E61A64EE-0C21-426B-AC05-7AAFF9141B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FACD74F-29CF-45FB-8055-B7DA68D183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BC89C8C1-7D60-41B9-BCF9-8164054F0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S10:X10</xm:sqref>
        </x14:conditionalFormatting>
        <x14:conditionalFormatting xmlns:xm="http://schemas.microsoft.com/office/excel/2006/main">
          <x14:cfRule type="dataBar" id="{C4BC0EE6-0EE6-46E2-9569-1CF464CF1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8F63BB50-B502-48A9-9344-1EFA2B146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E45C81-8D19-4B90-BB31-3EE900328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287F47AD-5CE1-4AD7-945C-0FA8228471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158D0E60-64B2-4FEA-80A3-F85227419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8BCD6909-CE55-490F-99E1-CF7872EEC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B5A3B8D-5B9F-46DE-A7B3-A877D85F35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778D1841-50EA-4FBA-A6EF-C3BEBF789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BF4AF0-8CD4-4EAD-B908-8F1ACABED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50748817-285A-4A36-92AF-FB102A65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FEC0B65-0C49-4BE6-9004-3D9EECDE94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4D9EE18-84BA-468D-A996-E2F14934A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62EF5AAC-148D-4C1A-B60D-F41B7055DC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AFC7069-C553-4D50-870F-EFC272F77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10ABA40-B7ED-43C0-8DD4-8782819F3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0530B571-15DA-41EC-9D9C-EC067BE16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91098990-39D3-4642-AA7C-CE0B7AE89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B4AD58F-251F-499E-B31F-C483B4BC4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5770CC6-1222-4A67-B6E2-2E06840C96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0E0A5BD-4EC3-4F2F-9B47-EA71CE6F2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6BCC549E-0E7E-48E3-949B-02CDE3B79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B501967-8FA0-45A0-B354-FF9FCF544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D2A14571-8BD8-4057-B8D7-D59226797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S16:W16</xm:sqref>
        </x14:conditionalFormatting>
        <x14:conditionalFormatting xmlns:xm="http://schemas.microsoft.com/office/excel/2006/main">
          <x14:cfRule type="dataBar" id="{41D6A99E-EDD3-4E9B-94BC-F9CE1503A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D548697-CFD8-4E12-B158-2C05AECE3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B512085-8CCF-4ED3-98D5-1440FB14A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F919F2C0-B7A1-4548-B935-8D096A27B5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F377FD55-1DAA-44D2-BB46-01F29DAF00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01C32FD-0209-49B0-8163-44BE8CB5C4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21255E2E-985E-406E-A8DC-6A6AFF1945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71E0712-2CB0-40B0-9474-0E5F99622F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S16:X16</xm:sqref>
        </x14:conditionalFormatting>
        <x14:conditionalFormatting xmlns:xm="http://schemas.microsoft.com/office/excel/2006/main">
          <x14:cfRule type="dataBar" id="{1167F003-247A-4AB2-B59F-A9360E41CA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2167BD1A-E3A9-473D-9CB0-6AF802424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377B9BB7-3585-47FB-A282-D86FF838B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J16</xm:sqref>
        </x14:conditionalFormatting>
        <x14:conditionalFormatting xmlns:xm="http://schemas.microsoft.com/office/excel/2006/main">
          <x14:cfRule type="dataBar" id="{11FCE8FD-8F3F-46F9-BFA8-CBC7C73F5C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I16:J16</xm:sqref>
        </x14:conditionalFormatting>
        <x14:conditionalFormatting xmlns:xm="http://schemas.microsoft.com/office/excel/2006/main">
          <x14:cfRule type="dataBar" id="{F38775D9-BFFD-49B6-85B2-16781C50E9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I7:J9 J5</xm:sqref>
        </x14:conditionalFormatting>
        <x14:conditionalFormatting xmlns:xm="http://schemas.microsoft.com/office/excel/2006/main">
          <x14:cfRule type="dataBar" id="{FA8B32E0-486D-4E8A-8359-EB3E2F3FA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0FA9D823-24FC-45BA-B628-A9FF9A8C76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0ACFF52B-DF35-4A7E-9CAE-0EED6812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S7:W9</xm:sqref>
        </x14:conditionalFormatting>
        <x14:conditionalFormatting xmlns:xm="http://schemas.microsoft.com/office/excel/2006/main">
          <x14:cfRule type="dataBar" id="{5ADFD35B-D01E-4E8C-BFE5-59659F26F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X7:X9</xm:sqref>
        </x14:conditionalFormatting>
        <x14:conditionalFormatting xmlns:xm="http://schemas.microsoft.com/office/excel/2006/main">
          <x14:cfRule type="dataBar" id="{BBEF4D23-F265-4E9F-95BA-51A405E40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S7:S9</xm:sqref>
        </x14:conditionalFormatting>
        <x14:conditionalFormatting xmlns:xm="http://schemas.microsoft.com/office/excel/2006/main">
          <x14:cfRule type="dataBar" id="{C4F6ADF9-5E3B-42FC-9B37-03788F72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T7:T9</xm:sqref>
        </x14:conditionalFormatting>
        <x14:conditionalFormatting xmlns:xm="http://schemas.microsoft.com/office/excel/2006/main">
          <x14:cfRule type="dataBar" id="{67CC2483-DB5C-4B16-BBCF-70D4D0E2B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U7:U9</xm:sqref>
        </x14:conditionalFormatting>
        <x14:conditionalFormatting xmlns:xm="http://schemas.microsoft.com/office/excel/2006/main">
          <x14:cfRule type="dataBar" id="{6EED2785-5861-400B-BA94-9AF0E6B3A6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V7:V9</xm:sqref>
        </x14:conditionalFormatting>
        <x14:conditionalFormatting xmlns:xm="http://schemas.microsoft.com/office/excel/2006/main">
          <x14:cfRule type="dataBar" id="{B34C3F77-8AB0-4EF7-8CE2-0664ECA68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W7:W9</xm:sqref>
        </x14:conditionalFormatting>
        <x14:conditionalFormatting xmlns:xm="http://schemas.microsoft.com/office/excel/2006/main">
          <x14:cfRule type="dataBar" id="{A697DB75-D463-4AA5-B4F3-E935485E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Y7:Y9</xm:sqref>
        </x14:conditionalFormatting>
        <x14:conditionalFormatting xmlns:xm="http://schemas.microsoft.com/office/excel/2006/main">
          <x14:cfRule type="dataBar" id="{85322D94-275A-4412-8070-270DA2FE3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S7:X9</xm:sqref>
        </x14:conditionalFormatting>
        <x14:conditionalFormatting xmlns:xm="http://schemas.microsoft.com/office/excel/2006/main">
          <x14:cfRule type="dataBar" id="{65968218-E025-4648-8EC2-A5432AC2F5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54E40FC-072A-4202-B9EB-325FE5007F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I7:I9 I5</xm:sqref>
        </x14:conditionalFormatting>
        <x14:conditionalFormatting xmlns:xm="http://schemas.microsoft.com/office/excel/2006/main">
          <x14:cfRule type="dataBar" id="{0293BA43-DDE7-40DE-8B9B-CEA1DF86E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J7:J9 J5</xm:sqref>
        </x14:conditionalFormatting>
        <x14:conditionalFormatting xmlns:xm="http://schemas.microsoft.com/office/excel/2006/main">
          <x14:cfRule type="dataBar" id="{4C089F97-A6E5-4928-8D30-FCA75A8BBC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I7:J10 I5:J5</xm:sqref>
        </x14:conditionalFormatting>
        <x14:conditionalFormatting xmlns:xm="http://schemas.microsoft.com/office/excel/2006/main">
          <x14:cfRule type="dataBar" id="{7BB22598-D190-4C29-B68A-652F5BEA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9DC9CCF-7295-4633-A62C-C851531F4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841E7669-9744-493C-8928-ADB7A5CE8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F5E4B5AC-829C-4229-AD05-485DE8AF88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449658FD-5207-4FBE-93ED-A2B9F6CCC3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  <x14:conditionalFormatting xmlns:xm="http://schemas.microsoft.com/office/excel/2006/main">
          <x14:cfRule type="dataBar" id="{EC1BEF35-51D4-4D20-ADB9-F200FE8B9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DA6C9B2-04E4-452D-835B-884F8A009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FFDB664F-7964-4DE5-9600-03C8C286B9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A860CD-CC42-4686-BC1F-ACE0AF7B2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E92CC93F-B3BE-4952-9A4B-98F38E3AA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833918-2B64-42C5-9F7D-62E25623D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2A0AF43-C5C1-414D-A299-E35F98BA5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3F57777C-77AF-4B20-B861-DC5E4170EC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A35D552-550A-4235-9681-5C6194E74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CE36D28A-0BAE-413B-B513-D6D6160B1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4B1484B-C1F6-4866-A48E-BA2704BA46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A9073D1-87E8-4B1B-9BC3-33952D6249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5956811-F471-4746-9DBD-C56B68DDB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C18FA89-356E-418B-B48A-375ED7427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7E179AA-DDE8-4384-994A-49A491BE0D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FAEA8EAF-441B-4200-8085-D882C564C7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DCB4B3A-0477-4B8A-A8C2-79AEFB97F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EACFD85C-8B54-4DA6-B4F1-2E613800E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DBB87C9-3A6D-41C0-A71A-0CEEEBD3E9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A2C0F34-719C-4CB7-8B34-4F0B169B2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98D5E46A-ADE6-4522-87A8-0C14A1E66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3F2D4B69-4D81-47F7-A120-7F0C6CC20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6995EF5-FE47-45AB-AB40-CA558CA80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B4ACD8ED-1B89-4F69-9D66-2B90C942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4BF73C3-AFEC-4D03-8E1C-2D8A4F6C9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ACEB8D9-A66E-44F7-9006-0B9AA082B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BC48060-6C25-4181-A2C8-901D600A0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7389ADBD-A9BA-498A-9CCB-127A5FEB73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CDCB3FE-E1FC-4006-A02B-1E19F62E12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1AC979D-44A3-49A4-AB07-9A7558FE5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159F716-D343-4F45-9CC5-E7ABFC16B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64917916-79FE-43C4-B485-10CD6953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32E4EEDE-8E82-4748-BE99-184397B62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EBC4D5D8-5DB9-4B9A-BEF7-98BF59A1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I5:I10 I16</xm:sqref>
        </x14:conditionalFormatting>
        <x14:conditionalFormatting xmlns:xm="http://schemas.microsoft.com/office/excel/2006/main">
          <x14:cfRule type="dataBar" id="{3BD1833D-4360-451B-B4C8-2E7E1C4385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J5:J10 J16</xm:sqref>
        </x14:conditionalFormatting>
        <x14:conditionalFormatting xmlns:xm="http://schemas.microsoft.com/office/excel/2006/main">
          <x14:cfRule type="dataBar" id="{42E0474E-0F45-4637-B722-9E7BD336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7A424AD3-2498-4036-A000-E50361460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4EE8491-0188-481C-A590-E6C3421F77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74874FC-5CE8-415C-B738-89B35CEEE4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A68F4025-A223-4707-84F8-07BAA909C0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CF7702F-E196-4AF7-B5D0-162B0B62F2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96FDC94-49E4-44A8-96DE-1D89880820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0FE3C6AB-C856-4C53-8F2F-A206D4803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515CD24-278F-4E27-A31B-C878BBAE1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CAE9FA7-BF1E-451A-9CD2-4B11C4A918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BEC444D-3532-4E58-9445-695464B7C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1D96A6-8072-41BC-A956-1C29C54283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D1A13DC-9086-452D-8E7A-37B247AF4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270EE589-5D1E-4C40-8CC5-668A9C674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74F8BC8-ECC0-4390-9E58-E83DAC8EF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4B5806E-6E81-4CB3-AB67-785514BAB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4C24CB1-D54F-4E0E-80DD-C6CDABA2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5D593DA-80DE-41DE-9C9E-EACA737A5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74B1E3C-0C9E-4810-9F6E-151FD19CE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85D3FE9-2C03-4012-9809-32938837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4C2B31F2-99B3-4B86-B8D8-8278E166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9BBDD194-849A-43F0-A79B-34F5BA14F5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DDF8597E-7DF1-4AD2-AD92-66703AB27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5B245CF-8318-4062-AC9A-2C1AE77CC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0ED823F0-4A52-45D5-8E04-D980748E38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F9224897-1807-43B0-959C-01C76457CD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AD6898BA-7679-42E6-A621-770CE0103A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F63E3E41-C5D9-47CF-AED0-FCB1BEBB6E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S12:W12</xm:sqref>
        </x14:conditionalFormatting>
        <x14:conditionalFormatting xmlns:xm="http://schemas.microsoft.com/office/excel/2006/main">
          <x14:cfRule type="dataBar" id="{BC09ED4D-B72B-4662-858C-18916DB76F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10FD-0A41-46B9-AD46-A2AE961E7F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FA8DD97-E60C-48EA-BE7F-3BE2EDF89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7D7077CF-3EB6-42FC-9FD8-1388481EC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D2AE4A5-3905-47C1-B2D0-0583930A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1E18904-6520-414C-9A04-C883CBAB7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067D77B-633D-4D49-96C2-A165DFC5F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F6986A73-79E1-45FD-81D9-0EB9F3353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S12:X12</xm:sqref>
        </x14:conditionalFormatting>
        <x14:conditionalFormatting xmlns:xm="http://schemas.microsoft.com/office/excel/2006/main">
          <x14:cfRule type="dataBar" id="{E7AEB441-CF7E-4DD4-888D-54124A933F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A885442-561A-4657-9425-8E8FA8C5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D13ED07-3F08-4ED1-AA79-C5A5B1D3BD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22F6CC5E-DF49-46D6-BF06-CE96B97A91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I12:J12</xm:sqref>
        </x14:conditionalFormatting>
        <x14:conditionalFormatting xmlns:xm="http://schemas.microsoft.com/office/excel/2006/main">
          <x14:cfRule type="dataBar" id="{30496C43-0FF6-4A57-A6BC-3EFCA1EE06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CB9B1282-8F0E-4F44-B3C0-BBEAA0CDEB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46499372-1EE8-4029-8688-D0B15B7A6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968C6F0F-C8BD-4FBD-9304-C2993B4E7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CDE33EA7-C699-43D5-9AF1-8E19538B27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B82D242C-E11A-4523-AF65-E2E3662763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4F7D5D52-12AA-4D6E-AACF-B222DCD11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E50AED8A-2853-4241-B658-D9F4C7ED7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S13:W13</xm:sqref>
        </x14:conditionalFormatting>
        <x14:conditionalFormatting xmlns:xm="http://schemas.microsoft.com/office/excel/2006/main">
          <x14:cfRule type="dataBar" id="{8F42E56F-9010-4E30-AD20-90DA3330E9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718504BC-F315-439F-9546-48E00C53B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53419AA4-ED70-4378-9354-8FE795BA81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6564A2A1-FAE9-4476-96AF-80B2D13E4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85A180C2-C28F-4296-9164-BB19AFBC9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67CF125-B4AE-48DE-900E-BF0D74B435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49CC5F1-5DD2-498D-A015-FB0AE7D22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6E11D99-4858-4091-9DF4-AD479FBD4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S13:X13</xm:sqref>
        </x14:conditionalFormatting>
        <x14:conditionalFormatting xmlns:xm="http://schemas.microsoft.com/office/excel/2006/main">
          <x14:cfRule type="dataBar" id="{9C401C58-2547-45A8-9417-3F39DA50A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69529450-A1E1-4AAB-AC6F-BBEF5C0217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122DFD8A-9ED2-418F-B56A-254129CEA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33F4B129-7F70-4B4B-AA78-1F5B34CC3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I13:J13</xm:sqref>
        </x14:conditionalFormatting>
        <x14:conditionalFormatting xmlns:xm="http://schemas.microsoft.com/office/excel/2006/main">
          <x14:cfRule type="dataBar" id="{C84AB031-AEFA-48D6-AAD8-35ED7C44C1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58D3815C-319A-4BC4-9E73-680D28DF91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D0DF460-93DF-4F86-BC94-8B4D0769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C068C9B2-D4FD-47C8-AA18-4052825D0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</xm:sqref>
        </x14:conditionalFormatting>
        <x14:conditionalFormatting xmlns:xm="http://schemas.microsoft.com/office/excel/2006/main">
          <x14:cfRule type="dataBar" id="{9696E106-030C-4DC1-86A4-2C7A11F2B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A3937860-2537-4A11-A994-F8F45C6C2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A932ABE8-C9DD-48E1-9E25-BF2102B84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DC7CD040-8021-43D3-9C91-EDA0DDFB24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S14:W14</xm:sqref>
        </x14:conditionalFormatting>
        <x14:conditionalFormatting xmlns:xm="http://schemas.microsoft.com/office/excel/2006/main">
          <x14:cfRule type="dataBar" id="{859A9956-1B6B-4130-9644-5F6C35EC9A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3DBA414-2B6C-4A16-AC74-F2FD9B7E3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04916C3-76CB-4E03-B772-75A78CEFB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F3810522-7D56-4AF3-A88A-6225A78B7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6C490B65-AD66-40F3-B50C-0E668DF4C6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000CC1BF-EFCD-45AD-A09E-05B38568F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DAA13D3C-A6B1-4ADF-8512-FF6F75568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2BB0DD08-FDB0-44C1-9206-40FDFC18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S14:X14</xm:sqref>
        </x14:conditionalFormatting>
        <x14:conditionalFormatting xmlns:xm="http://schemas.microsoft.com/office/excel/2006/main">
          <x14:cfRule type="dataBar" id="{4E22A124-2341-4A25-B4A3-2078B78B84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2EBA3D1-3AAC-4E3B-A5B4-B61EFEB4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7E31BEDA-04B0-48BC-B8B1-912A6D1A6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E1E0D22B-5D46-46DC-B693-EA03F5072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I14:J14</xm:sqref>
        </x14:conditionalFormatting>
        <x14:conditionalFormatting xmlns:xm="http://schemas.microsoft.com/office/excel/2006/main">
          <x14:cfRule type="dataBar" id="{054771FC-DF98-4D41-AAF0-5B54E44E5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DD9508C5-3BF9-4DC9-AE36-843564CB64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26F94AB8-4B80-4A5A-9AB0-39B49BE7CD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0ED135A9-CC77-4634-91AF-15894ABD55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J14</xm:sqref>
        </x14:conditionalFormatting>
        <x14:conditionalFormatting xmlns:xm="http://schemas.microsoft.com/office/excel/2006/main">
          <x14:cfRule type="dataBar" id="{198C3A7A-586C-4323-8428-312DF7FA03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23394F2C-92B1-4D1D-B1EA-B087107DEB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147C37A-8E28-4C67-A940-A79D8A22ED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CD4E8AE4-3305-4813-9CB6-4E75F6A948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S15:W15</xm:sqref>
        </x14:conditionalFormatting>
        <x14:conditionalFormatting xmlns:xm="http://schemas.microsoft.com/office/excel/2006/main">
          <x14:cfRule type="dataBar" id="{2D3FA653-FA74-4DC1-B999-AE89E6CABB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894DB8B-445C-4FD8-9A42-C680C2A799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69016988-D180-4C1C-B95C-B39C21D44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10592873-80B8-4D88-BEDB-F41115631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0FA7AA16-6B26-417F-B4D8-F1EC59BA3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B1E97C2-E0A5-4F60-9FC1-3C4B6790B2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5AF9E01D-ED23-4E2D-A2B9-59B93869CD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B7587A8-A583-42C6-85D0-94CE629A9A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S15:X15</xm:sqref>
        </x14:conditionalFormatting>
        <x14:conditionalFormatting xmlns:xm="http://schemas.microsoft.com/office/excel/2006/main">
          <x14:cfRule type="dataBar" id="{72F29907-5F3C-470C-99BE-D21933B27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CE8CC506-347D-4755-8C50-59A580723D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F6AA816D-0C8F-4677-810F-BCD32876B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300651F6-ED59-4E06-8BFF-1E5B0D385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I15:J15</xm:sqref>
        </x14:conditionalFormatting>
        <x14:conditionalFormatting xmlns:xm="http://schemas.microsoft.com/office/excel/2006/main">
          <x14:cfRule type="dataBar" id="{88164B37-D641-46C5-A3F5-DDF0AEC1A9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F298310-3150-4BA3-9463-8BD99643DE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4AF97B4C-4DEF-4B55-947D-7478F14EC8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1C8EE2-EBB1-4E6A-B9ED-1AB7938DD6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88772B6E-6DD3-4805-8691-6EC91DE48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4F1066D1-F38F-4DF2-8B2A-56A2C773E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  <pageSetUpPr fitToPage="1"/>
  </sheetPr>
  <dimension ref="A1:T331"/>
  <sheetViews>
    <sheetView workbookViewId="0">
      <selection activeCell="C7" sqref="C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9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1.28515625" style="32" customWidth="1"/>
    <col min="16" max="16" width="9.42578125" style="32" customWidth="1"/>
    <col min="17" max="17" width="14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5.5703125" style="32" bestFit="1" customWidth="1"/>
    <col min="22" max="24" width="9.140625" style="32"/>
    <col min="25" max="25" width="9.140625" style="32" customWidth="1"/>
    <col min="26" max="16384" width="9.140625" style="32"/>
  </cols>
  <sheetData>
    <row r="1" spans="1:2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775</v>
      </c>
      <c r="R3" s="50" t="s">
        <v>747</v>
      </c>
      <c r="S3" s="83" t="s">
        <v>128</v>
      </c>
      <c r="T3" s="83" t="s">
        <v>129</v>
      </c>
    </row>
    <row r="4" spans="1:20" s="103" customFormat="1" x14ac:dyDescent="0.2">
      <c r="A4" s="103" t="s">
        <v>756</v>
      </c>
      <c r="B4" s="46" t="e">
        <f ca="1">_xll.BDP(C4,"SECURITY_NAME")</f>
        <v>#NAME?</v>
      </c>
      <c r="C4" s="103" t="s">
        <v>697</v>
      </c>
      <c r="D4" s="44" t="e">
        <f t="shared" ref="D4:D12" ca="1" si="0">N4/$N$13</f>
        <v>#NAME?</v>
      </c>
      <c r="E4" s="43">
        <f>$F$46</f>
        <v>1000000</v>
      </c>
      <c r="F4" s="38">
        <f>$H$46</f>
        <v>92.45</v>
      </c>
      <c r="G4" s="38" t="e">
        <f ca="1">_xll.BDP(C4,"PX_ASK")</f>
        <v>#NAME?</v>
      </c>
      <c r="H4" s="106" t="e">
        <f ca="1">_xll.BDP($C4,"CRNCY")</f>
        <v>#NAME?</v>
      </c>
      <c r="I4" s="44" t="e">
        <f t="shared" ref="I4:I11" ca="1" si="1">M4/K4-1</f>
        <v>#NAME?</v>
      </c>
      <c r="J4" s="44" t="e">
        <f t="shared" ref="J4:J11" ca="1" si="2">G4/F4-1</f>
        <v>#NAME?</v>
      </c>
      <c r="K4" s="43" t="e">
        <f ca="1">$K$46</f>
        <v>#NAME?</v>
      </c>
      <c r="L4" s="43">
        <f t="shared" ref="L4:L11" si="3">E4*F4/100</f>
        <v>924500</v>
      </c>
      <c r="M4" s="43" t="e">
        <f t="shared" ref="M4:M11" ca="1" si="4">E4*G4/100 *$I$1</f>
        <v>#NAME?</v>
      </c>
      <c r="N4" s="43" t="e">
        <f t="shared" ref="N4:N11" ca="1" si="5">M4/$I$1</f>
        <v>#NAME?</v>
      </c>
      <c r="O4" s="142" t="e">
        <f t="shared" ref="O4:P11" ca="1" si="6">M4-K4</f>
        <v>#NAME?</v>
      </c>
      <c r="P4" s="142" t="e">
        <f t="shared" ca="1" si="6"/>
        <v>#NAME?</v>
      </c>
      <c r="Q4" s="44" t="e">
        <f ca="1">_xll.BDP(C4,"YLD_YTM_BID")/100</f>
        <v>#NAME?</v>
      </c>
      <c r="R4" s="773" t="e">
        <f ca="1">E4*_xll.BDP(C4,"PX_GROSS_ASK")/100</f>
        <v>#NAME?</v>
      </c>
      <c r="S4" s="82" t="e">
        <f ca="1">_xll.BDP($C4,"CHG_PCT_YTD")</f>
        <v>#NAME?</v>
      </c>
      <c r="T4" s="82" t="e">
        <f ca="1">_xll.BDP($C4,"CHG_PCT_1YR")</f>
        <v>#NAME?</v>
      </c>
    </row>
    <row r="5" spans="1:20" s="103" customFormat="1" x14ac:dyDescent="0.2">
      <c r="A5" s="103" t="s">
        <v>756</v>
      </c>
      <c r="B5" s="46" t="e">
        <f ca="1">_xll.BDP(C5,"SECURITY_NAME")</f>
        <v>#NAME?</v>
      </c>
      <c r="C5" s="103" t="s">
        <v>156</v>
      </c>
      <c r="D5" s="44" t="e">
        <f t="shared" ca="1" si="0"/>
        <v>#NAME?</v>
      </c>
      <c r="E5" s="43">
        <f>$F$31</f>
        <v>1000000</v>
      </c>
      <c r="F5" s="38">
        <f>$H$31</f>
        <v>103.49999999999999</v>
      </c>
      <c r="G5" s="38" t="e">
        <f ca="1">_xll.BDP(C5,"PX_ASK")</f>
        <v>#NAME?</v>
      </c>
      <c r="H5" s="106" t="e">
        <f ca="1">_xll.BDP($C5,"CRNCY")</f>
        <v>#NAME?</v>
      </c>
      <c r="I5" s="44" t="e">
        <f t="shared" ca="1" si="1"/>
        <v>#NAME?</v>
      </c>
      <c r="J5" s="44" t="e">
        <f t="shared" ca="1" si="2"/>
        <v>#NAME?</v>
      </c>
      <c r="K5" s="43" t="e">
        <f ca="1">$K$31</f>
        <v>#NAME?</v>
      </c>
      <c r="L5" s="43">
        <f t="shared" si="3"/>
        <v>1034999.9999999999</v>
      </c>
      <c r="M5" s="43" t="e">
        <f t="shared" ca="1" si="4"/>
        <v>#NAME?</v>
      </c>
      <c r="N5" s="43" t="e">
        <f t="shared" ca="1" si="5"/>
        <v>#NAME?</v>
      </c>
      <c r="O5" s="142" t="e">
        <f t="shared" ca="1" si="6"/>
        <v>#NAME?</v>
      </c>
      <c r="P5" s="142" t="e">
        <f t="shared" ca="1" si="6"/>
        <v>#NAME?</v>
      </c>
      <c r="Q5" s="44" t="e">
        <f ca="1">_xll.BDP(C5,"YLD_YTM_BID")/100</f>
        <v>#NAME?</v>
      </c>
      <c r="R5" s="773" t="e">
        <f ca="1">E5*_xll.BDP(C5,"PX_GROSS_ASK")/100</f>
        <v>#NAME?</v>
      </c>
      <c r="S5" s="82" t="e">
        <f ca="1">_xll.BDP($C5,"CHG_PCT_YTD")</f>
        <v>#NAME?</v>
      </c>
      <c r="T5" s="82" t="e">
        <f ca="1">_xll.BDP($C5,"CHG_PCT_1YR")</f>
        <v>#NAME?</v>
      </c>
    </row>
    <row r="6" spans="1:20" s="103" customFormat="1" x14ac:dyDescent="0.2">
      <c r="A6" s="103" t="s">
        <v>756</v>
      </c>
      <c r="B6" s="46" t="e">
        <f ca="1">_xll.BDP(C6,"SECURITY_NAME")</f>
        <v>#NAME?</v>
      </c>
      <c r="C6" s="103" t="s">
        <v>225</v>
      </c>
      <c r="D6" s="44" t="e">
        <f t="shared" ca="1" si="0"/>
        <v>#NAME?</v>
      </c>
      <c r="E6" s="43">
        <f>$F$27</f>
        <v>1000000</v>
      </c>
      <c r="F6" s="38">
        <f>$H$27</f>
        <v>100.69999999999999</v>
      </c>
      <c r="G6" s="38" t="e">
        <f ca="1">_xll.BDP(C6,"PX_ASK")</f>
        <v>#NAME?</v>
      </c>
      <c r="H6" s="106" t="e">
        <f ca="1">_xll.BDP($C6,"CRNCY")</f>
        <v>#NAME?</v>
      </c>
      <c r="I6" s="44" t="e">
        <f t="shared" ca="1" si="1"/>
        <v>#NAME?</v>
      </c>
      <c r="J6" s="44" t="e">
        <f t="shared" ca="1" si="2"/>
        <v>#NAME?</v>
      </c>
      <c r="K6" s="43" t="e">
        <f ca="1">$K$27</f>
        <v>#NAME?</v>
      </c>
      <c r="L6" s="43">
        <f t="shared" si="3"/>
        <v>1006999.9999999999</v>
      </c>
      <c r="M6" s="43" t="e">
        <f t="shared" ca="1" si="4"/>
        <v>#NAME?</v>
      </c>
      <c r="N6" s="43" t="e">
        <f t="shared" ca="1" si="5"/>
        <v>#NAME?</v>
      </c>
      <c r="O6" s="142" t="e">
        <f t="shared" ca="1" si="6"/>
        <v>#NAME?</v>
      </c>
      <c r="P6" s="142" t="e">
        <f t="shared" ca="1" si="6"/>
        <v>#NAME?</v>
      </c>
      <c r="Q6" s="44" t="e">
        <f ca="1">_xll.BDP(C6,"YLD_YTM_BID")/100</f>
        <v>#NAME?</v>
      </c>
      <c r="R6" s="773" t="e">
        <f ca="1">E6*_xll.BDP(C6,"PX_GROSS_ASK")/100</f>
        <v>#NAME?</v>
      </c>
      <c r="S6" s="82" t="e">
        <f ca="1">_xll.BDP($C6,"CHG_PCT_YTD")</f>
        <v>#NAME?</v>
      </c>
      <c r="T6" s="82" t="e">
        <f ca="1">_xll.BDP($C6,"CHG_PCT_1YR")</f>
        <v>#NAME?</v>
      </c>
    </row>
    <row r="7" spans="1:20" s="103" customFormat="1" x14ac:dyDescent="0.2">
      <c r="A7" s="103" t="s">
        <v>756</v>
      </c>
      <c r="B7" s="46" t="e">
        <f ca="1">_xll.BDP(C7,"SECURITY_NAME")</f>
        <v>#NAME?</v>
      </c>
      <c r="C7" s="103" t="s">
        <v>453</v>
      </c>
      <c r="D7" s="44" t="e">
        <f t="shared" ca="1" si="0"/>
        <v>#NAME?</v>
      </c>
      <c r="E7" s="43">
        <f>$F$42</f>
        <v>1000000</v>
      </c>
      <c r="F7" s="38">
        <f>$H$42</f>
        <v>102.54</v>
      </c>
      <c r="G7" s="38" t="e">
        <f ca="1">_xll.BDP(C7,"PX_ASK")</f>
        <v>#NAME?</v>
      </c>
      <c r="H7" s="106" t="e">
        <f ca="1">_xll.BDP($C7,"CRNCY")</f>
        <v>#NAME?</v>
      </c>
      <c r="I7" s="44" t="e">
        <f t="shared" ca="1" si="1"/>
        <v>#NAME?</v>
      </c>
      <c r="J7" s="44" t="e">
        <f t="shared" ca="1" si="2"/>
        <v>#NAME?</v>
      </c>
      <c r="K7" s="43" t="e">
        <f ca="1">$K$42</f>
        <v>#NAME?</v>
      </c>
      <c r="L7" s="43">
        <f t="shared" si="3"/>
        <v>1025400</v>
      </c>
      <c r="M7" s="43" t="e">
        <f t="shared" ca="1" si="4"/>
        <v>#NAME?</v>
      </c>
      <c r="N7" s="43" t="e">
        <f t="shared" ca="1" si="5"/>
        <v>#NAME?</v>
      </c>
      <c r="O7" s="142" t="e">
        <f t="shared" ca="1" si="6"/>
        <v>#NAME?</v>
      </c>
      <c r="P7" s="142" t="e">
        <f t="shared" ca="1" si="6"/>
        <v>#NAME?</v>
      </c>
      <c r="Q7" s="44" t="e">
        <f ca="1">_xll.BDP(C7,"YLD_YTM_BID")/100</f>
        <v>#NAME?</v>
      </c>
      <c r="R7" s="773" t="e">
        <f ca="1">E7*_xll.BDP(C7,"PX_GROSS_ASK")/100</f>
        <v>#NAME?</v>
      </c>
      <c r="S7" s="82" t="e">
        <f ca="1">_xll.BDP($C7,"CHG_PCT_YTD")</f>
        <v>#NAME?</v>
      </c>
      <c r="T7" s="82" t="e">
        <f ca="1">_xll.BDP($C7,"CHG_PCT_1YR")</f>
        <v>#NAME?</v>
      </c>
    </row>
    <row r="8" spans="1:20" s="103" customFormat="1" x14ac:dyDescent="0.2">
      <c r="A8" s="103" t="s">
        <v>756</v>
      </c>
      <c r="B8" s="46" t="e">
        <f ca="1">_xll.BDP(C8,"SECURITY_NAME")</f>
        <v>#NAME?</v>
      </c>
      <c r="C8" s="103" t="s">
        <v>755</v>
      </c>
      <c r="D8" s="44" t="e">
        <f t="shared" ca="1" si="0"/>
        <v>#NAME?</v>
      </c>
      <c r="E8" s="43">
        <f>$F$52</f>
        <v>550000</v>
      </c>
      <c r="F8" s="38">
        <f>$H$52</f>
        <v>110.75</v>
      </c>
      <c r="G8" s="38" t="e">
        <f ca="1">_xll.BDP(C8,"PX_ASK")</f>
        <v>#NAME?</v>
      </c>
      <c r="H8" s="106" t="e">
        <f ca="1">_xll.BDP($C8,"CRNCY")</f>
        <v>#NAME?</v>
      </c>
      <c r="I8" s="44" t="e">
        <f t="shared" ca="1" si="1"/>
        <v>#NAME?</v>
      </c>
      <c r="J8" s="44" t="e">
        <f t="shared" ca="1" si="2"/>
        <v>#NAME?</v>
      </c>
      <c r="K8" s="43" t="e">
        <f ca="1">$K$52</f>
        <v>#NAME?</v>
      </c>
      <c r="L8" s="43">
        <f t="shared" si="3"/>
        <v>609125</v>
      </c>
      <c r="M8" s="43" t="e">
        <f t="shared" ca="1" si="4"/>
        <v>#NAME?</v>
      </c>
      <c r="N8" s="43" t="e">
        <f t="shared" ca="1" si="5"/>
        <v>#NAME?</v>
      </c>
      <c r="O8" s="142" t="e">
        <f t="shared" ca="1" si="6"/>
        <v>#NAME?</v>
      </c>
      <c r="P8" s="142" t="e">
        <f t="shared" ca="1" si="6"/>
        <v>#NAME?</v>
      </c>
      <c r="Q8" s="44" t="e">
        <f ca="1">_xll.BDP(C8,"YLD_YTM_BID")/100</f>
        <v>#NAME?</v>
      </c>
      <c r="R8" s="773" t="e">
        <f ca="1">E8*_xll.BDP(C8,"PX_GROSS_ASK")/100</f>
        <v>#NAME?</v>
      </c>
      <c r="S8" s="82" t="e">
        <f ca="1">_xll.BDP($C8,"CHG_PCT_YTD")</f>
        <v>#NAME?</v>
      </c>
      <c r="T8" s="82" t="e">
        <f ca="1">_xll.BDP($C8,"CHG_PCT_1YR")</f>
        <v>#NAME?</v>
      </c>
    </row>
    <row r="9" spans="1:20" s="103" customFormat="1" x14ac:dyDescent="0.2">
      <c r="A9" s="103" t="s">
        <v>756</v>
      </c>
      <c r="B9" s="46" t="e">
        <f ca="1">_xll.BDP(C9,"SECURITY_NAME")</f>
        <v>#NAME?</v>
      </c>
      <c r="C9" s="103" t="s">
        <v>373</v>
      </c>
      <c r="D9" s="44" t="e">
        <f t="shared" ca="1" si="0"/>
        <v>#NAME?</v>
      </c>
      <c r="E9" s="43">
        <f>$F$38</f>
        <v>500000</v>
      </c>
      <c r="F9" s="38">
        <f>$H$38</f>
        <v>107.5</v>
      </c>
      <c r="G9" s="38" t="e">
        <f ca="1">_xll.BDP(C9,"PX_ASK")</f>
        <v>#NAME?</v>
      </c>
      <c r="H9" s="106" t="e">
        <f ca="1">_xll.BDP($C9,"CRNCY")</f>
        <v>#NAME?</v>
      </c>
      <c r="I9" s="44" t="e">
        <f t="shared" ca="1" si="1"/>
        <v>#NAME?</v>
      </c>
      <c r="J9" s="44" t="e">
        <f t="shared" ca="1" si="2"/>
        <v>#NAME?</v>
      </c>
      <c r="K9" s="43" t="e">
        <f ca="1">$K$38</f>
        <v>#NAME?</v>
      </c>
      <c r="L9" s="43">
        <f t="shared" si="3"/>
        <v>537500</v>
      </c>
      <c r="M9" s="43" t="e">
        <f t="shared" ca="1" si="4"/>
        <v>#NAME?</v>
      </c>
      <c r="N9" s="43" t="e">
        <f t="shared" ca="1" si="5"/>
        <v>#NAME?</v>
      </c>
      <c r="O9" s="142" t="e">
        <f t="shared" ca="1" si="6"/>
        <v>#NAME?</v>
      </c>
      <c r="P9" s="142" t="e">
        <f t="shared" ca="1" si="6"/>
        <v>#NAME?</v>
      </c>
      <c r="Q9" s="44" t="e">
        <f ca="1">_xll.BDP(C9,"YLD_YTM_BID")/100</f>
        <v>#NAME?</v>
      </c>
      <c r="R9" s="773" t="e">
        <f ca="1">E9*_xll.BDP(C9,"PX_GROSS_ASK")/100</f>
        <v>#NAME?</v>
      </c>
      <c r="S9" s="82" t="e">
        <f ca="1">_xll.BDP($C9,"CHG_PCT_YTD")</f>
        <v>#NAME?</v>
      </c>
      <c r="T9" s="82" t="e">
        <f ca="1">_xll.BDP($C9,"CHG_PCT_1YR")</f>
        <v>#NAME?</v>
      </c>
    </row>
    <row r="10" spans="1:20" s="103" customFormat="1" x14ac:dyDescent="0.2">
      <c r="A10" s="103" t="s">
        <v>756</v>
      </c>
      <c r="B10" s="46" t="e">
        <f ca="1">_xll.BDP(C10,"SECURITY_NAME")</f>
        <v>#NAME?</v>
      </c>
      <c r="C10" s="103" t="s">
        <v>321</v>
      </c>
      <c r="D10" s="44" t="e">
        <f t="shared" ca="1" si="0"/>
        <v>#NAME?</v>
      </c>
      <c r="E10" s="43">
        <f>$F$49</f>
        <v>500000</v>
      </c>
      <c r="F10" s="38">
        <f>$H$49</f>
        <v>102</v>
      </c>
      <c r="G10" s="38" t="e">
        <f ca="1">_xll.BDP(C10,"PX_ASK")</f>
        <v>#NAME?</v>
      </c>
      <c r="H10" s="106" t="e">
        <f ca="1">_xll.BDP($C10,"CRNCY")</f>
        <v>#NAME?</v>
      </c>
      <c r="I10" s="44" t="e">
        <f t="shared" ca="1" si="1"/>
        <v>#NAME?</v>
      </c>
      <c r="J10" s="44" t="e">
        <f t="shared" ca="1" si="2"/>
        <v>#NAME?</v>
      </c>
      <c r="K10" s="43" t="e">
        <f ca="1">$K$49</f>
        <v>#NAME?</v>
      </c>
      <c r="L10" s="43">
        <f t="shared" si="3"/>
        <v>510000</v>
      </c>
      <c r="M10" s="43" t="e">
        <f t="shared" ca="1" si="4"/>
        <v>#NAME?</v>
      </c>
      <c r="N10" s="43" t="e">
        <f t="shared" ca="1" si="5"/>
        <v>#NAME?</v>
      </c>
      <c r="O10" s="142" t="e">
        <f t="shared" ca="1" si="6"/>
        <v>#NAME?</v>
      </c>
      <c r="P10" s="142" t="e">
        <f t="shared" ca="1" si="6"/>
        <v>#NAME?</v>
      </c>
      <c r="Q10" s="44" t="e">
        <f ca="1">_xll.BDP(C10,"YLD_YTM_BID")/100</f>
        <v>#NAME?</v>
      </c>
      <c r="R10" s="773" t="e">
        <f ca="1">E10*_xll.BDP(C10,"PX_GROSS_ASK")/100</f>
        <v>#NAME?</v>
      </c>
      <c r="S10" s="82" t="e">
        <f ca="1">_xll.BDP($C10,"CHG_PCT_YTD")</f>
        <v>#NAME?</v>
      </c>
      <c r="T10" s="82" t="e">
        <f ca="1">_xll.BDP($C10,"CHG_PCT_1YR")</f>
        <v>#NAME?</v>
      </c>
    </row>
    <row r="11" spans="1:20" s="103" customFormat="1" x14ac:dyDescent="0.2">
      <c r="A11" s="103" t="s">
        <v>756</v>
      </c>
      <c r="B11" s="46" t="e">
        <f ca="1">_xll.BDP(C11,"SECURITY_NAME")</f>
        <v>#NAME?</v>
      </c>
      <c r="C11" s="103" t="s">
        <v>166</v>
      </c>
      <c r="D11" s="44" t="e">
        <f t="shared" ca="1" si="0"/>
        <v>#NAME?</v>
      </c>
      <c r="E11" s="43">
        <f>$F$35</f>
        <v>500000</v>
      </c>
      <c r="F11" s="38">
        <f>$H$35</f>
        <v>105.75000000000001</v>
      </c>
      <c r="G11" s="38" t="e">
        <f ca="1">_xll.BDP(C11,"PX_ASK")</f>
        <v>#NAME?</v>
      </c>
      <c r="H11" s="106" t="e">
        <f ca="1">_xll.BDP($C11,"CRNCY")</f>
        <v>#NAME?</v>
      </c>
      <c r="I11" s="44" t="e">
        <f t="shared" ca="1" si="1"/>
        <v>#NAME?</v>
      </c>
      <c r="J11" s="44" t="e">
        <f t="shared" ca="1" si="2"/>
        <v>#NAME?</v>
      </c>
      <c r="K11" s="43" t="e">
        <f ca="1">$K$35</f>
        <v>#NAME?</v>
      </c>
      <c r="L11" s="43">
        <f t="shared" si="3"/>
        <v>528750.00000000012</v>
      </c>
      <c r="M11" s="43" t="e">
        <f t="shared" ca="1" si="4"/>
        <v>#NAME?</v>
      </c>
      <c r="N11" s="43" t="e">
        <f t="shared" ca="1" si="5"/>
        <v>#NAME?</v>
      </c>
      <c r="O11" s="142" t="e">
        <f t="shared" ca="1" si="6"/>
        <v>#NAME?</v>
      </c>
      <c r="P11" s="142" t="e">
        <f t="shared" ca="1" si="6"/>
        <v>#NAME?</v>
      </c>
      <c r="Q11" s="44" t="e">
        <f ca="1">_xll.BDP(C11,"YLD_YTM_BID")/100</f>
        <v>#NAME?</v>
      </c>
      <c r="R11" s="773" t="e">
        <f ca="1">E11*_xll.BDP(C11,"PX_GROSS_ASK")/100</f>
        <v>#NAME?</v>
      </c>
      <c r="S11" s="82" t="e">
        <f ca="1">_xll.BDP($C11,"CHG_PCT_YTD")</f>
        <v>#NAME?</v>
      </c>
      <c r="T11" s="82" t="e">
        <f ca="1">_xll.BDP($C11,"CHG_PCT_1YR")</f>
        <v>#NAME?</v>
      </c>
    </row>
    <row r="12" spans="1:2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>
        <v>1063000</v>
      </c>
      <c r="O12" s="62"/>
      <c r="P12" s="62"/>
      <c r="Q12" s="62"/>
      <c r="R12" s="420">
        <f>N12</f>
        <v>1063000</v>
      </c>
      <c r="S12" s="177"/>
      <c r="T12" s="177"/>
    </row>
    <row r="13" spans="1:2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677" t="e">
        <f ca="1">SUMPRODUCT($D$4:$D$11,I4:I11)</f>
        <v>#NAME?</v>
      </c>
      <c r="J13" s="677" t="e">
        <f ca="1">SUMPRODUCT($D$4:$D$11,J4:J11)</f>
        <v>#NAME?</v>
      </c>
      <c r="K13" s="137" t="e">
        <f ca="1">SUM(K4:K12)</f>
        <v>#NAME?</v>
      </c>
      <c r="L13" s="184">
        <f>SUM(L4:L11)</f>
        <v>6177275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676" t="e">
        <f ca="1">SUMPRODUCT(D4:D11,Q4:Q11)</f>
        <v>#NAME?</v>
      </c>
      <c r="R13" s="453" t="e">
        <f ca="1">SUM(R4:R12)</f>
        <v>#NAME?</v>
      </c>
      <c r="S13" s="55"/>
      <c r="T13" s="55"/>
    </row>
    <row r="14" spans="1:2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$M$13/$K$13-1</f>
        <v>#NAME?</v>
      </c>
      <c r="N14" s="454" t="e">
        <f ca="1">$R$13/$L$13-1</f>
        <v>#NAME?</v>
      </c>
      <c r="R14" s="456" t="s">
        <v>754</v>
      </c>
      <c r="S14" s="132"/>
    </row>
    <row r="15" spans="1:20" x14ac:dyDescent="0.2">
      <c r="B15" s="774" t="s">
        <v>276</v>
      </c>
      <c r="E15" s="155"/>
      <c r="K15" s="30"/>
      <c r="L15" s="148"/>
      <c r="M15" s="35"/>
      <c r="N15" s="34"/>
      <c r="O15" s="34"/>
      <c r="P15" s="30"/>
      <c r="T15" s="32" t="s">
        <v>772</v>
      </c>
    </row>
    <row r="16" spans="1:2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s="9" customFormat="1" x14ac:dyDescent="0.2">
      <c r="B18" s="103" t="e">
        <f ca="1">_xll.BDP(C18,"SECURITY_NAME")</f>
        <v>#NAME?</v>
      </c>
      <c r="C18" s="118" t="s">
        <v>657</v>
      </c>
      <c r="D18" s="73" t="s">
        <v>51</v>
      </c>
      <c r="E18" s="43" t="e">
        <f ca="1">F18*_xll.BDP(C18,"PX_LAST")/100</f>
        <v>#NAME?</v>
      </c>
      <c r="F18" s="43">
        <v>1000000</v>
      </c>
      <c r="G18" s="43">
        <v>1000000</v>
      </c>
      <c r="H18" s="47">
        <f>G18/F18</f>
        <v>1</v>
      </c>
      <c r="I18" s="43">
        <f>G18*K18/100</f>
        <v>1020000</v>
      </c>
      <c r="J18" s="45">
        <f>G18*L18/100</f>
        <v>1031250</v>
      </c>
      <c r="K18" s="38">
        <v>102</v>
      </c>
      <c r="L18" s="38">
        <v>103.125</v>
      </c>
      <c r="M18" s="119">
        <f>L18/K18-1</f>
        <v>1.1029411764705843E-2</v>
      </c>
      <c r="N18" s="120">
        <f>(J18-I18)</f>
        <v>11250</v>
      </c>
      <c r="O18" s="106" t="e">
        <f ca="1">_xll.BDP($C18,"CRNCY")</f>
        <v>#NAME?</v>
      </c>
      <c r="P18" s="43">
        <f>N18</f>
        <v>11250</v>
      </c>
      <c r="Q18" s="14">
        <v>42725</v>
      </c>
      <c r="R18" s="22" t="e">
        <f ca="1">_xll.BDH("RUB curncy","PX_LAST",$Q18)</f>
        <v>#NAME?</v>
      </c>
    </row>
    <row r="19" spans="2:18" x14ac:dyDescent="0.2">
      <c r="B19" s="35"/>
      <c r="C19" s="35"/>
      <c r="D19" s="40"/>
      <c r="G19" s="35"/>
      <c r="H19" s="35"/>
      <c r="I19" s="35"/>
      <c r="J19" s="35"/>
      <c r="K19" s="35"/>
      <c r="L19" s="46"/>
      <c r="N19" s="40"/>
      <c r="O19" s="35" t="s">
        <v>94</v>
      </c>
      <c r="P19" s="355">
        <f>SUM(P18)</f>
        <v>11250</v>
      </c>
    </row>
    <row r="20" spans="2:18" x14ac:dyDescent="0.2">
      <c r="H20" s="105"/>
      <c r="I20" s="70"/>
      <c r="J20" s="151"/>
      <c r="K20" s="35"/>
      <c r="L20" s="148"/>
      <c r="M20" s="34"/>
      <c r="N20" s="30"/>
      <c r="P20" s="30"/>
    </row>
    <row r="21" spans="2:18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18" ht="13.5" thickBot="1" x14ac:dyDescent="0.25">
      <c r="C22" s="30"/>
      <c r="D22" s="30"/>
      <c r="G22" s="30"/>
      <c r="H22" s="151"/>
      <c r="I22" s="30"/>
      <c r="J22" s="151"/>
      <c r="K22" s="30"/>
    </row>
    <row r="23" spans="2:18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18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6" spans="2:18" s="273" customFormat="1" ht="13.5" customHeight="1" x14ac:dyDescent="0.2">
      <c r="B26" s="287" t="s">
        <v>756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1000000</v>
      </c>
      <c r="G26" s="284" t="e">
        <f ca="1">_xll.BDP(C26,"CRNCY")</f>
        <v>#NAME?</v>
      </c>
      <c r="H26" s="281">
        <v>100.7</v>
      </c>
      <c r="I26" s="282">
        <f>F26*H26/100</f>
        <v>1007000</v>
      </c>
      <c r="J26" s="283">
        <f>I26</f>
        <v>1007000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SUM(F26:F26)</f>
        <v>1000000</v>
      </c>
      <c r="G27" s="278"/>
      <c r="H27" s="276">
        <f>J27/F27*100</f>
        <v>100.69999999999999</v>
      </c>
      <c r="I27" s="277">
        <f>SUM(I26:I26)</f>
        <v>1007000</v>
      </c>
      <c r="J27" s="277">
        <f>SUM(J26:J26)</f>
        <v>1007000</v>
      </c>
      <c r="K27" s="277" t="e">
        <f ca="1">SUM(K26:K26)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756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42614</v>
      </c>
    </row>
    <row r="30" spans="2:18" s="273" customFormat="1" ht="13.5" customHeight="1" x14ac:dyDescent="0.2">
      <c r="B30" s="287" t="s">
        <v>756</v>
      </c>
      <c r="C30" s="286" t="s">
        <v>156</v>
      </c>
      <c r="D30" s="284" t="e">
        <f ca="1">_xll.BDP(C30,"SECURITY_NAME")</f>
        <v>#NAME?</v>
      </c>
      <c r="E30" s="284" t="s">
        <v>50</v>
      </c>
      <c r="F30" s="285">
        <v>500000</v>
      </c>
      <c r="G30" s="284" t="e">
        <f ca="1">_xll.BDP(C30,"CRNCY")</f>
        <v>#NAME?</v>
      </c>
      <c r="H30" s="281">
        <v>103.5</v>
      </c>
      <c r="I30" s="282">
        <f>F30*H30/100</f>
        <v>517500</v>
      </c>
      <c r="J30" s="283">
        <f>I30</f>
        <v>517500</v>
      </c>
      <c r="K30" s="282" t="e">
        <f ca="1">J30*L30</f>
        <v>#NAME?</v>
      </c>
      <c r="L30" s="281" t="e">
        <f ca="1">_xll.BDH("RUB curncy","PX_LAST",$N30)</f>
        <v>#NAME?</v>
      </c>
      <c r="M30" s="280" t="e">
        <f ca="1">1/_xll.BDH("RUB curncy","PX_LAST",$N30)</f>
        <v>#NAME?</v>
      </c>
      <c r="N30" s="274">
        <v>42606</v>
      </c>
    </row>
    <row r="31" spans="2:18" s="273" customFormat="1" x14ac:dyDescent="0.2">
      <c r="B31" s="279"/>
      <c r="C31" s="279"/>
      <c r="D31" s="278"/>
      <c r="E31" s="278"/>
      <c r="F31" s="277">
        <f>SUM(F29:F30)</f>
        <v>1000000</v>
      </c>
      <c r="G31" s="278"/>
      <c r="H31" s="276">
        <f>J31/F31*100</f>
        <v>103.49999999999999</v>
      </c>
      <c r="I31" s="277">
        <f>SUM(I29:I30)</f>
        <v>1035000</v>
      </c>
      <c r="J31" s="277">
        <f>SUM(J29:J30)</f>
        <v>1035000</v>
      </c>
      <c r="K31" s="277" t="e">
        <f ca="1">SUM(K29:K30)</f>
        <v>#NAME?</v>
      </c>
      <c r="L31" s="276"/>
      <c r="M31" s="275"/>
      <c r="N31" s="274"/>
    </row>
    <row r="32" spans="2:18" x14ac:dyDescent="0.2">
      <c r="B32" s="160"/>
      <c r="C32" s="159"/>
      <c r="D32" s="87"/>
      <c r="E32" s="87"/>
      <c r="F32" s="79"/>
      <c r="G32" s="87"/>
      <c r="H32" s="99"/>
      <c r="I32" s="79"/>
      <c r="J32" s="79"/>
      <c r="K32" s="79"/>
      <c r="L32" s="88"/>
      <c r="M32" s="158"/>
      <c r="N32" s="157"/>
    </row>
    <row r="33" spans="2:14" s="273" customFormat="1" ht="13.5" customHeight="1" x14ac:dyDescent="0.2">
      <c r="B33" s="287" t="s">
        <v>756</v>
      </c>
      <c r="C33" s="286" t="s">
        <v>436</v>
      </c>
      <c r="D33" s="284" t="e">
        <f ca="1">_xll.BDP(C33,"SECURITY_NAME")</f>
        <v>#NAME?</v>
      </c>
      <c r="E33" s="284" t="s">
        <v>50</v>
      </c>
      <c r="F33" s="285">
        <v>300000</v>
      </c>
      <c r="G33" s="284" t="e">
        <f ca="1">_xll.BDP(C33,"CRNCY")</f>
        <v>#NAME?</v>
      </c>
      <c r="H33" s="281">
        <v>105.75</v>
      </c>
      <c r="I33" s="282">
        <f>F33*H33/100</f>
        <v>317250</v>
      </c>
      <c r="J33" s="283">
        <f>I33</f>
        <v>317250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42555</v>
      </c>
    </row>
    <row r="34" spans="2:14" s="273" customFormat="1" ht="13.5" customHeight="1" x14ac:dyDescent="0.2">
      <c r="B34" s="287" t="s">
        <v>756</v>
      </c>
      <c r="C34" s="286" t="s">
        <v>436</v>
      </c>
      <c r="D34" s="284" t="e">
        <f ca="1">_xll.BDP(C34,"SECURITY_NAME")</f>
        <v>#NAME?</v>
      </c>
      <c r="E34" s="284" t="s">
        <v>50</v>
      </c>
      <c r="F34" s="285">
        <v>200000</v>
      </c>
      <c r="G34" s="284" t="e">
        <f ca="1">_xll.BDP(C34,"CRNCY")</f>
        <v>#NAME?</v>
      </c>
      <c r="H34" s="281">
        <v>105.75</v>
      </c>
      <c r="I34" s="282">
        <f>F34*H34/100</f>
        <v>211500</v>
      </c>
      <c r="J34" s="283">
        <f>I34</f>
        <v>211500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42557</v>
      </c>
    </row>
    <row r="35" spans="2:14" s="273" customFormat="1" x14ac:dyDescent="0.2">
      <c r="B35" s="279"/>
      <c r="C35" s="279"/>
      <c r="D35" s="278"/>
      <c r="E35" s="278"/>
      <c r="F35" s="277">
        <f>SUM(F33:F34)</f>
        <v>500000</v>
      </c>
      <c r="G35" s="278"/>
      <c r="H35" s="276">
        <f>J35/F35*100</f>
        <v>105.75000000000001</v>
      </c>
      <c r="I35" s="277">
        <f>SUM(I33:I34)</f>
        <v>528750</v>
      </c>
      <c r="J35" s="277">
        <f>SUM(J33:J34)</f>
        <v>528750</v>
      </c>
      <c r="K35" s="277" t="e">
        <f ca="1">SUM(K33:K34)</f>
        <v>#NAME?</v>
      </c>
      <c r="L35" s="276"/>
      <c r="M35" s="275"/>
      <c r="N35" s="274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s="273" customFormat="1" ht="13.5" customHeight="1" x14ac:dyDescent="0.2">
      <c r="B37" s="287" t="s">
        <v>756</v>
      </c>
      <c r="C37" s="286" t="s">
        <v>435</v>
      </c>
      <c r="D37" s="284" t="e">
        <f ca="1">_xll.BDP(C37,"SECURITY_NAME")</f>
        <v>#NAME?</v>
      </c>
      <c r="E37" s="284" t="s">
        <v>50</v>
      </c>
      <c r="F37" s="285">
        <v>500000</v>
      </c>
      <c r="G37" s="284" t="e">
        <f ca="1">_xll.BDP(C37,"CRNCY")</f>
        <v>#NAME?</v>
      </c>
      <c r="H37" s="281">
        <v>107.5</v>
      </c>
      <c r="I37" s="282">
        <f>F37*H37/100</f>
        <v>537500</v>
      </c>
      <c r="J37" s="283">
        <f>I37</f>
        <v>537500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42578</v>
      </c>
    </row>
    <row r="38" spans="2:14" s="273" customFormat="1" x14ac:dyDescent="0.2">
      <c r="B38" s="279"/>
      <c r="C38" s="279"/>
      <c r="D38" s="278"/>
      <c r="E38" s="278"/>
      <c r="F38" s="277">
        <f>SUM(F37)</f>
        <v>500000</v>
      </c>
      <c r="G38" s="278"/>
      <c r="H38" s="276">
        <f>J38/F38*100</f>
        <v>107.5</v>
      </c>
      <c r="I38" s="277">
        <f>SUM(I37)</f>
        <v>537500</v>
      </c>
      <c r="J38" s="277">
        <f>SUM(J37)</f>
        <v>537500</v>
      </c>
      <c r="K38" s="277" t="e">
        <f ca="1">SUM(K37)</f>
        <v>#NAME?</v>
      </c>
      <c r="L38" s="276"/>
      <c r="M38" s="275"/>
      <c r="N38" s="274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287" t="s">
        <v>756</v>
      </c>
      <c r="C40" s="286" t="s">
        <v>453</v>
      </c>
      <c r="D40" s="284" t="e">
        <f ca="1">_xll.BDP(C40,"SECURITY_NAME")</f>
        <v>#NAME?</v>
      </c>
      <c r="E40" s="284" t="s">
        <v>50</v>
      </c>
      <c r="F40" s="285">
        <v>200000</v>
      </c>
      <c r="G40" s="284" t="e">
        <f ca="1">_xll.BDP(C40,"CRNCY")</f>
        <v>#NAME?</v>
      </c>
      <c r="H40" s="281">
        <v>102.7</v>
      </c>
      <c r="I40" s="282">
        <f>F40*H40/100</f>
        <v>205400</v>
      </c>
      <c r="J40" s="283">
        <f>I40</f>
        <v>205400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42555</v>
      </c>
    </row>
    <row r="41" spans="2:14" x14ac:dyDescent="0.2">
      <c r="B41" s="287" t="s">
        <v>756</v>
      </c>
      <c r="C41" s="286" t="s">
        <v>453</v>
      </c>
      <c r="D41" s="284" t="e">
        <f ca="1">_xll.BDP(C41,"SECURITY_NAME")</f>
        <v>#NAME?</v>
      </c>
      <c r="E41" s="284" t="s">
        <v>50</v>
      </c>
      <c r="F41" s="285">
        <v>800000</v>
      </c>
      <c r="G41" s="284" t="e">
        <f ca="1">_xll.BDP(C41,"CRNCY")</f>
        <v>#NAME?</v>
      </c>
      <c r="H41" s="281">
        <v>102.5</v>
      </c>
      <c r="I41" s="282">
        <f>F41*H41/100</f>
        <v>820000</v>
      </c>
      <c r="J41" s="283">
        <f>I41</f>
        <v>820000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42557</v>
      </c>
    </row>
    <row r="42" spans="2:14" x14ac:dyDescent="0.2">
      <c r="B42" s="279"/>
      <c r="C42" s="279"/>
      <c r="D42" s="278"/>
      <c r="E42" s="278"/>
      <c r="F42" s="277">
        <f>SUM(F40:F41)</f>
        <v>1000000</v>
      </c>
      <c r="G42" s="278"/>
      <c r="H42" s="276">
        <f>J42/F42*100</f>
        <v>102.54</v>
      </c>
      <c r="I42" s="277">
        <f>SUM(I40:I41)</f>
        <v>1025400</v>
      </c>
      <c r="J42" s="277">
        <f>SUM(J40:J41)</f>
        <v>1025400</v>
      </c>
      <c r="K42" s="277" t="e">
        <f ca="1">SUM(K40:K41)</f>
        <v>#NAME?</v>
      </c>
      <c r="L42" s="276"/>
      <c r="M42" s="275"/>
      <c r="N42" s="274"/>
    </row>
    <row r="44" spans="2:14" x14ac:dyDescent="0.2">
      <c r="B44" s="287" t="s">
        <v>756</v>
      </c>
      <c r="C44" s="286" t="s">
        <v>697</v>
      </c>
      <c r="D44" s="284" t="e">
        <f ca="1">_xll.BDP(C44,"SECURITY_NAME")</f>
        <v>#NAME?</v>
      </c>
      <c r="E44" s="284" t="s">
        <v>50</v>
      </c>
      <c r="F44" s="285">
        <v>400000</v>
      </c>
      <c r="G44" s="284" t="e">
        <f ca="1">_xll.BDP(C44,"CRNCY")</f>
        <v>#NAME?</v>
      </c>
      <c r="H44" s="281">
        <v>95.375</v>
      </c>
      <c r="I44" s="282">
        <f>F44*H44/100</f>
        <v>381500</v>
      </c>
      <c r="J44" s="283">
        <f>I44</f>
        <v>381500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42614</v>
      </c>
    </row>
    <row r="45" spans="2:14" x14ac:dyDescent="0.2">
      <c r="B45" s="287" t="s">
        <v>756</v>
      </c>
      <c r="C45" s="286" t="s">
        <v>697</v>
      </c>
      <c r="D45" s="284" t="e">
        <f ca="1">_xll.BDP(C45,"SECURITY_NAME")</f>
        <v>#NAME?</v>
      </c>
      <c r="E45" s="284" t="s">
        <v>50</v>
      </c>
      <c r="F45" s="285">
        <v>600000</v>
      </c>
      <c r="G45" s="284" t="e">
        <f ca="1">_xll.BDP(C45,"CRNCY")</f>
        <v>#NAME?</v>
      </c>
      <c r="H45" s="281">
        <v>90.5</v>
      </c>
      <c r="I45" s="282">
        <f>F45*H45/100</f>
        <v>543000</v>
      </c>
      <c r="J45" s="283">
        <f>I45</f>
        <v>543000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42545</v>
      </c>
    </row>
    <row r="46" spans="2:14" x14ac:dyDescent="0.2">
      <c r="B46" s="279"/>
      <c r="C46" s="279"/>
      <c r="D46" s="278"/>
      <c r="E46" s="278"/>
      <c r="F46" s="277">
        <f>SUM(F44:F45)</f>
        <v>1000000</v>
      </c>
      <c r="G46" s="278"/>
      <c r="H46" s="276">
        <f>J46/F46*100</f>
        <v>92.45</v>
      </c>
      <c r="I46" s="277">
        <f>SUM(I44:I45)</f>
        <v>924500</v>
      </c>
      <c r="J46" s="277">
        <f>SUM(J44:J45)</f>
        <v>924500</v>
      </c>
      <c r="K46" s="277" t="e">
        <f ca="1">SUM(K44:K45)</f>
        <v>#NAME?</v>
      </c>
      <c r="L46" s="276"/>
      <c r="M46" s="275"/>
      <c r="N46" s="274"/>
    </row>
    <row r="48" spans="2:14" x14ac:dyDescent="0.2">
      <c r="B48" s="287" t="s">
        <v>756</v>
      </c>
      <c r="C48" s="286" t="s">
        <v>321</v>
      </c>
      <c r="D48" s="284" t="e">
        <f ca="1">_xll.BDP(C48,"SECURITY_NAME")</f>
        <v>#NAME?</v>
      </c>
      <c r="E48" s="284" t="s">
        <v>50</v>
      </c>
      <c r="F48" s="285">
        <v>500000</v>
      </c>
      <c r="G48" s="284" t="e">
        <f ca="1">_xll.BDP(C48,"CRNCY")</f>
        <v>#NAME?</v>
      </c>
      <c r="H48" s="281">
        <v>102</v>
      </c>
      <c r="I48" s="282">
        <f>F48*H48/100</f>
        <v>510000</v>
      </c>
      <c r="J48" s="283">
        <f>I48</f>
        <v>510000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42551</v>
      </c>
    </row>
    <row r="49" spans="2:14" x14ac:dyDescent="0.2">
      <c r="B49" s="279"/>
      <c r="C49" s="286"/>
      <c r="D49" s="278"/>
      <c r="E49" s="278"/>
      <c r="F49" s="277">
        <f>SUM(F48)</f>
        <v>500000</v>
      </c>
      <c r="G49" s="278"/>
      <c r="H49" s="276">
        <f>J49/F49*100</f>
        <v>102</v>
      </c>
      <c r="I49" s="277">
        <f>SUM(I48)</f>
        <v>510000</v>
      </c>
      <c r="J49" s="277">
        <f>SUM(J48)</f>
        <v>510000</v>
      </c>
      <c r="K49" s="277" t="e">
        <f ca="1">SUM(K48)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287" t="s">
        <v>756</v>
      </c>
      <c r="C51" s="286" t="s">
        <v>755</v>
      </c>
      <c r="D51" s="284" t="e">
        <f ca="1">_xll.BDP(C51,"SECURITY_NAME")</f>
        <v>#NAME?</v>
      </c>
      <c r="E51" s="284" t="s">
        <v>50</v>
      </c>
      <c r="F51" s="285">
        <v>550000</v>
      </c>
      <c r="G51" s="284" t="e">
        <f ca="1">_xll.BDP(C51,"CRNCY")</f>
        <v>#NAME?</v>
      </c>
      <c r="H51" s="281">
        <v>110.75</v>
      </c>
      <c r="I51" s="282">
        <f>F51*H51/100</f>
        <v>609125</v>
      </c>
      <c r="J51" s="283">
        <f>I51</f>
        <v>609125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42580</v>
      </c>
    </row>
    <row r="52" spans="2:14" x14ac:dyDescent="0.2">
      <c r="B52" s="279"/>
      <c r="C52" s="286"/>
      <c r="D52" s="278"/>
      <c r="E52" s="278"/>
      <c r="F52" s="277">
        <f>SUM(F51)</f>
        <v>550000</v>
      </c>
      <c r="G52" s="278"/>
      <c r="H52" s="276">
        <f>J52/F52*100</f>
        <v>110.75</v>
      </c>
      <c r="I52" s="277">
        <f>SUM(I51)</f>
        <v>609125</v>
      </c>
      <c r="J52" s="277">
        <f>SUM(J51)</f>
        <v>609125</v>
      </c>
      <c r="K52" s="277" t="e">
        <f ca="1">SUM(K51)</f>
        <v>#NAME?</v>
      </c>
      <c r="L52" s="276"/>
      <c r="M52" s="275"/>
      <c r="N52" s="274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287" t="s">
        <v>756</v>
      </c>
      <c r="C54" s="286" t="s">
        <v>657</v>
      </c>
      <c r="D54" s="284" t="e">
        <f ca="1">_xll.BDP(C54,"SECURITY_NAME")</f>
        <v>#NAME?</v>
      </c>
      <c r="E54" s="284" t="s">
        <v>50</v>
      </c>
      <c r="F54" s="285">
        <v>200000</v>
      </c>
      <c r="G54" s="284" t="e">
        <f ca="1">_xll.BDP(C54,"CRNCY")</f>
        <v>#NAME?</v>
      </c>
      <c r="H54" s="281">
        <v>102</v>
      </c>
      <c r="I54" s="282">
        <f>F54*H54/100</f>
        <v>204000</v>
      </c>
      <c r="J54" s="283">
        <f>I54</f>
        <v>204000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42691</v>
      </c>
    </row>
    <row r="55" spans="2:14" x14ac:dyDescent="0.2">
      <c r="B55" s="287" t="s">
        <v>756</v>
      </c>
      <c r="C55" s="286" t="s">
        <v>657</v>
      </c>
      <c r="D55" s="284" t="e">
        <f ca="1">_xll.BDP(C55,"SECURITY_NAME")</f>
        <v>#NAME?</v>
      </c>
      <c r="E55" s="284" t="s">
        <v>50</v>
      </c>
      <c r="F55" s="285">
        <v>800000</v>
      </c>
      <c r="G55" s="284" t="e">
        <f ca="1">_xll.BDP(C55,"CRNCY")</f>
        <v>#NAME?</v>
      </c>
      <c r="H55" s="281">
        <v>102</v>
      </c>
      <c r="I55" s="282">
        <f>F55*H55/100</f>
        <v>816000</v>
      </c>
      <c r="J55" s="283">
        <f>I55</f>
        <v>816000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42661</v>
      </c>
    </row>
    <row r="56" spans="2:14" x14ac:dyDescent="0.2">
      <c r="B56" s="279"/>
      <c r="C56" s="286"/>
      <c r="D56" s="278"/>
      <c r="E56" s="278"/>
      <c r="F56" s="277">
        <f>SUM(F54:F55)</f>
        <v>1000000</v>
      </c>
      <c r="G56" s="278"/>
      <c r="H56" s="276">
        <f>J56/F56*100</f>
        <v>102</v>
      </c>
      <c r="I56" s="277">
        <f>SUM(I54:I55)</f>
        <v>1020000</v>
      </c>
      <c r="J56" s="277">
        <f>SUM(J54:J55)</f>
        <v>1020000</v>
      </c>
      <c r="K56" s="277" t="e">
        <f ca="1">SUM(K54:K55)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100"/>
      <c r="I67" s="79"/>
      <c r="J67" s="79"/>
      <c r="K67" s="79"/>
      <c r="L67" s="88"/>
      <c r="M67" s="158"/>
      <c r="N67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D70" s="87"/>
      <c r="E70" s="87"/>
      <c r="F70" s="79"/>
      <c r="G70" s="87"/>
      <c r="H70" s="80"/>
      <c r="I70" s="79"/>
      <c r="J70" s="79"/>
      <c r="K70" s="79"/>
      <c r="L70" s="88"/>
      <c r="M70" s="158"/>
      <c r="N70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F78" s="79"/>
      <c r="H78" s="80"/>
      <c r="I78" s="79"/>
      <c r="J78" s="79"/>
      <c r="K78" s="79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2" spans="2:14" x14ac:dyDescent="0.2">
      <c r="B82" s="160"/>
      <c r="D82" s="87"/>
      <c r="E82" s="87"/>
      <c r="F82" s="79"/>
      <c r="G82" s="87"/>
      <c r="H82" s="80"/>
      <c r="I82" s="79"/>
      <c r="J82" s="79"/>
      <c r="K82" s="79"/>
      <c r="L82" s="88"/>
      <c r="M82" s="158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7"/>
      <c r="C92" s="166"/>
      <c r="D92" s="165"/>
      <c r="E92" s="165"/>
      <c r="F92" s="96"/>
      <c r="G92" s="165"/>
      <c r="H92" s="97"/>
      <c r="I92" s="163"/>
      <c r="J92" s="164"/>
      <c r="K92" s="163"/>
      <c r="L92" s="162"/>
      <c r="M92" s="161"/>
      <c r="N92" s="157"/>
    </row>
    <row r="93" spans="2:14" x14ac:dyDescent="0.2">
      <c r="F93" s="79"/>
      <c r="H93" s="80"/>
      <c r="I93" s="79"/>
      <c r="J93" s="79"/>
      <c r="K93" s="79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F97" s="79"/>
      <c r="G97" s="79"/>
      <c r="H97" s="80"/>
      <c r="I97" s="79"/>
      <c r="J97" s="79"/>
      <c r="K97" s="79"/>
    </row>
    <row r="98" spans="2:14" x14ac:dyDescent="0.2">
      <c r="G98" s="79"/>
      <c r="H98" s="80"/>
      <c r="I98" s="79"/>
      <c r="J98" s="79"/>
      <c r="K98" s="79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79"/>
      <c r="I102" s="79"/>
      <c r="J102" s="79"/>
      <c r="K102" s="79"/>
      <c r="L102" s="88"/>
      <c r="M102" s="158"/>
      <c r="N102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80"/>
      <c r="I105" s="79"/>
      <c r="J105" s="79"/>
      <c r="K105" s="79"/>
      <c r="L105" s="88"/>
      <c r="M105" s="158"/>
      <c r="N105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7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80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80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F158" s="79"/>
      <c r="H158" s="88"/>
      <c r="I158" s="79"/>
      <c r="J158" s="79"/>
      <c r="K158" s="79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73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73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8"/>
      <c r="I165" s="79"/>
      <c r="J165" s="79"/>
      <c r="K165" s="79"/>
      <c r="L165" s="88"/>
      <c r="M165" s="173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73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80"/>
      <c r="I181" s="168"/>
      <c r="J181" s="169"/>
      <c r="K181" s="168"/>
      <c r="L181" s="88"/>
      <c r="M181" s="158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73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73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C196" s="159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168"/>
      <c r="J197" s="169"/>
      <c r="K197" s="168"/>
      <c r="L197" s="88"/>
      <c r="M197" s="158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73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73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73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168"/>
      <c r="J215" s="169"/>
      <c r="K215" s="168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91"/>
      <c r="I216" s="79"/>
      <c r="J216" s="79"/>
      <c r="K216" s="79"/>
      <c r="L216" s="88"/>
      <c r="M216" s="158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1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172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93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92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171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92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92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170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170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95"/>
      <c r="I229" s="79"/>
      <c r="J229" s="79"/>
      <c r="K229" s="79"/>
      <c r="L229" s="88"/>
      <c r="M229" s="158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168"/>
      <c r="J230" s="169"/>
      <c r="K230" s="168"/>
      <c r="L230" s="88"/>
      <c r="M230" s="158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168"/>
      <c r="J236" s="169"/>
      <c r="K236" s="168"/>
      <c r="L236" s="88"/>
      <c r="M236" s="158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96"/>
      <c r="J252" s="96"/>
      <c r="K252" s="96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96"/>
      <c r="J253" s="96"/>
      <c r="K253" s="96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0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58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168"/>
      <c r="J310" s="169"/>
      <c r="K310" s="168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56"/>
      <c r="C313" s="156"/>
      <c r="D313" s="156"/>
      <c r="E313" s="102"/>
      <c r="F313" s="102"/>
      <c r="G313" s="156"/>
      <c r="H313" s="156"/>
      <c r="I313" s="156"/>
      <c r="J313" s="156"/>
      <c r="K313" s="156"/>
      <c r="L313" s="102"/>
      <c r="M313" s="156"/>
      <c r="N313" s="156"/>
    </row>
    <row r="314" spans="2:14" x14ac:dyDescent="0.2">
      <c r="H314" s="151"/>
    </row>
    <row r="315" spans="2:14" x14ac:dyDescent="0.2">
      <c r="H315" s="151"/>
    </row>
    <row r="317" spans="2:14" x14ac:dyDescent="0.2">
      <c r="H317" s="151"/>
    </row>
    <row r="318" spans="2:14" x14ac:dyDescent="0.2">
      <c r="H318" s="151"/>
    </row>
    <row r="319" spans="2:14" x14ac:dyDescent="0.2">
      <c r="L319" s="155"/>
    </row>
    <row r="320" spans="2:14" x14ac:dyDescent="0.2">
      <c r="L320" s="155"/>
    </row>
    <row r="321" spans="5:12" x14ac:dyDescent="0.2">
      <c r="L321" s="154"/>
    </row>
    <row r="323" spans="5:12" x14ac:dyDescent="0.2">
      <c r="L323" s="153"/>
    </row>
    <row r="327" spans="5:12" x14ac:dyDescent="0.2">
      <c r="E327" s="32"/>
      <c r="F327" s="32"/>
      <c r="G327" s="151"/>
      <c r="L327" s="32"/>
    </row>
    <row r="328" spans="5:12" x14ac:dyDescent="0.2">
      <c r="E328" s="32"/>
      <c r="F328" s="32"/>
      <c r="G328" s="152"/>
      <c r="L328" s="32"/>
    </row>
    <row r="331" spans="5:12" x14ac:dyDescent="0.2">
      <c r="E331" s="32"/>
      <c r="F331" s="32"/>
      <c r="G331" s="151"/>
      <c r="L331" s="32"/>
    </row>
  </sheetData>
  <sortState ref="A4:T11">
    <sortCondition descending="1" ref="Q4:Q11"/>
  </sortState>
  <conditionalFormatting sqref="E162:E163 E210:E211 E203 E193:E194 E165:E166 E206:E207 E214:E216 D16">
    <cfRule type="containsText" dxfId="9314" priority="495" operator="containsText" text="Buy">
      <formula>NOT(ISERROR(SEARCH("Buy",D16)))</formula>
    </cfRule>
    <cfRule type="containsText" dxfId="9313" priority="496" operator="containsText" text="Sell">
      <formula>NOT(ISERROR(SEARCH("Sell",D16)))</formula>
    </cfRule>
  </conditionalFormatting>
  <conditionalFormatting sqref="E235:E236 E225:E226 E230">
    <cfRule type="containsText" dxfId="9312" priority="493" operator="containsText" text="Buy">
      <formula>NOT(ISERROR(SEARCH("Buy",E225)))</formula>
    </cfRule>
    <cfRule type="containsText" dxfId="9311" priority="494" operator="containsText" text="Sell">
      <formula>NOT(ISERROR(SEARCH("Sell",E225)))</formula>
    </cfRule>
  </conditionalFormatting>
  <conditionalFormatting sqref="E251:E253 E310 E307 E302 E296 E293 E290 E287 E280 E276 E270 E260">
    <cfRule type="containsText" dxfId="9310" priority="491" operator="containsText" text="Buy">
      <formula>NOT(ISERROR(SEARCH("Buy",E251)))</formula>
    </cfRule>
    <cfRule type="containsText" dxfId="9309" priority="492" operator="containsText" text="Sell">
      <formula>NOT(ISERROR(SEARCH("Sell",E251)))</formula>
    </cfRule>
  </conditionalFormatting>
  <conditionalFormatting sqref="E250">
    <cfRule type="containsText" dxfId="9308" priority="489" operator="containsText" text="Buy">
      <formula>NOT(ISERROR(SEARCH("Buy",E250)))</formula>
    </cfRule>
    <cfRule type="containsText" dxfId="9307" priority="490" operator="containsText" text="Sell">
      <formula>NOT(ISERROR(SEARCH("Sell",E250)))</formula>
    </cfRule>
  </conditionalFormatting>
  <conditionalFormatting sqref="E249">
    <cfRule type="containsText" dxfId="9306" priority="487" operator="containsText" text="Buy">
      <formula>NOT(ISERROR(SEARCH("Buy",E249)))</formula>
    </cfRule>
    <cfRule type="containsText" dxfId="9305" priority="488" operator="containsText" text="Sell">
      <formula>NOT(ISERROR(SEARCH("Sell",E249)))</formula>
    </cfRule>
  </conditionalFormatting>
  <conditionalFormatting sqref="E248">
    <cfRule type="containsText" dxfId="9304" priority="485" operator="containsText" text="Buy">
      <formula>NOT(ISERROR(SEARCH("Buy",E248)))</formula>
    </cfRule>
    <cfRule type="containsText" dxfId="9303" priority="486" operator="containsText" text="Sell">
      <formula>NOT(ISERROR(SEARCH("Sell",E248)))</formula>
    </cfRule>
  </conditionalFormatting>
  <conditionalFormatting sqref="E161">
    <cfRule type="containsText" dxfId="9302" priority="483" operator="containsText" text="Buy">
      <formula>NOT(ISERROR(SEARCH("Buy",E161)))</formula>
    </cfRule>
    <cfRule type="containsText" dxfId="9301" priority="484" operator="containsText" text="Sell">
      <formula>NOT(ISERROR(SEARCH("Sell",E161)))</formula>
    </cfRule>
  </conditionalFormatting>
  <conditionalFormatting sqref="E160">
    <cfRule type="containsText" dxfId="9300" priority="481" operator="containsText" text="Buy">
      <formula>NOT(ISERROR(SEARCH("Buy",E160)))</formula>
    </cfRule>
    <cfRule type="containsText" dxfId="9299" priority="482" operator="containsText" text="Sell">
      <formula>NOT(ISERROR(SEARCH("Sell",E160)))</formula>
    </cfRule>
  </conditionalFormatting>
  <conditionalFormatting sqref="E209">
    <cfRule type="containsText" dxfId="9298" priority="479" operator="containsText" text="Buy">
      <formula>NOT(ISERROR(SEARCH("Buy",E209)))</formula>
    </cfRule>
    <cfRule type="containsText" dxfId="9297" priority="480" operator="containsText" text="Sell">
      <formula>NOT(ISERROR(SEARCH("Sell",E209)))</formula>
    </cfRule>
  </conditionalFormatting>
  <conditionalFormatting sqref="E208">
    <cfRule type="containsText" dxfId="9296" priority="477" operator="containsText" text="Buy">
      <formula>NOT(ISERROR(SEARCH("Buy",E208)))</formula>
    </cfRule>
    <cfRule type="containsText" dxfId="9295" priority="478" operator="containsText" text="Sell">
      <formula>NOT(ISERROR(SEARCH("Sell",E208)))</formula>
    </cfRule>
  </conditionalFormatting>
  <conditionalFormatting sqref="E195:E197">
    <cfRule type="containsText" dxfId="9294" priority="475" operator="containsText" text="Buy">
      <formula>NOT(ISERROR(SEARCH("Buy",E195)))</formula>
    </cfRule>
    <cfRule type="containsText" dxfId="9293" priority="476" operator="containsText" text="Sell">
      <formula>NOT(ISERROR(SEARCH("Sell",E195)))</formula>
    </cfRule>
  </conditionalFormatting>
  <conditionalFormatting sqref="E192">
    <cfRule type="containsText" dxfId="9292" priority="473" operator="containsText" text="Buy">
      <formula>NOT(ISERROR(SEARCH("Buy",E192)))</formula>
    </cfRule>
    <cfRule type="containsText" dxfId="9291" priority="474" operator="containsText" text="Sell">
      <formula>NOT(ISERROR(SEARCH("Sell",E192)))</formula>
    </cfRule>
  </conditionalFormatting>
  <conditionalFormatting sqref="E191">
    <cfRule type="containsText" dxfId="9290" priority="471" operator="containsText" text="Buy">
      <formula>NOT(ISERROR(SEARCH("Buy",E191)))</formula>
    </cfRule>
    <cfRule type="containsText" dxfId="9289" priority="472" operator="containsText" text="Sell">
      <formula>NOT(ISERROR(SEARCH("Sell",E191)))</formula>
    </cfRule>
  </conditionalFormatting>
  <conditionalFormatting sqref="E190">
    <cfRule type="containsText" dxfId="9288" priority="469" operator="containsText" text="Buy">
      <formula>NOT(ISERROR(SEARCH("Buy",E190)))</formula>
    </cfRule>
    <cfRule type="containsText" dxfId="9287" priority="470" operator="containsText" text="Sell">
      <formula>NOT(ISERROR(SEARCH("Sell",E190)))</formula>
    </cfRule>
  </conditionalFormatting>
  <conditionalFormatting sqref="E189">
    <cfRule type="containsText" dxfId="9286" priority="467" operator="containsText" text="Buy">
      <formula>NOT(ISERROR(SEARCH("Buy",E189)))</formula>
    </cfRule>
    <cfRule type="containsText" dxfId="9285" priority="468" operator="containsText" text="Sell">
      <formula>NOT(ISERROR(SEARCH("Sell",E189)))</formula>
    </cfRule>
  </conditionalFormatting>
  <conditionalFormatting sqref="E188">
    <cfRule type="containsText" dxfId="9284" priority="465" operator="containsText" text="Buy">
      <formula>NOT(ISERROR(SEARCH("Buy",E188)))</formula>
    </cfRule>
    <cfRule type="containsText" dxfId="9283" priority="466" operator="containsText" text="Sell">
      <formula>NOT(ISERROR(SEARCH("Sell",E188)))</formula>
    </cfRule>
  </conditionalFormatting>
  <conditionalFormatting sqref="E187">
    <cfRule type="containsText" dxfId="9282" priority="463" operator="containsText" text="Buy">
      <formula>NOT(ISERROR(SEARCH("Buy",E187)))</formula>
    </cfRule>
    <cfRule type="containsText" dxfId="9281" priority="464" operator="containsText" text="Sell">
      <formula>NOT(ISERROR(SEARCH("Sell",E187)))</formula>
    </cfRule>
  </conditionalFormatting>
  <conditionalFormatting sqref="E186">
    <cfRule type="containsText" dxfId="9280" priority="461" operator="containsText" text="Buy">
      <formula>NOT(ISERROR(SEARCH("Buy",E186)))</formula>
    </cfRule>
    <cfRule type="containsText" dxfId="9279" priority="462" operator="containsText" text="Sell">
      <formula>NOT(ISERROR(SEARCH("Sell",E186)))</formula>
    </cfRule>
  </conditionalFormatting>
  <conditionalFormatting sqref="E179:E181">
    <cfRule type="containsText" dxfId="9278" priority="459" operator="containsText" text="Buy">
      <formula>NOT(ISERROR(SEARCH("Buy",E179)))</formula>
    </cfRule>
    <cfRule type="containsText" dxfId="9277" priority="460" operator="containsText" text="Sell">
      <formula>NOT(ISERROR(SEARCH("Sell",E179)))</formula>
    </cfRule>
  </conditionalFormatting>
  <conditionalFormatting sqref="E178">
    <cfRule type="containsText" dxfId="9276" priority="457" operator="containsText" text="Buy">
      <formula>NOT(ISERROR(SEARCH("Buy",E178)))</formula>
    </cfRule>
    <cfRule type="containsText" dxfId="9275" priority="458" operator="containsText" text="Sell">
      <formula>NOT(ISERROR(SEARCH("Sell",E178)))</formula>
    </cfRule>
  </conditionalFormatting>
  <conditionalFormatting sqref="E177">
    <cfRule type="containsText" dxfId="9274" priority="455" operator="containsText" text="Buy">
      <formula>NOT(ISERROR(SEARCH("Buy",E177)))</formula>
    </cfRule>
    <cfRule type="containsText" dxfId="9273" priority="456" operator="containsText" text="Sell">
      <formula>NOT(ISERROR(SEARCH("Sell",E177)))</formula>
    </cfRule>
  </conditionalFormatting>
  <conditionalFormatting sqref="E176">
    <cfRule type="containsText" dxfId="9272" priority="453" operator="containsText" text="Buy">
      <formula>NOT(ISERROR(SEARCH("Buy",E176)))</formula>
    </cfRule>
    <cfRule type="containsText" dxfId="9271" priority="454" operator="containsText" text="Sell">
      <formula>NOT(ISERROR(SEARCH("Sell",E176)))</formula>
    </cfRule>
  </conditionalFormatting>
  <conditionalFormatting sqref="E175">
    <cfRule type="containsText" dxfId="9270" priority="451" operator="containsText" text="Buy">
      <formula>NOT(ISERROR(SEARCH("Buy",E175)))</formula>
    </cfRule>
    <cfRule type="containsText" dxfId="9269" priority="452" operator="containsText" text="Sell">
      <formula>NOT(ISERROR(SEARCH("Sell",E175)))</formula>
    </cfRule>
  </conditionalFormatting>
  <conditionalFormatting sqref="E174">
    <cfRule type="containsText" dxfId="9268" priority="449" operator="containsText" text="Buy">
      <formula>NOT(ISERROR(SEARCH("Buy",E174)))</formula>
    </cfRule>
    <cfRule type="containsText" dxfId="9267" priority="450" operator="containsText" text="Sell">
      <formula>NOT(ISERROR(SEARCH("Sell",E174)))</formula>
    </cfRule>
  </conditionalFormatting>
  <conditionalFormatting sqref="E173">
    <cfRule type="containsText" dxfId="9266" priority="447" operator="containsText" text="Buy">
      <formula>NOT(ISERROR(SEARCH("Buy",E173)))</formula>
    </cfRule>
    <cfRule type="containsText" dxfId="9265" priority="448" operator="containsText" text="Sell">
      <formula>NOT(ISERROR(SEARCH("Sell",E173)))</formula>
    </cfRule>
  </conditionalFormatting>
  <conditionalFormatting sqref="E172">
    <cfRule type="containsText" dxfId="9264" priority="445" operator="containsText" text="Buy">
      <formula>NOT(ISERROR(SEARCH("Buy",E172)))</formula>
    </cfRule>
    <cfRule type="containsText" dxfId="9263" priority="446" operator="containsText" text="Sell">
      <formula>NOT(ISERROR(SEARCH("Sell",E172)))</formula>
    </cfRule>
  </conditionalFormatting>
  <conditionalFormatting sqref="E171">
    <cfRule type="containsText" dxfId="9262" priority="443" operator="containsText" text="Buy">
      <formula>NOT(ISERROR(SEARCH("Buy",E171)))</formula>
    </cfRule>
    <cfRule type="containsText" dxfId="9261" priority="444" operator="containsText" text="Sell">
      <formula>NOT(ISERROR(SEARCH("Sell",E171)))</formula>
    </cfRule>
  </conditionalFormatting>
  <conditionalFormatting sqref="E170">
    <cfRule type="containsText" dxfId="9260" priority="441" operator="containsText" text="Buy">
      <formula>NOT(ISERROR(SEARCH("Buy",E170)))</formula>
    </cfRule>
    <cfRule type="containsText" dxfId="9259" priority="442" operator="containsText" text="Sell">
      <formula>NOT(ISERROR(SEARCH("Sell",E170)))</formula>
    </cfRule>
  </conditionalFormatting>
  <conditionalFormatting sqref="E169">
    <cfRule type="containsText" dxfId="9258" priority="439" operator="containsText" text="Buy">
      <formula>NOT(ISERROR(SEARCH("Buy",E169)))</formula>
    </cfRule>
    <cfRule type="containsText" dxfId="9257" priority="440" operator="containsText" text="Sell">
      <formula>NOT(ISERROR(SEARCH("Sell",E169)))</formula>
    </cfRule>
  </conditionalFormatting>
  <conditionalFormatting sqref="E168">
    <cfRule type="containsText" dxfId="9256" priority="437" operator="containsText" text="Buy">
      <formula>NOT(ISERROR(SEARCH("Buy",E168)))</formula>
    </cfRule>
    <cfRule type="containsText" dxfId="9255" priority="438" operator="containsText" text="Sell">
      <formula>NOT(ISERROR(SEARCH("Sell",E168)))</formula>
    </cfRule>
  </conditionalFormatting>
  <conditionalFormatting sqref="E164">
    <cfRule type="containsText" dxfId="9254" priority="435" operator="containsText" text="Buy">
      <formula>NOT(ISERROR(SEARCH("Buy",E164)))</formula>
    </cfRule>
    <cfRule type="containsText" dxfId="9253" priority="436" operator="containsText" text="Sell">
      <formula>NOT(ISERROR(SEARCH("Sell",E164)))</formula>
    </cfRule>
  </conditionalFormatting>
  <conditionalFormatting sqref="E224">
    <cfRule type="containsText" dxfId="9252" priority="433" operator="containsText" text="Buy">
      <formula>NOT(ISERROR(SEARCH("Buy",E224)))</formula>
    </cfRule>
    <cfRule type="containsText" dxfId="9251" priority="434" operator="containsText" text="Sell">
      <formula>NOT(ISERROR(SEARCH("Sell",E224)))</formula>
    </cfRule>
  </conditionalFormatting>
  <conditionalFormatting sqref="E223 E220">
    <cfRule type="containsText" dxfId="9250" priority="431" operator="containsText" text="Buy">
      <formula>NOT(ISERROR(SEARCH("Buy",E220)))</formula>
    </cfRule>
    <cfRule type="containsText" dxfId="9249" priority="432" operator="containsText" text="Sell">
      <formula>NOT(ISERROR(SEARCH("Sell",E220)))</formula>
    </cfRule>
  </conditionalFormatting>
  <conditionalFormatting sqref="E229">
    <cfRule type="containsText" dxfId="9248" priority="429" operator="containsText" text="Buy">
      <formula>NOT(ISERROR(SEARCH("Buy",E229)))</formula>
    </cfRule>
    <cfRule type="containsText" dxfId="9247" priority="430" operator="containsText" text="Sell">
      <formula>NOT(ISERROR(SEARCH("Sell",E229)))</formula>
    </cfRule>
  </conditionalFormatting>
  <conditionalFormatting sqref="E311:E312">
    <cfRule type="containsText" dxfId="9246" priority="427" operator="containsText" text="Buy">
      <formula>NOT(ISERROR(SEARCH("Buy",E311)))</formula>
    </cfRule>
    <cfRule type="containsText" dxfId="9245" priority="428" operator="containsText" text="Sell">
      <formula>NOT(ISERROR(SEARCH("Sell",E311)))</formula>
    </cfRule>
  </conditionalFormatting>
  <conditionalFormatting sqref="E222">
    <cfRule type="containsText" dxfId="9244" priority="425" operator="containsText" text="Buy">
      <formula>NOT(ISERROR(SEARCH("Buy",E222)))</formula>
    </cfRule>
    <cfRule type="containsText" dxfId="9243" priority="426" operator="containsText" text="Sell">
      <formula>NOT(ISERROR(SEARCH("Sell",E222)))</formula>
    </cfRule>
  </conditionalFormatting>
  <conditionalFormatting sqref="E219">
    <cfRule type="containsText" dxfId="9242" priority="423" operator="containsText" text="Buy">
      <formula>NOT(ISERROR(SEARCH("Buy",E219)))</formula>
    </cfRule>
    <cfRule type="containsText" dxfId="9241" priority="424" operator="containsText" text="Sell">
      <formula>NOT(ISERROR(SEARCH("Sell",E219)))</formula>
    </cfRule>
  </conditionalFormatting>
  <conditionalFormatting sqref="E218">
    <cfRule type="containsText" dxfId="9240" priority="421" operator="containsText" text="Buy">
      <formula>NOT(ISERROR(SEARCH("Buy",E218)))</formula>
    </cfRule>
    <cfRule type="containsText" dxfId="9239" priority="422" operator="containsText" text="Sell">
      <formula>NOT(ISERROR(SEARCH("Sell",E218)))</formula>
    </cfRule>
  </conditionalFormatting>
  <conditionalFormatting sqref="E205">
    <cfRule type="containsText" dxfId="9238" priority="419" operator="containsText" text="Buy">
      <formula>NOT(ISERROR(SEARCH("Buy",E205)))</formula>
    </cfRule>
    <cfRule type="containsText" dxfId="9237" priority="420" operator="containsText" text="Sell">
      <formula>NOT(ISERROR(SEARCH("Sell",E205)))</formula>
    </cfRule>
  </conditionalFormatting>
  <conditionalFormatting sqref="E142:E145 E155 E152:E153">
    <cfRule type="containsText" dxfId="9236" priority="417" operator="containsText" text="Buy">
      <formula>NOT(ISERROR(SEARCH("Buy",E142)))</formula>
    </cfRule>
    <cfRule type="containsText" dxfId="9235" priority="418" operator="containsText" text="Sell">
      <formula>NOT(ISERROR(SEARCH("Sell",E142)))</formula>
    </cfRule>
  </conditionalFormatting>
  <conditionalFormatting sqref="E308:E309">
    <cfRule type="containsText" dxfId="9234" priority="415" operator="containsText" text="Buy">
      <formula>NOT(ISERROR(SEARCH("Buy",E308)))</formula>
    </cfRule>
    <cfRule type="containsText" dxfId="9233" priority="416" operator="containsText" text="Sell">
      <formula>NOT(ISERROR(SEARCH("Sell",E308)))</formula>
    </cfRule>
  </conditionalFormatting>
  <conditionalFormatting sqref="E305:E306">
    <cfRule type="containsText" dxfId="9232" priority="413" operator="containsText" text="Buy">
      <formula>NOT(ISERROR(SEARCH("Buy",E305)))</formula>
    </cfRule>
    <cfRule type="containsText" dxfId="9231" priority="414" operator="containsText" text="Sell">
      <formula>NOT(ISERROR(SEARCH("Sell",E305)))</formula>
    </cfRule>
  </conditionalFormatting>
  <conditionalFormatting sqref="E303:E304">
    <cfRule type="containsText" dxfId="9230" priority="411" operator="containsText" text="Buy">
      <formula>NOT(ISERROR(SEARCH("Buy",E303)))</formula>
    </cfRule>
    <cfRule type="containsText" dxfId="9229" priority="412" operator="containsText" text="Sell">
      <formula>NOT(ISERROR(SEARCH("Sell",E303)))</formula>
    </cfRule>
  </conditionalFormatting>
  <conditionalFormatting sqref="E300:E301">
    <cfRule type="containsText" dxfId="9228" priority="409" operator="containsText" text="Buy">
      <formula>NOT(ISERROR(SEARCH("Buy",E300)))</formula>
    </cfRule>
    <cfRule type="containsText" dxfId="9227" priority="410" operator="containsText" text="Sell">
      <formula>NOT(ISERROR(SEARCH("Sell",E300)))</formula>
    </cfRule>
  </conditionalFormatting>
  <conditionalFormatting sqref="E297:E299">
    <cfRule type="containsText" dxfId="9226" priority="407" operator="containsText" text="Buy">
      <formula>NOT(ISERROR(SEARCH("Buy",E297)))</formula>
    </cfRule>
    <cfRule type="containsText" dxfId="9225" priority="408" operator="containsText" text="Sell">
      <formula>NOT(ISERROR(SEARCH("Sell",E297)))</formula>
    </cfRule>
  </conditionalFormatting>
  <conditionalFormatting sqref="E294:E295">
    <cfRule type="containsText" dxfId="9224" priority="405" operator="containsText" text="Buy">
      <formula>NOT(ISERROR(SEARCH("Buy",E294)))</formula>
    </cfRule>
    <cfRule type="containsText" dxfId="9223" priority="406" operator="containsText" text="Sell">
      <formula>NOT(ISERROR(SEARCH("Sell",E294)))</formula>
    </cfRule>
  </conditionalFormatting>
  <conditionalFormatting sqref="E291:E292">
    <cfRule type="containsText" dxfId="9222" priority="403" operator="containsText" text="Buy">
      <formula>NOT(ISERROR(SEARCH("Buy",E291)))</formula>
    </cfRule>
    <cfRule type="containsText" dxfId="9221" priority="404" operator="containsText" text="Sell">
      <formula>NOT(ISERROR(SEARCH("Sell",E291)))</formula>
    </cfRule>
  </conditionalFormatting>
  <conditionalFormatting sqref="E288:E289">
    <cfRule type="containsText" dxfId="9220" priority="401" operator="containsText" text="Buy">
      <formula>NOT(ISERROR(SEARCH("Buy",E288)))</formula>
    </cfRule>
    <cfRule type="containsText" dxfId="9219" priority="402" operator="containsText" text="Sell">
      <formula>NOT(ISERROR(SEARCH("Sell",E288)))</formula>
    </cfRule>
  </conditionalFormatting>
  <conditionalFormatting sqref="E284">
    <cfRule type="containsText" dxfId="9218" priority="397" operator="containsText" text="Buy">
      <formula>NOT(ISERROR(SEARCH("Buy",E284)))</formula>
    </cfRule>
    <cfRule type="containsText" dxfId="9217" priority="398" operator="containsText" text="Sell">
      <formula>NOT(ISERROR(SEARCH("Sell",E284)))</formula>
    </cfRule>
  </conditionalFormatting>
  <conditionalFormatting sqref="E285:E286">
    <cfRule type="containsText" dxfId="9216" priority="399" operator="containsText" text="Buy">
      <formula>NOT(ISERROR(SEARCH("Buy",E285)))</formula>
    </cfRule>
    <cfRule type="containsText" dxfId="9215" priority="400" operator="containsText" text="Sell">
      <formula>NOT(ISERROR(SEARCH("Sell",E285)))</formula>
    </cfRule>
  </conditionalFormatting>
  <conditionalFormatting sqref="E278:E279">
    <cfRule type="containsText" dxfId="9214" priority="395" operator="containsText" text="Buy">
      <formula>NOT(ISERROR(SEARCH("Buy",E278)))</formula>
    </cfRule>
    <cfRule type="containsText" dxfId="9213" priority="396" operator="containsText" text="Sell">
      <formula>NOT(ISERROR(SEARCH("Sell",E278)))</formula>
    </cfRule>
  </conditionalFormatting>
  <conditionalFormatting sqref="E274:E275">
    <cfRule type="containsText" dxfId="9212" priority="393" operator="containsText" text="Buy">
      <formula>NOT(ISERROR(SEARCH("Buy",E274)))</formula>
    </cfRule>
    <cfRule type="containsText" dxfId="9211" priority="394" operator="containsText" text="Sell">
      <formula>NOT(ISERROR(SEARCH("Sell",E274)))</formula>
    </cfRule>
  </conditionalFormatting>
  <conditionalFormatting sqref="E139:E140">
    <cfRule type="containsText" dxfId="9210" priority="391" operator="containsText" text="Buy">
      <formula>NOT(ISERROR(SEARCH("Buy",E139)))</formula>
    </cfRule>
    <cfRule type="containsText" dxfId="9209" priority="392" operator="containsText" text="Sell">
      <formula>NOT(ISERROR(SEARCH("Sell",E139)))</formula>
    </cfRule>
  </conditionalFormatting>
  <conditionalFormatting sqref="E134:E135">
    <cfRule type="containsText" dxfId="9208" priority="389" operator="containsText" text="Buy">
      <formula>NOT(ISERROR(SEARCH("Buy",E134)))</formula>
    </cfRule>
    <cfRule type="containsText" dxfId="9207" priority="390" operator="containsText" text="Sell">
      <formula>NOT(ISERROR(SEARCH("Sell",E134)))</formula>
    </cfRule>
  </conditionalFormatting>
  <conditionalFormatting sqref="E151">
    <cfRule type="containsText" dxfId="9206" priority="387" operator="containsText" text="Buy">
      <formula>NOT(ISERROR(SEARCH("Buy",E151)))</formula>
    </cfRule>
    <cfRule type="containsText" dxfId="9205" priority="388" operator="containsText" text="Sell">
      <formula>NOT(ISERROR(SEARCH("Sell",E151)))</formula>
    </cfRule>
  </conditionalFormatting>
  <conditionalFormatting sqref="E150">
    <cfRule type="containsText" dxfId="9204" priority="385" operator="containsText" text="Buy">
      <formula>NOT(ISERROR(SEARCH("Buy",E150)))</formula>
    </cfRule>
    <cfRule type="containsText" dxfId="9203" priority="386" operator="containsText" text="Sell">
      <formula>NOT(ISERROR(SEARCH("Sell",E150)))</formula>
    </cfRule>
  </conditionalFormatting>
  <conditionalFormatting sqref="E146">
    <cfRule type="containsText" dxfId="9202" priority="383" operator="containsText" text="Buy">
      <formula>NOT(ISERROR(SEARCH("Buy",E146)))</formula>
    </cfRule>
    <cfRule type="containsText" dxfId="9201" priority="384" operator="containsText" text="Sell">
      <formula>NOT(ISERROR(SEARCH("Sell",E146)))</formula>
    </cfRule>
  </conditionalFormatting>
  <conditionalFormatting sqref="E271:E273">
    <cfRule type="containsText" dxfId="9200" priority="381" operator="containsText" text="Buy">
      <formula>NOT(ISERROR(SEARCH("Buy",E271)))</formula>
    </cfRule>
    <cfRule type="containsText" dxfId="9199" priority="382" operator="containsText" text="Sell">
      <formula>NOT(ISERROR(SEARCH("Sell",E271)))</formula>
    </cfRule>
  </conditionalFormatting>
  <conditionalFormatting sqref="E268:E269">
    <cfRule type="containsText" dxfId="9198" priority="379" operator="containsText" text="Buy">
      <formula>NOT(ISERROR(SEARCH("Buy",E268)))</formula>
    </cfRule>
    <cfRule type="containsText" dxfId="9197" priority="380" operator="containsText" text="Sell">
      <formula>NOT(ISERROR(SEARCH("Sell",E268)))</formula>
    </cfRule>
  </conditionalFormatting>
  <conditionalFormatting sqref="E262:E264">
    <cfRule type="containsText" dxfId="9196" priority="377" operator="containsText" text="Buy">
      <formula>NOT(ISERROR(SEARCH("Buy",E262)))</formula>
    </cfRule>
    <cfRule type="containsText" dxfId="9195" priority="378" operator="containsText" text="Sell">
      <formula>NOT(ISERROR(SEARCH("Sell",E262)))</formula>
    </cfRule>
  </conditionalFormatting>
  <conditionalFormatting sqref="E258:E259">
    <cfRule type="containsText" dxfId="9194" priority="375" operator="containsText" text="Buy">
      <formula>NOT(ISERROR(SEARCH("Buy",E258)))</formula>
    </cfRule>
    <cfRule type="containsText" dxfId="9193" priority="376" operator="containsText" text="Sell">
      <formula>NOT(ISERROR(SEARCH("Sell",E258)))</formula>
    </cfRule>
  </conditionalFormatting>
  <conditionalFormatting sqref="E267">
    <cfRule type="containsText" dxfId="9192" priority="373" operator="containsText" text="Buy">
      <formula>NOT(ISERROR(SEARCH("Buy",E267)))</formula>
    </cfRule>
    <cfRule type="containsText" dxfId="9191" priority="374" operator="containsText" text="Sell">
      <formula>NOT(ISERROR(SEARCH("Sell",E267)))</formula>
    </cfRule>
  </conditionalFormatting>
  <conditionalFormatting sqref="E247">
    <cfRule type="containsText" dxfId="9190" priority="371" operator="containsText" text="Buy">
      <formula>NOT(ISERROR(SEARCH("Buy",E247)))</formula>
    </cfRule>
    <cfRule type="containsText" dxfId="9189" priority="372" operator="containsText" text="Sell">
      <formula>NOT(ISERROR(SEARCH("Sell",E247)))</formula>
    </cfRule>
  </conditionalFormatting>
  <conditionalFormatting sqref="E246">
    <cfRule type="containsText" dxfId="9188" priority="369" operator="containsText" text="Buy">
      <formula>NOT(ISERROR(SEARCH("Buy",E246)))</formula>
    </cfRule>
    <cfRule type="containsText" dxfId="9187" priority="370" operator="containsText" text="Sell">
      <formula>NOT(ISERROR(SEARCH("Sell",E246)))</formula>
    </cfRule>
  </conditionalFormatting>
  <conditionalFormatting sqref="E245">
    <cfRule type="containsText" dxfId="9186" priority="367" operator="containsText" text="Buy">
      <formula>NOT(ISERROR(SEARCH("Buy",E245)))</formula>
    </cfRule>
    <cfRule type="containsText" dxfId="9185" priority="368" operator="containsText" text="Sell">
      <formula>NOT(ISERROR(SEARCH("Sell",E245)))</formula>
    </cfRule>
  </conditionalFormatting>
  <conditionalFormatting sqref="E202">
    <cfRule type="containsText" dxfId="9184" priority="365" operator="containsText" text="Buy">
      <formula>NOT(ISERROR(SEARCH("Buy",E202)))</formula>
    </cfRule>
    <cfRule type="containsText" dxfId="9183" priority="366" operator="containsText" text="Sell">
      <formula>NOT(ISERROR(SEARCH("Sell",E202)))</formula>
    </cfRule>
  </conditionalFormatting>
  <conditionalFormatting sqref="E221">
    <cfRule type="containsText" dxfId="9182" priority="363" operator="containsText" text="Buy">
      <formula>NOT(ISERROR(SEARCH("Buy",E221)))</formula>
    </cfRule>
    <cfRule type="containsText" dxfId="9181" priority="364" operator="containsText" text="Sell">
      <formula>NOT(ISERROR(SEARCH("Sell",E221)))</formula>
    </cfRule>
  </conditionalFormatting>
  <conditionalFormatting sqref="E115:E116">
    <cfRule type="containsText" dxfId="9180" priority="361" operator="containsText" text="Buy">
      <formula>NOT(ISERROR(SEARCH("Buy",E115)))</formula>
    </cfRule>
    <cfRule type="containsText" dxfId="9179" priority="362" operator="containsText" text="Sell">
      <formula>NOT(ISERROR(SEARCH("Sell",E115)))</formula>
    </cfRule>
  </conditionalFormatting>
  <conditionalFormatting sqref="E244">
    <cfRule type="containsText" dxfId="9178" priority="357" operator="containsText" text="Buy">
      <formula>NOT(ISERROR(SEARCH("Buy",E244)))</formula>
    </cfRule>
    <cfRule type="containsText" dxfId="9177" priority="358" operator="containsText" text="Sell">
      <formula>NOT(ISERROR(SEARCH("Sell",E244)))</formula>
    </cfRule>
  </conditionalFormatting>
  <conditionalFormatting sqref="E154">
    <cfRule type="containsText" dxfId="9176" priority="359" operator="containsText" text="Buy">
      <formula>NOT(ISERROR(SEARCH("Buy",E154)))</formula>
    </cfRule>
    <cfRule type="containsText" dxfId="9175" priority="360" operator="containsText" text="Sell">
      <formula>NOT(ISERROR(SEARCH("Sell",E154)))</formula>
    </cfRule>
  </conditionalFormatting>
  <conditionalFormatting sqref="E243">
    <cfRule type="containsText" dxfId="9174" priority="355" operator="containsText" text="Buy">
      <formula>NOT(ISERROR(SEARCH("Buy",E243)))</formula>
    </cfRule>
    <cfRule type="containsText" dxfId="9173" priority="356" operator="containsText" text="Sell">
      <formula>NOT(ISERROR(SEARCH("Sell",E243)))</formula>
    </cfRule>
  </conditionalFormatting>
  <conditionalFormatting sqref="E242">
    <cfRule type="containsText" dxfId="9172" priority="353" operator="containsText" text="Buy">
      <formula>NOT(ISERROR(SEARCH("Buy",E242)))</formula>
    </cfRule>
    <cfRule type="containsText" dxfId="9171" priority="354" operator="containsText" text="Sell">
      <formula>NOT(ISERROR(SEARCH("Sell",E242)))</formula>
    </cfRule>
  </conditionalFormatting>
  <conditionalFormatting sqref="E241">
    <cfRule type="containsText" dxfId="9170" priority="351" operator="containsText" text="Buy">
      <formula>NOT(ISERROR(SEARCH("Buy",E241)))</formula>
    </cfRule>
    <cfRule type="containsText" dxfId="9169" priority="352" operator="containsText" text="Sell">
      <formula>NOT(ISERROR(SEARCH("Sell",E241)))</formula>
    </cfRule>
  </conditionalFormatting>
  <conditionalFormatting sqref="E240">
    <cfRule type="containsText" dxfId="9168" priority="349" operator="containsText" text="Buy">
      <formula>NOT(ISERROR(SEARCH("Buy",E240)))</formula>
    </cfRule>
    <cfRule type="containsText" dxfId="9167" priority="350" operator="containsText" text="Sell">
      <formula>NOT(ISERROR(SEARCH("Sell",E240)))</formula>
    </cfRule>
  </conditionalFormatting>
  <conditionalFormatting sqref="E120:E122 E133">
    <cfRule type="containsText" dxfId="9166" priority="347" operator="containsText" text="Buy">
      <formula>NOT(ISERROR(SEARCH("Buy",E120)))</formula>
    </cfRule>
    <cfRule type="containsText" dxfId="9165" priority="348" operator="containsText" text="Sell">
      <formula>NOT(ISERROR(SEARCH("Sell",E120)))</formula>
    </cfRule>
  </conditionalFormatting>
  <conditionalFormatting sqref="E110:E111">
    <cfRule type="containsText" dxfId="9164" priority="345" operator="containsText" text="Buy">
      <formula>NOT(ISERROR(SEARCH("Buy",E110)))</formula>
    </cfRule>
    <cfRule type="containsText" dxfId="9163" priority="346" operator="containsText" text="Sell">
      <formula>NOT(ISERROR(SEARCH("Sell",E110)))</formula>
    </cfRule>
  </conditionalFormatting>
  <conditionalFormatting sqref="E104:E105">
    <cfRule type="containsText" dxfId="9162" priority="343" operator="containsText" text="Buy">
      <formula>NOT(ISERROR(SEARCH("Buy",E104)))</formula>
    </cfRule>
    <cfRule type="containsText" dxfId="9161" priority="344" operator="containsText" text="Sell">
      <formula>NOT(ISERROR(SEARCH("Sell",E104)))</formula>
    </cfRule>
  </conditionalFormatting>
  <conditionalFormatting sqref="E131:E132">
    <cfRule type="containsText" dxfId="9160" priority="341" operator="containsText" text="Buy">
      <formula>NOT(ISERROR(SEARCH("Buy",E131)))</formula>
    </cfRule>
    <cfRule type="containsText" dxfId="9159" priority="342" operator="containsText" text="Sell">
      <formula>NOT(ISERROR(SEARCH("Sell",E131)))</formula>
    </cfRule>
  </conditionalFormatting>
  <conditionalFormatting sqref="E130">
    <cfRule type="containsText" dxfId="9158" priority="339" operator="containsText" text="Buy">
      <formula>NOT(ISERROR(SEARCH("Buy",E130)))</formula>
    </cfRule>
    <cfRule type="containsText" dxfId="9157" priority="340" operator="containsText" text="Sell">
      <formula>NOT(ISERROR(SEARCH("Sell",E130)))</formula>
    </cfRule>
  </conditionalFormatting>
  <conditionalFormatting sqref="E213">
    <cfRule type="containsText" dxfId="9156" priority="337" operator="containsText" text="Buy">
      <formula>NOT(ISERROR(SEARCH("Buy",E213)))</formula>
    </cfRule>
    <cfRule type="containsText" dxfId="9155" priority="338" operator="containsText" text="Sell">
      <formula>NOT(ISERROR(SEARCH("Sell",E213)))</formula>
    </cfRule>
  </conditionalFormatting>
  <conditionalFormatting sqref="E212">
    <cfRule type="containsText" dxfId="9154" priority="335" operator="containsText" text="Buy">
      <formula>NOT(ISERROR(SEARCH("Buy",E212)))</formula>
    </cfRule>
    <cfRule type="containsText" dxfId="9153" priority="336" operator="containsText" text="Sell">
      <formula>NOT(ISERROR(SEARCH("Sell",E212)))</formula>
    </cfRule>
  </conditionalFormatting>
  <conditionalFormatting sqref="E101:E102">
    <cfRule type="containsText" dxfId="9152" priority="333" operator="containsText" text="Buy">
      <formula>NOT(ISERROR(SEARCH("Buy",E101)))</formula>
    </cfRule>
    <cfRule type="containsText" dxfId="9151" priority="334" operator="containsText" text="Sell">
      <formula>NOT(ISERROR(SEARCH("Sell",E101)))</formula>
    </cfRule>
  </conditionalFormatting>
  <conditionalFormatting sqref="E100">
    <cfRule type="containsText" dxfId="9150" priority="331" operator="containsText" text="Buy">
      <formula>NOT(ISERROR(SEARCH("Buy",E100)))</formula>
    </cfRule>
    <cfRule type="containsText" dxfId="9149" priority="332" operator="containsText" text="Sell">
      <formula>NOT(ISERROR(SEARCH("Sell",E100)))</formula>
    </cfRule>
  </conditionalFormatting>
  <conditionalFormatting sqref="E99">
    <cfRule type="containsText" dxfId="9148" priority="329" operator="containsText" text="Buy">
      <formula>NOT(ISERROR(SEARCH("Buy",E99)))</formula>
    </cfRule>
    <cfRule type="containsText" dxfId="9147" priority="330" operator="containsText" text="Sell">
      <formula>NOT(ISERROR(SEARCH("Sell",E99)))</formula>
    </cfRule>
  </conditionalFormatting>
  <conditionalFormatting sqref="E96">
    <cfRule type="containsText" dxfId="9146" priority="327" operator="containsText" text="Buy">
      <formula>NOT(ISERROR(SEARCH("Buy",E96)))</formula>
    </cfRule>
    <cfRule type="containsText" dxfId="9145" priority="328" operator="containsText" text="Sell">
      <formula>NOT(ISERROR(SEARCH("Sell",E96)))</formula>
    </cfRule>
  </conditionalFormatting>
  <conditionalFormatting sqref="E95">
    <cfRule type="containsText" dxfId="9144" priority="325" operator="containsText" text="Buy">
      <formula>NOT(ISERROR(SEARCH("Buy",E95)))</formula>
    </cfRule>
    <cfRule type="containsText" dxfId="9143" priority="326" operator="containsText" text="Sell">
      <formula>NOT(ISERROR(SEARCH("Sell",E95)))</formula>
    </cfRule>
  </conditionalFormatting>
  <conditionalFormatting sqref="E92">
    <cfRule type="containsText" dxfId="9142" priority="323" operator="containsText" text="Buy">
      <formula>NOT(ISERROR(SEARCH("Buy",E92)))</formula>
    </cfRule>
    <cfRule type="containsText" dxfId="9141" priority="324" operator="containsText" text="Sell">
      <formula>NOT(ISERROR(SEARCH("Sell",E92)))</formula>
    </cfRule>
  </conditionalFormatting>
  <conditionalFormatting sqref="E91">
    <cfRule type="containsText" dxfId="9140" priority="321" operator="containsText" text="Buy">
      <formula>NOT(ISERROR(SEARCH("Buy",E91)))</formula>
    </cfRule>
    <cfRule type="containsText" dxfId="9139" priority="322" operator="containsText" text="Sell">
      <formula>NOT(ISERROR(SEARCH("Sell",E91)))</formula>
    </cfRule>
  </conditionalFormatting>
  <conditionalFormatting sqref="E90">
    <cfRule type="containsText" dxfId="9138" priority="319" operator="containsText" text="Buy">
      <formula>NOT(ISERROR(SEARCH("Buy",E90)))</formula>
    </cfRule>
    <cfRule type="containsText" dxfId="9137" priority="320" operator="containsText" text="Sell">
      <formula>NOT(ISERROR(SEARCH("Sell",E90)))</formula>
    </cfRule>
  </conditionalFormatting>
  <conditionalFormatting sqref="E88:E89">
    <cfRule type="containsText" dxfId="9136" priority="317" operator="containsText" text="Buy">
      <formula>NOT(ISERROR(SEARCH("Buy",E88)))</formula>
    </cfRule>
    <cfRule type="containsText" dxfId="9135" priority="318" operator="containsText" text="Sell">
      <formula>NOT(ISERROR(SEARCH("Sell",E88)))</formula>
    </cfRule>
  </conditionalFormatting>
  <conditionalFormatting sqref="E85 E81:E82">
    <cfRule type="containsText" dxfId="9134" priority="315" operator="containsText" text="Buy">
      <formula>NOT(ISERROR(SEARCH("Buy",E81)))</formula>
    </cfRule>
    <cfRule type="containsText" dxfId="9133" priority="316" operator="containsText" text="Sell">
      <formula>NOT(ISERROR(SEARCH("Sell",E81)))</formula>
    </cfRule>
  </conditionalFormatting>
  <conditionalFormatting sqref="E77">
    <cfRule type="containsText" dxfId="9132" priority="313" operator="containsText" text="Buy">
      <formula>NOT(ISERROR(SEARCH("Buy",E77)))</formula>
    </cfRule>
    <cfRule type="containsText" dxfId="9131" priority="314" operator="containsText" text="Sell">
      <formula>NOT(ISERROR(SEARCH("Sell",E77)))</formula>
    </cfRule>
  </conditionalFormatting>
  <conditionalFormatting sqref="E76">
    <cfRule type="containsText" dxfId="9130" priority="311" operator="containsText" text="Buy">
      <formula>NOT(ISERROR(SEARCH("Buy",E76)))</formula>
    </cfRule>
    <cfRule type="containsText" dxfId="9129" priority="312" operator="containsText" text="Sell">
      <formula>NOT(ISERROR(SEARCH("Sell",E76)))</formula>
    </cfRule>
  </conditionalFormatting>
  <conditionalFormatting sqref="E84">
    <cfRule type="containsText" dxfId="9128" priority="309" operator="containsText" text="Buy">
      <formula>NOT(ISERROR(SEARCH("Buy",E84)))</formula>
    </cfRule>
    <cfRule type="containsText" dxfId="9127" priority="310" operator="containsText" text="Sell">
      <formula>NOT(ISERROR(SEARCH("Sell",E84)))</formula>
    </cfRule>
  </conditionalFormatting>
  <conditionalFormatting sqref="E83">
    <cfRule type="containsText" dxfId="9126" priority="307" operator="containsText" text="Buy">
      <formula>NOT(ISERROR(SEARCH("Buy",E83)))</formula>
    </cfRule>
    <cfRule type="containsText" dxfId="9125" priority="308" operator="containsText" text="Sell">
      <formula>NOT(ISERROR(SEARCH("Sell",E83)))</formula>
    </cfRule>
  </conditionalFormatting>
  <conditionalFormatting sqref="E217">
    <cfRule type="containsText" dxfId="9124" priority="305" operator="containsText" text="Buy">
      <formula>NOT(ISERROR(SEARCH("Buy",E217)))</formula>
    </cfRule>
    <cfRule type="containsText" dxfId="9123" priority="306" operator="containsText" text="Sell">
      <formula>NOT(ISERROR(SEARCH("Sell",E217)))</formula>
    </cfRule>
  </conditionalFormatting>
  <conditionalFormatting sqref="E138">
    <cfRule type="containsText" dxfId="9122" priority="303" operator="containsText" text="Buy">
      <formula>NOT(ISERROR(SEARCH("Buy",E138)))</formula>
    </cfRule>
    <cfRule type="containsText" dxfId="9121" priority="304" operator="containsText" text="Sell">
      <formula>NOT(ISERROR(SEARCH("Sell",E138)))</formula>
    </cfRule>
  </conditionalFormatting>
  <conditionalFormatting sqref="E185">
    <cfRule type="containsText" dxfId="9120" priority="301" operator="containsText" text="Buy">
      <formula>NOT(ISERROR(SEARCH("Buy",E185)))</formula>
    </cfRule>
    <cfRule type="containsText" dxfId="9119" priority="302" operator="containsText" text="Sell">
      <formula>NOT(ISERROR(SEARCH("Sell",E185)))</formula>
    </cfRule>
  </conditionalFormatting>
  <conditionalFormatting sqref="E80">
    <cfRule type="containsText" dxfId="9118" priority="299" operator="containsText" text="Buy">
      <formula>NOT(ISERROR(SEARCH("Buy",E80)))</formula>
    </cfRule>
    <cfRule type="containsText" dxfId="9117" priority="300" operator="containsText" text="Sell">
      <formula>NOT(ISERROR(SEARCH("Sell",E80)))</formula>
    </cfRule>
  </conditionalFormatting>
  <conditionalFormatting sqref="E70">
    <cfRule type="containsText" dxfId="9116" priority="297" operator="containsText" text="Buy">
      <formula>NOT(ISERROR(SEARCH("Buy",E70)))</formula>
    </cfRule>
    <cfRule type="containsText" dxfId="9115" priority="298" operator="containsText" text="Sell">
      <formula>NOT(ISERROR(SEARCH("Sell",E70)))</formula>
    </cfRule>
  </conditionalFormatting>
  <conditionalFormatting sqref="E184">
    <cfRule type="containsText" dxfId="9114" priority="295" operator="containsText" text="Buy">
      <formula>NOT(ISERROR(SEARCH("Buy",E184)))</formula>
    </cfRule>
    <cfRule type="containsText" dxfId="9113" priority="296" operator="containsText" text="Sell">
      <formula>NOT(ISERROR(SEARCH("Sell",E184)))</formula>
    </cfRule>
  </conditionalFormatting>
  <conditionalFormatting sqref="E183">
    <cfRule type="containsText" dxfId="9112" priority="293" operator="containsText" text="Buy">
      <formula>NOT(ISERROR(SEARCH("Buy",E183)))</formula>
    </cfRule>
    <cfRule type="containsText" dxfId="9111" priority="294" operator="containsText" text="Sell">
      <formula>NOT(ISERROR(SEARCH("Sell",E183)))</formula>
    </cfRule>
  </conditionalFormatting>
  <conditionalFormatting sqref="E254:E256">
    <cfRule type="containsText" dxfId="9110" priority="291" operator="containsText" text="Buy">
      <formula>NOT(ISERROR(SEARCH("Buy",E254)))</formula>
    </cfRule>
    <cfRule type="containsText" dxfId="9109" priority="292" operator="containsText" text="Sell">
      <formula>NOT(ISERROR(SEARCH("Sell",E254)))</formula>
    </cfRule>
  </conditionalFormatting>
  <conditionalFormatting sqref="E239">
    <cfRule type="containsText" dxfId="9108" priority="289" operator="containsText" text="Buy">
      <formula>NOT(ISERROR(SEARCH("Buy",E239)))</formula>
    </cfRule>
    <cfRule type="containsText" dxfId="9107" priority="290" operator="containsText" text="Sell">
      <formula>NOT(ISERROR(SEARCH("Sell",E239)))</formula>
    </cfRule>
  </conditionalFormatting>
  <conditionalFormatting sqref="E238">
    <cfRule type="containsText" dxfId="9106" priority="287" operator="containsText" text="Buy">
      <formula>NOT(ISERROR(SEARCH("Buy",E238)))</formula>
    </cfRule>
    <cfRule type="containsText" dxfId="9105" priority="288" operator="containsText" text="Sell">
      <formula>NOT(ISERROR(SEARCH("Sell",E238)))</formula>
    </cfRule>
  </conditionalFormatting>
  <conditionalFormatting sqref="E75">
    <cfRule type="containsText" dxfId="9104" priority="285" operator="containsText" text="Buy">
      <formula>NOT(ISERROR(SEARCH("Buy",E75)))</formula>
    </cfRule>
    <cfRule type="containsText" dxfId="9103" priority="286" operator="containsText" text="Sell">
      <formula>NOT(ISERROR(SEARCH("Sell",E75)))</formula>
    </cfRule>
  </conditionalFormatting>
  <conditionalFormatting sqref="E204">
    <cfRule type="containsText" dxfId="9102" priority="283" operator="containsText" text="Buy">
      <formula>NOT(ISERROR(SEARCH("Buy",E204)))</formula>
    </cfRule>
    <cfRule type="containsText" dxfId="9101" priority="284" operator="containsText" text="Sell">
      <formula>NOT(ISERROR(SEARCH("Sell",E204)))</formula>
    </cfRule>
  </conditionalFormatting>
  <conditionalFormatting sqref="E201">
    <cfRule type="containsText" dxfId="9100" priority="281" operator="containsText" text="Buy">
      <formula>NOT(ISERROR(SEARCH("Buy",E201)))</formula>
    </cfRule>
    <cfRule type="containsText" dxfId="9099" priority="282" operator="containsText" text="Sell">
      <formula>NOT(ISERROR(SEARCH("Sell",E201)))</formula>
    </cfRule>
  </conditionalFormatting>
  <conditionalFormatting sqref="E66:E67">
    <cfRule type="containsText" dxfId="9098" priority="279" operator="containsText" text="Buy">
      <formula>NOT(ISERROR(SEARCH("Buy",E66)))</formula>
    </cfRule>
    <cfRule type="containsText" dxfId="9097" priority="280" operator="containsText" text="Sell">
      <formula>NOT(ISERROR(SEARCH("Sell",E66)))</formula>
    </cfRule>
  </conditionalFormatting>
  <conditionalFormatting sqref="E63:E64">
    <cfRule type="containsText" dxfId="9096" priority="277" operator="containsText" text="Buy">
      <formula>NOT(ISERROR(SEARCH("Buy",E63)))</formula>
    </cfRule>
    <cfRule type="containsText" dxfId="9095" priority="278" operator="containsText" text="Sell">
      <formula>NOT(ISERROR(SEARCH("Sell",E63)))</formula>
    </cfRule>
  </conditionalFormatting>
  <conditionalFormatting sqref="E237">
    <cfRule type="containsText" dxfId="9094" priority="275" operator="containsText" text="Buy">
      <formula>NOT(ISERROR(SEARCH("Buy",E237)))</formula>
    </cfRule>
    <cfRule type="containsText" dxfId="9093" priority="276" operator="containsText" text="Sell">
      <formula>NOT(ISERROR(SEARCH("Sell",E237)))</formula>
    </cfRule>
  </conditionalFormatting>
  <conditionalFormatting sqref="E60:E61">
    <cfRule type="containsText" dxfId="9092" priority="273" operator="containsText" text="Buy">
      <formula>NOT(ISERROR(SEARCH("Buy",E60)))</formula>
    </cfRule>
    <cfRule type="containsText" dxfId="9091" priority="274" operator="containsText" text="Sell">
      <formula>NOT(ISERROR(SEARCH("Sell",E60)))</formula>
    </cfRule>
  </conditionalFormatting>
  <conditionalFormatting sqref="E57:E58">
    <cfRule type="containsText" dxfId="9090" priority="271" operator="containsText" text="Buy">
      <formula>NOT(ISERROR(SEARCH("Buy",E57)))</formula>
    </cfRule>
    <cfRule type="containsText" dxfId="9089" priority="272" operator="containsText" text="Sell">
      <formula>NOT(ISERROR(SEARCH("Sell",E57)))</formula>
    </cfRule>
  </conditionalFormatting>
  <conditionalFormatting sqref="E129">
    <cfRule type="containsText" dxfId="9088" priority="269" operator="containsText" text="Buy">
      <formula>NOT(ISERROR(SEARCH("Buy",E129)))</formula>
    </cfRule>
    <cfRule type="containsText" dxfId="9087" priority="270" operator="containsText" text="Sell">
      <formula>NOT(ISERROR(SEARCH("Sell",E129)))</formula>
    </cfRule>
  </conditionalFormatting>
  <conditionalFormatting sqref="E53">
    <cfRule type="containsText" dxfId="9086" priority="265" operator="containsText" text="Buy">
      <formula>NOT(ISERROR(SEARCH("Buy",E53)))</formula>
    </cfRule>
    <cfRule type="containsText" dxfId="9085" priority="266" operator="containsText" text="Sell">
      <formula>NOT(ISERROR(SEARCH("Sell",E53)))</formula>
    </cfRule>
  </conditionalFormatting>
  <conditionalFormatting sqref="E266">
    <cfRule type="containsText" dxfId="9084" priority="263" operator="containsText" text="Buy">
      <formula>NOT(ISERROR(SEARCH("Buy",E266)))</formula>
    </cfRule>
    <cfRule type="containsText" dxfId="9083" priority="264" operator="containsText" text="Sell">
      <formula>NOT(ISERROR(SEARCH("Sell",E266)))</formula>
    </cfRule>
  </conditionalFormatting>
  <conditionalFormatting sqref="E283">
    <cfRule type="containsText" dxfId="9082" priority="261" operator="containsText" text="Buy">
      <formula>NOT(ISERROR(SEARCH("Buy",E283)))</formula>
    </cfRule>
    <cfRule type="containsText" dxfId="9081" priority="262" operator="containsText" text="Sell">
      <formula>NOT(ISERROR(SEARCH("Sell",E283)))</formula>
    </cfRule>
  </conditionalFormatting>
  <conditionalFormatting sqref="E257">
    <cfRule type="containsText" dxfId="9080" priority="257" operator="containsText" text="Buy">
      <formula>NOT(ISERROR(SEARCH("Buy",E257)))</formula>
    </cfRule>
    <cfRule type="containsText" dxfId="9079" priority="258" operator="containsText" text="Sell">
      <formula>NOT(ISERROR(SEARCH("Sell",E257)))</formula>
    </cfRule>
  </conditionalFormatting>
  <conditionalFormatting sqref="E261">
    <cfRule type="containsText" dxfId="9078" priority="259" operator="containsText" text="Buy">
      <formula>NOT(ISERROR(SEARCH("Buy",E261)))</formula>
    </cfRule>
    <cfRule type="containsText" dxfId="9077" priority="260" operator="containsText" text="Sell">
      <formula>NOT(ISERROR(SEARCH("Sell",E261)))</formula>
    </cfRule>
  </conditionalFormatting>
  <conditionalFormatting sqref="E39 E32 E28">
    <cfRule type="containsText" dxfId="9076" priority="255" operator="containsText" text="Buy">
      <formula>NOT(ISERROR(SEARCH("Buy",E28)))</formula>
    </cfRule>
    <cfRule type="containsText" dxfId="9075" priority="256" operator="containsText" text="Sell">
      <formula>NOT(ISERROR(SEARCH("Sell",E28)))</formula>
    </cfRule>
  </conditionalFormatting>
  <conditionalFormatting sqref="E128">
    <cfRule type="containsText" dxfId="9074" priority="253" operator="containsText" text="Buy">
      <formula>NOT(ISERROR(SEARCH("Buy",E128)))</formula>
    </cfRule>
    <cfRule type="containsText" dxfId="9073" priority="254" operator="containsText" text="Sell">
      <formula>NOT(ISERROR(SEARCH("Sell",E128)))</formula>
    </cfRule>
  </conditionalFormatting>
  <conditionalFormatting sqref="E182">
    <cfRule type="containsText" dxfId="9072" priority="251" operator="containsText" text="Buy">
      <formula>NOT(ISERROR(SEARCH("Buy",E182)))</formula>
    </cfRule>
    <cfRule type="containsText" dxfId="9071" priority="252" operator="containsText" text="Sell">
      <formula>NOT(ISERROR(SEARCH("Sell",E182)))</formula>
    </cfRule>
  </conditionalFormatting>
  <conditionalFormatting sqref="E137">
    <cfRule type="containsText" dxfId="9070" priority="249" operator="containsText" text="Buy">
      <formula>NOT(ISERROR(SEARCH("Buy",E137)))</formula>
    </cfRule>
    <cfRule type="containsText" dxfId="9069" priority="250" operator="containsText" text="Sell">
      <formula>NOT(ISERROR(SEARCH("Sell",E137)))</formula>
    </cfRule>
  </conditionalFormatting>
  <conditionalFormatting sqref="E72">
    <cfRule type="containsText" dxfId="9068" priority="247" operator="containsText" text="Buy">
      <formula>NOT(ISERROR(SEARCH("Buy",E72)))</formula>
    </cfRule>
    <cfRule type="containsText" dxfId="9067" priority="248" operator="containsText" text="Sell">
      <formula>NOT(ISERROR(SEARCH("Sell",E72)))</formula>
    </cfRule>
  </conditionalFormatting>
  <conditionalFormatting sqref="E127">
    <cfRule type="containsText" dxfId="9066" priority="241" operator="containsText" text="Buy">
      <formula>NOT(ISERROR(SEARCH("Buy",E127)))</formula>
    </cfRule>
    <cfRule type="containsText" dxfId="9065" priority="242" operator="containsText" text="Sell">
      <formula>NOT(ISERROR(SEARCH("Sell",E127)))</formula>
    </cfRule>
  </conditionalFormatting>
  <conditionalFormatting sqref="E228">
    <cfRule type="containsText" dxfId="9064" priority="245" operator="containsText" text="Buy">
      <formula>NOT(ISERROR(SEARCH("Buy",E228)))</formula>
    </cfRule>
    <cfRule type="containsText" dxfId="9063" priority="246" operator="containsText" text="Sell">
      <formula>NOT(ISERROR(SEARCH("Sell",E228)))</formula>
    </cfRule>
  </conditionalFormatting>
  <conditionalFormatting sqref="E167">
    <cfRule type="containsText" dxfId="9062" priority="233" operator="containsText" text="Buy">
      <formula>NOT(ISERROR(SEARCH("Buy",E167)))</formula>
    </cfRule>
    <cfRule type="containsText" dxfId="9061" priority="234" operator="containsText" text="Sell">
      <formula>NOT(ISERROR(SEARCH("Sell",E167)))</formula>
    </cfRule>
  </conditionalFormatting>
  <conditionalFormatting sqref="E282">
    <cfRule type="containsText" dxfId="9060" priority="243" operator="containsText" text="Buy">
      <formula>NOT(ISERROR(SEARCH("Buy",E282)))</formula>
    </cfRule>
    <cfRule type="containsText" dxfId="9059" priority="244" operator="containsText" text="Sell">
      <formula>NOT(ISERROR(SEARCH("Sell",E282)))</formula>
    </cfRule>
  </conditionalFormatting>
  <conditionalFormatting sqref="E200">
    <cfRule type="containsText" dxfId="9058" priority="239" operator="containsText" text="Buy">
      <formula>NOT(ISERROR(SEARCH("Buy",E200)))</formula>
    </cfRule>
    <cfRule type="containsText" dxfId="9057" priority="240" operator="containsText" text="Sell">
      <formula>NOT(ISERROR(SEARCH("Sell",E200)))</formula>
    </cfRule>
  </conditionalFormatting>
  <conditionalFormatting sqref="E36">
    <cfRule type="containsText" dxfId="9056" priority="235" operator="containsText" text="Buy">
      <formula>NOT(ISERROR(SEARCH("Buy",E36)))</formula>
    </cfRule>
    <cfRule type="containsText" dxfId="9055" priority="236" operator="containsText" text="Sell">
      <formula>NOT(ISERROR(SEARCH("Sell",E36)))</formula>
    </cfRule>
  </conditionalFormatting>
  <conditionalFormatting sqref="E277">
    <cfRule type="containsText" dxfId="9054" priority="237" operator="containsText" text="Buy">
      <formula>NOT(ISERROR(SEARCH("Buy",E277)))</formula>
    </cfRule>
    <cfRule type="containsText" dxfId="9053" priority="238" operator="containsText" text="Sell">
      <formula>NOT(ISERROR(SEARCH("Sell",E277)))</formula>
    </cfRule>
  </conditionalFormatting>
  <conditionalFormatting sqref="E199">
    <cfRule type="containsText" dxfId="9052" priority="225" operator="containsText" text="Buy">
      <formula>NOT(ISERROR(SEARCH("Buy",E199)))</formula>
    </cfRule>
    <cfRule type="containsText" dxfId="9051" priority="226" operator="containsText" text="Sell">
      <formula>NOT(ISERROR(SEARCH("Sell",E199)))</formula>
    </cfRule>
  </conditionalFormatting>
  <conditionalFormatting sqref="E281">
    <cfRule type="containsText" dxfId="9050" priority="231" operator="containsText" text="Buy">
      <formula>NOT(ISERROR(SEARCH("Buy",E281)))</formula>
    </cfRule>
    <cfRule type="containsText" dxfId="9049" priority="232" operator="containsText" text="Sell">
      <formula>NOT(ISERROR(SEARCH("Sell",E281)))</formula>
    </cfRule>
  </conditionalFormatting>
  <conditionalFormatting sqref="E265">
    <cfRule type="containsText" dxfId="9048" priority="229" operator="containsText" text="Buy">
      <formula>NOT(ISERROR(SEARCH("Buy",E265)))</formula>
    </cfRule>
    <cfRule type="containsText" dxfId="9047" priority="230" operator="containsText" text="Sell">
      <formula>NOT(ISERROR(SEARCH("Sell",E265)))</formula>
    </cfRule>
  </conditionalFormatting>
  <conditionalFormatting sqref="E157">
    <cfRule type="containsText" dxfId="9046" priority="221" operator="containsText" text="Buy">
      <formula>NOT(ISERROR(SEARCH("Buy",E157)))</formula>
    </cfRule>
    <cfRule type="containsText" dxfId="9045" priority="222" operator="containsText" text="Sell">
      <formula>NOT(ISERROR(SEARCH("Sell",E157)))</formula>
    </cfRule>
  </conditionalFormatting>
  <conditionalFormatting sqref="E87">
    <cfRule type="containsText" dxfId="9044" priority="219" operator="containsText" text="Buy">
      <formula>NOT(ISERROR(SEARCH("Buy",E87)))</formula>
    </cfRule>
    <cfRule type="containsText" dxfId="9043" priority="220" operator="containsText" text="Sell">
      <formula>NOT(ISERROR(SEARCH("Sell",E87)))</formula>
    </cfRule>
  </conditionalFormatting>
  <conditionalFormatting sqref="E227">
    <cfRule type="containsText" dxfId="9042" priority="227" operator="containsText" text="Buy">
      <formula>NOT(ISERROR(SEARCH("Buy",E227)))</formula>
    </cfRule>
    <cfRule type="containsText" dxfId="9041" priority="228" operator="containsText" text="Sell">
      <formula>NOT(ISERROR(SEARCH("Sell",E227)))</formula>
    </cfRule>
  </conditionalFormatting>
  <conditionalFormatting sqref="E198">
    <cfRule type="containsText" dxfId="9040" priority="223" operator="containsText" text="Buy">
      <formula>NOT(ISERROR(SEARCH("Buy",E198)))</formula>
    </cfRule>
    <cfRule type="containsText" dxfId="9039" priority="224" operator="containsText" text="Sell">
      <formula>NOT(ISERROR(SEARCH("Sell",E198)))</formula>
    </cfRule>
  </conditionalFormatting>
  <conditionalFormatting sqref="E119">
    <cfRule type="containsText" dxfId="9038" priority="203" operator="containsText" text="Buy">
      <formula>NOT(ISERROR(SEARCH("Buy",E119)))</formula>
    </cfRule>
    <cfRule type="containsText" dxfId="9037" priority="204" operator="containsText" text="Sell">
      <formula>NOT(ISERROR(SEARCH("Sell",E119)))</formula>
    </cfRule>
  </conditionalFormatting>
  <conditionalFormatting sqref="E69">
    <cfRule type="containsText" dxfId="9036" priority="217" operator="containsText" text="Buy">
      <formula>NOT(ISERROR(SEARCH("Buy",E69)))</formula>
    </cfRule>
    <cfRule type="containsText" dxfId="9035" priority="218" operator="containsText" text="Sell">
      <formula>NOT(ISERROR(SEARCH("Sell",E69)))</formula>
    </cfRule>
  </conditionalFormatting>
  <conditionalFormatting sqref="E147:E149">
    <cfRule type="containsText" dxfId="9034" priority="209" operator="containsText" text="Buy">
      <formula>NOT(ISERROR(SEARCH("Buy",E147)))</formula>
    </cfRule>
    <cfRule type="containsText" dxfId="9033" priority="210" operator="containsText" text="Sell">
      <formula>NOT(ISERROR(SEARCH("Sell",E147)))</formula>
    </cfRule>
  </conditionalFormatting>
  <conditionalFormatting sqref="E107">
    <cfRule type="containsText" dxfId="9032" priority="191" operator="containsText" text="Buy">
      <formula>NOT(ISERROR(SEARCH("Buy",E107)))</formula>
    </cfRule>
    <cfRule type="containsText" dxfId="9031" priority="192" operator="containsText" text="Sell">
      <formula>NOT(ISERROR(SEARCH("Sell",E107)))</formula>
    </cfRule>
  </conditionalFormatting>
  <conditionalFormatting sqref="E125">
    <cfRule type="containsText" dxfId="9030" priority="205" operator="containsText" text="Buy">
      <formula>NOT(ISERROR(SEARCH("Buy",E125)))</formula>
    </cfRule>
    <cfRule type="containsText" dxfId="9029" priority="206" operator="containsText" text="Sell">
      <formula>NOT(ISERROR(SEARCH("Sell",E125)))</formula>
    </cfRule>
  </conditionalFormatting>
  <conditionalFormatting sqref="E231">
    <cfRule type="containsText" dxfId="9028" priority="189" operator="containsText" text="Buy">
      <formula>NOT(ISERROR(SEARCH("Buy",E231)))</formula>
    </cfRule>
    <cfRule type="containsText" dxfId="9027" priority="190" operator="containsText" text="Sell">
      <formula>NOT(ISERROR(SEARCH("Sell",E231)))</formula>
    </cfRule>
  </conditionalFormatting>
  <conditionalFormatting sqref="E234">
    <cfRule type="containsText" dxfId="9026" priority="215" operator="containsText" text="Buy">
      <formula>NOT(ISERROR(SEARCH("Buy",E234)))</formula>
    </cfRule>
    <cfRule type="containsText" dxfId="9025" priority="216" operator="containsText" text="Sell">
      <formula>NOT(ISERROR(SEARCH("Sell",E234)))</formula>
    </cfRule>
  </conditionalFormatting>
  <conditionalFormatting sqref="E232">
    <cfRule type="containsText" dxfId="9024" priority="193" operator="containsText" text="Buy">
      <formula>NOT(ISERROR(SEARCH("Buy",E232)))</formula>
    </cfRule>
    <cfRule type="containsText" dxfId="9023" priority="194" operator="containsText" text="Sell">
      <formula>NOT(ISERROR(SEARCH("Sell",E232)))</formula>
    </cfRule>
  </conditionalFormatting>
  <conditionalFormatting sqref="E50">
    <cfRule type="containsText" dxfId="9022" priority="213" operator="containsText" text="Buy">
      <formula>NOT(ISERROR(SEARCH("Buy",E50)))</formula>
    </cfRule>
    <cfRule type="containsText" dxfId="9021" priority="214" operator="containsText" text="Sell">
      <formula>NOT(ISERROR(SEARCH("Sell",E50)))</formula>
    </cfRule>
  </conditionalFormatting>
  <conditionalFormatting sqref="E73:E74">
    <cfRule type="containsText" dxfId="9020" priority="211" operator="containsText" text="Buy">
      <formula>NOT(ISERROR(SEARCH("Buy",E73)))</formula>
    </cfRule>
    <cfRule type="containsText" dxfId="9019" priority="212" operator="containsText" text="Sell">
      <formula>NOT(ISERROR(SEARCH("Sell",E73)))</formula>
    </cfRule>
  </conditionalFormatting>
  <conditionalFormatting sqref="E126">
    <cfRule type="containsText" dxfId="9018" priority="207" operator="containsText" text="Buy">
      <formula>NOT(ISERROR(SEARCH("Buy",E126)))</formula>
    </cfRule>
    <cfRule type="containsText" dxfId="9017" priority="208" operator="containsText" text="Sell">
      <formula>NOT(ISERROR(SEARCH("Sell",E126)))</formula>
    </cfRule>
  </conditionalFormatting>
  <conditionalFormatting sqref="E124">
    <cfRule type="containsText" dxfId="9016" priority="201" operator="containsText" text="Buy">
      <formula>NOT(ISERROR(SEARCH("Buy",E124)))</formula>
    </cfRule>
    <cfRule type="containsText" dxfId="9015" priority="202" operator="containsText" text="Sell">
      <formula>NOT(ISERROR(SEARCH("Sell",E124)))</formula>
    </cfRule>
  </conditionalFormatting>
  <conditionalFormatting sqref="E123">
    <cfRule type="containsText" dxfId="9014" priority="199" operator="containsText" text="Buy">
      <formula>NOT(ISERROR(SEARCH("Buy",E123)))</formula>
    </cfRule>
    <cfRule type="containsText" dxfId="9013" priority="200" operator="containsText" text="Sell">
      <formula>NOT(ISERROR(SEARCH("Sell",E123)))</formula>
    </cfRule>
  </conditionalFormatting>
  <conditionalFormatting sqref="E233">
    <cfRule type="containsText" dxfId="9012" priority="197" operator="containsText" text="Buy">
      <formula>NOT(ISERROR(SEARCH("Buy",E233)))</formula>
    </cfRule>
    <cfRule type="containsText" dxfId="9011" priority="198" operator="containsText" text="Sell">
      <formula>NOT(ISERROR(SEARCH("Sell",E233)))</formula>
    </cfRule>
  </conditionalFormatting>
  <conditionalFormatting sqref="E108:E109">
    <cfRule type="containsText" dxfId="9010" priority="195" operator="containsText" text="Buy">
      <formula>NOT(ISERROR(SEARCH("Buy",E108)))</formula>
    </cfRule>
    <cfRule type="containsText" dxfId="9009" priority="196" operator="containsText" text="Sell">
      <formula>NOT(ISERROR(SEARCH("Sell",E108)))</formula>
    </cfRule>
  </conditionalFormatting>
  <conditionalFormatting sqref="E114">
    <cfRule type="containsText" dxfId="9008" priority="187" operator="containsText" text="Buy">
      <formula>NOT(ISERROR(SEARCH("Buy",E114)))</formula>
    </cfRule>
    <cfRule type="containsText" dxfId="9007" priority="188" operator="containsText" text="Sell">
      <formula>NOT(ISERROR(SEARCH("Sell",E114)))</formula>
    </cfRule>
  </conditionalFormatting>
  <conditionalFormatting sqref="E118">
    <cfRule type="containsText" dxfId="9006" priority="185" operator="containsText" text="Buy">
      <formula>NOT(ISERROR(SEARCH("Buy",E118)))</formula>
    </cfRule>
    <cfRule type="containsText" dxfId="9005" priority="186" operator="containsText" text="Sell">
      <formula>NOT(ISERROR(SEARCH("Sell",E118)))</formula>
    </cfRule>
  </conditionalFormatting>
  <conditionalFormatting sqref="E113">
    <cfRule type="containsText" dxfId="9004" priority="183" operator="containsText" text="Buy">
      <formula>NOT(ISERROR(SEARCH("Buy",E113)))</formula>
    </cfRule>
    <cfRule type="containsText" dxfId="9003" priority="184" operator="containsText" text="Sell">
      <formula>NOT(ISERROR(SEARCH("Sell",E113)))</formula>
    </cfRule>
  </conditionalFormatting>
  <conditionalFormatting sqref="E27">
    <cfRule type="containsText" dxfId="9002" priority="181" operator="containsText" text="Buy">
      <formula>NOT(ISERROR(SEARCH("Buy",E27)))</formula>
    </cfRule>
    <cfRule type="containsText" dxfId="9001" priority="182" operator="containsText" text="Sell">
      <formula>NOT(ISERROR(SEARCH("Sell",E27)))</formula>
    </cfRule>
  </conditionalFormatting>
  <conditionalFormatting sqref="E26">
    <cfRule type="containsText" dxfId="9000" priority="179" operator="containsText" text="Buy">
      <formula>NOT(ISERROR(SEARCH("Buy",E26)))</formula>
    </cfRule>
    <cfRule type="containsText" dxfId="8999" priority="180" operator="containsText" text="Sell">
      <formula>NOT(ISERROR(SEARCH("Sell",E26)))</formula>
    </cfRule>
  </conditionalFormatting>
  <conditionalFormatting sqref="E31">
    <cfRule type="containsText" dxfId="8998" priority="175" operator="containsText" text="Buy">
      <formula>NOT(ISERROR(SEARCH("Buy",E31)))</formula>
    </cfRule>
    <cfRule type="containsText" dxfId="8997" priority="176" operator="containsText" text="Sell">
      <formula>NOT(ISERROR(SEARCH("Sell",E31)))</formula>
    </cfRule>
  </conditionalFormatting>
  <conditionalFormatting sqref="E30">
    <cfRule type="containsText" dxfId="8996" priority="173" operator="containsText" text="Buy">
      <formula>NOT(ISERROR(SEARCH("Buy",E30)))</formula>
    </cfRule>
    <cfRule type="containsText" dxfId="8995" priority="174" operator="containsText" text="Sell">
      <formula>NOT(ISERROR(SEARCH("Sell",E30)))</formula>
    </cfRule>
  </conditionalFormatting>
  <conditionalFormatting sqref="E35">
    <cfRule type="containsText" dxfId="8994" priority="171" operator="containsText" text="Buy">
      <formula>NOT(ISERROR(SEARCH("Buy",E35)))</formula>
    </cfRule>
    <cfRule type="containsText" dxfId="8993" priority="172" operator="containsText" text="Sell">
      <formula>NOT(ISERROR(SEARCH("Sell",E35)))</formula>
    </cfRule>
  </conditionalFormatting>
  <conditionalFormatting sqref="E33">
    <cfRule type="containsText" dxfId="8992" priority="169" operator="containsText" text="Buy">
      <formula>NOT(ISERROR(SEARCH("Buy",E33)))</formula>
    </cfRule>
    <cfRule type="containsText" dxfId="8991" priority="170" operator="containsText" text="Sell">
      <formula>NOT(ISERROR(SEARCH("Sell",E33)))</formula>
    </cfRule>
  </conditionalFormatting>
  <conditionalFormatting sqref="E38">
    <cfRule type="containsText" dxfId="8990" priority="167" operator="containsText" text="Buy">
      <formula>NOT(ISERROR(SEARCH("Buy",E38)))</formula>
    </cfRule>
    <cfRule type="containsText" dxfId="8989" priority="168" operator="containsText" text="Sell">
      <formula>NOT(ISERROR(SEARCH("Sell",E38)))</formula>
    </cfRule>
  </conditionalFormatting>
  <conditionalFormatting sqref="E37">
    <cfRule type="containsText" dxfId="8988" priority="165" operator="containsText" text="Buy">
      <formula>NOT(ISERROR(SEARCH("Buy",E37)))</formula>
    </cfRule>
    <cfRule type="containsText" dxfId="8987" priority="166" operator="containsText" text="Sell">
      <formula>NOT(ISERROR(SEARCH("Sell",E37)))</formula>
    </cfRule>
  </conditionalFormatting>
  <conditionalFormatting sqref="I4:J4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{2CED24ED-7EB2-4551-90E8-7ABE3C5976CF}</x14:id>
        </ext>
      </extLst>
    </cfRule>
  </conditionalFormatting>
  <conditionalFormatting sqref="I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{6C717FFA-CCDD-476E-87B5-AE71B06E83BB}</x14:id>
        </ext>
      </extLst>
    </cfRule>
  </conditionalFormatting>
  <conditionalFormatting sqref="S4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{10AE3265-88AD-4DC8-8914-520F318E5ECB}</x14:id>
        </ext>
      </extLst>
    </cfRule>
  </conditionalFormatting>
  <conditionalFormatting sqref="T4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{9B3DA9E8-D585-47F7-9532-571871180C3C}</x14:id>
        </ext>
      </extLst>
    </cfRule>
  </conditionalFormatting>
  <conditionalFormatting sqref="J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{2384E894-A3E4-4E92-B738-D491ABC03E7E}</x14:id>
        </ext>
      </extLst>
    </cfRule>
  </conditionalFormatting>
  <conditionalFormatting sqref="I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{69588956-9B20-425F-A934-56D93768E0FB}</x14:id>
        </ext>
      </extLst>
    </cfRule>
  </conditionalFormatting>
  <conditionalFormatting sqref="J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{1FFE452F-B821-49C3-A381-6E604053F0E4}</x14:id>
        </ext>
      </extLst>
    </cfRule>
  </conditionalFormatting>
  <conditionalFormatting sqref="E42">
    <cfRule type="containsText" dxfId="8986" priority="148" operator="containsText" text="Buy">
      <formula>NOT(ISERROR(SEARCH("Buy",E42)))</formula>
    </cfRule>
    <cfRule type="containsText" dxfId="8985" priority="149" operator="containsText" text="Sell">
      <formula>NOT(ISERROR(SEARCH("Sell",E42)))</formula>
    </cfRule>
  </conditionalFormatting>
  <conditionalFormatting sqref="E40">
    <cfRule type="containsText" dxfId="8984" priority="146" operator="containsText" text="Buy">
      <formula>NOT(ISERROR(SEARCH("Buy",E40)))</formula>
    </cfRule>
    <cfRule type="containsText" dxfId="8983" priority="147" operator="containsText" text="Sell">
      <formula>NOT(ISERROR(SEARCH("Sell",E40)))</formula>
    </cfRule>
  </conditionalFormatting>
  <conditionalFormatting sqref="E46">
    <cfRule type="containsText" dxfId="8982" priority="128" operator="containsText" text="Buy">
      <formula>NOT(ISERROR(SEARCH("Buy",E46)))</formula>
    </cfRule>
    <cfRule type="containsText" dxfId="8981" priority="129" operator="containsText" text="Sell">
      <formula>NOT(ISERROR(SEARCH("Sell",E46)))</formula>
    </cfRule>
  </conditionalFormatting>
  <conditionalFormatting sqref="E45">
    <cfRule type="containsText" dxfId="8980" priority="126" operator="containsText" text="Buy">
      <formula>NOT(ISERROR(SEARCH("Buy",E45)))</formula>
    </cfRule>
    <cfRule type="containsText" dxfId="8979" priority="127" operator="containsText" text="Sell">
      <formula>NOT(ISERROR(SEARCH("Sell",E45)))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{182BE66C-034F-4DA2-8A2A-B08DA7B5FB8D}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{00C966E7-E670-4681-A813-B549F35518AB}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{03D03779-76FC-4F32-B038-DA9AF9D7A759}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{D3775625-0D5D-4D2B-A062-BA5A7982EB56}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{CC47959A-9A86-46A7-87DE-DD54EB39DC78}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{77C8BC64-A97C-427B-B4B6-14EC477E6557}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{3027C934-AF81-4BBF-8146-40891B400C71}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{56A45598-1F03-4FE8-80F0-B647CDAFDF8B}</x14:id>
        </ext>
      </extLst>
    </cfRule>
  </conditionalFormatting>
  <conditionalFormatting sqref="E49">
    <cfRule type="containsText" dxfId="8978" priority="108" operator="containsText" text="Buy">
      <formula>NOT(ISERROR(SEARCH("Buy",E49)))</formula>
    </cfRule>
    <cfRule type="containsText" dxfId="8977" priority="109" operator="containsText" text="Sell">
      <formula>NOT(ISERROR(SEARCH("Sell",E49)))</formula>
    </cfRule>
  </conditionalFormatting>
  <conditionalFormatting sqref="E48">
    <cfRule type="containsText" dxfId="8976" priority="106" operator="containsText" text="Buy">
      <formula>NOT(ISERROR(SEARCH("Buy",E48)))</formula>
    </cfRule>
    <cfRule type="containsText" dxfId="8975" priority="107" operator="containsText" text="Sell">
      <formula>NOT(ISERROR(SEARCH("Sell",E48)))</formula>
    </cfRule>
  </conditionalFormatting>
  <conditionalFormatting sqref="I6:J7 I9:J9">
    <cfRule type="dataBar" priority="4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{B17A19DF-67CE-455B-956F-B433813F6951}</x14:id>
        </ext>
      </extLst>
    </cfRule>
  </conditionalFormatting>
  <conditionalFormatting sqref="I6:I7 I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{7305B730-B73D-48C4-AF46-E2FD2C37E70C}</x14:id>
        </ext>
      </extLst>
    </cfRule>
  </conditionalFormatting>
  <conditionalFormatting sqref="S6:S7 S9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{F89D6A24-2042-4002-91E6-92D0C35D3358}</x14:id>
        </ext>
      </extLst>
    </cfRule>
  </conditionalFormatting>
  <conditionalFormatting sqref="T6:T7 T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{12D93E1B-2DA0-4872-A6F3-6FB9F1BA9AF8}</x14:id>
        </ext>
      </extLst>
    </cfRule>
  </conditionalFormatting>
  <conditionalFormatting sqref="J6:J7 J9">
    <cfRule type="dataBar" priority="5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{9FE1AAF2-DBD5-4C17-9164-E7A397B80093}</x14:id>
        </ext>
      </extLst>
    </cfRule>
  </conditionalFormatting>
  <conditionalFormatting sqref="I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{E979F913-5731-4941-AF6B-5ACD12981A3A}</x14:id>
        </ext>
      </extLst>
    </cfRule>
  </conditionalFormatting>
  <conditionalFormatting sqref="J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{9DCF2F0B-726A-46D8-8D88-A6B920141DD8}</x14:id>
        </ext>
      </extLst>
    </cfRule>
  </conditionalFormatting>
  <conditionalFormatting sqref="I6:J7 I4:J4 I9:J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{02241B92-CA7D-4F30-96D5-61A5C5291A2C}</x14:id>
        </ext>
      </extLst>
    </cfRule>
  </conditionalFormatting>
  <conditionalFormatting sqref="H16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{BB124BC2-3801-4831-A1D8-EF6BCAF3A441}</x14:id>
        </ext>
      </extLst>
    </cfRule>
    <cfRule type="cellIs" dxfId="8974" priority="514" operator="equal">
      <formula>1</formula>
    </cfRule>
  </conditionalFormatting>
  <conditionalFormatting sqref="I5:J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{39DE5B8E-180D-4953-953C-91A2BA14396E}</x14:id>
        </ext>
      </extLst>
    </cfRule>
  </conditionalFormatting>
  <conditionalFormatting sqref="I5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{D73AFD08-1271-41BC-8C2D-F6C49C5FF203}</x14:id>
        </ext>
      </extLst>
    </cfRule>
  </conditionalFormatting>
  <conditionalFormatting sqref="S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{2C3905DE-807B-4E30-80C0-EA10C69FB74E}</x14:id>
        </ext>
      </extLst>
    </cfRule>
  </conditionalFormatting>
  <conditionalFormatting sqref="T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{300982A8-BBDF-4DC2-87BB-FD99E0D2E78F}</x14:id>
        </ext>
      </extLst>
    </cfRule>
  </conditionalFormatting>
  <conditionalFormatting sqref="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{49E0DFE5-9D0B-47BE-B50B-D86EC9FADD5E}</x14:id>
        </ext>
      </extLst>
    </cfRule>
  </conditionalFormatting>
  <conditionalFormatting sqref="I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{D0B8218F-98EF-4BDC-B992-AEFE3C9B16A6}</x14:id>
        </ext>
      </extLst>
    </cfRule>
  </conditionalFormatting>
  <conditionalFormatting sqref="J5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{67D57F39-69A0-46F2-B59D-C520826265FF}</x14:id>
        </ext>
      </extLst>
    </cfRule>
  </conditionalFormatting>
  <conditionalFormatting sqref="I5:J5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{3D46057D-7BB9-4DA2-BDB3-D19B4ACD22E7}</x14:id>
        </ext>
      </extLst>
    </cfRule>
  </conditionalFormatting>
  <conditionalFormatting sqref="I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{72B1945C-32B5-44C7-A45C-A6BB8D078C29}</x14:id>
        </ext>
      </extLst>
    </cfRule>
  </conditionalFormatting>
  <conditionalFormatting sqref="J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{4D840119-6BB6-437A-B585-FDC4753F3532}</x14:id>
        </ext>
      </extLst>
    </cfRule>
  </conditionalFormatting>
  <conditionalFormatting sqref="I6:I7 I4 I9 I11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{5A87CA38-BE8A-4E94-A59F-DEF190D5BCEA}</x14:id>
        </ext>
      </extLst>
    </cfRule>
  </conditionalFormatting>
  <conditionalFormatting sqref="J6:J7 J4 J9 J11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{8777593A-05F7-46D7-B7A2-7782C61C5276}</x14:id>
        </ext>
      </extLst>
    </cfRule>
  </conditionalFormatting>
  <conditionalFormatting sqref="I8:J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{4FEADC22-BE2D-485E-9A07-11831708EF3D}</x14:id>
        </ext>
      </extLst>
    </cfRule>
  </conditionalFormatting>
  <conditionalFormatting sqref="I8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{3EA3A3B8-BB5F-4694-B9D5-89B71F967F3E}</x14:id>
        </ext>
      </extLst>
    </cfRule>
  </conditionalFormatting>
  <conditionalFormatting sqref="S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{FE14B773-962B-4742-B468-3A396B41BA41}</x14:id>
        </ext>
      </extLst>
    </cfRule>
  </conditionalFormatting>
  <conditionalFormatting sqref="T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{BC4E1CB1-4261-4B7A-80CF-7E95C6B22D32}</x14:id>
        </ext>
      </extLst>
    </cfRule>
  </conditionalFormatting>
  <conditionalFormatting sqref="J8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{ECE0A902-D5CE-4443-AE3C-599267AA13D4}</x14:id>
        </ext>
      </extLst>
    </cfRule>
  </conditionalFormatting>
  <conditionalFormatting sqref="I8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{B625B51A-3E01-46E7-9F5D-4A2D9CAE3648}</x14:id>
        </ext>
      </extLst>
    </cfRule>
  </conditionalFormatting>
  <conditionalFormatting sqref="J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{ECCA26BD-FAFB-4F2E-8293-EBCA76E15FDA}</x14:id>
        </ext>
      </extLst>
    </cfRule>
  </conditionalFormatting>
  <conditionalFormatting sqref="I8:J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{0D996423-4D59-49C1-AEE2-6BCF6A876DEE}</x14:id>
        </ext>
      </extLst>
    </cfRule>
  </conditionalFormatting>
  <conditionalFormatting sqref="I8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{A47E46B5-EA7F-4A64-AC81-8E9FE3243E1D}</x14:id>
        </ext>
      </extLst>
    </cfRule>
  </conditionalFormatting>
  <conditionalFormatting sqref="J8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{468FA368-8619-426A-95BB-2EDA53C9E2DB}</x14:id>
        </ext>
      </extLst>
    </cfRule>
  </conditionalFormatting>
  <conditionalFormatting sqref="E52">
    <cfRule type="containsText" dxfId="8973" priority="68" operator="containsText" text="Buy">
      <formula>NOT(ISERROR(SEARCH("Buy",E52)))</formula>
    </cfRule>
    <cfRule type="containsText" dxfId="8972" priority="69" operator="containsText" text="Sell">
      <formula>NOT(ISERROR(SEARCH("Sell",E52)))</formula>
    </cfRule>
  </conditionalFormatting>
  <conditionalFormatting sqref="E51">
    <cfRule type="containsText" dxfId="8971" priority="66" operator="containsText" text="Buy">
      <formula>NOT(ISERROR(SEARCH("Buy",E51)))</formula>
    </cfRule>
    <cfRule type="containsText" dxfId="8970" priority="67" operator="containsText" text="Sell">
      <formula>NOT(ISERROR(SEARCH("Sell",E51)))</formula>
    </cfRule>
  </conditionalFormatting>
  <conditionalFormatting sqref="I4:I9 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{3C7EAD0B-5125-4FF1-B9F1-BC81E329F442}</x14:id>
        </ext>
      </extLst>
    </cfRule>
  </conditionalFormatting>
  <conditionalFormatting sqref="J4:J9 J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{68FC8C6F-3013-43A2-B688-F2B39EBC2601}</x14:id>
        </ext>
      </extLst>
    </cfRule>
  </conditionalFormatting>
  <conditionalFormatting sqref="E34">
    <cfRule type="containsText" dxfId="8969" priority="57" operator="containsText" text="Buy">
      <formula>NOT(ISERROR(SEARCH("Buy",E34)))</formula>
    </cfRule>
    <cfRule type="containsText" dxfId="8968" priority="58" operator="containsText" text="Sell">
      <formula>NOT(ISERROR(SEARCH("Sell",E34)))</formula>
    </cfRule>
  </conditionalFormatting>
  <conditionalFormatting sqref="E41">
    <cfRule type="containsText" dxfId="8967" priority="55" operator="containsText" text="Buy">
      <formula>NOT(ISERROR(SEARCH("Buy",E41)))</formula>
    </cfRule>
    <cfRule type="containsText" dxfId="8966" priority="56" operator="containsText" text="Sell">
      <formula>NOT(ISERROR(SEARCH("Sell",E41)))</formula>
    </cfRule>
  </conditionalFormatting>
  <conditionalFormatting sqref="Q4:Q9 Q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{A17BBD03-B677-4719-9700-EE8C6F47FE02}</x14:id>
        </ext>
      </extLst>
    </cfRule>
  </conditionalFormatting>
  <conditionalFormatting sqref="Q4:Q9 Q11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{42C6FB47-82F0-49FC-8C5D-E1C8C2028C3D}</x14:id>
        </ext>
      </extLst>
    </cfRule>
  </conditionalFormatting>
  <conditionalFormatting sqref="Q13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{C78965B8-8890-4211-B344-6B869456DD11}</x14:id>
        </ext>
      </extLst>
    </cfRule>
  </conditionalFormatting>
  <conditionalFormatting sqref="Q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{C7ECA714-E5E5-4937-9EED-991A10C5B56B}</x14:id>
        </ext>
      </extLst>
    </cfRule>
  </conditionalFormatting>
  <conditionalFormatting sqref="Q13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{E48EC08B-C207-4207-9E7E-74DE311EA25A}</x14:id>
        </ext>
      </extLst>
    </cfRule>
  </conditionalFormatting>
  <conditionalFormatting sqref="Q13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{E4F7CD5F-AAFA-4DE9-B010-E36A5868D437}</x14:id>
        </ext>
      </extLst>
    </cfRule>
  </conditionalFormatting>
  <conditionalFormatting sqref="Q13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{C7C79F4F-0653-4D8A-B141-9A2EF037578F}</x14:id>
        </ext>
      </extLst>
    </cfRule>
  </conditionalFormatting>
  <conditionalFormatting sqref="Q13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{65A75C50-E50B-4005-B731-50F66E527A61}</x14:id>
        </ext>
      </extLst>
    </cfRule>
  </conditionalFormatting>
  <conditionalFormatting sqref="E44">
    <cfRule type="containsText" dxfId="8965" priority="41" operator="containsText" text="Buy">
      <formula>NOT(ISERROR(SEARCH("Buy",E44)))</formula>
    </cfRule>
    <cfRule type="containsText" dxfId="8964" priority="42" operator="containsText" text="Sell">
      <formula>NOT(ISERROR(SEARCH("Sell",E44)))</formula>
    </cfRule>
  </conditionalFormatting>
  <conditionalFormatting sqref="E29">
    <cfRule type="containsText" dxfId="8963" priority="39" operator="containsText" text="Buy">
      <formula>NOT(ISERROR(SEARCH("Buy",E29)))</formula>
    </cfRule>
    <cfRule type="containsText" dxfId="8962" priority="40" operator="containsText" text="Sell">
      <formula>NOT(ISERROR(SEARCH("Sell",E29)))</formula>
    </cfRule>
  </conditionalFormatting>
  <conditionalFormatting sqref="I10:J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{7A3D650C-A31F-4123-A017-F8E0E4695EFA}</x14:id>
        </ext>
      </extLst>
    </cfRule>
  </conditionalFormatting>
  <conditionalFormatting sqref="I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{B6731742-5C13-45ED-8E0E-B95F1406DDF1}</x14:id>
        </ext>
      </extLst>
    </cfRule>
  </conditionalFormatting>
  <conditionalFormatting sqref="S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{113F6F6B-0336-433D-A4D6-7726DB71B2CB}</x14:id>
        </ext>
      </extLst>
    </cfRule>
  </conditionalFormatting>
  <conditionalFormatting sqref="T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{C24E1AB3-E00A-4C79-97CC-E58E79CDA59E}</x14:id>
        </ext>
      </extLst>
    </cfRule>
  </conditionalFormatting>
  <conditionalFormatting sqref="J1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{DD033E96-2357-4447-9C3B-827000D39C65}</x14:id>
        </ext>
      </extLst>
    </cfRule>
  </conditionalFormatting>
  <conditionalFormatting sqref="I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{7B9BFF90-B133-4CCF-AD17-D29EBA199346}</x14:id>
        </ext>
      </extLst>
    </cfRule>
  </conditionalFormatting>
  <conditionalFormatting sqref="J10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{20A30275-E5E8-4395-AEAC-F37272B3D34C}</x14:id>
        </ext>
      </extLst>
    </cfRule>
  </conditionalFormatting>
  <conditionalFormatting sqref="I10:J10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{7DE47FC9-E211-4136-99EA-86B932CB0D69}</x14:id>
        </ext>
      </extLst>
    </cfRule>
  </conditionalFormatting>
  <conditionalFormatting sqref="I10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{C50B2CBE-B821-42F2-B58F-8A2A55F93D3E}</x14:id>
        </ext>
      </extLst>
    </cfRule>
  </conditionalFormatting>
  <conditionalFormatting sqref="J1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{E9E47560-FFA0-4A57-9E60-61F7D55C7B8E}</x14:id>
        </ext>
      </extLst>
    </cfRule>
  </conditionalFormatting>
  <conditionalFormatting sqref="I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{EF114B7C-457B-4036-B834-430E577C6439}</x14:id>
        </ext>
      </extLst>
    </cfRule>
  </conditionalFormatting>
  <conditionalFormatting sqref="J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{C9D8D640-24A7-4F16-9887-22B804E3E099}</x14:id>
        </ext>
      </extLst>
    </cfRule>
  </conditionalFormatting>
  <conditionalFormatting sqref="Q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{1E78E01D-9FBB-406C-B060-FB1D2519EFC9}</x14:id>
        </ext>
      </extLst>
    </cfRule>
  </conditionalFormatting>
  <conditionalFormatting sqref="Q10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{05F6ECF8-8487-40BA-A40B-F2B59E2C1194}</x14:id>
        </ext>
      </extLst>
    </cfRule>
  </conditionalFormatting>
  <conditionalFormatting sqref="E56">
    <cfRule type="containsText" dxfId="8961" priority="15" operator="containsText" text="Buy">
      <formula>NOT(ISERROR(SEARCH("Buy",E56)))</formula>
    </cfRule>
    <cfRule type="containsText" dxfId="8960" priority="16" operator="containsText" text="Sell">
      <formula>NOT(ISERROR(SEARCH("Sell",E56)))</formula>
    </cfRule>
  </conditionalFormatting>
  <conditionalFormatting sqref="E55">
    <cfRule type="containsText" dxfId="8959" priority="13" operator="containsText" text="Buy">
      <formula>NOT(ISERROR(SEARCH("Buy",E55)))</formula>
    </cfRule>
    <cfRule type="containsText" dxfId="8958" priority="14" operator="containsText" text="Sell">
      <formula>NOT(ISERROR(SEARCH("Sell",E55)))</formula>
    </cfRule>
  </conditionalFormatting>
  <conditionalFormatting sqref="S4:T4">
    <cfRule type="dataBar" priority="32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{E66B2F4B-5B4B-4235-BC04-53DF19816704}</x14:id>
        </ext>
      </extLst>
    </cfRule>
  </conditionalFormatting>
  <conditionalFormatting sqref="S4:T4">
    <cfRule type="dataBar" priority="32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{DE167CB1-F9D1-4180-ADBD-11FEF24DB178}</x14:id>
        </ext>
      </extLst>
    </cfRule>
  </conditionalFormatting>
  <conditionalFormatting sqref="S11:T11">
    <cfRule type="dataBar" priority="32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{94D0FFF4-DB71-45FC-998F-FE2160C11AD8}</x14:id>
        </ext>
      </extLst>
    </cfRule>
  </conditionalFormatting>
  <conditionalFormatting sqref="S11:T11">
    <cfRule type="dataBar" priority="32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{6F5B1140-3E6A-440C-8B6D-9B0FCA2AD1A0}</x14:id>
        </ext>
      </extLst>
    </cfRule>
  </conditionalFormatting>
  <conditionalFormatting sqref="S6:T7 S9:T9">
    <cfRule type="dataBar" priority="32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{13697293-9BA9-45C6-A623-3AFD1E67D8FC}</x14:id>
        </ext>
      </extLst>
    </cfRule>
  </conditionalFormatting>
  <conditionalFormatting sqref="S9:T9">
    <cfRule type="dataBar" priority="32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{F79EFE0F-5450-421B-9BFD-FC1C6D24D9B1}</x14:id>
        </ext>
      </extLst>
    </cfRule>
  </conditionalFormatting>
  <conditionalFormatting sqref="S6:T7 S9:T9">
    <cfRule type="dataBar" priority="32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{BA646B45-2BAC-4298-B407-FF36C64D79BE}</x14:id>
        </ext>
      </extLst>
    </cfRule>
  </conditionalFormatting>
  <conditionalFormatting sqref="S5:T5">
    <cfRule type="dataBar" priority="32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{8E507211-3340-4BD4-9C27-9AB54C2CA7AA}</x14:id>
        </ext>
      </extLst>
    </cfRule>
  </conditionalFormatting>
  <conditionalFormatting sqref="S5:T5">
    <cfRule type="dataBar" priority="32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{33855B72-E349-4F21-9D3A-E69AE27B8372}</x14:id>
        </ext>
      </extLst>
    </cfRule>
  </conditionalFormatting>
  <conditionalFormatting sqref="S8:T8">
    <cfRule type="dataBar" priority="32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{F1AF7640-9590-44E9-A6B5-F67B74D93FAC}</x14:id>
        </ext>
      </extLst>
    </cfRule>
  </conditionalFormatting>
  <conditionalFormatting sqref="S8:T8">
    <cfRule type="dataBar" priority="32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{E25221A9-300F-467E-A3E5-F7C5D8A4E3C4}</x14:id>
        </ext>
      </extLst>
    </cfRule>
  </conditionalFormatting>
  <conditionalFormatting sqref="S10:T10">
    <cfRule type="dataBar" priority="32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{DD6BF3FD-B47D-46DF-919C-D849507CF55C}</x14:id>
        </ext>
      </extLst>
    </cfRule>
  </conditionalFormatting>
  <conditionalFormatting sqref="S10:T10">
    <cfRule type="dataBar" priority="32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{F6F36ABD-E5C3-4870-883A-4662568626E1}</x14:id>
        </ext>
      </extLst>
    </cfRule>
  </conditionalFormatting>
  <conditionalFormatting sqref="E54">
    <cfRule type="containsText" dxfId="8957" priority="8" operator="containsText" text="Buy">
      <formula>NOT(ISERROR(SEARCH("Buy",E54)))</formula>
    </cfRule>
    <cfRule type="containsText" dxfId="8956" priority="9" operator="containsText" text="Sell">
      <formula>NOT(ISERROR(SEARCH("Sell",E54)))</formula>
    </cfRule>
  </conditionalFormatting>
  <conditionalFormatting sqref="Q4:Q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{F440342C-8FC7-4A89-9F4C-CEE63DF2E2A5}</x14:id>
        </ext>
      </extLst>
    </cfRule>
  </conditionalFormatting>
  <conditionalFormatting sqref="I4:J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{197A5FEC-37B8-4F81-BB22-FE1BA27CF9DB}</x14:id>
        </ext>
      </extLst>
    </cfRule>
  </conditionalFormatting>
  <conditionalFormatting sqref="S4:T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{BA819E08-E994-47F6-9130-1F31130CC694}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D24ED-7EB2-4551-90E8-7ABE3C5976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C717FFA-CCDD-476E-87B5-AE71B06E83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0AE3265-88AD-4DC8-8914-520F318E5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B3DA9E8-D585-47F7-9532-571871180C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384E894-A3E4-4E92-B738-D491ABC03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9588956-9B20-425F-A934-56D93768E0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FFE452F-B821-49C3-A381-6E604053F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82BE66C-034F-4DA2-8A2A-B08DA7B5F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00C966E7-E670-4681-A813-B549F35518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3D03779-76FC-4F32-B038-DA9AF9D7A7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D3775625-0D5D-4D2B-A062-BA5A7982E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C47959A-9A86-46A7-87DE-DD54EB39DC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7C8BC64-A97C-427B-B4B6-14EC477E65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3027C934-AF81-4BBF-8146-40891B400C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56A45598-1F03-4FE8-80F0-B647CDAFD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17A19DF-67CE-455B-956F-B433813F6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I6:J7 I9:J9</xm:sqref>
        </x14:conditionalFormatting>
        <x14:conditionalFormatting xmlns:xm="http://schemas.microsoft.com/office/excel/2006/main">
          <x14:cfRule type="dataBar" id="{7305B730-B73D-48C4-AF46-E2FD2C37E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I6:I7 I9</xm:sqref>
        </x14:conditionalFormatting>
        <x14:conditionalFormatting xmlns:xm="http://schemas.microsoft.com/office/excel/2006/main">
          <x14:cfRule type="dataBar" id="{F89D6A24-2042-4002-91E6-92D0C35D3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S6:S7 S9</xm:sqref>
        </x14:conditionalFormatting>
        <x14:conditionalFormatting xmlns:xm="http://schemas.microsoft.com/office/excel/2006/main">
          <x14:cfRule type="dataBar" id="{12D93E1B-2DA0-4872-A6F3-6FB9F1BA9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 T9</xm:sqref>
        </x14:conditionalFormatting>
        <x14:conditionalFormatting xmlns:xm="http://schemas.microsoft.com/office/excel/2006/main">
          <x14:cfRule type="dataBar" id="{9FE1AAF2-DBD5-4C17-9164-E7A397B80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J6:J7 J9</xm:sqref>
        </x14:conditionalFormatting>
        <x14:conditionalFormatting xmlns:xm="http://schemas.microsoft.com/office/excel/2006/main">
          <x14:cfRule type="dataBar" id="{E979F913-5731-4941-AF6B-5ACD12981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DCF2F0B-726A-46D8-8D88-A6B920141D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2241B92-CA7D-4F30-96D5-61A5C5291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I6:J7 I4:J4 I9:J9</xm:sqref>
        </x14:conditionalFormatting>
        <x14:conditionalFormatting xmlns:xm="http://schemas.microsoft.com/office/excel/2006/main">
          <x14:cfRule type="dataBar" id="{BB124BC2-3801-4831-A1D8-EF6BCAF3A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39DE5B8E-180D-4953-953C-91A2BA1439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73AFD08-1271-41BC-8C2D-F6C49C5FF2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C3905DE-807B-4E30-80C0-EA10C69FB7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300982A8-BBDF-4DC2-87BB-FD99E0D2E7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9E0DFE5-9D0B-47BE-B50B-D86EC9FAD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D0B8218F-98EF-4BDC-B992-AEFE3C9B16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D57F39-69A0-46F2-B59D-C520826265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3D46057D-7BB9-4DA2-BDB3-D19B4ACD2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2B1945C-32B5-44C7-A45C-A6BB8D078C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D840119-6BB6-437A-B585-FDC4753F35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5A87CA38-BE8A-4E94-A59F-DEF190D5BC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I6:I7 I4 I9 I11</xm:sqref>
        </x14:conditionalFormatting>
        <x14:conditionalFormatting xmlns:xm="http://schemas.microsoft.com/office/excel/2006/main">
          <x14:cfRule type="dataBar" id="{8777593A-05F7-46D7-B7A2-7782C61C5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J6:J7 J4 J9 J11</xm:sqref>
        </x14:conditionalFormatting>
        <x14:conditionalFormatting xmlns:xm="http://schemas.microsoft.com/office/excel/2006/main">
          <x14:cfRule type="dataBar" id="{4FEADC22-BE2D-485E-9A07-11831708EF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3EA3A3B8-BB5F-4694-B9D5-89B71F967F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E14B773-962B-4742-B468-3A396B41B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C4E1CB1-4261-4B7A-80CF-7E95C6B22D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CE0A902-D5CE-4443-AE3C-599267AA13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B625B51A-3E01-46E7-9F5D-4A2D9CAE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ECCA26BD-FAFB-4F2E-8293-EBCA76E1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0D996423-4D59-49C1-AEE2-6BCF6A876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A47E46B5-EA7F-4A64-AC81-8E9FE3243E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468FA368-8619-426A-95BB-2EDA53C9E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3C7EAD0B-5125-4FF1-B9F1-BC81E329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I4:I9 I11</xm:sqref>
        </x14:conditionalFormatting>
        <x14:conditionalFormatting xmlns:xm="http://schemas.microsoft.com/office/excel/2006/main">
          <x14:cfRule type="dataBar" id="{68FC8C6F-3013-43A2-B688-F2B39EBC26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J4:J9 J11</xm:sqref>
        </x14:conditionalFormatting>
        <x14:conditionalFormatting xmlns:xm="http://schemas.microsoft.com/office/excel/2006/main">
          <x14:cfRule type="dataBar" id="{A17BBD03-B677-4719-9700-EE8C6F47F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42C6FB47-82F0-49FC-8C5D-E1C8C2028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Q4:Q9 Q11</xm:sqref>
        </x14:conditionalFormatting>
        <x14:conditionalFormatting xmlns:xm="http://schemas.microsoft.com/office/excel/2006/main">
          <x14:cfRule type="dataBar" id="{C78965B8-8890-4211-B344-6B869456DD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ECA714-E5E5-4937-9EED-991A10C5B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8EC08B-C207-4207-9E7E-74DE311EA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E4F7CD5F-AAFA-4DE9-B010-E36A5868D4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C7C79F4F-0653-4D8A-B141-9A2EF03757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65A75C50-E50B-4005-B731-50F66E527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7A3D650C-A31F-4123-A017-F8E0E4695E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B6731742-5C13-45ED-8E0E-B95F1406DD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13F6F6B-0336-433D-A4D6-7726DB71B2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C24E1AB3-E00A-4C79-97CC-E58E79CDA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DD033E96-2357-4447-9C3B-827000D39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B9BFF90-B133-4CCF-AD17-D29EBA199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0A30275-E5E8-4395-AEAC-F37272B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7DE47FC9-E211-4136-99EA-86B932CB0D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I10:J10</xm:sqref>
        </x14:conditionalFormatting>
        <x14:conditionalFormatting xmlns:xm="http://schemas.microsoft.com/office/excel/2006/main">
          <x14:cfRule type="dataBar" id="{C50B2CBE-B821-42F2-B58F-8A2A55F93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E9E47560-FFA0-4A57-9E60-61F7D55C7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EF114B7C-457B-4036-B834-430E577C64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C9D8D640-24A7-4F16-9887-22B804E3E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1E78E01D-9FBB-406C-B060-FB1D2519EF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05F6ECF8-8487-40BA-A40B-F2B59E2C11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E66B2F4B-5B4B-4235-BC04-53DF19816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DE167CB1-F9D1-4180-ADBD-11FEF24DB1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S4:T4</xm:sqref>
        </x14:conditionalFormatting>
        <x14:conditionalFormatting xmlns:xm="http://schemas.microsoft.com/office/excel/2006/main">
          <x14:cfRule type="dataBar" id="{94D0FFF4-DB71-45FC-998F-FE2160C11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6F5B1140-3E6A-440C-8B6D-9B0FCA2AD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S11:T11</xm:sqref>
        </x14:conditionalFormatting>
        <x14:conditionalFormatting xmlns:xm="http://schemas.microsoft.com/office/excel/2006/main">
          <x14:cfRule type="dataBar" id="{13697293-9BA9-45C6-A623-3AFD1E67D8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F79EFE0F-5450-421B-9BFD-FC1C6D24D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S9:T9</xm:sqref>
        </x14:conditionalFormatting>
        <x14:conditionalFormatting xmlns:xm="http://schemas.microsoft.com/office/excel/2006/main">
          <x14:cfRule type="dataBar" id="{BA646B45-2BAC-4298-B407-FF36C64D7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S6:T7 S9:T9</xm:sqref>
        </x14:conditionalFormatting>
        <x14:conditionalFormatting xmlns:xm="http://schemas.microsoft.com/office/excel/2006/main">
          <x14:cfRule type="dataBar" id="{8E507211-3340-4BD4-9C27-9AB54C2C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33855B72-E349-4F21-9D3A-E69AE27B8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S5:T5</xm:sqref>
        </x14:conditionalFormatting>
        <x14:conditionalFormatting xmlns:xm="http://schemas.microsoft.com/office/excel/2006/main">
          <x14:cfRule type="dataBar" id="{F1AF7640-9590-44E9-A6B5-F67B74D93F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E25221A9-300F-467E-A3E5-F7C5D8A4E3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S8:T8</xm:sqref>
        </x14:conditionalFormatting>
        <x14:conditionalFormatting xmlns:xm="http://schemas.microsoft.com/office/excel/2006/main">
          <x14:cfRule type="dataBar" id="{DD6BF3FD-B47D-46DF-919C-D849507CF5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6F36ABD-E5C3-4870-883A-466256862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S10:T10</xm:sqref>
        </x14:conditionalFormatting>
        <x14:conditionalFormatting xmlns:xm="http://schemas.microsoft.com/office/excel/2006/main">
          <x14:cfRule type="dataBar" id="{F440342C-8FC7-4A89-9F4C-CEE63DF2E2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Q4:Q13</xm:sqref>
        </x14:conditionalFormatting>
        <x14:conditionalFormatting xmlns:xm="http://schemas.microsoft.com/office/excel/2006/main">
          <x14:cfRule type="dataBar" id="{197A5FEC-37B8-4F81-BB22-FE1BA27CF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I4:J13</xm:sqref>
        </x14:conditionalFormatting>
        <x14:conditionalFormatting xmlns:xm="http://schemas.microsoft.com/office/excel/2006/main">
          <x14:cfRule type="dataBar" id="{BA819E08-E994-47F6-9130-1F31130CC6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S4:T11</xm:sqref>
        </x14:conditionalFormatting>
        <x14:conditionalFormatting xmlns:xm="http://schemas.microsoft.com/office/excel/2006/main">
          <x14:cfRule type="containsText" priority="33796" operator="containsText" text="Buy" id="{FA0CF9EF-F193-4A70-8C6D-FD3BB2380423}">
            <xm:f>NOT(ISERROR(SEARCH("Buy",LABKS!#REF!)))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33797" operator="containsText" text="Sell" id="{7D0C85AA-DFDF-4EBE-930D-ACE11A0E9645}">
            <xm:f>NOT(ISERROR(SEARCH("Sell",LABKS!#REF!)))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D326"/>
  <sheetViews>
    <sheetView workbookViewId="0">
      <selection activeCell="A8" sqref="A8:XFD9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5703125" style="32" customWidth="1"/>
    <col min="5" max="5" width="9.42578125" style="49" customWidth="1"/>
    <col min="6" max="6" width="11.5703125" style="49" customWidth="1"/>
    <col min="7" max="7" width="8.7109375" style="32" customWidth="1"/>
    <col min="8" max="8" width="8" style="32" customWidth="1"/>
    <col min="9" max="9" width="11.5703125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9.425781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 customWidth="1"/>
    <col min="30" max="30" width="15.5703125" style="32" bestFit="1" customWidth="1"/>
    <col min="31" max="33" width="9.140625" style="32"/>
    <col min="34" max="34" width="9.140625" style="32" customWidth="1"/>
    <col min="35" max="16384" width="9.140625" style="32"/>
  </cols>
  <sheetData>
    <row r="1" spans="1:30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0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30" ht="79.5" customHeight="1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748</v>
      </c>
      <c r="Q3" s="50" t="s">
        <v>746</v>
      </c>
      <c r="R3" s="50" t="s">
        <v>747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30" s="450" customFormat="1" ht="15" x14ac:dyDescent="0.25">
      <c r="A4" s="440" t="s">
        <v>749</v>
      </c>
      <c r="B4" s="441" t="e">
        <f ca="1">_xll.BDP(C4,"SECURITY_NAME")</f>
        <v>#NAME?</v>
      </c>
      <c r="C4" s="440" t="s">
        <v>697</v>
      </c>
      <c r="D4" s="442" t="e">
        <f t="shared" ref="D4:D12" ca="1" si="0">N4/$N$13</f>
        <v>#NAME?</v>
      </c>
      <c r="E4" s="443">
        <f>$F$42</f>
        <v>200000</v>
      </c>
      <c r="F4" s="444">
        <f>$H$42</f>
        <v>95</v>
      </c>
      <c r="G4" s="444" t="e">
        <f ca="1">_xll.BDP(C4,"PX_ASK")</f>
        <v>#NAME?</v>
      </c>
      <c r="H4" s="445" t="e">
        <f ca="1">_xll.BDP($C4,"CRNCY")</f>
        <v>#NAME?</v>
      </c>
      <c r="I4" s="442" t="e">
        <f t="shared" ref="I4:I11" ca="1" si="1">M4/K4-1</f>
        <v>#NAME?</v>
      </c>
      <c r="J4" s="442" t="e">
        <f t="shared" ref="J4:J11" ca="1" si="2">G4/F4-1</f>
        <v>#NAME?</v>
      </c>
      <c r="K4" s="443" t="e">
        <f ca="1">$K$42</f>
        <v>#NAME?</v>
      </c>
      <c r="L4" s="443">
        <f>E4*F4/100</f>
        <v>190000</v>
      </c>
      <c r="M4" s="443" t="e">
        <f t="shared" ref="M4:M11" ca="1" si="3">E4*G4/100 *$I$1</f>
        <v>#NAME?</v>
      </c>
      <c r="N4" s="443" t="e">
        <f t="shared" ref="N4:N12" ca="1" si="4">M4/$I$1</f>
        <v>#NAME?</v>
      </c>
      <c r="O4" s="446" t="e">
        <f t="shared" ref="O4:P9" ca="1" si="5">M4-K4</f>
        <v>#NAME?</v>
      </c>
      <c r="P4" s="446" t="e">
        <f t="shared" ca="1" si="5"/>
        <v>#NAME?</v>
      </c>
      <c r="Q4" s="447" t="e">
        <f ca="1">_xll.BDP(C4,"YLD_YTM_MID")</f>
        <v>#NAME?</v>
      </c>
      <c r="R4" s="451" t="e">
        <f ca="1">E4*_xll.BDP(C4,"PX_GROSS_BID")/100</f>
        <v>#NAME?</v>
      </c>
      <c r="S4" s="448" t="e">
        <f ca="1">_xll.BDP($C4,"CHG_PCT_YTD")</f>
        <v>#NAME?</v>
      </c>
      <c r="T4" s="448" t="e">
        <f ca="1">_xll.BDP($C4,"CHG_PCT_1YR")</f>
        <v>#NAME?</v>
      </c>
      <c r="U4" s="448" t="e">
        <f ca="1">_xll.BDP($C4,"CHG_PCT_6M")</f>
        <v>#NAME?</v>
      </c>
      <c r="V4" s="448" t="e">
        <f ca="1">_xll.BDP($C4,"CHG_PCT_3M")</f>
        <v>#NAME?</v>
      </c>
      <c r="W4" s="448" t="e">
        <f ca="1">_xll.BDP($C4,"CHG_PCT_1M")</f>
        <v>#NAME?</v>
      </c>
      <c r="X4" s="448" t="e">
        <f ca="1">_xll.BDP($C4,"CHG_PCT_5D")</f>
        <v>#NAME?</v>
      </c>
      <c r="Y4" s="448"/>
      <c r="Z4" s="440"/>
      <c r="AA4" s="440"/>
      <c r="AB4" s="440"/>
      <c r="AC4" s="440"/>
      <c r="AD4" s="449"/>
    </row>
    <row r="5" spans="1:30" s="440" customFormat="1" ht="15" x14ac:dyDescent="0.25">
      <c r="A5" s="440" t="s">
        <v>749</v>
      </c>
      <c r="B5" s="441" t="e">
        <f ca="1">_xll.BDP(C5,"SECURITY_NAME")</f>
        <v>#NAME?</v>
      </c>
      <c r="C5" s="440" t="s">
        <v>453</v>
      </c>
      <c r="D5" s="442" t="e">
        <f t="shared" ca="1" si="0"/>
        <v>#NAME?</v>
      </c>
      <c r="E5" s="443">
        <f>$F$39</f>
        <v>200000</v>
      </c>
      <c r="F5" s="444">
        <f>$H$39</f>
        <v>102.93</v>
      </c>
      <c r="G5" s="444" t="e">
        <f ca="1">_xll.BDP(C5,"PX_ASK")</f>
        <v>#NAME?</v>
      </c>
      <c r="H5" s="445" t="e">
        <f ca="1">_xll.BDP($C5,"CRNCY")</f>
        <v>#NAME?</v>
      </c>
      <c r="I5" s="442" t="e">
        <f t="shared" ca="1" si="1"/>
        <v>#NAME?</v>
      </c>
      <c r="J5" s="442" t="e">
        <f t="shared" ca="1" si="2"/>
        <v>#NAME?</v>
      </c>
      <c r="K5" s="443" t="e">
        <f ca="1">$K$39</f>
        <v>#NAME?</v>
      </c>
      <c r="L5" s="443">
        <f>E5*F5/100</f>
        <v>205860</v>
      </c>
      <c r="M5" s="443" t="e">
        <f t="shared" ca="1" si="3"/>
        <v>#NAME?</v>
      </c>
      <c r="N5" s="443" t="e">
        <f t="shared" ca="1" si="4"/>
        <v>#NAME?</v>
      </c>
      <c r="O5" s="446" t="e">
        <f t="shared" ref="O5:P7" ca="1" si="6">M5-K5</f>
        <v>#NAME?</v>
      </c>
      <c r="P5" s="446" t="e">
        <f t="shared" ca="1" si="6"/>
        <v>#NAME?</v>
      </c>
      <c r="Q5" s="447" t="e">
        <f ca="1">_xll.BDP(C5,"YLD_YTM_MID")</f>
        <v>#NAME?</v>
      </c>
      <c r="R5" s="451" t="e">
        <f ca="1">E5*_xll.BDP(C5,"PX_GROSS_BID")/100</f>
        <v>#NAME?</v>
      </c>
      <c r="S5" s="448" t="e">
        <f ca="1">_xll.BDP($C5,"CHG_PCT_YTD")</f>
        <v>#NAME?</v>
      </c>
      <c r="T5" s="448" t="e">
        <f ca="1">_xll.BDP($C5,"CHG_PCT_1YR")</f>
        <v>#NAME?</v>
      </c>
      <c r="U5" s="448" t="e">
        <f ca="1">_xll.BDP($C5,"CHG_PCT_6M")</f>
        <v>#NAME?</v>
      </c>
      <c r="V5" s="448" t="e">
        <f ca="1">_xll.BDP($C5,"CHG_PCT_3M")</f>
        <v>#NAME?</v>
      </c>
      <c r="W5" s="448" t="e">
        <f ca="1">_xll.BDP($C5,"CHG_PCT_1M")</f>
        <v>#NAME?</v>
      </c>
      <c r="X5" s="448" t="e">
        <f ca="1">_xll.BDP($C5,"CHG_PCT_5D")</f>
        <v>#NAME?</v>
      </c>
      <c r="Y5" s="448"/>
    </row>
    <row r="6" spans="1:30" s="440" customFormat="1" ht="15" x14ac:dyDescent="0.25">
      <c r="A6" s="440" t="s">
        <v>749</v>
      </c>
      <c r="B6" s="441" t="e">
        <f ca="1">_xll.BDP(C6,"SECURITY_NAME")</f>
        <v>#NAME?</v>
      </c>
      <c r="C6" s="440" t="s">
        <v>751</v>
      </c>
      <c r="D6" s="442" t="e">
        <f t="shared" ca="1" si="0"/>
        <v>#NAME?</v>
      </c>
      <c r="E6" s="443">
        <f>$F$36</f>
        <v>300000</v>
      </c>
      <c r="F6" s="444">
        <f>$H$36</f>
        <v>109.00000000000001</v>
      </c>
      <c r="G6" s="444" t="e">
        <f ca="1">_xll.BDP(C6,"PX_ASK")</f>
        <v>#NAME?</v>
      </c>
      <c r="H6" s="445" t="e">
        <f ca="1">_xll.BDP($C6,"CRNCY")</f>
        <v>#NAME?</v>
      </c>
      <c r="I6" s="442" t="e">
        <f t="shared" ca="1" si="1"/>
        <v>#NAME?</v>
      </c>
      <c r="J6" s="442" t="e">
        <f t="shared" ca="1" si="2"/>
        <v>#NAME?</v>
      </c>
      <c r="K6" s="443" t="e">
        <f ca="1">$K$36</f>
        <v>#NAME?</v>
      </c>
      <c r="L6" s="443">
        <f t="shared" ref="L6:L11" si="7">E6*F6/100</f>
        <v>327000.00000000006</v>
      </c>
      <c r="M6" s="443" t="e">
        <f t="shared" ca="1" si="3"/>
        <v>#NAME?</v>
      </c>
      <c r="N6" s="443" t="e">
        <f t="shared" ca="1" si="4"/>
        <v>#NAME?</v>
      </c>
      <c r="O6" s="446" t="e">
        <f t="shared" ca="1" si="6"/>
        <v>#NAME?</v>
      </c>
      <c r="P6" s="446" t="e">
        <f t="shared" ca="1" si="6"/>
        <v>#NAME?</v>
      </c>
      <c r="Q6" s="447" t="e">
        <f ca="1">_xll.BDP(C6,"YLD_YTM_MID")</f>
        <v>#NAME?</v>
      </c>
      <c r="R6" s="451" t="e">
        <f ca="1">E6*_xll.BDP(C6,"PX_GROSS_BID")/100</f>
        <v>#NAME?</v>
      </c>
      <c r="S6" s="448" t="e">
        <f ca="1">_xll.BDP($C6,"CHG_PCT_YTD")</f>
        <v>#NAME?</v>
      </c>
      <c r="T6" s="448" t="e">
        <f ca="1">_xll.BDP($C6,"CHG_PCT_1YR")</f>
        <v>#NAME?</v>
      </c>
      <c r="U6" s="448" t="e">
        <f ca="1">_xll.BDP($C6,"CHG_PCT_6M")</f>
        <v>#NAME?</v>
      </c>
      <c r="V6" s="448" t="e">
        <f ca="1">_xll.BDP($C6,"CHG_PCT_3M")</f>
        <v>#NAME?</v>
      </c>
      <c r="W6" s="448" t="e">
        <f ca="1">_xll.BDP($C6,"CHG_PCT_1M")</f>
        <v>#NAME?</v>
      </c>
      <c r="X6" s="448" t="e">
        <f ca="1">_xll.BDP($C6,"CHG_PCT_5D")</f>
        <v>#NAME?</v>
      </c>
      <c r="Y6" s="448"/>
    </row>
    <row r="7" spans="1:30" s="440" customFormat="1" ht="15" x14ac:dyDescent="0.25">
      <c r="A7" s="440" t="s">
        <v>749</v>
      </c>
      <c r="B7" s="441" t="e">
        <f ca="1">_xll.BDP(C7,"SECURITY_NAME")</f>
        <v>#NAME?</v>
      </c>
      <c r="C7" s="440" t="s">
        <v>753</v>
      </c>
      <c r="D7" s="442" t="e">
        <f t="shared" ca="1" si="0"/>
        <v>#NAME?</v>
      </c>
      <c r="E7" s="443">
        <f>$F$48</f>
        <v>300000</v>
      </c>
      <c r="F7" s="444">
        <f>$H$48</f>
        <v>103</v>
      </c>
      <c r="G7" s="444" t="e">
        <f ca="1">_xll.BDP(C7,"PX_ASK")</f>
        <v>#NAME?</v>
      </c>
      <c r="H7" s="445" t="e">
        <f ca="1">_xll.BDP($C7,"CRNCY")</f>
        <v>#NAME?</v>
      </c>
      <c r="I7" s="442" t="e">
        <f t="shared" ca="1" si="1"/>
        <v>#NAME?</v>
      </c>
      <c r="J7" s="442" t="e">
        <f t="shared" ca="1" si="2"/>
        <v>#NAME?</v>
      </c>
      <c r="K7" s="443" t="e">
        <f ca="1">$K$48</f>
        <v>#NAME?</v>
      </c>
      <c r="L7" s="443">
        <f t="shared" si="7"/>
        <v>309000</v>
      </c>
      <c r="M7" s="443" t="e">
        <f t="shared" ca="1" si="3"/>
        <v>#NAME?</v>
      </c>
      <c r="N7" s="443" t="e">
        <f t="shared" ca="1" si="4"/>
        <v>#NAME?</v>
      </c>
      <c r="O7" s="446" t="e">
        <f t="shared" ca="1" si="6"/>
        <v>#NAME?</v>
      </c>
      <c r="P7" s="446" t="e">
        <f t="shared" ca="1" si="6"/>
        <v>#NAME?</v>
      </c>
      <c r="Q7" s="447" t="e">
        <f ca="1">_xll.BDP(C7,"YLD_YTM_MID")</f>
        <v>#NAME?</v>
      </c>
      <c r="R7" s="451" t="e">
        <f ca="1">E7*_xll.BDP(C7,"PX_GROSS_BID")/100</f>
        <v>#NAME?</v>
      </c>
      <c r="S7" s="448" t="e">
        <f ca="1">_xll.BDP($C7,"CHG_PCT_YTD")</f>
        <v>#NAME?</v>
      </c>
      <c r="T7" s="448" t="e">
        <f ca="1">_xll.BDP($C7,"CHG_PCT_1YR")</f>
        <v>#NAME?</v>
      </c>
      <c r="U7" s="448" t="e">
        <f ca="1">_xll.BDP($C7,"CHG_PCT_6M")</f>
        <v>#NAME?</v>
      </c>
      <c r="V7" s="448" t="e">
        <f ca="1">_xll.BDP($C7,"CHG_PCT_3M")</f>
        <v>#NAME?</v>
      </c>
      <c r="W7" s="448" t="e">
        <f ca="1">_xll.BDP($C7,"CHG_PCT_1M")</f>
        <v>#NAME?</v>
      </c>
      <c r="X7" s="448" t="e">
        <f ca="1">_xll.BDP($C7,"CHG_PCT_5D")</f>
        <v>#NAME?</v>
      </c>
      <c r="Y7" s="448"/>
    </row>
    <row r="8" spans="1:30" s="440" customFormat="1" ht="15" x14ac:dyDescent="0.25">
      <c r="A8" s="440" t="s">
        <v>749</v>
      </c>
      <c r="B8" s="441" t="e">
        <f ca="1">_xll.BDP(C8,"SECURITY_NAME")</f>
        <v>#NAME?</v>
      </c>
      <c r="C8" s="440" t="s">
        <v>376</v>
      </c>
      <c r="D8" s="442" t="e">
        <f t="shared" ca="1" si="0"/>
        <v>#NAME?</v>
      </c>
      <c r="E8" s="443">
        <f>$F$45</f>
        <v>300000</v>
      </c>
      <c r="F8" s="444">
        <f>$H$45</f>
        <v>106.5</v>
      </c>
      <c r="G8" s="444" t="e">
        <f ca="1">_xll.BDP(C8,"PX_ASK")</f>
        <v>#NAME?</v>
      </c>
      <c r="H8" s="445" t="e">
        <f ca="1">_xll.BDP($C8,"CRNCY")</f>
        <v>#NAME?</v>
      </c>
      <c r="I8" s="442" t="e">
        <f t="shared" ca="1" si="1"/>
        <v>#NAME?</v>
      </c>
      <c r="J8" s="442" t="e">
        <f t="shared" ca="1" si="2"/>
        <v>#NAME?</v>
      </c>
      <c r="K8" s="443" t="e">
        <f ca="1">$K$45</f>
        <v>#NAME?</v>
      </c>
      <c r="L8" s="443">
        <f t="shared" si="7"/>
        <v>319500</v>
      </c>
      <c r="M8" s="443" t="e">
        <f t="shared" ca="1" si="3"/>
        <v>#NAME?</v>
      </c>
      <c r="N8" s="443" t="e">
        <f t="shared" ca="1" si="4"/>
        <v>#NAME?</v>
      </c>
      <c r="O8" s="446" t="e">
        <f t="shared" ca="1" si="5"/>
        <v>#NAME?</v>
      </c>
      <c r="P8" s="446" t="e">
        <f t="shared" ca="1" si="5"/>
        <v>#NAME?</v>
      </c>
      <c r="Q8" s="447" t="e">
        <f ca="1">_xll.BDP(C8,"YLD_YTM_MID")</f>
        <v>#NAME?</v>
      </c>
      <c r="R8" s="451" t="e">
        <f ca="1">E8*_xll.BDP(C8,"PX_GROSS_BID")/100</f>
        <v>#NAME?</v>
      </c>
      <c r="S8" s="448" t="e">
        <f ca="1">_xll.BDP($C8,"CHG_PCT_YTD")</f>
        <v>#NAME?</v>
      </c>
      <c r="T8" s="448" t="e">
        <f ca="1">_xll.BDP($C8,"CHG_PCT_1YR")</f>
        <v>#NAME?</v>
      </c>
      <c r="U8" s="448" t="e">
        <f ca="1">_xll.BDP($C8,"CHG_PCT_6M")</f>
        <v>#NAME?</v>
      </c>
      <c r="V8" s="448" t="e">
        <f ca="1">_xll.BDP($C8,"CHG_PCT_3M")</f>
        <v>#NAME?</v>
      </c>
      <c r="W8" s="448" t="e">
        <f ca="1">_xll.BDP($C8,"CHG_PCT_1M")</f>
        <v>#NAME?</v>
      </c>
      <c r="X8" s="448" t="e">
        <f ca="1">_xll.BDP($C8,"CHG_PCT_5D")</f>
        <v>#NAME?</v>
      </c>
      <c r="Y8" s="448"/>
    </row>
    <row r="9" spans="1:30" s="440" customFormat="1" ht="15" x14ac:dyDescent="0.25">
      <c r="A9" s="440" t="s">
        <v>749</v>
      </c>
      <c r="B9" s="441" t="e">
        <f ca="1">_xll.BDP(C9,"SECURITY_NAME")</f>
        <v>#NAME?</v>
      </c>
      <c r="C9" s="440" t="s">
        <v>377</v>
      </c>
      <c r="D9" s="442" t="e">
        <f t="shared" ca="1" si="0"/>
        <v>#NAME?</v>
      </c>
      <c r="E9" s="443">
        <f>$F$33</f>
        <v>500000</v>
      </c>
      <c r="F9" s="444">
        <f>$H$33</f>
        <v>105.1</v>
      </c>
      <c r="G9" s="444" t="e">
        <f ca="1">_xll.BDP(C9,"PX_ASK")</f>
        <v>#NAME?</v>
      </c>
      <c r="H9" s="445" t="e">
        <f ca="1">_xll.BDP($C9,"CRNCY")</f>
        <v>#NAME?</v>
      </c>
      <c r="I9" s="442" t="e">
        <f t="shared" ca="1" si="1"/>
        <v>#NAME?</v>
      </c>
      <c r="J9" s="442" t="e">
        <f t="shared" ca="1" si="2"/>
        <v>#NAME?</v>
      </c>
      <c r="K9" s="443" t="e">
        <f ca="1">$K$33</f>
        <v>#NAME?</v>
      </c>
      <c r="L9" s="443">
        <f t="shared" si="7"/>
        <v>525500</v>
      </c>
      <c r="M9" s="443" t="e">
        <f t="shared" ca="1" si="3"/>
        <v>#NAME?</v>
      </c>
      <c r="N9" s="443" t="e">
        <f t="shared" ca="1" si="4"/>
        <v>#NAME?</v>
      </c>
      <c r="O9" s="446" t="e">
        <f t="shared" ca="1" si="5"/>
        <v>#NAME?</v>
      </c>
      <c r="P9" s="446" t="e">
        <f t="shared" ca="1" si="5"/>
        <v>#NAME?</v>
      </c>
      <c r="Q9" s="447" t="e">
        <f ca="1">_xll.BDP(C9,"YLD_YTM_MID")</f>
        <v>#NAME?</v>
      </c>
      <c r="R9" s="451" t="e">
        <f ca="1">E9*_xll.BDP(C9,"PX_GROSS_BID")/100</f>
        <v>#NAME?</v>
      </c>
      <c r="S9" s="448" t="e">
        <f ca="1">_xll.BDP($C9,"CHG_PCT_YTD")</f>
        <v>#NAME?</v>
      </c>
      <c r="T9" s="448" t="e">
        <f ca="1">_xll.BDP($C9,"CHG_PCT_1YR")</f>
        <v>#NAME?</v>
      </c>
      <c r="U9" s="448" t="e">
        <f ca="1">_xll.BDP($C9,"CHG_PCT_6M")</f>
        <v>#NAME?</v>
      </c>
      <c r="V9" s="448" t="e">
        <f ca="1">_xll.BDP($C9,"CHG_PCT_3M")</f>
        <v>#NAME?</v>
      </c>
      <c r="W9" s="448" t="e">
        <f ca="1">_xll.BDP($C9,"CHG_PCT_1M")</f>
        <v>#NAME?</v>
      </c>
      <c r="X9" s="448" t="e">
        <f ca="1">_xll.BDP($C9,"CHG_PCT_5D")</f>
        <v>#NAME?</v>
      </c>
      <c r="Y9" s="448"/>
    </row>
    <row r="10" spans="1:30" s="440" customFormat="1" ht="15" x14ac:dyDescent="0.25">
      <c r="A10" s="440" t="s">
        <v>749</v>
      </c>
      <c r="B10" s="441" t="e">
        <f ca="1">_xll.BDP(C10,"SECURITY_NAME")</f>
        <v>#NAME?</v>
      </c>
      <c r="C10" s="440" t="s">
        <v>156</v>
      </c>
      <c r="D10" s="442" t="e">
        <f t="shared" ca="1" si="0"/>
        <v>#NAME?</v>
      </c>
      <c r="E10" s="443">
        <f>$F$30</f>
        <v>500000</v>
      </c>
      <c r="F10" s="444">
        <f>$H$30</f>
        <v>103.49999999999999</v>
      </c>
      <c r="G10" s="444" t="e">
        <f ca="1">_xll.BDP(C10,"PX_ASK")</f>
        <v>#NAME?</v>
      </c>
      <c r="H10" s="445" t="e">
        <f ca="1">_xll.BDP($C10,"CRNCY")</f>
        <v>#NAME?</v>
      </c>
      <c r="I10" s="442" t="e">
        <f t="shared" ca="1" si="1"/>
        <v>#NAME?</v>
      </c>
      <c r="J10" s="442" t="e">
        <f t="shared" ca="1" si="2"/>
        <v>#NAME?</v>
      </c>
      <c r="K10" s="443" t="e">
        <f ca="1">$K$30</f>
        <v>#NAME?</v>
      </c>
      <c r="L10" s="443">
        <f t="shared" si="7"/>
        <v>517499.99999999994</v>
      </c>
      <c r="M10" s="443" t="e">
        <f t="shared" ca="1" si="3"/>
        <v>#NAME?</v>
      </c>
      <c r="N10" s="443" t="e">
        <f t="shared" ca="1" si="4"/>
        <v>#NAME?</v>
      </c>
      <c r="O10" s="446" t="e">
        <f ca="1">M10-K10</f>
        <v>#NAME?</v>
      </c>
      <c r="P10" s="446" t="e">
        <f ca="1">N10-L10</f>
        <v>#NAME?</v>
      </c>
      <c r="Q10" s="447" t="e">
        <f ca="1">_xll.BDP(C10,"YLD_YTM_MID")</f>
        <v>#NAME?</v>
      </c>
      <c r="R10" s="451" t="e">
        <f ca="1">E10*_xll.BDP(C10,"PX_GROSS_BID")/100</f>
        <v>#NAME?</v>
      </c>
      <c r="S10" s="448" t="e">
        <f ca="1">_xll.BDP($C10,"CHG_PCT_YTD")</f>
        <v>#NAME?</v>
      </c>
      <c r="T10" s="448" t="e">
        <f ca="1">_xll.BDP($C10,"CHG_PCT_1YR")</f>
        <v>#NAME?</v>
      </c>
      <c r="U10" s="448" t="e">
        <f ca="1">_xll.BDP($C10,"CHG_PCT_6M")</f>
        <v>#NAME?</v>
      </c>
      <c r="V10" s="448" t="e">
        <f ca="1">_xll.BDP($C10,"CHG_PCT_3M")</f>
        <v>#NAME?</v>
      </c>
      <c r="W10" s="448" t="e">
        <f ca="1">_xll.BDP($C10,"CHG_PCT_1M")</f>
        <v>#NAME?</v>
      </c>
      <c r="X10" s="448" t="e">
        <f ca="1">_xll.BDP($C10,"CHG_PCT_5D")</f>
        <v>#NAME?</v>
      </c>
      <c r="Y10" s="448"/>
    </row>
    <row r="11" spans="1:30" s="440" customFormat="1" ht="15" x14ac:dyDescent="0.25">
      <c r="A11" s="440" t="s">
        <v>749</v>
      </c>
      <c r="B11" s="441" t="e">
        <f ca="1">_xll.BDP(C11,"SECURITY_NAME")</f>
        <v>#NAME?</v>
      </c>
      <c r="C11" s="440" t="s">
        <v>225</v>
      </c>
      <c r="D11" s="442" t="e">
        <f t="shared" ca="1" si="0"/>
        <v>#NAME?</v>
      </c>
      <c r="E11" s="443">
        <f>$F$27</f>
        <v>565000</v>
      </c>
      <c r="F11" s="444">
        <f>$H$27</f>
        <v>100.69999999999999</v>
      </c>
      <c r="G11" s="444" t="e">
        <f ca="1">_xll.BDP(C11,"PX_ASK")</f>
        <v>#NAME?</v>
      </c>
      <c r="H11" s="445" t="e">
        <f ca="1">_xll.BDP($C11,"CRNCY")</f>
        <v>#NAME?</v>
      </c>
      <c r="I11" s="442" t="e">
        <f t="shared" ca="1" si="1"/>
        <v>#NAME?</v>
      </c>
      <c r="J11" s="442" t="e">
        <f t="shared" ca="1" si="2"/>
        <v>#NAME?</v>
      </c>
      <c r="K11" s="443" t="e">
        <f ca="1">$K$27</f>
        <v>#NAME?</v>
      </c>
      <c r="L11" s="443">
        <f t="shared" si="7"/>
        <v>568954.99999999988</v>
      </c>
      <c r="M11" s="443" t="e">
        <f t="shared" ca="1" si="3"/>
        <v>#NAME?</v>
      </c>
      <c r="N11" s="443" t="e">
        <f t="shared" ca="1" si="4"/>
        <v>#NAME?</v>
      </c>
      <c r="O11" s="446" t="e">
        <f ca="1">M11-K11</f>
        <v>#NAME?</v>
      </c>
      <c r="P11" s="446" t="e">
        <f ca="1">N11-L11</f>
        <v>#NAME?</v>
      </c>
      <c r="Q11" s="447" t="e">
        <f ca="1">_xll.BDP(C11,"YLD_YTM_MID")</f>
        <v>#NAME?</v>
      </c>
      <c r="R11" s="451" t="e">
        <f ca="1">E11*_xll.BDP(C11,"PX_GROSS_BID")/100</f>
        <v>#NAME?</v>
      </c>
      <c r="S11" s="448" t="e">
        <f ca="1">_xll.BDP($C11,"CHG_PCT_YTD")</f>
        <v>#NAME?</v>
      </c>
      <c r="T11" s="448" t="e">
        <f ca="1">_xll.BDP($C11,"CHG_PCT_1YR")</f>
        <v>#NAME?</v>
      </c>
      <c r="U11" s="448" t="e">
        <f ca="1">_xll.BDP($C11,"CHG_PCT_6M")</f>
        <v>#NAME?</v>
      </c>
      <c r="V11" s="448" t="e">
        <f ca="1">_xll.BDP($C11,"CHG_PCT_3M")</f>
        <v>#NAME?</v>
      </c>
      <c r="W11" s="448" t="e">
        <f ca="1">_xll.BDP($C11,"CHG_PCT_1M")</f>
        <v>#NAME?</v>
      </c>
      <c r="X11" s="448" t="e">
        <f ca="1">_xll.BDP($C11,"CHG_PCT_5D")</f>
        <v>#NAME?</v>
      </c>
      <c r="Y11" s="448"/>
    </row>
    <row r="12" spans="1:30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177"/>
      <c r="I12" s="179"/>
      <c r="J12" s="179"/>
      <c r="K12" s="178"/>
      <c r="L12" s="177"/>
      <c r="M12" s="64"/>
      <c r="N12" s="64" t="e">
        <f t="shared" ca="1" si="4"/>
        <v>#NAME?</v>
      </c>
      <c r="O12" s="62"/>
      <c r="P12" s="62"/>
      <c r="Q12" s="62"/>
      <c r="R12" s="452" t="e">
        <f ca="1">N12</f>
        <v>#NAME?</v>
      </c>
      <c r="S12" s="177"/>
      <c r="T12" s="177"/>
      <c r="U12" s="177"/>
      <c r="V12" s="177"/>
      <c r="W12" s="177"/>
      <c r="X12" s="177"/>
      <c r="Y12" s="177"/>
      <c r="Z12" s="177"/>
    </row>
    <row r="13" spans="1:30" ht="13.5" customHeight="1" thickBot="1" x14ac:dyDescent="0.25">
      <c r="B13" s="175"/>
      <c r="C13" s="175"/>
      <c r="D13" s="435" t="e">
        <f ca="1">SUM(D4:D12)</f>
        <v>#NAME?</v>
      </c>
      <c r="E13" s="176"/>
      <c r="F13" s="176"/>
      <c r="G13" s="175"/>
      <c r="H13" s="55"/>
      <c r="I13" s="175"/>
      <c r="J13" s="175"/>
      <c r="K13" s="137" t="e">
        <f ca="1">SUM(K4:K12)</f>
        <v>#NAME?</v>
      </c>
      <c r="L13" s="184">
        <f>SUM(L4:L11)</f>
        <v>2963315</v>
      </c>
      <c r="M13" s="137" t="e">
        <f ca="1">SUM(M4:M12)</f>
        <v>#NAME?</v>
      </c>
      <c r="N13" s="57" t="e">
        <f ca="1">SUM(N4:N12)</f>
        <v>#NAME?</v>
      </c>
      <c r="O13" s="332" t="e">
        <f ca="1">SUM(O4:O11)</f>
        <v>#NAME?</v>
      </c>
      <c r="P13" s="332" t="e">
        <f ca="1">SUM(P4:P11)</f>
        <v>#NAME?</v>
      </c>
      <c r="Q13" s="455" t="e">
        <f ca="1">SUMPRODUCT(D4:D11,Q4:Q11)</f>
        <v>#NAME?</v>
      </c>
      <c r="R13" s="453" t="e">
        <f ca="1">SUM(R4:R12)</f>
        <v>#NAME?</v>
      </c>
      <c r="S13" s="55"/>
      <c r="T13" s="55"/>
      <c r="U13" s="55"/>
      <c r="V13" s="55"/>
      <c r="W13" s="55"/>
      <c r="X13" s="55"/>
      <c r="Y13" s="55"/>
      <c r="Z13" s="55"/>
    </row>
    <row r="14" spans="1:30" ht="13.5" customHeight="1" x14ac:dyDescent="0.2">
      <c r="B14" s="35"/>
      <c r="C14" s="35"/>
      <c r="D14" s="54"/>
      <c r="E14" s="46"/>
      <c r="F14" s="46"/>
      <c r="G14" s="35"/>
      <c r="H14" s="35"/>
      <c r="I14" s="40"/>
      <c r="J14" s="40"/>
      <c r="K14" s="42"/>
      <c r="L14" s="43"/>
      <c r="M14" s="454" t="e">
        <f ca="1">M13/K13-1</f>
        <v>#NAME?</v>
      </c>
      <c r="N14" s="132" t="e">
        <f ca="1">N13/L13-1</f>
        <v>#NAME?</v>
      </c>
      <c r="R14" s="456" t="s">
        <v>754</v>
      </c>
    </row>
    <row r="15" spans="1:30" x14ac:dyDescent="0.2">
      <c r="E15" s="155"/>
      <c r="K15" s="30"/>
      <c r="L15" s="148"/>
      <c r="M15" s="35"/>
      <c r="N15" s="34"/>
      <c r="O15" s="34"/>
      <c r="P15" s="30"/>
    </row>
    <row r="16" spans="1:30" x14ac:dyDescent="0.2">
      <c r="B16" s="46">
        <v>2016</v>
      </c>
      <c r="C16" s="118"/>
      <c r="D16" s="73"/>
      <c r="E16" s="43"/>
      <c r="F16" s="43"/>
      <c r="G16" s="43"/>
      <c r="H16" s="47"/>
      <c r="I16" s="43"/>
      <c r="J16" s="45"/>
      <c r="K16" s="38"/>
      <c r="L16" s="38"/>
      <c r="M16" s="44"/>
      <c r="N16" s="130"/>
      <c r="O16" s="106"/>
      <c r="P16" s="106"/>
      <c r="Q16" s="14"/>
      <c r="R16" s="75"/>
    </row>
    <row r="17" spans="2:18" ht="51" x14ac:dyDescent="0.2">
      <c r="B17" s="51" t="s">
        <v>105</v>
      </c>
      <c r="C17" s="50" t="s">
        <v>104</v>
      </c>
      <c r="D17" s="50" t="s">
        <v>174</v>
      </c>
      <c r="E17" s="50" t="s">
        <v>173</v>
      </c>
      <c r="F17" s="50" t="s">
        <v>175</v>
      </c>
      <c r="G17" s="50" t="s">
        <v>172</v>
      </c>
      <c r="H17" s="50" t="s">
        <v>103</v>
      </c>
      <c r="I17" s="50" t="s">
        <v>102</v>
      </c>
      <c r="J17" s="50" t="s">
        <v>101</v>
      </c>
      <c r="K17" s="50" t="s">
        <v>100</v>
      </c>
      <c r="L17" s="50" t="s">
        <v>99</v>
      </c>
      <c r="M17" s="50" t="s">
        <v>98</v>
      </c>
      <c r="N17" s="50" t="s">
        <v>280</v>
      </c>
      <c r="O17" s="50" t="s">
        <v>97</v>
      </c>
      <c r="P17" s="50" t="s">
        <v>279</v>
      </c>
      <c r="Q17" s="50" t="s">
        <v>277</v>
      </c>
      <c r="R17" s="50" t="s">
        <v>278</v>
      </c>
    </row>
    <row r="18" spans="2:18" x14ac:dyDescent="0.2">
      <c r="B18" s="35"/>
      <c r="C18" s="35"/>
      <c r="D18" s="40"/>
      <c r="G18" s="35"/>
      <c r="H18" s="35"/>
      <c r="I18" s="35"/>
      <c r="J18" s="35"/>
      <c r="K18" s="35"/>
      <c r="L18" s="46"/>
      <c r="N18" s="40"/>
      <c r="O18" s="35" t="s">
        <v>94</v>
      </c>
      <c r="P18" s="355" t="e">
        <f>SUM(#REF!)</f>
        <v>#REF!</v>
      </c>
    </row>
    <row r="19" spans="2:18" x14ac:dyDescent="0.2">
      <c r="H19" s="105"/>
      <c r="I19" s="70"/>
      <c r="J19" s="151"/>
      <c r="K19" s="35"/>
      <c r="L19" s="148"/>
      <c r="M19" s="34"/>
      <c r="N19" s="30"/>
      <c r="P19" s="30"/>
    </row>
    <row r="20" spans="2:18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8" ht="13.5" thickBot="1" x14ac:dyDescent="0.25">
      <c r="C21" s="30"/>
      <c r="D21" s="30"/>
      <c r="G21" s="30"/>
      <c r="H21" s="151"/>
      <c r="I21" s="30"/>
      <c r="J21" s="151"/>
      <c r="K21" s="30"/>
    </row>
    <row r="22" spans="2:18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</row>
    <row r="23" spans="2:18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</row>
    <row r="25" spans="2:18" s="273" customFormat="1" ht="13.5" customHeight="1" x14ac:dyDescent="0.2">
      <c r="B25" s="287" t="s">
        <v>749</v>
      </c>
      <c r="C25" s="286" t="s">
        <v>750</v>
      </c>
      <c r="D25" s="284" t="e">
        <f ca="1">_xll.BDP(C25,"SECURITY_NAME")</f>
        <v>#NAME?</v>
      </c>
      <c r="E25" s="284" t="s">
        <v>50</v>
      </c>
      <c r="F25" s="285">
        <v>200000</v>
      </c>
      <c r="G25" s="284" t="e">
        <f ca="1">_xll.BDP(C25,"CRNCY")</f>
        <v>#NAME?</v>
      </c>
      <c r="H25" s="281">
        <v>100.7</v>
      </c>
      <c r="I25" s="282">
        <f>F25*H25/100</f>
        <v>201400</v>
      </c>
      <c r="J25" s="283">
        <f>I25</f>
        <v>201400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42605</v>
      </c>
    </row>
    <row r="26" spans="2:18" s="273" customFormat="1" ht="13.5" customHeight="1" x14ac:dyDescent="0.2">
      <c r="B26" s="287" t="s">
        <v>749</v>
      </c>
      <c r="C26" s="286" t="s">
        <v>750</v>
      </c>
      <c r="D26" s="284" t="e">
        <f ca="1">_xll.BDP(C26,"SECURITY_NAME")</f>
        <v>#NAME?</v>
      </c>
      <c r="E26" s="284" t="s">
        <v>50</v>
      </c>
      <c r="F26" s="285">
        <v>365000</v>
      </c>
      <c r="G26" s="284" t="e">
        <f ca="1">_xll.BDP(C26,"CRNCY")</f>
        <v>#NAME?</v>
      </c>
      <c r="H26" s="281">
        <v>100.7</v>
      </c>
      <c r="I26" s="282">
        <f>F26*H26/100</f>
        <v>367555</v>
      </c>
      <c r="J26" s="283">
        <f>I26</f>
        <v>367555</v>
      </c>
      <c r="K26" s="282" t="e">
        <f ca="1">J26*L26</f>
        <v>#NAME?</v>
      </c>
      <c r="L26" s="281" t="e">
        <f ca="1">_xll.BDH("RUB curncy","PX_LAST",$N26)</f>
        <v>#NAME?</v>
      </c>
      <c r="M26" s="280" t="e">
        <f ca="1">1/_xll.BDH("RUB curncy","PX_LAST",$N26)</f>
        <v>#NAME?</v>
      </c>
      <c r="N26" s="274">
        <v>42613</v>
      </c>
    </row>
    <row r="27" spans="2:18" s="273" customFormat="1" x14ac:dyDescent="0.2">
      <c r="B27" s="279"/>
      <c r="C27" s="279"/>
      <c r="D27" s="278"/>
      <c r="E27" s="278"/>
      <c r="F27" s="277">
        <f>SUM(F25:F26)</f>
        <v>565000</v>
      </c>
      <c r="G27" s="278"/>
      <c r="H27" s="276">
        <f>J27/F27*100</f>
        <v>100.69999999999999</v>
      </c>
      <c r="I27" s="277">
        <f>SUM(I25:I26)</f>
        <v>568955</v>
      </c>
      <c r="J27" s="277">
        <f>SUM(J25:J26)</f>
        <v>568955</v>
      </c>
      <c r="K27" s="277" t="e">
        <f ca="1">SUM(K25:K26)</f>
        <v>#NAME?</v>
      </c>
      <c r="L27" s="276"/>
      <c r="M27" s="275"/>
      <c r="N27" s="274"/>
    </row>
    <row r="28" spans="2:18" x14ac:dyDescent="0.2">
      <c r="B28" s="160"/>
      <c r="C28" s="159"/>
      <c r="D28" s="87"/>
      <c r="E28" s="87"/>
      <c r="F28" s="79"/>
      <c r="G28" s="87"/>
      <c r="H28" s="99"/>
      <c r="I28" s="79"/>
      <c r="J28" s="79"/>
      <c r="K28" s="79"/>
      <c r="L28" s="88"/>
      <c r="M28" s="158"/>
      <c r="N28" s="157"/>
    </row>
    <row r="29" spans="2:18" s="273" customFormat="1" ht="13.5" customHeight="1" x14ac:dyDescent="0.2">
      <c r="B29" s="287" t="s">
        <v>749</v>
      </c>
      <c r="C29" s="286" t="s">
        <v>156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103.5</v>
      </c>
      <c r="I29" s="282">
        <f>F29*H29/100</f>
        <v>517500</v>
      </c>
      <c r="J29" s="283">
        <f>I29</f>
        <v>517500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42606</v>
      </c>
    </row>
    <row r="30" spans="2:18" s="273" customFormat="1" x14ac:dyDescent="0.2">
      <c r="B30" s="279"/>
      <c r="C30" s="279"/>
      <c r="D30" s="278"/>
      <c r="E30" s="278"/>
      <c r="F30" s="277">
        <f>SUM(F29)</f>
        <v>500000</v>
      </c>
      <c r="G30" s="278"/>
      <c r="H30" s="276">
        <f>J30/F30*100</f>
        <v>103.49999999999999</v>
      </c>
      <c r="I30" s="277">
        <f>SUM(I29)</f>
        <v>517500</v>
      </c>
      <c r="J30" s="277">
        <f>SUM(J29)</f>
        <v>517500</v>
      </c>
      <c r="K30" s="277" t="e">
        <f ca="1">SUM(K29)</f>
        <v>#NAME?</v>
      </c>
      <c r="L30" s="276"/>
      <c r="M30" s="275"/>
      <c r="N30" s="274"/>
    </row>
    <row r="31" spans="2:18" x14ac:dyDescent="0.2">
      <c r="B31" s="160"/>
      <c r="C31" s="159"/>
      <c r="D31" s="87"/>
      <c r="E31" s="87"/>
      <c r="F31" s="79"/>
      <c r="G31" s="87"/>
      <c r="H31" s="99"/>
      <c r="I31" s="79"/>
      <c r="J31" s="79"/>
      <c r="K31" s="79"/>
      <c r="L31" s="88"/>
      <c r="M31" s="158"/>
      <c r="N31" s="157"/>
    </row>
    <row r="32" spans="2:18" s="273" customFormat="1" ht="13.5" customHeight="1" x14ac:dyDescent="0.2">
      <c r="B32" s="287" t="s">
        <v>749</v>
      </c>
      <c r="C32" s="286" t="s">
        <v>456</v>
      </c>
      <c r="D32" s="284" t="e">
        <f ca="1">_xll.BDP(C32,"SECURITY_NAME")</f>
        <v>#NAME?</v>
      </c>
      <c r="E32" s="284" t="s">
        <v>50</v>
      </c>
      <c r="F32" s="285">
        <v>500000</v>
      </c>
      <c r="G32" s="284" t="e">
        <f ca="1">_xll.BDP(C32,"CRNCY")</f>
        <v>#NAME?</v>
      </c>
      <c r="H32" s="281">
        <v>105.1</v>
      </c>
      <c r="I32" s="282">
        <f>F32*H32/100</f>
        <v>525500</v>
      </c>
      <c r="J32" s="283">
        <f>I32</f>
        <v>525500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42607</v>
      </c>
    </row>
    <row r="33" spans="2:14" s="273" customFormat="1" x14ac:dyDescent="0.2">
      <c r="B33" s="279"/>
      <c r="C33" s="279"/>
      <c r="D33" s="278"/>
      <c r="E33" s="278"/>
      <c r="F33" s="277">
        <f>SUM(F32:F32)</f>
        <v>500000</v>
      </c>
      <c r="G33" s="278"/>
      <c r="H33" s="276">
        <f>J33/F33*100</f>
        <v>105.1</v>
      </c>
      <c r="I33" s="277">
        <f>SUM(I32:I32)</f>
        <v>525500</v>
      </c>
      <c r="J33" s="277">
        <f>SUM(J32:J32)</f>
        <v>525500</v>
      </c>
      <c r="K33" s="277" t="e">
        <f ca="1">SUM(K32:K32)</f>
        <v>#NAME?</v>
      </c>
      <c r="L33" s="276"/>
      <c r="M33" s="275"/>
      <c r="N33" s="274"/>
    </row>
    <row r="34" spans="2:14" x14ac:dyDescent="0.2">
      <c r="B34" s="160"/>
      <c r="C34" s="159"/>
      <c r="D34" s="87"/>
      <c r="E34" s="87"/>
      <c r="F34" s="79"/>
      <c r="G34" s="87"/>
      <c r="H34" s="99"/>
      <c r="I34" s="79"/>
      <c r="J34" s="79"/>
      <c r="K34" s="79"/>
      <c r="L34" s="88"/>
      <c r="M34" s="158"/>
      <c r="N34" s="157"/>
    </row>
    <row r="35" spans="2:14" s="273" customFormat="1" ht="13.5" customHeight="1" x14ac:dyDescent="0.2">
      <c r="B35" s="287" t="s">
        <v>749</v>
      </c>
      <c r="C35" s="286" t="s">
        <v>752</v>
      </c>
      <c r="D35" s="284" t="e">
        <f ca="1">_xll.BDP(C35,"SECURITY_NAME")</f>
        <v>#NAME?</v>
      </c>
      <c r="E35" s="284" t="s">
        <v>50</v>
      </c>
      <c r="F35" s="285">
        <v>300000</v>
      </c>
      <c r="G35" s="284" t="e">
        <f ca="1">_xll.BDP(C35,"CRNCY")</f>
        <v>#NAME?</v>
      </c>
      <c r="H35" s="281">
        <v>109</v>
      </c>
      <c r="I35" s="282">
        <f>F35*H35/100</f>
        <v>327000</v>
      </c>
      <c r="J35" s="283">
        <f>I35</f>
        <v>327000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42612</v>
      </c>
    </row>
    <row r="36" spans="2:14" s="273" customFormat="1" x14ac:dyDescent="0.2">
      <c r="B36" s="279"/>
      <c r="C36" s="279"/>
      <c r="D36" s="278"/>
      <c r="E36" s="278"/>
      <c r="F36" s="277">
        <f>SUM(F35)</f>
        <v>300000</v>
      </c>
      <c r="G36" s="278"/>
      <c r="H36" s="276">
        <f>J36/F36*100</f>
        <v>109.00000000000001</v>
      </c>
      <c r="I36" s="277">
        <f>SUM(I35)</f>
        <v>327000</v>
      </c>
      <c r="J36" s="277">
        <f>SUM(J35)</f>
        <v>327000</v>
      </c>
      <c r="K36" s="277" t="e">
        <f ca="1">SUM(K35)</f>
        <v>#NAME?</v>
      </c>
      <c r="L36" s="276"/>
      <c r="M36" s="275"/>
      <c r="N36" s="274"/>
    </row>
    <row r="37" spans="2:14" x14ac:dyDescent="0.2">
      <c r="B37" s="160"/>
      <c r="C37" s="159"/>
      <c r="D37" s="87"/>
      <c r="E37" s="87"/>
      <c r="F37" s="79"/>
      <c r="G37" s="87"/>
      <c r="H37" s="99"/>
      <c r="I37" s="79"/>
      <c r="J37" s="79"/>
      <c r="K37" s="79"/>
      <c r="L37" s="88"/>
      <c r="M37" s="158"/>
      <c r="N37" s="157"/>
    </row>
    <row r="38" spans="2:14" x14ac:dyDescent="0.2">
      <c r="B38" s="287" t="s">
        <v>749</v>
      </c>
      <c r="C38" s="286" t="s">
        <v>453</v>
      </c>
      <c r="D38" s="284" t="e">
        <f ca="1">_xll.BDP(C38,"SECURITY_NAME")</f>
        <v>#NAME?</v>
      </c>
      <c r="E38" s="284" t="s">
        <v>50</v>
      </c>
      <c r="F38" s="285">
        <v>200000</v>
      </c>
      <c r="G38" s="284" t="e">
        <f ca="1">_xll.BDP(C38,"CRNCY")</f>
        <v>#NAME?</v>
      </c>
      <c r="H38" s="281">
        <v>102.93</v>
      </c>
      <c r="I38" s="282">
        <f>F38*H38/100</f>
        <v>205860</v>
      </c>
      <c r="J38" s="283">
        <f>I38</f>
        <v>205860</v>
      </c>
      <c r="K38" s="282" t="e">
        <f ca="1">J38*L38</f>
        <v>#NAME?</v>
      </c>
      <c r="L38" s="281" t="e">
        <f ca="1">_xll.BDH("RUB curncy","PX_LAST",$N38)</f>
        <v>#NAME?</v>
      </c>
      <c r="M38" s="280" t="e">
        <f ca="1">1/_xll.BDH("RUB curncy","PX_LAST",$N38)</f>
        <v>#NAME?</v>
      </c>
      <c r="N38" s="274">
        <v>42605</v>
      </c>
    </row>
    <row r="39" spans="2:14" x14ac:dyDescent="0.2">
      <c r="B39" s="279"/>
      <c r="C39" s="279"/>
      <c r="D39" s="278"/>
      <c r="E39" s="278"/>
      <c r="F39" s="277">
        <f>SUM(F38)</f>
        <v>200000</v>
      </c>
      <c r="G39" s="278"/>
      <c r="H39" s="276">
        <f>J39/F39*100</f>
        <v>102.93</v>
      </c>
      <c r="I39" s="277">
        <f>SUM(I38)</f>
        <v>205860</v>
      </c>
      <c r="J39" s="277">
        <f>SUM(J38)</f>
        <v>205860</v>
      </c>
      <c r="K39" s="277" t="e">
        <f ca="1">SUM(K38)</f>
        <v>#NAME?</v>
      </c>
      <c r="L39" s="276"/>
      <c r="M39" s="275"/>
      <c r="N39" s="274"/>
    </row>
    <row r="41" spans="2:14" x14ac:dyDescent="0.2">
      <c r="B41" s="287" t="s">
        <v>749</v>
      </c>
      <c r="C41" s="286" t="s">
        <v>697</v>
      </c>
      <c r="D41" s="284" t="e">
        <f ca="1">_xll.BDP(C41,"SECURITY_NAME")</f>
        <v>#NAME?</v>
      </c>
      <c r="E41" s="284" t="s">
        <v>50</v>
      </c>
      <c r="F41" s="285">
        <v>200000</v>
      </c>
      <c r="G41" s="284" t="e">
        <f ca="1">_xll.BDP(C41,"CRNCY")</f>
        <v>#NAME?</v>
      </c>
      <c r="H41" s="281">
        <v>95</v>
      </c>
      <c r="I41" s="282">
        <f>F41*H41/100</f>
        <v>190000</v>
      </c>
      <c r="J41" s="283">
        <f>I41</f>
        <v>190000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42605</v>
      </c>
    </row>
    <row r="42" spans="2:14" x14ac:dyDescent="0.2">
      <c r="B42" s="279"/>
      <c r="C42" s="279"/>
      <c r="D42" s="278"/>
      <c r="E42" s="278"/>
      <c r="F42" s="277">
        <f>SUM(F41:F41)</f>
        <v>200000</v>
      </c>
      <c r="G42" s="278"/>
      <c r="H42" s="276">
        <f>J42/F42*100</f>
        <v>95</v>
      </c>
      <c r="I42" s="277">
        <f>SUM(I41:I41)</f>
        <v>190000</v>
      </c>
      <c r="J42" s="277">
        <f>SUM(J41:J41)</f>
        <v>190000</v>
      </c>
      <c r="K42" s="277" t="e">
        <f ca="1">SUM(K41:K41)</f>
        <v>#NAME?</v>
      </c>
      <c r="L42" s="276"/>
      <c r="M42" s="275"/>
      <c r="N42" s="274"/>
    </row>
    <row r="44" spans="2:14" x14ac:dyDescent="0.2">
      <c r="B44" s="287" t="s">
        <v>749</v>
      </c>
      <c r="C44" s="286" t="s">
        <v>376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106.5</v>
      </c>
      <c r="I44" s="282">
        <f>F44*H44/100</f>
        <v>319500</v>
      </c>
      <c r="J44" s="283">
        <f>I44</f>
        <v>319500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42607</v>
      </c>
    </row>
    <row r="45" spans="2:14" x14ac:dyDescent="0.2">
      <c r="B45" s="279"/>
      <c r="C45" s="286"/>
      <c r="D45" s="278"/>
      <c r="E45" s="278"/>
      <c r="F45" s="277">
        <f>SUM(F44)</f>
        <v>300000</v>
      </c>
      <c r="G45" s="278"/>
      <c r="H45" s="276">
        <f>J45/F45*100</f>
        <v>106.5</v>
      </c>
      <c r="I45" s="277">
        <f>SUM(I44)</f>
        <v>319500</v>
      </c>
      <c r="J45" s="277">
        <f>SUM(J44)</f>
        <v>319500</v>
      </c>
      <c r="K45" s="277" t="e">
        <f ca="1">SUM(K44)</f>
        <v>#NAME?</v>
      </c>
      <c r="L45" s="276"/>
      <c r="M45" s="275"/>
      <c r="N45" s="274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287" t="s">
        <v>749</v>
      </c>
      <c r="C47" s="286" t="s">
        <v>753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103</v>
      </c>
      <c r="I47" s="282">
        <f>F47*H47/100</f>
        <v>309000</v>
      </c>
      <c r="J47" s="283">
        <f>I47</f>
        <v>309000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42612</v>
      </c>
    </row>
    <row r="48" spans="2:14" x14ac:dyDescent="0.2">
      <c r="B48" s="279"/>
      <c r="C48" s="286"/>
      <c r="D48" s="278"/>
      <c r="E48" s="278"/>
      <c r="F48" s="277">
        <f>SUM(F47)</f>
        <v>300000</v>
      </c>
      <c r="G48" s="278"/>
      <c r="H48" s="276">
        <f>J48/F48*100</f>
        <v>103</v>
      </c>
      <c r="I48" s="277">
        <f>SUM(I47)</f>
        <v>309000</v>
      </c>
      <c r="J48" s="277">
        <f>SUM(J47)</f>
        <v>309000</v>
      </c>
      <c r="K48" s="277" t="e">
        <f ca="1">SUM(K47)</f>
        <v>#NAME?</v>
      </c>
      <c r="L48" s="276"/>
      <c r="M48" s="275"/>
      <c r="N48" s="274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D50" s="87"/>
      <c r="E50" s="87"/>
      <c r="F50" s="79"/>
      <c r="G50" s="87"/>
      <c r="H50" s="80"/>
      <c r="I50" s="79"/>
      <c r="J50" s="79"/>
      <c r="K50" s="79"/>
      <c r="L50" s="88"/>
      <c r="M50" s="158"/>
      <c r="N50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100"/>
      <c r="I62" s="79"/>
      <c r="J62" s="79"/>
      <c r="K62" s="79"/>
      <c r="L62" s="88"/>
      <c r="M62" s="158"/>
      <c r="N62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D65" s="87"/>
      <c r="E65" s="87"/>
      <c r="F65" s="79"/>
      <c r="G65" s="87"/>
      <c r="H65" s="80"/>
      <c r="I65" s="79"/>
      <c r="J65" s="79"/>
      <c r="K65" s="79"/>
      <c r="L65" s="88"/>
      <c r="M65" s="158"/>
      <c r="N65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F73" s="79"/>
      <c r="H73" s="80"/>
      <c r="I73" s="79"/>
      <c r="J73" s="79"/>
      <c r="K73" s="79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D76" s="87"/>
      <c r="E76" s="87"/>
      <c r="F76" s="79"/>
      <c r="G76" s="87"/>
      <c r="H76" s="80"/>
      <c r="I76" s="79"/>
      <c r="J76" s="79"/>
      <c r="K76" s="79"/>
      <c r="L76" s="88"/>
      <c r="M76" s="158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F88" s="79"/>
      <c r="H88" s="80"/>
      <c r="I88" s="79"/>
      <c r="J88" s="79"/>
      <c r="K88" s="79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F92" s="79"/>
      <c r="G92" s="79"/>
      <c r="H92" s="80"/>
      <c r="I92" s="79"/>
      <c r="J92" s="79"/>
      <c r="K92" s="79"/>
    </row>
    <row r="93" spans="2:14" x14ac:dyDescent="0.2">
      <c r="G93" s="79"/>
      <c r="H93" s="80"/>
      <c r="I93" s="79"/>
      <c r="J93" s="79"/>
      <c r="K93" s="79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79"/>
      <c r="I97" s="79"/>
      <c r="J97" s="79"/>
      <c r="K97" s="79"/>
      <c r="L97" s="88"/>
      <c r="M97" s="158"/>
      <c r="N97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80"/>
      <c r="I100" s="79"/>
      <c r="J100" s="79"/>
      <c r="K100" s="79"/>
      <c r="L100" s="88"/>
      <c r="M100" s="158"/>
      <c r="N100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7"/>
      <c r="C104" s="166"/>
      <c r="D104" s="165"/>
      <c r="E104" s="165"/>
      <c r="F104" s="96"/>
      <c r="G104" s="165"/>
      <c r="H104" s="97"/>
      <c r="I104" s="163"/>
      <c r="J104" s="164"/>
      <c r="K104" s="163"/>
      <c r="L104" s="162"/>
      <c r="M104" s="161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80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79"/>
      <c r="I116" s="79"/>
      <c r="J116" s="79"/>
      <c r="K116" s="79"/>
      <c r="L116" s="88"/>
      <c r="M116" s="158"/>
      <c r="N116" s="157"/>
    </row>
    <row r="117" spans="2:14" x14ac:dyDescent="0.2">
      <c r="B117" s="160"/>
      <c r="C117" s="159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80"/>
      <c r="I128" s="79"/>
      <c r="J128" s="79"/>
      <c r="K128" s="79"/>
      <c r="L128" s="88"/>
      <c r="M128" s="158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80"/>
      <c r="I135" s="79"/>
      <c r="J135" s="79"/>
      <c r="K135" s="79"/>
      <c r="L135" s="88"/>
      <c r="M135" s="158"/>
      <c r="N135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80"/>
      <c r="I139" s="79"/>
      <c r="J139" s="79"/>
      <c r="K139" s="79"/>
      <c r="L139" s="88"/>
      <c r="M139" s="158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80"/>
      <c r="I140" s="79"/>
      <c r="J140" s="79"/>
      <c r="K140" s="79"/>
      <c r="L140" s="88"/>
      <c r="M140" s="158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80"/>
      <c r="I150" s="79"/>
      <c r="J150" s="79"/>
      <c r="K150" s="79"/>
      <c r="L150" s="88"/>
      <c r="M150" s="158"/>
      <c r="N150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8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73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73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8"/>
      <c r="I160" s="79"/>
      <c r="J160" s="79"/>
      <c r="K160" s="79"/>
      <c r="L160" s="88"/>
      <c r="M160" s="173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80"/>
      <c r="I161" s="79"/>
      <c r="J161" s="79"/>
      <c r="K161" s="79"/>
      <c r="L161" s="88"/>
      <c r="M161" s="173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168"/>
      <c r="J176" s="169"/>
      <c r="K176" s="168"/>
      <c r="L176" s="88"/>
      <c r="M176" s="158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73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73"/>
      <c r="N197" s="157"/>
    </row>
    <row r="198" spans="2:14" x14ac:dyDescent="0.2">
      <c r="B198" s="160"/>
      <c r="C198" s="159"/>
      <c r="D198" s="87"/>
      <c r="E198" s="87"/>
      <c r="F198" s="79"/>
      <c r="G198" s="87"/>
      <c r="H198" s="80"/>
      <c r="I198" s="79"/>
      <c r="J198" s="79"/>
      <c r="K198" s="79"/>
      <c r="L198" s="88"/>
      <c r="M198" s="173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0"/>
      <c r="C201" s="159"/>
      <c r="D201" s="87"/>
      <c r="E201" s="87"/>
      <c r="F201" s="79"/>
      <c r="G201" s="87"/>
      <c r="H201" s="80"/>
      <c r="I201" s="79"/>
      <c r="J201" s="79"/>
      <c r="K201" s="79"/>
      <c r="L201" s="88"/>
      <c r="M201" s="173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73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79"/>
      <c r="J206" s="79"/>
      <c r="K206" s="79"/>
      <c r="L206" s="88"/>
      <c r="M206" s="173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0"/>
      <c r="C209" s="159"/>
      <c r="D209" s="87"/>
      <c r="E209" s="87"/>
      <c r="F209" s="79"/>
      <c r="G209" s="87"/>
      <c r="H209" s="80"/>
      <c r="I209" s="79"/>
      <c r="J209" s="79"/>
      <c r="K209" s="79"/>
      <c r="L209" s="88"/>
      <c r="M209" s="158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168"/>
      <c r="J210" s="169"/>
      <c r="K210" s="168"/>
      <c r="L210" s="88"/>
      <c r="M210" s="173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91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91"/>
      <c r="I215" s="79"/>
      <c r="J215" s="79"/>
      <c r="K215" s="79"/>
      <c r="L215" s="88"/>
      <c r="M215" s="158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172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93"/>
      <c r="I217" s="79"/>
      <c r="J217" s="79"/>
      <c r="K217" s="79"/>
      <c r="L217" s="88"/>
      <c r="M217" s="158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92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171"/>
      <c r="I219" s="163"/>
      <c r="J219" s="164"/>
      <c r="K219" s="163"/>
      <c r="L219" s="162"/>
      <c r="M219" s="161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92"/>
      <c r="I220" s="79"/>
      <c r="J220" s="79"/>
      <c r="K220" s="79"/>
      <c r="L220" s="88"/>
      <c r="M220" s="158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92"/>
      <c r="I221" s="79"/>
      <c r="J221" s="79"/>
      <c r="K221" s="79"/>
      <c r="L221" s="88"/>
      <c r="M221" s="158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170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170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95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168"/>
      <c r="J225" s="169"/>
      <c r="K225" s="168"/>
      <c r="L225" s="88"/>
      <c r="M225" s="158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168"/>
      <c r="J231" s="169"/>
      <c r="K231" s="168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96"/>
      <c r="J247" s="96"/>
      <c r="K247" s="96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96"/>
      <c r="J248" s="96"/>
      <c r="K248" s="96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80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0" spans="2:14" x14ac:dyDescent="0.2">
      <c r="B260" s="160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58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168"/>
      <c r="J288" s="169"/>
      <c r="K288" s="168"/>
      <c r="L288" s="88"/>
      <c r="M288" s="158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168"/>
      <c r="J291" s="169"/>
      <c r="K291" s="168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79"/>
      <c r="J293" s="79"/>
      <c r="K293" s="79"/>
      <c r="L293" s="88"/>
      <c r="M293" s="158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168"/>
      <c r="J302" s="169"/>
      <c r="K302" s="168"/>
      <c r="L302" s="88"/>
      <c r="M302" s="158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168"/>
      <c r="J305" s="169"/>
      <c r="K305" s="168"/>
      <c r="L305" s="88"/>
      <c r="M305" s="158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56"/>
      <c r="C308" s="156"/>
      <c r="D308" s="156"/>
      <c r="E308" s="102"/>
      <c r="F308" s="102"/>
      <c r="G308" s="156"/>
      <c r="H308" s="156"/>
      <c r="I308" s="156"/>
      <c r="J308" s="156"/>
      <c r="K308" s="156"/>
      <c r="L308" s="102"/>
      <c r="M308" s="156"/>
      <c r="N308" s="156"/>
    </row>
    <row r="309" spans="2:14" x14ac:dyDescent="0.2">
      <c r="H309" s="151"/>
    </row>
    <row r="310" spans="2:14" x14ac:dyDescent="0.2">
      <c r="H310" s="151"/>
    </row>
    <row r="312" spans="2:14" x14ac:dyDescent="0.2">
      <c r="H312" s="151"/>
    </row>
    <row r="313" spans="2:14" x14ac:dyDescent="0.2">
      <c r="H313" s="151"/>
    </row>
    <row r="314" spans="2:14" x14ac:dyDescent="0.2">
      <c r="L314" s="155"/>
    </row>
    <row r="315" spans="2:14" x14ac:dyDescent="0.2">
      <c r="L315" s="155"/>
    </row>
    <row r="316" spans="2:14" x14ac:dyDescent="0.2">
      <c r="L316" s="154"/>
    </row>
    <row r="318" spans="2:14" x14ac:dyDescent="0.2">
      <c r="L318" s="153"/>
    </row>
    <row r="322" spans="5:12" x14ac:dyDescent="0.2">
      <c r="E322" s="32"/>
      <c r="F322" s="32"/>
      <c r="G322" s="151"/>
      <c r="L322" s="32"/>
    </row>
    <row r="323" spans="5:12" x14ac:dyDescent="0.2">
      <c r="E323" s="32"/>
      <c r="F323" s="32"/>
      <c r="G323" s="152"/>
      <c r="L323" s="32"/>
    </row>
    <row r="326" spans="5:12" x14ac:dyDescent="0.2">
      <c r="E326" s="32"/>
      <c r="F326" s="32"/>
      <c r="G326" s="151"/>
      <c r="L326" s="32"/>
    </row>
  </sheetData>
  <conditionalFormatting sqref="E157:E158 E205:E206 E198 E188:E189 E160:E161 E201:E202 E209:E211 D16">
    <cfRule type="containsText" dxfId="8953" priority="804" operator="containsText" text="Buy">
      <formula>NOT(ISERROR(SEARCH("Buy",D16)))</formula>
    </cfRule>
    <cfRule type="containsText" dxfId="8952" priority="805" operator="containsText" text="Sell">
      <formula>NOT(ISERROR(SEARCH("Sell",D16)))</formula>
    </cfRule>
  </conditionalFormatting>
  <conditionalFormatting sqref="E230:E231 E220:E221 E225">
    <cfRule type="containsText" dxfId="8951" priority="802" operator="containsText" text="Buy">
      <formula>NOT(ISERROR(SEARCH("Buy",E220)))</formula>
    </cfRule>
    <cfRule type="containsText" dxfId="8950" priority="803" operator="containsText" text="Sell">
      <formula>NOT(ISERROR(SEARCH("Sell",E220)))</formula>
    </cfRule>
  </conditionalFormatting>
  <conditionalFormatting sqref="E246:E248 E305 E302 E297 E291 E288 E285 E282 E275 E271 E265 E255">
    <cfRule type="containsText" dxfId="8949" priority="800" operator="containsText" text="Buy">
      <formula>NOT(ISERROR(SEARCH("Buy",E246)))</formula>
    </cfRule>
    <cfRule type="containsText" dxfId="8948" priority="801" operator="containsText" text="Sell">
      <formula>NOT(ISERROR(SEARCH("Sell",E246)))</formula>
    </cfRule>
  </conditionalFormatting>
  <conditionalFormatting sqref="E245">
    <cfRule type="containsText" dxfId="8947" priority="798" operator="containsText" text="Buy">
      <formula>NOT(ISERROR(SEARCH("Buy",E245)))</formula>
    </cfRule>
    <cfRule type="containsText" dxfId="8946" priority="799" operator="containsText" text="Sell">
      <formula>NOT(ISERROR(SEARCH("Sell",E245)))</formula>
    </cfRule>
  </conditionalFormatting>
  <conditionalFormatting sqref="E244">
    <cfRule type="containsText" dxfId="8945" priority="796" operator="containsText" text="Buy">
      <formula>NOT(ISERROR(SEARCH("Buy",E244)))</formula>
    </cfRule>
    <cfRule type="containsText" dxfId="8944" priority="797" operator="containsText" text="Sell">
      <formula>NOT(ISERROR(SEARCH("Sell",E244)))</formula>
    </cfRule>
  </conditionalFormatting>
  <conditionalFormatting sqref="E243">
    <cfRule type="containsText" dxfId="8943" priority="794" operator="containsText" text="Buy">
      <formula>NOT(ISERROR(SEARCH("Buy",E243)))</formula>
    </cfRule>
    <cfRule type="containsText" dxfId="8942" priority="795" operator="containsText" text="Sell">
      <formula>NOT(ISERROR(SEARCH("Sell",E243)))</formula>
    </cfRule>
  </conditionalFormatting>
  <conditionalFormatting sqref="E156">
    <cfRule type="containsText" dxfId="8941" priority="792" operator="containsText" text="Buy">
      <formula>NOT(ISERROR(SEARCH("Buy",E156)))</formula>
    </cfRule>
    <cfRule type="containsText" dxfId="8940" priority="793" operator="containsText" text="Sell">
      <formula>NOT(ISERROR(SEARCH("Sell",E156)))</formula>
    </cfRule>
  </conditionalFormatting>
  <conditionalFormatting sqref="E155">
    <cfRule type="containsText" dxfId="8939" priority="790" operator="containsText" text="Buy">
      <formula>NOT(ISERROR(SEARCH("Buy",E155)))</formula>
    </cfRule>
    <cfRule type="containsText" dxfId="8938" priority="791" operator="containsText" text="Sell">
      <formula>NOT(ISERROR(SEARCH("Sell",E155)))</formula>
    </cfRule>
  </conditionalFormatting>
  <conditionalFormatting sqref="E204">
    <cfRule type="containsText" dxfId="8937" priority="788" operator="containsText" text="Buy">
      <formula>NOT(ISERROR(SEARCH("Buy",E204)))</formula>
    </cfRule>
    <cfRule type="containsText" dxfId="8936" priority="789" operator="containsText" text="Sell">
      <formula>NOT(ISERROR(SEARCH("Sell",E204)))</formula>
    </cfRule>
  </conditionalFormatting>
  <conditionalFormatting sqref="E203">
    <cfRule type="containsText" dxfId="8935" priority="786" operator="containsText" text="Buy">
      <formula>NOT(ISERROR(SEARCH("Buy",E203)))</formula>
    </cfRule>
    <cfRule type="containsText" dxfId="8934" priority="787" operator="containsText" text="Sell">
      <formula>NOT(ISERROR(SEARCH("Sell",E203)))</formula>
    </cfRule>
  </conditionalFormatting>
  <conditionalFormatting sqref="E190:E192">
    <cfRule type="containsText" dxfId="8933" priority="784" operator="containsText" text="Buy">
      <formula>NOT(ISERROR(SEARCH("Buy",E190)))</formula>
    </cfRule>
    <cfRule type="containsText" dxfId="8932" priority="785" operator="containsText" text="Sell">
      <formula>NOT(ISERROR(SEARCH("Sell",E190)))</formula>
    </cfRule>
  </conditionalFormatting>
  <conditionalFormatting sqref="E187">
    <cfRule type="containsText" dxfId="8931" priority="782" operator="containsText" text="Buy">
      <formula>NOT(ISERROR(SEARCH("Buy",E187)))</formula>
    </cfRule>
    <cfRule type="containsText" dxfId="8930" priority="783" operator="containsText" text="Sell">
      <formula>NOT(ISERROR(SEARCH("Sell",E187)))</formula>
    </cfRule>
  </conditionalFormatting>
  <conditionalFormatting sqref="E186">
    <cfRule type="containsText" dxfId="8929" priority="780" operator="containsText" text="Buy">
      <formula>NOT(ISERROR(SEARCH("Buy",E186)))</formula>
    </cfRule>
    <cfRule type="containsText" dxfId="8928" priority="781" operator="containsText" text="Sell">
      <formula>NOT(ISERROR(SEARCH("Sell",E186)))</formula>
    </cfRule>
  </conditionalFormatting>
  <conditionalFormatting sqref="E185">
    <cfRule type="containsText" dxfId="8927" priority="778" operator="containsText" text="Buy">
      <formula>NOT(ISERROR(SEARCH("Buy",E185)))</formula>
    </cfRule>
    <cfRule type="containsText" dxfId="8926" priority="779" operator="containsText" text="Sell">
      <formula>NOT(ISERROR(SEARCH("Sell",E185)))</formula>
    </cfRule>
  </conditionalFormatting>
  <conditionalFormatting sqref="E184">
    <cfRule type="containsText" dxfId="8925" priority="776" operator="containsText" text="Buy">
      <formula>NOT(ISERROR(SEARCH("Buy",E184)))</formula>
    </cfRule>
    <cfRule type="containsText" dxfId="8924" priority="777" operator="containsText" text="Sell">
      <formula>NOT(ISERROR(SEARCH("Sell",E184)))</formula>
    </cfRule>
  </conditionalFormatting>
  <conditionalFormatting sqref="E183">
    <cfRule type="containsText" dxfId="8923" priority="774" operator="containsText" text="Buy">
      <formula>NOT(ISERROR(SEARCH("Buy",E183)))</formula>
    </cfRule>
    <cfRule type="containsText" dxfId="8922" priority="775" operator="containsText" text="Sell">
      <formula>NOT(ISERROR(SEARCH("Sell",E183)))</formula>
    </cfRule>
  </conditionalFormatting>
  <conditionalFormatting sqref="E182">
    <cfRule type="containsText" dxfId="8921" priority="772" operator="containsText" text="Buy">
      <formula>NOT(ISERROR(SEARCH("Buy",E182)))</formula>
    </cfRule>
    <cfRule type="containsText" dxfId="8920" priority="773" operator="containsText" text="Sell">
      <formula>NOT(ISERROR(SEARCH("Sell",E182)))</formula>
    </cfRule>
  </conditionalFormatting>
  <conditionalFormatting sqref="E181">
    <cfRule type="containsText" dxfId="8919" priority="770" operator="containsText" text="Buy">
      <formula>NOT(ISERROR(SEARCH("Buy",E181)))</formula>
    </cfRule>
    <cfRule type="containsText" dxfId="8918" priority="771" operator="containsText" text="Sell">
      <formula>NOT(ISERROR(SEARCH("Sell",E181)))</formula>
    </cfRule>
  </conditionalFormatting>
  <conditionalFormatting sqref="E174:E176">
    <cfRule type="containsText" dxfId="8917" priority="768" operator="containsText" text="Buy">
      <formula>NOT(ISERROR(SEARCH("Buy",E174)))</formula>
    </cfRule>
    <cfRule type="containsText" dxfId="8916" priority="769" operator="containsText" text="Sell">
      <formula>NOT(ISERROR(SEARCH("Sell",E174)))</formula>
    </cfRule>
  </conditionalFormatting>
  <conditionalFormatting sqref="E173">
    <cfRule type="containsText" dxfId="8915" priority="766" operator="containsText" text="Buy">
      <formula>NOT(ISERROR(SEARCH("Buy",E173)))</formula>
    </cfRule>
    <cfRule type="containsText" dxfId="8914" priority="767" operator="containsText" text="Sell">
      <formula>NOT(ISERROR(SEARCH("Sell",E173)))</formula>
    </cfRule>
  </conditionalFormatting>
  <conditionalFormatting sqref="E172">
    <cfRule type="containsText" dxfId="8913" priority="764" operator="containsText" text="Buy">
      <formula>NOT(ISERROR(SEARCH("Buy",E172)))</formula>
    </cfRule>
    <cfRule type="containsText" dxfId="8912" priority="765" operator="containsText" text="Sell">
      <formula>NOT(ISERROR(SEARCH("Sell",E172)))</formula>
    </cfRule>
  </conditionalFormatting>
  <conditionalFormatting sqref="E171">
    <cfRule type="containsText" dxfId="8911" priority="762" operator="containsText" text="Buy">
      <formula>NOT(ISERROR(SEARCH("Buy",E171)))</formula>
    </cfRule>
    <cfRule type="containsText" dxfId="8910" priority="763" operator="containsText" text="Sell">
      <formula>NOT(ISERROR(SEARCH("Sell",E171)))</formula>
    </cfRule>
  </conditionalFormatting>
  <conditionalFormatting sqref="E170">
    <cfRule type="containsText" dxfId="8909" priority="760" operator="containsText" text="Buy">
      <formula>NOT(ISERROR(SEARCH("Buy",E170)))</formula>
    </cfRule>
    <cfRule type="containsText" dxfId="8908" priority="761" operator="containsText" text="Sell">
      <formula>NOT(ISERROR(SEARCH("Sell",E170)))</formula>
    </cfRule>
  </conditionalFormatting>
  <conditionalFormatting sqref="E169">
    <cfRule type="containsText" dxfId="8907" priority="758" operator="containsText" text="Buy">
      <formula>NOT(ISERROR(SEARCH("Buy",E169)))</formula>
    </cfRule>
    <cfRule type="containsText" dxfId="8906" priority="759" operator="containsText" text="Sell">
      <formula>NOT(ISERROR(SEARCH("Sell",E169)))</formula>
    </cfRule>
  </conditionalFormatting>
  <conditionalFormatting sqref="E168">
    <cfRule type="containsText" dxfId="8905" priority="756" operator="containsText" text="Buy">
      <formula>NOT(ISERROR(SEARCH("Buy",E168)))</formula>
    </cfRule>
    <cfRule type="containsText" dxfId="8904" priority="757" operator="containsText" text="Sell">
      <formula>NOT(ISERROR(SEARCH("Sell",E168)))</formula>
    </cfRule>
  </conditionalFormatting>
  <conditionalFormatting sqref="E167">
    <cfRule type="containsText" dxfId="8903" priority="754" operator="containsText" text="Buy">
      <formula>NOT(ISERROR(SEARCH("Buy",E167)))</formula>
    </cfRule>
    <cfRule type="containsText" dxfId="8902" priority="755" operator="containsText" text="Sell">
      <formula>NOT(ISERROR(SEARCH("Sell",E167)))</formula>
    </cfRule>
  </conditionalFormatting>
  <conditionalFormatting sqref="E166">
    <cfRule type="containsText" dxfId="8901" priority="752" operator="containsText" text="Buy">
      <formula>NOT(ISERROR(SEARCH("Buy",E166)))</formula>
    </cfRule>
    <cfRule type="containsText" dxfId="8900" priority="753" operator="containsText" text="Sell">
      <formula>NOT(ISERROR(SEARCH("Sell",E166)))</formula>
    </cfRule>
  </conditionalFormatting>
  <conditionalFormatting sqref="E165">
    <cfRule type="containsText" dxfId="8899" priority="750" operator="containsText" text="Buy">
      <formula>NOT(ISERROR(SEARCH("Buy",E165)))</formula>
    </cfRule>
    <cfRule type="containsText" dxfId="8898" priority="751" operator="containsText" text="Sell">
      <formula>NOT(ISERROR(SEARCH("Sell",E165)))</formula>
    </cfRule>
  </conditionalFormatting>
  <conditionalFormatting sqref="E164">
    <cfRule type="containsText" dxfId="8897" priority="748" operator="containsText" text="Buy">
      <formula>NOT(ISERROR(SEARCH("Buy",E164)))</formula>
    </cfRule>
    <cfRule type="containsText" dxfId="8896" priority="749" operator="containsText" text="Sell">
      <formula>NOT(ISERROR(SEARCH("Sell",E164)))</formula>
    </cfRule>
  </conditionalFormatting>
  <conditionalFormatting sqref="E163">
    <cfRule type="containsText" dxfId="8895" priority="746" operator="containsText" text="Buy">
      <formula>NOT(ISERROR(SEARCH("Buy",E163)))</formula>
    </cfRule>
    <cfRule type="containsText" dxfId="8894" priority="747" operator="containsText" text="Sell">
      <formula>NOT(ISERROR(SEARCH("Sell",E163)))</formula>
    </cfRule>
  </conditionalFormatting>
  <conditionalFormatting sqref="E159">
    <cfRule type="containsText" dxfId="8893" priority="744" operator="containsText" text="Buy">
      <formula>NOT(ISERROR(SEARCH("Buy",E159)))</formula>
    </cfRule>
    <cfRule type="containsText" dxfId="8892" priority="745" operator="containsText" text="Sell">
      <formula>NOT(ISERROR(SEARCH("Sell",E159)))</formula>
    </cfRule>
  </conditionalFormatting>
  <conditionalFormatting sqref="E219">
    <cfRule type="containsText" dxfId="8891" priority="742" operator="containsText" text="Buy">
      <formula>NOT(ISERROR(SEARCH("Buy",E219)))</formula>
    </cfRule>
    <cfRule type="containsText" dxfId="8890" priority="743" operator="containsText" text="Sell">
      <formula>NOT(ISERROR(SEARCH("Sell",E219)))</formula>
    </cfRule>
  </conditionalFormatting>
  <conditionalFormatting sqref="E218 E215">
    <cfRule type="containsText" dxfId="8889" priority="740" operator="containsText" text="Buy">
      <formula>NOT(ISERROR(SEARCH("Buy",E215)))</formula>
    </cfRule>
    <cfRule type="containsText" dxfId="8888" priority="741" operator="containsText" text="Sell">
      <formula>NOT(ISERROR(SEARCH("Sell",E215)))</formula>
    </cfRule>
  </conditionalFormatting>
  <conditionalFormatting sqref="E224">
    <cfRule type="containsText" dxfId="8887" priority="738" operator="containsText" text="Buy">
      <formula>NOT(ISERROR(SEARCH("Buy",E224)))</formula>
    </cfRule>
    <cfRule type="containsText" dxfId="8886" priority="739" operator="containsText" text="Sell">
      <formula>NOT(ISERROR(SEARCH("Sell",E224)))</formula>
    </cfRule>
  </conditionalFormatting>
  <conditionalFormatting sqref="E306:E307">
    <cfRule type="containsText" dxfId="8885" priority="735" operator="containsText" text="Buy">
      <formula>NOT(ISERROR(SEARCH("Buy",E306)))</formula>
    </cfRule>
    <cfRule type="containsText" dxfId="8884" priority="736" operator="containsText" text="Sell">
      <formula>NOT(ISERROR(SEARCH("Sell",E306)))</formula>
    </cfRule>
  </conditionalFormatting>
  <conditionalFormatting sqref="E217">
    <cfRule type="containsText" dxfId="8883" priority="733" operator="containsText" text="Buy">
      <formula>NOT(ISERROR(SEARCH("Buy",E217)))</formula>
    </cfRule>
    <cfRule type="containsText" dxfId="8882" priority="734" operator="containsText" text="Sell">
      <formula>NOT(ISERROR(SEARCH("Sell",E217)))</formula>
    </cfRule>
  </conditionalFormatting>
  <conditionalFormatting sqref="E214">
    <cfRule type="containsText" dxfId="8881" priority="731" operator="containsText" text="Buy">
      <formula>NOT(ISERROR(SEARCH("Buy",E214)))</formula>
    </cfRule>
    <cfRule type="containsText" dxfId="8880" priority="732" operator="containsText" text="Sell">
      <formula>NOT(ISERROR(SEARCH("Sell",E214)))</formula>
    </cfRule>
  </conditionalFormatting>
  <conditionalFormatting sqref="E213">
    <cfRule type="containsText" dxfId="8879" priority="729" operator="containsText" text="Buy">
      <formula>NOT(ISERROR(SEARCH("Buy",E213)))</formula>
    </cfRule>
    <cfRule type="containsText" dxfId="8878" priority="730" operator="containsText" text="Sell">
      <formula>NOT(ISERROR(SEARCH("Sell",E213)))</formula>
    </cfRule>
  </conditionalFormatting>
  <conditionalFormatting sqref="E200">
    <cfRule type="containsText" dxfId="8877" priority="727" operator="containsText" text="Buy">
      <formula>NOT(ISERROR(SEARCH("Buy",E200)))</formula>
    </cfRule>
    <cfRule type="containsText" dxfId="8876" priority="728" operator="containsText" text="Sell">
      <formula>NOT(ISERROR(SEARCH("Sell",E200)))</formula>
    </cfRule>
  </conditionalFormatting>
  <conditionalFormatting sqref="E137:E140 E150 E147:E148">
    <cfRule type="containsText" dxfId="8875" priority="725" operator="containsText" text="Buy">
      <formula>NOT(ISERROR(SEARCH("Buy",E137)))</formula>
    </cfRule>
    <cfRule type="containsText" dxfId="8874" priority="726" operator="containsText" text="Sell">
      <formula>NOT(ISERROR(SEARCH("Sell",E137)))</formula>
    </cfRule>
  </conditionalFormatting>
  <conditionalFormatting sqref="E303:E304">
    <cfRule type="containsText" dxfId="8873" priority="723" operator="containsText" text="Buy">
      <formula>NOT(ISERROR(SEARCH("Buy",E303)))</formula>
    </cfRule>
    <cfRule type="containsText" dxfId="8872" priority="724" operator="containsText" text="Sell">
      <formula>NOT(ISERROR(SEARCH("Sell",E303)))</formula>
    </cfRule>
  </conditionalFormatting>
  <conditionalFormatting sqref="E300:E301">
    <cfRule type="containsText" dxfId="8871" priority="721" operator="containsText" text="Buy">
      <formula>NOT(ISERROR(SEARCH("Buy",E300)))</formula>
    </cfRule>
    <cfRule type="containsText" dxfId="8870" priority="722" operator="containsText" text="Sell">
      <formula>NOT(ISERROR(SEARCH("Sell",E300)))</formula>
    </cfRule>
  </conditionalFormatting>
  <conditionalFormatting sqref="E298:E299">
    <cfRule type="containsText" dxfId="8869" priority="719" operator="containsText" text="Buy">
      <formula>NOT(ISERROR(SEARCH("Buy",E298)))</formula>
    </cfRule>
    <cfRule type="containsText" dxfId="8868" priority="720" operator="containsText" text="Sell">
      <formula>NOT(ISERROR(SEARCH("Sell",E298)))</formula>
    </cfRule>
  </conditionalFormatting>
  <conditionalFormatting sqref="E295:E296">
    <cfRule type="containsText" dxfId="8867" priority="717" operator="containsText" text="Buy">
      <formula>NOT(ISERROR(SEARCH("Buy",E295)))</formula>
    </cfRule>
    <cfRule type="containsText" dxfId="8866" priority="718" operator="containsText" text="Sell">
      <formula>NOT(ISERROR(SEARCH("Sell",E295)))</formula>
    </cfRule>
  </conditionalFormatting>
  <conditionalFormatting sqref="E292:E294">
    <cfRule type="containsText" dxfId="8865" priority="715" operator="containsText" text="Buy">
      <formula>NOT(ISERROR(SEARCH("Buy",E292)))</formula>
    </cfRule>
    <cfRule type="containsText" dxfId="8864" priority="716" operator="containsText" text="Sell">
      <formula>NOT(ISERROR(SEARCH("Sell",E292)))</formula>
    </cfRule>
  </conditionalFormatting>
  <conditionalFormatting sqref="E289:E290">
    <cfRule type="containsText" dxfId="8863" priority="713" operator="containsText" text="Buy">
      <formula>NOT(ISERROR(SEARCH("Buy",E289)))</formula>
    </cfRule>
    <cfRule type="containsText" dxfId="8862" priority="714" operator="containsText" text="Sell">
      <formula>NOT(ISERROR(SEARCH("Sell",E289)))</formula>
    </cfRule>
  </conditionalFormatting>
  <conditionalFormatting sqref="E286:E287">
    <cfRule type="containsText" dxfId="8861" priority="711" operator="containsText" text="Buy">
      <formula>NOT(ISERROR(SEARCH("Buy",E286)))</formula>
    </cfRule>
    <cfRule type="containsText" dxfId="8860" priority="712" operator="containsText" text="Sell">
      <formula>NOT(ISERROR(SEARCH("Sell",E286)))</formula>
    </cfRule>
  </conditionalFormatting>
  <conditionalFormatting sqref="E283:E284">
    <cfRule type="containsText" dxfId="8859" priority="709" operator="containsText" text="Buy">
      <formula>NOT(ISERROR(SEARCH("Buy",E283)))</formula>
    </cfRule>
    <cfRule type="containsText" dxfId="8858" priority="710" operator="containsText" text="Sell">
      <formula>NOT(ISERROR(SEARCH("Sell",E283)))</formula>
    </cfRule>
  </conditionalFormatting>
  <conditionalFormatting sqref="E279">
    <cfRule type="containsText" dxfId="8857" priority="705" operator="containsText" text="Buy">
      <formula>NOT(ISERROR(SEARCH("Buy",E279)))</formula>
    </cfRule>
    <cfRule type="containsText" dxfId="8856" priority="706" operator="containsText" text="Sell">
      <formula>NOT(ISERROR(SEARCH("Sell",E279)))</formula>
    </cfRule>
  </conditionalFormatting>
  <conditionalFormatting sqref="E280:E281">
    <cfRule type="containsText" dxfId="8855" priority="707" operator="containsText" text="Buy">
      <formula>NOT(ISERROR(SEARCH("Buy",E280)))</formula>
    </cfRule>
    <cfRule type="containsText" dxfId="8854" priority="708" operator="containsText" text="Sell">
      <formula>NOT(ISERROR(SEARCH("Sell",E280)))</formula>
    </cfRule>
  </conditionalFormatting>
  <conditionalFormatting sqref="E273:E274">
    <cfRule type="containsText" dxfId="8853" priority="703" operator="containsText" text="Buy">
      <formula>NOT(ISERROR(SEARCH("Buy",E273)))</formula>
    </cfRule>
    <cfRule type="containsText" dxfId="8852" priority="704" operator="containsText" text="Sell">
      <formula>NOT(ISERROR(SEARCH("Sell",E273)))</formula>
    </cfRule>
  </conditionalFormatting>
  <conditionalFormatting sqref="E269:E270">
    <cfRule type="containsText" dxfId="8851" priority="701" operator="containsText" text="Buy">
      <formula>NOT(ISERROR(SEARCH("Buy",E269)))</formula>
    </cfRule>
    <cfRule type="containsText" dxfId="8850" priority="702" operator="containsText" text="Sell">
      <formula>NOT(ISERROR(SEARCH("Sell",E269)))</formula>
    </cfRule>
  </conditionalFormatting>
  <conditionalFormatting sqref="E134:E135">
    <cfRule type="containsText" dxfId="8849" priority="699" operator="containsText" text="Buy">
      <formula>NOT(ISERROR(SEARCH("Buy",E134)))</formula>
    </cfRule>
    <cfRule type="containsText" dxfId="8848" priority="700" operator="containsText" text="Sell">
      <formula>NOT(ISERROR(SEARCH("Sell",E134)))</formula>
    </cfRule>
  </conditionalFormatting>
  <conditionalFormatting sqref="E129:E130">
    <cfRule type="containsText" dxfId="8847" priority="697" operator="containsText" text="Buy">
      <formula>NOT(ISERROR(SEARCH("Buy",E129)))</formula>
    </cfRule>
    <cfRule type="containsText" dxfId="8846" priority="698" operator="containsText" text="Sell">
      <formula>NOT(ISERROR(SEARCH("Sell",E129)))</formula>
    </cfRule>
  </conditionalFormatting>
  <conditionalFormatting sqref="E146">
    <cfRule type="containsText" dxfId="8845" priority="695" operator="containsText" text="Buy">
      <formula>NOT(ISERROR(SEARCH("Buy",E146)))</formula>
    </cfRule>
    <cfRule type="containsText" dxfId="8844" priority="696" operator="containsText" text="Sell">
      <formula>NOT(ISERROR(SEARCH("Sell",E146)))</formula>
    </cfRule>
  </conditionalFormatting>
  <conditionalFormatting sqref="E145">
    <cfRule type="containsText" dxfId="8843" priority="693" operator="containsText" text="Buy">
      <formula>NOT(ISERROR(SEARCH("Buy",E145)))</formula>
    </cfRule>
    <cfRule type="containsText" dxfId="8842" priority="694" operator="containsText" text="Sell">
      <formula>NOT(ISERROR(SEARCH("Sell",E145)))</formula>
    </cfRule>
  </conditionalFormatting>
  <conditionalFormatting sqref="E141">
    <cfRule type="containsText" dxfId="8841" priority="691" operator="containsText" text="Buy">
      <formula>NOT(ISERROR(SEARCH("Buy",E141)))</formula>
    </cfRule>
    <cfRule type="containsText" dxfId="8840" priority="692" operator="containsText" text="Sell">
      <formula>NOT(ISERROR(SEARCH("Sell",E141)))</formula>
    </cfRule>
  </conditionalFormatting>
  <conditionalFormatting sqref="E266:E268">
    <cfRule type="containsText" dxfId="8839" priority="689" operator="containsText" text="Buy">
      <formula>NOT(ISERROR(SEARCH("Buy",E266)))</formula>
    </cfRule>
    <cfRule type="containsText" dxfId="8838" priority="690" operator="containsText" text="Sell">
      <formula>NOT(ISERROR(SEARCH("Sell",E266)))</formula>
    </cfRule>
  </conditionalFormatting>
  <conditionalFormatting sqref="E263:E264">
    <cfRule type="containsText" dxfId="8837" priority="687" operator="containsText" text="Buy">
      <formula>NOT(ISERROR(SEARCH("Buy",E263)))</formula>
    </cfRule>
    <cfRule type="containsText" dxfId="8836" priority="688" operator="containsText" text="Sell">
      <formula>NOT(ISERROR(SEARCH("Sell",E263)))</formula>
    </cfRule>
  </conditionalFormatting>
  <conditionalFormatting sqref="E257:E259">
    <cfRule type="containsText" dxfId="8835" priority="685" operator="containsText" text="Buy">
      <formula>NOT(ISERROR(SEARCH("Buy",E257)))</formula>
    </cfRule>
    <cfRule type="containsText" dxfId="8834" priority="686" operator="containsText" text="Sell">
      <formula>NOT(ISERROR(SEARCH("Sell",E257)))</formula>
    </cfRule>
  </conditionalFormatting>
  <conditionalFormatting sqref="E253:E254">
    <cfRule type="containsText" dxfId="8833" priority="683" operator="containsText" text="Buy">
      <formula>NOT(ISERROR(SEARCH("Buy",E253)))</formula>
    </cfRule>
    <cfRule type="containsText" dxfId="8832" priority="684" operator="containsText" text="Sell">
      <formula>NOT(ISERROR(SEARCH("Sell",E253)))</formula>
    </cfRule>
  </conditionalFormatting>
  <conditionalFormatting sqref="E262">
    <cfRule type="containsText" dxfId="8831" priority="681" operator="containsText" text="Buy">
      <formula>NOT(ISERROR(SEARCH("Buy",E262)))</formula>
    </cfRule>
    <cfRule type="containsText" dxfId="8830" priority="682" operator="containsText" text="Sell">
      <formula>NOT(ISERROR(SEARCH("Sell",E262)))</formula>
    </cfRule>
  </conditionalFormatting>
  <conditionalFormatting sqref="E242">
    <cfRule type="containsText" dxfId="8829" priority="679" operator="containsText" text="Buy">
      <formula>NOT(ISERROR(SEARCH("Buy",E242)))</formula>
    </cfRule>
    <cfRule type="containsText" dxfId="8828" priority="680" operator="containsText" text="Sell">
      <formula>NOT(ISERROR(SEARCH("Sell",E242)))</formula>
    </cfRule>
  </conditionalFormatting>
  <conditionalFormatting sqref="E241">
    <cfRule type="containsText" dxfId="8827" priority="677" operator="containsText" text="Buy">
      <formula>NOT(ISERROR(SEARCH("Buy",E241)))</formula>
    </cfRule>
    <cfRule type="containsText" dxfId="8826" priority="678" operator="containsText" text="Sell">
      <formula>NOT(ISERROR(SEARCH("Sell",E241)))</formula>
    </cfRule>
  </conditionalFormatting>
  <conditionalFormatting sqref="E240">
    <cfRule type="containsText" dxfId="8825" priority="675" operator="containsText" text="Buy">
      <formula>NOT(ISERROR(SEARCH("Buy",E240)))</formula>
    </cfRule>
    <cfRule type="containsText" dxfId="8824" priority="676" operator="containsText" text="Sell">
      <formula>NOT(ISERROR(SEARCH("Sell",E240)))</formula>
    </cfRule>
  </conditionalFormatting>
  <conditionalFormatting sqref="E197">
    <cfRule type="containsText" dxfId="8823" priority="671" operator="containsText" text="Buy">
      <formula>NOT(ISERROR(SEARCH("Buy",E197)))</formula>
    </cfRule>
    <cfRule type="containsText" dxfId="8822" priority="672" operator="containsText" text="Sell">
      <formula>NOT(ISERROR(SEARCH("Sell",E197)))</formula>
    </cfRule>
  </conditionalFormatting>
  <conditionalFormatting sqref="E216">
    <cfRule type="containsText" dxfId="8821" priority="669" operator="containsText" text="Buy">
      <formula>NOT(ISERROR(SEARCH("Buy",E216)))</formula>
    </cfRule>
    <cfRule type="containsText" dxfId="8820" priority="670" operator="containsText" text="Sell">
      <formula>NOT(ISERROR(SEARCH("Sell",E216)))</formula>
    </cfRule>
  </conditionalFormatting>
  <conditionalFormatting sqref="E110:E111">
    <cfRule type="containsText" dxfId="8819" priority="665" operator="containsText" text="Buy">
      <formula>NOT(ISERROR(SEARCH("Buy",E110)))</formula>
    </cfRule>
    <cfRule type="containsText" dxfId="8818" priority="666" operator="containsText" text="Sell">
      <formula>NOT(ISERROR(SEARCH("Sell",E110)))</formula>
    </cfRule>
  </conditionalFormatting>
  <conditionalFormatting sqref="E239">
    <cfRule type="containsText" dxfId="8817" priority="661" operator="containsText" text="Buy">
      <formula>NOT(ISERROR(SEARCH("Buy",E239)))</formula>
    </cfRule>
    <cfRule type="containsText" dxfId="8816" priority="662" operator="containsText" text="Sell">
      <formula>NOT(ISERROR(SEARCH("Sell",E239)))</formula>
    </cfRule>
  </conditionalFormatting>
  <conditionalFormatting sqref="E149">
    <cfRule type="containsText" dxfId="8815" priority="663" operator="containsText" text="Buy">
      <formula>NOT(ISERROR(SEARCH("Buy",E149)))</formula>
    </cfRule>
    <cfRule type="containsText" dxfId="8814" priority="664" operator="containsText" text="Sell">
      <formula>NOT(ISERROR(SEARCH("Sell",E149)))</formula>
    </cfRule>
  </conditionalFormatting>
  <conditionalFormatting sqref="E238">
    <cfRule type="containsText" dxfId="8813" priority="659" operator="containsText" text="Buy">
      <formula>NOT(ISERROR(SEARCH("Buy",E238)))</formula>
    </cfRule>
    <cfRule type="containsText" dxfId="8812" priority="660" operator="containsText" text="Sell">
      <formula>NOT(ISERROR(SEARCH("Sell",E238)))</formula>
    </cfRule>
  </conditionalFormatting>
  <conditionalFormatting sqref="E237">
    <cfRule type="containsText" dxfId="8811" priority="657" operator="containsText" text="Buy">
      <formula>NOT(ISERROR(SEARCH("Buy",E237)))</formula>
    </cfRule>
    <cfRule type="containsText" dxfId="8810" priority="658" operator="containsText" text="Sell">
      <formula>NOT(ISERROR(SEARCH("Sell",E237)))</formula>
    </cfRule>
  </conditionalFormatting>
  <conditionalFormatting sqref="E236">
    <cfRule type="containsText" dxfId="8809" priority="655" operator="containsText" text="Buy">
      <formula>NOT(ISERROR(SEARCH("Buy",E236)))</formula>
    </cfRule>
    <cfRule type="containsText" dxfId="8808" priority="656" operator="containsText" text="Sell">
      <formula>NOT(ISERROR(SEARCH("Sell",E236)))</formula>
    </cfRule>
  </conditionalFormatting>
  <conditionalFormatting sqref="E235">
    <cfRule type="containsText" dxfId="8807" priority="653" operator="containsText" text="Buy">
      <formula>NOT(ISERROR(SEARCH("Buy",E235)))</formula>
    </cfRule>
    <cfRule type="containsText" dxfId="8806" priority="654" operator="containsText" text="Sell">
      <formula>NOT(ISERROR(SEARCH("Sell",E235)))</formula>
    </cfRule>
  </conditionalFormatting>
  <conditionalFormatting sqref="E115:E117 E128">
    <cfRule type="containsText" dxfId="8805" priority="651" operator="containsText" text="Buy">
      <formula>NOT(ISERROR(SEARCH("Buy",E115)))</formula>
    </cfRule>
    <cfRule type="containsText" dxfId="8804" priority="652" operator="containsText" text="Sell">
      <formula>NOT(ISERROR(SEARCH("Sell",E115)))</formula>
    </cfRule>
  </conditionalFormatting>
  <conditionalFormatting sqref="E105:E106">
    <cfRule type="containsText" dxfId="8803" priority="649" operator="containsText" text="Buy">
      <formula>NOT(ISERROR(SEARCH("Buy",E105)))</formula>
    </cfRule>
    <cfRule type="containsText" dxfId="8802" priority="650" operator="containsText" text="Sell">
      <formula>NOT(ISERROR(SEARCH("Sell",E105)))</formula>
    </cfRule>
  </conditionalFormatting>
  <conditionalFormatting sqref="E99:E100">
    <cfRule type="containsText" dxfId="8801" priority="647" operator="containsText" text="Buy">
      <formula>NOT(ISERROR(SEARCH("Buy",E99)))</formula>
    </cfRule>
    <cfRule type="containsText" dxfId="8800" priority="648" operator="containsText" text="Sell">
      <formula>NOT(ISERROR(SEARCH("Sell",E99)))</formula>
    </cfRule>
  </conditionalFormatting>
  <conditionalFormatting sqref="E126:E127">
    <cfRule type="containsText" dxfId="8799" priority="645" operator="containsText" text="Buy">
      <formula>NOT(ISERROR(SEARCH("Buy",E126)))</formula>
    </cfRule>
    <cfRule type="containsText" dxfId="8798" priority="646" operator="containsText" text="Sell">
      <formula>NOT(ISERROR(SEARCH("Sell",E126)))</formula>
    </cfRule>
  </conditionalFormatting>
  <conditionalFormatting sqref="E125">
    <cfRule type="containsText" dxfId="8797" priority="643" operator="containsText" text="Buy">
      <formula>NOT(ISERROR(SEARCH("Buy",E125)))</formula>
    </cfRule>
    <cfRule type="containsText" dxfId="8796" priority="644" operator="containsText" text="Sell">
      <formula>NOT(ISERROR(SEARCH("Sell",E125)))</formula>
    </cfRule>
  </conditionalFormatting>
  <conditionalFormatting sqref="E208">
    <cfRule type="containsText" dxfId="8795" priority="641" operator="containsText" text="Buy">
      <formula>NOT(ISERROR(SEARCH("Buy",E208)))</formula>
    </cfRule>
    <cfRule type="containsText" dxfId="8794" priority="642" operator="containsText" text="Sell">
      <formula>NOT(ISERROR(SEARCH("Sell",E208)))</formula>
    </cfRule>
  </conditionalFormatting>
  <conditionalFormatting sqref="E207">
    <cfRule type="containsText" dxfId="8793" priority="639" operator="containsText" text="Buy">
      <formula>NOT(ISERROR(SEARCH("Buy",E207)))</formula>
    </cfRule>
    <cfRule type="containsText" dxfId="8792" priority="640" operator="containsText" text="Sell">
      <formula>NOT(ISERROR(SEARCH("Sell",E207)))</formula>
    </cfRule>
  </conditionalFormatting>
  <conditionalFormatting sqref="E96:E97">
    <cfRule type="containsText" dxfId="8791" priority="637" operator="containsText" text="Buy">
      <formula>NOT(ISERROR(SEARCH("Buy",E96)))</formula>
    </cfRule>
    <cfRule type="containsText" dxfId="8790" priority="638" operator="containsText" text="Sell">
      <formula>NOT(ISERROR(SEARCH("Sell",E96)))</formula>
    </cfRule>
  </conditionalFormatting>
  <conditionalFormatting sqref="E95">
    <cfRule type="containsText" dxfId="8789" priority="635" operator="containsText" text="Buy">
      <formula>NOT(ISERROR(SEARCH("Buy",E95)))</formula>
    </cfRule>
    <cfRule type="containsText" dxfId="8788" priority="636" operator="containsText" text="Sell">
      <formula>NOT(ISERROR(SEARCH("Sell",E95)))</formula>
    </cfRule>
  </conditionalFormatting>
  <conditionalFormatting sqref="E94">
    <cfRule type="containsText" dxfId="8787" priority="633" operator="containsText" text="Buy">
      <formula>NOT(ISERROR(SEARCH("Buy",E94)))</formula>
    </cfRule>
    <cfRule type="containsText" dxfId="8786" priority="634" operator="containsText" text="Sell">
      <formula>NOT(ISERROR(SEARCH("Sell",E94)))</formula>
    </cfRule>
  </conditionalFormatting>
  <conditionalFormatting sqref="E91">
    <cfRule type="containsText" dxfId="8785" priority="631" operator="containsText" text="Buy">
      <formula>NOT(ISERROR(SEARCH("Buy",E91)))</formula>
    </cfRule>
    <cfRule type="containsText" dxfId="8784" priority="632" operator="containsText" text="Sell">
      <formula>NOT(ISERROR(SEARCH("Sell",E91)))</formula>
    </cfRule>
  </conditionalFormatting>
  <conditionalFormatting sqref="E90">
    <cfRule type="containsText" dxfId="8783" priority="629" operator="containsText" text="Buy">
      <formula>NOT(ISERROR(SEARCH("Buy",E90)))</formula>
    </cfRule>
    <cfRule type="containsText" dxfId="8782" priority="630" operator="containsText" text="Sell">
      <formula>NOT(ISERROR(SEARCH("Sell",E90)))</formula>
    </cfRule>
  </conditionalFormatting>
  <conditionalFormatting sqref="E87">
    <cfRule type="containsText" dxfId="8781" priority="627" operator="containsText" text="Buy">
      <formula>NOT(ISERROR(SEARCH("Buy",E87)))</formula>
    </cfRule>
    <cfRule type="containsText" dxfId="8780" priority="628" operator="containsText" text="Sell">
      <formula>NOT(ISERROR(SEARCH("Sell",E87)))</formula>
    </cfRule>
  </conditionalFormatting>
  <conditionalFormatting sqref="E86">
    <cfRule type="containsText" dxfId="8779" priority="625" operator="containsText" text="Buy">
      <formula>NOT(ISERROR(SEARCH("Buy",E86)))</formula>
    </cfRule>
    <cfRule type="containsText" dxfId="8778" priority="626" operator="containsText" text="Sell">
      <formula>NOT(ISERROR(SEARCH("Sell",E86)))</formula>
    </cfRule>
  </conditionalFormatting>
  <conditionalFormatting sqref="E85">
    <cfRule type="containsText" dxfId="8777" priority="623" operator="containsText" text="Buy">
      <formula>NOT(ISERROR(SEARCH("Buy",E85)))</formula>
    </cfRule>
    <cfRule type="containsText" dxfId="8776" priority="624" operator="containsText" text="Sell">
      <formula>NOT(ISERROR(SEARCH("Sell",E85)))</formula>
    </cfRule>
  </conditionalFormatting>
  <conditionalFormatting sqref="E83:E84">
    <cfRule type="containsText" dxfId="8775" priority="621" operator="containsText" text="Buy">
      <formula>NOT(ISERROR(SEARCH("Buy",E83)))</formula>
    </cfRule>
    <cfRule type="containsText" dxfId="8774" priority="622" operator="containsText" text="Sell">
      <formula>NOT(ISERROR(SEARCH("Sell",E83)))</formula>
    </cfRule>
  </conditionalFormatting>
  <conditionalFormatting sqref="E80 E76:E77">
    <cfRule type="containsText" dxfId="8773" priority="619" operator="containsText" text="Buy">
      <formula>NOT(ISERROR(SEARCH("Buy",E76)))</formula>
    </cfRule>
    <cfRule type="containsText" dxfId="8772" priority="620" operator="containsText" text="Sell">
      <formula>NOT(ISERROR(SEARCH("Sell",E76)))</formula>
    </cfRule>
  </conditionalFormatting>
  <conditionalFormatting sqref="E72">
    <cfRule type="containsText" dxfId="8771" priority="617" operator="containsText" text="Buy">
      <formula>NOT(ISERROR(SEARCH("Buy",E72)))</formula>
    </cfRule>
    <cfRule type="containsText" dxfId="8770" priority="618" operator="containsText" text="Sell">
      <formula>NOT(ISERROR(SEARCH("Sell",E72)))</formula>
    </cfRule>
  </conditionalFormatting>
  <conditionalFormatting sqref="E71">
    <cfRule type="containsText" dxfId="8769" priority="615" operator="containsText" text="Buy">
      <formula>NOT(ISERROR(SEARCH("Buy",E71)))</formula>
    </cfRule>
    <cfRule type="containsText" dxfId="8768" priority="616" operator="containsText" text="Sell">
      <formula>NOT(ISERROR(SEARCH("Sell",E71)))</formula>
    </cfRule>
  </conditionalFormatting>
  <conditionalFormatting sqref="E79">
    <cfRule type="containsText" dxfId="8767" priority="611" operator="containsText" text="Buy">
      <formula>NOT(ISERROR(SEARCH("Buy",E79)))</formula>
    </cfRule>
    <cfRule type="containsText" dxfId="8766" priority="612" operator="containsText" text="Sell">
      <formula>NOT(ISERROR(SEARCH("Sell",E79)))</formula>
    </cfRule>
  </conditionalFormatting>
  <conditionalFormatting sqref="E78">
    <cfRule type="containsText" dxfId="8765" priority="609" operator="containsText" text="Buy">
      <formula>NOT(ISERROR(SEARCH("Buy",E78)))</formula>
    </cfRule>
    <cfRule type="containsText" dxfId="8764" priority="610" operator="containsText" text="Sell">
      <formula>NOT(ISERROR(SEARCH("Sell",E78)))</formula>
    </cfRule>
  </conditionalFormatting>
  <conditionalFormatting sqref="E212">
    <cfRule type="containsText" dxfId="8763" priority="607" operator="containsText" text="Buy">
      <formula>NOT(ISERROR(SEARCH("Buy",E212)))</formula>
    </cfRule>
    <cfRule type="containsText" dxfId="8762" priority="608" operator="containsText" text="Sell">
      <formula>NOT(ISERROR(SEARCH("Sell",E212)))</formula>
    </cfRule>
  </conditionalFormatting>
  <conditionalFormatting sqref="E133">
    <cfRule type="containsText" dxfId="8761" priority="605" operator="containsText" text="Buy">
      <formula>NOT(ISERROR(SEARCH("Buy",E133)))</formula>
    </cfRule>
    <cfRule type="containsText" dxfId="8760" priority="606" operator="containsText" text="Sell">
      <formula>NOT(ISERROR(SEARCH("Sell",E133)))</formula>
    </cfRule>
  </conditionalFormatting>
  <conditionalFormatting sqref="E180">
    <cfRule type="containsText" dxfId="8759" priority="603" operator="containsText" text="Buy">
      <formula>NOT(ISERROR(SEARCH("Buy",E180)))</formula>
    </cfRule>
    <cfRule type="containsText" dxfId="8758" priority="604" operator="containsText" text="Sell">
      <formula>NOT(ISERROR(SEARCH("Sell",E180)))</formula>
    </cfRule>
  </conditionalFormatting>
  <conditionalFormatting sqref="E75">
    <cfRule type="containsText" dxfId="8757" priority="601" operator="containsText" text="Buy">
      <formula>NOT(ISERROR(SEARCH("Buy",E75)))</formula>
    </cfRule>
    <cfRule type="containsText" dxfId="8756" priority="602" operator="containsText" text="Sell">
      <formula>NOT(ISERROR(SEARCH("Sell",E75)))</formula>
    </cfRule>
  </conditionalFormatting>
  <conditionalFormatting sqref="E65">
    <cfRule type="containsText" dxfId="8755" priority="599" operator="containsText" text="Buy">
      <formula>NOT(ISERROR(SEARCH("Buy",E65)))</formula>
    </cfRule>
    <cfRule type="containsText" dxfId="8754" priority="600" operator="containsText" text="Sell">
      <formula>NOT(ISERROR(SEARCH("Sell",E65)))</formula>
    </cfRule>
  </conditionalFormatting>
  <conditionalFormatting sqref="E179">
    <cfRule type="containsText" dxfId="8753" priority="597" operator="containsText" text="Buy">
      <formula>NOT(ISERROR(SEARCH("Buy",E179)))</formula>
    </cfRule>
    <cfRule type="containsText" dxfId="8752" priority="598" operator="containsText" text="Sell">
      <formula>NOT(ISERROR(SEARCH("Sell",E179)))</formula>
    </cfRule>
  </conditionalFormatting>
  <conditionalFormatting sqref="E178">
    <cfRule type="containsText" dxfId="8751" priority="595" operator="containsText" text="Buy">
      <formula>NOT(ISERROR(SEARCH("Buy",E178)))</formula>
    </cfRule>
    <cfRule type="containsText" dxfId="8750" priority="596" operator="containsText" text="Sell">
      <formula>NOT(ISERROR(SEARCH("Sell",E178)))</formula>
    </cfRule>
  </conditionalFormatting>
  <conditionalFormatting sqref="E249:E251">
    <cfRule type="containsText" dxfId="8749" priority="591" operator="containsText" text="Buy">
      <formula>NOT(ISERROR(SEARCH("Buy",E249)))</formula>
    </cfRule>
    <cfRule type="containsText" dxfId="8748" priority="592" operator="containsText" text="Sell">
      <formula>NOT(ISERROR(SEARCH("Sell",E249)))</formula>
    </cfRule>
  </conditionalFormatting>
  <conditionalFormatting sqref="E234">
    <cfRule type="containsText" dxfId="8747" priority="589" operator="containsText" text="Buy">
      <formula>NOT(ISERROR(SEARCH("Buy",E234)))</formula>
    </cfRule>
    <cfRule type="containsText" dxfId="8746" priority="590" operator="containsText" text="Sell">
      <formula>NOT(ISERROR(SEARCH("Sell",E234)))</formula>
    </cfRule>
  </conditionalFormatting>
  <conditionalFormatting sqref="E233">
    <cfRule type="containsText" dxfId="8745" priority="587" operator="containsText" text="Buy">
      <formula>NOT(ISERROR(SEARCH("Buy",E233)))</formula>
    </cfRule>
    <cfRule type="containsText" dxfId="8744" priority="588" operator="containsText" text="Sell">
      <formula>NOT(ISERROR(SEARCH("Sell",E233)))</formula>
    </cfRule>
  </conditionalFormatting>
  <conditionalFormatting sqref="E70">
    <cfRule type="containsText" dxfId="8743" priority="585" operator="containsText" text="Buy">
      <formula>NOT(ISERROR(SEARCH("Buy",E70)))</formula>
    </cfRule>
    <cfRule type="containsText" dxfId="8742" priority="586" operator="containsText" text="Sell">
      <formula>NOT(ISERROR(SEARCH("Sell",E70)))</formula>
    </cfRule>
  </conditionalFormatting>
  <conditionalFormatting sqref="E199">
    <cfRule type="containsText" dxfId="8741" priority="583" operator="containsText" text="Buy">
      <formula>NOT(ISERROR(SEARCH("Buy",E199)))</formula>
    </cfRule>
    <cfRule type="containsText" dxfId="8740" priority="584" operator="containsText" text="Sell">
      <formula>NOT(ISERROR(SEARCH("Sell",E199)))</formula>
    </cfRule>
  </conditionalFormatting>
  <conditionalFormatting sqref="E196">
    <cfRule type="containsText" dxfId="8739" priority="581" operator="containsText" text="Buy">
      <formula>NOT(ISERROR(SEARCH("Buy",E196)))</formula>
    </cfRule>
    <cfRule type="containsText" dxfId="8738" priority="582" operator="containsText" text="Sell">
      <formula>NOT(ISERROR(SEARCH("Sell",E196)))</formula>
    </cfRule>
  </conditionalFormatting>
  <conditionalFormatting sqref="E61:E62">
    <cfRule type="containsText" dxfId="8737" priority="579" operator="containsText" text="Buy">
      <formula>NOT(ISERROR(SEARCH("Buy",E61)))</formula>
    </cfRule>
    <cfRule type="containsText" dxfId="8736" priority="580" operator="containsText" text="Sell">
      <formula>NOT(ISERROR(SEARCH("Sell",E61)))</formula>
    </cfRule>
  </conditionalFormatting>
  <conditionalFormatting sqref="E58:E59">
    <cfRule type="containsText" dxfId="8735" priority="577" operator="containsText" text="Buy">
      <formula>NOT(ISERROR(SEARCH("Buy",E58)))</formula>
    </cfRule>
    <cfRule type="containsText" dxfId="8734" priority="578" operator="containsText" text="Sell">
      <formula>NOT(ISERROR(SEARCH("Sell",E58)))</formula>
    </cfRule>
  </conditionalFormatting>
  <conditionalFormatting sqref="E232">
    <cfRule type="containsText" dxfId="8733" priority="575" operator="containsText" text="Buy">
      <formula>NOT(ISERROR(SEARCH("Buy",E232)))</formula>
    </cfRule>
    <cfRule type="containsText" dxfId="8732" priority="576" operator="containsText" text="Sell">
      <formula>NOT(ISERROR(SEARCH("Sell",E232)))</formula>
    </cfRule>
  </conditionalFormatting>
  <conditionalFormatting sqref="E55:E56">
    <cfRule type="containsText" dxfId="8731" priority="573" operator="containsText" text="Buy">
      <formula>NOT(ISERROR(SEARCH("Buy",E55)))</formula>
    </cfRule>
    <cfRule type="containsText" dxfId="8730" priority="574" operator="containsText" text="Sell">
      <formula>NOT(ISERROR(SEARCH("Sell",E55)))</formula>
    </cfRule>
  </conditionalFormatting>
  <conditionalFormatting sqref="E52:E53">
    <cfRule type="containsText" dxfId="8729" priority="571" operator="containsText" text="Buy">
      <formula>NOT(ISERROR(SEARCH("Buy",E52)))</formula>
    </cfRule>
    <cfRule type="containsText" dxfId="8728" priority="572" operator="containsText" text="Sell">
      <formula>NOT(ISERROR(SEARCH("Sell",E52)))</formula>
    </cfRule>
  </conditionalFormatting>
  <conditionalFormatting sqref="E124">
    <cfRule type="containsText" dxfId="8727" priority="569" operator="containsText" text="Buy">
      <formula>NOT(ISERROR(SEARCH("Buy",E124)))</formula>
    </cfRule>
    <cfRule type="containsText" dxfId="8726" priority="570" operator="containsText" text="Sell">
      <formula>NOT(ISERROR(SEARCH("Sell",E124)))</formula>
    </cfRule>
  </conditionalFormatting>
  <conditionalFormatting sqref="E50">
    <cfRule type="containsText" dxfId="8725" priority="567" operator="containsText" text="Buy">
      <formula>NOT(ISERROR(SEARCH("Buy",E50)))</formula>
    </cfRule>
    <cfRule type="containsText" dxfId="8724" priority="568" operator="containsText" text="Sell">
      <formula>NOT(ISERROR(SEARCH("Sell",E50)))</formula>
    </cfRule>
  </conditionalFormatting>
  <conditionalFormatting sqref="E49">
    <cfRule type="containsText" dxfId="8723" priority="565" operator="containsText" text="Buy">
      <formula>NOT(ISERROR(SEARCH("Buy",E49)))</formula>
    </cfRule>
    <cfRule type="containsText" dxfId="8722" priority="566" operator="containsText" text="Sell">
      <formula>NOT(ISERROR(SEARCH("Sell",E49)))</formula>
    </cfRule>
  </conditionalFormatting>
  <conditionalFormatting sqref="E261">
    <cfRule type="containsText" dxfId="8721" priority="563" operator="containsText" text="Buy">
      <formula>NOT(ISERROR(SEARCH("Buy",E261)))</formula>
    </cfRule>
    <cfRule type="containsText" dxfId="8720" priority="564" operator="containsText" text="Sell">
      <formula>NOT(ISERROR(SEARCH("Sell",E261)))</formula>
    </cfRule>
  </conditionalFormatting>
  <conditionalFormatting sqref="E278">
    <cfRule type="containsText" dxfId="8719" priority="561" operator="containsText" text="Buy">
      <formula>NOT(ISERROR(SEARCH("Buy",E278)))</formula>
    </cfRule>
    <cfRule type="containsText" dxfId="8718" priority="562" operator="containsText" text="Sell">
      <formula>NOT(ISERROR(SEARCH("Sell",E278)))</formula>
    </cfRule>
  </conditionalFormatting>
  <conditionalFormatting sqref="E252">
    <cfRule type="containsText" dxfId="8717" priority="557" operator="containsText" text="Buy">
      <formula>NOT(ISERROR(SEARCH("Buy",E252)))</formula>
    </cfRule>
    <cfRule type="containsText" dxfId="8716" priority="558" operator="containsText" text="Sell">
      <formula>NOT(ISERROR(SEARCH("Sell",E252)))</formula>
    </cfRule>
  </conditionalFormatting>
  <conditionalFormatting sqref="E256">
    <cfRule type="containsText" dxfId="8715" priority="559" operator="containsText" text="Buy">
      <formula>NOT(ISERROR(SEARCH("Buy",E256)))</formula>
    </cfRule>
    <cfRule type="containsText" dxfId="8714" priority="560" operator="containsText" text="Sell">
      <formula>NOT(ISERROR(SEARCH("Sell",E256)))</formula>
    </cfRule>
  </conditionalFormatting>
  <conditionalFormatting sqref="E37 E31 E28">
    <cfRule type="containsText" dxfId="8713" priority="555" operator="containsText" text="Buy">
      <formula>NOT(ISERROR(SEARCH("Buy",E28)))</formula>
    </cfRule>
    <cfRule type="containsText" dxfId="8712" priority="556" operator="containsText" text="Sell">
      <formula>NOT(ISERROR(SEARCH("Sell",E28)))</formula>
    </cfRule>
  </conditionalFormatting>
  <conditionalFormatting sqref="E123">
    <cfRule type="containsText" dxfId="8711" priority="553" operator="containsText" text="Buy">
      <formula>NOT(ISERROR(SEARCH("Buy",E123)))</formula>
    </cfRule>
    <cfRule type="containsText" dxfId="8710" priority="554" operator="containsText" text="Sell">
      <formula>NOT(ISERROR(SEARCH("Sell",E123)))</formula>
    </cfRule>
  </conditionalFormatting>
  <conditionalFormatting sqref="E177">
    <cfRule type="containsText" dxfId="8709" priority="551" operator="containsText" text="Buy">
      <formula>NOT(ISERROR(SEARCH("Buy",E177)))</formula>
    </cfRule>
    <cfRule type="containsText" dxfId="8708" priority="552" operator="containsText" text="Sell">
      <formula>NOT(ISERROR(SEARCH("Sell",E177)))</formula>
    </cfRule>
  </conditionalFormatting>
  <conditionalFormatting sqref="E132">
    <cfRule type="containsText" dxfId="8707" priority="549" operator="containsText" text="Buy">
      <formula>NOT(ISERROR(SEARCH("Buy",E132)))</formula>
    </cfRule>
    <cfRule type="containsText" dxfId="8706" priority="550" operator="containsText" text="Sell">
      <formula>NOT(ISERROR(SEARCH("Sell",E132)))</formula>
    </cfRule>
  </conditionalFormatting>
  <conditionalFormatting sqref="E67">
    <cfRule type="containsText" dxfId="8705" priority="547" operator="containsText" text="Buy">
      <formula>NOT(ISERROR(SEARCH("Buy",E67)))</formula>
    </cfRule>
    <cfRule type="containsText" dxfId="8704" priority="548" operator="containsText" text="Sell">
      <formula>NOT(ISERROR(SEARCH("Sell",E67)))</formula>
    </cfRule>
  </conditionalFormatting>
  <conditionalFormatting sqref="E122">
    <cfRule type="containsText" dxfId="8703" priority="539" operator="containsText" text="Buy">
      <formula>NOT(ISERROR(SEARCH("Buy",E122)))</formula>
    </cfRule>
    <cfRule type="containsText" dxfId="8702" priority="540" operator="containsText" text="Sell">
      <formula>NOT(ISERROR(SEARCH("Sell",E122)))</formula>
    </cfRule>
  </conditionalFormatting>
  <conditionalFormatting sqref="E223">
    <cfRule type="containsText" dxfId="8701" priority="543" operator="containsText" text="Buy">
      <formula>NOT(ISERROR(SEARCH("Buy",E223)))</formula>
    </cfRule>
    <cfRule type="containsText" dxfId="8700" priority="544" operator="containsText" text="Sell">
      <formula>NOT(ISERROR(SEARCH("Sell",E223)))</formula>
    </cfRule>
  </conditionalFormatting>
  <conditionalFormatting sqref="E162">
    <cfRule type="containsText" dxfId="8699" priority="531" operator="containsText" text="Buy">
      <formula>NOT(ISERROR(SEARCH("Buy",E162)))</formula>
    </cfRule>
    <cfRule type="containsText" dxfId="8698" priority="532" operator="containsText" text="Sell">
      <formula>NOT(ISERROR(SEARCH("Sell",E162)))</formula>
    </cfRule>
  </conditionalFormatting>
  <conditionalFormatting sqref="E277">
    <cfRule type="containsText" dxfId="8697" priority="541" operator="containsText" text="Buy">
      <formula>NOT(ISERROR(SEARCH("Buy",E277)))</formula>
    </cfRule>
    <cfRule type="containsText" dxfId="8696" priority="542" operator="containsText" text="Sell">
      <formula>NOT(ISERROR(SEARCH("Sell",E277)))</formula>
    </cfRule>
  </conditionalFormatting>
  <conditionalFormatting sqref="E195">
    <cfRule type="containsText" dxfId="8695" priority="537" operator="containsText" text="Buy">
      <formula>NOT(ISERROR(SEARCH("Buy",E195)))</formula>
    </cfRule>
    <cfRule type="containsText" dxfId="8694" priority="538" operator="containsText" text="Sell">
      <formula>NOT(ISERROR(SEARCH("Sell",E195)))</formula>
    </cfRule>
  </conditionalFormatting>
  <conditionalFormatting sqref="E34">
    <cfRule type="containsText" dxfId="8693" priority="533" operator="containsText" text="Buy">
      <formula>NOT(ISERROR(SEARCH("Buy",E34)))</formula>
    </cfRule>
    <cfRule type="containsText" dxfId="8692" priority="534" operator="containsText" text="Sell">
      <formula>NOT(ISERROR(SEARCH("Sell",E34)))</formula>
    </cfRule>
  </conditionalFormatting>
  <conditionalFormatting sqref="E272">
    <cfRule type="containsText" dxfId="8691" priority="535" operator="containsText" text="Buy">
      <formula>NOT(ISERROR(SEARCH("Buy",E272)))</formula>
    </cfRule>
    <cfRule type="containsText" dxfId="8690" priority="536" operator="containsText" text="Sell">
      <formula>NOT(ISERROR(SEARCH("Sell",E272)))</formula>
    </cfRule>
  </conditionalFormatting>
  <conditionalFormatting sqref="E194">
    <cfRule type="containsText" dxfId="8689" priority="521" operator="containsText" text="Buy">
      <formula>NOT(ISERROR(SEARCH("Buy",E194)))</formula>
    </cfRule>
    <cfRule type="containsText" dxfId="8688" priority="522" operator="containsText" text="Sell">
      <formula>NOT(ISERROR(SEARCH("Sell",E194)))</formula>
    </cfRule>
  </conditionalFormatting>
  <conditionalFormatting sqref="E276">
    <cfRule type="containsText" dxfId="8687" priority="529" operator="containsText" text="Buy">
      <formula>NOT(ISERROR(SEARCH("Buy",E276)))</formula>
    </cfRule>
    <cfRule type="containsText" dxfId="8686" priority="530" operator="containsText" text="Sell">
      <formula>NOT(ISERROR(SEARCH("Sell",E276)))</formula>
    </cfRule>
  </conditionalFormatting>
  <conditionalFormatting sqref="E260">
    <cfRule type="containsText" dxfId="8685" priority="527" operator="containsText" text="Buy">
      <formula>NOT(ISERROR(SEARCH("Buy",E260)))</formula>
    </cfRule>
    <cfRule type="containsText" dxfId="8684" priority="528" operator="containsText" text="Sell">
      <formula>NOT(ISERROR(SEARCH("Sell",E260)))</formula>
    </cfRule>
  </conditionalFormatting>
  <conditionalFormatting sqref="E152">
    <cfRule type="containsText" dxfId="8683" priority="517" operator="containsText" text="Buy">
      <formula>NOT(ISERROR(SEARCH("Buy",E152)))</formula>
    </cfRule>
    <cfRule type="containsText" dxfId="8682" priority="518" operator="containsText" text="Sell">
      <formula>NOT(ISERROR(SEARCH("Sell",E152)))</formula>
    </cfRule>
  </conditionalFormatting>
  <conditionalFormatting sqref="E82">
    <cfRule type="containsText" dxfId="8681" priority="515" operator="containsText" text="Buy">
      <formula>NOT(ISERROR(SEARCH("Buy",E82)))</formula>
    </cfRule>
    <cfRule type="containsText" dxfId="8680" priority="516" operator="containsText" text="Sell">
      <formula>NOT(ISERROR(SEARCH("Sell",E82)))</formula>
    </cfRule>
  </conditionalFormatting>
  <conditionalFormatting sqref="E222">
    <cfRule type="containsText" dxfId="8679" priority="523" operator="containsText" text="Buy">
      <formula>NOT(ISERROR(SEARCH("Buy",E222)))</formula>
    </cfRule>
    <cfRule type="containsText" dxfId="8678" priority="524" operator="containsText" text="Sell">
      <formula>NOT(ISERROR(SEARCH("Sell",E222)))</formula>
    </cfRule>
  </conditionalFormatting>
  <conditionalFormatting sqref="E193">
    <cfRule type="containsText" dxfId="8677" priority="519" operator="containsText" text="Buy">
      <formula>NOT(ISERROR(SEARCH("Buy",E193)))</formula>
    </cfRule>
    <cfRule type="containsText" dxfId="8676" priority="520" operator="containsText" text="Sell">
      <formula>NOT(ISERROR(SEARCH("Sell",E193)))</formula>
    </cfRule>
  </conditionalFormatting>
  <conditionalFormatting sqref="E114">
    <cfRule type="containsText" dxfId="8675" priority="485" operator="containsText" text="Buy">
      <formula>NOT(ISERROR(SEARCH("Buy",E114)))</formula>
    </cfRule>
    <cfRule type="containsText" dxfId="8674" priority="486" operator="containsText" text="Sell">
      <formula>NOT(ISERROR(SEARCH("Sell",E114)))</formula>
    </cfRule>
  </conditionalFormatting>
  <conditionalFormatting sqref="E64">
    <cfRule type="containsText" dxfId="8673" priority="503" operator="containsText" text="Buy">
      <formula>NOT(ISERROR(SEARCH("Buy",E64)))</formula>
    </cfRule>
    <cfRule type="containsText" dxfId="8672" priority="504" operator="containsText" text="Sell">
      <formula>NOT(ISERROR(SEARCH("Sell",E64)))</formula>
    </cfRule>
  </conditionalFormatting>
  <conditionalFormatting sqref="E142:E144">
    <cfRule type="containsText" dxfId="8671" priority="491" operator="containsText" text="Buy">
      <formula>NOT(ISERROR(SEARCH("Buy",E142)))</formula>
    </cfRule>
    <cfRule type="containsText" dxfId="8670" priority="492" operator="containsText" text="Sell">
      <formula>NOT(ISERROR(SEARCH("Sell",E142)))</formula>
    </cfRule>
  </conditionalFormatting>
  <conditionalFormatting sqref="E102">
    <cfRule type="containsText" dxfId="8669" priority="473" operator="containsText" text="Buy">
      <formula>NOT(ISERROR(SEARCH("Buy",E102)))</formula>
    </cfRule>
    <cfRule type="containsText" dxfId="8668" priority="474" operator="containsText" text="Sell">
      <formula>NOT(ISERROR(SEARCH("Sell",E102)))</formula>
    </cfRule>
  </conditionalFormatting>
  <conditionalFormatting sqref="E120">
    <cfRule type="containsText" dxfId="8667" priority="487" operator="containsText" text="Buy">
      <formula>NOT(ISERROR(SEARCH("Buy",E120)))</formula>
    </cfRule>
    <cfRule type="containsText" dxfId="8666" priority="488" operator="containsText" text="Sell">
      <formula>NOT(ISERROR(SEARCH("Sell",E120)))</formula>
    </cfRule>
  </conditionalFormatting>
  <conditionalFormatting sqref="E226">
    <cfRule type="containsText" dxfId="8665" priority="469" operator="containsText" text="Buy">
      <formula>NOT(ISERROR(SEARCH("Buy",E226)))</formula>
    </cfRule>
    <cfRule type="containsText" dxfId="8664" priority="470" operator="containsText" text="Sell">
      <formula>NOT(ISERROR(SEARCH("Sell",E226)))</formula>
    </cfRule>
  </conditionalFormatting>
  <conditionalFormatting sqref="E229">
    <cfRule type="containsText" dxfId="8663" priority="501" operator="containsText" text="Buy">
      <formula>NOT(ISERROR(SEARCH("Buy",E229)))</formula>
    </cfRule>
    <cfRule type="containsText" dxfId="8662" priority="502" operator="containsText" text="Sell">
      <formula>NOT(ISERROR(SEARCH("Sell",E229)))</formula>
    </cfRule>
  </conditionalFormatting>
  <conditionalFormatting sqref="E227">
    <cfRule type="containsText" dxfId="8661" priority="475" operator="containsText" text="Buy">
      <formula>NOT(ISERROR(SEARCH("Buy",E227)))</formula>
    </cfRule>
    <cfRule type="containsText" dxfId="8660" priority="476" operator="containsText" text="Sell">
      <formula>NOT(ISERROR(SEARCH("Sell",E227)))</formula>
    </cfRule>
  </conditionalFormatting>
  <conditionalFormatting sqref="E46">
    <cfRule type="containsText" dxfId="8659" priority="495" operator="containsText" text="Buy">
      <formula>NOT(ISERROR(SEARCH("Buy",E46)))</formula>
    </cfRule>
    <cfRule type="containsText" dxfId="8658" priority="496" operator="containsText" text="Sell">
      <formula>NOT(ISERROR(SEARCH("Sell",E46)))</formula>
    </cfRule>
  </conditionalFormatting>
  <conditionalFormatting sqref="E68:E69">
    <cfRule type="containsText" dxfId="8657" priority="493" operator="containsText" text="Buy">
      <formula>NOT(ISERROR(SEARCH("Buy",E68)))</formula>
    </cfRule>
    <cfRule type="containsText" dxfId="8656" priority="494" operator="containsText" text="Sell">
      <formula>NOT(ISERROR(SEARCH("Sell",E68)))</formula>
    </cfRule>
  </conditionalFormatting>
  <conditionalFormatting sqref="E121">
    <cfRule type="containsText" dxfId="8655" priority="489" operator="containsText" text="Buy">
      <formula>NOT(ISERROR(SEARCH("Buy",E121)))</formula>
    </cfRule>
    <cfRule type="containsText" dxfId="8654" priority="490" operator="containsText" text="Sell">
      <formula>NOT(ISERROR(SEARCH("Sell",E121)))</formula>
    </cfRule>
  </conditionalFormatting>
  <conditionalFormatting sqref="E119">
    <cfRule type="containsText" dxfId="8653" priority="483" operator="containsText" text="Buy">
      <formula>NOT(ISERROR(SEARCH("Buy",E119)))</formula>
    </cfRule>
    <cfRule type="containsText" dxfId="8652" priority="484" operator="containsText" text="Sell">
      <formula>NOT(ISERROR(SEARCH("Sell",E119)))</formula>
    </cfRule>
  </conditionalFormatting>
  <conditionalFormatting sqref="E118">
    <cfRule type="containsText" dxfId="8651" priority="481" operator="containsText" text="Buy">
      <formula>NOT(ISERROR(SEARCH("Buy",E118)))</formula>
    </cfRule>
    <cfRule type="containsText" dxfId="8650" priority="482" operator="containsText" text="Sell">
      <formula>NOT(ISERROR(SEARCH("Sell",E118)))</formula>
    </cfRule>
  </conditionalFormatting>
  <conditionalFormatting sqref="E228">
    <cfRule type="containsText" dxfId="8649" priority="479" operator="containsText" text="Buy">
      <formula>NOT(ISERROR(SEARCH("Buy",E228)))</formula>
    </cfRule>
    <cfRule type="containsText" dxfId="8648" priority="480" operator="containsText" text="Sell">
      <formula>NOT(ISERROR(SEARCH("Sell",E228)))</formula>
    </cfRule>
  </conditionalFormatting>
  <conditionalFormatting sqref="E103:E104">
    <cfRule type="containsText" dxfId="8647" priority="477" operator="containsText" text="Buy">
      <formula>NOT(ISERROR(SEARCH("Buy",E103)))</formula>
    </cfRule>
    <cfRule type="containsText" dxfId="8646" priority="478" operator="containsText" text="Sell">
      <formula>NOT(ISERROR(SEARCH("Sell",E103)))</formula>
    </cfRule>
  </conditionalFormatting>
  <conditionalFormatting sqref="E109">
    <cfRule type="containsText" dxfId="8645" priority="452" operator="containsText" text="Buy">
      <formula>NOT(ISERROR(SEARCH("Buy",E109)))</formula>
    </cfRule>
    <cfRule type="containsText" dxfId="8644" priority="453" operator="containsText" text="Sell">
      <formula>NOT(ISERROR(SEARCH("Sell",E109)))</formula>
    </cfRule>
  </conditionalFormatting>
  <conditionalFormatting sqref="E113">
    <cfRule type="containsText" dxfId="8643" priority="450" operator="containsText" text="Buy">
      <formula>NOT(ISERROR(SEARCH("Buy",E113)))</formula>
    </cfRule>
    <cfRule type="containsText" dxfId="8642" priority="451" operator="containsText" text="Sell">
      <formula>NOT(ISERROR(SEARCH("Sell",E113)))</formula>
    </cfRule>
  </conditionalFormatting>
  <conditionalFormatting sqref="E108">
    <cfRule type="containsText" dxfId="8641" priority="444" operator="containsText" text="Buy">
      <formula>NOT(ISERROR(SEARCH("Buy",E108)))</formula>
    </cfRule>
    <cfRule type="containsText" dxfId="8640" priority="445" operator="containsText" text="Sell">
      <formula>NOT(ISERROR(SEARCH("Sell",E108)))</formula>
    </cfRule>
  </conditionalFormatting>
  <conditionalFormatting sqref="E27">
    <cfRule type="containsText" dxfId="8639" priority="317" operator="containsText" text="Buy">
      <formula>NOT(ISERROR(SEARCH("Buy",E27)))</formula>
    </cfRule>
    <cfRule type="containsText" dxfId="8638" priority="318" operator="containsText" text="Sell">
      <formula>NOT(ISERROR(SEARCH("Sell",E27)))</formula>
    </cfRule>
  </conditionalFormatting>
  <conditionalFormatting sqref="E26">
    <cfRule type="containsText" dxfId="8637" priority="315" operator="containsText" text="Buy">
      <formula>NOT(ISERROR(SEARCH("Buy",E26)))</formula>
    </cfRule>
    <cfRule type="containsText" dxfId="8636" priority="316" operator="containsText" text="Sell">
      <formula>NOT(ISERROR(SEARCH("Sell",E26)))</formula>
    </cfRule>
  </conditionalFormatting>
  <conditionalFormatting sqref="E25">
    <cfRule type="containsText" dxfId="8635" priority="313" operator="containsText" text="Buy">
      <formula>NOT(ISERROR(SEARCH("Buy",E25)))</formula>
    </cfRule>
    <cfRule type="containsText" dxfId="8634" priority="314" operator="containsText" text="Sell">
      <formula>NOT(ISERROR(SEARCH("Sell",E25)))</formula>
    </cfRule>
  </conditionalFormatting>
  <conditionalFormatting sqref="E30">
    <cfRule type="containsText" dxfId="8633" priority="311" operator="containsText" text="Buy">
      <formula>NOT(ISERROR(SEARCH("Buy",E30)))</formula>
    </cfRule>
    <cfRule type="containsText" dxfId="8632" priority="312" operator="containsText" text="Sell">
      <formula>NOT(ISERROR(SEARCH("Sell",E30)))</formula>
    </cfRule>
  </conditionalFormatting>
  <conditionalFormatting sqref="E29">
    <cfRule type="containsText" dxfId="8631" priority="309" operator="containsText" text="Buy">
      <formula>NOT(ISERROR(SEARCH("Buy",E29)))</formula>
    </cfRule>
    <cfRule type="containsText" dxfId="8630" priority="310" operator="containsText" text="Sell">
      <formula>NOT(ISERROR(SEARCH("Sell",E29)))</formula>
    </cfRule>
  </conditionalFormatting>
  <conditionalFormatting sqref="E33">
    <cfRule type="containsText" dxfId="8629" priority="297" operator="containsText" text="Buy">
      <formula>NOT(ISERROR(SEARCH("Buy",E33)))</formula>
    </cfRule>
    <cfRule type="containsText" dxfId="8628" priority="298" operator="containsText" text="Sell">
      <formula>NOT(ISERROR(SEARCH("Sell",E33)))</formula>
    </cfRule>
  </conditionalFormatting>
  <conditionalFormatting sqref="E32">
    <cfRule type="containsText" dxfId="8627" priority="295" operator="containsText" text="Buy">
      <formula>NOT(ISERROR(SEARCH("Buy",E32)))</formula>
    </cfRule>
    <cfRule type="containsText" dxfId="8626" priority="296" operator="containsText" text="Sell">
      <formula>NOT(ISERROR(SEARCH("Sell",E32)))</formula>
    </cfRule>
  </conditionalFormatting>
  <conditionalFormatting sqref="E36">
    <cfRule type="containsText" dxfId="8625" priority="291" operator="containsText" text="Buy">
      <formula>NOT(ISERROR(SEARCH("Buy",E36)))</formula>
    </cfRule>
    <cfRule type="containsText" dxfId="8624" priority="292" operator="containsText" text="Sell">
      <formula>NOT(ISERROR(SEARCH("Sell",E36)))</formula>
    </cfRule>
  </conditionalFormatting>
  <conditionalFormatting sqref="E35">
    <cfRule type="containsText" dxfId="8623" priority="287" operator="containsText" text="Buy">
      <formula>NOT(ISERROR(SEARCH("Buy",E35)))</formula>
    </cfRule>
    <cfRule type="containsText" dxfId="8622" priority="288" operator="containsText" text="Sell">
      <formula>NOT(ISERROR(SEARCH("Sell",E35)))</formula>
    </cfRule>
  </conditionalFormatting>
  <conditionalFormatting sqref="I5:J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{127A52C6-0CF0-4894-AD0D-9EB6938FCD63}</x14:id>
        </ext>
      </extLst>
    </cfRule>
  </conditionalFormatting>
  <conditionalFormatting sqref="I5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{0A657EA3-4BEE-47E0-9216-2AA3F2EAFA3A}</x14:id>
        </ext>
      </extLst>
    </cfRule>
  </conditionalFormatting>
  <conditionalFormatting sqref="S5:W5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{8D68066B-FABF-41A2-AD49-2A26293DE00C}</x14:id>
        </ext>
      </extLst>
    </cfRule>
  </conditionalFormatting>
  <conditionalFormatting sqref="S5:W5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{10E6B26C-0958-4A57-BA3C-903EE8F6C3F5}</x14:id>
        </ext>
      </extLst>
    </cfRule>
  </conditionalFormatting>
  <conditionalFormatting sqref="X5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{FFA80424-2E9A-47D4-B99F-240E82BFE864}</x14:id>
        </ext>
      </extLst>
    </cfRule>
  </conditionalFormatting>
  <conditionalFormatting sqref="S5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{B2680136-81A6-4DF7-B66E-A72CB736568E}</x14:id>
        </ext>
      </extLst>
    </cfRule>
  </conditionalFormatting>
  <conditionalFormatting sqref="T5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{E472A203-53FA-4BDB-8AA6-4DC4054C496A}</x14:id>
        </ext>
      </extLst>
    </cfRule>
  </conditionalFormatting>
  <conditionalFormatting sqref="U5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{A6996410-7274-4E6C-9A29-0A5B61DF58D2}</x14:id>
        </ext>
      </extLst>
    </cfRule>
  </conditionalFormatting>
  <conditionalFormatting sqref="V5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{270E4BCD-BA04-4939-9DC7-58CB10205CE7}</x14:id>
        </ext>
      </extLst>
    </cfRule>
  </conditionalFormatting>
  <conditionalFormatting sqref="W5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{D330DDEB-19F7-4E93-A24A-36A9FD2B6FFB}</x14:id>
        </ext>
      </extLst>
    </cfRule>
  </conditionalFormatting>
  <conditionalFormatting sqref="Y5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{43798255-DCEE-4250-99D5-948C6D0F4C2A}</x14:id>
        </ext>
      </extLst>
    </cfRule>
  </conditionalFormatting>
  <conditionalFormatting sqref="S5:X5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{BB6C72B1-DCE3-4542-9BF3-1D8F288890CE}</x14:id>
        </ext>
      </extLst>
    </cfRule>
  </conditionalFormatting>
  <conditionalFormatting sqref="J5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{C405CD5A-FE08-4E67-984A-EF829C4D56B1}</x14:id>
        </ext>
      </extLst>
    </cfRule>
  </conditionalFormatting>
  <conditionalFormatting sqref="I5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{92EE4477-5E4D-406A-BF38-87DD63B86A3E}</x14:id>
        </ext>
      </extLst>
    </cfRule>
  </conditionalFormatting>
  <conditionalFormatting sqref="J5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{6B454278-F84A-4367-ABB5-A5DC1BCD9403}</x14:id>
        </ext>
      </extLst>
    </cfRule>
  </conditionalFormatting>
  <conditionalFormatting sqref="E39">
    <cfRule type="containsText" dxfId="8621" priority="156" operator="containsText" text="Buy">
      <formula>NOT(ISERROR(SEARCH("Buy",E39)))</formula>
    </cfRule>
    <cfRule type="containsText" dxfId="8620" priority="157" operator="containsText" text="Sell">
      <formula>NOT(ISERROR(SEARCH("Sell",E39)))</formula>
    </cfRule>
  </conditionalFormatting>
  <conditionalFormatting sqref="E38">
    <cfRule type="containsText" dxfId="8619" priority="154" operator="containsText" text="Buy">
      <formula>NOT(ISERROR(SEARCH("Buy",E38)))</formula>
    </cfRule>
    <cfRule type="containsText" dxfId="8618" priority="155" operator="containsText" text="Sell">
      <formula>NOT(ISERROR(SEARCH("Sell",E38)))</formula>
    </cfRule>
  </conditionalFormatting>
  <conditionalFormatting sqref="I4:J4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{B8D7BFD5-6AD0-416B-9028-3E45A5A0969B}</x14:id>
        </ext>
      </extLst>
    </cfRule>
  </conditionalFormatting>
  <conditionalFormatting sqref="I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{1B3CFDE9-DC6A-44ED-8384-B65B5F221D19}</x14:id>
        </ext>
      </extLst>
    </cfRule>
  </conditionalFormatting>
  <conditionalFormatting sqref="S4:W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{8A2FA08F-5486-437C-923C-77E6828515B1}</x14:id>
        </ext>
      </extLst>
    </cfRule>
  </conditionalFormatting>
  <conditionalFormatting sqref="S4:W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{0EF5B377-AE1E-4626-9589-0A64F35D9922}</x14:id>
        </ext>
      </extLst>
    </cfRule>
  </conditionalFormatting>
  <conditionalFormatting sqref="X4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{759C0191-EB96-441F-AD76-D5CC41B37967}</x14:id>
        </ext>
      </extLst>
    </cfRule>
  </conditionalFormatting>
  <conditionalFormatting sqref="S4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{6F706D80-3C26-4BDC-87D3-A9ED9E27E604}</x14:id>
        </ext>
      </extLst>
    </cfRule>
  </conditionalFormatting>
  <conditionalFormatting sqref="T4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{9E8F12B8-79CA-4074-A879-C820FD358ACD}</x14:id>
        </ext>
      </extLst>
    </cfRule>
  </conditionalFormatting>
  <conditionalFormatting sqref="U4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{120EE078-C58A-4E00-AD19-3AB6733D08ED}</x14:id>
        </ext>
      </extLst>
    </cfRule>
  </conditionalFormatting>
  <conditionalFormatting sqref="V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{FBC42B05-58DC-4E17-B9E4-2BC1A75EC650}</x14:id>
        </ext>
      </extLst>
    </cfRule>
  </conditionalFormatting>
  <conditionalFormatting sqref="W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{FC73BE53-0DE9-424D-AE15-ED9EF69C81C1}</x14:id>
        </ext>
      </extLst>
    </cfRule>
  </conditionalFormatting>
  <conditionalFormatting sqref="Y4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{590E78B3-4DF0-467D-ADC3-39DE9AA83389}</x14:id>
        </ext>
      </extLst>
    </cfRule>
  </conditionalFormatting>
  <conditionalFormatting sqref="S4:X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{C84FCDBF-118B-4140-8316-D23F876FD523}</x14:id>
        </ext>
      </extLst>
    </cfRule>
  </conditionalFormatting>
  <conditionalFormatting sqref="J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{40314B32-F87F-4D74-B890-277776CC7D7C}</x14:id>
        </ext>
      </extLst>
    </cfRule>
  </conditionalFormatting>
  <conditionalFormatting sqref="I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{6E18B757-FC44-4734-A750-9FEC7688C37F}</x14:id>
        </ext>
      </extLst>
    </cfRule>
  </conditionalFormatting>
  <conditionalFormatting sqref="J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{F365F63D-864B-4F3F-AA0C-D207C9D77716}</x14:id>
        </ext>
      </extLst>
    </cfRule>
  </conditionalFormatting>
  <conditionalFormatting sqref="I4:J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{12D62812-01F2-4FCA-A867-42D013BEEDD6}</x14:id>
        </ext>
      </extLst>
    </cfRule>
  </conditionalFormatting>
  <conditionalFormatting sqref="E42">
    <cfRule type="containsText" dxfId="8617" priority="128" operator="containsText" text="Buy">
      <formula>NOT(ISERROR(SEARCH("Buy",E42)))</formula>
    </cfRule>
    <cfRule type="containsText" dxfId="8616" priority="129" operator="containsText" text="Sell">
      <formula>NOT(ISERROR(SEARCH("Sell",E42)))</formula>
    </cfRule>
  </conditionalFormatting>
  <conditionalFormatting sqref="E41">
    <cfRule type="containsText" dxfId="8615" priority="126" operator="containsText" text="Buy">
      <formula>NOT(ISERROR(SEARCH("Buy",E41)))</formula>
    </cfRule>
    <cfRule type="containsText" dxfId="8614" priority="127" operator="containsText" text="Sell">
      <formula>NOT(ISERROR(SEARCH("Sell",E41)))</formula>
    </cfRule>
  </conditionalFormatting>
  <conditionalFormatting sqref="I11:J11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{2BFCC2F8-CC0D-4299-A005-6C26190B0029}</x14:id>
        </ext>
      </extLst>
    </cfRule>
  </conditionalFormatting>
  <conditionalFormatting sqref="I11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{BAC9A050-1B90-4E67-A644-609599F2B304}</x14:id>
        </ext>
      </extLst>
    </cfRule>
  </conditionalFormatting>
  <conditionalFormatting sqref="S11:W11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{EA268B48-1CBF-4DB6-8A55-819A62A3F446}</x14:id>
        </ext>
      </extLst>
    </cfRule>
  </conditionalFormatting>
  <conditionalFormatting sqref="S11:W11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{17FE1271-8806-4689-A15E-A3516F7DCDAB}</x14:id>
        </ext>
      </extLst>
    </cfRule>
  </conditionalFormatting>
  <conditionalFormatting sqref="X1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{E6797C45-5D20-486D-A4AB-F9402CD60133}</x14:id>
        </ext>
      </extLst>
    </cfRule>
  </conditionalFormatting>
  <conditionalFormatting sqref="S11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{BE1B5C5F-3778-47CF-AA62-8D9C7FEE5FB5}</x14:id>
        </ext>
      </extLst>
    </cfRule>
  </conditionalFormatting>
  <conditionalFormatting sqref="T11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{F1C54B76-19C9-494D-857F-0ACE7F7F4B9E}</x14:id>
        </ext>
      </extLst>
    </cfRule>
  </conditionalFormatting>
  <conditionalFormatting sqref="U11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{C8A9A8F5-6D70-4A74-AD92-4691071F4BAC}</x14:id>
        </ext>
      </extLst>
    </cfRule>
  </conditionalFormatting>
  <conditionalFormatting sqref="V1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{7C798609-8CFE-4F19-BF7D-AD8DE31298B5}</x14:id>
        </ext>
      </extLst>
    </cfRule>
  </conditionalFormatting>
  <conditionalFormatting sqref="W1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{2383D620-1A19-45EE-BE4F-E8E47A92E7C4}</x14:id>
        </ext>
      </extLst>
    </cfRule>
  </conditionalFormatting>
  <conditionalFormatting sqref="Y1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{641F97D4-0133-4D5B-852A-23C8B4EC4AA4}</x14:id>
        </ext>
      </extLst>
    </cfRule>
  </conditionalFormatting>
  <conditionalFormatting sqref="S11:X11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{CCEA073B-178D-4799-8E35-CA30BC8A50F0}</x14:id>
        </ext>
      </extLst>
    </cfRule>
  </conditionalFormatting>
  <conditionalFormatting sqref="J11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{4A19DC9E-3C86-4E94-8FA2-F6C0F0CDD297}</x14:id>
        </ext>
      </extLst>
    </cfRule>
  </conditionalFormatting>
  <conditionalFormatting sqref="I11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{C2EBABC1-E056-460B-897A-8DA9B24C35AD}</x14:id>
        </ext>
      </extLst>
    </cfRule>
  </conditionalFormatting>
  <conditionalFormatting sqref="J11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{B163D4BB-3A43-41D0-A989-9C799A0312FB}</x14:id>
        </ext>
      </extLst>
    </cfRule>
  </conditionalFormatting>
  <conditionalFormatting sqref="I11:J11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{FEE899B3-4EC5-4485-B3D5-B684D0A07882}</x14:id>
        </ext>
      </extLst>
    </cfRule>
  </conditionalFormatting>
  <conditionalFormatting sqref="E45">
    <cfRule type="containsText" dxfId="8613" priority="108" operator="containsText" text="Buy">
      <formula>NOT(ISERROR(SEARCH("Buy",E45)))</formula>
    </cfRule>
    <cfRule type="containsText" dxfId="8612" priority="109" operator="containsText" text="Sell">
      <formula>NOT(ISERROR(SEARCH("Sell",E45)))</formula>
    </cfRule>
  </conditionalFormatting>
  <conditionalFormatting sqref="E44">
    <cfRule type="containsText" dxfId="8611" priority="106" operator="containsText" text="Buy">
      <formula>NOT(ISERROR(SEARCH("Buy",E44)))</formula>
    </cfRule>
    <cfRule type="containsText" dxfId="8610" priority="107" operator="containsText" text="Sell">
      <formula>NOT(ISERROR(SEARCH("Sell",E44)))</formula>
    </cfRule>
  </conditionalFormatting>
  <conditionalFormatting sqref="I8:J10">
    <cfRule type="dataBar" priority="8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{C233CEF7-5E28-4D53-9D03-E347A4A82144}</x14:id>
        </ext>
      </extLst>
    </cfRule>
  </conditionalFormatting>
  <conditionalFormatting sqref="I8:I10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{2A96072E-0470-4A39-8A6B-CBB795462A93}</x14:id>
        </ext>
      </extLst>
    </cfRule>
  </conditionalFormatting>
  <conditionalFormatting sqref="S8:W10">
    <cfRule type="dataBar" priority="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{086C88BA-301F-44E0-9526-492DD80C08F0}</x14:id>
        </ext>
      </extLst>
    </cfRule>
  </conditionalFormatting>
  <conditionalFormatting sqref="S10:W10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{EC0CED98-2104-421E-AC34-6238711FC946}</x14:id>
        </ext>
      </extLst>
    </cfRule>
  </conditionalFormatting>
  <conditionalFormatting sqref="X8:X10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{7CE1D26B-D0F8-4913-A37B-D2A039325BCF}</x14:id>
        </ext>
      </extLst>
    </cfRule>
  </conditionalFormatting>
  <conditionalFormatting sqref="S8:S10">
    <cfRule type="dataBar" priority="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{F2B8567B-84E1-4118-8E54-4CD04B726C78}</x14:id>
        </ext>
      </extLst>
    </cfRule>
  </conditionalFormatting>
  <conditionalFormatting sqref="T8:T10">
    <cfRule type="dataBar" priority="8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{06989B90-0EEB-4B44-A58E-CAA962F7893F}</x14:id>
        </ext>
      </extLst>
    </cfRule>
  </conditionalFormatting>
  <conditionalFormatting sqref="U8:U10">
    <cfRule type="dataBar" priority="8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{D281F431-9D03-450D-A9D7-D5644997365A}</x14:id>
        </ext>
      </extLst>
    </cfRule>
  </conditionalFormatting>
  <conditionalFormatting sqref="V8:V10">
    <cfRule type="dataBar" priority="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{195326C6-D261-4333-8005-28ADF93DEF80}</x14:id>
        </ext>
      </extLst>
    </cfRule>
  </conditionalFormatting>
  <conditionalFormatting sqref="W8:W10">
    <cfRule type="dataBar" priority="8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{352ACDCA-661D-4C92-B871-5836DE529203}</x14:id>
        </ext>
      </extLst>
    </cfRule>
  </conditionalFormatting>
  <conditionalFormatting sqref="Y8:Y10">
    <cfRule type="dataBar" priority="8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{8023D5F6-9221-4C55-B59D-245828A38276}</x14:id>
        </ext>
      </extLst>
    </cfRule>
  </conditionalFormatting>
  <conditionalFormatting sqref="S8:X10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{B488FF6F-16B8-4A63-89F0-1899F28265AB}</x14:id>
        </ext>
      </extLst>
    </cfRule>
  </conditionalFormatting>
  <conditionalFormatting sqref="J8:J10">
    <cfRule type="dataBar" priority="8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{B44B45C6-2131-40F6-975B-0263A655CD89}</x14:id>
        </ext>
      </extLst>
    </cfRule>
  </conditionalFormatting>
  <conditionalFormatting sqref="I10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{295ADD97-E05A-4809-A845-C00BF3B890AD}</x14:id>
        </ext>
      </extLst>
    </cfRule>
  </conditionalFormatting>
  <conditionalFormatting sqref="J10">
    <cfRule type="dataBar" priority="8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{104F6D2F-EE1C-4328-AFE8-8414FC92BED9}</x14:id>
        </ext>
      </extLst>
    </cfRule>
  </conditionalFormatting>
  <conditionalFormatting sqref="I8:J10 I5:J5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{3A7F5873-EFB8-4982-8315-BDDCB6B4F29E}</x14:id>
        </ext>
      </extLst>
    </cfRule>
  </conditionalFormatting>
  <conditionalFormatting sqref="H16">
    <cfRule type="dataBar" priority="26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{5976D208-79DD-4D7F-8AC3-53D83F171249}</x14:id>
        </ext>
      </extLst>
    </cfRule>
    <cfRule type="cellIs" dxfId="8609" priority="26291" operator="equal">
      <formula>1</formula>
    </cfRule>
  </conditionalFormatting>
  <conditionalFormatting sqref="I6:J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{EB7E6722-FF52-4AA3-B590-DAE4A0464D72}</x14:id>
        </ext>
      </extLst>
    </cfRule>
  </conditionalFormatting>
  <conditionalFormatting sqref="I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{79700D7A-A78E-4A43-816C-8C5DB81AF3FE}</x14:id>
        </ext>
      </extLst>
    </cfRule>
  </conditionalFormatting>
  <conditionalFormatting sqref="S6:W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{02AE5A21-F181-41A3-A701-014ED6EDEC05}</x14:id>
        </ext>
      </extLst>
    </cfRule>
  </conditionalFormatting>
  <conditionalFormatting sqref="S6:W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{3C915552-BAAA-4EC4-8D64-A38B7556E54C}</x14:id>
        </ext>
      </extLst>
    </cfRule>
  </conditionalFormatting>
  <conditionalFormatting sqref="X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{41727875-713E-4C0D-A072-2F47B07AF5D1}</x14:id>
        </ext>
      </extLst>
    </cfRule>
  </conditionalFormatting>
  <conditionalFormatting sqref="S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{CB3C92DF-627D-4C4A-8BF5-D3D40AE70572}</x14:id>
        </ext>
      </extLst>
    </cfRule>
  </conditionalFormatting>
  <conditionalFormatting sqref="T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{892986A7-E895-4F33-B148-07AC26A00F59}</x14:id>
        </ext>
      </extLst>
    </cfRule>
  </conditionalFormatting>
  <conditionalFormatting sqref="U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{25CDFDCC-6F0C-4883-87C1-4014B8A1FC72}</x14:id>
        </ext>
      </extLst>
    </cfRule>
  </conditionalFormatting>
  <conditionalFormatting sqref="V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{A58A6413-B3EA-4C0C-A8FC-FAB22017E59E}</x14:id>
        </ext>
      </extLst>
    </cfRule>
  </conditionalFormatting>
  <conditionalFormatting sqref="W6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{9D039EAD-D2A0-4837-85B9-A6AB873CBE8E}</x14:id>
        </ext>
      </extLst>
    </cfRule>
  </conditionalFormatting>
  <conditionalFormatting sqref="Y6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{D038FE7D-7007-4298-89B7-C2FFC1E40501}</x14:id>
        </ext>
      </extLst>
    </cfRule>
  </conditionalFormatting>
  <conditionalFormatting sqref="S6:X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{B1067BED-0908-4B4B-8054-09405552CBF5}</x14:id>
        </ext>
      </extLst>
    </cfRule>
  </conditionalFormatting>
  <conditionalFormatting sqref="J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{EAC348D8-5CE7-4FE7-9D40-197D6341F966}</x14:id>
        </ext>
      </extLst>
    </cfRule>
  </conditionalFormatting>
  <conditionalFormatting sqref="I6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{72D90E37-4371-48B4-BB5B-E921BD6B5383}</x14:id>
        </ext>
      </extLst>
    </cfRule>
  </conditionalFormatting>
  <conditionalFormatting sqref="J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{AF9684A0-2296-49E6-9C7B-BF1E08A42B8D}</x14:id>
        </ext>
      </extLst>
    </cfRule>
  </conditionalFormatting>
  <conditionalFormatting sqref="I6:J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{19E13BFD-2B89-444A-9C7B-38ECF4CA70BB}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{5EC763F3-A933-4933-BC22-5A02711275DB}</x14:id>
        </ext>
      </extLst>
    </cfRule>
  </conditionalFormatting>
  <conditionalFormatting sqref="J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{EA427F07-071D-42CD-B99E-5E24D184DA9D}</x14:id>
        </ext>
      </extLst>
    </cfRule>
  </conditionalFormatting>
  <conditionalFormatting sqref="Q8:Q11 Q4:Q5">
    <cfRule type="dataBar" priority="26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{8F53572A-6D83-4A59-9EC1-DBC08E350865}</x14:id>
        </ext>
      </extLst>
    </cfRule>
  </conditionalFormatting>
  <conditionalFormatting sqref="Q4 Q10">
    <cfRule type="dataBar" priority="26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{C147FC4E-E258-44F6-AA12-17F7B4D5B909}</x14:id>
        </ext>
      </extLst>
    </cfRule>
  </conditionalFormatting>
  <conditionalFormatting sqref="Q8:Q11 Q4:Q5">
    <cfRule type="dataBar" priority="263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{2D2B5721-8DE0-4F32-ADA8-0E36F7E0EF64}</x14:id>
        </ext>
      </extLst>
    </cfRule>
  </conditionalFormatting>
  <conditionalFormatting sqref="I8:I11 I4:I5">
    <cfRule type="dataBar" priority="26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{E08D0C08-858E-4028-8103-6A64E21075A0}</x14:id>
        </ext>
      </extLst>
    </cfRule>
  </conditionalFormatting>
  <conditionalFormatting sqref="J8:J11 J4:J5">
    <cfRule type="dataBar" priority="26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{3AB7285D-BE88-4421-AB43-4EC0AB3EE0E3}</x14:id>
        </ext>
      </extLst>
    </cfRule>
  </conditionalFormatting>
  <conditionalFormatting sqref="I7:J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{8F046D72-0B84-430B-ACE0-2F91D1A0A815}</x14:id>
        </ext>
      </extLst>
    </cfRule>
  </conditionalFormatting>
  <conditionalFormatting sqref="I7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{AF38C43C-1717-4294-B6E1-C97260A967F4}</x14:id>
        </ext>
      </extLst>
    </cfRule>
  </conditionalFormatting>
  <conditionalFormatting sqref="S7:W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{FC034934-F81C-45E4-B90A-023F205B2EBF}</x14:id>
        </ext>
      </extLst>
    </cfRule>
  </conditionalFormatting>
  <conditionalFormatting sqref="S7:W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{8E691E74-D0F3-4642-ADFF-45E061F1EC50}</x14:id>
        </ext>
      </extLst>
    </cfRule>
  </conditionalFormatting>
  <conditionalFormatting sqref="X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{63D42102-BCE9-43D9-B31E-CCB057D78BF5}</x14:id>
        </ext>
      </extLst>
    </cfRule>
  </conditionalFormatting>
  <conditionalFormatting sqref="S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{3292849F-C3DD-4C18-8DD4-78A9095E7F82}</x14:id>
        </ext>
      </extLst>
    </cfRule>
  </conditionalFormatting>
  <conditionalFormatting sqref="T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{460E7F70-BADD-4185-A169-B68F48A6B793}</x14:id>
        </ext>
      </extLst>
    </cfRule>
  </conditionalFormatting>
  <conditionalFormatting sqref="U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{DEE6903D-0486-41AB-914D-1827C6534508}</x14:id>
        </ext>
      </extLst>
    </cfRule>
  </conditionalFormatting>
  <conditionalFormatting sqref="V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{711BA554-C0EA-447D-B8C6-D65F4FE35D8B}</x14:id>
        </ext>
      </extLst>
    </cfRule>
  </conditionalFormatting>
  <conditionalFormatting sqref="W7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{411592E1-6451-4A00-B045-E06709DDBA53}</x14:id>
        </ext>
      </extLst>
    </cfRule>
  </conditionalFormatting>
  <conditionalFormatting sqref="Y7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{035708E0-FF11-477B-BB94-2560091E34AB}</x14:id>
        </ext>
      </extLst>
    </cfRule>
  </conditionalFormatting>
  <conditionalFormatting sqref="S7:X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{57119D53-E732-4135-8E2F-2C6409389FF4}</x14:id>
        </ext>
      </extLst>
    </cfRule>
  </conditionalFormatting>
  <conditionalFormatting sqref="J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{B788F81B-1004-4AFA-8CCD-69BAEA5A3118}</x14:id>
        </ext>
      </extLst>
    </cfRule>
  </conditionalFormatting>
  <conditionalFormatting sqref="I7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{C13D17DA-7D67-455B-B387-5C63086184F1}</x14:id>
        </ext>
      </extLst>
    </cfRule>
  </conditionalFormatting>
  <conditionalFormatting sqref="J7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{D1F7A193-D2A7-4A98-83A8-56BF29703A24}</x14:id>
        </ext>
      </extLst>
    </cfRule>
  </conditionalFormatting>
  <conditionalFormatting sqref="I7:J7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{541326E8-EC91-4E60-AC52-F2AAB37999D7}</x14:id>
        </ext>
      </extLst>
    </cfRule>
  </conditionalFormatting>
  <conditionalFormatting sqref="I7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{1EDCD8F2-2564-4010-8638-88DB5FC0663D}</x14:id>
        </ext>
      </extLst>
    </cfRule>
  </conditionalFormatting>
  <conditionalFormatting sqref="J7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{D32D6E52-8547-4833-8656-CF09013DAE92}</x14:id>
        </ext>
      </extLst>
    </cfRule>
  </conditionalFormatting>
  <conditionalFormatting sqref="E48">
    <cfRule type="containsText" dxfId="8608" priority="10" operator="containsText" text="Buy">
      <formula>NOT(ISERROR(SEARCH("Buy",E48)))</formula>
    </cfRule>
    <cfRule type="containsText" dxfId="8607" priority="11" operator="containsText" text="Sell">
      <formula>NOT(ISERROR(SEARCH("Sell",E48)))</formula>
    </cfRule>
  </conditionalFormatting>
  <conditionalFormatting sqref="E47">
    <cfRule type="containsText" dxfId="8606" priority="8" operator="containsText" text="Buy">
      <formula>NOT(ISERROR(SEARCH("Buy",E47)))</formula>
    </cfRule>
    <cfRule type="containsText" dxfId="8605" priority="9" operator="containsText" text="Sell">
      <formula>NOT(ISERROR(SEARCH("Sell",E47)))</formula>
    </cfRule>
  </conditionalFormatting>
  <conditionalFormatting sqref="Q6:Q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{F2EFEDD1-8085-48E6-BA2D-E38F41C98BF8}</x14:id>
        </ext>
      </extLst>
    </cfRule>
  </conditionalFormatting>
  <conditionalFormatting sqref="Q6:Q7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{AA5CB179-E31F-42B7-9E9A-B4AA0373CB01}</x14:id>
        </ext>
      </extLst>
    </cfRule>
  </conditionalFormatting>
  <conditionalFormatting sqref="Q6:Q7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{AEA3EF63-E067-43A1-8F76-91E47D653181}</x14:id>
        </ext>
      </extLst>
    </cfRule>
  </conditionalFormatting>
  <conditionalFormatting sqref="Q4:Q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{723683C4-B4D5-44EA-9A67-F7DB20996812}</x14:id>
        </ext>
      </extLst>
    </cfRule>
  </conditionalFormatting>
  <conditionalFormatting sqref="I4:I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{A8E3D0D6-D583-4F52-A029-895AA0A8DF12}</x14:id>
        </ext>
      </extLst>
    </cfRule>
  </conditionalFormatting>
  <conditionalFormatting sqref="J4:J1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{DBD94489-37EF-4FD0-81A7-E60578ED5B39}</x14:id>
        </ext>
      </extLst>
    </cfRule>
  </conditionalFormatting>
  <conditionalFormatting sqref="Q4:Q11 Q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{9B36792F-3C32-489B-8289-D31780621569}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A52C6-0CF0-4894-AD0D-9EB6938FCD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0A657EA3-4BEE-47E0-9216-2AA3F2EAFA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D68066B-FABF-41A2-AD49-2A26293DE0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E6B26C-0958-4A57-BA3C-903EE8F6C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FFA80424-2E9A-47D4-B99F-240E82BF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2680136-81A6-4DF7-B66E-A72CB7365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E472A203-53FA-4BDB-8AA6-4DC4054C49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6996410-7274-4E6C-9A29-0A5B61DF5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70E4BCD-BA04-4939-9DC7-58CB10205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330DDEB-19F7-4E93-A24A-36A9FD2B6F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43798255-DCEE-4250-99D5-948C6D0F4C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B6C72B1-DCE3-4542-9BF3-1D8F28889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C405CD5A-FE08-4E67-984A-EF829C4D56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92EE4477-5E4D-406A-BF38-87DD63B86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454278-F84A-4367-ABB5-A5DC1BCD94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B8D7BFD5-6AD0-416B-9028-3E45A5A09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B3CFDE9-DC6A-44ED-8384-B65B5F221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8A2FA08F-5486-437C-923C-77E6828515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EF5B377-AE1E-4626-9589-0A64F35D99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759C0191-EB96-441F-AD76-D5CC41B379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F706D80-3C26-4BDC-87D3-A9ED9E27E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E8F12B8-79CA-4074-A879-C820FD358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20EE078-C58A-4E00-AD19-3AB6733D0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BC42B05-58DC-4E17-B9E4-2BC1A75EC6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C73BE53-0DE9-424D-AE15-ED9EF69C8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90E78B3-4DF0-467D-ADC3-39DE9AA83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84FCDBF-118B-4140-8316-D23F876FD5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40314B32-F87F-4D74-B890-277776CC7D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6E18B757-FC44-4734-A750-9FEC7688C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65F63D-864B-4F3F-AA0C-D207C9D777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12D62812-01F2-4FCA-A867-42D013BEE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2BFCC2F8-CC0D-4299-A005-6C26190B00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BAC9A050-1B90-4E67-A644-609599F2B3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A268B48-1CBF-4DB6-8A55-819A62A3F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17FE1271-8806-4689-A15E-A3516F7DC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S11:W11</xm:sqref>
        </x14:conditionalFormatting>
        <x14:conditionalFormatting xmlns:xm="http://schemas.microsoft.com/office/excel/2006/main">
          <x14:cfRule type="dataBar" id="{E6797C45-5D20-486D-A4AB-F9402CD60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E1B5C5F-3778-47CF-AA62-8D9C7FEE5F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F1C54B76-19C9-494D-857F-0ACE7F7F4B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8A9A8F5-6D70-4A74-AD92-4691071F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C798609-8CFE-4F19-BF7D-AD8DE31298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383D620-1A19-45EE-BE4F-E8E47A92E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41F97D4-0133-4D5B-852A-23C8B4EC4A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CCEA073B-178D-4799-8E35-CA30BC8A5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S11:X11</xm:sqref>
        </x14:conditionalFormatting>
        <x14:conditionalFormatting xmlns:xm="http://schemas.microsoft.com/office/excel/2006/main">
          <x14:cfRule type="dataBar" id="{4A19DC9E-3C86-4E94-8FA2-F6C0F0CDD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C2EBABC1-E056-460B-897A-8DA9B24C3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163D4BB-3A43-41D0-A989-9C799A031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FEE899B3-4EC5-4485-B3D5-B684D0A07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I11:J11</xm:sqref>
        </x14:conditionalFormatting>
        <x14:conditionalFormatting xmlns:xm="http://schemas.microsoft.com/office/excel/2006/main">
          <x14:cfRule type="dataBar" id="{C233CEF7-5E28-4D53-9D03-E347A4A821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2A96072E-0470-4A39-8A6B-CBB795462A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</xm:sqref>
        </x14:conditionalFormatting>
        <x14:conditionalFormatting xmlns:xm="http://schemas.microsoft.com/office/excel/2006/main">
          <x14:cfRule type="dataBar" id="{086C88BA-301F-44E0-9526-492DD80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S8:W10</xm:sqref>
        </x14:conditionalFormatting>
        <x14:conditionalFormatting xmlns:xm="http://schemas.microsoft.com/office/excel/2006/main">
          <x14:cfRule type="dataBar" id="{EC0CED98-2104-421E-AC34-6238711FC9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S10:W10</xm:sqref>
        </x14:conditionalFormatting>
        <x14:conditionalFormatting xmlns:xm="http://schemas.microsoft.com/office/excel/2006/main">
          <x14:cfRule type="dataBar" id="{7CE1D26B-D0F8-4913-A37B-D2A039325B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</xm:sqref>
        </x14:conditionalFormatting>
        <x14:conditionalFormatting xmlns:xm="http://schemas.microsoft.com/office/excel/2006/main">
          <x14:cfRule type="dataBar" id="{F2B8567B-84E1-4118-8E54-4CD04B726C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S8:S10</xm:sqref>
        </x14:conditionalFormatting>
        <x14:conditionalFormatting xmlns:xm="http://schemas.microsoft.com/office/excel/2006/main">
          <x14:cfRule type="dataBar" id="{06989B90-0EEB-4B44-A58E-CAA962F789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</xm:sqref>
        </x14:conditionalFormatting>
        <x14:conditionalFormatting xmlns:xm="http://schemas.microsoft.com/office/excel/2006/main">
          <x14:cfRule type="dataBar" id="{D281F431-9D03-450D-A9D7-D564499736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U8:U10</xm:sqref>
        </x14:conditionalFormatting>
        <x14:conditionalFormatting xmlns:xm="http://schemas.microsoft.com/office/excel/2006/main">
          <x14:cfRule type="dataBar" id="{195326C6-D261-4333-8005-28ADF93D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</xm:sqref>
        </x14:conditionalFormatting>
        <x14:conditionalFormatting xmlns:xm="http://schemas.microsoft.com/office/excel/2006/main">
          <x14:cfRule type="dataBar" id="{352ACDCA-661D-4C92-B871-5836DE529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</xm:sqref>
        </x14:conditionalFormatting>
        <x14:conditionalFormatting xmlns:xm="http://schemas.microsoft.com/office/excel/2006/main">
          <x14:cfRule type="dataBar" id="{8023D5F6-9221-4C55-B59D-245828A38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</xm:sqref>
        </x14:conditionalFormatting>
        <x14:conditionalFormatting xmlns:xm="http://schemas.microsoft.com/office/excel/2006/main">
          <x14:cfRule type="dataBar" id="{B488FF6F-16B8-4A63-89F0-1899F28265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S8:X10</xm:sqref>
        </x14:conditionalFormatting>
        <x14:conditionalFormatting xmlns:xm="http://schemas.microsoft.com/office/excel/2006/main">
          <x14:cfRule type="dataBar" id="{B44B45C6-2131-40F6-975B-0263A655CD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J8:J10</xm:sqref>
        </x14:conditionalFormatting>
        <x14:conditionalFormatting xmlns:xm="http://schemas.microsoft.com/office/excel/2006/main">
          <x14:cfRule type="dataBar" id="{295ADD97-E05A-4809-A845-C00BF3B890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4F6D2F-EE1C-4328-AFE8-8414FC92B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3A7F5873-EFB8-4982-8315-BDDCB6B4F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I8:J10 I5:J5</xm:sqref>
        </x14:conditionalFormatting>
        <x14:conditionalFormatting xmlns:xm="http://schemas.microsoft.com/office/excel/2006/main">
          <x14:cfRule type="dataBar" id="{5976D208-79DD-4D7F-8AC3-53D83F171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B7E6722-FF52-4AA3-B590-DAE4A0464D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79700D7A-A78E-4A43-816C-8C5DB81AF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AE5A21-F181-41A3-A701-014ED6EDE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C915552-BAAA-4EC4-8D64-A38B7556E5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1727875-713E-4C0D-A072-2F47B07AF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B3C92DF-627D-4C4A-8BF5-D3D40AE705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892986A7-E895-4F33-B148-07AC26A00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5CDFDCC-6F0C-4883-87C1-4014B8A1FC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A58A6413-B3EA-4C0C-A8FC-FAB22017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D039EAD-D2A0-4837-85B9-A6AB873CB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038FE7D-7007-4298-89B7-C2FFC1E40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1067BED-0908-4B4B-8054-09405552CB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EAC348D8-5CE7-4FE7-9D40-197D6341F9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2D90E37-4371-48B4-BB5B-E921BD6B5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F9684A0-2296-49E6-9C7B-BF1E08A42B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9E13BFD-2B89-444A-9C7B-38ECF4CA7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EC763F3-A933-4933-BC22-5A02711275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427F07-071D-42CD-B99E-5E24D184DA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8F53572A-6D83-4A59-9EC1-DBC08E35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C147FC4E-E258-44F6-AA12-17F7B4D5B9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 Q10</xm:sqref>
        </x14:conditionalFormatting>
        <x14:conditionalFormatting xmlns:xm="http://schemas.microsoft.com/office/excel/2006/main">
          <x14:cfRule type="dataBar" id="{2D2B5721-8DE0-4F32-ADA8-0E36F7E0EF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Q8:Q11 Q4:Q5</xm:sqref>
        </x14:conditionalFormatting>
        <x14:conditionalFormatting xmlns:xm="http://schemas.microsoft.com/office/excel/2006/main">
          <x14:cfRule type="dataBar" id="{E08D0C08-858E-4028-8103-6A64E21075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I8:I11 I4:I5</xm:sqref>
        </x14:conditionalFormatting>
        <x14:conditionalFormatting xmlns:xm="http://schemas.microsoft.com/office/excel/2006/main">
          <x14:cfRule type="dataBar" id="{3AB7285D-BE88-4421-AB43-4EC0AB3EE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J8:J11 J4:J5</xm:sqref>
        </x14:conditionalFormatting>
        <x14:conditionalFormatting xmlns:xm="http://schemas.microsoft.com/office/excel/2006/main">
          <x14:cfRule type="dataBar" id="{8F046D72-0B84-430B-ACE0-2F91D1A0A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AF38C43C-1717-4294-B6E1-C97260A96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FC034934-F81C-45E4-B90A-023F205B2E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8E691E74-D0F3-4642-ADFF-45E061F1EC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63D42102-BCE9-43D9-B31E-CCB057D78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292849F-C3DD-4C18-8DD4-78A9095E7F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460E7F70-BADD-4185-A169-B68F48A6B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EE6903D-0486-41AB-914D-1827C6534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711BA554-C0EA-447D-B8C6-D65F4FE35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411592E1-6451-4A00-B045-E06709DDB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35708E0-FF11-477B-BB94-2560091E34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7119D53-E732-4135-8E2F-2C6409389F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B788F81B-1004-4AFA-8CCD-69BAEA5A3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13D17DA-7D67-455B-B387-5C6308618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1F7A193-D2A7-4A98-83A8-56BF29703A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41326E8-EC91-4E60-AC52-F2AAB379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1EDCD8F2-2564-4010-8638-88DB5FC066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32D6E52-8547-4833-8656-CF09013DAE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F2EFEDD1-8085-48E6-BA2D-E38F41C98B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A5CB179-E31F-42B7-9E9A-B4AA0373C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AEA3EF63-E067-43A1-8F76-91E47D65318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Q6:Q7</xm:sqref>
        </x14:conditionalFormatting>
        <x14:conditionalFormatting xmlns:xm="http://schemas.microsoft.com/office/excel/2006/main">
          <x14:cfRule type="dataBar" id="{723683C4-B4D5-44EA-9A67-F7DB209968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</xm:sqref>
        </x14:conditionalFormatting>
        <x14:conditionalFormatting xmlns:xm="http://schemas.microsoft.com/office/excel/2006/main">
          <x14:cfRule type="dataBar" id="{A8E3D0D6-D583-4F52-A029-895AA0A8D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DBD94489-37EF-4FD0-81A7-E60578ED5B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9B36792F-3C32-489B-8289-D317806215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Q4:Q11 Q13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  <pageSetUpPr fitToPage="1"/>
  </sheetPr>
  <dimension ref="A1:AC63"/>
  <sheetViews>
    <sheetView showGridLines="0" zoomScale="90" zoomScaleNormal="90" workbookViewId="0">
      <pane ySplit="3" topLeftCell="A4" activePane="bottomLeft" state="frozen"/>
      <selection pane="bottomLeft" activeCell="L14" sqref="L14"/>
    </sheetView>
  </sheetViews>
  <sheetFormatPr defaultRowHeight="12.75" x14ac:dyDescent="0.2"/>
  <cols>
    <col min="1" max="1" width="3.5703125" style="9" customWidth="1"/>
    <col min="2" max="2" width="23.42578125" style="9" customWidth="1"/>
    <col min="3" max="3" width="16.28515625" style="9" customWidth="1"/>
    <col min="4" max="4" width="22.8554687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.42578125" style="9" customWidth="1"/>
    <col min="17" max="17" width="12.5703125" style="9" customWidth="1"/>
    <col min="18" max="18" width="11.5703125" style="9" customWidth="1"/>
    <col min="19" max="19" width="11.28515625" style="9" customWidth="1"/>
    <col min="20" max="21" width="11.42578125" style="9" customWidth="1"/>
    <col min="22" max="22" width="13.28515625" style="9" customWidth="1"/>
    <col min="23" max="23" width="9.140625" style="9"/>
    <col min="24" max="25" width="11.28515625" style="9" customWidth="1"/>
    <col min="26" max="26" width="11.5703125" style="9" customWidth="1"/>
    <col min="27" max="27" width="11.140625" style="9" customWidth="1"/>
    <col min="28" max="28" width="11.28515625" style="9" customWidth="1"/>
    <col min="29" max="29" width="15.5703125" style="9" bestFit="1" customWidth="1"/>
    <col min="30" max="16384" width="9.140625" style="9"/>
  </cols>
  <sheetData>
    <row r="1" spans="1:29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9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619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</row>
    <row r="4" spans="1:29" s="409" customFormat="1" x14ac:dyDescent="0.2">
      <c r="A4" s="409" t="s">
        <v>823</v>
      </c>
      <c r="B4" s="116" t="s">
        <v>349</v>
      </c>
      <c r="C4" s="118" t="s">
        <v>331</v>
      </c>
      <c r="D4" s="119" t="e">
        <f t="shared" ref="D4:D17" ca="1" si="0">Q4/$Q$18</f>
        <v>#NAME?</v>
      </c>
      <c r="E4" s="120">
        <f>$F$47</f>
        <v>6100</v>
      </c>
      <c r="F4" s="181">
        <f>$H$47</f>
        <v>7.65</v>
      </c>
      <c r="G4" s="181" t="e">
        <f ca="1">_xll.BDP($C4,"PX_LAST")</f>
        <v>#NAME?</v>
      </c>
      <c r="H4" s="612" t="e">
        <f ca="1">_xll.BDP($C4,"BEST_TARGET_PRICE")</f>
        <v>#NAME?</v>
      </c>
      <c r="I4" s="680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$K$47</f>
        <v>#NAME?</v>
      </c>
      <c r="O4" s="120">
        <f>E4*F4</f>
        <v>46665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</row>
    <row r="5" spans="1:29" s="409" customFormat="1" x14ac:dyDescent="0.2">
      <c r="A5" s="409" t="s">
        <v>823</v>
      </c>
      <c r="B5" s="116" t="s">
        <v>205</v>
      </c>
      <c r="C5" s="118" t="s">
        <v>204</v>
      </c>
      <c r="D5" s="119" t="e">
        <f t="shared" ca="1" si="0"/>
        <v>#NAME?</v>
      </c>
      <c r="E5" s="120">
        <f>$F$41</f>
        <v>21400</v>
      </c>
      <c r="F5" s="181">
        <f>$H$41</f>
        <v>3.9097430000000006</v>
      </c>
      <c r="G5" s="181" t="e">
        <f ca="1">_xll.BDP($C5,"PX_LAST")</f>
        <v>#NAME?</v>
      </c>
      <c r="H5" s="612" t="e">
        <f ca="1">_xll.BDP($C5,"BEST_TARGET_PRICE")</f>
        <v>#NAME?</v>
      </c>
      <c r="I5" s="680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$K$41</f>
        <v>#NAME?</v>
      </c>
      <c r="O5" s="120">
        <f>E5*F5</f>
        <v>83668.500200000009</v>
      </c>
      <c r="P5" s="120" t="e">
        <f ca="1">E5*G5*$I$1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</row>
    <row r="6" spans="1:29" s="409" customFormat="1" x14ac:dyDescent="0.2">
      <c r="A6" s="409" t="s">
        <v>823</v>
      </c>
      <c r="B6" s="116" t="s">
        <v>725</v>
      </c>
      <c r="C6" s="118" t="s">
        <v>745</v>
      </c>
      <c r="D6" s="119" t="e">
        <f t="shared" ca="1" si="0"/>
        <v>#NAME?</v>
      </c>
      <c r="E6" s="120">
        <f>$F$54</f>
        <v>900</v>
      </c>
      <c r="F6" s="181">
        <f>$H$54</f>
        <v>51.155000000000001</v>
      </c>
      <c r="G6" s="181" t="e">
        <f ca="1">_xll.BDP($C6,"PX_LAST")</f>
        <v>#NAME?</v>
      </c>
      <c r="H6" s="612" t="e">
        <f ca="1">_xll.BDP($C6,"BEST_TARGET_PRICE")</f>
        <v>#NAME?</v>
      </c>
      <c r="I6" s="680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$K$54</f>
        <v>#NAME?</v>
      </c>
      <c r="O6" s="120">
        <f>E6*F6</f>
        <v>46039.5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</row>
    <row r="7" spans="1:29" s="409" customFormat="1" x14ac:dyDescent="0.2">
      <c r="A7" s="409" t="s">
        <v>823</v>
      </c>
      <c r="B7" s="116" t="s">
        <v>196</v>
      </c>
      <c r="C7" s="118" t="s">
        <v>335</v>
      </c>
      <c r="D7" s="119" t="e">
        <f t="shared" ca="1" si="0"/>
        <v>#NAME?</v>
      </c>
      <c r="E7" s="120">
        <f>$F$51</f>
        <v>8968</v>
      </c>
      <c r="F7" s="181">
        <f>$H$51</f>
        <v>635</v>
      </c>
      <c r="G7" s="181" t="e">
        <f ca="1">_xll.BDP($C7,"PX_LAST")</f>
        <v>#NAME?</v>
      </c>
      <c r="H7" s="612" t="e">
        <f ca="1">_xll.BDP($C7,"BEST_TARGET_PRICE")</f>
        <v>#NAME?</v>
      </c>
      <c r="I7" s="680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5694680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678"/>
    </row>
    <row r="8" spans="1:29" s="409" customFormat="1" x14ac:dyDescent="0.2">
      <c r="A8" s="409" t="s">
        <v>823</v>
      </c>
      <c r="B8" s="116" t="s">
        <v>96</v>
      </c>
      <c r="C8" s="118" t="s">
        <v>184</v>
      </c>
      <c r="D8" s="119" t="e">
        <f t="shared" ca="1" si="0"/>
        <v>#NAME?</v>
      </c>
      <c r="E8" s="120">
        <f>$F$37</f>
        <v>5560</v>
      </c>
      <c r="F8" s="181">
        <f>$H$37</f>
        <v>590</v>
      </c>
      <c r="G8" s="181" t="e">
        <f ca="1">_xll.BDP($C8,"PX_LAST")</f>
        <v>#NAME?</v>
      </c>
      <c r="H8" s="612" t="e">
        <f ca="1">_xll.BDP($C8,"BEST_TARGET_PRICE")</f>
        <v>#NAME?</v>
      </c>
      <c r="I8" s="680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3280400</v>
      </c>
      <c r="O8" s="120" t="e">
        <f ca="1">$J$37</f>
        <v>#NAME?</v>
      </c>
      <c r="P8" s="120" t="e">
        <f t="shared" ca="1" si="9"/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678"/>
    </row>
    <row r="9" spans="1:29" s="409" customFormat="1" x14ac:dyDescent="0.2">
      <c r="A9" s="409" t="s">
        <v>823</v>
      </c>
      <c r="B9" s="116" t="s">
        <v>388</v>
      </c>
      <c r="C9" s="118" t="s">
        <v>736</v>
      </c>
      <c r="D9" s="119" t="e">
        <f t="shared" ca="1" si="0"/>
        <v>#NAME?</v>
      </c>
      <c r="E9" s="120">
        <v>403</v>
      </c>
      <c r="F9" s="181">
        <v>8991.4699999999993</v>
      </c>
      <c r="G9" s="181" t="e">
        <f ca="1">_xll.BDP($C9,"PX_LAST")</f>
        <v>#NAME?</v>
      </c>
      <c r="H9" s="612" t="e">
        <f ca="1">_xll.BDP($C9,"BEST_TARGET_PRICE")</f>
        <v>#NAME?</v>
      </c>
      <c r="I9" s="680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3623562.4099999997</v>
      </c>
      <c r="O9" s="120" t="e">
        <f ca="1">N9/$I$1</f>
        <v>#NAME?</v>
      </c>
      <c r="P9" s="120" t="e">
        <f t="shared" ca="1" si="9"/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  <c r="Z9" s="125" t="e">
        <f ca="1">_xll.BDP($C9,"CHG_PCT_6M")</f>
        <v>#NAME?</v>
      </c>
      <c r="AA9" s="125" t="e">
        <f ca="1">_xll.BDP($C9,"CHG_PCT_3M")</f>
        <v>#NAME?</v>
      </c>
      <c r="AB9" s="125" t="e">
        <f ca="1">_xll.BDP($C9,"CHG_PCT_1M")</f>
        <v>#NAME?</v>
      </c>
    </row>
    <row r="10" spans="1:29" s="409" customFormat="1" x14ac:dyDescent="0.2">
      <c r="A10" s="409" t="s">
        <v>823</v>
      </c>
      <c r="B10" s="116" t="s">
        <v>208</v>
      </c>
      <c r="C10" s="118" t="s">
        <v>209</v>
      </c>
      <c r="D10" s="119" t="e">
        <f t="shared" ca="1" si="0"/>
        <v>#NAME?</v>
      </c>
      <c r="E10" s="120">
        <v>36200</v>
      </c>
      <c r="F10" s="181">
        <v>72.02</v>
      </c>
      <c r="G10" s="181" t="e">
        <f ca="1">_xll.BDP($C10,"PX_LAST")</f>
        <v>#NAME?</v>
      </c>
      <c r="H10" s="612" t="e">
        <f ca="1">_xll.BDP($C10,"BEST_TARGET_PRICE")</f>
        <v>#NAME?</v>
      </c>
      <c r="I10" s="680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2607124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  <c r="Z10" s="125" t="e">
        <f ca="1">_xll.BDP($C10,"CHG_PCT_6M")</f>
        <v>#NAME?</v>
      </c>
      <c r="AA10" s="125" t="e">
        <f ca="1">_xll.BDP($C10,"CHG_PCT_3M")</f>
        <v>#NAME?</v>
      </c>
      <c r="AB10" s="125" t="e">
        <f ca="1">_xll.BDP($C10,"CHG_PCT_1M")</f>
        <v>#NAME?</v>
      </c>
    </row>
    <row r="11" spans="1:29" s="409" customFormat="1" x14ac:dyDescent="0.2">
      <c r="A11" s="409" t="s">
        <v>823</v>
      </c>
      <c r="B11" s="116" t="s">
        <v>152</v>
      </c>
      <c r="C11" s="118" t="s">
        <v>52</v>
      </c>
      <c r="D11" s="119" t="e">
        <f t="shared" ca="1" si="0"/>
        <v>#NAME?</v>
      </c>
      <c r="E11" s="120">
        <v>20610</v>
      </c>
      <c r="F11" s="181">
        <v>137.22</v>
      </c>
      <c r="G11" s="181" t="e">
        <f ca="1">_xll.BDP($C11,"PX_LAST")</f>
        <v>#NAME?</v>
      </c>
      <c r="H11" s="612" t="e">
        <f ca="1">_xll.BDP($C11,"BEST_TARGET_PRICE")</f>
        <v>#NAME?</v>
      </c>
      <c r="I11" s="680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2828104.2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  <c r="Z11" s="125" t="e">
        <f ca="1">_xll.BDP($C11,"CHG_PCT_6M")</f>
        <v>#NAME?</v>
      </c>
      <c r="AA11" s="125" t="e">
        <f ca="1">_xll.BDP($C11,"CHG_PCT_3M")</f>
        <v>#NAME?</v>
      </c>
      <c r="AB11" s="125" t="e">
        <f ca="1">_xll.BDP($C11,"CHG_PCT_1M")</f>
        <v>#NAME?</v>
      </c>
    </row>
    <row r="12" spans="1:29" s="409" customFormat="1" x14ac:dyDescent="0.2">
      <c r="A12" s="409" t="s">
        <v>823</v>
      </c>
      <c r="B12" s="116" t="s">
        <v>333</v>
      </c>
      <c r="C12" s="118" t="s">
        <v>332</v>
      </c>
      <c r="D12" s="119" t="e">
        <f t="shared" ca="1" si="0"/>
        <v>#NAME?</v>
      </c>
      <c r="E12" s="120">
        <f>$F$44</f>
        <v>13000</v>
      </c>
      <c r="F12" s="181">
        <f>$H$44</f>
        <v>232.2</v>
      </c>
      <c r="G12" s="181" t="e">
        <f ca="1">_xll.BDP($C12,"PX_LAST")</f>
        <v>#NAME?</v>
      </c>
      <c r="H12" s="612" t="e">
        <f ca="1">_xll.BDP($C12,"BEST_TARGET_PRICE")</f>
        <v>#NAME?</v>
      </c>
      <c r="I12" s="680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3018600</v>
      </c>
      <c r="O12" s="120" t="e">
        <f ca="1">$J$44</f>
        <v>#NAME?</v>
      </c>
      <c r="P12" s="120" t="e">
        <f t="shared" ca="1" si="9"/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  <c r="Z12" s="125" t="e">
        <f ca="1">_xll.BDP($C12,"CHG_PCT_6M")</f>
        <v>#NAME?</v>
      </c>
      <c r="AA12" s="125" t="e">
        <f ca="1">_xll.BDP($C12,"CHG_PCT_3M")</f>
        <v>#NAME?</v>
      </c>
      <c r="AB12" s="125" t="e">
        <f ca="1">_xll.BDP($C12,"CHG_PCT_1M")</f>
        <v>#NAME?</v>
      </c>
    </row>
    <row r="13" spans="1:29" s="409" customFormat="1" x14ac:dyDescent="0.2">
      <c r="A13" s="409" t="s">
        <v>823</v>
      </c>
      <c r="B13" s="116" t="s">
        <v>290</v>
      </c>
      <c r="C13" s="118" t="s">
        <v>57</v>
      </c>
      <c r="D13" s="119" t="e">
        <f t="shared" ca="1" si="0"/>
        <v>#NAME?</v>
      </c>
      <c r="E13" s="120">
        <v>4320</v>
      </c>
      <c r="F13" s="181">
        <v>694.62</v>
      </c>
      <c r="G13" s="181" t="e">
        <f ca="1">_xll.BDP($C13,"PX_LAST")</f>
        <v>#NAME?</v>
      </c>
      <c r="H13" s="612" t="e">
        <f ca="1">_xll.BDP($C13,"BEST_TARGET_PRICE")</f>
        <v>#NAME?</v>
      </c>
      <c r="I13" s="680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3000758.4</v>
      </c>
      <c r="O13" s="120" t="e">
        <f ca="1">N13/$I$1</f>
        <v>#NAME?</v>
      </c>
      <c r="P13" s="120" t="e">
        <f t="shared" ca="1" si="9"/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  <c r="Z13" s="125" t="e">
        <f ca="1">_xll.BDP($C13,"CHG_PCT_6M")</f>
        <v>#NAME?</v>
      </c>
      <c r="AA13" s="125" t="e">
        <f ca="1">_xll.BDP($C13,"CHG_PCT_3M")</f>
        <v>#NAME?</v>
      </c>
      <c r="AB13" s="125" t="e">
        <f ca="1">_xll.BDP($C13,"CHG_PCT_1M")</f>
        <v>#NAME?</v>
      </c>
    </row>
    <row r="14" spans="1:29" s="409" customFormat="1" x14ac:dyDescent="0.2">
      <c r="A14" s="409" t="s">
        <v>823</v>
      </c>
      <c r="B14" s="116" t="s">
        <v>259</v>
      </c>
      <c r="C14" s="118" t="s">
        <v>258</v>
      </c>
      <c r="D14" s="119" t="e">
        <f t="shared" ca="1" si="0"/>
        <v>#NAME?</v>
      </c>
      <c r="E14" s="120">
        <f>$F$57</f>
        <v>511000</v>
      </c>
      <c r="F14" s="181">
        <f>$H$57</f>
        <v>4.8250000000000002</v>
      </c>
      <c r="G14" s="181" t="e">
        <f ca="1">_xll.BDP($C14,"PX_LAST")</f>
        <v>#NAME?</v>
      </c>
      <c r="H14" s="612" t="e">
        <f ca="1">_xll.BDP("NCSP LI EQUITY","BEST_TARGET_PRICE")/75*$I$1</f>
        <v>#NAME?</v>
      </c>
      <c r="I14" s="680" t="e">
        <f t="shared" ca="1" si="1"/>
        <v>#NAME?</v>
      </c>
      <c r="J14" s="181" t="e">
        <f ca="1">_xll.BDP("NCSP LI EQUITY","EQY_REC_CONS")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2465575</v>
      </c>
      <c r="O14" s="120" t="e">
        <f ca="1">$J$57</f>
        <v>#NAME?</v>
      </c>
      <c r="P14" s="120" t="e">
        <f t="shared" ca="1" si="9"/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  <c r="Z14" s="125" t="e">
        <f ca="1">_xll.BDP($C14,"CHG_PCT_6M")</f>
        <v>#NAME?</v>
      </c>
      <c r="AA14" s="125" t="e">
        <f ca="1">_xll.BDP($C14,"CHG_PCT_3M")</f>
        <v>#NAME?</v>
      </c>
      <c r="AB14" s="125" t="e">
        <f ca="1">_xll.BDP($C14,"CHG_PCT_1M")</f>
        <v>#NAME?</v>
      </c>
    </row>
    <row r="15" spans="1:29" s="440" customFormat="1" ht="15" x14ac:dyDescent="0.25">
      <c r="A15" s="460" t="s">
        <v>823</v>
      </c>
      <c r="B15" s="441" t="e">
        <f ca="1">_xll.BDP(C15,"SECURITY_NAME")</f>
        <v>#NAME?</v>
      </c>
      <c r="C15" s="679" t="s">
        <v>697</v>
      </c>
      <c r="D15" s="442" t="e">
        <f t="shared" ca="1" si="0"/>
        <v>#NAME?</v>
      </c>
      <c r="E15" s="443">
        <f>$F$60</f>
        <v>200000</v>
      </c>
      <c r="F15" s="444">
        <f>$H$60</f>
        <v>92</v>
      </c>
      <c r="G15" s="444" t="e">
        <f ca="1">_xll.BDP(C15,"PX_ASK")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$K$60</f>
        <v>#NAME?</v>
      </c>
      <c r="O15" s="443">
        <f>E15*F15/100</f>
        <v>184000</v>
      </c>
      <c r="P15" s="443" t="e">
        <f ca="1">E15*G15/100 *$I$1</f>
        <v>#NAME?</v>
      </c>
      <c r="Q15" s="443" t="e">
        <f t="shared" ref="Q15:Q16" ca="1" si="10">P15/$I$1</f>
        <v>#NAME?</v>
      </c>
      <c r="R15" s="446" t="e">
        <f t="shared" ref="R15:S16" ca="1" si="11">P15-N15</f>
        <v>#NAME?</v>
      </c>
      <c r="S15" s="446" t="e">
        <f t="shared" ca="1" si="11"/>
        <v>#NAME?</v>
      </c>
      <c r="T15" s="447" t="e">
        <f ca="1">_xll.BDP(C15,"YLD_YTM_BID")</f>
        <v>#NAME?</v>
      </c>
      <c r="U15" s="451" t="e">
        <f ca="1">E15*_xll.BDP(C15,"PX_GROSS_MID")/100</f>
        <v>#NAME?</v>
      </c>
      <c r="V15" s="448"/>
      <c r="X15" s="448" t="e">
        <f ca="1">_xll.BDP($C15,"CHG_PCT_YTD")</f>
        <v>#NAME?</v>
      </c>
      <c r="Y15" s="448" t="e">
        <f ca="1">_xll.BDP($C15,"CHG_PCT_1YR")</f>
        <v>#NAME?</v>
      </c>
      <c r="Z15" s="448" t="e">
        <f ca="1">_xll.BDP($C15,"CHG_PCT_6M")</f>
        <v>#NAME?</v>
      </c>
      <c r="AA15" s="448" t="e">
        <f ca="1">_xll.BDP($C15,"CHG_PCT_3M")</f>
        <v>#NAME?</v>
      </c>
      <c r="AB15" s="448" t="e">
        <f ca="1">_xll.BDP($C15,"CHG_PCT_1M")</f>
        <v>#NAME?</v>
      </c>
    </row>
    <row r="16" spans="1:29" s="440" customFormat="1" ht="15" x14ac:dyDescent="0.25">
      <c r="A16" s="460" t="s">
        <v>823</v>
      </c>
      <c r="B16" s="441" t="e">
        <f ca="1">_xll.BDP(C16,"SECURITY_NAME")</f>
        <v>#NAME?</v>
      </c>
      <c r="C16" s="679" t="s">
        <v>753</v>
      </c>
      <c r="D16" s="442" t="e">
        <f t="shared" ca="1" si="0"/>
        <v>#NAME?</v>
      </c>
      <c r="E16" s="443">
        <f>$F$63</f>
        <v>200000</v>
      </c>
      <c r="F16" s="444">
        <f>$H$63</f>
        <v>101.25</v>
      </c>
      <c r="G16" s="444" t="e">
        <f ca="1">_xll.BDP(C16,"PX_ASK")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$K$63</f>
        <v>#NAME?</v>
      </c>
      <c r="O16" s="443">
        <f>E16*F16/100</f>
        <v>202500</v>
      </c>
      <c r="P16" s="443" t="e">
        <f ca="1">E16*G16/100 *$I$1</f>
        <v>#NAME?</v>
      </c>
      <c r="Q16" s="443" t="e">
        <f t="shared" ca="1" si="10"/>
        <v>#NAME?</v>
      </c>
      <c r="R16" s="446" t="e">
        <f t="shared" ca="1" si="11"/>
        <v>#NAME?</v>
      </c>
      <c r="S16" s="446" t="e">
        <f t="shared" ca="1" si="11"/>
        <v>#NAME?</v>
      </c>
      <c r="T16" s="447" t="e">
        <f ca="1">_xll.BDP(C16,"YLD_YTM_BID")</f>
        <v>#NAME?</v>
      </c>
      <c r="U16" s="451" t="e">
        <f ca="1">E16*_xll.BDP(C16,"PX_GROSS_MID")/100</f>
        <v>#NAME?</v>
      </c>
      <c r="V16" s="448"/>
      <c r="X16" s="448" t="e">
        <f ca="1">_xll.BDP($C16,"CHG_PCT_YTD")</f>
        <v>#NAME?</v>
      </c>
      <c r="Y16" s="448" t="e">
        <f ca="1">_xll.BDP($C16,"CHG_PCT_1YR")</f>
        <v>#NAME?</v>
      </c>
      <c r="Z16" s="448" t="e">
        <f ca="1">_xll.BDP($C16,"CHG_PCT_6M")</f>
        <v>#NAME?</v>
      </c>
      <c r="AA16" s="448" t="e">
        <f ca="1">_xll.BDP($C16,"CHG_PCT_3M")</f>
        <v>#NAME?</v>
      </c>
      <c r="AB16" s="448" t="e">
        <f ca="1">_xll.BDP($C16,"CHG_PCT_1M")</f>
        <v>#NAME?</v>
      </c>
    </row>
    <row r="17" spans="2:28" x14ac:dyDescent="0.2">
      <c r="B17" s="68" t="s">
        <v>106</v>
      </c>
      <c r="C17" s="68" t="s">
        <v>106</v>
      </c>
      <c r="D17" s="101" t="e">
        <f t="shared" ca="1" si="0"/>
        <v>#NAME?</v>
      </c>
      <c r="E17" s="64"/>
      <c r="F17" s="67"/>
      <c r="G17" s="66"/>
      <c r="H17" s="66"/>
      <c r="I17" s="66"/>
      <c r="J17" s="66"/>
      <c r="K17" s="60"/>
      <c r="L17" s="65"/>
      <c r="M17" s="65"/>
      <c r="N17" s="64">
        <f>P17</f>
        <v>0</v>
      </c>
      <c r="O17" s="64" t="e">
        <f t="shared" ref="O17" ca="1" si="12">N17/$I$1</f>
        <v>#NAME?</v>
      </c>
      <c r="P17" s="64">
        <v>0</v>
      </c>
      <c r="Q17" s="63">
        <v>275000</v>
      </c>
      <c r="R17" s="62"/>
      <c r="S17" s="61" t="e">
        <f ca="1">Q17-O17</f>
        <v>#NAME?</v>
      </c>
      <c r="T17" s="61"/>
      <c r="U17" s="60"/>
      <c r="V17" s="60"/>
      <c r="W17" s="60"/>
      <c r="X17" s="60"/>
      <c r="Y17" s="60"/>
      <c r="Z17" s="60"/>
      <c r="AA17" s="60"/>
      <c r="AB17" s="60"/>
    </row>
    <row r="18" spans="2:28" ht="13.5" customHeight="1" thickBot="1" x14ac:dyDescent="0.25">
      <c r="B18" s="58"/>
      <c r="C18" s="58"/>
      <c r="D18" s="59" t="e">
        <f ca="1">SUM(D4:D17)</f>
        <v>#NAME?</v>
      </c>
      <c r="E18" s="58"/>
      <c r="F18" s="58"/>
      <c r="G18" s="58"/>
      <c r="H18" s="58"/>
      <c r="I18" s="570" t="e">
        <f ca="1">SUMPRODUCT($D4:$D14,I4:I14)</f>
        <v>#NAME?</v>
      </c>
      <c r="J18" s="58"/>
      <c r="K18" s="55"/>
      <c r="L18" s="570" t="e">
        <f ca="1">SUMPRODUCT($D4:$D16,L4:L16)</f>
        <v>#NAME?</v>
      </c>
      <c r="M18" s="570" t="e">
        <f ca="1">SUMPRODUCT($D4:$D16,M4:M16)</f>
        <v>#NAME?</v>
      </c>
      <c r="N18" s="137" t="e">
        <f t="shared" ref="N18:S18" ca="1" si="13">SUM(N4:N17)</f>
        <v>#NAME?</v>
      </c>
      <c r="O18" s="137" t="e">
        <f t="shared" ca="1" si="13"/>
        <v>#NAME?</v>
      </c>
      <c r="P18" s="137" t="e">
        <f t="shared" ca="1" si="13"/>
        <v>#NAME?</v>
      </c>
      <c r="Q18" s="137" t="e">
        <f t="shared" ca="1" si="13"/>
        <v>#NAME?</v>
      </c>
      <c r="R18" s="138" t="e">
        <f t="shared" ca="1" si="13"/>
        <v>#NAME?</v>
      </c>
      <c r="S18" s="138" t="e">
        <f t="shared" ca="1" si="13"/>
        <v>#NAME?</v>
      </c>
      <c r="T18" s="545" t="e">
        <f ca="1">SUMPRODUCT($D4:$D16,T4:T16)</f>
        <v>#NAME?</v>
      </c>
      <c r="U18" s="55"/>
      <c r="V18" s="55"/>
      <c r="W18" s="55"/>
      <c r="X18" s="55"/>
      <c r="Y18" s="55"/>
      <c r="Z18" s="55"/>
      <c r="AA18" s="55"/>
      <c r="AB18" s="55"/>
    </row>
    <row r="19" spans="2:28" ht="13.5" customHeight="1" x14ac:dyDescent="0.2">
      <c r="B19" s="41"/>
      <c r="C19" s="41"/>
      <c r="D19" s="54"/>
      <c r="E19" s="41"/>
      <c r="F19" s="41"/>
      <c r="G19" s="41"/>
      <c r="I19" s="9" t="s">
        <v>804</v>
      </c>
      <c r="K19" s="41"/>
      <c r="L19" s="40"/>
      <c r="M19" s="40"/>
      <c r="N19" s="40"/>
      <c r="O19" s="40"/>
      <c r="P19" s="52"/>
      <c r="Q19" s="53"/>
      <c r="R19" s="98" t="e">
        <f ca="1">$P$18/$N$18-1</f>
        <v>#NAME?</v>
      </c>
      <c r="S19" s="98" t="e">
        <f ca="1">$Q$18/$O$18-1</f>
        <v>#NAME?</v>
      </c>
      <c r="T19" s="9" t="s">
        <v>836</v>
      </c>
    </row>
    <row r="20" spans="2:28" x14ac:dyDescent="0.2">
      <c r="B20" s="32" t="s">
        <v>276</v>
      </c>
      <c r="E20" s="10"/>
      <c r="M20" s="352"/>
      <c r="N20" s="34"/>
      <c r="O20" s="34"/>
      <c r="P20" s="30"/>
    </row>
    <row r="21" spans="2:28" x14ac:dyDescent="0.2">
      <c r="B21" s="379">
        <v>2016</v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53"/>
      <c r="N21" s="34"/>
      <c r="O21" s="34"/>
      <c r="P21" s="30"/>
    </row>
    <row r="22" spans="2:28" ht="5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8" x14ac:dyDescent="0.2">
      <c r="B23" s="103" t="s">
        <v>223</v>
      </c>
      <c r="C23" s="41" t="s">
        <v>222</v>
      </c>
      <c r="D23" s="73" t="s">
        <v>51</v>
      </c>
      <c r="E23" s="43" t="e">
        <f ca="1">F23*_xll.BDP(C23,"PX_LAST")</f>
        <v>#NAME?</v>
      </c>
      <c r="F23" s="43">
        <v>68650</v>
      </c>
      <c r="G23" s="104">
        <v>68650</v>
      </c>
      <c r="H23" s="47">
        <f t="shared" ref="H23:H28" si="14">G23/F23</f>
        <v>1</v>
      </c>
      <c r="I23" s="43">
        <f t="shared" ref="I23:I28" si="15">G23*K23</f>
        <v>3032957</v>
      </c>
      <c r="J23" s="45">
        <f t="shared" ref="J23:J28" si="16">G23*L23</f>
        <v>4224629.0089999996</v>
      </c>
      <c r="K23" s="38">
        <v>44.18</v>
      </c>
      <c r="L23" s="38">
        <v>61.53866</v>
      </c>
      <c r="M23" s="693">
        <f t="shared" ref="M23:M28" si="17">L23/K23-1</f>
        <v>0.39290765052059751</v>
      </c>
      <c r="N23" s="43">
        <f t="shared" ref="N23:N28" si="18">J23-I23</f>
        <v>1191672.0089999996</v>
      </c>
      <c r="O23" s="106" t="e">
        <f ca="1">_xll.BDP($C23,"CRNCY")</f>
        <v>#NAME?</v>
      </c>
      <c r="P23" s="43" t="e">
        <f t="shared" ref="P23:P28" ca="1" si="19">N23/R23</f>
        <v>#NAME?</v>
      </c>
      <c r="Q23" s="14">
        <v>42633</v>
      </c>
      <c r="R23" s="22" t="e">
        <f ca="1">_xll.BDH("RUB curncy","PX_LAST",$Q23)</f>
        <v>#NAME?</v>
      </c>
    </row>
    <row r="24" spans="2:28" x14ac:dyDescent="0.2">
      <c r="B24" s="103" t="s">
        <v>147</v>
      </c>
      <c r="C24" s="41" t="s">
        <v>53</v>
      </c>
      <c r="D24" s="73" t="s">
        <v>51</v>
      </c>
      <c r="E24" s="43" t="e">
        <f ca="1">F24*_xll.BDP(C24,"PX_LAST")</f>
        <v>#NAME?</v>
      </c>
      <c r="F24" s="43">
        <v>2033</v>
      </c>
      <c r="G24" s="104">
        <v>2033</v>
      </c>
      <c r="H24" s="47">
        <f t="shared" si="14"/>
        <v>1</v>
      </c>
      <c r="I24" s="43">
        <f t="shared" si="15"/>
        <v>5521465.3600000003</v>
      </c>
      <c r="J24" s="45">
        <f t="shared" si="16"/>
        <v>6002432.5</v>
      </c>
      <c r="K24" s="38">
        <v>2715.92</v>
      </c>
      <c r="L24" s="38">
        <v>2952.5</v>
      </c>
      <c r="M24" s="693">
        <f t="shared" si="17"/>
        <v>8.7108604082594354E-2</v>
      </c>
      <c r="N24" s="43">
        <f t="shared" si="18"/>
        <v>480967.13999999966</v>
      </c>
      <c r="O24" s="106" t="e">
        <f ca="1">_xll.BDP($C24,"CRNCY")</f>
        <v>#NAME?</v>
      </c>
      <c r="P24" s="43" t="e">
        <f t="shared" ca="1" si="19"/>
        <v>#NAME?</v>
      </c>
      <c r="Q24" s="14">
        <v>42677</v>
      </c>
      <c r="R24" s="22" t="e">
        <f ca="1">_xll.BDH("RUB curncy","PX_LAST",$Q24)</f>
        <v>#NAME?</v>
      </c>
    </row>
    <row r="25" spans="2:28" x14ac:dyDescent="0.2">
      <c r="B25" s="103" t="s">
        <v>733</v>
      </c>
      <c r="C25" s="41" t="s">
        <v>735</v>
      </c>
      <c r="D25" s="73" t="s">
        <v>51</v>
      </c>
      <c r="E25" s="43" t="e">
        <f ca="1">F25*_xll.BDP(C25,"PX_LAST")</f>
        <v>#NAME?</v>
      </c>
      <c r="F25" s="43">
        <v>4180</v>
      </c>
      <c r="G25" s="104">
        <v>4180</v>
      </c>
      <c r="H25" s="47">
        <f t="shared" si="14"/>
        <v>1</v>
      </c>
      <c r="I25" s="43">
        <f t="shared" si="15"/>
        <v>739985.4</v>
      </c>
      <c r="J25" s="45">
        <f t="shared" si="16"/>
        <v>827640</v>
      </c>
      <c r="K25" s="38">
        <v>177.03</v>
      </c>
      <c r="L25" s="38">
        <v>198</v>
      </c>
      <c r="M25" s="693">
        <f t="shared" si="17"/>
        <v>0.11845449923741747</v>
      </c>
      <c r="N25" s="43">
        <f t="shared" si="18"/>
        <v>87654.599999999977</v>
      </c>
      <c r="O25" s="106" t="e">
        <f ca="1">_xll.BDP($C25,"CRNCY")</f>
        <v>#NAME?</v>
      </c>
      <c r="P25" s="43" t="e">
        <f t="shared" ca="1" si="19"/>
        <v>#NAME?</v>
      </c>
      <c r="Q25" s="14">
        <v>42677</v>
      </c>
      <c r="R25" s="22" t="e">
        <f ca="1">_xll.BDH("RUB curncy","PX_LAST",$Q25)</f>
        <v>#NAME?</v>
      </c>
    </row>
    <row r="26" spans="2:28" x14ac:dyDescent="0.2">
      <c r="B26" s="103" t="s">
        <v>732</v>
      </c>
      <c r="C26" s="41" t="s">
        <v>734</v>
      </c>
      <c r="D26" s="73" t="s">
        <v>51</v>
      </c>
      <c r="E26" s="43" t="e">
        <f ca="1">F26*_xll.BDP(C26,"PX_LAST")</f>
        <v>#NAME?</v>
      </c>
      <c r="F26" s="43">
        <v>2270</v>
      </c>
      <c r="G26" s="104">
        <v>2270</v>
      </c>
      <c r="H26" s="47">
        <f t="shared" si="14"/>
        <v>1</v>
      </c>
      <c r="I26" s="43">
        <f t="shared" si="15"/>
        <v>736728.5</v>
      </c>
      <c r="J26" s="45" t="e">
        <f t="shared" ca="1" si="16"/>
        <v>#NAME?</v>
      </c>
      <c r="K26" s="38">
        <v>324.55</v>
      </c>
      <c r="L26" s="38" t="e">
        <f ca="1">_xll.BDH(C26,"PX_LAST",Q26)</f>
        <v>#NAME?</v>
      </c>
      <c r="M26" s="693" t="e">
        <f t="shared" ca="1" si="17"/>
        <v>#NAME?</v>
      </c>
      <c r="N26" s="43" t="e">
        <f t="shared" ca="1" si="18"/>
        <v>#NAME?</v>
      </c>
      <c r="O26" s="106" t="e">
        <f ca="1">_xll.BDP($C26,"CRNCY")</f>
        <v>#NAME?</v>
      </c>
      <c r="P26" s="43" t="e">
        <f t="shared" ca="1" si="19"/>
        <v>#NAME?</v>
      </c>
      <c r="Q26" s="14">
        <v>42684</v>
      </c>
      <c r="R26" s="22" t="e">
        <f ca="1">_xll.BDH("RUB curncy","PX_LAST",$Q26)</f>
        <v>#NAME?</v>
      </c>
    </row>
    <row r="27" spans="2:28" x14ac:dyDescent="0.2">
      <c r="B27" s="103" t="s">
        <v>188</v>
      </c>
      <c r="C27" s="41" t="s">
        <v>189</v>
      </c>
      <c r="D27" s="73" t="s">
        <v>51</v>
      </c>
      <c r="E27" s="43" t="e">
        <f ca="1">F27*_xll.BDP(C27,"PX_LAST")</f>
        <v>#NAME?</v>
      </c>
      <c r="F27" s="43">
        <v>17720</v>
      </c>
      <c r="G27" s="104">
        <v>17720</v>
      </c>
      <c r="H27" s="47">
        <f t="shared" si="14"/>
        <v>1</v>
      </c>
      <c r="I27" s="43">
        <f t="shared" si="15"/>
        <v>1478379.6</v>
      </c>
      <c r="J27" s="45" t="e">
        <f t="shared" ca="1" si="16"/>
        <v>#NAME?</v>
      </c>
      <c r="K27" s="38">
        <v>83.43</v>
      </c>
      <c r="L27" s="38" t="e">
        <f ca="1">_xll.BDH(C27,"PX_LAST",Q27)</f>
        <v>#NAME?</v>
      </c>
      <c r="M27" s="693" t="e">
        <f t="shared" ca="1" si="17"/>
        <v>#NAME?</v>
      </c>
      <c r="N27" s="43" t="e">
        <f t="shared" ca="1" si="18"/>
        <v>#NAME?</v>
      </c>
      <c r="O27" s="106" t="e">
        <f ca="1">_xll.BDP($C27,"CRNCY")</f>
        <v>#NAME?</v>
      </c>
      <c r="P27" s="43" t="e">
        <f t="shared" ca="1" si="19"/>
        <v>#NAME?</v>
      </c>
      <c r="Q27" s="14">
        <v>42684</v>
      </c>
      <c r="R27" s="22" t="e">
        <f ca="1">_xll.BDH("RUB curncy","PX_LAST",$Q27)</f>
        <v>#NAME?</v>
      </c>
    </row>
    <row r="28" spans="2:28" x14ac:dyDescent="0.2">
      <c r="B28" s="103" t="s">
        <v>95</v>
      </c>
      <c r="C28" s="41" t="s">
        <v>78</v>
      </c>
      <c r="D28" s="73" t="s">
        <v>51</v>
      </c>
      <c r="E28" s="43" t="e">
        <f ca="1">F28*_xll.BDP(C28,"PX_LAST")</f>
        <v>#NAME?</v>
      </c>
      <c r="F28" s="43">
        <v>8960</v>
      </c>
      <c r="G28" s="104">
        <v>8960</v>
      </c>
      <c r="H28" s="47">
        <f t="shared" si="14"/>
        <v>1</v>
      </c>
      <c r="I28" s="43">
        <f t="shared" si="15"/>
        <v>2147801.6</v>
      </c>
      <c r="J28" s="45" t="e">
        <f t="shared" ca="1" si="16"/>
        <v>#NAME?</v>
      </c>
      <c r="K28" s="38">
        <v>239.71</v>
      </c>
      <c r="L28" s="38" t="e">
        <f ca="1">_xll.BDH(C28,"PX_LAST",Q28)</f>
        <v>#NAME?</v>
      </c>
      <c r="M28" s="693" t="e">
        <f t="shared" ca="1" si="17"/>
        <v>#NAME?</v>
      </c>
      <c r="N28" s="43" t="e">
        <f t="shared" ca="1" si="18"/>
        <v>#NAME?</v>
      </c>
      <c r="O28" s="106" t="e">
        <f ca="1">_xll.BDP($C28,"CRNCY")</f>
        <v>#NAME?</v>
      </c>
      <c r="P28" s="43" t="e">
        <f t="shared" ca="1" si="19"/>
        <v>#NAME?</v>
      </c>
      <c r="Q28" s="14">
        <v>42613</v>
      </c>
      <c r="R28" s="22" t="e">
        <f ca="1">_xll.BDH("RUB curncy","PX_LAST",$Q28)</f>
        <v>#NAME?</v>
      </c>
    </row>
    <row r="29" spans="2:28" x14ac:dyDescent="0.2">
      <c r="B29" s="33"/>
      <c r="C29" s="33"/>
      <c r="D29" s="33"/>
      <c r="G29" s="33"/>
      <c r="H29" s="33"/>
      <c r="I29" s="33"/>
      <c r="J29" s="38"/>
      <c r="K29" s="37"/>
      <c r="L29" s="36"/>
      <c r="M29" s="35" t="s">
        <v>94</v>
      </c>
      <c r="N29" s="40" t="e">
        <f ca="1">SUM(N23:N28)</f>
        <v>#NAME?</v>
      </c>
      <c r="O29" s="34" t="s">
        <v>75</v>
      </c>
      <c r="P29" s="40" t="e">
        <f ca="1">SUM(P23:P28)</f>
        <v>#NAME?</v>
      </c>
      <c r="R29" s="39"/>
    </row>
    <row r="30" spans="2:28" x14ac:dyDescent="0.2">
      <c r="B30" s="33"/>
      <c r="C30" s="33"/>
      <c r="D30" s="33"/>
      <c r="E30" s="33"/>
      <c r="F30" s="33"/>
      <c r="G30" s="33"/>
      <c r="H30" s="38"/>
      <c r="I30" s="37"/>
      <c r="J30" s="36"/>
      <c r="K30" s="35"/>
      <c r="L30" s="30"/>
      <c r="M30" s="34"/>
      <c r="N30" s="33"/>
    </row>
    <row r="31" spans="2:28" x14ac:dyDescent="0.2">
      <c r="B31" s="32" t="s">
        <v>93</v>
      </c>
      <c r="C31" s="10"/>
      <c r="D31" s="31"/>
      <c r="H31" s="31"/>
      <c r="I31" s="10"/>
      <c r="J31" s="10"/>
      <c r="K31" s="29"/>
    </row>
    <row r="32" spans="2:28" ht="13.5" thickBot="1" x14ac:dyDescent="0.25">
      <c r="C32" s="29"/>
      <c r="D32" s="29"/>
      <c r="G32" s="29"/>
      <c r="H32" s="10"/>
      <c r="I32" s="30"/>
      <c r="J32" s="10"/>
      <c r="K32" s="29"/>
    </row>
    <row r="33" spans="2:17" ht="15" x14ac:dyDescent="0.35">
      <c r="B33" s="26"/>
      <c r="C33" s="26"/>
      <c r="D33" s="26"/>
      <c r="E33" s="26"/>
      <c r="F33" s="26"/>
      <c r="G33" s="26"/>
      <c r="H33" s="28" t="s">
        <v>92</v>
      </c>
      <c r="I33" s="27" t="s">
        <v>91</v>
      </c>
      <c r="J33" s="27" t="s">
        <v>90</v>
      </c>
      <c r="K33" s="27"/>
      <c r="L33" s="26"/>
      <c r="M33" s="26"/>
      <c r="N33" s="26"/>
      <c r="Q33" s="129"/>
    </row>
    <row r="34" spans="2:17" ht="15" x14ac:dyDescent="0.35">
      <c r="B34" s="23" t="s">
        <v>89</v>
      </c>
      <c r="C34" s="23" t="s">
        <v>88</v>
      </c>
      <c r="D34" s="23" t="s">
        <v>87</v>
      </c>
      <c r="E34" s="23" t="s">
        <v>86</v>
      </c>
      <c r="F34" s="23" t="s">
        <v>85</v>
      </c>
      <c r="G34" s="23" t="s">
        <v>84</v>
      </c>
      <c r="H34" s="25" t="s">
        <v>83</v>
      </c>
      <c r="I34" s="24" t="s">
        <v>83</v>
      </c>
      <c r="J34" s="24" t="s">
        <v>75</v>
      </c>
      <c r="K34" s="24" t="s">
        <v>73</v>
      </c>
      <c r="L34" s="23" t="s">
        <v>82</v>
      </c>
      <c r="M34" s="23" t="s">
        <v>81</v>
      </c>
      <c r="N34" s="23" t="s">
        <v>80</v>
      </c>
    </row>
    <row r="35" spans="2:17" x14ac:dyDescent="0.2">
      <c r="H35" s="10"/>
    </row>
    <row r="36" spans="2:17" x14ac:dyDescent="0.2">
      <c r="B36" s="287" t="s">
        <v>823</v>
      </c>
      <c r="C36" s="287" t="s">
        <v>2</v>
      </c>
      <c r="D36" s="284" t="e">
        <f ca="1">_xll.BDP(C36,"SECURITY_NAME")</f>
        <v>#NAME?</v>
      </c>
      <c r="E36" s="284" t="s">
        <v>50</v>
      </c>
      <c r="F36" s="285">
        <v>5560</v>
      </c>
      <c r="G36" s="284" t="e">
        <f ca="1">_xll.BDP(C36,"CRNCY")</f>
        <v>#NAME?</v>
      </c>
      <c r="H36" s="281">
        <v>590</v>
      </c>
      <c r="I36" s="282">
        <f>F36*H36</f>
        <v>3280400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42724</v>
      </c>
    </row>
    <row r="37" spans="2:17" x14ac:dyDescent="0.2">
      <c r="B37" s="279"/>
      <c r="C37" s="279"/>
      <c r="D37" s="278"/>
      <c r="E37" s="278"/>
      <c r="F37" s="277">
        <f>SUM(F36:F36)</f>
        <v>5560</v>
      </c>
      <c r="G37" s="278"/>
      <c r="H37" s="276">
        <f>I37/F37</f>
        <v>590</v>
      </c>
      <c r="I37" s="277">
        <f>SUM(I36:I36)</f>
        <v>3280400</v>
      </c>
      <c r="J37" s="277" t="e">
        <f ca="1">SUM(J36:J36)</f>
        <v>#NAME?</v>
      </c>
      <c r="K37" s="277" t="e">
        <f ca="1">SUM(K36:K36)</f>
        <v>#NAME?</v>
      </c>
      <c r="L37" s="276"/>
      <c r="M37" s="275"/>
      <c r="N37" s="274"/>
    </row>
    <row r="38" spans="2:17" x14ac:dyDescent="0.2">
      <c r="H38" s="10"/>
    </row>
    <row r="39" spans="2:17" x14ac:dyDescent="0.2">
      <c r="B39" s="287" t="s">
        <v>823</v>
      </c>
      <c r="C39" s="287" t="s">
        <v>42</v>
      </c>
      <c r="D39" s="284" t="e">
        <f ca="1">_xll.BDP(C39,"SECURITY_NAME")</f>
        <v>#NAME?</v>
      </c>
      <c r="E39" s="284" t="s">
        <v>50</v>
      </c>
      <c r="F39" s="285">
        <v>10700</v>
      </c>
      <c r="G39" s="284" t="e">
        <f ca="1">_xll.BDP(C39,"CRNCY")</f>
        <v>#NAME?</v>
      </c>
      <c r="H39" s="281">
        <v>3.45</v>
      </c>
      <c r="I39" s="282">
        <f>F39*H39</f>
        <v>36915</v>
      </c>
      <c r="J39" s="283">
        <f>I39</f>
        <v>36915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42633</v>
      </c>
    </row>
    <row r="40" spans="2:17" x14ac:dyDescent="0.2">
      <c r="B40" s="287" t="s">
        <v>823</v>
      </c>
      <c r="C40" s="287" t="s">
        <v>42</v>
      </c>
      <c r="D40" s="284" t="e">
        <f ca="1">_xll.BDP(C40,"SECURITY_NAME")</f>
        <v>#NAME?</v>
      </c>
      <c r="E40" s="284" t="s">
        <v>50</v>
      </c>
      <c r="F40" s="285">
        <v>10700</v>
      </c>
      <c r="G40" s="284" t="e">
        <f ca="1">_xll.BDP(C40,"CRNCY")</f>
        <v>#NAME?</v>
      </c>
      <c r="H40" s="281">
        <v>4.3694860000000002</v>
      </c>
      <c r="I40" s="282">
        <f>F40*H40</f>
        <v>46753.500200000002</v>
      </c>
      <c r="J40" s="283">
        <f>I40</f>
        <v>46753.500200000002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42597</v>
      </c>
    </row>
    <row r="41" spans="2:17" x14ac:dyDescent="0.2">
      <c r="B41" s="279"/>
      <c r="C41" s="279"/>
      <c r="D41" s="278"/>
      <c r="E41" s="278"/>
      <c r="F41" s="277">
        <f>SUM(F39:F40)</f>
        <v>21400</v>
      </c>
      <c r="G41" s="278"/>
      <c r="H41" s="276">
        <f>I41/F41</f>
        <v>3.9097430000000006</v>
      </c>
      <c r="I41" s="277">
        <f>SUM(I39:I40)</f>
        <v>83668.500200000009</v>
      </c>
      <c r="J41" s="277">
        <f>SUM(J39:J40)</f>
        <v>83668.500200000009</v>
      </c>
      <c r="K41" s="277" t="e">
        <f ca="1">SUM(K39:K40)</f>
        <v>#NAME?</v>
      </c>
      <c r="L41" s="276"/>
      <c r="M41" s="275"/>
      <c r="N41" s="274"/>
    </row>
    <row r="42" spans="2:17" x14ac:dyDescent="0.2">
      <c r="L42" s="13"/>
    </row>
    <row r="43" spans="2:17" x14ac:dyDescent="0.2">
      <c r="B43" s="287" t="s">
        <v>823</v>
      </c>
      <c r="C43" s="287" t="s">
        <v>334</v>
      </c>
      <c r="D43" s="284" t="e">
        <f ca="1">_xll.BDP(C43,"SECURITY_NAME")</f>
        <v>#NAME?</v>
      </c>
      <c r="E43" s="284" t="s">
        <v>50</v>
      </c>
      <c r="F43" s="285">
        <v>13000</v>
      </c>
      <c r="G43" s="284" t="e">
        <f ca="1">_xll.BDP(C43,"CRNCY")</f>
        <v>#NAME?</v>
      </c>
      <c r="H43" s="281">
        <v>232.2</v>
      </c>
      <c r="I43" s="282">
        <f>F43*H43</f>
        <v>3018600</v>
      </c>
      <c r="J43" s="283" t="e">
        <f ca="1">I43/L43</f>
        <v>#NAME?</v>
      </c>
      <c r="K43" s="282" t="e">
        <f ca="1">J43*L43</f>
        <v>#NAME?</v>
      </c>
      <c r="L43" s="281" t="e">
        <f ca="1">_xll.BDH("RUB curncy","PX_LAST",$N43)</f>
        <v>#NAME?</v>
      </c>
      <c r="M43" s="280" t="e">
        <f ca="1">1/_xll.BDH("RUB curncy","PX_LAST",$N43)</f>
        <v>#NAME?</v>
      </c>
      <c r="N43" s="274">
        <v>42600</v>
      </c>
    </row>
    <row r="44" spans="2:17" x14ac:dyDescent="0.2">
      <c r="B44" s="279"/>
      <c r="C44" s="279"/>
      <c r="D44" s="278"/>
      <c r="E44" s="278"/>
      <c r="F44" s="277">
        <f>SUM(F43:F43)</f>
        <v>13000</v>
      </c>
      <c r="G44" s="278"/>
      <c r="H44" s="276">
        <f>I44/F44</f>
        <v>232.2</v>
      </c>
      <c r="I44" s="277">
        <f>SUM(I43:I43)</f>
        <v>3018600</v>
      </c>
      <c r="J44" s="277" t="e">
        <f ca="1">SUM(J43:J43)</f>
        <v>#NAME?</v>
      </c>
      <c r="K44" s="277" t="e">
        <f ca="1">SUM(K43:K43)</f>
        <v>#NAME?</v>
      </c>
      <c r="L44" s="276"/>
      <c r="M44" s="275"/>
      <c r="N44" s="274"/>
    </row>
    <row r="46" spans="2:17" x14ac:dyDescent="0.2">
      <c r="B46" s="287" t="s">
        <v>823</v>
      </c>
      <c r="C46" s="287" t="s">
        <v>66</v>
      </c>
      <c r="D46" s="284" t="e">
        <f ca="1">_xll.BDP(C46,"SECURITY_NAME")</f>
        <v>#NAME?</v>
      </c>
      <c r="E46" s="284" t="s">
        <v>50</v>
      </c>
      <c r="F46" s="285">
        <v>6100</v>
      </c>
      <c r="G46" s="284" t="e">
        <f ca="1">_xll.BDP(C46,"CRNCY")</f>
        <v>#NAME?</v>
      </c>
      <c r="H46" s="281">
        <v>7.65</v>
      </c>
      <c r="I46" s="282">
        <f>F46*H46</f>
        <v>46665</v>
      </c>
      <c r="J46" s="283">
        <f>I46</f>
        <v>46665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42599</v>
      </c>
    </row>
    <row r="47" spans="2:17" x14ac:dyDescent="0.2">
      <c r="B47" s="279"/>
      <c r="C47" s="279"/>
      <c r="D47" s="278"/>
      <c r="E47" s="278"/>
      <c r="F47" s="277">
        <f>SUM(F46:F46)</f>
        <v>6100</v>
      </c>
      <c r="G47" s="278"/>
      <c r="H47" s="276">
        <f>I47/F47</f>
        <v>7.65</v>
      </c>
      <c r="I47" s="277">
        <f>SUM(I46:I46)</f>
        <v>46665</v>
      </c>
      <c r="J47" s="277">
        <f>SUM(J46:J46)</f>
        <v>46665</v>
      </c>
      <c r="K47" s="277" t="e">
        <f ca="1">SUM(K46:K46)</f>
        <v>#NAME?</v>
      </c>
      <c r="L47" s="276"/>
      <c r="M47" s="275"/>
      <c r="N47" s="274"/>
    </row>
    <row r="48" spans="2:17" x14ac:dyDescent="0.2">
      <c r="G48" s="10"/>
    </row>
    <row r="49" spans="2:14" x14ac:dyDescent="0.2">
      <c r="B49" s="287" t="s">
        <v>823</v>
      </c>
      <c r="C49" s="287" t="s">
        <v>336</v>
      </c>
      <c r="D49" s="284" t="e">
        <f ca="1">_xll.BDP(C49,"SECURITY_NAME")</f>
        <v>#NAME?</v>
      </c>
      <c r="E49" s="284" t="s">
        <v>50</v>
      </c>
      <c r="F49" s="285">
        <v>4484</v>
      </c>
      <c r="G49" s="284" t="e">
        <f ca="1">_xll.BDP(C49,"CRNCY")</f>
        <v>#NAME?</v>
      </c>
      <c r="H49" s="281">
        <v>600</v>
      </c>
      <c r="I49" s="282">
        <f>F49*H49</f>
        <v>2690400</v>
      </c>
      <c r="J49" s="283" t="e">
        <f ca="1">I49/L49</f>
        <v>#NAME?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42724</v>
      </c>
    </row>
    <row r="50" spans="2:14" x14ac:dyDescent="0.2">
      <c r="B50" s="287" t="s">
        <v>823</v>
      </c>
      <c r="C50" s="287" t="s">
        <v>336</v>
      </c>
      <c r="D50" s="284" t="e">
        <f ca="1">_xll.BDP(C50,"SECURITY_NAME")</f>
        <v>#NAME?</v>
      </c>
      <c r="E50" s="284" t="s">
        <v>50</v>
      </c>
      <c r="F50" s="285">
        <v>4484</v>
      </c>
      <c r="G50" s="284" t="e">
        <f ca="1">_xll.BDP(C50,"CRNCY")</f>
        <v>#NAME?</v>
      </c>
      <c r="H50" s="281">
        <v>670</v>
      </c>
      <c r="I50" s="282">
        <f>F50*H50</f>
        <v>3004280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42656</v>
      </c>
    </row>
    <row r="51" spans="2:14" x14ac:dyDescent="0.2">
      <c r="B51" s="279"/>
      <c r="C51" s="279"/>
      <c r="D51" s="278"/>
      <c r="E51" s="278"/>
      <c r="F51" s="277">
        <f>SUM(F49:F50)</f>
        <v>8968</v>
      </c>
      <c r="G51" s="278"/>
      <c r="H51" s="276">
        <f>I51/F51</f>
        <v>635</v>
      </c>
      <c r="I51" s="277">
        <f>SUM(I49:I50)</f>
        <v>5694680</v>
      </c>
      <c r="J51" s="277" t="e">
        <f ca="1">SUM(J49:J50)</f>
        <v>#NAME?</v>
      </c>
      <c r="K51" s="277" t="e">
        <f ca="1">SUM(K49:K50)</f>
        <v>#NAME?</v>
      </c>
      <c r="L51" s="276"/>
      <c r="M51" s="275"/>
      <c r="N51" s="274"/>
    </row>
    <row r="53" spans="2:14" x14ac:dyDescent="0.2">
      <c r="B53" s="287" t="s">
        <v>823</v>
      </c>
      <c r="C53" s="287" t="s">
        <v>15</v>
      </c>
      <c r="D53" s="284" t="e">
        <f ca="1">_xll.BDP(C53,"SECURITY_NAME")</f>
        <v>#NAME?</v>
      </c>
      <c r="E53" s="284" t="s">
        <v>50</v>
      </c>
      <c r="F53" s="285">
        <v>900</v>
      </c>
      <c r="G53" s="284" t="e">
        <f ca="1">_xll.BDP(C53,"CRNCY")</f>
        <v>#NAME?</v>
      </c>
      <c r="H53" s="281">
        <v>51.155000000000001</v>
      </c>
      <c r="I53" s="282">
        <f>F53*H53</f>
        <v>46039.5</v>
      </c>
      <c r="J53" s="283">
        <f>I53</f>
        <v>46039.5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42613</v>
      </c>
    </row>
    <row r="54" spans="2:14" x14ac:dyDescent="0.2">
      <c r="B54" s="279"/>
      <c r="C54" s="279"/>
      <c r="D54" s="278"/>
      <c r="E54" s="278"/>
      <c r="F54" s="277">
        <f>SUM(F53:F53)</f>
        <v>900</v>
      </c>
      <c r="G54" s="278"/>
      <c r="H54" s="276">
        <f>I54/F54</f>
        <v>51.155000000000001</v>
      </c>
      <c r="I54" s="277">
        <f>SUM(I53:I53)</f>
        <v>46039.5</v>
      </c>
      <c r="J54" s="277">
        <f>SUM(J53:J53)</f>
        <v>46039.5</v>
      </c>
      <c r="K54" s="277" t="e">
        <f ca="1">SUM(K53:K53)</f>
        <v>#NAME?</v>
      </c>
      <c r="L54" s="276"/>
      <c r="M54" s="275"/>
      <c r="N54" s="274"/>
    </row>
    <row r="56" spans="2:14" x14ac:dyDescent="0.2">
      <c r="B56" s="287" t="s">
        <v>823</v>
      </c>
      <c r="C56" s="287" t="s">
        <v>257</v>
      </c>
      <c r="D56" s="284" t="e">
        <f ca="1">_xll.BDP(C56,"SECURITY_NAME")</f>
        <v>#NAME?</v>
      </c>
      <c r="E56" s="284" t="s">
        <v>50</v>
      </c>
      <c r="F56" s="285">
        <v>511000</v>
      </c>
      <c r="G56" s="284" t="e">
        <f ca="1">_xll.BDP(C56,"CRNCY")</f>
        <v>#NAME?</v>
      </c>
      <c r="H56" s="281">
        <v>4.8250000000000002</v>
      </c>
      <c r="I56" s="282">
        <f>F56*H56</f>
        <v>2465575</v>
      </c>
      <c r="J56" s="283" t="e">
        <f ca="1">I56/L56</f>
        <v>#NAME?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42612</v>
      </c>
    </row>
    <row r="57" spans="2:14" x14ac:dyDescent="0.2">
      <c r="B57" s="279"/>
      <c r="C57" s="279"/>
      <c r="D57" s="278"/>
      <c r="E57" s="278"/>
      <c r="F57" s="277">
        <f>SUM(F56:F56)</f>
        <v>511000</v>
      </c>
      <c r="G57" s="278"/>
      <c r="H57" s="276">
        <f>I57/F57</f>
        <v>4.8250000000000002</v>
      </c>
      <c r="I57" s="277">
        <f>SUM(I56:I56)</f>
        <v>2465575</v>
      </c>
      <c r="J57" s="277" t="e">
        <f ca="1">SUM(J56:J56)</f>
        <v>#NAME?</v>
      </c>
      <c r="K57" s="277" t="e">
        <f ca="1">SUM(K56:K56)</f>
        <v>#NAME?</v>
      </c>
      <c r="L57" s="276"/>
      <c r="M57" s="275"/>
      <c r="N57" s="274"/>
    </row>
    <row r="59" spans="2:14" x14ac:dyDescent="0.2">
      <c r="B59" s="287" t="s">
        <v>823</v>
      </c>
      <c r="C59" s="286" t="s">
        <v>697</v>
      </c>
      <c r="D59" s="284" t="e">
        <f ca="1">_xll.BDP(C59,"SECURITY_NAME")</f>
        <v>#NAME?</v>
      </c>
      <c r="E59" s="284" t="s">
        <v>50</v>
      </c>
      <c r="F59" s="285">
        <v>200000</v>
      </c>
      <c r="G59" s="284" t="e">
        <f ca="1">_xll.BDP(C59,"CRNCY")</f>
        <v>#NAME?</v>
      </c>
      <c r="H59" s="281">
        <v>92</v>
      </c>
      <c r="I59" s="282">
        <f>F59*H59/100</f>
        <v>184000</v>
      </c>
      <c r="J59" s="283">
        <f>I59</f>
        <v>184000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42579</v>
      </c>
    </row>
    <row r="60" spans="2:14" x14ac:dyDescent="0.2">
      <c r="B60" s="279"/>
      <c r="C60" s="279"/>
      <c r="D60" s="278"/>
      <c r="E60" s="278"/>
      <c r="F60" s="277">
        <f>SUM(F59:F59)</f>
        <v>200000</v>
      </c>
      <c r="G60" s="278"/>
      <c r="H60" s="276">
        <f>J60/F60*100</f>
        <v>92</v>
      </c>
      <c r="I60" s="277">
        <f>SUM(I59:I59)</f>
        <v>184000</v>
      </c>
      <c r="J60" s="277">
        <f>SUM(J59:J59)</f>
        <v>184000</v>
      </c>
      <c r="K60" s="277" t="e">
        <f ca="1">SUM(K59:K59)</f>
        <v>#NAME?</v>
      </c>
      <c r="L60" s="276"/>
      <c r="M60" s="275"/>
      <c r="N60" s="274"/>
    </row>
    <row r="62" spans="2:14" x14ac:dyDescent="0.2">
      <c r="B62" s="287" t="s">
        <v>823</v>
      </c>
      <c r="C62" s="286" t="s">
        <v>753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101.25</v>
      </c>
      <c r="I62" s="282">
        <f>F62*H62/100</f>
        <v>202500</v>
      </c>
      <c r="J62" s="283">
        <f>I62</f>
        <v>202500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42579</v>
      </c>
    </row>
    <row r="63" spans="2:14" x14ac:dyDescent="0.2">
      <c r="B63" s="279"/>
      <c r="C63" s="286"/>
      <c r="D63" s="278"/>
      <c r="E63" s="278"/>
      <c r="F63" s="277">
        <f>SUM(F62)</f>
        <v>200000</v>
      </c>
      <c r="G63" s="278"/>
      <c r="H63" s="276">
        <f>J63/F63*100</f>
        <v>101.25</v>
      </c>
      <c r="I63" s="277">
        <f>SUM(I62)</f>
        <v>202500</v>
      </c>
      <c r="J63" s="277">
        <f>SUM(J62)</f>
        <v>202500</v>
      </c>
      <c r="K63" s="277" t="e">
        <f ca="1">SUM(K62)</f>
        <v>#NAME?</v>
      </c>
      <c r="L63" s="276"/>
      <c r="M63" s="275"/>
      <c r="N63" s="274"/>
    </row>
  </sheetData>
  <sortState ref="A4:AB14">
    <sortCondition descending="1" ref="I4:I14"/>
  </sortState>
  <conditionalFormatting sqref="X11:AB11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{C8EEF56D-4C36-438C-B8ED-C0AC1CCF423A}</x14:id>
        </ext>
      </extLst>
    </cfRule>
  </conditionalFormatting>
  <conditionalFormatting sqref="X14:AB14">
    <cfRule type="dataBar" priority="5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{AB9CFF34-A280-48A0-9967-191C8308E5BC}</x14:id>
        </ext>
      </extLst>
    </cfRule>
  </conditionalFormatting>
  <conditionalFormatting sqref="X9:AB9">
    <cfRule type="dataBar" priority="5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{DF7405B8-585B-4B85-9EAC-F50CC3C4E8B0}</x14:id>
        </ext>
      </extLst>
    </cfRule>
  </conditionalFormatting>
  <conditionalFormatting sqref="X9:AB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{4B35F398-A57C-43B0-B1CF-CBFB2DB4321D}</x14:id>
        </ext>
      </extLst>
    </cfRule>
  </conditionalFormatting>
  <conditionalFormatting sqref="X9:AB9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{7BBD31E0-404E-49C0-BC55-83555E6377AE}</x14:id>
        </ext>
      </extLst>
    </cfRule>
  </conditionalFormatting>
  <conditionalFormatting sqref="X12:AB12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{DC18F941-AB57-448B-84DC-09F10038215C}</x14:id>
        </ext>
      </extLst>
    </cfRule>
  </conditionalFormatting>
  <conditionalFormatting sqref="X12:AB12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{1E285483-8ECC-41E8-BF98-FADC72DF902F}</x14:id>
        </ext>
      </extLst>
    </cfRule>
  </conditionalFormatting>
  <conditionalFormatting sqref="L12:M12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{107AB665-5F5A-4016-A6AE-E6D29FD5A2B9}</x14:id>
        </ext>
      </extLst>
    </cfRule>
  </conditionalFormatting>
  <conditionalFormatting sqref="L12:M12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{5205F3D1-D7AA-49B8-BD92-2C8E81F17845}</x14:id>
        </ext>
      </extLst>
    </cfRule>
  </conditionalFormatting>
  <conditionalFormatting sqref="L12">
    <cfRule type="dataBar" priority="5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{02B61D55-F9CE-4631-AA0D-F83539CB94E6}</x14:id>
        </ext>
      </extLst>
    </cfRule>
  </conditionalFormatting>
  <conditionalFormatting sqref="M12">
    <cfRule type="dataBar" priority="5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{BFE82299-AAA0-4571-9940-200DC2B150C8}</x14:id>
        </ext>
      </extLst>
    </cfRule>
  </conditionalFormatting>
  <conditionalFormatting sqref="X12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{9EF7BF86-F9FE-4707-A7F5-3552859ADA3B}</x14:id>
        </ext>
      </extLst>
    </cfRule>
  </conditionalFormatting>
  <conditionalFormatting sqref="Y12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{27BD4B83-4E84-414A-B464-50DD7E7477B3}</x14:id>
        </ext>
      </extLst>
    </cfRule>
  </conditionalFormatting>
  <conditionalFormatting sqref="Z12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{576C9B2B-ACAA-4C8A-AF5D-687E3D50D05C}</x14:id>
        </ext>
      </extLst>
    </cfRule>
  </conditionalFormatting>
  <conditionalFormatting sqref="AA12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{2D807F71-E34A-46A7-BB64-FD2341700A16}</x14:id>
        </ext>
      </extLst>
    </cfRule>
  </conditionalFormatting>
  <conditionalFormatting sqref="AB12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{22BCD5B2-E133-4BF3-B0A9-DE03DF8835EA}</x14:id>
        </ext>
      </extLst>
    </cfRule>
  </conditionalFormatting>
  <conditionalFormatting sqref="L12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{B2C7AB9C-BFBB-4CA8-A003-426885605610}</x14:id>
        </ext>
      </extLst>
    </cfRule>
  </conditionalFormatting>
  <conditionalFormatting sqref="M12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{87227C6D-B707-4376-AC56-23B6CFD2B467}</x14:id>
        </ext>
      </extLst>
    </cfRule>
  </conditionalFormatting>
  <conditionalFormatting sqref="L12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{E9885EE8-46E6-464A-B83A-A38CD5351CAD}</x14:id>
        </ext>
      </extLst>
    </cfRule>
  </conditionalFormatting>
  <conditionalFormatting sqref="M12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{2D96FBB7-1A80-4778-B260-612AD6914137}</x14:id>
        </ext>
      </extLst>
    </cfRule>
  </conditionalFormatting>
  <conditionalFormatting sqref="X12:AB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{2348D23A-33E3-465C-941E-73F93D87680F}</x14:id>
        </ext>
      </extLst>
    </cfRule>
  </conditionalFormatting>
  <conditionalFormatting sqref="X4:AB4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{3A31DDAE-F6DE-4883-8FFA-14BF963E0984}</x14:id>
        </ext>
      </extLst>
    </cfRule>
  </conditionalFormatting>
  <conditionalFormatting sqref="X4:AB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{6BE9BB1C-7AD7-4065-8C88-E4811DB085F5}</x14:id>
        </ext>
      </extLst>
    </cfRule>
  </conditionalFormatting>
  <conditionalFormatting sqref="L4:M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{89B44AC6-B8DE-4DC0-875F-0CF61BE02412}</x14:id>
        </ext>
      </extLst>
    </cfRule>
  </conditionalFormatting>
  <conditionalFormatting sqref="L4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{28AB7DC0-5C72-41CA-9B6F-E6DC4E31ECD8}</x14:id>
        </ext>
      </extLst>
    </cfRule>
  </conditionalFormatting>
  <conditionalFormatting sqref="M4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{E68718B2-5104-4B96-9E89-C0A2131C6350}</x14:id>
        </ext>
      </extLst>
    </cfRule>
  </conditionalFormatting>
  <conditionalFormatting sqref="X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{3425E147-49E3-4175-946E-E8BE27733936}</x14:id>
        </ext>
      </extLst>
    </cfRule>
  </conditionalFormatting>
  <conditionalFormatting sqref="Y4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{DAEDCC53-D6E7-4328-84A0-FC671EE33BA7}</x14:id>
        </ext>
      </extLst>
    </cfRule>
  </conditionalFormatting>
  <conditionalFormatting sqref="Z4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{D9AF300F-0A28-49C7-9FFC-8E559583C7A8}</x14:id>
        </ext>
      </extLst>
    </cfRule>
  </conditionalFormatting>
  <conditionalFormatting sqref="AA4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{A33CCBEE-75AF-4ED6-8BD0-828D1811293A}</x14:id>
        </ext>
      </extLst>
    </cfRule>
  </conditionalFormatting>
  <conditionalFormatting sqref="AB4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{2008ED41-3957-409D-944F-4BEC64D1A83F}</x14:id>
        </ext>
      </extLst>
    </cfRule>
  </conditionalFormatting>
  <conditionalFormatting sqref="L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{39ACC33C-72D9-43CB-842C-869C2E69593C}</x14:id>
        </ext>
      </extLst>
    </cfRule>
  </conditionalFormatting>
  <conditionalFormatting sqref="M4">
    <cfRule type="dataBar" priority="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{5641C309-AAE6-4CA9-82CF-103EF5EE6CEA}</x14:id>
        </ext>
      </extLst>
    </cfRule>
  </conditionalFormatting>
  <conditionalFormatting sqref="V4:V14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{3587B3A4-179E-45DC-AD3E-86B6D382752C}</x14:id>
        </ext>
      </extLst>
    </cfRule>
  </conditionalFormatting>
  <conditionalFormatting sqref="L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{5CBC522D-73CB-48B5-9377-D305D7D17BA6}</x14:id>
        </ext>
      </extLst>
    </cfRule>
  </conditionalFormatting>
  <conditionalFormatting sqref="M4">
    <cfRule type="dataBar" priority="4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{2E41F27C-0765-41FF-AF0B-89380C941ADA}</x14:id>
        </ext>
      </extLst>
    </cfRule>
  </conditionalFormatting>
  <conditionalFormatting sqref="W4:W14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{0F22EBFF-E396-4B9E-AE2F-7CD599732DE9}</x14:id>
        </ext>
      </extLst>
    </cfRule>
  </conditionalFormatting>
  <conditionalFormatting sqref="W4:W14">
    <cfRule type="dataBar" priority="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{BF792437-2C76-48FF-AC5B-C8301D2AE165}</x14:id>
        </ext>
      </extLst>
    </cfRule>
  </conditionalFormatting>
  <conditionalFormatting sqref="W4:W14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{431D764D-8EEC-4952-9F4E-29E4F10BCE05}</x14:id>
        </ext>
      </extLst>
    </cfRule>
  </conditionalFormatting>
  <conditionalFormatting sqref="W4:W14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{E0D97AD3-E66C-4FE6-B057-0B559068D840}</x14:id>
        </ext>
      </extLst>
    </cfRule>
  </conditionalFormatting>
  <conditionalFormatting sqref="X14:AB14 X11:AB11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{ED534BF3-55CF-430E-91E0-6883C4B5975A}</x14:id>
        </ext>
      </extLst>
    </cfRule>
  </conditionalFormatting>
  <conditionalFormatting sqref="L14:M14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{50001C16-BC43-41C0-B5BD-D43C3E4AB7AC}</x14:id>
        </ext>
      </extLst>
    </cfRule>
  </conditionalFormatting>
  <conditionalFormatting sqref="L14:M14 L9:M9 L11:M11">
    <cfRule type="dataBar" priority="5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{BE0F9B57-0A50-4846-B18F-C5F210EE3ED6}</x14:id>
        </ext>
      </extLst>
    </cfRule>
  </conditionalFormatting>
  <conditionalFormatting sqref="X14:AB14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{A49B060F-9F08-4768-9DE4-C582494AFA52}</x14:id>
        </ext>
      </extLst>
    </cfRule>
  </conditionalFormatting>
  <conditionalFormatting sqref="L9 L14 L11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{EFE12CAB-3BCF-40AD-9583-2B9F881B87FA}</x14:id>
        </ext>
      </extLst>
    </cfRule>
  </conditionalFormatting>
  <conditionalFormatting sqref="M9 M14 M11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{1DEA837F-8211-4984-AB9B-918FBB92D066}</x14:id>
        </ext>
      </extLst>
    </cfRule>
  </conditionalFormatting>
  <conditionalFormatting sqref="L14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{61B4457F-8762-4D3C-830D-CFA2D9FD0124}</x14:id>
        </ext>
      </extLst>
    </cfRule>
  </conditionalFormatting>
  <conditionalFormatting sqref="M14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{2CA7D311-A5D8-466B-8FBF-5611912E1621}</x14:id>
        </ext>
      </extLst>
    </cfRule>
  </conditionalFormatting>
  <conditionalFormatting sqref="X14 X9 X1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{7E81196F-FE5A-4CEE-B057-AE6383D84C88}</x14:id>
        </ext>
      </extLst>
    </cfRule>
  </conditionalFormatting>
  <conditionalFormatting sqref="Y14 Y9 Y11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{9594AD13-BBE1-4E2A-AD4D-56092ADFEC61}</x14:id>
        </ext>
      </extLst>
    </cfRule>
  </conditionalFormatting>
  <conditionalFormatting sqref="Z9 Z14 Z11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{6F490B2C-3271-4437-B067-7420E6D2E8BA}</x14:id>
        </ext>
      </extLst>
    </cfRule>
  </conditionalFormatting>
  <conditionalFormatting sqref="AA9 AA14 AA11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{EDED0DB4-D195-4334-9831-4A18AB4B6E21}</x14:id>
        </ext>
      </extLst>
    </cfRule>
  </conditionalFormatting>
  <conditionalFormatting sqref="AB9 AB14 AB1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{BA240DFD-56E9-4D85-8A84-79260BE60CE3}</x14:id>
        </ext>
      </extLst>
    </cfRule>
  </conditionalFormatting>
  <conditionalFormatting sqref="M11:M12 M14 M4 M9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{43E8A653-356A-4049-AF92-07F2B98DE11D}</x14:id>
        </ext>
      </extLst>
    </cfRule>
  </conditionalFormatting>
  <conditionalFormatting sqref="L14:M14 L11:M12 L4:M4 L9:M9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{AE17E6A5-C795-418F-9352-5E3E4E95EE9D}</x14:id>
        </ext>
      </extLst>
    </cfRule>
  </conditionalFormatting>
  <conditionalFormatting sqref="H23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{5C78E948-66B2-4BEF-BEE0-762DE31FC565}</x14:id>
        </ext>
      </extLst>
    </cfRule>
    <cfRule type="cellIs" dxfId="8604" priority="347" operator="equal">
      <formula>1</formula>
    </cfRule>
  </conditionalFormatting>
  <conditionalFormatting sqref="D23">
    <cfRule type="containsText" dxfId="8603" priority="345" operator="containsText" text="Buy">
      <formula>NOT(ISERROR(SEARCH("Buy",D23)))</formula>
    </cfRule>
    <cfRule type="containsText" dxfId="8602" priority="346" operator="containsText" text="Sell">
      <formula>NOT(ISERROR(SEARCH("Sell",D23)))</formula>
    </cfRule>
  </conditionalFormatting>
  <conditionalFormatting sqref="E37">
    <cfRule type="containsText" dxfId="8601" priority="313" operator="containsText" text="Buy">
      <formula>NOT(ISERROR(SEARCH("Buy",E37)))</formula>
    </cfRule>
    <cfRule type="containsText" dxfId="8600" priority="314" operator="containsText" text="Sell">
      <formula>NOT(ISERROR(SEARCH("Sell",E37)))</formula>
    </cfRule>
  </conditionalFormatting>
  <conditionalFormatting sqref="E36">
    <cfRule type="containsText" dxfId="8599" priority="311" operator="containsText" text="Buy">
      <formula>NOT(ISERROR(SEARCH("Buy",E36)))</formula>
    </cfRule>
    <cfRule type="containsText" dxfId="8598" priority="312" operator="containsText" text="Sell">
      <formula>NOT(ISERROR(SEARCH("Sell",E36)))</formula>
    </cfRule>
  </conditionalFormatting>
  <conditionalFormatting sqref="E41">
    <cfRule type="containsText" dxfId="8597" priority="309" operator="containsText" text="Buy">
      <formula>NOT(ISERROR(SEARCH("Buy",E41)))</formula>
    </cfRule>
    <cfRule type="containsText" dxfId="8596" priority="310" operator="containsText" text="Sell">
      <formula>NOT(ISERROR(SEARCH("Sell",E41)))</formula>
    </cfRule>
  </conditionalFormatting>
  <conditionalFormatting sqref="E40">
    <cfRule type="containsText" dxfId="8595" priority="307" operator="containsText" text="Buy">
      <formula>NOT(ISERROR(SEARCH("Buy",E40)))</formula>
    </cfRule>
    <cfRule type="containsText" dxfId="8594" priority="308" operator="containsText" text="Sell">
      <formula>NOT(ISERROR(SEARCH("Sell",E40)))</formula>
    </cfRule>
  </conditionalFormatting>
  <conditionalFormatting sqref="X13:AB13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{613742F6-C210-4C48-AC4D-E586DF2159AD}</x14:id>
        </ext>
      </extLst>
    </cfRule>
  </conditionalFormatting>
  <conditionalFormatting sqref="X13:AB13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{3C3EE2C2-B2CA-423B-A208-FD3766B234A4}</x14:id>
        </ext>
      </extLst>
    </cfRule>
  </conditionalFormatting>
  <conditionalFormatting sqref="L13:M13">
    <cfRule type="dataBar" priority="2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{1C6D27E9-B929-4B78-83B6-D482EB5309F6}</x14:id>
        </ext>
      </extLst>
    </cfRule>
  </conditionalFormatting>
  <conditionalFormatting sqref="L13:M13">
    <cfRule type="dataBar" priority="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{3F4D8F08-9293-4480-9648-2FFACE5ECF20}</x14:id>
        </ext>
      </extLst>
    </cfRule>
  </conditionalFormatting>
  <conditionalFormatting sqref="L13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{9F4ED4F7-2855-4613-918E-1AEB12E54508}</x14:id>
        </ext>
      </extLst>
    </cfRule>
  </conditionalFormatting>
  <conditionalFormatting sqref="M13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{9FCA04AC-9C81-4432-BB0F-CE1430CA176D}</x14:id>
        </ext>
      </extLst>
    </cfRule>
  </conditionalFormatting>
  <conditionalFormatting sqref="X13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{221AB81E-7885-474A-B227-7C1FD8CE84EE}</x14:id>
        </ext>
      </extLst>
    </cfRule>
  </conditionalFormatting>
  <conditionalFormatting sqref="Y13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{5F5F00E3-6D03-4EE3-91CB-D5F0B9C6E6B6}</x14:id>
        </ext>
      </extLst>
    </cfRule>
  </conditionalFormatting>
  <conditionalFormatting sqref="Z13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{B29EFF20-6637-41ED-86BD-725881556387}</x14:id>
        </ext>
      </extLst>
    </cfRule>
  </conditionalFormatting>
  <conditionalFormatting sqref="AA13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{FAB93378-C4E6-4519-86F1-A199038398AA}</x14:id>
        </ext>
      </extLst>
    </cfRule>
  </conditionalFormatting>
  <conditionalFormatting sqref="AB13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{352D227E-6A44-465B-A741-6D80FD29E4B6}</x14:id>
        </ext>
      </extLst>
    </cfRule>
  </conditionalFormatting>
  <conditionalFormatting sqref="L13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{3301FD89-5B1D-44B7-89DF-EA8782053825}</x14:id>
        </ext>
      </extLst>
    </cfRule>
  </conditionalFormatting>
  <conditionalFormatting sqref="M13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{43B280B2-6BE1-4011-92F0-6F0B8475E5D5}</x14:id>
        </ext>
      </extLst>
    </cfRule>
  </conditionalFormatting>
  <conditionalFormatting sqref="L13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{07B45157-B53D-4256-93A4-169598B91917}</x14:id>
        </ext>
      </extLst>
    </cfRule>
  </conditionalFormatting>
  <conditionalFormatting sqref="M13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{8EFB5825-21FD-4A99-90F4-EB728383D015}</x14:id>
        </ext>
      </extLst>
    </cfRule>
  </conditionalFormatting>
  <conditionalFormatting sqref="X13:AB13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{A6B9BF69-D189-4FCC-86D0-A2A46BFFFC16}</x14:id>
        </ext>
      </extLst>
    </cfRule>
  </conditionalFormatting>
  <conditionalFormatting sqref="M13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{0C76C0EF-4EA2-4547-ADA5-B020129BBA05}</x14:id>
        </ext>
      </extLst>
    </cfRule>
  </conditionalFormatting>
  <conditionalFormatting sqref="L13:M13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{745BF7D5-B064-446A-80CF-00490B940ACD}</x14:id>
        </ext>
      </extLst>
    </cfRule>
  </conditionalFormatting>
  <conditionalFormatting sqref="X10:AB10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{B1D27951-7273-4539-9780-76A98EB8DE08}</x14:id>
        </ext>
      </extLst>
    </cfRule>
  </conditionalFormatting>
  <conditionalFormatting sqref="X10:AB1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{8BD61650-1942-4FED-AB08-CF3E34B475C6}</x14:id>
        </ext>
      </extLst>
    </cfRule>
  </conditionalFormatting>
  <conditionalFormatting sqref="X10:AB10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{5729DC66-4B70-46A3-9DE0-CFD3090BFB10}</x14:id>
        </ext>
      </extLst>
    </cfRule>
  </conditionalFormatting>
  <conditionalFormatting sqref="L10:M10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{C9C3B95C-8C2D-4D09-A3CB-FD90931FAB34}</x14:id>
        </ext>
      </extLst>
    </cfRule>
  </conditionalFormatting>
  <conditionalFormatting sqref="L10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{A45B52E9-822E-4E7F-98E8-5DC55F4AB41F}</x14:id>
        </ext>
      </extLst>
    </cfRule>
  </conditionalFormatting>
  <conditionalFormatting sqref="M10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{2F08754E-01F2-4597-898E-50B16995DAF6}</x14:id>
        </ext>
      </extLst>
    </cfRule>
  </conditionalFormatting>
  <conditionalFormatting sqref="X10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{34F2D1A7-64EB-49C4-850E-24B762435BE9}</x14:id>
        </ext>
      </extLst>
    </cfRule>
  </conditionalFormatting>
  <conditionalFormatting sqref="Y10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{C826BA30-BE65-46C0-A05A-B62654690D64}</x14:id>
        </ext>
      </extLst>
    </cfRule>
  </conditionalFormatting>
  <conditionalFormatting sqref="Z10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{54BF974D-5A32-43E5-96D1-7F12313CA89A}</x14:id>
        </ext>
      </extLst>
    </cfRule>
  </conditionalFormatting>
  <conditionalFormatting sqref="AA10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{03BFD071-3ED8-40CC-9B81-9DB80EF13BBD}</x14:id>
        </ext>
      </extLst>
    </cfRule>
  </conditionalFormatting>
  <conditionalFormatting sqref="AB10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{331B729F-AB69-46C9-97C1-0219D7592F22}</x14:id>
        </ext>
      </extLst>
    </cfRule>
  </conditionalFormatting>
  <conditionalFormatting sqref="L10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{E400694F-1468-410F-93F9-50ADB8EB3485}</x14:id>
        </ext>
      </extLst>
    </cfRule>
  </conditionalFormatting>
  <conditionalFormatting sqref="M10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{B8BCE7E3-EA62-42EF-ACA6-58EA8F017F9B}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{F812DD3B-74D2-42E4-BDF7-1F9873ED19C9}</x14:id>
        </ext>
      </extLst>
    </cfRule>
  </conditionalFormatting>
  <conditionalFormatting sqref="M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{692954C9-2050-4558-9A27-91C9E843EF33}</x14:id>
        </ext>
      </extLst>
    </cfRule>
  </conditionalFormatting>
  <conditionalFormatting sqref="M10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{364AC542-6EF6-473E-8863-59219F8B823E}</x14:id>
        </ext>
      </extLst>
    </cfRule>
  </conditionalFormatting>
  <conditionalFormatting sqref="L10:M10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{7027EC97-E32F-44A5-9CFB-580F724DA188}</x14:id>
        </ext>
      </extLst>
    </cfRule>
  </conditionalFormatting>
  <conditionalFormatting sqref="E44">
    <cfRule type="containsText" dxfId="8593" priority="224" operator="containsText" text="Buy">
      <formula>NOT(ISERROR(SEARCH("Buy",E44)))</formula>
    </cfRule>
    <cfRule type="containsText" dxfId="8592" priority="225" operator="containsText" text="Sell">
      <formula>NOT(ISERROR(SEARCH("Sell",E44)))</formula>
    </cfRule>
  </conditionalFormatting>
  <conditionalFormatting sqref="E43">
    <cfRule type="containsText" dxfId="8591" priority="222" operator="containsText" text="Buy">
      <formula>NOT(ISERROR(SEARCH("Buy",E43)))</formula>
    </cfRule>
    <cfRule type="containsText" dxfId="8590" priority="223" operator="containsText" text="Sell">
      <formula>NOT(ISERROR(SEARCH("Sell",E43)))</formula>
    </cfRule>
  </conditionalFormatting>
  <conditionalFormatting sqref="E47">
    <cfRule type="containsText" dxfId="8589" priority="220" operator="containsText" text="Buy">
      <formula>NOT(ISERROR(SEARCH("Buy",E47)))</formula>
    </cfRule>
    <cfRule type="containsText" dxfId="8588" priority="221" operator="containsText" text="Sell">
      <formula>NOT(ISERROR(SEARCH("Sell",E47)))</formula>
    </cfRule>
  </conditionalFormatting>
  <conditionalFormatting sqref="E46">
    <cfRule type="containsText" dxfId="8587" priority="218" operator="containsText" text="Buy">
      <formula>NOT(ISERROR(SEARCH("Buy",E46)))</formula>
    </cfRule>
    <cfRule type="containsText" dxfId="8586" priority="219" operator="containsText" text="Sell">
      <formula>NOT(ISERROR(SEARCH("Sell",E46)))</formula>
    </cfRule>
  </conditionalFormatting>
  <conditionalFormatting sqref="X8:AB8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{EAD69E08-0A0A-4F30-91B7-0D4E30A50690}</x14:id>
        </ext>
      </extLst>
    </cfRule>
  </conditionalFormatting>
  <conditionalFormatting sqref="X8:AB8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{214BE4D7-D9F6-4B4C-82BF-60660307E857}</x14:id>
        </ext>
      </extLst>
    </cfRule>
  </conditionalFormatting>
  <conditionalFormatting sqref="X8:AB8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{F34EE831-142F-40C7-A85F-91AB26912EF8}</x14:id>
        </ext>
      </extLst>
    </cfRule>
  </conditionalFormatting>
  <conditionalFormatting sqref="L8:M8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{BB9B0F91-7BEC-4D4C-8533-F6A0EDFB5338}</x14:id>
        </ext>
      </extLst>
    </cfRule>
  </conditionalFormatting>
  <conditionalFormatting sqref="L8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{2A95DABB-C499-45C9-AC65-6B0F32143EAD}</x14:id>
        </ext>
      </extLst>
    </cfRule>
  </conditionalFormatting>
  <conditionalFormatting sqref="M8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{E0B04102-4C73-4EF0-9909-B2E17DC685AC}</x14:id>
        </ext>
      </extLst>
    </cfRule>
  </conditionalFormatting>
  <conditionalFormatting sqref="X8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{7F543E32-28C2-4452-BE8B-06B244B481B9}</x14:id>
        </ext>
      </extLst>
    </cfRule>
  </conditionalFormatting>
  <conditionalFormatting sqref="Y8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{23C78A96-2ADD-41EC-A6E0-29AE0F41A19F}</x14:id>
        </ext>
      </extLst>
    </cfRule>
  </conditionalFormatting>
  <conditionalFormatting sqref="Z8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{1706FDC7-BD97-44A0-8303-BF0FA543AC53}</x14:id>
        </ext>
      </extLst>
    </cfRule>
  </conditionalFormatting>
  <conditionalFormatting sqref="AA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{B96A1822-4F9D-4FCC-9434-932ED53F38DF}</x14:id>
        </ext>
      </extLst>
    </cfRule>
  </conditionalFormatting>
  <conditionalFormatting sqref="AB8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{4F706FB3-43B3-459A-BE55-87120DA8A603}</x14:id>
        </ext>
      </extLst>
    </cfRule>
  </conditionalFormatting>
  <conditionalFormatting sqref="L8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{0186BE32-377E-483C-A752-41DC92ECAF85}</x14:id>
        </ext>
      </extLst>
    </cfRule>
  </conditionalFormatting>
  <conditionalFormatting sqref="M8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{DBBD55B7-BB83-4B66-A7C6-289053E5FD0C}</x14:id>
        </ext>
      </extLst>
    </cfRule>
  </conditionalFormatting>
  <conditionalFormatting sqref="L8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{0C1230DC-4758-4546-83CA-4088A5D75212}</x14:id>
        </ext>
      </extLst>
    </cfRule>
  </conditionalFormatting>
  <conditionalFormatting sqref="M8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{A01BF26F-5C65-441D-9997-D979C4C19D5E}</x14:id>
        </ext>
      </extLst>
    </cfRule>
  </conditionalFormatting>
  <conditionalFormatting sqref="M8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{45E640A0-4E9A-40D7-A424-8721A41A3392}</x14:id>
        </ext>
      </extLst>
    </cfRule>
  </conditionalFormatting>
  <conditionalFormatting sqref="L8:M8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{C214EC28-5EB3-4E86-8CDF-A436395278D8}</x14:id>
        </ext>
      </extLst>
    </cfRule>
  </conditionalFormatting>
  <conditionalFormatting sqref="E39">
    <cfRule type="containsText" dxfId="8585" priority="162" operator="containsText" text="Buy">
      <formula>NOT(ISERROR(SEARCH("Buy",E39)))</formula>
    </cfRule>
    <cfRule type="containsText" dxfId="8584" priority="163" operator="containsText" text="Sell">
      <formula>NOT(ISERROR(SEARCH("Sell",E39)))</formula>
    </cfRule>
  </conditionalFormatting>
  <conditionalFormatting sqref="E51">
    <cfRule type="containsText" dxfId="8583" priority="159" operator="containsText" text="Buy">
      <formula>NOT(ISERROR(SEARCH("Buy",E51)))</formula>
    </cfRule>
    <cfRule type="containsText" dxfId="8582" priority="160" operator="containsText" text="Sell">
      <formula>NOT(ISERROR(SEARCH("Sell",E51)))</formula>
    </cfRule>
  </conditionalFormatting>
  <conditionalFormatting sqref="E50">
    <cfRule type="containsText" dxfId="8581" priority="157" operator="containsText" text="Buy">
      <formula>NOT(ISERROR(SEARCH("Buy",E50)))</formula>
    </cfRule>
    <cfRule type="containsText" dxfId="8580" priority="158" operator="containsText" text="Sell">
      <formula>NOT(ISERROR(SEARCH("Sell",E50)))</formula>
    </cfRule>
  </conditionalFormatting>
  <conditionalFormatting sqref="H2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{C3304D0E-B9E9-49F1-81B0-AF7DE787BCB3}</x14:id>
        </ext>
      </extLst>
    </cfRule>
    <cfRule type="cellIs" dxfId="8579" priority="156" operator="equal">
      <formula>1</formula>
    </cfRule>
  </conditionalFormatting>
  <conditionalFormatting sqref="D24">
    <cfRule type="containsText" dxfId="8578" priority="154" operator="containsText" text="Buy">
      <formula>NOT(ISERROR(SEARCH("Buy",D24)))</formula>
    </cfRule>
    <cfRule type="containsText" dxfId="8577" priority="155" operator="containsText" text="Sell">
      <formula>NOT(ISERROR(SEARCH("Sell",D24)))</formula>
    </cfRule>
  </conditionalFormatting>
  <conditionalFormatting sqref="H2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{D786B44E-E8B2-42C1-BAED-10510179833F}</x14:id>
        </ext>
      </extLst>
    </cfRule>
    <cfRule type="cellIs" dxfId="8576" priority="152" operator="equal">
      <formula>1</formula>
    </cfRule>
  </conditionalFormatting>
  <conditionalFormatting sqref="D25">
    <cfRule type="containsText" dxfId="8575" priority="150" operator="containsText" text="Buy">
      <formula>NOT(ISERROR(SEARCH("Buy",D25)))</formula>
    </cfRule>
    <cfRule type="containsText" dxfId="8574" priority="151" operator="containsText" text="Sell">
      <formula>NOT(ISERROR(SEARCH("Sell",D25)))</formula>
    </cfRule>
  </conditionalFormatting>
  <conditionalFormatting sqref="X6: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{444C85F1-E6FE-4548-9A03-6C06CDB8B6C8}</x14:id>
        </ext>
      </extLst>
    </cfRule>
  </conditionalFormatting>
  <conditionalFormatting sqref="X6:AB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{ADC3C9ED-6BF7-475D-AFE9-755E2D898FFE}</x14:id>
        </ext>
      </extLst>
    </cfRule>
  </conditionalFormatting>
  <conditionalFormatting sqref="X6:AB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{EB752D81-7C43-4856-BE59-FE418496CCE7}</x14:id>
        </ext>
      </extLst>
    </cfRule>
  </conditionalFormatting>
  <conditionalFormatting sqref="L6:M6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{C8B169F2-4F37-4623-BFB5-17CE5DB0D1FA}</x14:id>
        </ext>
      </extLst>
    </cfRule>
  </conditionalFormatting>
  <conditionalFormatting sqref="L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{13E1F30A-58E9-4B06-AAD9-D8B4790FE7F0}</x14:id>
        </ext>
      </extLst>
    </cfRule>
  </conditionalFormatting>
  <conditionalFormatting sqref="M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{3A0EFBFB-AE5F-4E51-8F93-BC68186EA755}</x14:id>
        </ext>
      </extLst>
    </cfRule>
  </conditionalFormatting>
  <conditionalFormatting sqref="X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{B8C5EBBD-8243-4F01-B282-111163F4E7FB}</x14:id>
        </ext>
      </extLst>
    </cfRule>
  </conditionalFormatting>
  <conditionalFormatting sqref="Y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{30CFAB20-1730-4C3E-8618-97E6C1B0FCC7}</x14:id>
        </ext>
      </extLst>
    </cfRule>
  </conditionalFormatting>
  <conditionalFormatting sqref="Z6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{3ED9A40A-66AC-44BB-A71B-327DD61CE959}</x14:id>
        </ext>
      </extLst>
    </cfRule>
  </conditionalFormatting>
  <conditionalFormatting sqref="AA6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{27D0DBF5-161D-4BCD-8481-6201A8BAC863}</x14:id>
        </ext>
      </extLst>
    </cfRule>
  </conditionalFormatting>
  <conditionalFormatting sqref="AB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{A547C9E0-92C4-451F-978C-81F247044858}</x14:id>
        </ext>
      </extLst>
    </cfRule>
  </conditionalFormatting>
  <conditionalFormatting sqref="L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{F472A98D-E06B-4282-8F06-6D35C8E129DB}</x14:id>
        </ext>
      </extLst>
    </cfRule>
  </conditionalFormatting>
  <conditionalFormatting sqref="M6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{6F15B2EC-410A-49CE-9ABB-DB82EE0C7D81}</x14:id>
        </ext>
      </extLst>
    </cfRule>
  </conditionalFormatting>
  <conditionalFormatting sqref="L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{401D9BA4-6562-4C96-BE74-3C08EDF4ACE6}</x14:id>
        </ext>
      </extLst>
    </cfRule>
  </conditionalFormatting>
  <conditionalFormatting sqref="M6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{09ADE0F4-7D2A-455C-B7A8-19750B676644}</x14:id>
        </ext>
      </extLst>
    </cfRule>
  </conditionalFormatting>
  <conditionalFormatting sqref="M6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{29306082-3748-4FB4-BBFA-62336E373ADE}</x14:id>
        </ext>
      </extLst>
    </cfRule>
  </conditionalFormatting>
  <conditionalFormatting sqref="L6:M6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{8682B53D-93EE-479F-A627-35FFC2EEBB59}</x14:id>
        </ext>
      </extLst>
    </cfRule>
  </conditionalFormatting>
  <conditionalFormatting sqref="L6:M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{DF28D820-B76E-490F-A6C7-3DC4ED843638}</x14:id>
        </ext>
      </extLst>
    </cfRule>
  </conditionalFormatting>
  <conditionalFormatting sqref="E54">
    <cfRule type="containsText" dxfId="8573" priority="119" operator="containsText" text="Buy">
      <formula>NOT(ISERROR(SEARCH("Buy",E54)))</formula>
    </cfRule>
    <cfRule type="containsText" dxfId="8572" priority="120" operator="containsText" text="Sell">
      <formula>NOT(ISERROR(SEARCH("Sell",E54)))</formula>
    </cfRule>
  </conditionalFormatting>
  <conditionalFormatting sqref="E53">
    <cfRule type="containsText" dxfId="8571" priority="117" operator="containsText" text="Buy">
      <formula>NOT(ISERROR(SEARCH("Buy",E53)))</formula>
    </cfRule>
    <cfRule type="containsText" dxfId="8570" priority="118" operator="containsText" text="Sell">
      <formula>NOT(ISERROR(SEARCH("Sell",E53)))</formula>
    </cfRule>
  </conditionalFormatting>
  <conditionalFormatting sqref="X7:AB7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{27701B70-458D-44E2-A6EA-CDBF2630F926}</x14:id>
        </ext>
      </extLst>
    </cfRule>
  </conditionalFormatting>
  <conditionalFormatting sqref="X7:AB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{2B367960-B801-47AE-B0CD-1ECAF5C5A9B6}</x14:id>
        </ext>
      </extLst>
    </cfRule>
  </conditionalFormatting>
  <conditionalFormatting sqref="X7:AB7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{30AA59C9-3A0C-4DF7-99D4-763A17939BD1}</x14:id>
        </ext>
      </extLst>
    </cfRule>
  </conditionalFormatting>
  <conditionalFormatting sqref="L7:M7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{7A8AF12A-0C3B-4A2D-A306-52E687130E6A}</x14:id>
        </ext>
      </extLst>
    </cfRule>
  </conditionalFormatting>
  <conditionalFormatting sqref="L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{8CF082DD-CBD0-45F8-8C46-1561B76DE8DC}</x14:id>
        </ext>
      </extLst>
    </cfRule>
  </conditionalFormatting>
  <conditionalFormatting sqref="M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{005371F7-8070-4272-AC0D-26B28719CA5B}</x14:id>
        </ext>
      </extLst>
    </cfRule>
  </conditionalFormatting>
  <conditionalFormatting sqref="X7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{B4AD896B-BC1A-421B-B1B6-CDCAA17B46DC}</x14:id>
        </ext>
      </extLst>
    </cfRule>
  </conditionalFormatting>
  <conditionalFormatting sqref="Y7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{2D05A64A-010F-48A1-BEF8-00A5D29C6387}</x14:id>
        </ext>
      </extLst>
    </cfRule>
  </conditionalFormatting>
  <conditionalFormatting sqref="Z7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{5F78747C-35BB-41BC-8D11-6B5F6DA1D84C}</x14:id>
        </ext>
      </extLst>
    </cfRule>
  </conditionalFormatting>
  <conditionalFormatting sqref="AA7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{EF9321A3-6414-4EA1-918B-D4BC722B701D}</x14:id>
        </ext>
      </extLst>
    </cfRule>
  </conditionalFormatting>
  <conditionalFormatting sqref="AB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{7B88487F-6F21-47C7-994C-CCEE79A34B39}</x14:id>
        </ext>
      </extLst>
    </cfRule>
  </conditionalFormatting>
  <conditionalFormatting sqref="L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{87AA32C5-5112-43E5-B123-75EAEAD10E91}</x14:id>
        </ext>
      </extLst>
    </cfRule>
  </conditionalFormatting>
  <conditionalFormatting sqref="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{476290F2-8BDF-4D91-9360-4220FBAC7B5A}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{9666F54C-058B-4BC4-8FD2-0C8F2BF9CB19}</x14:id>
        </ext>
      </extLst>
    </cfRule>
  </conditionalFormatting>
  <conditionalFormatting sqref="M7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{4F429BF9-2B9E-4547-A22E-84F0527E09C4}</x14:id>
        </ext>
      </extLst>
    </cfRule>
  </conditionalFormatting>
  <conditionalFormatting sqref="M7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{8658FA25-AA8A-4E49-91D4-23D612515FDE}</x14:id>
        </ext>
      </extLst>
    </cfRule>
  </conditionalFormatting>
  <conditionalFormatting sqref="L7:M7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{778D173D-D9BF-4AEF-A356-8039A2AD29DA}</x14:id>
        </ext>
      </extLst>
    </cfRule>
  </conditionalFormatting>
  <conditionalFormatting sqref="L7:M7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{B36AF0ED-0A9A-47E5-86E5-6F1AD57ECF54}</x14:id>
        </ext>
      </extLst>
    </cfRule>
  </conditionalFormatting>
  <conditionalFormatting sqref="E57">
    <cfRule type="containsText" dxfId="8569" priority="85" operator="containsText" text="Buy">
      <formula>NOT(ISERROR(SEARCH("Buy",E57)))</formula>
    </cfRule>
    <cfRule type="containsText" dxfId="8568" priority="86" operator="containsText" text="Sell">
      <formula>NOT(ISERROR(SEARCH("Sell",E57)))</formula>
    </cfRule>
  </conditionalFormatting>
  <conditionalFormatting sqref="E56">
    <cfRule type="containsText" dxfId="8567" priority="83" operator="containsText" text="Buy">
      <formula>NOT(ISERROR(SEARCH("Buy",E56)))</formula>
    </cfRule>
    <cfRule type="containsText" dxfId="8566" priority="84" operator="containsText" text="Sell">
      <formula>NOT(ISERROR(SEARCH("Sell",E56)))</formula>
    </cfRule>
  </conditionalFormatting>
  <conditionalFormatting sqref="X5:AB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{21ED0441-3F79-47C2-81F8-C32B30A17982}</x14:id>
        </ext>
      </extLst>
    </cfRule>
  </conditionalFormatting>
  <conditionalFormatting sqref="X5:AB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{3602232F-773A-4999-A24D-A15AC21289D7}</x14:id>
        </ext>
      </extLst>
    </cfRule>
  </conditionalFormatting>
  <conditionalFormatting sqref="X5:AB5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{3E7CB26E-B390-47BF-BC0C-B554F2032B2D}</x14:id>
        </ext>
      </extLst>
    </cfRule>
  </conditionalFormatting>
  <conditionalFormatting sqref="L5:M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{2A82D964-9DF3-4D74-8242-520A0F6BC415}</x14:id>
        </ext>
      </extLst>
    </cfRule>
  </conditionalFormatting>
  <conditionalFormatting sqref="L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{1FAC1D63-B672-4019-8756-7EB584C4BE0C}</x14:id>
        </ext>
      </extLst>
    </cfRule>
  </conditionalFormatting>
  <conditionalFormatting sqref="M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{998F9EF5-43FC-409F-98D3-E10A0220D0D8}</x14:id>
        </ext>
      </extLst>
    </cfRule>
  </conditionalFormatting>
  <conditionalFormatting sqref="X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{FE95FDFF-61AD-47BC-B45D-936912056E30}</x14:id>
        </ext>
      </extLst>
    </cfRule>
  </conditionalFormatting>
  <conditionalFormatting sqref="Y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{37BCCADB-19B4-4778-AE34-5F2DEB4B769D}</x14:id>
        </ext>
      </extLst>
    </cfRule>
  </conditionalFormatting>
  <conditionalFormatting sqref="Z5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{865AB604-6E80-4A7A-81B6-615E837590F5}</x14:id>
        </ext>
      </extLst>
    </cfRule>
  </conditionalFormatting>
  <conditionalFormatting sqref="AA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{BA9B5D64-BF25-4E17-8BDA-6690DB6054F5}</x14:id>
        </ext>
      </extLst>
    </cfRule>
  </conditionalFormatting>
  <conditionalFormatting sqref="AB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{8AB2F4A9-B326-4321-8B31-957A195FE7E4}</x14:id>
        </ext>
      </extLst>
    </cfRule>
  </conditionalFormatting>
  <conditionalFormatting sqref="L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{E2D49473-F54F-4B54-BB7D-9ADFF70BA7BF}</x14:id>
        </ext>
      </extLst>
    </cfRule>
  </conditionalFormatting>
  <conditionalFormatting sqref="M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{CBC4796C-5753-4E89-BD54-00EEE13F7A2F}</x14:id>
        </ext>
      </extLst>
    </cfRule>
  </conditionalFormatting>
  <conditionalFormatting sqref="L5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{6FA0C22B-1786-4FA4-87BD-ABD12EA6FB45}</x14:id>
        </ext>
      </extLst>
    </cfRule>
  </conditionalFormatting>
  <conditionalFormatting sqref="M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{4CCFD41A-7717-4D61-B146-96F0A891BC19}</x14:id>
        </ext>
      </extLst>
    </cfRule>
  </conditionalFormatting>
  <conditionalFormatting sqref="M5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{7AE38885-9EBB-4A84-BC21-04C214963348}</x14:id>
        </ext>
      </extLst>
    </cfRule>
  </conditionalFormatting>
  <conditionalFormatting sqref="L5:M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{7AD593DB-6EBB-4FC3-9A59-34CBF9E94EC1}</x14:id>
        </ext>
      </extLst>
    </cfRule>
  </conditionalFormatting>
  <conditionalFormatting sqref="L5:M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{379555E0-5435-4E44-B91D-5D6FA3DB6D0D}</x14:id>
        </ext>
      </extLst>
    </cfRule>
  </conditionalFormatting>
  <conditionalFormatting sqref="E60">
    <cfRule type="containsText" dxfId="8565" priority="53" operator="containsText" text="Buy">
      <formula>NOT(ISERROR(SEARCH("Buy",E60)))</formula>
    </cfRule>
    <cfRule type="containsText" dxfId="8564" priority="54" operator="containsText" text="Sell">
      <formula>NOT(ISERROR(SEARCH("Sell",E60)))</formula>
    </cfRule>
  </conditionalFormatting>
  <conditionalFormatting sqref="E59">
    <cfRule type="containsText" dxfId="8563" priority="51" operator="containsText" text="Buy">
      <formula>NOT(ISERROR(SEARCH("Buy",E59)))</formula>
    </cfRule>
    <cfRule type="containsText" dxfId="8562" priority="52" operator="containsText" text="Sell">
      <formula>NOT(ISERROR(SEARCH("Sell",E59)))</formula>
    </cfRule>
  </conditionalFormatting>
  <conditionalFormatting sqref="E63">
    <cfRule type="containsText" dxfId="8561" priority="49" operator="containsText" text="Buy">
      <formula>NOT(ISERROR(SEARCH("Buy",E63)))</formula>
    </cfRule>
    <cfRule type="containsText" dxfId="8560" priority="50" operator="containsText" text="Sell">
      <formula>NOT(ISERROR(SEARCH("Sell",E63)))</formula>
    </cfRule>
  </conditionalFormatting>
  <conditionalFormatting sqref="E62">
    <cfRule type="containsText" dxfId="8559" priority="47" operator="containsText" text="Buy">
      <formula>NOT(ISERROR(SEARCH("Buy",E62)))</formula>
    </cfRule>
    <cfRule type="containsText" dxfId="8558" priority="48" operator="containsText" text="Sell">
      <formula>NOT(ISERROR(SEARCH("Sell",E62)))</formula>
    </cfRule>
  </conditionalFormatting>
  <conditionalFormatting sqref="L15:M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{FE5F8EBE-2C7D-4F93-9DA5-9B06261A783E}</x14:id>
        </ext>
      </extLst>
    </cfRule>
  </conditionalFormatting>
  <conditionalFormatting sqref="L15:L1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{9FDF72D0-01BD-440F-9101-C522C8D79085}</x14:id>
        </ext>
      </extLst>
    </cfRule>
  </conditionalFormatting>
  <conditionalFormatting sqref="X15:AB1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{5406DA3A-484E-4095-BF0E-7759AC29EA0B}</x14:id>
        </ext>
      </extLst>
    </cfRule>
  </conditionalFormatting>
  <conditionalFormatting sqref="X15:X16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{D3C3736D-DB9A-48BB-89AE-9A5519A4214D}</x14:id>
        </ext>
      </extLst>
    </cfRule>
  </conditionalFormatting>
  <conditionalFormatting sqref="Y15:Y1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{319F0B13-37E7-4A85-B9AB-23BF6A9DF9FC}</x14:id>
        </ext>
      </extLst>
    </cfRule>
  </conditionalFormatting>
  <conditionalFormatting sqref="Z15:Z1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{1FDDBBE3-7BB8-469F-8B38-52A84E0A6C01}</x14:id>
        </ext>
      </extLst>
    </cfRule>
  </conditionalFormatting>
  <conditionalFormatting sqref="AA15:AA1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{A6CE75B6-E953-4343-A123-FBC2F8455BAF}</x14:id>
        </ext>
      </extLst>
    </cfRule>
  </conditionalFormatting>
  <conditionalFormatting sqref="AB15:AB1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{FEEF0B2F-44C9-4489-ABE7-5FC0575FD15D}</x14:id>
        </ext>
      </extLst>
    </cfRule>
  </conditionalFormatting>
  <conditionalFormatting sqref="V15:V1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{4B346814-1411-4406-9898-C6ABF3E20008}</x14:id>
        </ext>
      </extLst>
    </cfRule>
  </conditionalFormatting>
  <conditionalFormatting sqref="M15:M1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{F346436E-017E-4BA0-9A48-428D075CFAA3}</x14:id>
        </ext>
      </extLst>
    </cfRule>
  </conditionalFormatting>
  <conditionalFormatting sqref="L15:M1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{34339CA3-7FD3-4198-BAC7-1BC4371ED6CF}</x14:id>
        </ext>
      </extLst>
    </cfRule>
  </conditionalFormatting>
  <conditionalFormatting sqref="T15:T1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{6A00678F-905F-400F-B85B-A5A1284C8F6B}</x14:id>
        </ext>
      </extLst>
    </cfRule>
  </conditionalFormatting>
  <conditionalFormatting sqref="T15:T1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{FB314994-0E74-4853-8786-BE14DFC763E8}</x14:id>
        </ext>
      </extLst>
    </cfRule>
  </conditionalFormatting>
  <conditionalFormatting sqref="L15:L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{FAC7AF0C-2367-4D38-BA63-A066EA9007BC}</x14:id>
        </ext>
      </extLst>
    </cfRule>
  </conditionalFormatting>
  <conditionalFormatting sqref="M15:M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{9949AB9D-6E0A-4705-A617-2BB6CD8C421D}</x14:id>
        </ext>
      </extLst>
    </cfRule>
  </conditionalFormatting>
  <conditionalFormatting sqref="T15:T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{A096362D-523E-4A4B-92E5-0A1659FE06FA}</x14:id>
        </ext>
      </extLst>
    </cfRule>
  </conditionalFormatting>
  <conditionalFormatting sqref="L15:L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{61C593E2-9732-4774-8224-F46455F01E69}</x14:id>
        </ext>
      </extLst>
    </cfRule>
  </conditionalFormatting>
  <conditionalFormatting sqref="M15:M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{31B3F564-216A-475A-B865-F17F9274742C}</x14:id>
        </ext>
      </extLst>
    </cfRule>
  </conditionalFormatting>
  <conditionalFormatting sqref="T15:T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{03BC61AD-CD9A-4B70-A176-C13C5CA1C39F}</x14:id>
        </ext>
      </extLst>
    </cfRule>
  </conditionalFormatting>
  <conditionalFormatting sqref="T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{287B4F38-948F-4073-9D80-D3A63A2297AB}</x14:id>
        </ext>
      </extLst>
    </cfRule>
  </conditionalFormatting>
  <conditionalFormatting sqref="X12:AB12">
    <cfRule type="dataBar" priority="32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{3A28EAD3-7B53-4568-9AD6-0EA6CC0051E0}</x14:id>
        </ext>
      </extLst>
    </cfRule>
  </conditionalFormatting>
  <conditionalFormatting sqref="X14:AB14 X9:AB9 X11:AB11">
    <cfRule type="dataBar" priority="32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{EC0AE345-D9CD-4FB4-932F-408A530FAB08}</x14:id>
        </ext>
      </extLst>
    </cfRule>
  </conditionalFormatting>
  <conditionalFormatting sqref="X13:AB13">
    <cfRule type="dataBar" priority="32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{A103F121-65FD-4CE7-AEB0-FDB69B16BF62}</x14:id>
        </ext>
      </extLst>
    </cfRule>
  </conditionalFormatting>
  <conditionalFormatting sqref="X10:AB10">
    <cfRule type="dataBar" priority="32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{E89736BC-216A-4C39-923B-C7C4E35AA783}</x14:id>
        </ext>
      </extLst>
    </cfRule>
  </conditionalFormatting>
  <conditionalFormatting sqref="X8:AB8">
    <cfRule type="dataBar" priority="32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{098A7F17-1C0C-4A70-B839-0C3162FEF910}</x14:id>
        </ext>
      </extLst>
    </cfRule>
  </conditionalFormatting>
  <conditionalFormatting sqref="X6:AB6">
    <cfRule type="dataBar" priority="32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{5FC401BE-8C82-46E5-9087-2CD196534D45}</x14:id>
        </ext>
      </extLst>
    </cfRule>
  </conditionalFormatting>
  <conditionalFormatting sqref="X7:AB7">
    <cfRule type="dataBar" priority="32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{20ED78EB-C1AE-47AF-8DD0-E2F7F6ACBAA6}</x14:id>
        </ext>
      </extLst>
    </cfRule>
  </conditionalFormatting>
  <conditionalFormatting sqref="X5:AB5">
    <cfRule type="dataBar" priority="32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{2F5D000C-7CF2-41D6-945E-A98F19D659FC}</x14:id>
        </ext>
      </extLst>
    </cfRule>
  </conditionalFormatting>
  <conditionalFormatting sqref="X15:AB16">
    <cfRule type="dataBar" priority="32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{3FA4CAA8-A148-482E-BE0F-49837B08449F}</x14:id>
        </ext>
      </extLst>
    </cfRule>
  </conditionalFormatting>
  <conditionalFormatting sqref="H2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{FC599495-14B0-42F5-8F85-9DFC2C270746}</x14:id>
        </ext>
      </extLst>
    </cfRule>
    <cfRule type="cellIs" dxfId="8557" priority="20" operator="equal">
      <formula>1</formula>
    </cfRule>
  </conditionalFormatting>
  <conditionalFormatting sqref="D26">
    <cfRule type="containsText" dxfId="8556" priority="18" operator="containsText" text="Buy">
      <formula>NOT(ISERROR(SEARCH("Buy",D26)))</formula>
    </cfRule>
    <cfRule type="containsText" dxfId="8555" priority="19" operator="containsText" text="Sell">
      <formula>NOT(ISERROR(SEARCH("Sell",D26)))</formula>
    </cfRule>
  </conditionalFormatting>
  <conditionalFormatting sqref="H2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{92BEE55D-63E5-448E-9E2F-F3DE98C765A8}</x14:id>
        </ext>
      </extLst>
    </cfRule>
    <cfRule type="cellIs" dxfId="8554" priority="16" operator="equal">
      <formula>1</formula>
    </cfRule>
  </conditionalFormatting>
  <conditionalFormatting sqref="D27">
    <cfRule type="containsText" dxfId="8553" priority="14" operator="containsText" text="Buy">
      <formula>NOT(ISERROR(SEARCH("Buy",D27)))</formula>
    </cfRule>
    <cfRule type="containsText" dxfId="8552" priority="15" operator="containsText" text="Sell">
      <formula>NOT(ISERROR(SEARCH("Sell",D27)))</formula>
    </cfRule>
  </conditionalFormatting>
  <conditionalFormatting sqref="H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{6B1F3D54-D5DD-4578-9DDA-DB3CE034C1EC}</x14:id>
        </ext>
      </extLst>
    </cfRule>
    <cfRule type="cellIs" dxfId="8551" priority="12" operator="equal">
      <formula>1</formula>
    </cfRule>
  </conditionalFormatting>
  <conditionalFormatting sqref="D28">
    <cfRule type="containsText" dxfId="8550" priority="10" operator="containsText" text="Buy">
      <formula>NOT(ISERROR(SEARCH("Buy",D28)))</formula>
    </cfRule>
    <cfRule type="containsText" dxfId="8549" priority="11" operator="containsText" text="Sell">
      <formula>NOT(ISERROR(SEARCH("Sell",D28)))</formula>
    </cfRule>
  </conditionalFormatting>
  <conditionalFormatting sqref="X4:AB4">
    <cfRule type="dataBar" priority="33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{133D83B8-B4AC-471B-80A8-8543713989CF}</x14:id>
        </ext>
      </extLst>
    </cfRule>
  </conditionalFormatting>
  <conditionalFormatting sqref="L4:M4 L8:M14">
    <cfRule type="dataBar" priority="335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{2E4550A9-265B-447C-A168-3625B2086C2D}</x14:id>
        </ext>
      </extLst>
    </cfRule>
  </conditionalFormatting>
  <conditionalFormatting sqref="X4:AB4">
    <cfRule type="dataBar" priority="33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{80520C18-8B6D-4BF6-9137-EFAB2C47AE52}</x14:id>
        </ext>
      </extLst>
    </cfRule>
  </conditionalFormatting>
  <conditionalFormatting sqref="L4:L17">
    <cfRule type="dataBar" priority="335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{D8ADA270-F218-4FDC-A05D-3BD86EB31516}</x14:id>
        </ext>
      </extLst>
    </cfRule>
  </conditionalFormatting>
  <conditionalFormatting sqref="M4:M17">
    <cfRule type="dataBar" priority="335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{7112E61C-69C8-462B-9264-DC7C392DA458}</x14:id>
        </ext>
      </extLst>
    </cfRule>
  </conditionalFormatting>
  <conditionalFormatting sqref="T4:T18">
    <cfRule type="dataBar" priority="335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{3B034626-21AD-4785-B63D-690D3D46798F}</x14:id>
        </ext>
      </extLst>
    </cfRule>
  </conditionalFormatting>
  <conditionalFormatting sqref="I4:I18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{430E1F4F-5DE9-4FFE-8C62-3E877DD57DDC}</x14:id>
        </ext>
      </extLst>
    </cfRule>
  </conditionalFormatting>
  <conditionalFormatting sqref="L4:M17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{C5EEE1BB-D4DE-4DAE-8301-04E1CDBB4D54}</x14:id>
        </ext>
      </extLst>
    </cfRule>
  </conditionalFormatting>
  <conditionalFormatting sqref="X4:AB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{B46CA57F-1F5F-4D3E-B4C1-E7680D425999}</x14:id>
        </ext>
      </extLst>
    </cfRule>
  </conditionalFormatting>
  <conditionalFormatting sqref="L1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{1F301223-C88C-4EEF-B49A-34B63ADDFE24}</x14:id>
        </ext>
      </extLst>
    </cfRule>
  </conditionalFormatting>
  <conditionalFormatting sqref="M1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{C8093F59-FF3A-4ED3-B018-35F0F11BA047}</x14:id>
        </ext>
      </extLst>
    </cfRule>
  </conditionalFormatting>
  <conditionalFormatting sqref="L4:M1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{64713283-B2FA-4E92-A402-09D857E0670A}</x14:id>
        </ext>
      </extLst>
    </cfRule>
  </conditionalFormatting>
  <conditionalFormatting sqref="E49">
    <cfRule type="containsText" dxfId="8548" priority="1" operator="containsText" text="Buy">
      <formula>NOT(ISERROR(SEARCH("Buy",E49)))</formula>
    </cfRule>
    <cfRule type="containsText" dxfId="8547" priority="2" operator="containsText" text="Sell">
      <formula>NOT(ISERROR(SEARCH("Sell",E49)))</formula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EEF56D-4C36-438C-B8ED-C0AC1CCF4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AB9CFF34-A280-48A0-9967-191C8308E5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DF7405B8-585B-4B85-9EAC-F50CC3C4E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4B35F398-A57C-43B0-B1CF-CBFB2DB432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7BBD31E0-404E-49C0-BC55-83555E6377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C18F941-AB57-448B-84DC-09F1003821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E285483-8ECC-41E8-BF98-FADC72DF9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107AB665-5F5A-4016-A6AE-E6D29FD5A2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205F3D1-D7AA-49B8-BD92-2C8E81F178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02B61D55-F9CE-4631-AA0D-F83539CB94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82299-AAA0-4571-9940-200DC2B150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EF7BF86-F9FE-4707-A7F5-3552859ADA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7BD4B83-4E84-414A-B464-50DD7E747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76C9B2B-ACAA-4C8A-AF5D-687E3D50D0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2D807F71-E34A-46A7-BB64-FD2341700A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22BCD5B2-E133-4BF3-B0A9-DE03DF8835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B2C7AB9C-BFBB-4CA8-A003-426885605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7227C6D-B707-4376-AC56-23B6CFD2B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9885EE8-46E6-464A-B83A-A38CD5351C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D96FBB7-1A80-4778-B260-612AD69141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2348D23A-33E3-465C-941E-73F93D8768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3A31DDAE-F6DE-4883-8FFA-14BF963E0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6BE9BB1C-7AD7-4065-8C88-E4811DB085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89B44AC6-B8DE-4DC0-875F-0CF61BE02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8AB7DC0-5C72-41CA-9B6F-E6DC4E31E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68718B2-5104-4B96-9E89-C0A2131C63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425E147-49E3-4175-946E-E8BE277339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DAEDCC53-D6E7-4328-84A0-FC671EE33B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9AF300F-0A28-49C7-9FFC-8E559583C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33CCBEE-75AF-4ED6-8BD0-828D181129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008ED41-3957-409D-944F-4BEC64D1A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39ACC33C-72D9-43CB-842C-869C2E6959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41C309-AAE6-4CA9-82CF-103EF5EE6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587B3A4-179E-45DC-AD3E-86B6D38275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V4:V14</xm:sqref>
        </x14:conditionalFormatting>
        <x14:conditionalFormatting xmlns:xm="http://schemas.microsoft.com/office/excel/2006/main">
          <x14:cfRule type="dataBar" id="{5CBC522D-73CB-48B5-9377-D305D7D17B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E41F27C-0765-41FF-AF0B-89380C941A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22EBFF-E396-4B9E-AE2F-7CD599732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BF792437-2C76-48FF-AC5B-C8301D2AE1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431D764D-8EEC-4952-9F4E-29E4F10BC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0D97AD3-E66C-4FE6-B057-0B559068D8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</xm:sqref>
        </x14:conditionalFormatting>
        <x14:conditionalFormatting xmlns:xm="http://schemas.microsoft.com/office/excel/2006/main">
          <x14:cfRule type="dataBar" id="{ED534BF3-55CF-430E-91E0-6883C4B59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 X11:AB11</xm:sqref>
        </x14:conditionalFormatting>
        <x14:conditionalFormatting xmlns:xm="http://schemas.microsoft.com/office/excel/2006/main">
          <x14:cfRule type="dataBar" id="{50001C16-BC43-41C0-B5BD-D43C3E4AB7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E0F9B57-0A50-4846-B18F-C5F210EE3E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L9:M9 L11:M11</xm:sqref>
        </x14:conditionalFormatting>
        <x14:conditionalFormatting xmlns:xm="http://schemas.microsoft.com/office/excel/2006/main">
          <x14:cfRule type="dataBar" id="{A49B060F-9F08-4768-9DE4-C582494AFA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X14:AB14</xm:sqref>
        </x14:conditionalFormatting>
        <x14:conditionalFormatting xmlns:xm="http://schemas.microsoft.com/office/excel/2006/main">
          <x14:cfRule type="dataBar" id="{EFE12CAB-3BCF-40AD-9583-2B9F881B8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L14 L11</xm:sqref>
        </x14:conditionalFormatting>
        <x14:conditionalFormatting xmlns:xm="http://schemas.microsoft.com/office/excel/2006/main">
          <x14:cfRule type="dataBar" id="{1DEA837F-8211-4984-AB9B-918FBB92D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M14 M11</xm:sqref>
        </x14:conditionalFormatting>
        <x14:conditionalFormatting xmlns:xm="http://schemas.microsoft.com/office/excel/2006/main">
          <x14:cfRule type="dataBar" id="{61B4457F-8762-4D3C-830D-CFA2D9FD01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2CA7D311-A5D8-466B-8FBF-5611912E16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E81196F-FE5A-4CEE-B057-AE6383D84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 X9 X11</xm:sqref>
        </x14:conditionalFormatting>
        <x14:conditionalFormatting xmlns:xm="http://schemas.microsoft.com/office/excel/2006/main">
          <x14:cfRule type="dataBar" id="{9594AD13-BBE1-4E2A-AD4D-56092ADFEC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 Y9 Y11</xm:sqref>
        </x14:conditionalFormatting>
        <x14:conditionalFormatting xmlns:xm="http://schemas.microsoft.com/office/excel/2006/main">
          <x14:cfRule type="dataBar" id="{6F490B2C-3271-4437-B067-7420E6D2E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 Z14 Z11</xm:sqref>
        </x14:conditionalFormatting>
        <x14:conditionalFormatting xmlns:xm="http://schemas.microsoft.com/office/excel/2006/main">
          <x14:cfRule type="dataBar" id="{EDED0DB4-D195-4334-9831-4A18AB4B6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 AA14 AA11</xm:sqref>
        </x14:conditionalFormatting>
        <x14:conditionalFormatting xmlns:xm="http://schemas.microsoft.com/office/excel/2006/main">
          <x14:cfRule type="dataBar" id="{BA240DFD-56E9-4D85-8A84-79260BE60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 AB14 AB11</xm:sqref>
        </x14:conditionalFormatting>
        <x14:conditionalFormatting xmlns:xm="http://schemas.microsoft.com/office/excel/2006/main">
          <x14:cfRule type="dataBar" id="{43E8A653-356A-4049-AF92-07F2B98DE1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M11:M12 M14 M4 M9</xm:sqref>
        </x14:conditionalFormatting>
        <x14:conditionalFormatting xmlns:xm="http://schemas.microsoft.com/office/excel/2006/main">
          <x14:cfRule type="dataBar" id="{AE17E6A5-C795-418F-9352-5E3E4E95E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L11:M12 L4:M4 L9:M9</xm:sqref>
        </x14:conditionalFormatting>
        <x14:conditionalFormatting xmlns:xm="http://schemas.microsoft.com/office/excel/2006/main">
          <x14:cfRule type="dataBar" id="{5C78E948-66B2-4BEF-BEE0-762DE31FC5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613742F6-C210-4C48-AC4D-E586DF2159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3C3EE2C2-B2CA-423B-A208-FD3766B234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1C6D27E9-B929-4B78-83B6-D482EB5309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3F4D8F08-9293-4480-9648-2FFACE5EC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9F4ED4F7-2855-4613-918E-1AEB12E54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FCA04AC-9C81-4432-BB0F-CE1430CA1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21AB81E-7885-474A-B227-7C1FD8CE8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F5F00E3-6D03-4EE3-91CB-D5F0B9C6E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B29EFF20-6637-41ED-86BD-72588155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FAB93378-C4E6-4519-86F1-A199038398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352D227E-6A44-465B-A741-6D80FD29E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3301FD89-5B1D-44B7-89DF-EA8782053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43B280B2-6BE1-4011-92F0-6F0B8475E5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7B45157-B53D-4256-93A4-169598B919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FB5825-21FD-4A99-90F4-EB728383D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6B9BF69-D189-4FCC-86D0-A2A46BFFF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0C76C0EF-4EA2-4547-ADA5-B020129BB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45BF7D5-B064-446A-80CF-00490B940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1D27951-7273-4539-9780-76A98EB8D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BD61650-1942-4FED-AB08-CF3E34B475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729DC66-4B70-46A3-9DE0-CFD3090BF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C9C3B95C-8C2D-4D09-A3CB-FD90931FAB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45B52E9-822E-4E7F-98E8-5DC55F4AB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2F08754E-01F2-4597-898E-50B16995DA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4F2D1A7-64EB-49C4-850E-24B762435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C826BA30-BE65-46C0-A05A-B62654690D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4BF974D-5A32-43E5-96D1-7F12313CA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03BFD071-3ED8-40CC-9B81-9DB80EF13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331B729F-AB69-46C9-97C1-0219D7592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E400694F-1468-410F-93F9-50ADB8EB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8BCE7E3-EA62-42EF-ACA6-58EA8F017F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812DD3B-74D2-42E4-BDF7-1F9873ED1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92954C9-2050-4558-9A27-91C9E843E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64AC542-6EF6-473E-8863-59219F8B82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027EC97-E32F-44A5-9CFB-580F724DA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AD69E08-0A0A-4F30-91B7-0D4E30A50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214BE4D7-D9F6-4B4C-82BF-60660307E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4EE831-142F-40C7-A85F-91AB26912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BB9B0F91-7BEC-4D4C-8533-F6A0EDFB5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A95DABB-C499-45C9-AC65-6B0F32143E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E0B04102-4C73-4EF0-9909-B2E17DC685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F543E32-28C2-4452-BE8B-06B244B481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3C78A96-2ADD-41EC-A6E0-29AE0F41A1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1706FDC7-BD97-44A0-8303-BF0FA543AC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96A1822-4F9D-4FCC-9434-932ED53F3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F706FB3-43B3-459A-BE55-87120DA8A6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0186BE32-377E-483C-A752-41DC92ECAF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BBD55B7-BB83-4B66-A7C6-289053E5FD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0C1230DC-4758-4546-83CA-4088A5D752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01BF26F-5C65-441D-9997-D979C4C19D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E640A0-4E9A-40D7-A424-8721A41A3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C214EC28-5EB3-4E86-8CDF-A43639527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3304D0E-B9E9-49F1-81B0-AF7DE787B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D786B44E-E8B2-42C1-BAED-1051017983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444C85F1-E6FE-4548-9A03-6C06CDB8B6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ADC3C9ED-6BF7-475D-AFE9-755E2D898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EB752D81-7C43-4856-BE59-FE418496CC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C8B169F2-4F37-4623-BFB5-17CE5DB0D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3E1F30A-58E9-4B06-AAD9-D8B4790FE7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3A0EFBFB-AE5F-4E51-8F93-BC68186EA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5EBBD-8243-4F01-B282-111163F4E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0CFAB20-1730-4C3E-8618-97E6C1B0FC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ED9A40A-66AC-44BB-A71B-327DD61CE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7D0DBF5-161D-4BCD-8481-6201A8BA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547C9E0-92C4-451F-978C-81F2470448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F472A98D-E06B-4282-8F06-6D35C8E12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F15B2EC-410A-49CE-9ABB-DB82EE0C7D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401D9BA4-6562-4C96-BE74-3C08EDF4A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ADE0F4-7D2A-455C-B7A8-19750B676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9306082-3748-4FB4-BBFA-62336E373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682B53D-93EE-479F-A627-35FFC2EEBB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DF28D820-B76E-490F-A6C7-3DC4ED8436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7701B70-458D-44E2-A6EA-CDBF2630F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B367960-B801-47AE-B0CD-1ECAF5C5A9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30AA59C9-3A0C-4DF7-99D4-763A17939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7A8AF12A-0C3B-4A2D-A306-52E687130E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CF082DD-CBD0-45F8-8C46-1561B76DE8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05371F7-8070-4272-AC0D-26B28719CA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B4AD896B-BC1A-421B-B1B6-CDCAA17B46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D05A64A-010F-48A1-BEF8-00A5D29C6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F78747C-35BB-41BC-8D11-6B5F6DA1D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EF9321A3-6414-4EA1-918B-D4BC722B7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7B88487F-6F21-47C7-994C-CCEE79A34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87AA32C5-5112-43E5-B123-75EAEAD10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76290F2-8BDF-4D91-9360-4220FBAC7B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666F54C-058B-4BC4-8FD2-0C8F2BF9C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F429BF9-2B9E-4547-A22E-84F0527E0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8658FA25-AA8A-4E49-91D4-23D612515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78D173D-D9BF-4AEF-A356-8039A2AD29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B36AF0ED-0A9A-47E5-86E5-6F1AD57EC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1ED0441-3F79-47C2-81F8-C32B30A179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602232F-773A-4999-A24D-A15AC2128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E7CB26E-B390-47BF-BC0C-B554F2032B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2A82D964-9DF3-4D74-8242-520A0F6BC4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FAC1D63-B672-4019-8756-7EB584C4BE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98F9EF5-43FC-409F-98D3-E10A0220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FE95FDFF-61AD-47BC-B45D-936912056E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BCCADB-19B4-4778-AE34-5F2DEB4B76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65AB604-6E80-4A7A-81B6-615E83759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A9B5D64-BF25-4E17-8BDA-6690DB605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AB2F4A9-B326-4321-8B31-957A195FE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E2D49473-F54F-4B54-BB7D-9ADFF70BA7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BC4796C-5753-4E89-BD54-00EEE13F7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FA0C22B-1786-4FA4-87BD-ABD12EA6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CFD41A-7717-4D61-B146-96F0A891B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E38885-9EBB-4A84-BC21-04C214963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AD593DB-6EBB-4FC3-9A59-34CBF9E94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79555E0-5435-4E44-B91D-5D6FA3DB6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E5F8EBE-2C7D-4F93-9DA5-9B06261A7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9FDF72D0-01BD-440F-9101-C522C8D79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5406DA3A-484E-4095-BF0E-7759AC29EA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D3C3736D-DB9A-48BB-89AE-9A5519A42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X15:X16</xm:sqref>
        </x14:conditionalFormatting>
        <x14:conditionalFormatting xmlns:xm="http://schemas.microsoft.com/office/excel/2006/main">
          <x14:cfRule type="dataBar" id="{319F0B13-37E7-4A85-B9AB-23BF6A9DF9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Y15:Y16</xm:sqref>
        </x14:conditionalFormatting>
        <x14:conditionalFormatting xmlns:xm="http://schemas.microsoft.com/office/excel/2006/main">
          <x14:cfRule type="dataBar" id="{1FDDBBE3-7BB8-469F-8B38-52A84E0A6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Z15:Z16</xm:sqref>
        </x14:conditionalFormatting>
        <x14:conditionalFormatting xmlns:xm="http://schemas.microsoft.com/office/excel/2006/main">
          <x14:cfRule type="dataBar" id="{A6CE75B6-E953-4343-A123-FBC2F845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AA15:AA16</xm:sqref>
        </x14:conditionalFormatting>
        <x14:conditionalFormatting xmlns:xm="http://schemas.microsoft.com/office/excel/2006/main">
          <x14:cfRule type="dataBar" id="{FEEF0B2F-44C9-4489-ABE7-5FC0575FD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AB15:AB16</xm:sqref>
        </x14:conditionalFormatting>
        <x14:conditionalFormatting xmlns:xm="http://schemas.microsoft.com/office/excel/2006/main">
          <x14:cfRule type="dataBar" id="{4B346814-1411-4406-9898-C6ABF3E20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V15:V16</xm:sqref>
        </x14:conditionalFormatting>
        <x14:conditionalFormatting xmlns:xm="http://schemas.microsoft.com/office/excel/2006/main">
          <x14:cfRule type="dataBar" id="{F346436E-017E-4BA0-9A48-428D075CF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34339CA3-7FD3-4198-BAC7-1BC4371ED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L15:M16</xm:sqref>
        </x14:conditionalFormatting>
        <x14:conditionalFormatting xmlns:xm="http://schemas.microsoft.com/office/excel/2006/main">
          <x14:cfRule type="dataBar" id="{6A00678F-905F-400F-B85B-A5A1284C8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B314994-0E74-4853-8786-BE14DFC763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FAC7AF0C-2367-4D38-BA63-A066EA9007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9949AB9D-6E0A-4705-A617-2BB6CD8C42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A096362D-523E-4A4B-92E5-0A1659FE0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61C593E2-9732-4774-8224-F46455F01E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L15:L16</xm:sqref>
        </x14:conditionalFormatting>
        <x14:conditionalFormatting xmlns:xm="http://schemas.microsoft.com/office/excel/2006/main">
          <x14:cfRule type="dataBar" id="{31B3F564-216A-475A-B865-F17F927474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3BC61AD-CD9A-4B70-A176-C13C5CA1C3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T15:T16</xm:sqref>
        </x14:conditionalFormatting>
        <x14:conditionalFormatting xmlns:xm="http://schemas.microsoft.com/office/excel/2006/main">
          <x14:cfRule type="dataBar" id="{287B4F38-948F-4073-9D80-D3A63A229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A28EAD3-7B53-4568-9AD6-0EA6CC005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X12:AB12</xm:sqref>
        </x14:conditionalFormatting>
        <x14:conditionalFormatting xmlns:xm="http://schemas.microsoft.com/office/excel/2006/main">
          <x14:cfRule type="dataBar" id="{EC0AE345-D9CD-4FB4-932F-408A530FAB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X14:AB14 X9:AB9 X11:AB11</xm:sqref>
        </x14:conditionalFormatting>
        <x14:conditionalFormatting xmlns:xm="http://schemas.microsoft.com/office/excel/2006/main">
          <x14:cfRule type="dataBar" id="{A103F121-65FD-4CE7-AEB0-FDB69B16BF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X13:AB13</xm:sqref>
        </x14:conditionalFormatting>
        <x14:conditionalFormatting xmlns:xm="http://schemas.microsoft.com/office/excel/2006/main">
          <x14:cfRule type="dataBar" id="{E89736BC-216A-4C39-923B-C7C4E35AA7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098A7F17-1C0C-4A70-B839-0C3162FEF9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5FC401BE-8C82-46E5-9087-2CD196534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20ED78EB-C1AE-47AF-8DD0-E2F7F6ACBA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F5D000C-7CF2-41D6-945E-A98F19D65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FA4CAA8-A148-482E-BE0F-49837B084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X15:AB16</xm:sqref>
        </x14:conditionalFormatting>
        <x14:conditionalFormatting xmlns:xm="http://schemas.microsoft.com/office/excel/2006/main">
          <x14:cfRule type="dataBar" id="{FC599495-14B0-42F5-8F85-9DFC2C2707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92BEE55D-63E5-448E-9E2F-F3DE98C76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6B1F3D54-D5DD-4578-9DDA-DB3CE034C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133D83B8-B4AC-471B-80A8-8543713989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E4550A9-265B-447C-A168-3625B2086C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L8:M14</xm:sqref>
        </x14:conditionalFormatting>
        <x14:conditionalFormatting xmlns:xm="http://schemas.microsoft.com/office/excel/2006/main">
          <x14:cfRule type="dataBar" id="{80520C18-8B6D-4BF6-9137-EFAB2C47AE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D8ADA270-F218-4FDC-A05D-3BD86EB315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L4:L17</xm:sqref>
        </x14:conditionalFormatting>
        <x14:conditionalFormatting xmlns:xm="http://schemas.microsoft.com/office/excel/2006/main">
          <x14:cfRule type="dataBar" id="{7112E61C-69C8-462B-9264-DC7C392DA4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M4:M17</xm:sqref>
        </x14:conditionalFormatting>
        <x14:conditionalFormatting xmlns:xm="http://schemas.microsoft.com/office/excel/2006/main">
          <x14:cfRule type="dataBar" id="{3B034626-21AD-4785-B63D-690D3D4679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T4:T18</xm:sqref>
        </x14:conditionalFormatting>
        <x14:conditionalFormatting xmlns:xm="http://schemas.microsoft.com/office/excel/2006/main">
          <x14:cfRule type="dataBar" id="{430E1F4F-5DE9-4FFE-8C62-3E877DD57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I4:I18</xm:sqref>
        </x14:conditionalFormatting>
        <x14:conditionalFormatting xmlns:xm="http://schemas.microsoft.com/office/excel/2006/main">
          <x14:cfRule type="dataBar" id="{C5EEE1BB-D4DE-4DAE-8301-04E1CDBB4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B46CA57F-1F5F-4D3E-B4C1-E7680D4259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X4:AB16</xm:sqref>
        </x14:conditionalFormatting>
        <x14:conditionalFormatting xmlns:xm="http://schemas.microsoft.com/office/excel/2006/main">
          <x14:cfRule type="dataBar" id="{1F301223-C88C-4EEF-B49A-34B63ADDF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8093F59-FF3A-4ED3-B018-35F0F11BA0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4713283-B2FA-4E92-A402-09D857E06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L4:M18</xm:sqref>
        </x14:conditionalFormatting>
        <x14:conditionalFormatting xmlns:xm="http://schemas.microsoft.com/office/excel/2006/main">
          <x14:cfRule type="iconSet" priority="33578" id="{80B3A7E3-CEDD-40B5-9A8C-F4E763C7BEE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  <pageSetUpPr fitToPage="1"/>
  </sheetPr>
  <dimension ref="A1:AE391"/>
  <sheetViews>
    <sheetView workbookViewId="0">
      <selection activeCell="C4" sqref="C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140625" style="32" customWidth="1"/>
    <col min="4" max="4" width="10.7109375" style="32" customWidth="1"/>
    <col min="5" max="5" width="11.7109375" style="49" customWidth="1"/>
    <col min="6" max="6" width="10.7109375" style="49" customWidth="1"/>
    <col min="7" max="7" width="9.140625" style="32" customWidth="1"/>
    <col min="8" max="8" width="11.42578125" style="32" customWidth="1"/>
    <col min="9" max="9" width="13" style="32" customWidth="1"/>
    <col min="10" max="10" width="11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21" width="12.1406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0.7109375" style="32" customWidth="1"/>
    <col min="29" max="29" width="10.28515625" style="32" customWidth="1"/>
    <col min="30" max="16384" width="9.140625" style="32"/>
  </cols>
  <sheetData>
    <row r="1" spans="1:31" s="429" customFormat="1" x14ac:dyDescent="0.2">
      <c r="D1" s="429" t="s">
        <v>298</v>
      </c>
      <c r="E1" s="429" t="e">
        <f ca="1">_xll.BDP($D$1,"PX last")</f>
        <v>#NAME?</v>
      </c>
      <c r="F1" s="429" t="s">
        <v>203</v>
      </c>
      <c r="G1" s="429" t="e">
        <f ca="1">_xll.BDP($F$1,"PX last")</f>
        <v>#NAME?</v>
      </c>
      <c r="H1" s="429" t="s">
        <v>122</v>
      </c>
      <c r="I1" s="429" t="e">
        <f ca="1">_xll.BDP($H$1,"PX last")</f>
        <v>#NAME?</v>
      </c>
      <c r="J1" s="429" t="s">
        <v>195</v>
      </c>
      <c r="K1" s="429" t="e">
        <f ca="1">_xll.BDP($J$1,"PX last")</f>
        <v>#NAME?</v>
      </c>
      <c r="M1" s="429" t="s">
        <v>121</v>
      </c>
      <c r="O1" s="429" t="s">
        <v>724</v>
      </c>
      <c r="P1" s="429" t="e">
        <f ca="1">_xll.BDP($O$1,"PX last")</f>
        <v>#NAME?</v>
      </c>
    </row>
    <row r="2" spans="1:31" s="429" customFormat="1" ht="19.5" customHeight="1" x14ac:dyDescent="0.2">
      <c r="F2" s="409"/>
      <c r="G2" s="409"/>
      <c r="H2" s="409"/>
    </row>
    <row r="3" spans="1:31" s="766" customFormat="1" ht="75" customHeight="1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40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128</v>
      </c>
      <c r="W3" s="640" t="s">
        <v>129</v>
      </c>
      <c r="X3" s="640" t="s">
        <v>130</v>
      </c>
      <c r="Y3" s="640" t="s">
        <v>131</v>
      </c>
      <c r="Z3" s="640" t="s">
        <v>132</v>
      </c>
      <c r="AA3" s="640" t="s">
        <v>233</v>
      </c>
      <c r="AB3" s="640" t="s">
        <v>778</v>
      </c>
      <c r="AC3" s="640" t="s">
        <v>779</v>
      </c>
      <c r="AD3" s="640"/>
      <c r="AE3" s="640"/>
    </row>
    <row r="4" spans="1:31" s="409" customFormat="1" x14ac:dyDescent="0.2">
      <c r="A4" s="434" t="s">
        <v>739</v>
      </c>
      <c r="B4" s="116" t="s">
        <v>205</v>
      </c>
      <c r="C4" s="118" t="s">
        <v>204</v>
      </c>
      <c r="D4" s="119" t="e">
        <f t="shared" ref="D4:D14" ca="1" si="0">Q4/$Q$15</f>
        <v>#NAME?</v>
      </c>
      <c r="E4" s="120">
        <f>$F$53</f>
        <v>11000</v>
      </c>
      <c r="F4" s="181">
        <f>$H$53</f>
        <v>4.47</v>
      </c>
      <c r="G4" s="181" t="e">
        <f ca="1">_xll.BDP($C4,"PX_LAST")</f>
        <v>#NAME?</v>
      </c>
      <c r="H4" s="181" t="e">
        <f ca="1">_xll.BDP($C4,"BEST_TARGET_PRICE")</f>
        <v>#NAME?</v>
      </c>
      <c r="I4" s="568" t="e">
        <f ca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$K$53</f>
        <v>#NAME?</v>
      </c>
      <c r="O4" s="120">
        <f>E4*F4</f>
        <v>49170</v>
      </c>
      <c r="P4" s="120" t="e">
        <f ca="1">E4*G4*$I$1</f>
        <v>#NAME?</v>
      </c>
      <c r="Q4" s="203" t="e">
        <f ca="1">P4/$I$1</f>
        <v>#NAME?</v>
      </c>
      <c r="R4" s="123" t="e">
        <f t="shared" ref="R4:S6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485" t="e">
        <f ca="1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_xll.BDP($C4,"CHG_PCT_6M")</f>
        <v>#NAME?</v>
      </c>
      <c r="Y4" s="125" t="e">
        <f ca="1">_xll.BDP($C4,"CHG_PCT_3M")</f>
        <v>#NAME?</v>
      </c>
      <c r="Z4" s="125" t="e">
        <f ca="1">_xll.BDP($C4,"CHG_PCT_1M")</f>
        <v>#NAME?</v>
      </c>
      <c r="AA4" s="125" t="e">
        <f ca="1">_xll.BDP($C4,"CHG_PCT_5D")</f>
        <v>#NAME?</v>
      </c>
      <c r="AB4" s="125" t="e">
        <f ca="1">_xll.BDP($C4,"DVD_EX_DT")</f>
        <v>#NAME?</v>
      </c>
      <c r="AC4" s="125" t="e">
        <f ca="1">_xll.BDP($C4,"BDVD_NEXT_EST_DECL_DT")</f>
        <v>#NAME?</v>
      </c>
    </row>
    <row r="5" spans="1:31" s="409" customFormat="1" x14ac:dyDescent="0.2">
      <c r="A5" s="434" t="s">
        <v>739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$F$59</f>
        <v>1274</v>
      </c>
      <c r="F5" s="181">
        <f>$H$59</f>
        <v>679.37800000000004</v>
      </c>
      <c r="G5" s="181" t="e">
        <f ca="1">_xll.BDP($C5,"PX_LAST")</f>
        <v>#NAME?</v>
      </c>
      <c r="H5" s="181" t="e">
        <f ca="1">_xll.BDP($C5,"BEST_TARGET_PRICE")</f>
        <v>#NAME?</v>
      </c>
      <c r="I5" s="568" t="e">
        <f ca="1">H5/G5-1</f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865527.57200000004</v>
      </c>
      <c r="O5" s="120" t="e">
        <f ca="1">$J$59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485" t="e">
        <f ca="1">Q5</f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_xll.BDP($C5,"CHG_PCT_6M")</f>
        <v>#NAME?</v>
      </c>
      <c r="Y5" s="125" t="e">
        <f ca="1">_xll.BDP($C5,"CHG_PCT_3M")</f>
        <v>#NAME?</v>
      </c>
      <c r="Z5" s="125" t="e">
        <f ca="1">_xll.BDP($C5,"CHG_PCT_1M")</f>
        <v>#NAME?</v>
      </c>
      <c r="AA5" s="125" t="e">
        <f ca="1">_xll.BDP($C5,"CHG_PCT_5D")</f>
        <v>#NAME?</v>
      </c>
      <c r="AB5" s="125" t="e">
        <f ca="1">_xll.BDP($C5,"DVD_EX_DT")</f>
        <v>#NAME?</v>
      </c>
      <c r="AC5" s="125" t="e">
        <f ca="1">_xll.BDP($C5,"BDVD_NEXT_EST_DECL_DT")</f>
        <v>#NAME?</v>
      </c>
    </row>
    <row r="6" spans="1:31" s="409" customFormat="1" x14ac:dyDescent="0.2">
      <c r="A6" s="434" t="s">
        <v>739</v>
      </c>
      <c r="B6" s="116" t="s">
        <v>333</v>
      </c>
      <c r="C6" s="118" t="s">
        <v>332</v>
      </c>
      <c r="D6" s="119" t="e">
        <f t="shared" ca="1" si="0"/>
        <v>#NAME?</v>
      </c>
      <c r="E6" s="120">
        <f>$F$56</f>
        <v>13300</v>
      </c>
      <c r="F6" s="181">
        <f>$H$56</f>
        <v>241.5</v>
      </c>
      <c r="G6" s="181" t="e">
        <f ca="1">_xll.BDP($C6,"PX_LAST")</f>
        <v>#NAME?</v>
      </c>
      <c r="H6" s="181" t="e">
        <f ca="1">_xll.BDP($C6,"BEST_TARGET_PRICE")</f>
        <v>#NAME?</v>
      </c>
      <c r="I6" s="568" t="e">
        <f ca="1">H6/G6-1</f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3211950</v>
      </c>
      <c r="O6" s="120" t="e">
        <f ca="1">$J$56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485" t="e">
        <f ca="1">Q6</f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_xll.BDP($C6,"CHG_PCT_6M")</f>
        <v>#NAME?</v>
      </c>
      <c r="Y6" s="125" t="e">
        <f ca="1">_xll.BDP($C6,"CHG_PCT_3M")</f>
        <v>#NAME?</v>
      </c>
      <c r="Z6" s="125" t="e">
        <f ca="1">_xll.BDP($C6,"CHG_PCT_1M")</f>
        <v>#NAME?</v>
      </c>
      <c r="AA6" s="125" t="e">
        <f ca="1">_xll.BDP($C6,"CHG_PCT_5D")</f>
        <v>#NAME?</v>
      </c>
      <c r="AB6" s="125" t="e">
        <f ca="1">_xll.BDP($C6,"DVD_EX_DT")</f>
        <v>#NAME?</v>
      </c>
      <c r="AC6" s="125" t="e">
        <f ca="1">_xll.BDP($C6,"BDVD_NEXT_EST_DECL_DT")</f>
        <v>#NAME?</v>
      </c>
    </row>
    <row r="7" spans="1:31" s="440" customFormat="1" x14ac:dyDescent="0.2">
      <c r="A7" s="480" t="s">
        <v>739</v>
      </c>
      <c r="B7" s="441" t="e">
        <f ca="1">_xll.BDP(C7,"SECURITY_NAME")</f>
        <v>#NAME?</v>
      </c>
      <c r="C7" s="481" t="s">
        <v>346</v>
      </c>
      <c r="D7" s="442" t="e">
        <f t="shared" ca="1" si="0"/>
        <v>#NAME?</v>
      </c>
      <c r="E7" s="443">
        <f>$F$42</f>
        <v>700000</v>
      </c>
      <c r="F7" s="468">
        <f>$H$42</f>
        <v>97.875</v>
      </c>
      <c r="G7" s="444" t="e">
        <f ca="1">_xll.BDP(C7,"PX_ASK")</f>
        <v>#NAME?</v>
      </c>
      <c r="H7" s="444"/>
      <c r="I7" s="444"/>
      <c r="K7" s="445" t="e">
        <f ca="1">_xll.BDP($C7,"CRNCY")</f>
        <v>#NAME?</v>
      </c>
      <c r="L7" s="442" t="e">
        <f t="shared" ref="L7:L13" ca="1" si="2">P7/N7-1</f>
        <v>#NAME?</v>
      </c>
      <c r="M7" s="442" t="e">
        <f t="shared" ref="M7:M13" ca="1" si="3">G7/F7-1</f>
        <v>#NAME?</v>
      </c>
      <c r="N7" s="443" t="e">
        <f ca="1">$K$42</f>
        <v>#NAME?</v>
      </c>
      <c r="O7" s="443">
        <f t="shared" ref="O7:O13" si="4">E7*F7/100</f>
        <v>685125</v>
      </c>
      <c r="P7" s="443" t="e">
        <f t="shared" ref="P7:P13" ca="1" si="5">E7*G7/100*$I$1</f>
        <v>#NAME?</v>
      </c>
      <c r="Q7" s="443" t="e">
        <f t="shared" ref="Q7:Q13" ca="1" si="6">P7/$I$1</f>
        <v>#NAME?</v>
      </c>
      <c r="R7" s="446" t="e">
        <f t="shared" ref="R7:R13" ca="1" si="7">P7-N7</f>
        <v>#NAME?</v>
      </c>
      <c r="S7" s="446" t="e">
        <f t="shared" ref="S7:S13" ca="1" si="8">Q7-O7</f>
        <v>#NAME?</v>
      </c>
      <c r="T7" s="482" t="e">
        <f ca="1">_xll.BDP(C7,"YLD_YTM_BID")</f>
        <v>#NAME?</v>
      </c>
      <c r="U7" s="486" t="e">
        <f ca="1">E7*_xll.BDP(C7,"PX_GROSS_ASK")/100</f>
        <v>#NAME?</v>
      </c>
      <c r="V7" s="448" t="e">
        <f ca="1">_xll.BDP($C7,"CHG_PCT_YTD")</f>
        <v>#NAME?</v>
      </c>
      <c r="W7" s="448" t="e">
        <f ca="1">_xll.BDP($C7,"CHG_PCT_1YR")</f>
        <v>#NAME?</v>
      </c>
      <c r="X7" s="448" t="e">
        <f ca="1">_xll.BDP($C7,"CHG_PCT_6M")</f>
        <v>#NAME?</v>
      </c>
      <c r="Y7" s="448" t="e">
        <f ca="1">_xll.BDP($C7,"CHG_PCT_3M")</f>
        <v>#NAME?</v>
      </c>
      <c r="Z7" s="448" t="e">
        <f ca="1">_xll.BDP($C7,"CHG_PCT_1M")</f>
        <v>#NAME?</v>
      </c>
      <c r="AA7" s="448" t="e">
        <f ca="1">_xll.BDP($C7,"CHG_PCT_5D")</f>
        <v>#NAME?</v>
      </c>
      <c r="AB7" s="448"/>
    </row>
    <row r="8" spans="1:31" s="440" customFormat="1" x14ac:dyDescent="0.2">
      <c r="A8" s="480" t="s">
        <v>739</v>
      </c>
      <c r="B8" s="441" t="e">
        <f ca="1">_xll.BDP(C8,"SECURITY_NAME")</f>
        <v>#NAME?</v>
      </c>
      <c r="C8" s="481" t="s">
        <v>738</v>
      </c>
      <c r="D8" s="442" t="e">
        <f t="shared" ca="1" si="0"/>
        <v>#NAME?</v>
      </c>
      <c r="E8" s="443">
        <f>$F$35</f>
        <v>300000</v>
      </c>
      <c r="F8" s="468">
        <f>$H$35</f>
        <v>99</v>
      </c>
      <c r="G8" s="444" t="e">
        <f ca="1">_xll.BDP(C8,"PX_ASK")</f>
        <v>#NAME?</v>
      </c>
      <c r="H8" s="444"/>
      <c r="I8" s="444"/>
      <c r="K8" s="445" t="e">
        <f ca="1">_xll.BDP($C8,"CRNCY")</f>
        <v>#NAME?</v>
      </c>
      <c r="L8" s="442" t="e">
        <f t="shared" ca="1" si="2"/>
        <v>#NAME?</v>
      </c>
      <c r="M8" s="442" t="e">
        <f t="shared" ca="1" si="3"/>
        <v>#NAME?</v>
      </c>
      <c r="N8" s="443" t="e">
        <f ca="1">$K$35</f>
        <v>#NAME?</v>
      </c>
      <c r="O8" s="443">
        <f t="shared" si="4"/>
        <v>297000</v>
      </c>
      <c r="P8" s="443" t="e">
        <f t="shared" ca="1" si="5"/>
        <v>#NAME?</v>
      </c>
      <c r="Q8" s="443" t="e">
        <f t="shared" ca="1" si="6"/>
        <v>#NAME?</v>
      </c>
      <c r="R8" s="446" t="e">
        <f t="shared" ca="1" si="7"/>
        <v>#NAME?</v>
      </c>
      <c r="S8" s="446" t="e">
        <f t="shared" ca="1" si="8"/>
        <v>#NAME?</v>
      </c>
      <c r="T8" s="482" t="e">
        <f ca="1">_xll.BDP(C8,"YLD_YTM_BID")</f>
        <v>#NAME?</v>
      </c>
      <c r="U8" s="486" t="e">
        <f ca="1">E8*_xll.BDP(C8,"PX_GROSS_ASK")/100</f>
        <v>#NAME?</v>
      </c>
      <c r="V8" s="448" t="e">
        <f ca="1">_xll.BDP($C8,"CHG_PCT_YTD")</f>
        <v>#NAME?</v>
      </c>
      <c r="W8" s="448" t="e">
        <f ca="1">_xll.BDP($C8,"CHG_PCT_1YR")</f>
        <v>#NAME?</v>
      </c>
      <c r="X8" s="448" t="e">
        <f ca="1">_xll.BDP($C8,"CHG_PCT_6M")</f>
        <v>#NAME?</v>
      </c>
      <c r="Y8" s="448" t="e">
        <f ca="1">_xll.BDP($C8,"CHG_PCT_3M")</f>
        <v>#NAME?</v>
      </c>
      <c r="Z8" s="448" t="e">
        <f ca="1">_xll.BDP($C8,"CHG_PCT_1M")</f>
        <v>#NAME?</v>
      </c>
      <c r="AA8" s="448" t="e">
        <f ca="1">_xll.BDP($C8,"CHG_PCT_5D")</f>
        <v>#NAME?</v>
      </c>
      <c r="AB8" s="448"/>
    </row>
    <row r="9" spans="1:31" s="440" customFormat="1" x14ac:dyDescent="0.2">
      <c r="A9" s="480" t="s">
        <v>739</v>
      </c>
      <c r="B9" s="441" t="e">
        <f ca="1">_xll.BDP(C9,"SECURITY_NAME")</f>
        <v>#NAME?</v>
      </c>
      <c r="C9" s="483" t="s">
        <v>225</v>
      </c>
      <c r="D9" s="442" t="e">
        <f t="shared" ca="1" si="0"/>
        <v>#NAME?</v>
      </c>
      <c r="E9" s="443">
        <f>$F$50</f>
        <v>1200000</v>
      </c>
      <c r="F9" s="468">
        <f>$H$50</f>
        <v>101.22166666666668</v>
      </c>
      <c r="G9" s="444" t="e">
        <f ca="1">_xll.BDP(C9,"PX_ASK")</f>
        <v>#NAME?</v>
      </c>
      <c r="H9" s="444"/>
      <c r="I9" s="444"/>
      <c r="K9" s="445" t="e">
        <f ca="1">_xll.BDP($C9,"CRNCY")</f>
        <v>#NAME?</v>
      </c>
      <c r="L9" s="442" t="e">
        <f t="shared" ca="1" si="2"/>
        <v>#NAME?</v>
      </c>
      <c r="M9" s="442" t="e">
        <f t="shared" ca="1" si="3"/>
        <v>#NAME?</v>
      </c>
      <c r="N9" s="443" t="e">
        <f ca="1">$K$50</f>
        <v>#NAME?</v>
      </c>
      <c r="O9" s="443">
        <f t="shared" si="4"/>
        <v>1214660.0000000002</v>
      </c>
      <c r="P9" s="443" t="e">
        <f t="shared" ca="1" si="5"/>
        <v>#NAME?</v>
      </c>
      <c r="Q9" s="443" t="e">
        <f t="shared" ca="1" si="6"/>
        <v>#NAME?</v>
      </c>
      <c r="R9" s="446" t="e">
        <f t="shared" ca="1" si="7"/>
        <v>#NAME?</v>
      </c>
      <c r="S9" s="446" t="e">
        <f t="shared" ca="1" si="8"/>
        <v>#NAME?</v>
      </c>
      <c r="T9" s="482" t="e">
        <f ca="1">_xll.BDP(C9,"YLD_YTM_BID")</f>
        <v>#NAME?</v>
      </c>
      <c r="U9" s="486" t="e">
        <f ca="1">E9*_xll.BDP(C9,"PX_GROSS_ASK")/100</f>
        <v>#NAME?</v>
      </c>
      <c r="V9" s="448" t="e">
        <f ca="1">_xll.BDP($C9,"CHG_PCT_YTD")</f>
        <v>#NAME?</v>
      </c>
      <c r="W9" s="448" t="e">
        <f ca="1">_xll.BDP($C9,"CHG_PCT_1YR")</f>
        <v>#NAME?</v>
      </c>
      <c r="X9" s="448" t="e">
        <f ca="1">_xll.BDP($C9,"CHG_PCT_6M")</f>
        <v>#NAME?</v>
      </c>
      <c r="Y9" s="448" t="e">
        <f ca="1">_xll.BDP($C9,"CHG_PCT_3M")</f>
        <v>#NAME?</v>
      </c>
      <c r="Z9" s="448" t="e">
        <f ca="1">_xll.BDP($C9,"CHG_PCT_1M")</f>
        <v>#NAME?</v>
      </c>
      <c r="AA9" s="448" t="e">
        <f ca="1">_xll.BDP($C9,"CHG_PCT_5D")</f>
        <v>#NAME?</v>
      </c>
      <c r="AB9" s="448"/>
    </row>
    <row r="10" spans="1:31" s="440" customFormat="1" x14ac:dyDescent="0.2">
      <c r="A10" s="480" t="s">
        <v>739</v>
      </c>
      <c r="B10" s="441" t="e">
        <f ca="1">_xll.BDP(C10,"SECURITY_NAME")</f>
        <v>#NAME?</v>
      </c>
      <c r="C10" s="481" t="s">
        <v>740</v>
      </c>
      <c r="D10" s="442" t="e">
        <f t="shared" ca="1" si="0"/>
        <v>#NAME?</v>
      </c>
      <c r="E10" s="443">
        <f>$F$45</f>
        <v>300000</v>
      </c>
      <c r="F10" s="468">
        <f>$H$45</f>
        <v>104.5</v>
      </c>
      <c r="G10" s="444" t="e">
        <f ca="1">_xll.BDP(C10,"PX_ASK")</f>
        <v>#NAME?</v>
      </c>
      <c r="H10" s="444"/>
      <c r="I10" s="444"/>
      <c r="K10" s="445" t="e">
        <f ca="1">_xll.BDP($C10,"CRNCY")</f>
        <v>#NAME?</v>
      </c>
      <c r="L10" s="442" t="e">
        <f t="shared" ca="1" si="2"/>
        <v>#NAME?</v>
      </c>
      <c r="M10" s="442" t="e">
        <f t="shared" ca="1" si="3"/>
        <v>#NAME?</v>
      </c>
      <c r="N10" s="443" t="e">
        <f ca="1">$K$45</f>
        <v>#NAME?</v>
      </c>
      <c r="O10" s="443">
        <f t="shared" si="4"/>
        <v>313500</v>
      </c>
      <c r="P10" s="443" t="e">
        <f t="shared" ca="1" si="5"/>
        <v>#NAME?</v>
      </c>
      <c r="Q10" s="443" t="e">
        <f t="shared" ca="1" si="6"/>
        <v>#NAME?</v>
      </c>
      <c r="R10" s="446" t="e">
        <f t="shared" ca="1" si="7"/>
        <v>#NAME?</v>
      </c>
      <c r="S10" s="446" t="e">
        <f t="shared" ca="1" si="8"/>
        <v>#NAME?</v>
      </c>
      <c r="T10" s="482" t="e">
        <f ca="1">_xll.BDP(C10,"YLD_YTM_BID")</f>
        <v>#NAME?</v>
      </c>
      <c r="U10" s="486" t="e">
        <f ca="1">E10*_xll.BDP(C10,"PX_GROSS_ASK")/100</f>
        <v>#NAME?</v>
      </c>
      <c r="V10" s="448" t="e">
        <f ca="1">_xll.BDP($C10,"CHG_PCT_YTD")</f>
        <v>#NAME?</v>
      </c>
      <c r="W10" s="448" t="e">
        <f ca="1">_xll.BDP($C10,"CHG_PCT_1YR")</f>
        <v>#NAME?</v>
      </c>
      <c r="X10" s="448" t="e">
        <f ca="1">_xll.BDP($C10,"CHG_PCT_6M")</f>
        <v>#NAME?</v>
      </c>
      <c r="Y10" s="448" t="e">
        <f ca="1">_xll.BDP($C10,"CHG_PCT_3M")</f>
        <v>#NAME?</v>
      </c>
      <c r="Z10" s="448" t="e">
        <f ca="1">_xll.BDP($C10,"CHG_PCT_1M")</f>
        <v>#NAME?</v>
      </c>
      <c r="AA10" s="448" t="e">
        <f ca="1">_xll.BDP($C10,"CHG_PCT_5D")</f>
        <v>#NAME?</v>
      </c>
      <c r="AB10" s="448"/>
    </row>
    <row r="11" spans="1:31" s="440" customFormat="1" x14ac:dyDescent="0.2">
      <c r="A11" s="480" t="s">
        <v>739</v>
      </c>
      <c r="B11" s="441" t="e">
        <f ca="1">_xll.BDP(C11,"SECURITY_NAME")</f>
        <v>#NAME?</v>
      </c>
      <c r="C11" s="481" t="s">
        <v>737</v>
      </c>
      <c r="D11" s="442" t="e">
        <f t="shared" ca="1" si="0"/>
        <v>#NAME?</v>
      </c>
      <c r="E11" s="443">
        <f>$F$29</f>
        <v>200000</v>
      </c>
      <c r="F11" s="468">
        <f>$H$29</f>
        <v>104.03999999999999</v>
      </c>
      <c r="G11" s="444" t="e">
        <f ca="1">_xll.BDP(C11,"PX_ASK")</f>
        <v>#NAME?</v>
      </c>
      <c r="H11" s="444"/>
      <c r="I11" s="444"/>
      <c r="K11" s="445" t="e">
        <f ca="1">_xll.BDP($C11,"CRNCY")</f>
        <v>#NAME?</v>
      </c>
      <c r="L11" s="442" t="e">
        <f t="shared" ca="1" si="2"/>
        <v>#NAME?</v>
      </c>
      <c r="M11" s="442" t="e">
        <f t="shared" ca="1" si="3"/>
        <v>#NAME?</v>
      </c>
      <c r="N11" s="443" t="e">
        <f ca="1">$K$29</f>
        <v>#NAME?</v>
      </c>
      <c r="O11" s="443">
        <f t="shared" si="4"/>
        <v>208080</v>
      </c>
      <c r="P11" s="443" t="e">
        <f t="shared" ca="1" si="5"/>
        <v>#NAME?</v>
      </c>
      <c r="Q11" s="443" t="e">
        <f t="shared" ca="1" si="6"/>
        <v>#NAME?</v>
      </c>
      <c r="R11" s="446" t="e">
        <f t="shared" ca="1" si="7"/>
        <v>#NAME?</v>
      </c>
      <c r="S11" s="446" t="e">
        <f t="shared" ca="1" si="8"/>
        <v>#NAME?</v>
      </c>
      <c r="T11" s="482" t="e">
        <f ca="1">_xll.BDP(C11,"YLD_YTM_BID")</f>
        <v>#NAME?</v>
      </c>
      <c r="U11" s="486" t="e">
        <f ca="1">E11*_xll.BDP(C11,"PX_GROSS_ASK")/100</f>
        <v>#NAME?</v>
      </c>
      <c r="V11" s="448" t="e">
        <f ca="1">_xll.BDP($C11,"CHG_PCT_YTD")</f>
        <v>#NAME?</v>
      </c>
      <c r="W11" s="448" t="e">
        <f ca="1">_xll.BDP($C11,"CHG_PCT_1YR")</f>
        <v>#NAME?</v>
      </c>
      <c r="X11" s="448" t="e">
        <f ca="1">_xll.BDP($C11,"CHG_PCT_6M")</f>
        <v>#NAME?</v>
      </c>
      <c r="Y11" s="448" t="e">
        <f ca="1">_xll.BDP($C11,"CHG_PCT_3M")</f>
        <v>#NAME?</v>
      </c>
      <c r="Z11" s="448" t="e">
        <f ca="1">_xll.BDP($C11,"CHG_PCT_1M")</f>
        <v>#NAME?</v>
      </c>
      <c r="AA11" s="448" t="e">
        <f ca="1">_xll.BDP($C11,"CHG_PCT_5D")</f>
        <v>#NAME?</v>
      </c>
      <c r="AB11" s="448"/>
    </row>
    <row r="12" spans="1:31" s="440" customFormat="1" x14ac:dyDescent="0.2">
      <c r="A12" s="480" t="s">
        <v>739</v>
      </c>
      <c r="B12" s="441" t="e">
        <f ca="1">_xll.BDP(C12,"SECURITY_NAME")</f>
        <v>#NAME?</v>
      </c>
      <c r="C12" s="481" t="s">
        <v>453</v>
      </c>
      <c r="D12" s="442" t="e">
        <f t="shared" ca="1" si="0"/>
        <v>#NAME?</v>
      </c>
      <c r="E12" s="443">
        <f>$F$32</f>
        <v>200000</v>
      </c>
      <c r="F12" s="468">
        <f>$H$32</f>
        <v>101.8125</v>
      </c>
      <c r="G12" s="444" t="e">
        <f ca="1">_xll.BDP(C12,"PX_ASK")</f>
        <v>#NAME?</v>
      </c>
      <c r="H12" s="444"/>
      <c r="I12" s="444"/>
      <c r="K12" s="445" t="e">
        <f ca="1">_xll.BDP($C12,"CRNCY")</f>
        <v>#NAME?</v>
      </c>
      <c r="L12" s="442" t="e">
        <f t="shared" ca="1" si="2"/>
        <v>#NAME?</v>
      </c>
      <c r="M12" s="442" t="e">
        <f t="shared" ca="1" si="3"/>
        <v>#NAME?</v>
      </c>
      <c r="N12" s="443" t="e">
        <f ca="1">$K$32</f>
        <v>#NAME?</v>
      </c>
      <c r="O12" s="443">
        <f t="shared" si="4"/>
        <v>203625</v>
      </c>
      <c r="P12" s="443" t="e">
        <f t="shared" ca="1" si="5"/>
        <v>#NAME?</v>
      </c>
      <c r="Q12" s="443" t="e">
        <f t="shared" ca="1" si="6"/>
        <v>#NAME?</v>
      </c>
      <c r="R12" s="446" t="e">
        <f t="shared" ca="1" si="7"/>
        <v>#NAME?</v>
      </c>
      <c r="S12" s="446" t="e">
        <f t="shared" ca="1" si="8"/>
        <v>#NAME?</v>
      </c>
      <c r="T12" s="482" t="e">
        <f ca="1">_xll.BDP(C12,"YLD_YTM_BID")</f>
        <v>#NAME?</v>
      </c>
      <c r="U12" s="486" t="e">
        <f ca="1">E12*_xll.BDP(C12,"PX_GROSS_ASK")/100</f>
        <v>#NAME?</v>
      </c>
      <c r="V12" s="448" t="e">
        <f ca="1">_xll.BDP($C12,"CHG_PCT_YTD")</f>
        <v>#NAME?</v>
      </c>
      <c r="W12" s="448" t="e">
        <f ca="1">_xll.BDP($C12,"CHG_PCT_1YR")</f>
        <v>#NAME?</v>
      </c>
      <c r="X12" s="448" t="e">
        <f ca="1">_xll.BDP($C12,"CHG_PCT_6M")</f>
        <v>#NAME?</v>
      </c>
      <c r="Y12" s="448" t="e">
        <f ca="1">_xll.BDP($C12,"CHG_PCT_3M")</f>
        <v>#NAME?</v>
      </c>
      <c r="Z12" s="448" t="e">
        <f ca="1">_xll.BDP($C12,"CHG_PCT_1M")</f>
        <v>#NAME?</v>
      </c>
      <c r="AA12" s="448" t="e">
        <f ca="1">_xll.BDP($C12,"CHG_PCT_5D")</f>
        <v>#NAME?</v>
      </c>
      <c r="AB12" s="448"/>
    </row>
    <row r="13" spans="1:31" s="440" customFormat="1" x14ac:dyDescent="0.2">
      <c r="A13" s="480" t="s">
        <v>739</v>
      </c>
      <c r="B13" s="441" t="e">
        <f ca="1">_xll.BDP(C13,"SECURITY_NAME")</f>
        <v>#NAME?</v>
      </c>
      <c r="C13" s="483" t="s">
        <v>697</v>
      </c>
      <c r="D13" s="442" t="e">
        <f t="shared" ca="1" si="0"/>
        <v>#NAME?</v>
      </c>
      <c r="E13" s="443">
        <f>$F$38</f>
        <v>400000</v>
      </c>
      <c r="F13" s="468">
        <f>$H$38</f>
        <v>91</v>
      </c>
      <c r="G13" s="444" t="e">
        <f ca="1">_xll.BDP(C13,"PX_ASK")</f>
        <v>#NAME?</v>
      </c>
      <c r="H13" s="444"/>
      <c r="I13" s="444"/>
      <c r="K13" s="445" t="e">
        <f ca="1">_xll.BDP($C13,"CRNCY")</f>
        <v>#NAME?</v>
      </c>
      <c r="L13" s="442" t="e">
        <f t="shared" ca="1" si="2"/>
        <v>#NAME?</v>
      </c>
      <c r="M13" s="442" t="e">
        <f t="shared" ca="1" si="3"/>
        <v>#NAME?</v>
      </c>
      <c r="N13" s="443" t="e">
        <f ca="1">$K$38</f>
        <v>#NAME?</v>
      </c>
      <c r="O13" s="443">
        <f t="shared" si="4"/>
        <v>364000</v>
      </c>
      <c r="P13" s="443" t="e">
        <f t="shared" ca="1" si="5"/>
        <v>#NAME?</v>
      </c>
      <c r="Q13" s="443" t="e">
        <f t="shared" ca="1" si="6"/>
        <v>#NAME?</v>
      </c>
      <c r="R13" s="446" t="e">
        <f t="shared" ca="1" si="7"/>
        <v>#NAME?</v>
      </c>
      <c r="S13" s="446" t="e">
        <f t="shared" ca="1" si="8"/>
        <v>#NAME?</v>
      </c>
      <c r="T13" s="482" t="e">
        <f ca="1">_xll.BDP(C13,"YLD_YTM_BID")</f>
        <v>#NAME?</v>
      </c>
      <c r="U13" s="486" t="e">
        <f ca="1">E13*_xll.BDP(C13,"PX_GROSS_ASK")/100</f>
        <v>#NAME?</v>
      </c>
      <c r="V13" s="448" t="e">
        <f ca="1">_xll.BDP($C13,"CHG_PCT_YTD")</f>
        <v>#NAME?</v>
      </c>
      <c r="W13" s="448" t="e">
        <f ca="1">_xll.BDP($C13,"CHG_PCT_1YR")</f>
        <v>#NAME?</v>
      </c>
      <c r="X13" s="448" t="e">
        <f ca="1">_xll.BDP($C13,"CHG_PCT_6M")</f>
        <v>#NAME?</v>
      </c>
      <c r="Y13" s="448" t="e">
        <f ca="1">_xll.BDP($C13,"CHG_PCT_3M")</f>
        <v>#NAME?</v>
      </c>
      <c r="Z13" s="448" t="e">
        <f ca="1">_xll.BDP($C13,"CHG_PCT_1M")</f>
        <v>#NAME?</v>
      </c>
      <c r="AA13" s="448" t="e">
        <f ca="1">_xll.BDP($C13,"CHG_PCT_5D")</f>
        <v>#NAME?</v>
      </c>
      <c r="AB13" s="448"/>
    </row>
    <row r="14" spans="1:31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7"/>
      <c r="L14" s="179"/>
      <c r="M14" s="179"/>
      <c r="N14" s="178"/>
      <c r="O14" s="420"/>
      <c r="P14" s="64"/>
      <c r="Q14" s="64">
        <v>1500000</v>
      </c>
      <c r="R14" s="62"/>
      <c r="S14" s="62"/>
      <c r="T14" s="484"/>
      <c r="U14" s="503">
        <f>Q14</f>
        <v>1500000</v>
      </c>
      <c r="V14" s="177"/>
      <c r="W14" s="177"/>
      <c r="X14" s="177"/>
      <c r="Y14" s="177"/>
      <c r="Z14" s="177"/>
      <c r="AA14" s="177"/>
      <c r="AB14" s="177"/>
      <c r="AC14" s="177"/>
    </row>
    <row r="15" spans="1:31" s="429" customFormat="1" ht="13.5" customHeight="1" thickBot="1" x14ac:dyDescent="0.25">
      <c r="B15" s="421"/>
      <c r="C15" s="421"/>
      <c r="D15" s="422" t="e">
        <f ca="1">SUM(D7:D14)</f>
        <v>#NAME?</v>
      </c>
      <c r="E15" s="421"/>
      <c r="F15" s="421"/>
      <c r="G15" s="421"/>
      <c r="H15" s="421"/>
      <c r="I15" s="421"/>
      <c r="J15" s="423"/>
      <c r="K15" s="423"/>
      <c r="L15" s="624" t="e">
        <f ca="1">SUMPRODUCT($D$4:$D$13,L4:L13)</f>
        <v>#NAME?</v>
      </c>
      <c r="M15" s="624" t="e">
        <f ca="1">SUMPRODUCT($D$4:$D$13,M4:M13)</f>
        <v>#NAME?</v>
      </c>
      <c r="N15" s="424" t="e">
        <f ca="1">SUM(N4:N14)</f>
        <v>#NAME?</v>
      </c>
      <c r="O15" s="424" t="e">
        <f t="shared" ref="O15:U15" ca="1" si="9">SUM(O4:O14)</f>
        <v>#NAME?</v>
      </c>
      <c r="P15" s="424" t="e">
        <f t="shared" ca="1" si="9"/>
        <v>#NAME?</v>
      </c>
      <c r="Q15" s="424" t="e">
        <f t="shared" ca="1" si="9"/>
        <v>#NAME?</v>
      </c>
      <c r="R15" s="424" t="e">
        <f t="shared" ca="1" si="9"/>
        <v>#NAME?</v>
      </c>
      <c r="S15" s="424" t="e">
        <f t="shared" ca="1" si="9"/>
        <v>#NAME?</v>
      </c>
      <c r="T15" s="767" t="e">
        <f ca="1">SUMPRODUCT(D4:D13,T4:T13)</f>
        <v>#NAME?</v>
      </c>
      <c r="U15" s="487" t="e">
        <f t="shared" ca="1" si="9"/>
        <v>#NAME?</v>
      </c>
      <c r="V15" s="423"/>
      <c r="W15" s="423"/>
      <c r="X15" s="423"/>
      <c r="Y15" s="423"/>
      <c r="Z15" s="423"/>
      <c r="AA15" s="423"/>
      <c r="AB15" s="423"/>
      <c r="AC15" s="423"/>
    </row>
    <row r="16" spans="1:31" s="429" customFormat="1" ht="11.25" customHeight="1" x14ac:dyDescent="0.2">
      <c r="B16" s="116"/>
      <c r="C16" s="116"/>
      <c r="D16" s="425"/>
      <c r="E16" s="116"/>
      <c r="F16" s="832" t="s">
        <v>839</v>
      </c>
      <c r="G16" s="832"/>
      <c r="H16" s="832"/>
      <c r="I16" s="680" t="e">
        <f ca="1">SUMPRODUCT(D4:D6,I4:I6)</f>
        <v>#NAME?</v>
      </c>
      <c r="K16" s="116"/>
      <c r="L16" s="426"/>
      <c r="M16" s="426"/>
      <c r="N16" s="426"/>
      <c r="O16" s="426"/>
      <c r="P16" s="427"/>
      <c r="Q16" s="124"/>
      <c r="R16" s="428"/>
      <c r="S16" s="832" t="s">
        <v>840</v>
      </c>
      <c r="T16" s="832"/>
      <c r="U16" s="832"/>
    </row>
    <row r="17" spans="2:21" s="429" customFormat="1" x14ac:dyDescent="0.2">
      <c r="E17" s="430"/>
      <c r="F17" s="833"/>
      <c r="G17" s="833"/>
      <c r="H17" s="833"/>
      <c r="K17" s="431"/>
      <c r="L17" s="431"/>
      <c r="M17" s="116"/>
      <c r="N17" s="432"/>
      <c r="O17" s="432"/>
      <c r="P17" s="431"/>
      <c r="S17" s="833"/>
      <c r="T17" s="833"/>
      <c r="U17" s="833"/>
    </row>
    <row r="18" spans="2:21" s="429" customFormat="1" x14ac:dyDescent="0.2">
      <c r="B18" s="429" t="s">
        <v>276</v>
      </c>
      <c r="E18" s="430"/>
      <c r="F18" s="833"/>
      <c r="G18" s="833"/>
      <c r="H18" s="833"/>
      <c r="M18" s="116"/>
      <c r="N18" s="432"/>
      <c r="O18" s="432"/>
      <c r="P18" s="431"/>
      <c r="S18" s="833"/>
      <c r="T18" s="833"/>
      <c r="U18" s="833"/>
    </row>
    <row r="19" spans="2:21" s="429" customFormat="1" x14ac:dyDescent="0.2">
      <c r="B19" s="433">
        <v>2016</v>
      </c>
      <c r="M19" s="116"/>
      <c r="N19" s="432"/>
      <c r="O19" s="432"/>
      <c r="P19" s="431"/>
    </row>
    <row r="20" spans="2:21" ht="40.5" customHeight="1" x14ac:dyDescent="0.2">
      <c r="B20" s="550" t="s">
        <v>105</v>
      </c>
      <c r="C20" s="551" t="s">
        <v>104</v>
      </c>
      <c r="D20" s="551" t="s">
        <v>174</v>
      </c>
      <c r="E20" s="551" t="s">
        <v>173</v>
      </c>
      <c r="F20" s="551" t="s">
        <v>175</v>
      </c>
      <c r="G20" s="551" t="s">
        <v>172</v>
      </c>
      <c r="H20" s="551" t="s">
        <v>103</v>
      </c>
      <c r="I20" s="551" t="s">
        <v>102</v>
      </c>
      <c r="J20" s="551" t="s">
        <v>101</v>
      </c>
      <c r="K20" s="551" t="s">
        <v>100</v>
      </c>
      <c r="L20" s="551" t="s">
        <v>99</v>
      </c>
      <c r="M20" s="551" t="s">
        <v>98</v>
      </c>
      <c r="N20" s="551" t="s">
        <v>280</v>
      </c>
      <c r="O20" s="551" t="s">
        <v>97</v>
      </c>
      <c r="P20" s="551" t="s">
        <v>279</v>
      </c>
      <c r="Q20" s="551" t="s">
        <v>277</v>
      </c>
      <c r="R20" s="551" t="s">
        <v>278</v>
      </c>
    </row>
    <row r="21" spans="2:21" s="49" customFormat="1" x14ac:dyDescent="0.2">
      <c r="B21" s="103" t="e">
        <f ca="1">_xll.BDP(C21,"SECURITY_NAME")</f>
        <v>#NAME?</v>
      </c>
      <c r="C21" s="768" t="s">
        <v>378</v>
      </c>
      <c r="D21" s="73" t="s">
        <v>51</v>
      </c>
      <c r="E21" s="43" t="e">
        <f ca="1">F21*_xll.BDP(C21,"PX_LAST")</f>
        <v>#NAME?</v>
      </c>
      <c r="F21" s="43">
        <v>1000000</v>
      </c>
      <c r="G21" s="104">
        <v>200000</v>
      </c>
      <c r="H21" s="47">
        <f>G21/F21</f>
        <v>0.2</v>
      </c>
      <c r="I21" s="43">
        <f>G21*K21/100</f>
        <v>182000</v>
      </c>
      <c r="J21" s="104">
        <f>G21*L21/100</f>
        <v>199040</v>
      </c>
      <c r="K21" s="38">
        <v>91</v>
      </c>
      <c r="L21" s="38">
        <v>99.52</v>
      </c>
      <c r="M21" s="44">
        <f>L21/K21-1</f>
        <v>9.3626373626373605E-2</v>
      </c>
      <c r="N21" s="43">
        <f>J21-I21</f>
        <v>17040</v>
      </c>
      <c r="O21" s="106" t="e">
        <f ca="1">_xll.BDP($C21,"CRNCY")</f>
        <v>#NAME?</v>
      </c>
      <c r="P21" s="43">
        <f>N21</f>
        <v>17040</v>
      </c>
      <c r="Q21" s="14">
        <v>42598</v>
      </c>
      <c r="R21" s="140" t="e">
        <f ca="1">_xll.BDH("RUB curncy","PX_LAST",$Q21)</f>
        <v>#NAME?</v>
      </c>
    </row>
    <row r="22" spans="2:21" s="49" customFormat="1" x14ac:dyDescent="0.2">
      <c r="B22" s="103" t="e">
        <f ca="1">_xll.BDP(C22,"SECURITY_NAME")</f>
        <v>#NAME?</v>
      </c>
      <c r="C22" s="768" t="s">
        <v>378</v>
      </c>
      <c r="D22" s="73" t="s">
        <v>51</v>
      </c>
      <c r="E22" s="43" t="e">
        <f ca="1">F22*_xll.BDP(C22,"PX_LAST")</f>
        <v>#NAME?</v>
      </c>
      <c r="F22" s="43">
        <v>1000000</v>
      </c>
      <c r="G22" s="104">
        <v>800000</v>
      </c>
      <c r="H22" s="47">
        <f>G22/F22</f>
        <v>0.8</v>
      </c>
      <c r="I22" s="43">
        <f>G22*K22/100</f>
        <v>728000</v>
      </c>
      <c r="J22" s="104">
        <f>G22*L22/100</f>
        <v>803760</v>
      </c>
      <c r="K22" s="38">
        <v>91</v>
      </c>
      <c r="L22" s="38">
        <v>100.47</v>
      </c>
      <c r="M22" s="44">
        <f>L22/K22-1</f>
        <v>0.10406593406593401</v>
      </c>
      <c r="N22" s="43">
        <f>J22-I22</f>
        <v>75760</v>
      </c>
      <c r="O22" s="106" t="e">
        <f ca="1">_xll.BDP($C22,"CRNCY")</f>
        <v>#NAME?</v>
      </c>
      <c r="P22" s="43">
        <f>N22</f>
        <v>75760</v>
      </c>
      <c r="Q22" s="14">
        <v>42636</v>
      </c>
      <c r="R22" s="140" t="e">
        <f ca="1">_xll.BDH("RUB curncy","PX_LAST",$Q22)</f>
        <v>#NAME?</v>
      </c>
    </row>
    <row r="23" spans="2:21" s="49" customFormat="1" x14ac:dyDescent="0.2">
      <c r="H23" s="105"/>
      <c r="I23" s="105"/>
      <c r="J23" s="155"/>
      <c r="K23" s="46"/>
      <c r="L23" s="148"/>
      <c r="M23" s="34"/>
      <c r="O23" s="49" t="s">
        <v>94</v>
      </c>
      <c r="P23" s="148">
        <f>SUM(P21:P22)</f>
        <v>92800</v>
      </c>
    </row>
    <row r="24" spans="2:21" s="49" customFormat="1" x14ac:dyDescent="0.2">
      <c r="B24" s="49" t="s">
        <v>93</v>
      </c>
      <c r="C24" s="155"/>
      <c r="D24" s="105"/>
      <c r="H24" s="105"/>
      <c r="I24" s="155"/>
      <c r="J24" s="155"/>
      <c r="K24" s="148"/>
    </row>
    <row r="25" spans="2:21" s="49" customFormat="1" ht="13.5" thickBot="1" x14ac:dyDescent="0.25">
      <c r="C25" s="148"/>
      <c r="D25" s="148"/>
      <c r="G25" s="148"/>
      <c r="H25" s="155"/>
      <c r="I25" s="148"/>
      <c r="J25" s="155"/>
      <c r="K25" s="148"/>
    </row>
    <row r="26" spans="2:21" s="49" customFormat="1" ht="15" x14ac:dyDescent="0.35">
      <c r="B26" s="769"/>
      <c r="C26" s="769"/>
      <c r="D26" s="769"/>
      <c r="E26" s="769"/>
      <c r="F26" s="769"/>
      <c r="G26" s="769"/>
      <c r="H26" s="770" t="s">
        <v>92</v>
      </c>
      <c r="I26" s="771" t="s">
        <v>91</v>
      </c>
      <c r="J26" s="771" t="s">
        <v>90</v>
      </c>
      <c r="K26" s="771"/>
      <c r="L26" s="771"/>
      <c r="M26" s="769"/>
      <c r="N26" s="769"/>
      <c r="Q26" s="772"/>
    </row>
    <row r="27" spans="2:21" ht="15" x14ac:dyDescent="0.35">
      <c r="B27" s="23" t="s">
        <v>89</v>
      </c>
      <c r="C27" s="23" t="s">
        <v>88</v>
      </c>
      <c r="D27" s="23" t="s">
        <v>87</v>
      </c>
      <c r="E27" s="23" t="s">
        <v>86</v>
      </c>
      <c r="F27" s="23" t="s">
        <v>85</v>
      </c>
      <c r="G27" s="23" t="s">
        <v>84</v>
      </c>
      <c r="H27" s="25" t="s">
        <v>83</v>
      </c>
      <c r="I27" s="24" t="s">
        <v>83</v>
      </c>
      <c r="J27" s="24" t="s">
        <v>75</v>
      </c>
      <c r="K27" s="24" t="s">
        <v>73</v>
      </c>
      <c r="L27" s="24" t="s">
        <v>82</v>
      </c>
      <c r="M27" s="23" t="s">
        <v>81</v>
      </c>
      <c r="N27" s="23" t="s">
        <v>80</v>
      </c>
    </row>
    <row r="28" spans="2:21" x14ac:dyDescent="0.2">
      <c r="B28" s="287" t="s">
        <v>739</v>
      </c>
      <c r="C28" s="287" t="s">
        <v>737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104.04</v>
      </c>
      <c r="I28" s="282">
        <f>F28*H28/100</f>
        <v>208080</v>
      </c>
      <c r="J28" s="283">
        <f>I28</f>
        <v>208080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42587</v>
      </c>
    </row>
    <row r="29" spans="2:21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104.03999999999999</v>
      </c>
      <c r="I29" s="277">
        <f>SUM(I28:I28)</f>
        <v>208080</v>
      </c>
      <c r="J29" s="277">
        <f>SUM(J28:J28)</f>
        <v>208080</v>
      </c>
      <c r="K29" s="277" t="e">
        <f ca="1">SUM(K28:K28)</f>
        <v>#NAME?</v>
      </c>
      <c r="L29" s="276"/>
      <c r="M29" s="275"/>
      <c r="N29" s="274"/>
    </row>
    <row r="30" spans="2:21" x14ac:dyDescent="0.2">
      <c r="B30" s="71"/>
      <c r="C30" s="33"/>
      <c r="D30" s="73"/>
      <c r="E30" s="73"/>
      <c r="F30" s="74"/>
      <c r="G30" s="73"/>
      <c r="H30" s="75"/>
      <c r="I30" s="74"/>
      <c r="J30" s="74"/>
      <c r="K30" s="74"/>
      <c r="L30" s="139"/>
      <c r="M30" s="86"/>
      <c r="N30" s="14"/>
      <c r="O30" s="33"/>
    </row>
    <row r="31" spans="2:21" x14ac:dyDescent="0.2">
      <c r="B31" s="287" t="s">
        <v>739</v>
      </c>
      <c r="C31" s="287" t="s">
        <v>453</v>
      </c>
      <c r="D31" s="284" t="e">
        <f ca="1">_xll.BDP(C31,"SECURITY_NAME")</f>
        <v>#NAME?</v>
      </c>
      <c r="E31" s="284" t="s">
        <v>50</v>
      </c>
      <c r="F31" s="285">
        <v>200000</v>
      </c>
      <c r="G31" s="284" t="e">
        <f ca="1">_xll.BDP(C31,"CRNCY")</f>
        <v>#NAME?</v>
      </c>
      <c r="H31" s="281">
        <v>101.8125</v>
      </c>
      <c r="I31" s="282">
        <f>F31*H31/100</f>
        <v>203625</v>
      </c>
      <c r="J31" s="283">
        <f>I31</f>
        <v>203625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42585</v>
      </c>
    </row>
    <row r="32" spans="2:21" x14ac:dyDescent="0.2">
      <c r="B32" s="279"/>
      <c r="C32" s="279"/>
      <c r="D32" s="278"/>
      <c r="E32" s="278"/>
      <c r="F32" s="277">
        <f>SUM(F31:F31)</f>
        <v>200000</v>
      </c>
      <c r="G32" s="278"/>
      <c r="H32" s="276">
        <f>I32/F32*100</f>
        <v>101.8125</v>
      </c>
      <c r="I32" s="277">
        <f>SUM(I31:I31)</f>
        <v>203625</v>
      </c>
      <c r="J32" s="277">
        <f>SUM(J31:J31)</f>
        <v>203625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87" t="s">
        <v>739</v>
      </c>
      <c r="C34" s="287" t="s">
        <v>738</v>
      </c>
      <c r="D34" s="284" t="e">
        <f ca="1">_xll.BDP(C34,"SECURITY_NAME")</f>
        <v>#NAME?</v>
      </c>
      <c r="E34" s="284" t="s">
        <v>50</v>
      </c>
      <c r="F34" s="285">
        <v>300000</v>
      </c>
      <c r="G34" s="284" t="e">
        <f ca="1">_xll.BDP(C34,"CRNCY")</f>
        <v>#NAME?</v>
      </c>
      <c r="H34" s="281">
        <v>99</v>
      </c>
      <c r="I34" s="282">
        <f>F34*H34/100</f>
        <v>297000</v>
      </c>
      <c r="J34" s="283">
        <f>I34</f>
        <v>297000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42578</v>
      </c>
    </row>
    <row r="35" spans="2:14" x14ac:dyDescent="0.2">
      <c r="B35" s="279"/>
      <c r="C35" s="279"/>
      <c r="D35" s="278"/>
      <c r="E35" s="278"/>
      <c r="F35" s="277">
        <f>SUM(F34:F34)</f>
        <v>300000</v>
      </c>
      <c r="G35" s="278"/>
      <c r="H35" s="276">
        <f>I35/F35*100</f>
        <v>99</v>
      </c>
      <c r="I35" s="277">
        <f>SUM(I34:I34)</f>
        <v>297000</v>
      </c>
      <c r="J35" s="277">
        <f>SUM(J34:J34)</f>
        <v>297000</v>
      </c>
      <c r="K35" s="277" t="e">
        <f ca="1">SUM(K34:K34)</f>
        <v>#NAME?</v>
      </c>
      <c r="L35" s="276"/>
      <c r="M35" s="275"/>
      <c r="N35" s="274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287" t="s">
        <v>739</v>
      </c>
      <c r="C37" s="287" t="s">
        <v>697</v>
      </c>
      <c r="D37" s="284" t="e">
        <f ca="1">_xll.BDP(C37,"SECURITY_NAME")</f>
        <v>#NAME?</v>
      </c>
      <c r="E37" s="284" t="s">
        <v>50</v>
      </c>
      <c r="F37" s="285">
        <v>400000</v>
      </c>
      <c r="G37" s="284" t="e">
        <f ca="1">_xll.BDP(C37,"CRNCY")</f>
        <v>#NAME?</v>
      </c>
      <c r="H37" s="281">
        <v>91</v>
      </c>
      <c r="I37" s="282">
        <f>F37*H37/100</f>
        <v>364000</v>
      </c>
      <c r="J37" s="283">
        <f>I37</f>
        <v>364000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42566</v>
      </c>
    </row>
    <row r="38" spans="2:14" x14ac:dyDescent="0.2">
      <c r="B38" s="279"/>
      <c r="C38" s="279"/>
      <c r="D38" s="278"/>
      <c r="E38" s="278"/>
      <c r="F38" s="277">
        <f>SUM(F37:F37)</f>
        <v>400000</v>
      </c>
      <c r="G38" s="278"/>
      <c r="H38" s="276">
        <f>I38/F38*100</f>
        <v>91</v>
      </c>
      <c r="I38" s="277">
        <f>SUM(I37:I37)</f>
        <v>364000</v>
      </c>
      <c r="J38" s="277">
        <f>SUM(J37:J37)</f>
        <v>364000</v>
      </c>
      <c r="K38" s="277" t="e">
        <f ca="1">SUM(K37:K37)</f>
        <v>#NAME?</v>
      </c>
      <c r="L38" s="276"/>
      <c r="M38" s="275"/>
      <c r="N38" s="274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287" t="s">
        <v>739</v>
      </c>
      <c r="C41" s="287" t="s">
        <v>346</v>
      </c>
      <c r="D41" s="284" t="e">
        <f ca="1">_xll.BDP(C41,"SECURITY_NAME")</f>
        <v>#NAME?</v>
      </c>
      <c r="E41" s="284" t="s">
        <v>50</v>
      </c>
      <c r="F41" s="285">
        <v>700000</v>
      </c>
      <c r="G41" s="284" t="e">
        <f ca="1">_xll.BDP(C41,"CRNCY")</f>
        <v>#NAME?</v>
      </c>
      <c r="H41" s="281">
        <v>97.875</v>
      </c>
      <c r="I41" s="282">
        <f>F41*H41/100</f>
        <v>685125</v>
      </c>
      <c r="J41" s="283">
        <f>I41</f>
        <v>685125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41913</v>
      </c>
    </row>
    <row r="42" spans="2:14" x14ac:dyDescent="0.2">
      <c r="B42" s="279"/>
      <c r="C42" s="279"/>
      <c r="D42" s="278"/>
      <c r="E42" s="278"/>
      <c r="F42" s="277">
        <f>SUM(F41:F41)</f>
        <v>700000</v>
      </c>
      <c r="G42" s="278"/>
      <c r="H42" s="276">
        <f>I42/F42*100</f>
        <v>97.875</v>
      </c>
      <c r="I42" s="277">
        <f>SUM(I41:I41)</f>
        <v>685125</v>
      </c>
      <c r="J42" s="277">
        <f>SUM(J41:J41)</f>
        <v>685125</v>
      </c>
      <c r="K42" s="277" t="e">
        <f ca="1">SUM(K41:K41)</f>
        <v>#NAME?</v>
      </c>
      <c r="L42" s="276"/>
      <c r="M42" s="275"/>
      <c r="N42" s="274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287" t="s">
        <v>739</v>
      </c>
      <c r="C44" s="287" t="s">
        <v>740</v>
      </c>
      <c r="D44" s="284" t="e">
        <f ca="1">_xll.BDP(C44,"SECURITY_NAME")</f>
        <v>#NAME?</v>
      </c>
      <c r="E44" s="284" t="s">
        <v>50</v>
      </c>
      <c r="F44" s="285">
        <v>300000</v>
      </c>
      <c r="G44" s="284" t="e">
        <f ca="1">_xll.BDP(C44,"CRNCY")</f>
        <v>#NAME?</v>
      </c>
      <c r="H44" s="281">
        <v>104.5</v>
      </c>
      <c r="I44" s="282">
        <f>F44*H44/100</f>
        <v>313500</v>
      </c>
      <c r="J44" s="283">
        <f>I44</f>
        <v>313500</v>
      </c>
      <c r="K44" s="282" t="e">
        <f ca="1">J44*L44</f>
        <v>#NAME?</v>
      </c>
      <c r="L44" s="281" t="e">
        <f ca="1">_xll.BDH("RUB curncy","PX_LAST",$N44)</f>
        <v>#NAME?</v>
      </c>
      <c r="M44" s="280" t="e">
        <f ca="1">1/_xll.BDH("RUB curncy","PX_LAST",$N44)</f>
        <v>#NAME?</v>
      </c>
      <c r="N44" s="274">
        <v>42300</v>
      </c>
    </row>
    <row r="45" spans="2:14" x14ac:dyDescent="0.2">
      <c r="B45" s="279"/>
      <c r="C45" s="279"/>
      <c r="D45" s="278"/>
      <c r="E45" s="278"/>
      <c r="F45" s="277">
        <f>SUM(F44:F44)</f>
        <v>300000</v>
      </c>
      <c r="G45" s="278"/>
      <c r="H45" s="276">
        <f>I45/F45*100</f>
        <v>104.5</v>
      </c>
      <c r="I45" s="277">
        <f>SUM(I44:I44)</f>
        <v>313500</v>
      </c>
      <c r="J45" s="277">
        <f>SUM(J44:J44)</f>
        <v>313500</v>
      </c>
      <c r="K45" s="277" t="e">
        <f ca="1">SUM(K44:K44)</f>
        <v>#NAME?</v>
      </c>
      <c r="L45" s="276"/>
      <c r="M45" s="275"/>
      <c r="N45" s="274"/>
    </row>
    <row r="47" spans="2:14" x14ac:dyDescent="0.2">
      <c r="B47" s="287" t="s">
        <v>739</v>
      </c>
      <c r="C47" s="287" t="s">
        <v>225</v>
      </c>
      <c r="D47" s="284" t="e">
        <f ca="1">_xll.BDP(C47,"SECURITY_NAME")</f>
        <v>#NAME?</v>
      </c>
      <c r="E47" s="284" t="s">
        <v>50</v>
      </c>
      <c r="F47" s="285">
        <v>800000</v>
      </c>
      <c r="G47" s="284" t="e">
        <f ca="1">_xll.BDP(C47,"CRNCY")</f>
        <v>#NAME?</v>
      </c>
      <c r="H47" s="281">
        <v>101.3875</v>
      </c>
      <c r="I47" s="282">
        <f>F47*H47/100</f>
        <v>811100</v>
      </c>
      <c r="J47" s="283">
        <f>I47</f>
        <v>811100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42642</v>
      </c>
    </row>
    <row r="48" spans="2:14" x14ac:dyDescent="0.2">
      <c r="B48" s="287" t="s">
        <v>739</v>
      </c>
      <c r="C48" s="287" t="s">
        <v>225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101.78</v>
      </c>
      <c r="I48" s="282">
        <f>F48*H48/100</f>
        <v>203560</v>
      </c>
      <c r="J48" s="283">
        <f>I48</f>
        <v>203560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42636</v>
      </c>
    </row>
    <row r="49" spans="2:14" x14ac:dyDescent="0.2">
      <c r="B49" s="287" t="s">
        <v>739</v>
      </c>
      <c r="C49" s="287" t="s">
        <v>225</v>
      </c>
      <c r="D49" s="284" t="e">
        <f ca="1">_xll.BDP(C49,"SECURITY_NAME")</f>
        <v>#NAME?</v>
      </c>
      <c r="E49" s="284" t="s">
        <v>50</v>
      </c>
      <c r="F49" s="285">
        <v>200000</v>
      </c>
      <c r="G49" s="284" t="e">
        <f ca="1">_xll.BDP(C49,"CRNCY")</f>
        <v>#NAME?</v>
      </c>
      <c r="H49" s="281">
        <v>100</v>
      </c>
      <c r="I49" s="282">
        <f>F49*H49/100</f>
        <v>200000</v>
      </c>
      <c r="J49" s="283">
        <f>I49</f>
        <v>200000</v>
      </c>
      <c r="K49" s="282" t="e">
        <f ca="1">J49*L49</f>
        <v>#NAME?</v>
      </c>
      <c r="L49" s="281" t="e">
        <f ca="1">_xll.BDH("RUB curncy","PX_LAST",$N49)</f>
        <v>#NAME?</v>
      </c>
      <c r="M49" s="280" t="e">
        <f ca="1">1/_xll.BDH("RUB curncy","PX_LAST",$N49)</f>
        <v>#NAME?</v>
      </c>
      <c r="N49" s="274">
        <v>42598</v>
      </c>
    </row>
    <row r="50" spans="2:14" x14ac:dyDescent="0.2">
      <c r="B50" s="279"/>
      <c r="C50" s="279"/>
      <c r="D50" s="278"/>
      <c r="E50" s="278"/>
      <c r="F50" s="277">
        <f>SUM(F47:F49)</f>
        <v>1200000</v>
      </c>
      <c r="G50" s="278"/>
      <c r="H50" s="276">
        <f>I50/F50*100</f>
        <v>101.22166666666668</v>
      </c>
      <c r="I50" s="277">
        <f>SUM(I47:I49)</f>
        <v>1214660</v>
      </c>
      <c r="J50" s="277">
        <f>SUM(J47:J49)</f>
        <v>1214660</v>
      </c>
      <c r="K50" s="277" t="e">
        <f ca="1">SUM(K47:K49)</f>
        <v>#NAME?</v>
      </c>
      <c r="L50" s="276"/>
      <c r="M50" s="275"/>
      <c r="N50" s="274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287" t="s">
        <v>739</v>
      </c>
      <c r="C52" s="287" t="s">
        <v>42</v>
      </c>
      <c r="D52" s="284" t="e">
        <f ca="1">_xll.BDP(C52,"SECURITY_NAME")</f>
        <v>#NAME?</v>
      </c>
      <c r="E52" s="284" t="s">
        <v>50</v>
      </c>
      <c r="F52" s="285">
        <v>11000</v>
      </c>
      <c r="G52" s="284" t="e">
        <f ca="1">_xll.BDP(C52,"CRNCY")</f>
        <v>#NAME?</v>
      </c>
      <c r="H52" s="281">
        <v>4.47</v>
      </c>
      <c r="I52" s="282">
        <f>F52*H52</f>
        <v>49170</v>
      </c>
      <c r="J52" s="283">
        <f>I52</f>
        <v>49170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42594</v>
      </c>
    </row>
    <row r="53" spans="2:14" x14ac:dyDescent="0.2">
      <c r="B53" s="279"/>
      <c r="C53" s="279"/>
      <c r="D53" s="278"/>
      <c r="E53" s="278"/>
      <c r="F53" s="277">
        <f>SUM(F52:F52)</f>
        <v>11000</v>
      </c>
      <c r="G53" s="278"/>
      <c r="H53" s="276">
        <f>I53/F53</f>
        <v>4.47</v>
      </c>
      <c r="I53" s="277">
        <f>SUM(I52:I52)</f>
        <v>49170</v>
      </c>
      <c r="J53" s="277">
        <f>SUM(J52:J52)</f>
        <v>49170</v>
      </c>
      <c r="K53" s="277" t="e">
        <f ca="1">SUM(K52:K52)</f>
        <v>#NAME?</v>
      </c>
      <c r="L53" s="276"/>
      <c r="M53" s="275"/>
      <c r="N53" s="274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287" t="s">
        <v>739</v>
      </c>
      <c r="C55" s="287" t="s">
        <v>334</v>
      </c>
      <c r="D55" s="284" t="e">
        <f ca="1">_xll.BDP(C55,"SECURITY_NAME")</f>
        <v>#NAME?</v>
      </c>
      <c r="E55" s="284" t="s">
        <v>50</v>
      </c>
      <c r="F55" s="285">
        <v>13300</v>
      </c>
      <c r="G55" s="284" t="e">
        <f ca="1">_xll.BDP(C55,"CRNCY")</f>
        <v>#NAME?</v>
      </c>
      <c r="H55" s="281">
        <v>241.5</v>
      </c>
      <c r="I55" s="282">
        <f>F55*H55</f>
        <v>3211950</v>
      </c>
      <c r="J55" s="283" t="e">
        <f ca="1">I55/L55</f>
        <v>#NAME?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42604</v>
      </c>
    </row>
    <row r="56" spans="2:14" x14ac:dyDescent="0.2">
      <c r="B56" s="279"/>
      <c r="C56" s="279"/>
      <c r="D56" s="278"/>
      <c r="E56" s="278"/>
      <c r="F56" s="277">
        <f>SUM(F55:F55)</f>
        <v>13300</v>
      </c>
      <c r="G56" s="278"/>
      <c r="H56" s="276">
        <f>I56/F56</f>
        <v>241.5</v>
      </c>
      <c r="I56" s="277">
        <f>SUM(I55:I55)</f>
        <v>3211950</v>
      </c>
      <c r="J56" s="277" t="e">
        <f ca="1">SUM(J55:J55)</f>
        <v>#NAME?</v>
      </c>
      <c r="K56" s="277" t="e">
        <f ca="1">SUM(K55:K55)</f>
        <v>#NAME?</v>
      </c>
      <c r="L56" s="276"/>
      <c r="M56" s="275"/>
      <c r="N56" s="274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287" t="s">
        <v>739</v>
      </c>
      <c r="C58" s="287" t="s">
        <v>336</v>
      </c>
      <c r="D58" s="284" t="e">
        <f ca="1">_xll.BDP(C58,"SECURITY_NAME")</f>
        <v>#NAME?</v>
      </c>
      <c r="E58" s="284" t="s">
        <v>50</v>
      </c>
      <c r="F58" s="285">
        <v>1274</v>
      </c>
      <c r="G58" s="284" t="e">
        <f ca="1">_xll.BDP(C58,"CRNCY")</f>
        <v>#NAME?</v>
      </c>
      <c r="H58" s="281">
        <v>679.37800000000004</v>
      </c>
      <c r="I58" s="282">
        <f>F58*H58</f>
        <v>865527.57200000004</v>
      </c>
      <c r="J58" s="283" t="e">
        <f ca="1">I58/L58</f>
        <v>#NAME?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42662</v>
      </c>
    </row>
    <row r="59" spans="2:14" x14ac:dyDescent="0.2">
      <c r="B59" s="279"/>
      <c r="C59" s="279"/>
      <c r="D59" s="278"/>
      <c r="E59" s="278"/>
      <c r="F59" s="277">
        <f>SUM(F58:F58)</f>
        <v>1274</v>
      </c>
      <c r="G59" s="278"/>
      <c r="H59" s="276">
        <f>I59/F59</f>
        <v>679.37800000000004</v>
      </c>
      <c r="I59" s="277">
        <f>SUM(I58:I58)</f>
        <v>865527.57200000004</v>
      </c>
      <c r="J59" s="277" t="e">
        <f ca="1">SUM(J58:J58)</f>
        <v>#NAME?</v>
      </c>
      <c r="K59" s="277" t="e">
        <f ca="1">SUM(K58:K58)</f>
        <v>#NAME?</v>
      </c>
      <c r="L59" s="276"/>
      <c r="M59" s="275"/>
      <c r="N59" s="274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sortState ref="A4:AC6">
    <sortCondition descending="1" ref="I4:I6"/>
  </sortState>
  <mergeCells count="2">
    <mergeCell ref="F16:H18"/>
    <mergeCell ref="S16:U18"/>
  </mergeCells>
  <conditionalFormatting sqref="E222:E223 E270:E271 E263 E253:E254 E225:E226 E266:E267 E54 E101 E83 E274:E276">
    <cfRule type="containsText" dxfId="8546" priority="863" operator="containsText" text="Buy">
      <formula>NOT(ISERROR(SEARCH("Buy",E54)))</formula>
    </cfRule>
    <cfRule type="containsText" dxfId="8545" priority="864" operator="containsText" text="Sell">
      <formula>NOT(ISERROR(SEARCH("Sell",E54)))</formula>
    </cfRule>
  </conditionalFormatting>
  <conditionalFormatting sqref="E295:E296 E285:E286 E290">
    <cfRule type="containsText" dxfId="8544" priority="861" operator="containsText" text="Buy">
      <formula>NOT(ISERROR(SEARCH("Buy",E285)))</formula>
    </cfRule>
    <cfRule type="containsText" dxfId="8543" priority="862" operator="containsText" text="Sell">
      <formula>NOT(ISERROR(SEARCH("Sell",E285)))</formula>
    </cfRule>
  </conditionalFormatting>
  <conditionalFormatting sqref="E311:E313 E370 E367 E362 E356 E353 E350 E347 E340 E336 E330 E320">
    <cfRule type="containsText" dxfId="8542" priority="859" operator="containsText" text="Buy">
      <formula>NOT(ISERROR(SEARCH("Buy",E311)))</formula>
    </cfRule>
    <cfRule type="containsText" dxfId="8541" priority="860" operator="containsText" text="Sell">
      <formula>NOT(ISERROR(SEARCH("Sell",E311)))</formula>
    </cfRule>
  </conditionalFormatting>
  <conditionalFormatting sqref="E310">
    <cfRule type="containsText" dxfId="8540" priority="857" operator="containsText" text="Buy">
      <formula>NOT(ISERROR(SEARCH("Buy",E310)))</formula>
    </cfRule>
    <cfRule type="containsText" dxfId="8539" priority="858" operator="containsText" text="Sell">
      <formula>NOT(ISERROR(SEARCH("Sell",E310)))</formula>
    </cfRule>
  </conditionalFormatting>
  <conditionalFormatting sqref="E309">
    <cfRule type="containsText" dxfId="8538" priority="855" operator="containsText" text="Buy">
      <formula>NOT(ISERROR(SEARCH("Buy",E309)))</formula>
    </cfRule>
    <cfRule type="containsText" dxfId="8537" priority="856" operator="containsText" text="Sell">
      <formula>NOT(ISERROR(SEARCH("Sell",E309)))</formula>
    </cfRule>
  </conditionalFormatting>
  <conditionalFormatting sqref="E308">
    <cfRule type="containsText" dxfId="8536" priority="853" operator="containsText" text="Buy">
      <formula>NOT(ISERROR(SEARCH("Buy",E308)))</formula>
    </cfRule>
    <cfRule type="containsText" dxfId="8535" priority="854" operator="containsText" text="Sell">
      <formula>NOT(ISERROR(SEARCH("Sell",E308)))</formula>
    </cfRule>
  </conditionalFormatting>
  <conditionalFormatting sqref="E221">
    <cfRule type="containsText" dxfId="8534" priority="851" operator="containsText" text="Buy">
      <formula>NOT(ISERROR(SEARCH("Buy",E221)))</formula>
    </cfRule>
    <cfRule type="containsText" dxfId="8533" priority="852" operator="containsText" text="Sell">
      <formula>NOT(ISERROR(SEARCH("Sell",E221)))</formula>
    </cfRule>
  </conditionalFormatting>
  <conditionalFormatting sqref="E220">
    <cfRule type="containsText" dxfId="8532" priority="849" operator="containsText" text="Buy">
      <formula>NOT(ISERROR(SEARCH("Buy",E220)))</formula>
    </cfRule>
    <cfRule type="containsText" dxfId="8531" priority="850" operator="containsText" text="Sell">
      <formula>NOT(ISERROR(SEARCH("Sell",E220)))</formula>
    </cfRule>
  </conditionalFormatting>
  <conditionalFormatting sqref="E269">
    <cfRule type="containsText" dxfId="8530" priority="847" operator="containsText" text="Buy">
      <formula>NOT(ISERROR(SEARCH("Buy",E269)))</formula>
    </cfRule>
    <cfRule type="containsText" dxfId="8529" priority="848" operator="containsText" text="Sell">
      <formula>NOT(ISERROR(SEARCH("Sell",E269)))</formula>
    </cfRule>
  </conditionalFormatting>
  <conditionalFormatting sqref="E268">
    <cfRule type="containsText" dxfId="8528" priority="845" operator="containsText" text="Buy">
      <formula>NOT(ISERROR(SEARCH("Buy",E268)))</formula>
    </cfRule>
    <cfRule type="containsText" dxfId="8527" priority="846" operator="containsText" text="Sell">
      <formula>NOT(ISERROR(SEARCH("Sell",E268)))</formula>
    </cfRule>
  </conditionalFormatting>
  <conditionalFormatting sqref="E255:E257">
    <cfRule type="containsText" dxfId="8526" priority="843" operator="containsText" text="Buy">
      <formula>NOT(ISERROR(SEARCH("Buy",E255)))</formula>
    </cfRule>
    <cfRule type="containsText" dxfId="8525" priority="844" operator="containsText" text="Sell">
      <formula>NOT(ISERROR(SEARCH("Sell",E255)))</formula>
    </cfRule>
  </conditionalFormatting>
  <conditionalFormatting sqref="E252">
    <cfRule type="containsText" dxfId="8524" priority="841" operator="containsText" text="Buy">
      <formula>NOT(ISERROR(SEARCH("Buy",E252)))</formula>
    </cfRule>
    <cfRule type="containsText" dxfId="8523" priority="842" operator="containsText" text="Sell">
      <formula>NOT(ISERROR(SEARCH("Sell",E252)))</formula>
    </cfRule>
  </conditionalFormatting>
  <conditionalFormatting sqref="E251">
    <cfRule type="containsText" dxfId="8522" priority="839" operator="containsText" text="Buy">
      <formula>NOT(ISERROR(SEARCH("Buy",E251)))</formula>
    </cfRule>
    <cfRule type="containsText" dxfId="8521" priority="840" operator="containsText" text="Sell">
      <formula>NOT(ISERROR(SEARCH("Sell",E251)))</formula>
    </cfRule>
  </conditionalFormatting>
  <conditionalFormatting sqref="E250">
    <cfRule type="containsText" dxfId="8520" priority="837" operator="containsText" text="Buy">
      <formula>NOT(ISERROR(SEARCH("Buy",E250)))</formula>
    </cfRule>
    <cfRule type="containsText" dxfId="8519" priority="838" operator="containsText" text="Sell">
      <formula>NOT(ISERROR(SEARCH("Sell",E250)))</formula>
    </cfRule>
  </conditionalFormatting>
  <conditionalFormatting sqref="E249">
    <cfRule type="containsText" dxfId="8518" priority="835" operator="containsText" text="Buy">
      <formula>NOT(ISERROR(SEARCH("Buy",E249)))</formula>
    </cfRule>
    <cfRule type="containsText" dxfId="8517" priority="836" operator="containsText" text="Sell">
      <formula>NOT(ISERROR(SEARCH("Sell",E249)))</formula>
    </cfRule>
  </conditionalFormatting>
  <conditionalFormatting sqref="E248">
    <cfRule type="containsText" dxfId="8516" priority="833" operator="containsText" text="Buy">
      <formula>NOT(ISERROR(SEARCH("Buy",E248)))</formula>
    </cfRule>
    <cfRule type="containsText" dxfId="8515" priority="834" operator="containsText" text="Sell">
      <formula>NOT(ISERROR(SEARCH("Sell",E248)))</formula>
    </cfRule>
  </conditionalFormatting>
  <conditionalFormatting sqref="E247">
    <cfRule type="containsText" dxfId="8514" priority="831" operator="containsText" text="Buy">
      <formula>NOT(ISERROR(SEARCH("Buy",E247)))</formula>
    </cfRule>
    <cfRule type="containsText" dxfId="8513" priority="832" operator="containsText" text="Sell">
      <formula>NOT(ISERROR(SEARCH("Sell",E247)))</formula>
    </cfRule>
  </conditionalFormatting>
  <conditionalFormatting sqref="E246">
    <cfRule type="containsText" dxfId="8512" priority="829" operator="containsText" text="Buy">
      <formula>NOT(ISERROR(SEARCH("Buy",E246)))</formula>
    </cfRule>
    <cfRule type="containsText" dxfId="8511" priority="830" operator="containsText" text="Sell">
      <formula>NOT(ISERROR(SEARCH("Sell",E246)))</formula>
    </cfRule>
  </conditionalFormatting>
  <conditionalFormatting sqref="E239:E241">
    <cfRule type="containsText" dxfId="8510" priority="827" operator="containsText" text="Buy">
      <formula>NOT(ISERROR(SEARCH("Buy",E239)))</formula>
    </cfRule>
    <cfRule type="containsText" dxfId="8509" priority="828" operator="containsText" text="Sell">
      <formula>NOT(ISERROR(SEARCH("Sell",E239)))</formula>
    </cfRule>
  </conditionalFormatting>
  <conditionalFormatting sqref="E238">
    <cfRule type="containsText" dxfId="8508" priority="825" operator="containsText" text="Buy">
      <formula>NOT(ISERROR(SEARCH("Buy",E238)))</formula>
    </cfRule>
    <cfRule type="containsText" dxfId="8507" priority="826" operator="containsText" text="Sell">
      <formula>NOT(ISERROR(SEARCH("Sell",E238)))</formula>
    </cfRule>
  </conditionalFormatting>
  <conditionalFormatting sqref="E237">
    <cfRule type="containsText" dxfId="8506" priority="823" operator="containsText" text="Buy">
      <formula>NOT(ISERROR(SEARCH("Buy",E237)))</formula>
    </cfRule>
    <cfRule type="containsText" dxfId="8505" priority="824" operator="containsText" text="Sell">
      <formula>NOT(ISERROR(SEARCH("Sell",E237)))</formula>
    </cfRule>
  </conditionalFormatting>
  <conditionalFormatting sqref="E236">
    <cfRule type="containsText" dxfId="8504" priority="821" operator="containsText" text="Buy">
      <formula>NOT(ISERROR(SEARCH("Buy",E236)))</formula>
    </cfRule>
    <cfRule type="containsText" dxfId="8503" priority="822" operator="containsText" text="Sell">
      <formula>NOT(ISERROR(SEARCH("Sell",E236)))</formula>
    </cfRule>
  </conditionalFormatting>
  <conditionalFormatting sqref="E235">
    <cfRule type="containsText" dxfId="8502" priority="819" operator="containsText" text="Buy">
      <formula>NOT(ISERROR(SEARCH("Buy",E235)))</formula>
    </cfRule>
    <cfRule type="containsText" dxfId="8501" priority="820" operator="containsText" text="Sell">
      <formula>NOT(ISERROR(SEARCH("Sell",E235)))</formula>
    </cfRule>
  </conditionalFormatting>
  <conditionalFormatting sqref="E234">
    <cfRule type="containsText" dxfId="8500" priority="817" operator="containsText" text="Buy">
      <formula>NOT(ISERROR(SEARCH("Buy",E234)))</formula>
    </cfRule>
    <cfRule type="containsText" dxfId="8499" priority="818" operator="containsText" text="Sell">
      <formula>NOT(ISERROR(SEARCH("Sell",E234)))</formula>
    </cfRule>
  </conditionalFormatting>
  <conditionalFormatting sqref="E233">
    <cfRule type="containsText" dxfId="8498" priority="815" operator="containsText" text="Buy">
      <formula>NOT(ISERROR(SEARCH("Buy",E233)))</formula>
    </cfRule>
    <cfRule type="containsText" dxfId="8497" priority="816" operator="containsText" text="Sell">
      <formula>NOT(ISERROR(SEARCH("Sell",E233)))</formula>
    </cfRule>
  </conditionalFormatting>
  <conditionalFormatting sqref="E232">
    <cfRule type="containsText" dxfId="8496" priority="813" operator="containsText" text="Buy">
      <formula>NOT(ISERROR(SEARCH("Buy",E232)))</formula>
    </cfRule>
    <cfRule type="containsText" dxfId="8495" priority="814" operator="containsText" text="Sell">
      <formula>NOT(ISERROR(SEARCH("Sell",E232)))</formula>
    </cfRule>
  </conditionalFormatting>
  <conditionalFormatting sqref="E231">
    <cfRule type="containsText" dxfId="8494" priority="811" operator="containsText" text="Buy">
      <formula>NOT(ISERROR(SEARCH("Buy",E231)))</formula>
    </cfRule>
    <cfRule type="containsText" dxfId="8493" priority="812" operator="containsText" text="Sell">
      <formula>NOT(ISERROR(SEARCH("Sell",E231)))</formula>
    </cfRule>
  </conditionalFormatting>
  <conditionalFormatting sqref="E230">
    <cfRule type="containsText" dxfId="8492" priority="809" operator="containsText" text="Buy">
      <formula>NOT(ISERROR(SEARCH("Buy",E230)))</formula>
    </cfRule>
    <cfRule type="containsText" dxfId="8491" priority="810" operator="containsText" text="Sell">
      <formula>NOT(ISERROR(SEARCH("Sell",E230)))</formula>
    </cfRule>
  </conditionalFormatting>
  <conditionalFormatting sqref="E229">
    <cfRule type="containsText" dxfId="8490" priority="807" operator="containsText" text="Buy">
      <formula>NOT(ISERROR(SEARCH("Buy",E229)))</formula>
    </cfRule>
    <cfRule type="containsText" dxfId="8489" priority="808" operator="containsText" text="Sell">
      <formula>NOT(ISERROR(SEARCH("Sell",E229)))</formula>
    </cfRule>
  </conditionalFormatting>
  <conditionalFormatting sqref="E228">
    <cfRule type="containsText" dxfId="8488" priority="805" operator="containsText" text="Buy">
      <formula>NOT(ISERROR(SEARCH("Buy",E228)))</formula>
    </cfRule>
    <cfRule type="containsText" dxfId="8487" priority="806" operator="containsText" text="Sell">
      <formula>NOT(ISERROR(SEARCH("Sell",E228)))</formula>
    </cfRule>
  </conditionalFormatting>
  <conditionalFormatting sqref="E224">
    <cfRule type="containsText" dxfId="8486" priority="803" operator="containsText" text="Buy">
      <formula>NOT(ISERROR(SEARCH("Buy",E224)))</formula>
    </cfRule>
    <cfRule type="containsText" dxfId="8485" priority="804" operator="containsText" text="Sell">
      <formula>NOT(ISERROR(SEARCH("Sell",E224)))</formula>
    </cfRule>
  </conditionalFormatting>
  <conditionalFormatting sqref="E284">
    <cfRule type="containsText" dxfId="8484" priority="801" operator="containsText" text="Buy">
      <formula>NOT(ISERROR(SEARCH("Buy",E284)))</formula>
    </cfRule>
    <cfRule type="containsText" dxfId="8483" priority="802" operator="containsText" text="Sell">
      <formula>NOT(ISERROR(SEARCH("Sell",E284)))</formula>
    </cfRule>
  </conditionalFormatting>
  <conditionalFormatting sqref="E283 E280">
    <cfRule type="containsText" dxfId="8482" priority="799" operator="containsText" text="Buy">
      <formula>NOT(ISERROR(SEARCH("Buy",E280)))</formula>
    </cfRule>
    <cfRule type="containsText" dxfId="8481" priority="800" operator="containsText" text="Sell">
      <formula>NOT(ISERROR(SEARCH("Sell",E280)))</formula>
    </cfRule>
  </conditionalFormatting>
  <conditionalFormatting sqref="E289">
    <cfRule type="containsText" dxfId="8480" priority="797" operator="containsText" text="Buy">
      <formula>NOT(ISERROR(SEARCH("Buy",E289)))</formula>
    </cfRule>
    <cfRule type="containsText" dxfId="8479" priority="798" operator="containsText" text="Sell">
      <formula>NOT(ISERROR(SEARCH("Sell",E289)))</formula>
    </cfRule>
  </conditionalFormatting>
  <conditionalFormatting sqref="E371:E372">
    <cfRule type="containsText" dxfId="8478" priority="795" operator="containsText" text="Buy">
      <formula>NOT(ISERROR(SEARCH("Buy",E371)))</formula>
    </cfRule>
    <cfRule type="containsText" dxfId="8477" priority="796" operator="containsText" text="Sell">
      <formula>NOT(ISERROR(SEARCH("Sell",E371)))</formula>
    </cfRule>
  </conditionalFormatting>
  <conditionalFormatting sqref="E282">
    <cfRule type="containsText" dxfId="8476" priority="793" operator="containsText" text="Buy">
      <formula>NOT(ISERROR(SEARCH("Buy",E282)))</formula>
    </cfRule>
    <cfRule type="containsText" dxfId="8475" priority="794" operator="containsText" text="Sell">
      <formula>NOT(ISERROR(SEARCH("Sell",E282)))</formula>
    </cfRule>
  </conditionalFormatting>
  <conditionalFormatting sqref="E279">
    <cfRule type="containsText" dxfId="8474" priority="791" operator="containsText" text="Buy">
      <formula>NOT(ISERROR(SEARCH("Buy",E279)))</formula>
    </cfRule>
    <cfRule type="containsText" dxfId="8473" priority="792" operator="containsText" text="Sell">
      <formula>NOT(ISERROR(SEARCH("Sell",E279)))</formula>
    </cfRule>
  </conditionalFormatting>
  <conditionalFormatting sqref="E278">
    <cfRule type="containsText" dxfId="8472" priority="789" operator="containsText" text="Buy">
      <formula>NOT(ISERROR(SEARCH("Buy",E278)))</formula>
    </cfRule>
    <cfRule type="containsText" dxfId="8471" priority="790" operator="containsText" text="Sell">
      <formula>NOT(ISERROR(SEARCH("Sell",E278)))</formula>
    </cfRule>
  </conditionalFormatting>
  <conditionalFormatting sqref="E265">
    <cfRule type="containsText" dxfId="8470" priority="787" operator="containsText" text="Buy">
      <formula>NOT(ISERROR(SEARCH("Buy",E265)))</formula>
    </cfRule>
    <cfRule type="containsText" dxfId="8469" priority="788" operator="containsText" text="Sell">
      <formula>NOT(ISERROR(SEARCH("Sell",E265)))</formula>
    </cfRule>
  </conditionalFormatting>
  <conditionalFormatting sqref="E202:E205 E215 E212:E213">
    <cfRule type="containsText" dxfId="8468" priority="785" operator="containsText" text="Buy">
      <formula>NOT(ISERROR(SEARCH("Buy",E202)))</formula>
    </cfRule>
    <cfRule type="containsText" dxfId="8467" priority="786" operator="containsText" text="Sell">
      <formula>NOT(ISERROR(SEARCH("Sell",E202)))</formula>
    </cfRule>
  </conditionalFormatting>
  <conditionalFormatting sqref="E368:E369">
    <cfRule type="containsText" dxfId="8466" priority="783" operator="containsText" text="Buy">
      <formula>NOT(ISERROR(SEARCH("Buy",E368)))</formula>
    </cfRule>
    <cfRule type="containsText" dxfId="8465" priority="784" operator="containsText" text="Sell">
      <formula>NOT(ISERROR(SEARCH("Sell",E368)))</formula>
    </cfRule>
  </conditionalFormatting>
  <conditionalFormatting sqref="E365:E366">
    <cfRule type="containsText" dxfId="8464" priority="781" operator="containsText" text="Buy">
      <formula>NOT(ISERROR(SEARCH("Buy",E365)))</formula>
    </cfRule>
    <cfRule type="containsText" dxfId="8463" priority="782" operator="containsText" text="Sell">
      <formula>NOT(ISERROR(SEARCH("Sell",E365)))</formula>
    </cfRule>
  </conditionalFormatting>
  <conditionalFormatting sqref="E363:E364">
    <cfRule type="containsText" dxfId="8462" priority="779" operator="containsText" text="Buy">
      <formula>NOT(ISERROR(SEARCH("Buy",E363)))</formula>
    </cfRule>
    <cfRule type="containsText" dxfId="8461" priority="780" operator="containsText" text="Sell">
      <formula>NOT(ISERROR(SEARCH("Sell",E363)))</formula>
    </cfRule>
  </conditionalFormatting>
  <conditionalFormatting sqref="E360:E361">
    <cfRule type="containsText" dxfId="8460" priority="777" operator="containsText" text="Buy">
      <formula>NOT(ISERROR(SEARCH("Buy",E360)))</formula>
    </cfRule>
    <cfRule type="containsText" dxfId="8459" priority="778" operator="containsText" text="Sell">
      <formula>NOT(ISERROR(SEARCH("Sell",E360)))</formula>
    </cfRule>
  </conditionalFormatting>
  <conditionalFormatting sqref="E357:E359">
    <cfRule type="containsText" dxfId="8458" priority="775" operator="containsText" text="Buy">
      <formula>NOT(ISERROR(SEARCH("Buy",E357)))</formula>
    </cfRule>
    <cfRule type="containsText" dxfId="8457" priority="776" operator="containsText" text="Sell">
      <formula>NOT(ISERROR(SEARCH("Sell",E357)))</formula>
    </cfRule>
  </conditionalFormatting>
  <conditionalFormatting sqref="E354:E355">
    <cfRule type="containsText" dxfId="8456" priority="773" operator="containsText" text="Buy">
      <formula>NOT(ISERROR(SEARCH("Buy",E354)))</formula>
    </cfRule>
    <cfRule type="containsText" dxfId="8455" priority="774" operator="containsText" text="Sell">
      <formula>NOT(ISERROR(SEARCH("Sell",E354)))</formula>
    </cfRule>
  </conditionalFormatting>
  <conditionalFormatting sqref="E351:E352">
    <cfRule type="containsText" dxfId="8454" priority="771" operator="containsText" text="Buy">
      <formula>NOT(ISERROR(SEARCH("Buy",E351)))</formula>
    </cfRule>
    <cfRule type="containsText" dxfId="8453" priority="772" operator="containsText" text="Sell">
      <formula>NOT(ISERROR(SEARCH("Sell",E351)))</formula>
    </cfRule>
  </conditionalFormatting>
  <conditionalFormatting sqref="E348:E349">
    <cfRule type="containsText" dxfId="8452" priority="769" operator="containsText" text="Buy">
      <formula>NOT(ISERROR(SEARCH("Buy",E348)))</formula>
    </cfRule>
    <cfRule type="containsText" dxfId="8451" priority="770" operator="containsText" text="Sell">
      <formula>NOT(ISERROR(SEARCH("Sell",E348)))</formula>
    </cfRule>
  </conditionalFormatting>
  <conditionalFormatting sqref="E344">
    <cfRule type="containsText" dxfId="8450" priority="765" operator="containsText" text="Buy">
      <formula>NOT(ISERROR(SEARCH("Buy",E344)))</formula>
    </cfRule>
    <cfRule type="containsText" dxfId="8449" priority="766" operator="containsText" text="Sell">
      <formula>NOT(ISERROR(SEARCH("Sell",E344)))</formula>
    </cfRule>
  </conditionalFormatting>
  <conditionalFormatting sqref="E345:E346">
    <cfRule type="containsText" dxfId="8448" priority="767" operator="containsText" text="Buy">
      <formula>NOT(ISERROR(SEARCH("Buy",E345)))</formula>
    </cfRule>
    <cfRule type="containsText" dxfId="8447" priority="768" operator="containsText" text="Sell">
      <formula>NOT(ISERROR(SEARCH("Sell",E345)))</formula>
    </cfRule>
  </conditionalFormatting>
  <conditionalFormatting sqref="E338:E339">
    <cfRule type="containsText" dxfId="8446" priority="763" operator="containsText" text="Buy">
      <formula>NOT(ISERROR(SEARCH("Buy",E338)))</formula>
    </cfRule>
    <cfRule type="containsText" dxfId="8445" priority="764" operator="containsText" text="Sell">
      <formula>NOT(ISERROR(SEARCH("Sell",E338)))</formula>
    </cfRule>
  </conditionalFormatting>
  <conditionalFormatting sqref="E334:E335">
    <cfRule type="containsText" dxfId="8444" priority="761" operator="containsText" text="Buy">
      <formula>NOT(ISERROR(SEARCH("Buy",E334)))</formula>
    </cfRule>
    <cfRule type="containsText" dxfId="8443" priority="762" operator="containsText" text="Sell">
      <formula>NOT(ISERROR(SEARCH("Sell",E334)))</formula>
    </cfRule>
  </conditionalFormatting>
  <conditionalFormatting sqref="E199:E200">
    <cfRule type="containsText" dxfId="8442" priority="759" operator="containsText" text="Buy">
      <formula>NOT(ISERROR(SEARCH("Buy",E199)))</formula>
    </cfRule>
    <cfRule type="containsText" dxfId="8441" priority="760" operator="containsText" text="Sell">
      <formula>NOT(ISERROR(SEARCH("Sell",E199)))</formula>
    </cfRule>
  </conditionalFormatting>
  <conditionalFormatting sqref="E194:E195">
    <cfRule type="containsText" dxfId="8440" priority="757" operator="containsText" text="Buy">
      <formula>NOT(ISERROR(SEARCH("Buy",E194)))</formula>
    </cfRule>
    <cfRule type="containsText" dxfId="8439" priority="758" operator="containsText" text="Sell">
      <formula>NOT(ISERROR(SEARCH("Sell",E194)))</formula>
    </cfRule>
  </conditionalFormatting>
  <conditionalFormatting sqref="E211">
    <cfRule type="containsText" dxfId="8438" priority="755" operator="containsText" text="Buy">
      <formula>NOT(ISERROR(SEARCH("Buy",E211)))</formula>
    </cfRule>
    <cfRule type="containsText" dxfId="8437" priority="756" operator="containsText" text="Sell">
      <formula>NOT(ISERROR(SEARCH("Sell",E211)))</formula>
    </cfRule>
  </conditionalFormatting>
  <conditionalFormatting sqref="E210">
    <cfRule type="containsText" dxfId="8436" priority="753" operator="containsText" text="Buy">
      <formula>NOT(ISERROR(SEARCH("Buy",E210)))</formula>
    </cfRule>
    <cfRule type="containsText" dxfId="8435" priority="754" operator="containsText" text="Sell">
      <formula>NOT(ISERROR(SEARCH("Sell",E210)))</formula>
    </cfRule>
  </conditionalFormatting>
  <conditionalFormatting sqref="E206">
    <cfRule type="containsText" dxfId="8434" priority="751" operator="containsText" text="Buy">
      <formula>NOT(ISERROR(SEARCH("Buy",E206)))</formula>
    </cfRule>
    <cfRule type="containsText" dxfId="8433" priority="752" operator="containsText" text="Sell">
      <formula>NOT(ISERROR(SEARCH("Sell",E206)))</formula>
    </cfRule>
  </conditionalFormatting>
  <conditionalFormatting sqref="E331:E333">
    <cfRule type="containsText" dxfId="8432" priority="749" operator="containsText" text="Buy">
      <formula>NOT(ISERROR(SEARCH("Buy",E331)))</formula>
    </cfRule>
    <cfRule type="containsText" dxfId="8431" priority="750" operator="containsText" text="Sell">
      <formula>NOT(ISERROR(SEARCH("Sell",E331)))</formula>
    </cfRule>
  </conditionalFormatting>
  <conditionalFormatting sqref="E328:E329">
    <cfRule type="containsText" dxfId="8430" priority="747" operator="containsText" text="Buy">
      <formula>NOT(ISERROR(SEARCH("Buy",E328)))</formula>
    </cfRule>
    <cfRule type="containsText" dxfId="8429" priority="748" operator="containsText" text="Sell">
      <formula>NOT(ISERROR(SEARCH("Sell",E328)))</formula>
    </cfRule>
  </conditionalFormatting>
  <conditionalFormatting sqref="E322:E324">
    <cfRule type="containsText" dxfId="8428" priority="745" operator="containsText" text="Buy">
      <formula>NOT(ISERROR(SEARCH("Buy",E322)))</formula>
    </cfRule>
    <cfRule type="containsText" dxfId="8427" priority="746" operator="containsText" text="Sell">
      <formula>NOT(ISERROR(SEARCH("Sell",E322)))</formula>
    </cfRule>
  </conditionalFormatting>
  <conditionalFormatting sqref="E318:E319">
    <cfRule type="containsText" dxfId="8426" priority="743" operator="containsText" text="Buy">
      <formula>NOT(ISERROR(SEARCH("Buy",E318)))</formula>
    </cfRule>
    <cfRule type="containsText" dxfId="8425" priority="744" operator="containsText" text="Sell">
      <formula>NOT(ISERROR(SEARCH("Sell",E318)))</formula>
    </cfRule>
  </conditionalFormatting>
  <conditionalFormatting sqref="E327">
    <cfRule type="containsText" dxfId="8424" priority="741" operator="containsText" text="Buy">
      <formula>NOT(ISERROR(SEARCH("Buy",E327)))</formula>
    </cfRule>
    <cfRule type="containsText" dxfId="8423" priority="742" operator="containsText" text="Sell">
      <formula>NOT(ISERROR(SEARCH("Sell",E327)))</formula>
    </cfRule>
  </conditionalFormatting>
  <conditionalFormatting sqref="E307">
    <cfRule type="containsText" dxfId="8422" priority="739" operator="containsText" text="Buy">
      <formula>NOT(ISERROR(SEARCH("Buy",E307)))</formula>
    </cfRule>
    <cfRule type="containsText" dxfId="8421" priority="740" operator="containsText" text="Sell">
      <formula>NOT(ISERROR(SEARCH("Sell",E307)))</formula>
    </cfRule>
  </conditionalFormatting>
  <conditionalFormatting sqref="E306">
    <cfRule type="containsText" dxfId="8420" priority="737" operator="containsText" text="Buy">
      <formula>NOT(ISERROR(SEARCH("Buy",E306)))</formula>
    </cfRule>
    <cfRule type="containsText" dxfId="8419" priority="738" operator="containsText" text="Sell">
      <formula>NOT(ISERROR(SEARCH("Sell",E306)))</formula>
    </cfRule>
  </conditionalFormatting>
  <conditionalFormatting sqref="E305">
    <cfRule type="containsText" dxfId="8418" priority="735" operator="containsText" text="Buy">
      <formula>NOT(ISERROR(SEARCH("Buy",E305)))</formula>
    </cfRule>
    <cfRule type="containsText" dxfId="8417" priority="736" operator="containsText" text="Sell">
      <formula>NOT(ISERROR(SEARCH("Sell",E305)))</formula>
    </cfRule>
  </conditionalFormatting>
  <conditionalFormatting sqref="E262">
    <cfRule type="containsText" dxfId="8416" priority="733" operator="containsText" text="Buy">
      <formula>NOT(ISERROR(SEARCH("Buy",E262)))</formula>
    </cfRule>
    <cfRule type="containsText" dxfId="8415" priority="734" operator="containsText" text="Sell">
      <formula>NOT(ISERROR(SEARCH("Sell",E262)))</formula>
    </cfRule>
  </conditionalFormatting>
  <conditionalFormatting sqref="E281">
    <cfRule type="containsText" dxfId="8414" priority="731" operator="containsText" text="Buy">
      <formula>NOT(ISERROR(SEARCH("Buy",E281)))</formula>
    </cfRule>
    <cfRule type="containsText" dxfId="8413" priority="732" operator="containsText" text="Sell">
      <formula>NOT(ISERROR(SEARCH("Sell",E281)))</formula>
    </cfRule>
  </conditionalFormatting>
  <conditionalFormatting sqref="E175:E176">
    <cfRule type="containsText" dxfId="8412" priority="729" operator="containsText" text="Buy">
      <formula>NOT(ISERROR(SEARCH("Buy",E175)))</formula>
    </cfRule>
    <cfRule type="containsText" dxfId="8411" priority="730" operator="containsText" text="Sell">
      <formula>NOT(ISERROR(SEARCH("Sell",E175)))</formula>
    </cfRule>
  </conditionalFormatting>
  <conditionalFormatting sqref="E304">
    <cfRule type="containsText" dxfId="8410" priority="725" operator="containsText" text="Buy">
      <formula>NOT(ISERROR(SEARCH("Buy",E304)))</formula>
    </cfRule>
    <cfRule type="containsText" dxfId="8409" priority="726" operator="containsText" text="Sell">
      <formula>NOT(ISERROR(SEARCH("Sell",E304)))</formula>
    </cfRule>
  </conditionalFormatting>
  <conditionalFormatting sqref="E214">
    <cfRule type="containsText" dxfId="8408" priority="727" operator="containsText" text="Buy">
      <formula>NOT(ISERROR(SEARCH("Buy",E214)))</formula>
    </cfRule>
    <cfRule type="containsText" dxfId="8407" priority="728" operator="containsText" text="Sell">
      <formula>NOT(ISERROR(SEARCH("Sell",E214)))</formula>
    </cfRule>
  </conditionalFormatting>
  <conditionalFormatting sqref="E303">
    <cfRule type="containsText" dxfId="8406" priority="723" operator="containsText" text="Buy">
      <formula>NOT(ISERROR(SEARCH("Buy",E303)))</formula>
    </cfRule>
    <cfRule type="containsText" dxfId="8405" priority="724" operator="containsText" text="Sell">
      <formula>NOT(ISERROR(SEARCH("Sell",E303)))</formula>
    </cfRule>
  </conditionalFormatting>
  <conditionalFormatting sqref="E302">
    <cfRule type="containsText" dxfId="8404" priority="721" operator="containsText" text="Buy">
      <formula>NOT(ISERROR(SEARCH("Buy",E302)))</formula>
    </cfRule>
    <cfRule type="containsText" dxfId="8403" priority="722" operator="containsText" text="Sell">
      <formula>NOT(ISERROR(SEARCH("Sell",E302)))</formula>
    </cfRule>
  </conditionalFormatting>
  <conditionalFormatting sqref="E301">
    <cfRule type="containsText" dxfId="8402" priority="719" operator="containsText" text="Buy">
      <formula>NOT(ISERROR(SEARCH("Buy",E301)))</formula>
    </cfRule>
    <cfRule type="containsText" dxfId="8401" priority="720" operator="containsText" text="Sell">
      <formula>NOT(ISERROR(SEARCH("Sell",E301)))</formula>
    </cfRule>
  </conditionalFormatting>
  <conditionalFormatting sqref="E300">
    <cfRule type="containsText" dxfId="8400" priority="717" operator="containsText" text="Buy">
      <formula>NOT(ISERROR(SEARCH("Buy",E300)))</formula>
    </cfRule>
    <cfRule type="containsText" dxfId="8399" priority="718" operator="containsText" text="Sell">
      <formula>NOT(ISERROR(SEARCH("Sell",E300)))</formula>
    </cfRule>
  </conditionalFormatting>
  <conditionalFormatting sqref="E180:E182 E193">
    <cfRule type="containsText" dxfId="8398" priority="715" operator="containsText" text="Buy">
      <formula>NOT(ISERROR(SEARCH("Buy",E180)))</formula>
    </cfRule>
    <cfRule type="containsText" dxfId="8397" priority="716" operator="containsText" text="Sell">
      <formula>NOT(ISERROR(SEARCH("Sell",E180)))</formula>
    </cfRule>
  </conditionalFormatting>
  <conditionalFormatting sqref="E170:E171">
    <cfRule type="containsText" dxfId="8396" priority="713" operator="containsText" text="Buy">
      <formula>NOT(ISERROR(SEARCH("Buy",E170)))</formula>
    </cfRule>
    <cfRule type="containsText" dxfId="8395" priority="714" operator="containsText" text="Sell">
      <formula>NOT(ISERROR(SEARCH("Sell",E170)))</formula>
    </cfRule>
  </conditionalFormatting>
  <conditionalFormatting sqref="E164:E165">
    <cfRule type="containsText" dxfId="8394" priority="711" operator="containsText" text="Buy">
      <formula>NOT(ISERROR(SEARCH("Buy",E164)))</formula>
    </cfRule>
    <cfRule type="containsText" dxfId="8393" priority="712" operator="containsText" text="Sell">
      <formula>NOT(ISERROR(SEARCH("Sell",E164)))</formula>
    </cfRule>
  </conditionalFormatting>
  <conditionalFormatting sqref="E191:E192">
    <cfRule type="containsText" dxfId="8392" priority="709" operator="containsText" text="Buy">
      <formula>NOT(ISERROR(SEARCH("Buy",E191)))</formula>
    </cfRule>
    <cfRule type="containsText" dxfId="8391" priority="710" operator="containsText" text="Sell">
      <formula>NOT(ISERROR(SEARCH("Sell",E191)))</formula>
    </cfRule>
  </conditionalFormatting>
  <conditionalFormatting sqref="E190">
    <cfRule type="containsText" dxfId="8390" priority="707" operator="containsText" text="Buy">
      <formula>NOT(ISERROR(SEARCH("Buy",E190)))</formula>
    </cfRule>
    <cfRule type="containsText" dxfId="8389" priority="708" operator="containsText" text="Sell">
      <formula>NOT(ISERROR(SEARCH("Sell",E190)))</formula>
    </cfRule>
  </conditionalFormatting>
  <conditionalFormatting sqref="E273">
    <cfRule type="containsText" dxfId="8388" priority="705" operator="containsText" text="Buy">
      <formula>NOT(ISERROR(SEARCH("Buy",E273)))</formula>
    </cfRule>
    <cfRule type="containsText" dxfId="8387" priority="706" operator="containsText" text="Sell">
      <formula>NOT(ISERROR(SEARCH("Sell",E273)))</formula>
    </cfRule>
  </conditionalFormatting>
  <conditionalFormatting sqref="E272">
    <cfRule type="containsText" dxfId="8386" priority="703" operator="containsText" text="Buy">
      <formula>NOT(ISERROR(SEARCH("Buy",E272)))</formula>
    </cfRule>
    <cfRule type="containsText" dxfId="8385" priority="704" operator="containsText" text="Sell">
      <formula>NOT(ISERROR(SEARCH("Sell",E272)))</formula>
    </cfRule>
  </conditionalFormatting>
  <conditionalFormatting sqref="E161:E162">
    <cfRule type="containsText" dxfId="8384" priority="701" operator="containsText" text="Buy">
      <formula>NOT(ISERROR(SEARCH("Buy",E161)))</formula>
    </cfRule>
    <cfRule type="containsText" dxfId="8383" priority="702" operator="containsText" text="Sell">
      <formula>NOT(ISERROR(SEARCH("Sell",E161)))</formula>
    </cfRule>
  </conditionalFormatting>
  <conditionalFormatting sqref="E160">
    <cfRule type="containsText" dxfId="8382" priority="699" operator="containsText" text="Buy">
      <formula>NOT(ISERROR(SEARCH("Buy",E160)))</formula>
    </cfRule>
    <cfRule type="containsText" dxfId="8381" priority="700" operator="containsText" text="Sell">
      <formula>NOT(ISERROR(SEARCH("Sell",E160)))</formula>
    </cfRule>
  </conditionalFormatting>
  <conditionalFormatting sqref="E159">
    <cfRule type="containsText" dxfId="8380" priority="697" operator="containsText" text="Buy">
      <formula>NOT(ISERROR(SEARCH("Buy",E159)))</formula>
    </cfRule>
    <cfRule type="containsText" dxfId="8379" priority="698" operator="containsText" text="Sell">
      <formula>NOT(ISERROR(SEARCH("Sell",E159)))</formula>
    </cfRule>
  </conditionalFormatting>
  <conditionalFormatting sqref="E156">
    <cfRule type="containsText" dxfId="8378" priority="695" operator="containsText" text="Buy">
      <formula>NOT(ISERROR(SEARCH("Buy",E156)))</formula>
    </cfRule>
    <cfRule type="containsText" dxfId="8377" priority="696" operator="containsText" text="Sell">
      <formula>NOT(ISERROR(SEARCH("Sell",E156)))</formula>
    </cfRule>
  </conditionalFormatting>
  <conditionalFormatting sqref="E155">
    <cfRule type="containsText" dxfId="8376" priority="693" operator="containsText" text="Buy">
      <formula>NOT(ISERROR(SEARCH("Buy",E155)))</formula>
    </cfRule>
    <cfRule type="containsText" dxfId="8375" priority="694" operator="containsText" text="Sell">
      <formula>NOT(ISERROR(SEARCH("Sell",E155)))</formula>
    </cfRule>
  </conditionalFormatting>
  <conditionalFormatting sqref="E152">
    <cfRule type="containsText" dxfId="8374" priority="691" operator="containsText" text="Buy">
      <formula>NOT(ISERROR(SEARCH("Buy",E152)))</formula>
    </cfRule>
    <cfRule type="containsText" dxfId="8373" priority="692" operator="containsText" text="Sell">
      <formula>NOT(ISERROR(SEARCH("Sell",E152)))</formula>
    </cfRule>
  </conditionalFormatting>
  <conditionalFormatting sqref="E151">
    <cfRule type="containsText" dxfId="8372" priority="689" operator="containsText" text="Buy">
      <formula>NOT(ISERROR(SEARCH("Buy",E151)))</formula>
    </cfRule>
    <cfRule type="containsText" dxfId="8371" priority="690" operator="containsText" text="Sell">
      <formula>NOT(ISERROR(SEARCH("Sell",E151)))</formula>
    </cfRule>
  </conditionalFormatting>
  <conditionalFormatting sqref="E150">
    <cfRule type="containsText" dxfId="8370" priority="687" operator="containsText" text="Buy">
      <formula>NOT(ISERROR(SEARCH("Buy",E150)))</formula>
    </cfRule>
    <cfRule type="containsText" dxfId="8369" priority="688" operator="containsText" text="Sell">
      <formula>NOT(ISERROR(SEARCH("Sell",E150)))</formula>
    </cfRule>
  </conditionalFormatting>
  <conditionalFormatting sqref="E148:E149">
    <cfRule type="containsText" dxfId="8368" priority="685" operator="containsText" text="Buy">
      <formula>NOT(ISERROR(SEARCH("Buy",E148)))</formula>
    </cfRule>
    <cfRule type="containsText" dxfId="8367" priority="686" operator="containsText" text="Sell">
      <formula>NOT(ISERROR(SEARCH("Sell",E148)))</formula>
    </cfRule>
  </conditionalFormatting>
  <conditionalFormatting sqref="E145 E141:E142">
    <cfRule type="containsText" dxfId="8366" priority="683" operator="containsText" text="Buy">
      <formula>NOT(ISERROR(SEARCH("Buy",E141)))</formula>
    </cfRule>
    <cfRule type="containsText" dxfId="8365" priority="684" operator="containsText" text="Sell">
      <formula>NOT(ISERROR(SEARCH("Sell",E141)))</formula>
    </cfRule>
  </conditionalFormatting>
  <conditionalFormatting sqref="E137">
    <cfRule type="containsText" dxfId="8364" priority="681" operator="containsText" text="Buy">
      <formula>NOT(ISERROR(SEARCH("Buy",E137)))</formula>
    </cfRule>
    <cfRule type="containsText" dxfId="8363" priority="682" operator="containsText" text="Sell">
      <formula>NOT(ISERROR(SEARCH("Sell",E137)))</formula>
    </cfRule>
  </conditionalFormatting>
  <conditionalFormatting sqref="E136">
    <cfRule type="containsText" dxfId="8362" priority="679" operator="containsText" text="Buy">
      <formula>NOT(ISERROR(SEARCH("Buy",E136)))</formula>
    </cfRule>
    <cfRule type="containsText" dxfId="8361" priority="680" operator="containsText" text="Sell">
      <formula>NOT(ISERROR(SEARCH("Sell",E136)))</formula>
    </cfRule>
  </conditionalFormatting>
  <conditionalFormatting sqref="E144">
    <cfRule type="containsText" dxfId="8360" priority="677" operator="containsText" text="Buy">
      <formula>NOT(ISERROR(SEARCH("Buy",E144)))</formula>
    </cfRule>
    <cfRule type="containsText" dxfId="8359" priority="678" operator="containsText" text="Sell">
      <formula>NOT(ISERROR(SEARCH("Sell",E144)))</formula>
    </cfRule>
  </conditionalFormatting>
  <conditionalFormatting sqref="E143">
    <cfRule type="containsText" dxfId="8358" priority="675" operator="containsText" text="Buy">
      <formula>NOT(ISERROR(SEARCH("Buy",E143)))</formula>
    </cfRule>
    <cfRule type="containsText" dxfId="8357" priority="676" operator="containsText" text="Sell">
      <formula>NOT(ISERROR(SEARCH("Sell",E143)))</formula>
    </cfRule>
  </conditionalFormatting>
  <conditionalFormatting sqref="E277">
    <cfRule type="containsText" dxfId="8356" priority="673" operator="containsText" text="Buy">
      <formula>NOT(ISERROR(SEARCH("Buy",E277)))</formula>
    </cfRule>
    <cfRule type="containsText" dxfId="8355" priority="674" operator="containsText" text="Sell">
      <formula>NOT(ISERROR(SEARCH("Sell",E277)))</formula>
    </cfRule>
  </conditionalFormatting>
  <conditionalFormatting sqref="E198">
    <cfRule type="containsText" dxfId="8354" priority="671" operator="containsText" text="Buy">
      <formula>NOT(ISERROR(SEARCH("Buy",E198)))</formula>
    </cfRule>
    <cfRule type="containsText" dxfId="8353" priority="672" operator="containsText" text="Sell">
      <formula>NOT(ISERROR(SEARCH("Sell",E198)))</formula>
    </cfRule>
  </conditionalFormatting>
  <conditionalFormatting sqref="E245">
    <cfRule type="containsText" dxfId="8352" priority="669" operator="containsText" text="Buy">
      <formula>NOT(ISERROR(SEARCH("Buy",E245)))</formula>
    </cfRule>
    <cfRule type="containsText" dxfId="8351" priority="670" operator="containsText" text="Sell">
      <formula>NOT(ISERROR(SEARCH("Sell",E245)))</formula>
    </cfRule>
  </conditionalFormatting>
  <conditionalFormatting sqref="E140">
    <cfRule type="containsText" dxfId="8350" priority="667" operator="containsText" text="Buy">
      <formula>NOT(ISERROR(SEARCH("Buy",E140)))</formula>
    </cfRule>
    <cfRule type="containsText" dxfId="8349" priority="668" operator="containsText" text="Sell">
      <formula>NOT(ISERROR(SEARCH("Sell",E140)))</formula>
    </cfRule>
  </conditionalFormatting>
  <conditionalFormatting sqref="E130">
    <cfRule type="containsText" dxfId="8348" priority="665" operator="containsText" text="Buy">
      <formula>NOT(ISERROR(SEARCH("Buy",E130)))</formula>
    </cfRule>
    <cfRule type="containsText" dxfId="8347" priority="666" operator="containsText" text="Sell">
      <formula>NOT(ISERROR(SEARCH("Sell",E130)))</formula>
    </cfRule>
  </conditionalFormatting>
  <conditionalFormatting sqref="E244">
    <cfRule type="containsText" dxfId="8346" priority="663" operator="containsText" text="Buy">
      <formula>NOT(ISERROR(SEARCH("Buy",E244)))</formula>
    </cfRule>
    <cfRule type="containsText" dxfId="8345" priority="664" operator="containsText" text="Sell">
      <formula>NOT(ISERROR(SEARCH("Sell",E244)))</formula>
    </cfRule>
  </conditionalFormatting>
  <conditionalFormatting sqref="E243">
    <cfRule type="containsText" dxfId="8344" priority="661" operator="containsText" text="Buy">
      <formula>NOT(ISERROR(SEARCH("Buy",E243)))</formula>
    </cfRule>
    <cfRule type="containsText" dxfId="8343" priority="662" operator="containsText" text="Sell">
      <formula>NOT(ISERROR(SEARCH("Sell",E243)))</formula>
    </cfRule>
  </conditionalFormatting>
  <conditionalFormatting sqref="E314:E316">
    <cfRule type="containsText" dxfId="8342" priority="659" operator="containsText" text="Buy">
      <formula>NOT(ISERROR(SEARCH("Buy",E314)))</formula>
    </cfRule>
    <cfRule type="containsText" dxfId="8341" priority="660" operator="containsText" text="Sell">
      <formula>NOT(ISERROR(SEARCH("Sell",E314)))</formula>
    </cfRule>
  </conditionalFormatting>
  <conditionalFormatting sqref="E299">
    <cfRule type="containsText" dxfId="8340" priority="657" operator="containsText" text="Buy">
      <formula>NOT(ISERROR(SEARCH("Buy",E299)))</formula>
    </cfRule>
    <cfRule type="containsText" dxfId="8339" priority="658" operator="containsText" text="Sell">
      <formula>NOT(ISERROR(SEARCH("Sell",E299)))</formula>
    </cfRule>
  </conditionalFormatting>
  <conditionalFormatting sqref="E298">
    <cfRule type="containsText" dxfId="8338" priority="655" operator="containsText" text="Buy">
      <formula>NOT(ISERROR(SEARCH("Buy",E298)))</formula>
    </cfRule>
    <cfRule type="containsText" dxfId="8337" priority="656" operator="containsText" text="Sell">
      <formula>NOT(ISERROR(SEARCH("Sell",E298)))</formula>
    </cfRule>
  </conditionalFormatting>
  <conditionalFormatting sqref="E135">
    <cfRule type="containsText" dxfId="8336" priority="653" operator="containsText" text="Buy">
      <formula>NOT(ISERROR(SEARCH("Buy",E135)))</formula>
    </cfRule>
    <cfRule type="containsText" dxfId="8335" priority="654" operator="containsText" text="Sell">
      <formula>NOT(ISERROR(SEARCH("Sell",E135)))</formula>
    </cfRule>
  </conditionalFormatting>
  <conditionalFormatting sqref="E264">
    <cfRule type="containsText" dxfId="8334" priority="651" operator="containsText" text="Buy">
      <formula>NOT(ISERROR(SEARCH("Buy",E264)))</formula>
    </cfRule>
    <cfRule type="containsText" dxfId="8333" priority="652" operator="containsText" text="Sell">
      <formula>NOT(ISERROR(SEARCH("Sell",E264)))</formula>
    </cfRule>
  </conditionalFormatting>
  <conditionalFormatting sqref="E261">
    <cfRule type="containsText" dxfId="8332" priority="649" operator="containsText" text="Buy">
      <formula>NOT(ISERROR(SEARCH("Buy",E261)))</formula>
    </cfRule>
    <cfRule type="containsText" dxfId="8331" priority="650" operator="containsText" text="Sell">
      <formula>NOT(ISERROR(SEARCH("Sell",E261)))</formula>
    </cfRule>
  </conditionalFormatting>
  <conditionalFormatting sqref="E126:E127">
    <cfRule type="containsText" dxfId="8330" priority="647" operator="containsText" text="Buy">
      <formula>NOT(ISERROR(SEARCH("Buy",E126)))</formula>
    </cfRule>
    <cfRule type="containsText" dxfId="8329" priority="648" operator="containsText" text="Sell">
      <formula>NOT(ISERROR(SEARCH("Sell",E126)))</formula>
    </cfRule>
  </conditionalFormatting>
  <conditionalFormatting sqref="E123:E124">
    <cfRule type="containsText" dxfId="8328" priority="645" operator="containsText" text="Buy">
      <formula>NOT(ISERROR(SEARCH("Buy",E123)))</formula>
    </cfRule>
    <cfRule type="containsText" dxfId="8327" priority="646" operator="containsText" text="Sell">
      <formula>NOT(ISERROR(SEARCH("Sell",E123)))</formula>
    </cfRule>
  </conditionalFormatting>
  <conditionalFormatting sqref="E297">
    <cfRule type="containsText" dxfId="8326" priority="643" operator="containsText" text="Buy">
      <formula>NOT(ISERROR(SEARCH("Buy",E297)))</formula>
    </cfRule>
    <cfRule type="containsText" dxfId="8325" priority="644" operator="containsText" text="Sell">
      <formula>NOT(ISERROR(SEARCH("Sell",E297)))</formula>
    </cfRule>
  </conditionalFormatting>
  <conditionalFormatting sqref="E120:E121">
    <cfRule type="containsText" dxfId="8324" priority="641" operator="containsText" text="Buy">
      <formula>NOT(ISERROR(SEARCH("Buy",E120)))</formula>
    </cfRule>
    <cfRule type="containsText" dxfId="8323" priority="642" operator="containsText" text="Sell">
      <formula>NOT(ISERROR(SEARCH("Sell",E120)))</formula>
    </cfRule>
  </conditionalFormatting>
  <conditionalFormatting sqref="E117:E118">
    <cfRule type="containsText" dxfId="8322" priority="639" operator="containsText" text="Buy">
      <formula>NOT(ISERROR(SEARCH("Buy",E117)))</formula>
    </cfRule>
    <cfRule type="containsText" dxfId="8321" priority="640" operator="containsText" text="Sell">
      <formula>NOT(ISERROR(SEARCH("Sell",E117)))</formula>
    </cfRule>
  </conditionalFormatting>
  <conditionalFormatting sqref="E189">
    <cfRule type="containsText" dxfId="8320" priority="637" operator="containsText" text="Buy">
      <formula>NOT(ISERROR(SEARCH("Buy",E189)))</formula>
    </cfRule>
    <cfRule type="containsText" dxfId="8319" priority="638" operator="containsText" text="Sell">
      <formula>NOT(ISERROR(SEARCH("Sell",E189)))</formula>
    </cfRule>
  </conditionalFormatting>
  <conditionalFormatting sqref="E115">
    <cfRule type="containsText" dxfId="8318" priority="635" operator="containsText" text="Buy">
      <formula>NOT(ISERROR(SEARCH("Buy",E115)))</formula>
    </cfRule>
    <cfRule type="containsText" dxfId="8317" priority="636" operator="containsText" text="Sell">
      <formula>NOT(ISERROR(SEARCH("Sell",E115)))</formula>
    </cfRule>
  </conditionalFormatting>
  <conditionalFormatting sqref="E114">
    <cfRule type="containsText" dxfId="8316" priority="633" operator="containsText" text="Buy">
      <formula>NOT(ISERROR(SEARCH("Buy",E114)))</formula>
    </cfRule>
    <cfRule type="containsText" dxfId="8315" priority="634" operator="containsText" text="Sell">
      <formula>NOT(ISERROR(SEARCH("Sell",E114)))</formula>
    </cfRule>
  </conditionalFormatting>
  <conditionalFormatting sqref="E326">
    <cfRule type="containsText" dxfId="8314" priority="631" operator="containsText" text="Buy">
      <formula>NOT(ISERROR(SEARCH("Buy",E326)))</formula>
    </cfRule>
    <cfRule type="containsText" dxfId="8313" priority="632" operator="containsText" text="Sell">
      <formula>NOT(ISERROR(SEARCH("Sell",E326)))</formula>
    </cfRule>
  </conditionalFormatting>
  <conditionalFormatting sqref="E343">
    <cfRule type="containsText" dxfId="8312" priority="629" operator="containsText" text="Buy">
      <formula>NOT(ISERROR(SEARCH("Buy",E343)))</formula>
    </cfRule>
    <cfRule type="containsText" dxfId="8311" priority="630" operator="containsText" text="Sell">
      <formula>NOT(ISERROR(SEARCH("Sell",E343)))</formula>
    </cfRule>
  </conditionalFormatting>
  <conditionalFormatting sqref="E106:E107">
    <cfRule type="containsText" dxfId="8310" priority="627" operator="containsText" text="Buy">
      <formula>NOT(ISERROR(SEARCH("Buy",E106)))</formula>
    </cfRule>
    <cfRule type="containsText" dxfId="8309" priority="628" operator="containsText" text="Sell">
      <formula>NOT(ISERROR(SEARCH("Sell",E106)))</formula>
    </cfRule>
  </conditionalFormatting>
  <conditionalFormatting sqref="E321">
    <cfRule type="containsText" dxfId="8308" priority="625" operator="containsText" text="Buy">
      <formula>NOT(ISERROR(SEARCH("Buy",E321)))</formula>
    </cfRule>
    <cfRule type="containsText" dxfId="8307" priority="626" operator="containsText" text="Sell">
      <formula>NOT(ISERROR(SEARCH("Sell",E321)))</formula>
    </cfRule>
  </conditionalFormatting>
  <conditionalFormatting sqref="E317">
    <cfRule type="containsText" dxfId="8306" priority="623" operator="containsText" text="Buy">
      <formula>NOT(ISERROR(SEARCH("Buy",E317)))</formula>
    </cfRule>
    <cfRule type="containsText" dxfId="8305" priority="624" operator="containsText" text="Sell">
      <formula>NOT(ISERROR(SEARCH("Sell",E317)))</formula>
    </cfRule>
  </conditionalFormatting>
  <conditionalFormatting sqref="E98 E95 E92 E89 E80 E74">
    <cfRule type="containsText" dxfId="8304" priority="621" operator="containsText" text="Buy">
      <formula>NOT(ISERROR(SEARCH("Buy",E74)))</formula>
    </cfRule>
    <cfRule type="containsText" dxfId="8303" priority="622" operator="containsText" text="Sell">
      <formula>NOT(ISERROR(SEARCH("Sell",E74)))</formula>
    </cfRule>
  </conditionalFormatting>
  <conditionalFormatting sqref="E188">
    <cfRule type="containsText" dxfId="8302" priority="619" operator="containsText" text="Buy">
      <formula>NOT(ISERROR(SEARCH("Buy",E188)))</formula>
    </cfRule>
    <cfRule type="containsText" dxfId="8301" priority="620" operator="containsText" text="Sell">
      <formula>NOT(ISERROR(SEARCH("Sell",E188)))</formula>
    </cfRule>
  </conditionalFormatting>
  <conditionalFormatting sqref="E242">
    <cfRule type="containsText" dxfId="8300" priority="617" operator="containsText" text="Buy">
      <formula>NOT(ISERROR(SEARCH("Buy",E242)))</formula>
    </cfRule>
    <cfRule type="containsText" dxfId="8299" priority="618" operator="containsText" text="Sell">
      <formula>NOT(ISERROR(SEARCH("Sell",E242)))</formula>
    </cfRule>
  </conditionalFormatting>
  <conditionalFormatting sqref="E197">
    <cfRule type="containsText" dxfId="8298" priority="615" operator="containsText" text="Buy">
      <formula>NOT(ISERROR(SEARCH("Buy",E197)))</formula>
    </cfRule>
    <cfRule type="containsText" dxfId="8297" priority="616" operator="containsText" text="Sell">
      <formula>NOT(ISERROR(SEARCH("Sell",E197)))</formula>
    </cfRule>
  </conditionalFormatting>
  <conditionalFormatting sqref="E132">
    <cfRule type="containsText" dxfId="8296" priority="613" operator="containsText" text="Buy">
      <formula>NOT(ISERROR(SEARCH("Buy",E132)))</formula>
    </cfRule>
    <cfRule type="containsText" dxfId="8295" priority="614" operator="containsText" text="Sell">
      <formula>NOT(ISERROR(SEARCH("Sell",E132)))</formula>
    </cfRule>
  </conditionalFormatting>
  <conditionalFormatting sqref="E288">
    <cfRule type="containsText" dxfId="8294" priority="609" operator="containsText" text="Buy">
      <formula>NOT(ISERROR(SEARCH("Buy",E288)))</formula>
    </cfRule>
    <cfRule type="containsText" dxfId="8293" priority="610" operator="containsText" text="Sell">
      <formula>NOT(ISERROR(SEARCH("Sell",E288)))</formula>
    </cfRule>
  </conditionalFormatting>
  <conditionalFormatting sqref="E342">
    <cfRule type="containsText" dxfId="8292" priority="605" operator="containsText" text="Buy">
      <formula>NOT(ISERROR(SEARCH("Buy",E342)))</formula>
    </cfRule>
    <cfRule type="containsText" dxfId="8291" priority="606" operator="containsText" text="Sell">
      <formula>NOT(ISERROR(SEARCH("Sell",E342)))</formula>
    </cfRule>
  </conditionalFormatting>
  <conditionalFormatting sqref="E103:E104">
    <cfRule type="containsText" dxfId="8290" priority="603" operator="containsText" text="Buy">
      <formula>NOT(ISERROR(SEARCH("Buy",E103)))</formula>
    </cfRule>
    <cfRule type="containsText" dxfId="8289" priority="604" operator="containsText" text="Sell">
      <formula>NOT(ISERROR(SEARCH("Sell",E103)))</formula>
    </cfRule>
  </conditionalFormatting>
  <conditionalFormatting sqref="E187">
    <cfRule type="containsText" dxfId="8288" priority="601" operator="containsText" text="Buy">
      <formula>NOT(ISERROR(SEARCH("Buy",E187)))</formula>
    </cfRule>
    <cfRule type="containsText" dxfId="8287" priority="602" operator="containsText" text="Sell">
      <formula>NOT(ISERROR(SEARCH("Sell",E187)))</formula>
    </cfRule>
  </conditionalFormatting>
  <conditionalFormatting sqref="E96:E97">
    <cfRule type="containsText" dxfId="8286" priority="591" operator="containsText" text="Buy">
      <formula>NOT(ISERROR(SEARCH("Buy",E96)))</formula>
    </cfRule>
    <cfRule type="containsText" dxfId="8285" priority="592" operator="containsText" text="Sell">
      <formula>NOT(ISERROR(SEARCH("Sell",E96)))</formula>
    </cfRule>
  </conditionalFormatting>
  <conditionalFormatting sqref="E260">
    <cfRule type="containsText" dxfId="8284" priority="597" operator="containsText" text="Buy">
      <formula>NOT(ISERROR(SEARCH("Buy",E260)))</formula>
    </cfRule>
    <cfRule type="containsText" dxfId="8283" priority="598" operator="containsText" text="Sell">
      <formula>NOT(ISERROR(SEARCH("Sell",E260)))</formula>
    </cfRule>
  </conditionalFormatting>
  <conditionalFormatting sqref="E99:E100">
    <cfRule type="containsText" dxfId="8282" priority="595" operator="containsText" text="Buy">
      <formula>NOT(ISERROR(SEARCH("Buy",E99)))</formula>
    </cfRule>
    <cfRule type="containsText" dxfId="8281" priority="596" operator="containsText" text="Sell">
      <formula>NOT(ISERROR(SEARCH("Sell",E99)))</formula>
    </cfRule>
  </conditionalFormatting>
  <conditionalFormatting sqref="E337">
    <cfRule type="containsText" dxfId="8280" priority="593" operator="containsText" text="Buy">
      <formula>NOT(ISERROR(SEARCH("Buy",E337)))</formula>
    </cfRule>
    <cfRule type="containsText" dxfId="8279" priority="594" operator="containsText" text="Sell">
      <formula>NOT(ISERROR(SEARCH("Sell",E337)))</formula>
    </cfRule>
  </conditionalFormatting>
  <conditionalFormatting sqref="E93:E94">
    <cfRule type="containsText" dxfId="8278" priority="589" operator="containsText" text="Buy">
      <formula>NOT(ISERROR(SEARCH("Buy",E93)))</formula>
    </cfRule>
    <cfRule type="containsText" dxfId="8277" priority="590" operator="containsText" text="Sell">
      <formula>NOT(ISERROR(SEARCH("Sell",E93)))</formula>
    </cfRule>
  </conditionalFormatting>
  <conditionalFormatting sqref="E227">
    <cfRule type="containsText" dxfId="8276" priority="587" operator="containsText" text="Buy">
      <formula>NOT(ISERROR(SEARCH("Buy",E227)))</formula>
    </cfRule>
    <cfRule type="containsText" dxfId="8275" priority="588" operator="containsText" text="Sell">
      <formula>NOT(ISERROR(SEARCH("Sell",E227)))</formula>
    </cfRule>
  </conditionalFormatting>
  <conditionalFormatting sqref="E341">
    <cfRule type="containsText" dxfId="8274" priority="585" operator="containsText" text="Buy">
      <formula>NOT(ISERROR(SEARCH("Buy",E341)))</formula>
    </cfRule>
    <cfRule type="containsText" dxfId="8273" priority="586" operator="containsText" text="Sell">
      <formula>NOT(ISERROR(SEARCH("Sell",E341)))</formula>
    </cfRule>
  </conditionalFormatting>
  <conditionalFormatting sqref="E325">
    <cfRule type="containsText" dxfId="8272" priority="583" operator="containsText" text="Buy">
      <formula>NOT(ISERROR(SEARCH("Buy",E325)))</formula>
    </cfRule>
    <cfRule type="containsText" dxfId="8271" priority="584" operator="containsText" text="Sell">
      <formula>NOT(ISERROR(SEARCH("Sell",E325)))</formula>
    </cfRule>
  </conditionalFormatting>
  <conditionalFormatting sqref="E102">
    <cfRule type="containsText" dxfId="8270" priority="581" operator="containsText" text="Buy">
      <formula>NOT(ISERROR(SEARCH("Buy",E102)))</formula>
    </cfRule>
    <cfRule type="containsText" dxfId="8269" priority="582" operator="containsText" text="Sell">
      <formula>NOT(ISERROR(SEARCH("Sell",E102)))</formula>
    </cfRule>
  </conditionalFormatting>
  <conditionalFormatting sqref="E90:E91">
    <cfRule type="containsText" dxfId="8268" priority="579" operator="containsText" text="Buy">
      <formula>NOT(ISERROR(SEARCH("Buy",E90)))</formula>
    </cfRule>
    <cfRule type="containsText" dxfId="8267" priority="580" operator="containsText" text="Sell">
      <formula>NOT(ISERROR(SEARCH("Sell",E90)))</formula>
    </cfRule>
  </conditionalFormatting>
  <conditionalFormatting sqref="E84:E86">
    <cfRule type="containsText" dxfId="8266" priority="577" operator="containsText" text="Buy">
      <formula>NOT(ISERROR(SEARCH("Buy",E84)))</formula>
    </cfRule>
    <cfRule type="containsText" dxfId="8265" priority="578" operator="containsText" text="Sell">
      <formula>NOT(ISERROR(SEARCH("Sell",E84)))</formula>
    </cfRule>
  </conditionalFormatting>
  <conditionalFormatting sqref="E109">
    <cfRule type="containsText" dxfId="8264" priority="575" operator="containsText" text="Buy">
      <formula>NOT(ISERROR(SEARCH("Buy",E109)))</formula>
    </cfRule>
    <cfRule type="containsText" dxfId="8263" priority="576" operator="containsText" text="Sell">
      <formula>NOT(ISERROR(SEARCH("Sell",E109)))</formula>
    </cfRule>
  </conditionalFormatting>
  <conditionalFormatting sqref="E287">
    <cfRule type="containsText" dxfId="8262" priority="573" operator="containsText" text="Buy">
      <formula>NOT(ISERROR(SEARCH("Buy",E287)))</formula>
    </cfRule>
    <cfRule type="containsText" dxfId="8261" priority="574" operator="containsText" text="Sell">
      <formula>NOT(ISERROR(SEARCH("Sell",E287)))</formula>
    </cfRule>
  </conditionalFormatting>
  <conditionalFormatting sqref="E258">
    <cfRule type="containsText" dxfId="8260" priority="569" operator="containsText" text="Buy">
      <formula>NOT(ISERROR(SEARCH("Buy",E258)))</formula>
    </cfRule>
    <cfRule type="containsText" dxfId="8259" priority="570" operator="containsText" text="Sell">
      <formula>NOT(ISERROR(SEARCH("Sell",E258)))</formula>
    </cfRule>
  </conditionalFormatting>
  <conditionalFormatting sqref="E217">
    <cfRule type="containsText" dxfId="8258" priority="567" operator="containsText" text="Buy">
      <formula>NOT(ISERROR(SEARCH("Buy",E217)))</formula>
    </cfRule>
    <cfRule type="containsText" dxfId="8257" priority="568" operator="containsText" text="Sell">
      <formula>NOT(ISERROR(SEARCH("Sell",E217)))</formula>
    </cfRule>
  </conditionalFormatting>
  <conditionalFormatting sqref="E259">
    <cfRule type="containsText" dxfId="8256" priority="571" operator="containsText" text="Buy">
      <formula>NOT(ISERROR(SEARCH("Buy",E259)))</formula>
    </cfRule>
    <cfRule type="containsText" dxfId="8255" priority="572" operator="containsText" text="Sell">
      <formula>NOT(ISERROR(SEARCH("Sell",E259)))</formula>
    </cfRule>
  </conditionalFormatting>
  <conditionalFormatting sqref="E57">
    <cfRule type="containsText" dxfId="8254" priority="557" operator="containsText" text="Buy">
      <formula>NOT(ISERROR(SEARCH("Buy",E57)))</formula>
    </cfRule>
    <cfRule type="containsText" dxfId="8253" priority="558" operator="containsText" text="Sell">
      <formula>NOT(ISERROR(SEARCH("Sell",E57)))</formula>
    </cfRule>
  </conditionalFormatting>
  <conditionalFormatting sqref="E147">
    <cfRule type="containsText" dxfId="8252" priority="563" operator="containsText" text="Buy">
      <formula>NOT(ISERROR(SEARCH("Buy",E147)))</formula>
    </cfRule>
    <cfRule type="containsText" dxfId="8251" priority="564" operator="containsText" text="Sell">
      <formula>NOT(ISERROR(SEARCH("Sell",E147)))</formula>
    </cfRule>
  </conditionalFormatting>
  <conditionalFormatting sqref="E30">
    <cfRule type="containsText" dxfId="8250" priority="561" operator="containsText" text="Buy">
      <formula>NOT(ISERROR(SEARCH("Buy",E30)))</formula>
    </cfRule>
    <cfRule type="containsText" dxfId="8249" priority="562" operator="containsText" text="Sell">
      <formula>NOT(ISERROR(SEARCH("Sell",E30)))</formula>
    </cfRule>
  </conditionalFormatting>
  <conditionalFormatting sqref="E75:E77">
    <cfRule type="containsText" dxfId="8248" priority="559" operator="containsText" text="Buy">
      <formula>NOT(ISERROR(SEARCH("Buy",E75)))</formula>
    </cfRule>
    <cfRule type="containsText" dxfId="8247" priority="560" operator="containsText" text="Sell">
      <formula>NOT(ISERROR(SEARCH("Sell",E75)))</formula>
    </cfRule>
  </conditionalFormatting>
  <conditionalFormatting sqref="E113">
    <cfRule type="containsText" dxfId="8246" priority="531" operator="containsText" text="Buy">
      <formula>NOT(ISERROR(SEARCH("Buy",E113)))</formula>
    </cfRule>
    <cfRule type="containsText" dxfId="8245" priority="532" operator="containsText" text="Sell">
      <formula>NOT(ISERROR(SEARCH("Sell",E113)))</formula>
    </cfRule>
  </conditionalFormatting>
  <conditionalFormatting sqref="E60:E62">
    <cfRule type="containsText" dxfId="8244" priority="555" operator="containsText" text="Buy">
      <formula>NOT(ISERROR(SEARCH("Buy",E60)))</formula>
    </cfRule>
    <cfRule type="containsText" dxfId="8243" priority="556" operator="containsText" text="Sell">
      <formula>NOT(ISERROR(SEARCH("Sell",E60)))</formula>
    </cfRule>
  </conditionalFormatting>
  <conditionalFormatting sqref="E63:E65">
    <cfRule type="containsText" dxfId="8242" priority="553" operator="containsText" text="Buy">
      <formula>NOT(ISERROR(SEARCH("Buy",E63)))</formula>
    </cfRule>
    <cfRule type="containsText" dxfId="8241" priority="554" operator="containsText" text="Sell">
      <formula>NOT(ISERROR(SEARCH("Sell",E63)))</formula>
    </cfRule>
  </conditionalFormatting>
  <conditionalFormatting sqref="E66:E68">
    <cfRule type="containsText" dxfId="8240" priority="551" operator="containsText" text="Buy">
      <formula>NOT(ISERROR(SEARCH("Buy",E66)))</formula>
    </cfRule>
    <cfRule type="containsText" dxfId="8239" priority="552" operator="containsText" text="Sell">
      <formula>NOT(ISERROR(SEARCH("Sell",E66)))</formula>
    </cfRule>
  </conditionalFormatting>
  <conditionalFormatting sqref="E69:E71">
    <cfRule type="containsText" dxfId="8238" priority="549" operator="containsText" text="Buy">
      <formula>NOT(ISERROR(SEARCH("Buy",E69)))</formula>
    </cfRule>
    <cfRule type="containsText" dxfId="8237" priority="550" operator="containsText" text="Sell">
      <formula>NOT(ISERROR(SEARCH("Sell",E69)))</formula>
    </cfRule>
  </conditionalFormatting>
  <conditionalFormatting sqref="E72:E73">
    <cfRule type="containsText" dxfId="8236" priority="547" operator="containsText" text="Buy">
      <formula>NOT(ISERROR(SEARCH("Buy",E72)))</formula>
    </cfRule>
    <cfRule type="containsText" dxfId="8235" priority="548" operator="containsText" text="Sell">
      <formula>NOT(ISERROR(SEARCH("Sell",E72)))</formula>
    </cfRule>
  </conditionalFormatting>
  <conditionalFormatting sqref="E87:E88">
    <cfRule type="containsText" dxfId="8234" priority="545" operator="containsText" text="Buy">
      <formula>NOT(ISERROR(SEARCH("Buy",E87)))</formula>
    </cfRule>
    <cfRule type="containsText" dxfId="8233" priority="546" operator="containsText" text="Sell">
      <formula>NOT(ISERROR(SEARCH("Sell",E87)))</formula>
    </cfRule>
  </conditionalFormatting>
  <conditionalFormatting sqref="E129">
    <cfRule type="containsText" dxfId="8232" priority="543" operator="containsText" text="Buy">
      <formula>NOT(ISERROR(SEARCH("Buy",E129)))</formula>
    </cfRule>
    <cfRule type="containsText" dxfId="8231" priority="544" operator="containsText" text="Sell">
      <formula>NOT(ISERROR(SEARCH("Sell",E129)))</formula>
    </cfRule>
  </conditionalFormatting>
  <conditionalFormatting sqref="E43">
    <cfRule type="containsText" dxfId="8230" priority="541" operator="containsText" text="Buy">
      <formula>NOT(ISERROR(SEARCH("Buy",E43)))</formula>
    </cfRule>
    <cfRule type="containsText" dxfId="8229" priority="542" operator="containsText" text="Sell">
      <formula>NOT(ISERROR(SEARCH("Sell",E43)))</formula>
    </cfRule>
  </conditionalFormatting>
  <conditionalFormatting sqref="E78:E79">
    <cfRule type="containsText" dxfId="8228" priority="537" operator="containsText" text="Buy">
      <formula>NOT(ISERROR(SEARCH("Buy",E78)))</formula>
    </cfRule>
    <cfRule type="containsText" dxfId="8227" priority="538" operator="containsText" text="Sell">
      <formula>NOT(ISERROR(SEARCH("Sell",E78)))</formula>
    </cfRule>
  </conditionalFormatting>
  <conditionalFormatting sqref="E81:E82">
    <cfRule type="containsText" dxfId="8226" priority="535" operator="containsText" text="Buy">
      <formula>NOT(ISERROR(SEARCH("Buy",E81)))</formula>
    </cfRule>
    <cfRule type="containsText" dxfId="8225" priority="536" operator="containsText" text="Sell">
      <formula>NOT(ISERROR(SEARCH("Sell",E81)))</formula>
    </cfRule>
  </conditionalFormatting>
  <conditionalFormatting sqref="E294">
    <cfRule type="containsText" dxfId="8224" priority="533" operator="containsText" text="Buy">
      <formula>NOT(ISERROR(SEARCH("Buy",E294)))</formula>
    </cfRule>
    <cfRule type="containsText" dxfId="8223" priority="534" operator="containsText" text="Sell">
      <formula>NOT(ISERROR(SEARCH("Sell",E294)))</formula>
    </cfRule>
  </conditionalFormatting>
  <conditionalFormatting sqref="E112">
    <cfRule type="containsText" dxfId="8222" priority="529" operator="containsText" text="Buy">
      <formula>NOT(ISERROR(SEARCH("Buy",E112)))</formula>
    </cfRule>
    <cfRule type="containsText" dxfId="8221" priority="530" operator="containsText" text="Sell">
      <formula>NOT(ISERROR(SEARCH("Sell",E112)))</formula>
    </cfRule>
  </conditionalFormatting>
  <conditionalFormatting sqref="E111">
    <cfRule type="containsText" dxfId="8220" priority="527" operator="containsText" text="Buy">
      <formula>NOT(ISERROR(SEARCH("Buy",E111)))</formula>
    </cfRule>
    <cfRule type="containsText" dxfId="8219" priority="528" operator="containsText" text="Sell">
      <formula>NOT(ISERROR(SEARCH("Sell",E111)))</formula>
    </cfRule>
  </conditionalFormatting>
  <conditionalFormatting sqref="E110">
    <cfRule type="containsText" dxfId="8218" priority="525" operator="containsText" text="Buy">
      <formula>NOT(ISERROR(SEARCH("Buy",E110)))</formula>
    </cfRule>
    <cfRule type="containsText" dxfId="8217" priority="526" operator="containsText" text="Sell">
      <formula>NOT(ISERROR(SEARCH("Sell",E110)))</formula>
    </cfRule>
  </conditionalFormatting>
  <conditionalFormatting sqref="E133:E134">
    <cfRule type="containsText" dxfId="8216" priority="523" operator="containsText" text="Buy">
      <formula>NOT(ISERROR(SEARCH("Buy",E133)))</formula>
    </cfRule>
    <cfRule type="containsText" dxfId="8215" priority="524" operator="containsText" text="Sell">
      <formula>NOT(ISERROR(SEARCH("Sell",E133)))</formula>
    </cfRule>
  </conditionalFormatting>
  <conditionalFormatting sqref="E207:E209">
    <cfRule type="containsText" dxfId="8214" priority="521" operator="containsText" text="Buy">
      <formula>NOT(ISERROR(SEARCH("Buy",E207)))</formula>
    </cfRule>
    <cfRule type="containsText" dxfId="8213" priority="522" operator="containsText" text="Sell">
      <formula>NOT(ISERROR(SEARCH("Sell",E207)))</formula>
    </cfRule>
  </conditionalFormatting>
  <conditionalFormatting sqref="E186">
    <cfRule type="containsText" dxfId="8212" priority="519" operator="containsText" text="Buy">
      <formula>NOT(ISERROR(SEARCH("Buy",E186)))</formula>
    </cfRule>
    <cfRule type="containsText" dxfId="8211" priority="520" operator="containsText" text="Sell">
      <formula>NOT(ISERROR(SEARCH("Sell",E186)))</formula>
    </cfRule>
  </conditionalFormatting>
  <conditionalFormatting sqref="E185">
    <cfRule type="containsText" dxfId="8210" priority="517" operator="containsText" text="Buy">
      <formula>NOT(ISERROR(SEARCH("Buy",E185)))</formula>
    </cfRule>
    <cfRule type="containsText" dxfId="8209" priority="518" operator="containsText" text="Sell">
      <formula>NOT(ISERROR(SEARCH("Sell",E185)))</formula>
    </cfRule>
  </conditionalFormatting>
  <conditionalFormatting sqref="E51">
    <cfRule type="containsText" dxfId="8208" priority="515" operator="containsText" text="Buy">
      <formula>NOT(ISERROR(SEARCH("Buy",E51)))</formula>
    </cfRule>
    <cfRule type="containsText" dxfId="8207" priority="516" operator="containsText" text="Sell">
      <formula>NOT(ISERROR(SEARCH("Sell",E51)))</formula>
    </cfRule>
  </conditionalFormatting>
  <conditionalFormatting sqref="E179">
    <cfRule type="containsText" dxfId="8206" priority="513" operator="containsText" text="Buy">
      <formula>NOT(ISERROR(SEARCH("Buy",E179)))</formula>
    </cfRule>
    <cfRule type="containsText" dxfId="8205" priority="514" operator="containsText" text="Sell">
      <formula>NOT(ISERROR(SEARCH("Sell",E179)))</formula>
    </cfRule>
  </conditionalFormatting>
  <conditionalFormatting sqref="E184">
    <cfRule type="containsText" dxfId="8204" priority="511" operator="containsText" text="Buy">
      <formula>NOT(ISERROR(SEARCH("Buy",E184)))</formula>
    </cfRule>
    <cfRule type="containsText" dxfId="8203" priority="512" operator="containsText" text="Sell">
      <formula>NOT(ISERROR(SEARCH("Sell",E184)))</formula>
    </cfRule>
  </conditionalFormatting>
  <conditionalFormatting sqref="E183">
    <cfRule type="containsText" dxfId="8202" priority="509" operator="containsText" text="Buy">
      <formula>NOT(ISERROR(SEARCH("Buy",E183)))</formula>
    </cfRule>
    <cfRule type="containsText" dxfId="8201" priority="510" operator="containsText" text="Sell">
      <formula>NOT(ISERROR(SEARCH("Sell",E183)))</formula>
    </cfRule>
  </conditionalFormatting>
  <conditionalFormatting sqref="E293">
    <cfRule type="containsText" dxfId="8200" priority="507" operator="containsText" text="Buy">
      <formula>NOT(ISERROR(SEARCH("Buy",E293)))</formula>
    </cfRule>
    <cfRule type="containsText" dxfId="8199" priority="508" operator="containsText" text="Sell">
      <formula>NOT(ISERROR(SEARCH("Sell",E293)))</formula>
    </cfRule>
  </conditionalFormatting>
  <conditionalFormatting sqref="E168:E169">
    <cfRule type="containsText" dxfId="8198" priority="505" operator="containsText" text="Buy">
      <formula>NOT(ISERROR(SEARCH("Buy",E168)))</formula>
    </cfRule>
    <cfRule type="containsText" dxfId="8197" priority="506" operator="containsText" text="Sell">
      <formula>NOT(ISERROR(SEARCH("Sell",E168)))</formula>
    </cfRule>
  </conditionalFormatting>
  <conditionalFormatting sqref="E292">
    <cfRule type="containsText" dxfId="8196" priority="503" operator="containsText" text="Buy">
      <formula>NOT(ISERROR(SEARCH("Buy",E292)))</formula>
    </cfRule>
    <cfRule type="containsText" dxfId="8195" priority="504" operator="containsText" text="Sell">
      <formula>NOT(ISERROR(SEARCH("Sell",E292)))</formula>
    </cfRule>
  </conditionalFormatting>
  <conditionalFormatting sqref="E167">
    <cfRule type="containsText" dxfId="8194" priority="501" operator="containsText" text="Buy">
      <formula>NOT(ISERROR(SEARCH("Buy",E167)))</formula>
    </cfRule>
    <cfRule type="containsText" dxfId="8193" priority="502" operator="containsText" text="Sell">
      <formula>NOT(ISERROR(SEARCH("Sell",E167)))</formula>
    </cfRule>
  </conditionalFormatting>
  <conditionalFormatting sqref="E33">
    <cfRule type="containsText" dxfId="8192" priority="493" operator="containsText" text="Buy">
      <formula>NOT(ISERROR(SEARCH("Buy",E33)))</formula>
    </cfRule>
    <cfRule type="containsText" dxfId="8191" priority="494" operator="containsText" text="Sell">
      <formula>NOT(ISERROR(SEARCH("Sell",E33)))</formula>
    </cfRule>
  </conditionalFormatting>
  <conditionalFormatting sqref="E39">
    <cfRule type="containsText" dxfId="8190" priority="495" operator="containsText" text="Buy">
      <formula>NOT(ISERROR(SEARCH("Buy",E39)))</formula>
    </cfRule>
    <cfRule type="containsText" dxfId="8189" priority="496" operator="containsText" text="Sell">
      <formula>NOT(ISERROR(SEARCH("Sell",E39)))</formula>
    </cfRule>
  </conditionalFormatting>
  <conditionalFormatting sqref="E291">
    <cfRule type="containsText" dxfId="8188" priority="497" operator="containsText" text="Buy">
      <formula>NOT(ISERROR(SEARCH("Buy",E291)))</formula>
    </cfRule>
    <cfRule type="containsText" dxfId="8187" priority="498" operator="containsText" text="Sell">
      <formula>NOT(ISERROR(SEARCH("Sell",E291)))</formula>
    </cfRule>
  </conditionalFormatting>
  <conditionalFormatting sqref="E178">
    <cfRule type="containsText" dxfId="8186" priority="489" operator="containsText" text="Buy">
      <formula>NOT(ISERROR(SEARCH("Buy",E178)))</formula>
    </cfRule>
    <cfRule type="containsText" dxfId="8185" priority="490" operator="containsText" text="Sell">
      <formula>NOT(ISERROR(SEARCH("Sell",E178)))</formula>
    </cfRule>
  </conditionalFormatting>
  <conditionalFormatting sqref="E174">
    <cfRule type="containsText" dxfId="8184" priority="491" operator="containsText" text="Buy">
      <formula>NOT(ISERROR(SEARCH("Buy",E174)))</formula>
    </cfRule>
    <cfRule type="containsText" dxfId="8183" priority="492" operator="containsText" text="Sell">
      <formula>NOT(ISERROR(SEARCH("Sell",E174)))</formula>
    </cfRule>
  </conditionalFormatting>
  <conditionalFormatting sqref="E36">
    <cfRule type="containsText" dxfId="8182" priority="487" operator="containsText" text="Buy">
      <formula>NOT(ISERROR(SEARCH("Buy",E36)))</formula>
    </cfRule>
    <cfRule type="containsText" dxfId="8181" priority="488" operator="containsText" text="Sell">
      <formula>NOT(ISERROR(SEARCH("Sell",E36)))</formula>
    </cfRule>
  </conditionalFormatting>
  <conditionalFormatting sqref="E173">
    <cfRule type="containsText" dxfId="8180" priority="485" operator="containsText" text="Buy">
      <formula>NOT(ISERROR(SEARCH("Buy",E173)))</formula>
    </cfRule>
    <cfRule type="containsText" dxfId="8179" priority="486" operator="containsText" text="Sell">
      <formula>NOT(ISERROR(SEARCH("Sell",E173)))</formula>
    </cfRule>
  </conditionalFormatting>
  <conditionalFormatting sqref="E40">
    <cfRule type="containsText" dxfId="8178" priority="483" operator="containsText" text="Buy">
      <formula>NOT(ISERROR(SEARCH("Buy",E40)))</formula>
    </cfRule>
    <cfRule type="containsText" dxfId="8177" priority="484" operator="containsText" text="Sell">
      <formula>NOT(ISERROR(SEARCH("Sell",E40)))</formula>
    </cfRule>
  </conditionalFormatting>
  <conditionalFormatting sqref="AB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{B8D8F671-52AE-4618-B5EC-BAD0B568042F}</x14:id>
        </ext>
      </extLst>
    </cfRule>
  </conditionalFormatting>
  <conditionalFormatting sqref="V13:Z13">
    <cfRule type="dataBar" priority="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{60CDB4CA-8917-4299-81FA-A89352A41FC3}</x14:id>
        </ext>
      </extLst>
    </cfRule>
  </conditionalFormatting>
  <conditionalFormatting sqref="V13:Z13">
    <cfRule type="dataBar" priority="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{67243760-F08F-4015-9465-FB3DA9CB57DF}</x14:id>
        </ext>
      </extLst>
    </cfRule>
  </conditionalFormatting>
  <conditionalFormatting sqref="AA13">
    <cfRule type="dataBar" priority="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{83D25BDB-9811-4330-BB0B-CA5AC583B9C8}</x14:id>
        </ext>
      </extLst>
    </cfRule>
  </conditionalFormatting>
  <conditionalFormatting sqref="V13">
    <cfRule type="dataBar" priority="8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{D68FF733-637B-4B79-BF52-D07272BBA89E}</x14:id>
        </ext>
      </extLst>
    </cfRule>
  </conditionalFormatting>
  <conditionalFormatting sqref="W13">
    <cfRule type="dataBar" priority="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{7B84915E-E38E-4870-B7C3-67BB592C7431}</x14:id>
        </ext>
      </extLst>
    </cfRule>
  </conditionalFormatting>
  <conditionalFormatting sqref="X13">
    <cfRule type="dataBar" priority="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{F90CE8E9-F1F7-4B69-9DBB-06688F886203}</x14:id>
        </ext>
      </extLst>
    </cfRule>
  </conditionalFormatting>
  <conditionalFormatting sqref="Y13">
    <cfRule type="dataBar" priority="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{BA40E1F5-5BBA-4F08-BC04-F2C71A568927}</x14:id>
        </ext>
      </extLst>
    </cfRule>
  </conditionalFormatting>
  <conditionalFormatting sqref="Z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{AB5F77FB-362E-4CBA-B85B-2FCD4D862D56}</x14:id>
        </ext>
      </extLst>
    </cfRule>
  </conditionalFormatting>
  <conditionalFormatting sqref="V13:AA13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{954AD067-6DBE-4C16-BAB9-F825FF8E807C}</x14:id>
        </ext>
      </extLst>
    </cfRule>
  </conditionalFormatting>
  <conditionalFormatting sqref="E32">
    <cfRule type="containsText" dxfId="8176" priority="457" operator="containsText" text="Buy">
      <formula>NOT(ISERROR(SEARCH("Buy",E32)))</formula>
    </cfRule>
    <cfRule type="containsText" dxfId="8175" priority="458" operator="containsText" text="Sell">
      <formula>NOT(ISERROR(SEARCH("Sell",E32)))</formula>
    </cfRule>
  </conditionalFormatting>
  <conditionalFormatting sqref="E31">
    <cfRule type="containsText" dxfId="8174" priority="455" operator="containsText" text="Buy">
      <formula>NOT(ISERROR(SEARCH("Buy",E31)))</formula>
    </cfRule>
    <cfRule type="containsText" dxfId="8173" priority="456" operator="containsText" text="Sell">
      <formula>NOT(ISERROR(SEARCH("Sell",E31)))</formula>
    </cfRule>
  </conditionalFormatting>
  <conditionalFormatting sqref="L13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{E03BF28F-06A0-4C93-A722-8DE442730F82}</x14:id>
        </ext>
      </extLst>
    </cfRule>
  </conditionalFormatting>
  <conditionalFormatting sqref="M13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{83ED7440-338F-47E3-A7FD-9D42D4938248}</x14:id>
        </ext>
      </extLst>
    </cfRule>
  </conditionalFormatting>
  <conditionalFormatting sqref="L13:M13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{55818C9B-4F34-4F55-B65E-47ADEA5B2F82}</x14:id>
        </ext>
      </extLst>
    </cfRule>
  </conditionalFormatting>
  <conditionalFormatting sqref="L13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{1DF17EA7-6A66-4CC1-AC86-2FEFB940FE6A}</x14:id>
        </ext>
      </extLst>
    </cfRule>
  </conditionalFormatting>
  <conditionalFormatting sqref="M13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{723FC949-F9A0-462B-9865-DE583F9ACB0F}</x14:id>
        </ext>
      </extLst>
    </cfRule>
  </conditionalFormatting>
  <conditionalFormatting sqref="L13:M13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{63588566-0D98-485D-BDEC-CB8F0D05DC2C}</x14:id>
        </ext>
      </extLst>
    </cfRule>
  </conditionalFormatting>
  <conditionalFormatting sqref="AB8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{27090513-6A74-4243-99AC-3B13E2713517}</x14:id>
        </ext>
      </extLst>
    </cfRule>
  </conditionalFormatting>
  <conditionalFormatting sqref="V8:Z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{5FD1DADF-009C-4933-8985-CADE5CC9CEA8}</x14:id>
        </ext>
      </extLst>
    </cfRule>
  </conditionalFormatting>
  <conditionalFormatting sqref="V8:Z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{A4A3F0EE-6AAC-4D86-B530-6CA523BF919B}</x14:id>
        </ext>
      </extLst>
    </cfRule>
  </conditionalFormatting>
  <conditionalFormatting sqref="AA8">
    <cfRule type="dataBar" priority="3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{51AE0CC5-61CF-4178-89EC-EAC44207041C}</x14:id>
        </ext>
      </extLst>
    </cfRule>
  </conditionalFormatting>
  <conditionalFormatting sqref="V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{401E10E8-6922-42D5-B8B9-C216F7319B00}</x14:id>
        </ext>
      </extLst>
    </cfRule>
  </conditionalFormatting>
  <conditionalFormatting sqref="W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{1BA3002A-FC2E-49C8-9DD5-4FB9DF513853}</x14:id>
        </ext>
      </extLst>
    </cfRule>
  </conditionalFormatting>
  <conditionalFormatting sqref="X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{C51AA1F3-297E-4D20-8541-79D0D3344C4E}</x14:id>
        </ext>
      </extLst>
    </cfRule>
  </conditionalFormatting>
  <conditionalFormatting sqref="Y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{34CEA973-9B0F-41AE-B22E-BE47F2653D04}</x14:id>
        </ext>
      </extLst>
    </cfRule>
  </conditionalFormatting>
  <conditionalFormatting sqref="Z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{301DD9B3-93D4-421C-8741-9326C579F4B1}</x14:id>
        </ext>
      </extLst>
    </cfRule>
  </conditionalFormatting>
  <conditionalFormatting sqref="V8:AA8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{BC92C19C-4C04-4B66-9AE0-D3CC433F85C0}</x14:id>
        </ext>
      </extLst>
    </cfRule>
  </conditionalFormatting>
  <conditionalFormatting sqref="L8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{B8A61E0E-3DFD-4B8A-AA57-FAE5990407D6}</x14:id>
        </ext>
      </extLst>
    </cfRule>
  </conditionalFormatting>
  <conditionalFormatting sqref="M8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{918DFF8E-BE1F-4A13-A05A-EB37EDC3D5FA}</x14:id>
        </ext>
      </extLst>
    </cfRule>
  </conditionalFormatting>
  <conditionalFormatting sqref="L8:M8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{9EC893E2-5C4B-4ECF-B4F5-EB437397F343}</x14:id>
        </ext>
      </extLst>
    </cfRule>
  </conditionalFormatting>
  <conditionalFormatting sqref="L8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{626D503D-22CD-470A-8455-FD936F1EFBF2}</x14:id>
        </ext>
      </extLst>
    </cfRule>
  </conditionalFormatting>
  <conditionalFormatting sqref="M8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{54585D71-826A-4690-9AB3-6B8FB2A8D610}</x14:id>
        </ext>
      </extLst>
    </cfRule>
  </conditionalFormatting>
  <conditionalFormatting sqref="L8:M8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{A54ED623-34C5-4B57-A628-6F59F8186821}</x14:id>
        </ext>
      </extLst>
    </cfRule>
  </conditionalFormatting>
  <conditionalFormatting sqref="E38">
    <cfRule type="containsText" dxfId="8172" priority="364" operator="containsText" text="Buy">
      <formula>NOT(ISERROR(SEARCH("Buy",E38)))</formula>
    </cfRule>
    <cfRule type="containsText" dxfId="8171" priority="365" operator="containsText" text="Sell">
      <formula>NOT(ISERROR(SEARCH("Sell",E38)))</formula>
    </cfRule>
  </conditionalFormatting>
  <conditionalFormatting sqref="E37">
    <cfRule type="containsText" dxfId="8170" priority="362" operator="containsText" text="Buy">
      <formula>NOT(ISERROR(SEARCH("Buy",E37)))</formula>
    </cfRule>
    <cfRule type="containsText" dxfId="8169" priority="363" operator="containsText" text="Sell">
      <formula>NOT(ISERROR(SEARCH("Sell",E37)))</formula>
    </cfRule>
  </conditionalFormatting>
  <conditionalFormatting sqref="E29">
    <cfRule type="containsText" dxfId="8168" priority="308" operator="containsText" text="Buy">
      <formula>NOT(ISERROR(SEARCH("Buy",E29)))</formula>
    </cfRule>
    <cfRule type="containsText" dxfId="8167" priority="309" operator="containsText" text="Sell">
      <formula>NOT(ISERROR(SEARCH("Sell",E29)))</formula>
    </cfRule>
  </conditionalFormatting>
  <conditionalFormatting sqref="E28">
    <cfRule type="containsText" dxfId="8166" priority="306" operator="containsText" text="Buy">
      <formula>NOT(ISERROR(SEARCH("Buy",E28)))</formula>
    </cfRule>
    <cfRule type="containsText" dxfId="8165" priority="307" operator="containsText" text="Sell">
      <formula>NOT(ISERROR(SEARCH("Sell",E28)))</formula>
    </cfRule>
  </conditionalFormatting>
  <conditionalFormatting sqref="E35">
    <cfRule type="containsText" dxfId="8164" priority="287" operator="containsText" text="Buy">
      <formula>NOT(ISERROR(SEARCH("Buy",E35)))</formula>
    </cfRule>
    <cfRule type="containsText" dxfId="8163" priority="288" operator="containsText" text="Sell">
      <formula>NOT(ISERROR(SEARCH("Sell",E35)))</formula>
    </cfRule>
  </conditionalFormatting>
  <conditionalFormatting sqref="E34">
    <cfRule type="containsText" dxfId="8162" priority="285" operator="containsText" text="Buy">
      <formula>NOT(ISERROR(SEARCH("Buy",E34)))</formula>
    </cfRule>
    <cfRule type="containsText" dxfId="8161" priority="286" operator="containsText" text="Sell">
      <formula>NOT(ISERROR(SEARCH("Sell",E34)))</formula>
    </cfRule>
  </conditionalFormatting>
  <conditionalFormatting sqref="AB7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{B887072A-5DCF-4AD1-A734-BA3AA9E22BDA}</x14:id>
        </ext>
      </extLst>
    </cfRule>
  </conditionalFormatting>
  <conditionalFormatting sqref="V7:Z7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{7298407D-21FE-4AD2-9779-66CE054830A0}</x14:id>
        </ext>
      </extLst>
    </cfRule>
  </conditionalFormatting>
  <conditionalFormatting sqref="V7:Z7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{B9355754-4E70-4DDE-862F-95CF52E8C817}</x14:id>
        </ext>
      </extLst>
    </cfRule>
  </conditionalFormatting>
  <conditionalFormatting sqref="AA7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{2757EB3B-2008-47D4-AA90-F52033499049}</x14:id>
        </ext>
      </extLst>
    </cfRule>
  </conditionalFormatting>
  <conditionalFormatting sqref="V7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{AC3A369C-5CBF-4DF5-9A39-3536513F31E1}</x14:id>
        </ext>
      </extLst>
    </cfRule>
  </conditionalFormatting>
  <conditionalFormatting sqref="W7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{6AB1339E-F676-4A0B-9C77-B562C27FAF0C}</x14:id>
        </ext>
      </extLst>
    </cfRule>
  </conditionalFormatting>
  <conditionalFormatting sqref="X7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{6DC40F2B-B0E5-4418-A418-7B23F4730F12}</x14:id>
        </ext>
      </extLst>
    </cfRule>
  </conditionalFormatting>
  <conditionalFormatting sqref="Y7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{1C371BCC-CD18-4F09-A63D-3950603DBD46}</x14:id>
        </ext>
      </extLst>
    </cfRule>
  </conditionalFormatting>
  <conditionalFormatting sqref="Z7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{1DDC9129-AF76-4C0A-ADCF-A0A8BC7C7C06}</x14:id>
        </ext>
      </extLst>
    </cfRule>
  </conditionalFormatting>
  <conditionalFormatting sqref="V7:AA7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{86C5119F-75C8-4297-9378-215C89C20B13}</x14:id>
        </ext>
      </extLst>
    </cfRule>
  </conditionalFormatting>
  <conditionalFormatting sqref="L7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{A01C1F59-1DF3-4CFE-8957-76AC7CEF0F2C}</x14:id>
        </ext>
      </extLst>
    </cfRule>
  </conditionalFormatting>
  <conditionalFormatting sqref="M7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{5DCDCAF2-3CC1-4797-9380-872CD9264104}</x14:id>
        </ext>
      </extLst>
    </cfRule>
  </conditionalFormatting>
  <conditionalFormatting sqref="L7:M7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{755EE717-82DC-42D1-A328-61340DD73D70}</x14:id>
        </ext>
      </extLst>
    </cfRule>
  </conditionalFormatting>
  <conditionalFormatting sqref="L7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{62996155-0293-4AB1-A4E4-26EA210309CB}</x14:id>
        </ext>
      </extLst>
    </cfRule>
  </conditionalFormatting>
  <conditionalFormatting sqref="M7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{85EA5EAE-9240-4C0C-B03D-27EB6542439A}</x14:id>
        </ext>
      </extLst>
    </cfRule>
  </conditionalFormatting>
  <conditionalFormatting sqref="L7:M7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{E1DE83CD-F414-4306-9610-B939386B6913}</x14:id>
        </ext>
      </extLst>
    </cfRule>
  </conditionalFormatting>
  <conditionalFormatting sqref="AB11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{200A01AE-4E76-4EDB-9A1B-44592B6698E5}</x14:id>
        </ext>
      </extLst>
    </cfRule>
  </conditionalFormatting>
  <conditionalFormatting sqref="V11:Z11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{E70935A8-0237-4DB8-9555-5E3834B94773}</x14:id>
        </ext>
      </extLst>
    </cfRule>
  </conditionalFormatting>
  <conditionalFormatting sqref="V11:Z11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{2AA6737F-C1C5-45C9-8F76-1412DB0D0FDA}</x14:id>
        </ext>
      </extLst>
    </cfRule>
  </conditionalFormatting>
  <conditionalFormatting sqref="AA11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{B0F34D1A-50AF-4482-ABDF-7464EC4312E6}</x14:id>
        </ext>
      </extLst>
    </cfRule>
  </conditionalFormatting>
  <conditionalFormatting sqref="V1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{6A22E93E-2360-410B-8D3F-E8F4B44E9FBD}</x14:id>
        </ext>
      </extLst>
    </cfRule>
  </conditionalFormatting>
  <conditionalFormatting sqref="W1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{27E901D1-5DA2-40F7-8248-CF02B0BFD82E}</x14:id>
        </ext>
      </extLst>
    </cfRule>
  </conditionalFormatting>
  <conditionalFormatting sqref="X11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{E907E858-9271-4C1A-BEF1-43DD6C69D674}</x14:id>
        </ext>
      </extLst>
    </cfRule>
  </conditionalFormatting>
  <conditionalFormatting sqref="Y11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{9C14750A-AFF1-4095-9DEB-764EA5A37B1F}</x14:id>
        </ext>
      </extLst>
    </cfRule>
  </conditionalFormatting>
  <conditionalFormatting sqref="Z11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{E0CCB610-5D3C-4F2C-95FD-1164B4CAA3DE}</x14:id>
        </ext>
      </extLst>
    </cfRule>
  </conditionalFormatting>
  <conditionalFormatting sqref="V11:AA11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{6CEAD635-2F56-455B-96A0-46E590BCB3E7}</x14:id>
        </ext>
      </extLst>
    </cfRule>
  </conditionalFormatting>
  <conditionalFormatting sqref="L11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{0453C776-EDEB-4993-8297-60FE4C8DE9A2}</x14:id>
        </ext>
      </extLst>
    </cfRule>
  </conditionalFormatting>
  <conditionalFormatting sqref="M11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{3DBB4694-FED2-4BE1-A37C-C4802B8158F9}</x14:id>
        </ext>
      </extLst>
    </cfRule>
  </conditionalFormatting>
  <conditionalFormatting sqref="L11:M11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{9B7C8AEA-C9DB-4B7B-A462-F2235023FD02}</x14:id>
        </ext>
      </extLst>
    </cfRule>
  </conditionalFormatting>
  <conditionalFormatting sqref="L11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{985091CE-1ED5-45C5-883B-0BCFE66ED343}</x14:id>
        </ext>
      </extLst>
    </cfRule>
  </conditionalFormatting>
  <conditionalFormatting sqref="M11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{D0A7F0CB-5517-420C-A910-F0685E89E0CD}</x14:id>
        </ext>
      </extLst>
    </cfRule>
  </conditionalFormatting>
  <conditionalFormatting sqref="L11:M11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{E6254A4C-4B1C-428D-9068-E56D944DC52E}</x14:id>
        </ext>
      </extLst>
    </cfRule>
  </conditionalFormatting>
  <conditionalFormatting sqref="AB12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{A0A99EDC-4352-4950-B223-8FFBE49F532D}</x14:id>
        </ext>
      </extLst>
    </cfRule>
  </conditionalFormatting>
  <conditionalFormatting sqref="V12:Z12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{755B26E7-B22C-42AF-ADB6-7C6A3AA4E97C}</x14:id>
        </ext>
      </extLst>
    </cfRule>
  </conditionalFormatting>
  <conditionalFormatting sqref="V12:Z12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{BBD2C027-3195-4472-B26F-2D3E67686FC8}</x14:id>
        </ext>
      </extLst>
    </cfRule>
  </conditionalFormatting>
  <conditionalFormatting sqref="AA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{DC1BA045-1EFB-4F86-8E8D-48809BEF262F}</x14:id>
        </ext>
      </extLst>
    </cfRule>
  </conditionalFormatting>
  <conditionalFormatting sqref="V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{81BEC276-1A96-4EC7-9F77-E39EE814EBD1}</x14:id>
        </ext>
      </extLst>
    </cfRule>
  </conditionalFormatting>
  <conditionalFormatting sqref="W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{6873F67D-C29C-4929-B5D7-0A35F678EF80}</x14:id>
        </ext>
      </extLst>
    </cfRule>
  </conditionalFormatting>
  <conditionalFormatting sqref="X12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{825466AC-A398-4B18-B47A-8053B48F8FC0}</x14:id>
        </ext>
      </extLst>
    </cfRule>
  </conditionalFormatting>
  <conditionalFormatting sqref="Y12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{BDABDB47-F617-4933-B621-B3F18B71443B}</x14:id>
        </ext>
      </extLst>
    </cfRule>
  </conditionalFormatting>
  <conditionalFormatting sqref="Z12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{182AE999-B074-4564-B00A-23D184A95096}</x14:id>
        </ext>
      </extLst>
    </cfRule>
  </conditionalFormatting>
  <conditionalFormatting sqref="V12:AA12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{AFE1B083-71D9-40DC-9452-13B074A804B6}</x14:id>
        </ext>
      </extLst>
    </cfRule>
  </conditionalFormatting>
  <conditionalFormatting sqref="L12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{024E2B85-E84A-4DB3-BB31-B5B0648AD7E7}</x14:id>
        </ext>
      </extLst>
    </cfRule>
  </conditionalFormatting>
  <conditionalFormatting sqref="M12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{2EE84F93-98EA-43D7-844B-C7E38315FAAD}</x14:id>
        </ext>
      </extLst>
    </cfRule>
  </conditionalFormatting>
  <conditionalFormatting sqref="L12:M12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{40EECD07-F69E-4F83-820E-B23CC3A5D8D2}</x14:id>
        </ext>
      </extLst>
    </cfRule>
  </conditionalFormatting>
  <conditionalFormatting sqref="L12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{1086DD8C-87DD-4AF1-A9F6-55DB834F3B4E}</x14:id>
        </ext>
      </extLst>
    </cfRule>
  </conditionalFormatting>
  <conditionalFormatting sqref="M12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{941E851B-2F72-4A8C-A932-076B70F4A5CC}</x14:id>
        </ext>
      </extLst>
    </cfRule>
  </conditionalFormatting>
  <conditionalFormatting sqref="L12:M12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{A3E5DB62-1A7B-4E10-837D-560CDBF5BE29}</x14:id>
        </ext>
      </extLst>
    </cfRule>
  </conditionalFormatting>
  <conditionalFormatting sqref="AB9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{3841D154-F53C-4DCA-B3FC-742949A471F8}</x14:id>
        </ext>
      </extLst>
    </cfRule>
  </conditionalFormatting>
  <conditionalFormatting sqref="V9:Z9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{72C130C1-619A-416F-B135-4C7C2485FA08}</x14:id>
        </ext>
      </extLst>
    </cfRule>
  </conditionalFormatting>
  <conditionalFormatting sqref="V9:Z9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{2C7F907D-79CF-4A2F-85EE-46D19C468CA6}</x14:id>
        </ext>
      </extLst>
    </cfRule>
  </conditionalFormatting>
  <conditionalFormatting sqref="AA9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{24B8F68B-B8C5-4B6F-A1CE-8A3AE1285DFA}</x14:id>
        </ext>
      </extLst>
    </cfRule>
  </conditionalFormatting>
  <conditionalFormatting sqref="V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{04EE932D-BA0B-4021-BC14-A8CF59A0AE58}</x14:id>
        </ext>
      </extLst>
    </cfRule>
  </conditionalFormatting>
  <conditionalFormatting sqref="W9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{1F3959A9-9B9C-4159-A697-0FB4B03119D7}</x14:id>
        </ext>
      </extLst>
    </cfRule>
  </conditionalFormatting>
  <conditionalFormatting sqref="X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{27F1BDDA-E3F4-4729-A3A8-1CA2D1B23D8E}</x14:id>
        </ext>
      </extLst>
    </cfRule>
  </conditionalFormatting>
  <conditionalFormatting sqref="Y9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{8852A26D-8D03-4056-9B6F-11EC02ABF450}</x14:id>
        </ext>
      </extLst>
    </cfRule>
  </conditionalFormatting>
  <conditionalFormatting sqref="Z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{BB517EE9-E884-46BD-BC36-E58F78E292C2}</x14:id>
        </ext>
      </extLst>
    </cfRule>
  </conditionalFormatting>
  <conditionalFormatting sqref="V9:AA9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{0EFE3B09-0001-427E-B6BC-23E0CF104762}</x14:id>
        </ext>
      </extLst>
    </cfRule>
  </conditionalFormatting>
  <conditionalFormatting sqref="L9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{34EB79D0-314A-4E2D-A925-E2783C24B27B}</x14:id>
        </ext>
      </extLst>
    </cfRule>
  </conditionalFormatting>
  <conditionalFormatting sqref="M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{B784D1EF-8016-42E9-A9E9-9836A24FDAEB}</x14:id>
        </ext>
      </extLst>
    </cfRule>
  </conditionalFormatting>
  <conditionalFormatting sqref="L9:M9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{310C16EB-1DEF-475C-86A2-D22E3642B564}</x14:id>
        </ext>
      </extLst>
    </cfRule>
  </conditionalFormatting>
  <conditionalFormatting sqref="L9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{2D9EE5A3-B61C-4CAE-8FDC-BBA9EEE78706}</x14:id>
        </ext>
      </extLst>
    </cfRule>
  </conditionalFormatting>
  <conditionalFormatting sqref="M9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{787EFE75-FCB1-47D0-9ABF-1E94B7FF66D6}</x14:id>
        </ext>
      </extLst>
    </cfRule>
  </conditionalFormatting>
  <conditionalFormatting sqref="L9:M9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{81A99682-1525-46CC-BB97-B708DE100467}</x14:id>
        </ext>
      </extLst>
    </cfRule>
  </conditionalFormatting>
  <conditionalFormatting sqref="E42">
    <cfRule type="containsText" dxfId="8160" priority="175" operator="containsText" text="Buy">
      <formula>NOT(ISERROR(SEARCH("Buy",E42)))</formula>
    </cfRule>
    <cfRule type="containsText" dxfId="8159" priority="176" operator="containsText" text="Sell">
      <formula>NOT(ISERROR(SEARCH("Sell",E42)))</formula>
    </cfRule>
  </conditionalFormatting>
  <conditionalFormatting sqref="E41">
    <cfRule type="containsText" dxfId="8158" priority="173" operator="containsText" text="Buy">
      <formula>NOT(ISERROR(SEARCH("Buy",E41)))</formula>
    </cfRule>
    <cfRule type="containsText" dxfId="8157" priority="174" operator="containsText" text="Sell">
      <formula>NOT(ISERROR(SEARCH("Sell",E41)))</formula>
    </cfRule>
  </conditionalFormatting>
  <conditionalFormatting sqref="E45">
    <cfRule type="containsText" dxfId="8156" priority="171" operator="containsText" text="Buy">
      <formula>NOT(ISERROR(SEARCH("Buy",E45)))</formula>
    </cfRule>
    <cfRule type="containsText" dxfId="8155" priority="172" operator="containsText" text="Sell">
      <formula>NOT(ISERROR(SEARCH("Sell",E45)))</formula>
    </cfRule>
  </conditionalFormatting>
  <conditionalFormatting sqref="E44">
    <cfRule type="containsText" dxfId="8154" priority="169" operator="containsText" text="Buy">
      <formula>NOT(ISERROR(SEARCH("Buy",E44)))</formula>
    </cfRule>
    <cfRule type="containsText" dxfId="8153" priority="170" operator="containsText" text="Sell">
      <formula>NOT(ISERROR(SEARCH("Sell",E44)))</formula>
    </cfRule>
  </conditionalFormatting>
  <conditionalFormatting sqref="H2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{B99D4827-53B3-4A16-A3EC-59D9A9599B88}</x14:id>
        </ext>
      </extLst>
    </cfRule>
    <cfRule type="cellIs" dxfId="8152" priority="168" operator="equal">
      <formula>1</formula>
    </cfRule>
  </conditionalFormatting>
  <conditionalFormatting sqref="D21">
    <cfRule type="containsText" dxfId="8151" priority="166" operator="containsText" text="Buy">
      <formula>NOT(ISERROR(SEARCH("Buy",D21)))</formula>
    </cfRule>
    <cfRule type="containsText" dxfId="8150" priority="167" operator="containsText" text="Sell">
      <formula>NOT(ISERROR(SEARCH("Sell",D21)))</formula>
    </cfRule>
  </conditionalFormatting>
  <conditionalFormatting sqref="E50">
    <cfRule type="containsText" dxfId="8149" priority="146" operator="containsText" text="Buy">
      <formula>NOT(ISERROR(SEARCH("Buy",E50)))</formula>
    </cfRule>
    <cfRule type="containsText" dxfId="8148" priority="147" operator="containsText" text="Sell">
      <formula>NOT(ISERROR(SEARCH("Sell",E50)))</formula>
    </cfRule>
  </conditionalFormatting>
  <conditionalFormatting sqref="E49">
    <cfRule type="containsText" dxfId="8147" priority="144" operator="containsText" text="Buy">
      <formula>NOT(ISERROR(SEARCH("Buy",E49)))</formula>
    </cfRule>
    <cfRule type="containsText" dxfId="8146" priority="145" operator="containsText" text="Sell">
      <formula>NOT(ISERROR(SEARCH("Sell",E49)))</formula>
    </cfRule>
  </conditionalFormatting>
  <conditionalFormatting sqref="V6:Z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{5FA26CD4-A3C4-49EB-8805-7151A55BEEB2}</x14:id>
        </ext>
      </extLst>
    </cfRule>
  </conditionalFormatting>
  <conditionalFormatting sqref="V6:Z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{1B105CD4-A100-4AEC-B36E-2C60A3AC576C}</x14:id>
        </ext>
      </extLst>
    </cfRule>
  </conditionalFormatting>
  <conditionalFormatting sqref="AA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{E510D847-C475-45D8-9A38-471FC07CC926}</x14:id>
        </ext>
      </extLst>
    </cfRule>
  </conditionalFormatting>
  <conditionalFormatting sqref="L6:M6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{4AC487B4-64A0-45AC-87FF-030BA5E9D490}</x14:id>
        </ext>
      </extLst>
    </cfRule>
  </conditionalFormatting>
  <conditionalFormatting sqref="L6:M6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{B882343D-47B3-425F-A0C0-CE39EB33C1DC}</x14:id>
        </ext>
      </extLst>
    </cfRule>
  </conditionalFormatting>
  <conditionalFormatting sqref="L6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{C03CDA2B-DEAD-411B-87BE-4FBDCC505680}</x14:id>
        </ext>
      </extLst>
    </cfRule>
  </conditionalFormatting>
  <conditionalFormatting sqref="M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{60368027-989A-43D0-BD32-24641A062DE6}</x14:id>
        </ext>
      </extLst>
    </cfRule>
  </conditionalFormatting>
  <conditionalFormatting sqref="V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{240DD221-1F7B-4EE5-A4F2-B69C615EE68F}</x14:id>
        </ext>
      </extLst>
    </cfRule>
  </conditionalFormatting>
  <conditionalFormatting sqref="W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{A1DB8048-910D-49C8-BE3C-0A3D4216D447}</x14:id>
        </ext>
      </extLst>
    </cfRule>
  </conditionalFormatting>
  <conditionalFormatting sqref="X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{68747139-44CA-48FA-9CAE-87F6E940C0A2}</x14:id>
        </ext>
      </extLst>
    </cfRule>
  </conditionalFormatting>
  <conditionalFormatting sqref="Y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{BC2B5B27-22EB-41AE-9116-186D860F1F9D}</x14:id>
        </ext>
      </extLst>
    </cfRule>
  </conditionalFormatting>
  <conditionalFormatting sqref="Z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{0E6EF462-C866-42A0-8F13-C31E6FE5FA6F}</x14:id>
        </ext>
      </extLst>
    </cfRule>
  </conditionalFormatting>
  <conditionalFormatting sqref="AA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{C207171A-0572-4F17-983B-801FE666297F}</x14:id>
        </ext>
      </extLst>
    </cfRule>
  </conditionalFormatting>
  <conditionalFormatting sqref="AA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{CB4D0317-1CC4-48F3-9098-15C0CD223686}</x14:id>
        </ext>
      </extLst>
    </cfRule>
  </conditionalFormatting>
  <conditionalFormatting sqref="L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{41A0CB2B-4111-4AAD-893B-E7401917518C}</x14:id>
        </ext>
      </extLst>
    </cfRule>
  </conditionalFormatting>
  <conditionalFormatting sqref="M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{06E4D90F-118C-4673-A512-77ACCCF40BEA}</x14:id>
        </ext>
      </extLst>
    </cfRule>
  </conditionalFormatting>
  <conditionalFormatting sqref="L6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{3B89AC9F-0A22-4F94-A164-8765C514A86C}</x14:id>
        </ext>
      </extLst>
    </cfRule>
  </conditionalFormatting>
  <conditionalFormatting sqref="M6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{E627DC34-613C-43A8-BAC5-EB529DF411B2}</x14:id>
        </ext>
      </extLst>
    </cfRule>
  </conditionalFormatting>
  <conditionalFormatting sqref="V6:AA6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{1FB17C26-86B4-47DE-B100-6A5EB73220A2}</x14:id>
        </ext>
      </extLst>
    </cfRule>
  </conditionalFormatting>
  <conditionalFormatting sqref="V6:Z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{54CB2D75-5DB5-47B2-8328-4CF91564F161}</x14:id>
        </ext>
      </extLst>
    </cfRule>
  </conditionalFormatting>
  <conditionalFormatting sqref="M6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{1EF10363-B8EB-45EF-BD6C-B503C0B93048}</x14:id>
        </ext>
      </extLst>
    </cfRule>
  </conditionalFormatting>
  <conditionalFormatting sqref="L6:M6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{FB380F36-F2C2-47A2-BE0F-55BE8403CDC5}</x14:id>
        </ext>
      </extLst>
    </cfRule>
  </conditionalFormatting>
  <conditionalFormatting sqref="E53">
    <cfRule type="containsText" dxfId="8145" priority="113" operator="containsText" text="Buy">
      <formula>NOT(ISERROR(SEARCH("Buy",E53)))</formula>
    </cfRule>
    <cfRule type="containsText" dxfId="8144" priority="114" operator="containsText" text="Sell">
      <formula>NOT(ISERROR(SEARCH("Sell",E53)))</formula>
    </cfRule>
  </conditionalFormatting>
  <conditionalFormatting sqref="E52">
    <cfRule type="containsText" dxfId="8143" priority="111" operator="containsText" text="Buy">
      <formula>NOT(ISERROR(SEARCH("Buy",E52)))</formula>
    </cfRule>
    <cfRule type="containsText" dxfId="8142" priority="112" operator="containsText" text="Sell">
      <formula>NOT(ISERROR(SEARCH("Sell",E52)))</formula>
    </cfRule>
  </conditionalFormatting>
  <conditionalFormatting sqref="E56">
    <cfRule type="containsText" dxfId="8141" priority="109" operator="containsText" text="Buy">
      <formula>NOT(ISERROR(SEARCH("Buy",E56)))</formula>
    </cfRule>
    <cfRule type="containsText" dxfId="8140" priority="110" operator="containsText" text="Sell">
      <formula>NOT(ISERROR(SEARCH("Sell",E56)))</formula>
    </cfRule>
  </conditionalFormatting>
  <conditionalFormatting sqref="E55">
    <cfRule type="containsText" dxfId="8139" priority="107" operator="containsText" text="Buy">
      <formula>NOT(ISERROR(SEARCH("Buy",E55)))</formula>
    </cfRule>
    <cfRule type="containsText" dxfId="8138" priority="108" operator="containsText" text="Sell">
      <formula>NOT(ISERROR(SEARCH("Sell",E55)))</formula>
    </cfRule>
  </conditionalFormatting>
  <conditionalFormatting sqref="V4:Z4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{981E4919-2E99-4B31-8845-26900AE540A5}</x14:id>
        </ext>
      </extLst>
    </cfRule>
  </conditionalFormatting>
  <conditionalFormatting sqref="V4:Z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{6AAC2530-2684-4CE8-865B-B2B3722D9171}</x14:id>
        </ext>
      </extLst>
    </cfRule>
  </conditionalFormatting>
  <conditionalFormatting sqref="AA4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{4D9355D0-5127-468F-9D10-B14231434A1E}</x14:id>
        </ext>
      </extLst>
    </cfRule>
  </conditionalFormatting>
  <conditionalFormatting sqref="L4:M4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{D0ACED6D-AC98-401B-A234-13B73A20FE3D}</x14:id>
        </ext>
      </extLst>
    </cfRule>
  </conditionalFormatting>
  <conditionalFormatting sqref="L4:M4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{A5322858-1135-4FA0-827D-71426AE7A1C8}</x14:id>
        </ext>
      </extLst>
    </cfRule>
  </conditionalFormatting>
  <conditionalFormatting sqref="L4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{90F01D44-A0CB-4076-B04C-7C7BBA786672}</x14:id>
        </ext>
      </extLst>
    </cfRule>
  </conditionalFormatting>
  <conditionalFormatting sqref="M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{28694C8C-FFC7-4398-A740-910FF9A0145D}</x14:id>
        </ext>
      </extLst>
    </cfRule>
  </conditionalFormatting>
  <conditionalFormatting sqref="V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{C1F723E7-9504-4F5D-970B-1252AF37480E}</x14:id>
        </ext>
      </extLst>
    </cfRule>
  </conditionalFormatting>
  <conditionalFormatting sqref="W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{C0619C05-9CEE-47A5-B8F3-73550EB565FC}</x14:id>
        </ext>
      </extLst>
    </cfRule>
  </conditionalFormatting>
  <conditionalFormatting sqref="X4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{6FAF1DAF-F726-4384-AE74-C5E89039F417}</x14:id>
        </ext>
      </extLst>
    </cfRule>
  </conditionalFormatting>
  <conditionalFormatting sqref="Y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{2D64CF5F-6BCF-46BE-8AAA-B8BB0C668442}</x14:id>
        </ext>
      </extLst>
    </cfRule>
  </conditionalFormatting>
  <conditionalFormatting sqref="Z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{B386309A-6BAC-4F99-9990-912957C0A5F6}</x14:id>
        </ext>
      </extLst>
    </cfRule>
  </conditionalFormatting>
  <conditionalFormatting sqref="AA4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{58E26AAF-C88E-480F-98E6-9D87B6485BDA}</x14:id>
        </ext>
      </extLst>
    </cfRule>
  </conditionalFormatting>
  <conditionalFormatting sqref="AA4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{91A742CC-D337-47D6-96D0-70DCA87960CF}</x14:id>
        </ext>
      </extLst>
    </cfRule>
  </conditionalFormatting>
  <conditionalFormatting sqref="L4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{C00E9E45-632E-4162-97DC-649025FC89CB}</x14:id>
        </ext>
      </extLst>
    </cfRule>
  </conditionalFormatting>
  <conditionalFormatting sqref="M4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{1CFB90F4-45C7-4FCA-A20F-5D771FA9F982}</x14:id>
        </ext>
      </extLst>
    </cfRule>
  </conditionalFormatting>
  <conditionalFormatting sqref="L4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{3CAB3C2A-EAEC-48DF-BDA4-475358398A22}</x14:id>
        </ext>
      </extLst>
    </cfRule>
  </conditionalFormatting>
  <conditionalFormatting sqref="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{5BEBF20D-6D07-4DE9-8A62-992ED87351D1}</x14:id>
        </ext>
      </extLst>
    </cfRule>
  </conditionalFormatting>
  <conditionalFormatting sqref="V4:AA4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{039D813D-E49F-42E0-AE86-B8A597F07F75}</x14:id>
        </ext>
      </extLst>
    </cfRule>
  </conditionalFormatting>
  <conditionalFormatting sqref="V4:Z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{2FBAE232-70AD-40E1-8575-6BC4F508847E}</x14:id>
        </ext>
      </extLst>
    </cfRule>
  </conditionalFormatting>
  <conditionalFormatting sqref="M4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{8D3B2C48-4A1A-480C-80C0-4244FD36DB84}</x14:id>
        </ext>
      </extLst>
    </cfRule>
  </conditionalFormatting>
  <conditionalFormatting sqref="L4:M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{5DF83AD0-87B0-47E5-9B59-7E426579EB77}</x14:id>
        </ext>
      </extLst>
    </cfRule>
  </conditionalFormatting>
  <conditionalFormatting sqref="H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{CB448774-9C66-47F1-837C-B68A5A3D32DB}</x14:id>
        </ext>
      </extLst>
    </cfRule>
    <cfRule type="cellIs" dxfId="8137" priority="74" operator="equal">
      <formula>1</formula>
    </cfRule>
  </conditionalFormatting>
  <conditionalFormatting sqref="D22">
    <cfRule type="containsText" dxfId="8136" priority="72" operator="containsText" text="Buy">
      <formula>NOT(ISERROR(SEARCH("Buy",D22)))</formula>
    </cfRule>
    <cfRule type="containsText" dxfId="8135" priority="73" operator="containsText" text="Sell">
      <formula>NOT(ISERROR(SEARCH("Sell",D22)))</formula>
    </cfRule>
  </conditionalFormatting>
  <conditionalFormatting sqref="AB10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{2C880B07-046F-4FDB-8BEE-7B091EF734B7}</x14:id>
        </ext>
      </extLst>
    </cfRule>
  </conditionalFormatting>
  <conditionalFormatting sqref="V10:Z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{5A225E70-8E8D-46E2-A5DD-610179E8CFA8}</x14:id>
        </ext>
      </extLst>
    </cfRule>
  </conditionalFormatting>
  <conditionalFormatting sqref="V10:Z10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{0FF64EA3-BDCD-46F8-B618-E58B2F82BDAD}</x14:id>
        </ext>
      </extLst>
    </cfRule>
  </conditionalFormatting>
  <conditionalFormatting sqref="AA10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{DC582C32-10EA-4DF8-98B0-16B44DB4F780}</x14:id>
        </ext>
      </extLst>
    </cfRule>
  </conditionalFormatting>
  <conditionalFormatting sqref="V10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{735CDB9F-D2F9-4A14-A904-A4057E690739}</x14:id>
        </ext>
      </extLst>
    </cfRule>
  </conditionalFormatting>
  <conditionalFormatting sqref="W10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{488AF1BD-861D-4797-9D6F-1215224262A4}</x14:id>
        </ext>
      </extLst>
    </cfRule>
  </conditionalFormatting>
  <conditionalFormatting sqref="X10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{8AD8D3CD-B222-4813-8E54-E8F940E12021}</x14:id>
        </ext>
      </extLst>
    </cfRule>
  </conditionalFormatting>
  <conditionalFormatting sqref="Y10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{4CC0B2CC-4A83-48C6-AA3D-FA586DAAB58D}</x14:id>
        </ext>
      </extLst>
    </cfRule>
  </conditionalFormatting>
  <conditionalFormatting sqref="Z10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{F8D71DD7-66E5-4226-822C-B9D388170D10}</x14:id>
        </ext>
      </extLst>
    </cfRule>
  </conditionalFormatting>
  <conditionalFormatting sqref="V10:AA1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{37960740-5FCE-4C3F-8EE3-397F7D949EF5}</x14:id>
        </ext>
      </extLst>
    </cfRule>
  </conditionalFormatting>
  <conditionalFormatting sqref="L1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{B44598DE-E710-4305-8853-ED8349B89ED7}</x14:id>
        </ext>
      </extLst>
    </cfRule>
  </conditionalFormatting>
  <conditionalFormatting sqref="M10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{180A4D54-902F-411D-8676-BE7E831D6171}</x14:id>
        </ext>
      </extLst>
    </cfRule>
  </conditionalFormatting>
  <conditionalFormatting sqref="L10:M10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{C4907E18-A897-4359-84BA-A84A936B7155}</x14:id>
        </ext>
      </extLst>
    </cfRule>
  </conditionalFormatting>
  <conditionalFormatting sqref="L10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{EEA9B19F-ED2F-4425-A928-F005FDEE73BF}</x14:id>
        </ext>
      </extLst>
    </cfRule>
  </conditionalFormatting>
  <conditionalFormatting sqref="M10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{E18F4C9A-85CF-4227-BD2F-638FCBCE3E53}</x14:id>
        </ext>
      </extLst>
    </cfRule>
  </conditionalFormatting>
  <conditionalFormatting sqref="L10:M1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{55B1165D-4503-4F7E-9C0B-EA600681BCAE}</x14:id>
        </ext>
      </extLst>
    </cfRule>
  </conditionalFormatting>
  <conditionalFormatting sqref="T10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{63DA60E7-F69E-4CD3-952D-1DFD279295D0}</x14:id>
        </ext>
      </extLst>
    </cfRule>
  </conditionalFormatting>
  <conditionalFormatting sqref="T10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{C128C621-2B66-43F7-BC17-FEBDC87920B4}</x14:id>
        </ext>
      </extLst>
    </cfRule>
  </conditionalFormatting>
  <conditionalFormatting sqref="T11:T13 T4 T6:T9">
    <cfRule type="dataBar" priority="30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{7F726E0B-B6DB-48E4-A50C-DBA20511EAF3}</x14:id>
        </ext>
      </extLst>
    </cfRule>
  </conditionalFormatting>
  <conditionalFormatting sqref="T11:T15 T4 T6:T9">
    <cfRule type="dataBar" priority="30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{7AA921F3-BFE1-4449-8143-91C6CFF97941}</x14:id>
        </ext>
      </extLst>
    </cfRule>
  </conditionalFormatting>
  <conditionalFormatting sqref="E48">
    <cfRule type="containsText" dxfId="8134" priority="51" operator="containsText" text="Buy">
      <formula>NOT(ISERROR(SEARCH("Buy",E48)))</formula>
    </cfRule>
    <cfRule type="containsText" dxfId="8133" priority="52" operator="containsText" text="Sell">
      <formula>NOT(ISERROR(SEARCH("Sell",E48)))</formula>
    </cfRule>
  </conditionalFormatting>
  <conditionalFormatting sqref="E47">
    <cfRule type="containsText" dxfId="8132" priority="49" operator="containsText" text="Buy">
      <formula>NOT(ISERROR(SEARCH("Buy",E47)))</formula>
    </cfRule>
    <cfRule type="containsText" dxfId="8131" priority="50" operator="containsText" text="Sell">
      <formula>NOT(ISERROR(SEARCH("Sell",E47)))</formula>
    </cfRule>
  </conditionalFormatting>
  <conditionalFormatting sqref="I6 I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{D3B2EC12-6183-430C-9BC4-29DF17263CFB}</x14:id>
        </ext>
      </extLst>
    </cfRule>
  </conditionalFormatting>
  <conditionalFormatting sqref="L4:M4 L6:M13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{2F83DC92-F9BF-48C7-AB26-9D4E3507B038}</x14:id>
        </ext>
      </extLst>
    </cfRule>
  </conditionalFormatting>
  <conditionalFormatting sqref="T6:T15 T4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{14954493-E451-4F04-A016-AF78B8CF711C}</x14:id>
        </ext>
      </extLst>
    </cfRule>
  </conditionalFormatting>
  <conditionalFormatting sqref="E59">
    <cfRule type="containsText" dxfId="8130" priority="44" operator="containsText" text="Buy">
      <formula>NOT(ISERROR(SEARCH("Buy",E59)))</formula>
    </cfRule>
    <cfRule type="containsText" dxfId="8129" priority="45" operator="containsText" text="Sell">
      <formula>NOT(ISERROR(SEARCH("Sell",E59)))</formula>
    </cfRule>
  </conditionalFormatting>
  <conditionalFormatting sqref="E58">
    <cfRule type="containsText" dxfId="8128" priority="42" operator="containsText" text="Buy">
      <formula>NOT(ISERROR(SEARCH("Buy",E58)))</formula>
    </cfRule>
    <cfRule type="containsText" dxfId="8127" priority="43" operator="containsText" text="Sell">
      <formula>NOT(ISERROR(SEARCH("Sell",E58)))</formula>
    </cfRule>
  </conditionalFormatting>
  <conditionalFormatting sqref="V5:Z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{09A38334-7BD1-4F2E-A1BB-C834B9E3FBFD}</x14:id>
        </ext>
      </extLst>
    </cfRule>
  </conditionalFormatting>
  <conditionalFormatting sqref="V5:Z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{8F915FF2-63C0-457B-BD10-63507F4AC2E3}</x14:id>
        </ext>
      </extLst>
    </cfRule>
  </conditionalFormatting>
  <conditionalFormatting sqref="AA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{AA5C2DD6-5800-47D9-9701-41B626AF4500}</x14:id>
        </ext>
      </extLst>
    </cfRule>
  </conditionalFormatting>
  <conditionalFormatting sqref="L5:M5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{58EB126A-AB83-420C-884B-FFBA2183D4E8}</x14:id>
        </ext>
      </extLst>
    </cfRule>
  </conditionalFormatting>
  <conditionalFormatting sqref="L5:M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{E3093A33-93F3-465B-B312-38AED028A962}</x14:id>
        </ext>
      </extLst>
    </cfRule>
  </conditionalFormatting>
  <conditionalFormatting sqref="L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{3B62E4E0-EEA9-40F1-8248-4C64F2DF3FED}</x14:id>
        </ext>
      </extLst>
    </cfRule>
  </conditionalFormatting>
  <conditionalFormatting sqref="M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{6D2A0DB5-6D6B-4458-9B35-6E6C9FC2295E}</x14:id>
        </ext>
      </extLst>
    </cfRule>
  </conditionalFormatting>
  <conditionalFormatting sqref="V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{6A1ECDE6-4199-4ACB-B181-FF8F5B94C048}</x14:id>
        </ext>
      </extLst>
    </cfRule>
  </conditionalFormatting>
  <conditionalFormatting sqref="W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{C3A257C7-EA0D-4CFF-82E9-E4D3160753A0}</x14:id>
        </ext>
      </extLst>
    </cfRule>
  </conditionalFormatting>
  <conditionalFormatting sqref="X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{EC88D622-9C64-44FE-B232-E4AE96ADDA5F}</x14:id>
        </ext>
      </extLst>
    </cfRule>
  </conditionalFormatting>
  <conditionalFormatting sqref="Y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{9ECAF54B-42E8-4ABF-8D34-58FD15E4530D}</x14:id>
        </ext>
      </extLst>
    </cfRule>
  </conditionalFormatting>
  <conditionalFormatting sqref="Z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{4467B9AE-9EF1-4891-9F3D-9C6374674747}</x14:id>
        </ext>
      </extLst>
    </cfRule>
  </conditionalFormatting>
  <conditionalFormatting sqref="AA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{F560E819-5841-4418-BA82-D7FC27E53053}</x14:id>
        </ext>
      </extLst>
    </cfRule>
  </conditionalFormatting>
  <conditionalFormatting sqref="AA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{4AF1643A-D5E3-4CAB-8303-CB506659EB68}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{40808084-2364-47D0-A8E7-744821F242AC}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{0DD8C598-413C-4A53-9A67-FD475691241A}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{3975E153-F3DE-4287-8E92-69145D38D0BD}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{2BBEF569-59E6-4714-AD0C-A2F72E6F7069}</x14:id>
        </ext>
      </extLst>
    </cfRule>
  </conditionalFormatting>
  <conditionalFormatting sqref="V5:AA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{47B42B22-D0C0-4B7B-B211-1A13923A8C7B}</x14:id>
        </ext>
      </extLst>
    </cfRule>
  </conditionalFormatting>
  <conditionalFormatting sqref="V5:Z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{58AF9D18-6660-4F44-9DFE-C3AF14FACAE4}</x14:id>
        </ext>
      </extLst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{405F1735-30B0-4285-9030-163A2CD307DA}</x14:id>
        </ext>
      </extLst>
    </cfRule>
  </conditionalFormatting>
  <conditionalFormatting sqref="L5: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{302F2A43-753C-4E4D-AF6F-BFC426210A07}</x14:id>
        </ext>
      </extLst>
    </cfRule>
  </conditionalFormatting>
  <conditionalFormatting sqref="T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{E1E6CB47-9AC9-4B0E-A453-CD7B0CAE4A63}</x14:id>
        </ext>
      </extLst>
    </cfRule>
  </conditionalFormatting>
  <conditionalFormatting sqref="T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{CE53B22A-F055-4847-9063-5A4DE8BAD722}</x14:id>
        </ext>
      </extLst>
    </cfRule>
  </conditionalFormatting>
  <conditionalFormatting sqref="I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{7AF84A52-37C7-44F9-AC25-0717CC7EF0BC}</x14:id>
        </ext>
      </extLst>
    </cfRule>
  </conditionalFormatting>
  <conditionalFormatting sqref="L5:M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{866857A3-DA2E-4F54-ADB5-D7BBE34E04D8}</x14:id>
        </ext>
      </extLst>
    </cfRule>
  </conditionalFormatting>
  <conditionalFormatting sqref="T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{B650B1A5-275C-4737-9BEF-C0654AFCD775}</x14:id>
        </ext>
      </extLst>
    </cfRule>
  </conditionalFormatting>
  <conditionalFormatting sqref="I4:I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{BB27B41F-4CA9-4300-8881-8CD9C993D969}</x14:id>
        </ext>
      </extLst>
    </cfRule>
  </conditionalFormatting>
  <conditionalFormatting sqref="V4:AA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{04E0D2BB-AC78-432B-AF30-A47B5768FEBB}</x14:id>
        </ext>
      </extLst>
    </cfRule>
  </conditionalFormatting>
  <conditionalFormatting sqref="AB4:AB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{5A297704-0484-4578-B00A-0B09A4556C42}</x14:id>
        </ext>
      </extLst>
    </cfRule>
  </conditionalFormatting>
  <conditionalFormatting sqref="AC4:AC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{12FF5B2F-5922-4B11-985D-07760127836B}</x14:id>
        </ext>
      </extLst>
    </cfRule>
  </conditionalFormatting>
  <conditionalFormatting sqref="AC4:AC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{3F61168F-300D-40A0-90B1-30C736773ED6}</x14:id>
        </ext>
      </extLst>
    </cfRule>
  </conditionalFormatting>
  <conditionalFormatting sqref="AC4:AC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{FC29447B-E0CB-47C2-8803-F326FB556B14}</x14:id>
        </ext>
      </extLst>
    </cfRule>
  </conditionalFormatting>
  <conditionalFormatting sqref="AC4:AC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{6E855521-35C5-4675-88B3-31B6D77E1D58}</x14:id>
        </ext>
      </extLst>
    </cfRule>
  </conditionalFormatting>
  <conditionalFormatting sqref="L4:M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{35987096-F994-491E-BDF4-025847F24EA7}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D8F671-52AE-4618-B5EC-BAD0B5680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</xm:sqref>
        </x14:conditionalFormatting>
        <x14:conditionalFormatting xmlns:xm="http://schemas.microsoft.com/office/excel/2006/main">
          <x14:cfRule type="dataBar" id="{60CDB4CA-8917-4299-81FA-A89352A41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67243760-F08F-4015-9465-FB3DA9CB5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83D25BDB-9811-4330-BB0B-CA5AC583B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D68FF733-637B-4B79-BF52-D07272BBA8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B84915E-E38E-4870-B7C3-67BB592C7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F90CE8E9-F1F7-4B69-9DBB-06688F886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A40E1F5-5BBA-4F08-BC04-F2C71A568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B5F77FB-362E-4CBA-B85B-2FCD4D862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954AD067-6DBE-4C16-BAB9-F825FF8E80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V13:AA13</xm:sqref>
        </x14:conditionalFormatting>
        <x14:conditionalFormatting xmlns:xm="http://schemas.microsoft.com/office/excel/2006/main">
          <x14:cfRule type="dataBar" id="{E03BF28F-06A0-4C93-A722-8DE442730F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3ED7440-338F-47E3-A7FD-9D42D4938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5818C9B-4F34-4F55-B65E-47ADEA5B2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DF17EA7-6A66-4CC1-AC86-2FEFB940F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723FC949-F9A0-462B-9865-DE583F9AC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3588566-0D98-485D-BDEC-CB8F0D05D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7090513-6A74-4243-99AC-3B13E2713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5FD1DADF-009C-4933-8985-CADE5CC9CE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A4A3F0EE-6AAC-4D86-B530-6CA523BF9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V8:Z8</xm:sqref>
        </x14:conditionalFormatting>
        <x14:conditionalFormatting xmlns:xm="http://schemas.microsoft.com/office/excel/2006/main">
          <x14:cfRule type="dataBar" id="{51AE0CC5-61CF-4178-89EC-EAC442070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401E10E8-6922-42D5-B8B9-C216F7319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BA3002A-FC2E-49C8-9DD5-4FB9DF513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C51AA1F3-297E-4D20-8541-79D0D3344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34CEA973-9B0F-41AE-B22E-BE47F2653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01DD9B3-93D4-421C-8741-9326C579F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BC92C19C-4C04-4B66-9AE0-D3CC433F85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V8:AA8</xm:sqref>
        </x14:conditionalFormatting>
        <x14:conditionalFormatting xmlns:xm="http://schemas.microsoft.com/office/excel/2006/main">
          <x14:cfRule type="dataBar" id="{B8A61E0E-3DFD-4B8A-AA57-FAE5990407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18DFF8E-BE1F-4A13-A05A-EB37EDC3D5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9EC893E2-5C4B-4ECF-B4F5-EB437397F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26D503D-22CD-470A-8455-FD936F1EF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4585D71-826A-4690-9AB3-6B8FB2A8D6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54ED623-34C5-4B57-A628-6F59F8186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B887072A-5DCF-4AD1-A734-BA3AA9E22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7298407D-21FE-4AD2-9779-66CE054830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B9355754-4E70-4DDE-862F-95CF52E8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V7:Z7</xm:sqref>
        </x14:conditionalFormatting>
        <x14:conditionalFormatting xmlns:xm="http://schemas.microsoft.com/office/excel/2006/main">
          <x14:cfRule type="dataBar" id="{2757EB3B-2008-47D4-AA90-F52033499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AC3A369C-5CBF-4DF5-9A39-3536513F3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AB1339E-F676-4A0B-9C77-B562C27FA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DC40F2B-B0E5-4418-A418-7B23F4730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C371BCC-CD18-4F09-A63D-3950603DBD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DDC9129-AF76-4C0A-ADCF-A0A8BC7C7C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86C5119F-75C8-4297-9378-215C89C20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V7:AA7</xm:sqref>
        </x14:conditionalFormatting>
        <x14:conditionalFormatting xmlns:xm="http://schemas.microsoft.com/office/excel/2006/main">
          <x14:cfRule type="dataBar" id="{A01C1F59-1DF3-4CFE-8957-76AC7CEF0F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DCDCAF2-3CC1-4797-9380-872CD9264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755EE717-82DC-42D1-A328-61340DD73D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2996155-0293-4AB1-A4E4-26EA21030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5EA5EAE-9240-4C0C-B03D-27EB654243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E1DE83CD-F414-4306-9610-B939386B6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00A01AE-4E76-4EDB-9A1B-44592B669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70935A8-0237-4DB8-9555-5E3834B947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2AA6737F-C1C5-45C9-8F76-1412DB0D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B0F34D1A-50AF-4482-ABDF-7464EC4312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6A22E93E-2360-410B-8D3F-E8F4B44E9F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7E901D1-5DA2-40F7-8248-CF02B0BFD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E907E858-9271-4C1A-BEF1-43DD6C69D6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C14750A-AFF1-4095-9DEB-764EA5A37B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E0CCB610-5D3C-4F2C-95FD-1164B4CAA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CEAD635-2F56-455B-96A0-46E590BCB3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0453C776-EDEB-4993-8297-60FE4C8DE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DBB4694-FED2-4BE1-A37C-C4802B815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B7C8AEA-C9DB-4B7B-A462-F2235023F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5091CE-1ED5-45C5-883B-0BCFE66ED3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0A7F0CB-5517-420C-A910-F0685E89E0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6254A4C-4B1C-428D-9068-E56D944DC5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0A99EDC-4352-4950-B223-8FFBE49F5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755B26E7-B22C-42AF-ADB6-7C6A3AA4E9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BBD2C027-3195-4472-B26F-2D3E67686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DC1BA045-1EFB-4F86-8E8D-48809BEF26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81BEC276-1A96-4EC7-9F77-E39EE814EB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873F67D-C29C-4929-B5D7-0A35F678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25466AC-A398-4B18-B47A-8053B48F8F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BDABDB47-F617-4933-B621-B3F18B7144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82AE999-B074-4564-B00A-23D184A950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AFE1B083-71D9-40DC-9452-13B074A80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024E2B85-E84A-4DB3-BB31-B5B0648AD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EE84F93-98EA-43D7-844B-C7E38315F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40EECD07-F69E-4F83-820E-B23CC3A5D8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086DD8C-87DD-4AF1-A9F6-55DB834F3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1E851B-2F72-4A8C-A932-076B70F4A5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A3E5DB62-1A7B-4E10-837D-560CDBF5B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3841D154-F53C-4DCA-B3FC-742949A47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72C130C1-619A-416F-B135-4C7C2485F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C7F907D-79CF-4A2F-85EE-46D19C468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24B8F68B-B8C5-4B6F-A1CE-8A3AE1285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04EE932D-BA0B-4021-BC14-A8CF59A0A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F3959A9-9B9C-4159-A697-0FB4B03119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27F1BDDA-E3F4-4729-A3A8-1CA2D1B23D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852A26D-8D03-4056-9B6F-11EC02ABF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B517EE9-E884-46BD-BC36-E58F78E292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0EFE3B09-0001-427E-B6BC-23E0CF1047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V9:AA9</xm:sqref>
        </x14:conditionalFormatting>
        <x14:conditionalFormatting xmlns:xm="http://schemas.microsoft.com/office/excel/2006/main">
          <x14:cfRule type="dataBar" id="{34EB79D0-314A-4E2D-A925-E2783C24B2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784D1EF-8016-42E9-A9E9-9836A24FD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10C16EB-1DEF-475C-86A2-D22E3642B5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2D9EE5A3-B61C-4CAE-8FDC-BBA9EEE78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87EFE75-FCB1-47D0-9ABF-1E94B7FF66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81A99682-1525-46CC-BB97-B708DE100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B99D4827-53B3-4A16-A3EC-59D9A9599B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5FA26CD4-A3C4-49EB-8805-7151A55BE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B105CD4-A100-4AEC-B36E-2C60A3AC5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E510D847-C475-45D8-9A38-471FC07CC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AC487B4-64A0-45AC-87FF-030BA5E9D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B882343D-47B3-425F-A0C0-CE39EB33C1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03CDA2B-DEAD-411B-87BE-4FBDCC505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368027-989A-43D0-BD32-24641A062D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0DD221-1F7B-4EE5-A4F2-B69C615EE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A1DB8048-910D-49C8-BE3C-0A3D4216D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68747139-44CA-48FA-9CAE-87F6E940C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BC2B5B27-22EB-41AE-9116-186D860F1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E6EF462-C866-42A0-8F13-C31E6FE5FA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207171A-0572-4F17-983B-801FE66629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CB4D0317-1CC4-48F3-9098-15C0CD2236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1A0CB2B-4111-4AAD-893B-E74019175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6E4D90F-118C-4673-A512-77ACCCF40B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B89AC9F-0A22-4F94-A164-8765C514A8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27DC34-613C-43A8-BAC5-EB529DF41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1FB17C26-86B4-47DE-B100-6A5EB73220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V6:AA6</xm:sqref>
        </x14:conditionalFormatting>
        <x14:conditionalFormatting xmlns:xm="http://schemas.microsoft.com/office/excel/2006/main">
          <x14:cfRule type="dataBar" id="{54CB2D75-5DB5-47B2-8328-4CF91564F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1EF10363-B8EB-45EF-BD6C-B503C0B930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B380F36-F2C2-47A2-BE0F-55BE8403CD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81E4919-2E99-4B31-8845-26900AE540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6AAC2530-2684-4CE8-865B-B2B3722D91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4D9355D0-5127-468F-9D10-B14231434A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D0ACED6D-AC98-401B-A234-13B73A20FE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5322858-1135-4FA0-827D-71426AE7A1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0F01D44-A0CB-4076-B04C-7C7BBA786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694C8C-FFC7-4398-A740-910FF9A01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1F723E7-9504-4F5D-970B-1252AF3748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C0619C05-9CEE-47A5-B8F3-73550EB56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FAF1DAF-F726-4384-AE74-C5E89039F4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D64CF5F-6BCF-46BE-8AAA-B8BB0C668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B386309A-6BAC-4F99-9990-912957C0A5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8E26AAF-C88E-480F-98E6-9D87B6485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1A742CC-D337-47D6-96D0-70DCA8796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00E9E45-632E-4162-97DC-649025FC8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CFB90F4-45C7-4FCA-A20F-5D771FA9F9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CAB3C2A-EAEC-48DF-BDA4-475358398A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BEBF20D-6D07-4DE9-8A62-992ED8735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D813D-E49F-42E0-AE86-B8A597F07F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2FBAE232-70AD-40E1-8575-6BC4F5088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8D3B2C48-4A1A-480C-80C0-4244FD36DB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F83AD0-87B0-47E5-9B59-7E426579E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B448774-9C66-47F1-837C-B68A5A3D32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C880B07-046F-4FDB-8BEE-7B091EF734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5A225E70-8E8D-46E2-A5DD-610179E8CF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0FF64EA3-BDCD-46F8-B618-E58B2F82BD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C582C32-10EA-4DF8-98B0-16B44DB4F7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735CDB9F-D2F9-4A14-A904-A4057E6907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88AF1BD-861D-4797-9D6F-1215224262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8AD8D3CD-B222-4813-8E54-E8F940E12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4CC0B2CC-4A83-48C6-AA3D-FA586DAA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F8D71DD7-66E5-4226-822C-B9D38817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7960740-5FCE-4C3F-8EE3-397F7D949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B44598DE-E710-4305-8853-ED8349B89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80A4D54-902F-411D-8676-BE7E831D6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4907E18-A897-4359-84BA-A84A936B71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EA9B19F-ED2F-4425-A928-F005FDEE73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18F4C9A-85CF-4227-BD2F-638FCBCE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55B1165D-4503-4F7E-9C0B-EA600681B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3DA60E7-F69E-4CD3-952D-1DFD279295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128C621-2B66-43F7-BC17-FEBDC87920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F726E0B-B6DB-48E4-A50C-DBA20511EA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T11:T13 T4 T6:T9</xm:sqref>
        </x14:conditionalFormatting>
        <x14:conditionalFormatting xmlns:xm="http://schemas.microsoft.com/office/excel/2006/main">
          <x14:cfRule type="dataBar" id="{7AA921F3-BFE1-4449-8143-91C6CFF97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T11:T15 T4 T6:T9</xm:sqref>
        </x14:conditionalFormatting>
        <x14:conditionalFormatting xmlns:xm="http://schemas.microsoft.com/office/excel/2006/main">
          <x14:cfRule type="dataBar" id="{D3B2EC12-6183-430C-9BC4-29DF17263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 I4</xm:sqref>
        </x14:conditionalFormatting>
        <x14:conditionalFormatting xmlns:xm="http://schemas.microsoft.com/office/excel/2006/main">
          <x14:cfRule type="dataBar" id="{2F83DC92-F9BF-48C7-AB26-9D4E3507B0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L6:M13</xm:sqref>
        </x14:conditionalFormatting>
        <x14:conditionalFormatting xmlns:xm="http://schemas.microsoft.com/office/excel/2006/main">
          <x14:cfRule type="dataBar" id="{14954493-E451-4F04-A016-AF78B8CF7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T6:T15 T4</xm:sqref>
        </x14:conditionalFormatting>
        <x14:conditionalFormatting xmlns:xm="http://schemas.microsoft.com/office/excel/2006/main">
          <x14:cfRule type="dataBar" id="{09A38334-7BD1-4F2E-A1BB-C834B9E3F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8F915FF2-63C0-457B-BD10-63507F4AC2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AA5C2DD6-5800-47D9-9701-41B626AF45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8EB126A-AB83-420C-884B-FFBA2183D4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093A33-93F3-465B-B312-38AED028A9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3B62E4E0-EEA9-40F1-8248-4C64F2DF3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D2A0DB5-6D6B-4458-9B35-6E6C9FC22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A1ECDE6-4199-4ACB-B181-FF8F5B94C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3A257C7-EA0D-4CFF-82E9-E4D3160753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EC88D622-9C64-44FE-B232-E4AE96ADDA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ECAF54B-42E8-4ABF-8D34-58FD15E45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467B9AE-9EF1-4891-9F3D-9C6374674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560E819-5841-4418-BA82-D7FC27E530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AF1643A-D5E3-4CAB-8303-CB506659E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0808084-2364-47D0-A8E7-744821F242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D8C598-413C-4A53-9A67-FD4756912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975E153-F3DE-4287-8E92-69145D38D0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BBEF569-59E6-4714-AD0C-A2F72E6F7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7B42B22-D0C0-4B7B-B211-1A13923A8C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58AF9D18-6660-4F44-9DFE-C3AF14FACA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405F1735-30B0-4285-9030-163A2CD30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02F2A43-753C-4E4D-AF6F-BFC426210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E6CB47-9AC9-4B0E-A453-CD7B0CAE4A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E53B22A-F055-4847-9063-5A4DE8BAD7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AF84A52-37C7-44F9-AC25-0717CC7EF0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866857A3-DA2E-4F54-ADB5-D7BBE34E04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50B1A5-275C-4737-9BEF-C0654AFCD7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B27B41F-4CA9-4300-8881-8CD9C993D9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04E0D2BB-AC78-432B-AF30-A47B5768FE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V4:AA13</xm:sqref>
        </x14:conditionalFormatting>
        <x14:conditionalFormatting xmlns:xm="http://schemas.microsoft.com/office/excel/2006/main">
          <x14:cfRule type="dataBar" id="{5A297704-0484-4578-B00A-0B09A4556C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AB4:AB6</xm:sqref>
        </x14:conditionalFormatting>
        <x14:conditionalFormatting xmlns:xm="http://schemas.microsoft.com/office/excel/2006/main">
          <x14:cfRule type="dataBar" id="{12FF5B2F-5922-4B11-985D-077601278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F61168F-300D-40A0-90B1-30C736773E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FC29447B-E0CB-47C2-8803-F326FB556B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6E855521-35C5-4675-88B3-31B6D77E1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AC4:AC6</xm:sqref>
        </x14:conditionalFormatting>
        <x14:conditionalFormatting xmlns:xm="http://schemas.microsoft.com/office/excel/2006/main">
          <x14:cfRule type="dataBar" id="{35987096-F994-491E-BDF4-025847F24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L4:M15</xm:sqref>
        </x14:conditionalFormatting>
        <x14:conditionalFormatting xmlns:xm="http://schemas.microsoft.com/office/excel/2006/main">
          <x14:cfRule type="iconSet" priority="9" id="{2798BC0C-3481-419C-9CD3-679225EB9D1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  <pageSetUpPr fitToPage="1"/>
  </sheetPr>
  <dimension ref="A1:Y90"/>
  <sheetViews>
    <sheetView showGridLines="0" zoomScale="90" zoomScaleNormal="90" workbookViewId="0">
      <pane xSplit="2" topLeftCell="D1" activePane="topRight" state="frozen"/>
      <selection pane="topRight" activeCell="B3" sqref="B3:W22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2.85546875" style="9" customWidth="1"/>
    <col min="5" max="5" width="12" style="9" customWidth="1"/>
    <col min="6" max="6" width="12.28515625" style="9" customWidth="1"/>
    <col min="7" max="7" width="10.5703125" style="9" customWidth="1"/>
    <col min="8" max="8" width="16" style="9" bestFit="1" customWidth="1"/>
    <col min="9" max="9" width="13" style="9" customWidth="1"/>
    <col min="10" max="10" width="11.5703125" style="9" customWidth="1"/>
    <col min="11" max="11" width="13.7109375" style="9" customWidth="1"/>
    <col min="12" max="12" width="11.5703125" style="9" customWidth="1"/>
    <col min="13" max="13" width="11" style="9" customWidth="1"/>
    <col min="14" max="14" width="12.28515625" style="9" customWidth="1"/>
    <col min="15" max="15" width="11.42578125" style="9" customWidth="1"/>
    <col min="16" max="16" width="13.42578125" style="9" customWidth="1"/>
    <col min="17" max="17" width="12.7109375" style="9" bestFit="1" customWidth="1"/>
    <col min="18" max="18" width="13" style="9" customWidth="1"/>
    <col min="19" max="19" width="13.140625" style="9" customWidth="1"/>
    <col min="20" max="20" width="12.7109375" style="9" customWidth="1"/>
    <col min="21" max="21" width="11.42578125" style="9" customWidth="1"/>
    <col min="22" max="23" width="11.28515625" style="9" customWidth="1"/>
    <col min="24" max="24" width="11.5703125" style="9" customWidth="1"/>
    <col min="25" max="25" width="12.140625" style="9" customWidth="1"/>
    <col min="26" max="16384" width="9.140625" style="9"/>
  </cols>
  <sheetData>
    <row r="1" spans="1:25" s="180" customFormat="1" x14ac:dyDescent="0.2">
      <c r="F1" s="180" t="s">
        <v>203</v>
      </c>
      <c r="G1" s="180" t="e">
        <f ca="1">_xll.BDP($F$1,"PX last")</f>
        <v>#NAME?</v>
      </c>
      <c r="H1" s="180" t="s">
        <v>122</v>
      </c>
      <c r="I1" s="180" t="e">
        <f ca="1">_xll.BDP($H$1,"PX last")</f>
        <v>#NAME?</v>
      </c>
      <c r="J1" s="180" t="s">
        <v>195</v>
      </c>
      <c r="K1" s="180" t="e">
        <f ca="1">_xll.BDP($J$1,"PX last")</f>
        <v>#NAME?</v>
      </c>
      <c r="M1" s="180" t="s">
        <v>121</v>
      </c>
      <c r="O1" s="180" t="s">
        <v>178</v>
      </c>
      <c r="P1" s="180" t="e">
        <f ca="1">_xll.BDP($O$1,"PX last")</f>
        <v>#NAME?</v>
      </c>
    </row>
    <row r="2" spans="1:25" s="180" customFormat="1" x14ac:dyDescent="0.2"/>
    <row r="3" spans="1:25" s="639" customFormat="1" ht="89.25" x14ac:dyDescent="0.25">
      <c r="B3" s="638" t="s">
        <v>105</v>
      </c>
      <c r="C3" s="640" t="s">
        <v>104</v>
      </c>
      <c r="D3" s="640" t="s">
        <v>120</v>
      </c>
      <c r="E3" s="640" t="s">
        <v>119</v>
      </c>
      <c r="F3" s="640" t="s">
        <v>100</v>
      </c>
      <c r="G3" s="640" t="s">
        <v>118</v>
      </c>
      <c r="H3" s="640" t="s">
        <v>792</v>
      </c>
      <c r="I3" s="640" t="s">
        <v>793</v>
      </c>
      <c r="J3" s="638" t="s">
        <v>24</v>
      </c>
      <c r="K3" s="640" t="s">
        <v>97</v>
      </c>
      <c r="L3" s="640" t="s">
        <v>401</v>
      </c>
      <c r="M3" s="640" t="s">
        <v>138</v>
      </c>
      <c r="N3" s="640" t="s">
        <v>407</v>
      </c>
      <c r="O3" s="640" t="s">
        <v>127</v>
      </c>
      <c r="P3" s="640" t="s">
        <v>115</v>
      </c>
      <c r="Q3" s="640" t="s">
        <v>114</v>
      </c>
      <c r="R3" s="640" t="s">
        <v>111</v>
      </c>
      <c r="S3" s="640" t="s">
        <v>112</v>
      </c>
      <c r="T3" s="640" t="s">
        <v>746</v>
      </c>
      <c r="U3" s="640" t="s">
        <v>747</v>
      </c>
      <c r="V3" s="640" t="s">
        <v>778</v>
      </c>
      <c r="W3" s="640" t="s">
        <v>779</v>
      </c>
      <c r="X3" s="640" t="s">
        <v>128</v>
      </c>
      <c r="Y3" s="640" t="s">
        <v>129</v>
      </c>
    </row>
    <row r="4" spans="1:25" s="409" customFormat="1" x14ac:dyDescent="0.2">
      <c r="A4" s="409" t="s">
        <v>744</v>
      </c>
      <c r="B4" s="116" t="s">
        <v>402</v>
      </c>
      <c r="C4" s="118" t="s">
        <v>55</v>
      </c>
      <c r="D4" s="119" t="e">
        <f t="shared" ref="D4:D18" ca="1" si="0">Q4/$Q$20</f>
        <v>#NAME?</v>
      </c>
      <c r="E4" s="120">
        <v>384</v>
      </c>
      <c r="F4" s="120">
        <v>8674</v>
      </c>
      <c r="G4" s="120" t="e">
        <f ca="1">_xll.BDP($C4,"PX_LAST")</f>
        <v>#NAME?</v>
      </c>
      <c r="H4" s="637" t="e">
        <f ca="1">_xll.BDP($C4,"BEST_TARGET_PRICE")</f>
        <v>#NAME?</v>
      </c>
      <c r="I4" s="119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3330816</v>
      </c>
      <c r="O4" s="120" t="e">
        <f ca="1">N4/$I$1</f>
        <v>#NAME?</v>
      </c>
      <c r="P4" s="120" t="e">
        <f ca="1">E4*G4</f>
        <v>#NAME?</v>
      </c>
      <c r="Q4" s="203" t="e">
        <f t="shared" ref="Q4:Q19" ca="1" si="2">P4/$I$1</f>
        <v>#NAME?</v>
      </c>
      <c r="R4" s="200" t="e">
        <f t="shared" ref="R4:R18" ca="1" si="3">P4-N4</f>
        <v>#NAME?</v>
      </c>
      <c r="S4" s="123" t="e">
        <f t="shared" ref="S4:S18" ca="1" si="4">Q4-O4</f>
        <v>#NAME?</v>
      </c>
      <c r="T4" s="123" t="e">
        <f ca="1">_xll.BDP($C4,"EQY_DVD_YLD_EST")</f>
        <v>#NAME?</v>
      </c>
      <c r="U4" s="200" t="e">
        <f t="shared" ref="U4:U14" ca="1" si="5">Q4</f>
        <v>#NAME?</v>
      </c>
      <c r="V4" s="125" t="e">
        <f ca="1">_xll.BDP($C4,"DVD_EX_DT")</f>
        <v>#NAME?</v>
      </c>
      <c r="W4" s="125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</row>
    <row r="5" spans="1:25" s="409" customFormat="1" x14ac:dyDescent="0.2">
      <c r="A5" s="409" t="s">
        <v>744</v>
      </c>
      <c r="B5" s="116" t="s">
        <v>349</v>
      </c>
      <c r="C5" s="118" t="s">
        <v>331</v>
      </c>
      <c r="D5" s="119" t="e">
        <f t="shared" ca="1" si="0"/>
        <v>#NAME?</v>
      </c>
      <c r="E5" s="120">
        <f>$F$90</f>
        <v>5920</v>
      </c>
      <c r="F5" s="181">
        <f>$H$90</f>
        <v>8</v>
      </c>
      <c r="G5" s="181" t="e">
        <f ca="1">_xll.BDP($C5,"PX_LAST")</f>
        <v>#NAME?</v>
      </c>
      <c r="H5" s="63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$K$90</f>
        <v>#NAME?</v>
      </c>
      <c r="O5" s="120">
        <f>E5*F5</f>
        <v>47360</v>
      </c>
      <c r="P5" s="120" t="e">
        <f ca="1">E5*G5*$I$1</f>
        <v>#NAME?</v>
      </c>
      <c r="Q5" s="203" t="e">
        <f t="shared" ca="1" si="2"/>
        <v>#NAME?</v>
      </c>
      <c r="R5" s="200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200" t="e">
        <f t="shared" ca="1" si="5"/>
        <v>#NAME?</v>
      </c>
      <c r="V5" s="125" t="e">
        <f ca="1">_xll.BDP($C5,"DVD_EX_DT")</f>
        <v>#NAME?</v>
      </c>
      <c r="W5" s="125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</row>
    <row r="6" spans="1:25" s="409" customFormat="1" x14ac:dyDescent="0.2">
      <c r="A6" s="409" t="s">
        <v>744</v>
      </c>
      <c r="B6" s="116" t="s">
        <v>205</v>
      </c>
      <c r="C6" s="118" t="s">
        <v>204</v>
      </c>
      <c r="D6" s="119" t="e">
        <f t="shared" ca="1" si="0"/>
        <v>#NAME?</v>
      </c>
      <c r="E6" s="120">
        <f>$F$55</f>
        <v>26700</v>
      </c>
      <c r="F6" s="181">
        <f>$H$55</f>
        <v>3.9725738576779031</v>
      </c>
      <c r="G6" s="181" t="e">
        <f ca="1">_xll.BDP($C6,"PX_LAST")</f>
        <v>#NAME?</v>
      </c>
      <c r="H6" s="63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$K$55</f>
        <v>#NAME?</v>
      </c>
      <c r="O6" s="120">
        <f>E6*F6</f>
        <v>106067.72200000001</v>
      </c>
      <c r="P6" s="120" t="e">
        <f ca="1">E6*G6*$I$1</f>
        <v>#NAME?</v>
      </c>
      <c r="Q6" s="203" t="e">
        <f t="shared" ca="1" si="2"/>
        <v>#NAME?</v>
      </c>
      <c r="R6" s="200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200" t="e">
        <f t="shared" ca="1" si="5"/>
        <v>#NAME?</v>
      </c>
      <c r="V6" s="125" t="e">
        <f ca="1">_xll.BDP($C6,"DVD_EX_DT")</f>
        <v>#NAME?</v>
      </c>
      <c r="W6" s="125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</row>
    <row r="7" spans="1:25" s="409" customFormat="1" x14ac:dyDescent="0.2">
      <c r="A7" s="409" t="s">
        <v>744</v>
      </c>
      <c r="B7" s="116" t="s">
        <v>261</v>
      </c>
      <c r="C7" s="118" t="s">
        <v>260</v>
      </c>
      <c r="D7" s="119" t="e">
        <f t="shared" ca="1" si="0"/>
        <v>#NAME?</v>
      </c>
      <c r="E7" s="120">
        <f>$F$51</f>
        <v>10700</v>
      </c>
      <c r="F7" s="120">
        <f>$H$51</f>
        <v>334.4384</v>
      </c>
      <c r="G7" s="120" t="e">
        <f ca="1">_xll.BDP($C7,"PX_LAST")</f>
        <v>#NAME?</v>
      </c>
      <c r="H7" s="637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t="shared" ref="L7:L14" ca="1" si="6">G7/F7-1</f>
        <v>#NAME?</v>
      </c>
      <c r="M7" s="119" t="e">
        <f t="shared" ref="M7:M14" ca="1" si="7">Q7/O7-1</f>
        <v>#NAME?</v>
      </c>
      <c r="N7" s="120">
        <f t="shared" ref="N7:N14" si="8">E7*F7</f>
        <v>3578490.8799999999</v>
      </c>
      <c r="O7" s="120" t="e">
        <f ca="1">$J$51</f>
        <v>#NAME?</v>
      </c>
      <c r="P7" s="120" t="e">
        <f t="shared" ref="P7:P14" ca="1" si="9">E7*G7</f>
        <v>#NAME?</v>
      </c>
      <c r="Q7" s="203" t="e">
        <f t="shared" ca="1" si="2"/>
        <v>#NAME?</v>
      </c>
      <c r="R7" s="200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200" t="e">
        <f t="shared" ca="1" si="5"/>
        <v>#NAME?</v>
      </c>
      <c r="V7" s="125" t="e">
        <f ca="1">_xll.BDP($C7,"DVD_EX_DT")</f>
        <v>#NAME?</v>
      </c>
      <c r="W7" s="125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</row>
    <row r="8" spans="1:25" s="409" customFormat="1" x14ac:dyDescent="0.2">
      <c r="A8" s="409" t="s">
        <v>744</v>
      </c>
      <c r="B8" s="116" t="s">
        <v>96</v>
      </c>
      <c r="C8" s="118" t="s">
        <v>184</v>
      </c>
      <c r="D8" s="119" t="e">
        <f t="shared" ca="1" si="0"/>
        <v>#NAME?</v>
      </c>
      <c r="E8" s="120">
        <f>$F$87</f>
        <v>9040</v>
      </c>
      <c r="F8" s="120">
        <f>$H$87</f>
        <v>603</v>
      </c>
      <c r="G8" s="120" t="e">
        <f ca="1">_xll.BDP($C8,"PX_LAST")</f>
        <v>#NAME?</v>
      </c>
      <c r="H8" s="637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t="shared" ca="1" si="6"/>
        <v>#NAME?</v>
      </c>
      <c r="M8" s="119" t="e">
        <f t="shared" ca="1" si="7"/>
        <v>#NAME?</v>
      </c>
      <c r="N8" s="120">
        <f t="shared" si="8"/>
        <v>5451120</v>
      </c>
      <c r="O8" s="120" t="e">
        <f ca="1">$J$87</f>
        <v>#NAME?</v>
      </c>
      <c r="P8" s="120" t="e">
        <f t="shared" ca="1" si="9"/>
        <v>#NAME?</v>
      </c>
      <c r="Q8" s="203" t="e">
        <f t="shared" ca="1" si="2"/>
        <v>#NAME?</v>
      </c>
      <c r="R8" s="200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200" t="e">
        <f t="shared" ca="1" si="5"/>
        <v>#NAME?</v>
      </c>
      <c r="V8" s="125" t="e">
        <f ca="1">_xll.BDP($C8,"DVD_EX_DT")</f>
        <v>#NAME?</v>
      </c>
      <c r="W8" s="125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</row>
    <row r="9" spans="1:25" s="409" customFormat="1" x14ac:dyDescent="0.2">
      <c r="A9" s="409" t="s">
        <v>744</v>
      </c>
      <c r="B9" s="116" t="s">
        <v>381</v>
      </c>
      <c r="C9" s="118" t="s">
        <v>658</v>
      </c>
      <c r="D9" s="119" t="e">
        <f t="shared" ca="1" si="0"/>
        <v>#NAME?</v>
      </c>
      <c r="E9" s="120">
        <f>$F$66</f>
        <v>147000</v>
      </c>
      <c r="F9" s="181">
        <f>$H$66</f>
        <v>20.41</v>
      </c>
      <c r="G9" s="181" t="e">
        <f ca="1">_xll.BDP($C9,"PX_LAST")</f>
        <v>#NAME?</v>
      </c>
      <c r="H9" s="637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t="shared" ca="1" si="6"/>
        <v>#NAME?</v>
      </c>
      <c r="M9" s="119" t="e">
        <f t="shared" ca="1" si="7"/>
        <v>#NAME?</v>
      </c>
      <c r="N9" s="120">
        <f t="shared" si="8"/>
        <v>3000270</v>
      </c>
      <c r="O9" s="120" t="e">
        <f ca="1">$J$66</f>
        <v>#NAME?</v>
      </c>
      <c r="P9" s="120" t="e">
        <f t="shared" ca="1" si="9"/>
        <v>#NAME?</v>
      </c>
      <c r="Q9" s="203" t="e">
        <f t="shared" ca="1" si="2"/>
        <v>#NAME?</v>
      </c>
      <c r="R9" s="200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200" t="e">
        <f t="shared" ca="1" si="5"/>
        <v>#NAME?</v>
      </c>
      <c r="V9" s="125" t="e">
        <f ca="1">_xll.BDP($C9,"DVD_EX_DT")</f>
        <v>#NAME?</v>
      </c>
      <c r="W9" s="125" t="e">
        <f ca="1">_xll.BDP($C9,"BDVD_NEXT_EST_DECL_DT")</f>
        <v>#NAME?</v>
      </c>
      <c r="X9" s="125" t="e">
        <f ca="1">_xll.BDP($C9,"CHG_PCT_YTD")</f>
        <v>#NAME?</v>
      </c>
      <c r="Y9" s="125" t="e">
        <f ca="1">_xll.BDP($C9,"CHG_PCT_1YR")</f>
        <v>#NAME?</v>
      </c>
    </row>
    <row r="10" spans="1:25" s="409" customFormat="1" x14ac:dyDescent="0.2">
      <c r="A10" s="409" t="s">
        <v>744</v>
      </c>
      <c r="B10" s="116" t="s">
        <v>367</v>
      </c>
      <c r="C10" s="118" t="s">
        <v>182</v>
      </c>
      <c r="D10" s="119" t="e">
        <f t="shared" ca="1" si="0"/>
        <v>#NAME?</v>
      </c>
      <c r="E10" s="120">
        <v>56600</v>
      </c>
      <c r="F10" s="181">
        <v>42.8</v>
      </c>
      <c r="G10" s="181" t="e">
        <f ca="1">_xll.BDP($C10,"PX_LAST")</f>
        <v>#NAME?</v>
      </c>
      <c r="H10" s="637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t="shared" ca="1" si="6"/>
        <v>#NAME?</v>
      </c>
      <c r="M10" s="119" t="e">
        <f t="shared" ca="1" si="7"/>
        <v>#NAME?</v>
      </c>
      <c r="N10" s="120">
        <f t="shared" si="8"/>
        <v>2422480</v>
      </c>
      <c r="O10" s="120" t="e">
        <f ca="1">N10/$I$1</f>
        <v>#NAME?</v>
      </c>
      <c r="P10" s="120" t="e">
        <f t="shared" ca="1" si="9"/>
        <v>#NAME?</v>
      </c>
      <c r="Q10" s="203" t="e">
        <f t="shared" ca="1" si="2"/>
        <v>#NAME?</v>
      </c>
      <c r="R10" s="200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200" t="e">
        <f t="shared" ca="1" si="5"/>
        <v>#NAME?</v>
      </c>
      <c r="V10" s="125" t="e">
        <f ca="1">_xll.BDP($C10,"DVD_EX_DT")</f>
        <v>#NAME?</v>
      </c>
      <c r="W10" s="125" t="e">
        <f ca="1">_xll.BDP($C10,"BDVD_NEXT_EST_DECL_DT")</f>
        <v>#NAME?</v>
      </c>
      <c r="X10" s="125" t="e">
        <f ca="1">_xll.BDP($C10,"CHG_PCT_YTD")</f>
        <v>#NAME?</v>
      </c>
      <c r="Y10" s="125" t="e">
        <f ca="1">_xll.BDP($C10,"CHG_PCT_1YR")</f>
        <v>#NAME?</v>
      </c>
    </row>
    <row r="11" spans="1:25" s="409" customFormat="1" x14ac:dyDescent="0.2">
      <c r="A11" s="409" t="s">
        <v>744</v>
      </c>
      <c r="B11" s="116" t="s">
        <v>153</v>
      </c>
      <c r="C11" s="118" t="s">
        <v>54</v>
      </c>
      <c r="D11" s="119" t="e">
        <f t="shared" ca="1" si="0"/>
        <v>#NAME?</v>
      </c>
      <c r="E11" s="120">
        <v>74132</v>
      </c>
      <c r="F11" s="120">
        <v>145.46</v>
      </c>
      <c r="G11" s="120" t="e">
        <f ca="1">_xll.BDP($C11,"PX_LAST")</f>
        <v>#NAME?</v>
      </c>
      <c r="H11" s="637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t="shared" ca="1" si="6"/>
        <v>#NAME?</v>
      </c>
      <c r="M11" s="119" t="e">
        <f t="shared" ca="1" si="7"/>
        <v>#NAME?</v>
      </c>
      <c r="N11" s="120">
        <f t="shared" si="8"/>
        <v>10783240.720000001</v>
      </c>
      <c r="O11" s="120" t="e">
        <f ca="1">N11/$I$1</f>
        <v>#NAME?</v>
      </c>
      <c r="P11" s="120" t="e">
        <f t="shared" ca="1" si="9"/>
        <v>#NAME?</v>
      </c>
      <c r="Q11" s="203" t="e">
        <f t="shared" ca="1" si="2"/>
        <v>#NAME?</v>
      </c>
      <c r="R11" s="200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200" t="e">
        <f t="shared" ca="1" si="5"/>
        <v>#NAME?</v>
      </c>
      <c r="V11" s="125" t="e">
        <f ca="1">_xll.BDP($C11,"DVD_EX_DT")</f>
        <v>#NAME?</v>
      </c>
      <c r="W11" s="125" t="e">
        <f ca="1">_xll.BDP($C11,"BDVD_NEXT_EST_DECL_DT")</f>
        <v>#NAME?</v>
      </c>
      <c r="X11" s="125" t="e">
        <f ca="1">_xll.BDP($C11,"CHG_PCT_YTD")</f>
        <v>#NAME?</v>
      </c>
      <c r="Y11" s="125" t="e">
        <f ca="1">_xll.BDP($C11,"CHG_PCT_1YR")</f>
        <v>#NAME?</v>
      </c>
    </row>
    <row r="12" spans="1:25" s="409" customFormat="1" x14ac:dyDescent="0.2">
      <c r="A12" s="409" t="s">
        <v>744</v>
      </c>
      <c r="B12" s="116" t="s">
        <v>208</v>
      </c>
      <c r="C12" s="118" t="s">
        <v>209</v>
      </c>
      <c r="D12" s="119" t="e">
        <f t="shared" ca="1" si="0"/>
        <v>#NAME?</v>
      </c>
      <c r="E12" s="120">
        <v>77300</v>
      </c>
      <c r="F12" s="120">
        <v>72.069999999999993</v>
      </c>
      <c r="G12" s="120" t="e">
        <f ca="1">_xll.BDP($C12,"PX_LAST")</f>
        <v>#NAME?</v>
      </c>
      <c r="H12" s="637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ca="1" si="6"/>
        <v>#NAME?</v>
      </c>
      <c r="M12" s="119" t="e">
        <f t="shared" ca="1" si="7"/>
        <v>#NAME?</v>
      </c>
      <c r="N12" s="120">
        <f t="shared" si="8"/>
        <v>5571010.9999999991</v>
      </c>
      <c r="O12" s="120" t="e">
        <f ca="1">N12/$I$1</f>
        <v>#NAME?</v>
      </c>
      <c r="P12" s="120" t="e">
        <f t="shared" ca="1" si="9"/>
        <v>#NAME?</v>
      </c>
      <c r="Q12" s="203" t="e">
        <f t="shared" ca="1" si="2"/>
        <v>#NAME?</v>
      </c>
      <c r="R12" s="200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200" t="e">
        <f t="shared" ca="1" si="5"/>
        <v>#NAME?</v>
      </c>
      <c r="V12" s="125" t="e">
        <f ca="1">_xll.BDP($C12,"DVD_EX_DT")</f>
        <v>#NAME?</v>
      </c>
      <c r="W12" s="125" t="e">
        <f ca="1">_xll.BDP($C12,"BDVD_NEXT_EST_DECL_DT")</f>
        <v>#NAME?</v>
      </c>
      <c r="X12" s="125" t="e">
        <f ca="1">_xll.BDP($C12,"CHG_PCT_YTD")</f>
        <v>#NAME?</v>
      </c>
      <c r="Y12" s="125" t="e">
        <f ca="1">_xll.BDP($C12,"CHG_PCT_1YR")</f>
        <v>#NAME?</v>
      </c>
    </row>
    <row r="13" spans="1:25" s="409" customFormat="1" x14ac:dyDescent="0.2">
      <c r="A13" s="409" t="s">
        <v>744</v>
      </c>
      <c r="B13" s="116" t="s">
        <v>196</v>
      </c>
      <c r="C13" s="118" t="s">
        <v>335</v>
      </c>
      <c r="D13" s="119" t="e">
        <f t="shared" ca="1" si="0"/>
        <v>#NAME?</v>
      </c>
      <c r="E13" s="120">
        <f>$F$70</f>
        <v>8930</v>
      </c>
      <c r="F13" s="120">
        <f>$H$70</f>
        <v>642.13750974244124</v>
      </c>
      <c r="G13" s="120" t="e">
        <f ca="1">_xll.BDP($C13,"PX_LAST")</f>
        <v>#NAME?</v>
      </c>
      <c r="H13" s="637" t="e">
        <f ca="1">_xll.BDP($C13,"BEST_TARGET_PRICE")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6"/>
        <v>#NAME?</v>
      </c>
      <c r="M13" s="119" t="e">
        <f t="shared" ca="1" si="7"/>
        <v>#NAME?</v>
      </c>
      <c r="N13" s="120">
        <f t="shared" si="8"/>
        <v>5734287.9620000003</v>
      </c>
      <c r="O13" s="120" t="e">
        <f ca="1">$J$70</f>
        <v>#NAME?</v>
      </c>
      <c r="P13" s="120" t="e">
        <f t="shared" ca="1" si="9"/>
        <v>#NAME?</v>
      </c>
      <c r="Q13" s="203" t="e">
        <f t="shared" ca="1" si="2"/>
        <v>#NAME?</v>
      </c>
      <c r="R13" s="200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200" t="e">
        <f t="shared" ca="1" si="5"/>
        <v>#NAME?</v>
      </c>
      <c r="V13" s="125" t="e">
        <f ca="1">_xll.BDP($C13,"DVD_EX_DT")</f>
        <v>#NAME?</v>
      </c>
      <c r="W13" s="125" t="e">
        <f ca="1">_xll.BDP($C13,"BDVD_NEXT_EST_DECL_DT")</f>
        <v>#NAME?</v>
      </c>
      <c r="X13" s="125" t="e">
        <f ca="1">_xll.BDP($C13,"CHG_PCT_YTD")</f>
        <v>#NAME?</v>
      </c>
      <c r="Y13" s="125" t="e">
        <f ca="1">_xll.BDP($C13,"CHG_PCT_1YR")</f>
        <v>#NAME?</v>
      </c>
    </row>
    <row r="14" spans="1:25" s="409" customFormat="1" x14ac:dyDescent="0.2">
      <c r="A14" s="409" t="s">
        <v>744</v>
      </c>
      <c r="B14" s="116" t="s">
        <v>333</v>
      </c>
      <c r="C14" s="118" t="s">
        <v>332</v>
      </c>
      <c r="D14" s="119" t="e">
        <f t="shared" ca="1" si="0"/>
        <v>#NAME?</v>
      </c>
      <c r="E14" s="120">
        <f>$F$73</f>
        <v>13890</v>
      </c>
      <c r="F14" s="120">
        <f>$H$73</f>
        <v>219.26300000000003</v>
      </c>
      <c r="G14" s="120" t="e">
        <f ca="1">_xll.BDP($C14,"PX_LAST")</f>
        <v>#NAME?</v>
      </c>
      <c r="H14" s="637" t="e">
        <f ca="1">_xll.BDP($C14,"BEST_TARGET_PRICE")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6"/>
        <v>#NAME?</v>
      </c>
      <c r="M14" s="119" t="e">
        <f t="shared" ca="1" si="7"/>
        <v>#NAME?</v>
      </c>
      <c r="N14" s="120">
        <f t="shared" si="8"/>
        <v>3045563.0700000003</v>
      </c>
      <c r="O14" s="120" t="e">
        <f ca="1">$J$73</f>
        <v>#NAME?</v>
      </c>
      <c r="P14" s="120" t="e">
        <f t="shared" ca="1" si="9"/>
        <v>#NAME?</v>
      </c>
      <c r="Q14" s="203" t="e">
        <f t="shared" ca="1" si="2"/>
        <v>#NAME?</v>
      </c>
      <c r="R14" s="200" t="e">
        <f t="shared" ca="1" si="3"/>
        <v>#NAME?</v>
      </c>
      <c r="S14" s="123" t="e">
        <f t="shared" ca="1" si="4"/>
        <v>#NAME?</v>
      </c>
      <c r="T14" s="123">
        <v>5</v>
      </c>
      <c r="U14" s="200" t="e">
        <f t="shared" ca="1" si="5"/>
        <v>#NAME?</v>
      </c>
      <c r="V14" s="125" t="e">
        <f ca="1">_xll.BDP($C14,"DVD_EX_DT")</f>
        <v>#NAME?</v>
      </c>
      <c r="W14" s="125" t="e">
        <f ca="1">_xll.BDP($C14,"BDVD_NEXT_EST_DECL_DT")</f>
        <v>#NAME?</v>
      </c>
      <c r="X14" s="125" t="e">
        <f ca="1">_xll.BDP($C14,"CHG_PCT_YTD")</f>
        <v>#NAME?</v>
      </c>
      <c r="Y14" s="125" t="e">
        <f ca="1">_xll.BDP($C14,"CHG_PCT_1YR")</f>
        <v>#NAME?</v>
      </c>
    </row>
    <row r="15" spans="1:25" s="450" customFormat="1" x14ac:dyDescent="0.2">
      <c r="A15" s="460" t="s">
        <v>744</v>
      </c>
      <c r="B15" s="441" t="e">
        <f ca="1">_xll.BDP(C15,"SECURITY_NAME")</f>
        <v>#NAME?</v>
      </c>
      <c r="C15" s="440" t="s">
        <v>697</v>
      </c>
      <c r="D15" s="442" t="e">
        <f t="shared" ca="1" si="0"/>
        <v>#NAME?</v>
      </c>
      <c r="E15" s="443">
        <f>$F$59</f>
        <v>400000</v>
      </c>
      <c r="F15" s="444">
        <f>$H$59</f>
        <v>94.5</v>
      </c>
      <c r="G15" s="444" t="e">
        <f ca="1">_xll.BDP(C15,"PX_ASK")</f>
        <v>#NAME?</v>
      </c>
      <c r="H15" s="445"/>
      <c r="I15" s="442"/>
      <c r="K15" s="445" t="e">
        <f ca="1">_xll.BDP($C15,"CRNCY")</f>
        <v>#NAME?</v>
      </c>
      <c r="L15" s="442" t="e">
        <f ca="1">P15/N15-1</f>
        <v>#NAME?</v>
      </c>
      <c r="M15" s="442" t="e">
        <f ca="1">G15/F15-1</f>
        <v>#NAME?</v>
      </c>
      <c r="N15" s="443" t="e">
        <f ca="1">$K$59</f>
        <v>#NAME?</v>
      </c>
      <c r="O15" s="443">
        <f>E15*F15/100</f>
        <v>378000</v>
      </c>
      <c r="P15" s="443" t="e">
        <f ca="1">E15*G15/100 *$I$1</f>
        <v>#NAME?</v>
      </c>
      <c r="Q15" s="443" t="e">
        <f t="shared" ca="1" si="2"/>
        <v>#NAME?</v>
      </c>
      <c r="R15" s="463" t="e">
        <f t="shared" ca="1" si="3"/>
        <v>#NAME?</v>
      </c>
      <c r="S15" s="446" t="e">
        <f t="shared" ca="1" si="4"/>
        <v>#NAME?</v>
      </c>
      <c r="T15" s="513" t="e">
        <f ca="1">_xll.BDP(C15,"YLD_CNV_BID")</f>
        <v>#NAME?</v>
      </c>
      <c r="U15" s="451" t="e">
        <f ca="1">E15*_xll.BDP(C15,"PX_GROSS_MID")/100</f>
        <v>#NAME?</v>
      </c>
      <c r="V15" s="440"/>
      <c r="W15" s="440"/>
      <c r="X15" s="448" t="e">
        <f ca="1">_xll.BDP($C15,"CHG_PCT_YTD")</f>
        <v>#NAME?</v>
      </c>
      <c r="Y15" s="448" t="e">
        <f ca="1">_xll.BDP($C15,"CHG_PCT_1YR")</f>
        <v>#NAME?</v>
      </c>
    </row>
    <row r="16" spans="1:25" s="450" customFormat="1" x14ac:dyDescent="0.2">
      <c r="A16" s="460" t="s">
        <v>744</v>
      </c>
      <c r="B16" s="441" t="e">
        <f ca="1">_xll.BDP(C16,"SECURITY_NAME")</f>
        <v>#NAME?</v>
      </c>
      <c r="C16" s="440" t="s">
        <v>828</v>
      </c>
      <c r="D16" s="442" t="e">
        <f t="shared" ca="1" si="0"/>
        <v>#NAME?</v>
      </c>
      <c r="E16" s="443">
        <f>$F$76</f>
        <v>200000</v>
      </c>
      <c r="F16" s="444">
        <f>$H$76</f>
        <v>93</v>
      </c>
      <c r="G16" s="444" t="e">
        <f ca="1">_xll.BDP(C16,"PX_ASK")</f>
        <v>#NAME?</v>
      </c>
      <c r="H16" s="445"/>
      <c r="I16" s="442"/>
      <c r="K16" s="445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443" t="e">
        <f ca="1">$K$76</f>
        <v>#NAME?</v>
      </c>
      <c r="O16" s="443">
        <f>E16*F16/100</f>
        <v>186000</v>
      </c>
      <c r="P16" s="443" t="e">
        <f ca="1">E16*G16/100 *$I$1</f>
        <v>#NAME?</v>
      </c>
      <c r="Q16" s="443" t="e">
        <f t="shared" ca="1" si="2"/>
        <v>#NAME?</v>
      </c>
      <c r="R16" s="463" t="e">
        <f t="shared" ca="1" si="3"/>
        <v>#NAME?</v>
      </c>
      <c r="S16" s="446" t="e">
        <f t="shared" ca="1" si="4"/>
        <v>#NAME?</v>
      </c>
      <c r="T16" s="513" t="e">
        <f ca="1">_xll.BDP(C16,"YLD_CNV_BID")</f>
        <v>#NAME?</v>
      </c>
      <c r="U16" s="451" t="e">
        <f ca="1">E16*_xll.BDP(C16,"PX_GROSS_MID")/100</f>
        <v>#NAME?</v>
      </c>
      <c r="V16" s="440"/>
      <c r="W16" s="440"/>
      <c r="X16" s="448" t="e">
        <f ca="1">_xll.BDP($C16,"CHG_PCT_YTD")</f>
        <v>#NAME?</v>
      </c>
      <c r="Y16" s="448" t="e">
        <f ca="1">_xll.BDP($C16,"CHG_PCT_1YR")</f>
        <v>#NAME?</v>
      </c>
    </row>
    <row r="17" spans="1:25" s="450" customFormat="1" x14ac:dyDescent="0.2">
      <c r="A17" s="460" t="s">
        <v>744</v>
      </c>
      <c r="B17" s="441" t="e">
        <f ca="1">_xll.BDP(C17,"SECURITY_NAME")</f>
        <v>#NAME?</v>
      </c>
      <c r="C17" s="440" t="s">
        <v>156</v>
      </c>
      <c r="D17" s="442" t="e">
        <f t="shared" ca="1" si="0"/>
        <v>#NAME?</v>
      </c>
      <c r="E17" s="443">
        <f>$F$63</f>
        <v>400000</v>
      </c>
      <c r="F17" s="444">
        <f>$H$63</f>
        <v>102.75000000000001</v>
      </c>
      <c r="G17" s="444" t="e">
        <f ca="1">_xll.BDP(C17,"PX_ASK")</f>
        <v>#NAME?</v>
      </c>
      <c r="H17" s="445"/>
      <c r="I17" s="442"/>
      <c r="K17" s="445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443" t="e">
        <f ca="1">$K$63</f>
        <v>#NAME?</v>
      </c>
      <c r="O17" s="443">
        <f>E17*F17/100</f>
        <v>411000.00000000006</v>
      </c>
      <c r="P17" s="443" t="e">
        <f ca="1">E17*G17/100 *$I$1</f>
        <v>#NAME?</v>
      </c>
      <c r="Q17" s="443" t="e">
        <f t="shared" ca="1" si="2"/>
        <v>#NAME?</v>
      </c>
      <c r="R17" s="463" t="e">
        <f t="shared" ca="1" si="3"/>
        <v>#NAME?</v>
      </c>
      <c r="S17" s="446" t="e">
        <f t="shared" ca="1" si="4"/>
        <v>#NAME?</v>
      </c>
      <c r="T17" s="513" t="e">
        <f ca="1">_xll.BDP(C17,"YLD_CNV_BID")</f>
        <v>#NAME?</v>
      </c>
      <c r="U17" s="451" t="e">
        <f ca="1">E17*_xll.BDP(C17,"PX_GROSS_MID")/100</f>
        <v>#NAME?</v>
      </c>
      <c r="V17" s="440"/>
      <c r="W17" s="440"/>
      <c r="X17" s="448" t="e">
        <f ca="1">_xll.BDP($C17,"CHG_PCT_YTD")</f>
        <v>#NAME?</v>
      </c>
      <c r="Y17" s="448" t="e">
        <f ca="1">_xll.BDP($C17,"CHG_PCT_1YR")</f>
        <v>#NAME?</v>
      </c>
    </row>
    <row r="18" spans="1:25" s="450" customFormat="1" x14ac:dyDescent="0.2">
      <c r="A18" s="460" t="s">
        <v>744</v>
      </c>
      <c r="B18" s="441" t="e">
        <f ca="1">_xll.BDP(C18,"SECURITY_NAME")</f>
        <v>#NAME?</v>
      </c>
      <c r="C18" s="440" t="s">
        <v>225</v>
      </c>
      <c r="D18" s="442" t="e">
        <f t="shared" ca="1" si="0"/>
        <v>#NAME?</v>
      </c>
      <c r="E18" s="443">
        <f>$F$79</f>
        <v>200000</v>
      </c>
      <c r="F18" s="444">
        <f>$H$79</f>
        <v>98.905000000000001</v>
      </c>
      <c r="G18" s="444" t="e">
        <f ca="1">_xll.BDP(C18,"PX_ASK")</f>
        <v>#NAME?</v>
      </c>
      <c r="H18" s="445"/>
      <c r="I18" s="442"/>
      <c r="K18" s="445" t="e">
        <f ca="1">_xll.BDP($C18,"CRNCY")</f>
        <v>#NAME?</v>
      </c>
      <c r="L18" s="442" t="e">
        <f ca="1">P18/N18-1</f>
        <v>#NAME?</v>
      </c>
      <c r="M18" s="442" t="e">
        <f ca="1">G18/F18-1</f>
        <v>#NAME?</v>
      </c>
      <c r="N18" s="443" t="e">
        <f ca="1">$K$79</f>
        <v>#NAME?</v>
      </c>
      <c r="O18" s="443">
        <f>E18*F18/100</f>
        <v>197810</v>
      </c>
      <c r="P18" s="443" t="e">
        <f ca="1">E18*G18/100 *$I$1</f>
        <v>#NAME?</v>
      </c>
      <c r="Q18" s="443" t="e">
        <f t="shared" ca="1" si="2"/>
        <v>#NAME?</v>
      </c>
      <c r="R18" s="463" t="e">
        <f t="shared" ca="1" si="3"/>
        <v>#NAME?</v>
      </c>
      <c r="S18" s="446" t="e">
        <f t="shared" ca="1" si="4"/>
        <v>#NAME?</v>
      </c>
      <c r="T18" s="513" t="e">
        <f ca="1">_xll.BDP(C18,"YLD_CNV_BID")</f>
        <v>#NAME?</v>
      </c>
      <c r="U18" s="451" t="e">
        <f ca="1">E18*_xll.BDP(C18,"PX_GROSS_MID")/100</f>
        <v>#NAME?</v>
      </c>
      <c r="V18" s="440"/>
      <c r="W18" s="440"/>
      <c r="X18" s="448" t="e">
        <f ca="1">_xll.BDP($C18,"CHG_PCT_YTD")</f>
        <v>#NAME?</v>
      </c>
      <c r="Y18" s="448" t="e">
        <f ca="1">_xll.BDP($C18,"CHG_PCT_1YR")</f>
        <v>#NAME?</v>
      </c>
    </row>
    <row r="19" spans="1:25" x14ac:dyDescent="0.2">
      <c r="B19" s="68" t="s">
        <v>106</v>
      </c>
      <c r="C19" s="68" t="s">
        <v>106</v>
      </c>
      <c r="D19" s="101" t="e">
        <f t="shared" ref="D19" ca="1" si="10">Q19/$Q$20</f>
        <v>#NAME?</v>
      </c>
      <c r="E19" s="64"/>
      <c r="F19" s="67"/>
      <c r="G19" s="66"/>
      <c r="H19" s="60"/>
      <c r="I19" s="65"/>
      <c r="J19" s="65"/>
      <c r="K19" s="65"/>
      <c r="L19" s="64"/>
      <c r="M19" s="64"/>
      <c r="N19" s="64" t="e">
        <f ca="1">P19</f>
        <v>#NAME?</v>
      </c>
      <c r="O19" s="63" t="e">
        <f ca="1">Q19</f>
        <v>#NAME?</v>
      </c>
      <c r="P19" s="64" t="e">
        <f ca="1">8853700+103000*$I$1</f>
        <v>#NAME?</v>
      </c>
      <c r="Q19" s="63" t="e">
        <f t="shared" ca="1" si="2"/>
        <v>#NAME?</v>
      </c>
      <c r="R19" s="61"/>
      <c r="S19" s="517"/>
      <c r="T19" s="60"/>
      <c r="U19" s="60"/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5"/>
      <c r="I20" s="570" t="e">
        <f ca="1">SUMPRODUCT(D4:D14,I4:I14)</f>
        <v>#NAME?</v>
      </c>
      <c r="J20" s="58"/>
      <c r="K20" s="58"/>
      <c r="L20" s="682" t="e">
        <f ca="1">SUMPRODUCT($D$4:$D$18,L4:L18)</f>
        <v>#NAME?</v>
      </c>
      <c r="M20" s="682" t="e">
        <f ca="1">SUMPRODUCT($D$4:$D$18,M4:M18)</f>
        <v>#NAME?</v>
      </c>
      <c r="N20" s="137" t="e">
        <f t="shared" ref="N20:S20" ca="1" si="11">SUM(N4:N19)</f>
        <v>#NAME?</v>
      </c>
      <c r="O20" s="137" t="e">
        <f t="shared" ca="1" si="11"/>
        <v>#NAME?</v>
      </c>
      <c r="P20" s="138" t="e">
        <f t="shared" ca="1" si="11"/>
        <v>#NAME?</v>
      </c>
      <c r="Q20" s="138" t="e">
        <f t="shared" ca="1" si="11"/>
        <v>#NAME?</v>
      </c>
      <c r="R20" s="138" t="e">
        <f t="shared" ca="1" si="11"/>
        <v>#NAME?</v>
      </c>
      <c r="S20" s="138" t="e">
        <f t="shared" ca="1" si="11"/>
        <v>#NAME?</v>
      </c>
      <c r="T20" s="545" t="e">
        <f ca="1">SUMPRODUCT(D4:D18,T4:T18)</f>
        <v>#NAME?</v>
      </c>
      <c r="U20" s="138" t="e">
        <f ca="1">SUM(U4:U19)</f>
        <v>#NAME?</v>
      </c>
      <c r="V20" s="55"/>
      <c r="W20" s="55"/>
      <c r="X20" s="55"/>
      <c r="Y20" s="55"/>
    </row>
    <row r="21" spans="1:25" s="635" customFormat="1" ht="12.75" customHeight="1" x14ac:dyDescent="0.2">
      <c r="B21" s="642"/>
      <c r="C21" s="642"/>
      <c r="D21" s="642"/>
      <c r="E21" s="642"/>
      <c r="F21" s="642"/>
      <c r="G21" s="642"/>
      <c r="H21" s="642"/>
      <c r="I21" s="641" t="s">
        <v>808</v>
      </c>
      <c r="J21" s="643"/>
      <c r="K21" s="643"/>
      <c r="L21" s="646"/>
      <c r="M21" s="646"/>
      <c r="N21" s="642"/>
      <c r="O21" s="642"/>
      <c r="P21" s="642"/>
      <c r="T21" s="834" t="s">
        <v>771</v>
      </c>
      <c r="U21" s="834"/>
      <c r="V21" s="642"/>
      <c r="W21" s="642"/>
      <c r="X21" s="642"/>
    </row>
    <row r="22" spans="1:25" s="635" customFormat="1" ht="12.75" customHeight="1" x14ac:dyDescent="0.2">
      <c r="B22" s="642"/>
      <c r="C22" s="642"/>
      <c r="D22" s="642"/>
      <c r="E22" s="642"/>
      <c r="F22" s="642"/>
      <c r="G22" s="642"/>
      <c r="H22" s="642"/>
      <c r="I22" s="642"/>
      <c r="J22" s="642"/>
      <c r="K22" s="642"/>
      <c r="L22" s="642"/>
      <c r="M22" s="642"/>
      <c r="N22" s="642"/>
      <c r="O22" s="642"/>
      <c r="P22" s="642"/>
      <c r="Q22" s="642"/>
      <c r="R22" s="642"/>
      <c r="S22" s="642"/>
      <c r="T22" s="835"/>
      <c r="U22" s="835"/>
      <c r="V22" s="642"/>
      <c r="W22" s="642"/>
      <c r="X22" s="642"/>
    </row>
    <row r="23" spans="1:25" ht="21.75" customHeight="1" x14ac:dyDescent="0.2">
      <c r="B23" s="41"/>
      <c r="C23" s="41"/>
      <c r="D23" s="54"/>
      <c r="E23" s="41"/>
      <c r="F23" s="41"/>
      <c r="G23" s="41"/>
      <c r="H23" s="41"/>
      <c r="I23" s="53"/>
      <c r="J23" s="53"/>
      <c r="K23" s="53"/>
      <c r="L23" s="53"/>
      <c r="M23" s="53"/>
      <c r="N23" s="53"/>
      <c r="O23" s="428"/>
      <c r="P23" s="428"/>
      <c r="Q23" s="547"/>
      <c r="R23" s="547"/>
      <c r="S23" s="644"/>
      <c r="T23" s="644"/>
      <c r="U23" s="644"/>
      <c r="V23" s="645"/>
    </row>
    <row r="24" spans="1:25" x14ac:dyDescent="0.2">
      <c r="B24" s="32" t="s">
        <v>276</v>
      </c>
      <c r="E24" s="10"/>
      <c r="M24" s="352"/>
      <c r="N24" s="34"/>
      <c r="O24" s="34"/>
      <c r="P24" s="30"/>
      <c r="Q24" s="519"/>
      <c r="R24" s="519"/>
      <c r="S24" s="645"/>
      <c r="T24" s="645"/>
      <c r="U24" s="645"/>
      <c r="V24" s="645"/>
    </row>
    <row r="25" spans="1:25" x14ac:dyDescent="0.2">
      <c r="B25" s="379">
        <v>2016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53"/>
      <c r="N25" s="34"/>
      <c r="O25" s="34"/>
      <c r="P25" s="30"/>
    </row>
    <row r="26" spans="1:25" ht="51" x14ac:dyDescent="0.2">
      <c r="B26" s="51" t="s">
        <v>105</v>
      </c>
      <c r="C26" s="50" t="s">
        <v>104</v>
      </c>
      <c r="D26" s="50" t="s">
        <v>174</v>
      </c>
      <c r="E26" s="50" t="s">
        <v>173</v>
      </c>
      <c r="F26" s="50" t="s">
        <v>175</v>
      </c>
      <c r="G26" s="50" t="s">
        <v>172</v>
      </c>
      <c r="H26" s="50" t="s">
        <v>103</v>
      </c>
      <c r="I26" s="50" t="s">
        <v>102</v>
      </c>
      <c r="J26" s="50" t="s">
        <v>101</v>
      </c>
      <c r="K26" s="50" t="s">
        <v>100</v>
      </c>
      <c r="L26" s="50" t="s">
        <v>99</v>
      </c>
      <c r="M26" s="50" t="s">
        <v>98</v>
      </c>
      <c r="N26" s="50" t="s">
        <v>280</v>
      </c>
      <c r="O26" s="50" t="s">
        <v>97</v>
      </c>
      <c r="P26" s="50" t="s">
        <v>279</v>
      </c>
      <c r="Q26" s="50" t="s">
        <v>277</v>
      </c>
      <c r="R26" s="50" t="s">
        <v>278</v>
      </c>
    </row>
    <row r="27" spans="1:25" x14ac:dyDescent="0.2">
      <c r="B27" s="103" t="s">
        <v>152</v>
      </c>
      <c r="C27" s="41" t="s">
        <v>52</v>
      </c>
      <c r="D27" s="73" t="s">
        <v>51</v>
      </c>
      <c r="E27" s="43" t="e">
        <f ca="1">F27*_xll.BDP(C27,"PX_LAST")</f>
        <v>#NAME?</v>
      </c>
      <c r="F27" s="43">
        <v>76760</v>
      </c>
      <c r="G27" s="104">
        <v>51000</v>
      </c>
      <c r="H27" s="47">
        <f t="shared" ref="H27:H34" si="12">G27/F27</f>
        <v>0.66440854611776967</v>
      </c>
      <c r="I27" s="43">
        <f t="shared" ref="I27:I34" si="13">G27*K27</f>
        <v>6623370</v>
      </c>
      <c r="J27" s="45">
        <f t="shared" ref="J27:J34" si="14">G27*L27</f>
        <v>7045777.5</v>
      </c>
      <c r="K27" s="38">
        <v>129.87</v>
      </c>
      <c r="L27" s="38">
        <v>138.1525</v>
      </c>
      <c r="M27" s="119">
        <f t="shared" ref="M27:M34" si="15">L27/K27-1</f>
        <v>6.3775313775313869E-2</v>
      </c>
      <c r="N27" s="43">
        <f t="shared" ref="N27:N34" si="16">J27-I27</f>
        <v>422407.5</v>
      </c>
      <c r="O27" s="106" t="e">
        <f ca="1">_xll.BDP($C27,"CRNCY")</f>
        <v>#NAME?</v>
      </c>
      <c r="P27" s="43" t="e">
        <f t="shared" ref="P27:P34" ca="1" si="17">N27/R27</f>
        <v>#NAME?</v>
      </c>
      <c r="Q27" s="14">
        <v>42531</v>
      </c>
      <c r="R27" s="22" t="e">
        <f ca="1">_xll.BDH("RUB curncy","PX_LAST",$Q27)</f>
        <v>#NAME?</v>
      </c>
    </row>
    <row r="28" spans="1:25" x14ac:dyDescent="0.2">
      <c r="B28" s="103" t="s">
        <v>732</v>
      </c>
      <c r="C28" s="41" t="s">
        <v>734</v>
      </c>
      <c r="D28" s="73" t="s">
        <v>51</v>
      </c>
      <c r="E28" s="43" t="e">
        <f ca="1">F28*_xll.BDP(C28,"PX_LAST")</f>
        <v>#NAME?</v>
      </c>
      <c r="F28" s="43">
        <v>3000</v>
      </c>
      <c r="G28" s="104">
        <v>3000</v>
      </c>
      <c r="H28" s="47">
        <f t="shared" si="12"/>
        <v>1</v>
      </c>
      <c r="I28" s="43">
        <f t="shared" si="13"/>
        <v>973650</v>
      </c>
      <c r="J28" s="45">
        <f t="shared" si="14"/>
        <v>965313</v>
      </c>
      <c r="K28" s="38">
        <v>324.55</v>
      </c>
      <c r="L28" s="38">
        <v>321.77100000000002</v>
      </c>
      <c r="M28" s="119">
        <f t="shared" si="15"/>
        <v>-8.5626251733168512E-3</v>
      </c>
      <c r="N28" s="43">
        <f t="shared" si="16"/>
        <v>-8337</v>
      </c>
      <c r="O28" s="106" t="e">
        <f ca="1">_xll.BDP($C28,"CRNCY")</f>
        <v>#NAME?</v>
      </c>
      <c r="P28" s="43" t="e">
        <f t="shared" ca="1" si="17"/>
        <v>#NAME?</v>
      </c>
      <c r="Q28" s="14">
        <v>42573</v>
      </c>
      <c r="R28" s="22" t="e">
        <f ca="1">_xll.BDH("RUB curncy","PX_LAST",$Q28)</f>
        <v>#NAME?</v>
      </c>
    </row>
    <row r="29" spans="1:25" x14ac:dyDescent="0.2">
      <c r="B29" s="103" t="s">
        <v>152</v>
      </c>
      <c r="C29" s="41" t="s">
        <v>52</v>
      </c>
      <c r="D29" s="73" t="s">
        <v>51</v>
      </c>
      <c r="E29" s="43" t="e">
        <f ca="1">F29*_xll.BDP(C29,"PX_LAST")</f>
        <v>#NAME?</v>
      </c>
      <c r="F29" s="43">
        <v>76760</v>
      </c>
      <c r="G29" s="104">
        <v>25760</v>
      </c>
      <c r="H29" s="47">
        <f t="shared" si="12"/>
        <v>0.33559145388223033</v>
      </c>
      <c r="I29" s="43">
        <f t="shared" si="13"/>
        <v>3345451.2</v>
      </c>
      <c r="J29" s="45">
        <f t="shared" si="14"/>
        <v>3593520</v>
      </c>
      <c r="K29" s="38">
        <v>129.87</v>
      </c>
      <c r="L29" s="38">
        <v>139.5</v>
      </c>
      <c r="M29" s="119">
        <f t="shared" si="15"/>
        <v>7.4151074151074026E-2</v>
      </c>
      <c r="N29" s="43">
        <f t="shared" si="16"/>
        <v>248068.79999999981</v>
      </c>
      <c r="O29" s="106" t="e">
        <f ca="1">_xll.BDP($C29,"CRNCY")</f>
        <v>#NAME?</v>
      </c>
      <c r="P29" s="43" t="e">
        <f t="shared" ca="1" si="17"/>
        <v>#NAME?</v>
      </c>
      <c r="Q29" s="14">
        <v>42594</v>
      </c>
      <c r="R29" s="22" t="e">
        <f ca="1">_xll.BDH("RUB curncy","PX_LAST",$Q29)</f>
        <v>#NAME?</v>
      </c>
    </row>
    <row r="30" spans="1:25" x14ac:dyDescent="0.2">
      <c r="B30" s="103" t="s">
        <v>670</v>
      </c>
      <c r="C30" s="41" t="s">
        <v>671</v>
      </c>
      <c r="D30" s="73" t="s">
        <v>51</v>
      </c>
      <c r="E30" s="43" t="e">
        <f ca="1">F30*_xll.BDP(C30,"PX_LAST")</f>
        <v>#NAME?</v>
      </c>
      <c r="F30" s="43">
        <v>13920</v>
      </c>
      <c r="G30" s="104">
        <v>13920</v>
      </c>
      <c r="H30" s="47">
        <f t="shared" si="12"/>
        <v>1</v>
      </c>
      <c r="I30" s="43">
        <f t="shared" si="13"/>
        <v>4553510.4000000004</v>
      </c>
      <c r="J30" s="45">
        <f t="shared" si="14"/>
        <v>4592089.6250160001</v>
      </c>
      <c r="K30" s="38">
        <v>327.12</v>
      </c>
      <c r="L30" s="38">
        <v>329.89149605</v>
      </c>
      <c r="M30" s="119">
        <f t="shared" si="15"/>
        <v>8.4724139459524395E-3</v>
      </c>
      <c r="N30" s="43">
        <f t="shared" si="16"/>
        <v>38579.225015999749</v>
      </c>
      <c r="O30" s="106" t="e">
        <f ca="1">_xll.BDP($C30,"CRNCY")</f>
        <v>#NAME?</v>
      </c>
      <c r="P30" s="43" t="e">
        <f t="shared" ca="1" si="17"/>
        <v>#NAME?</v>
      </c>
      <c r="Q30" s="14">
        <v>42594</v>
      </c>
      <c r="R30" s="22" t="e">
        <f ca="1">_xll.BDH("RUB curncy","PX_LAST",$Q30)</f>
        <v>#NAME?</v>
      </c>
    </row>
    <row r="31" spans="1:25" x14ac:dyDescent="0.2">
      <c r="B31" s="103" t="s">
        <v>290</v>
      </c>
      <c r="C31" s="41" t="s">
        <v>57</v>
      </c>
      <c r="D31" s="73" t="s">
        <v>51</v>
      </c>
      <c r="E31" s="43" t="e">
        <f ca="1">F31*_xll.BDP(C31,"PX_LAST")</f>
        <v>#NAME?</v>
      </c>
      <c r="F31" s="43">
        <v>7520</v>
      </c>
      <c r="G31" s="104">
        <v>7520</v>
      </c>
      <c r="H31" s="47">
        <f t="shared" si="12"/>
        <v>1</v>
      </c>
      <c r="I31" s="43">
        <f t="shared" si="13"/>
        <v>5228956.8</v>
      </c>
      <c r="J31" s="45">
        <f t="shared" si="14"/>
        <v>5918240</v>
      </c>
      <c r="K31" s="38">
        <v>695.34</v>
      </c>
      <c r="L31" s="38">
        <v>787</v>
      </c>
      <c r="M31" s="119">
        <f t="shared" si="15"/>
        <v>0.13182040440647746</v>
      </c>
      <c r="N31" s="43">
        <f t="shared" si="16"/>
        <v>689283.20000000019</v>
      </c>
      <c r="O31" s="106" t="e">
        <f ca="1">_xll.BDP($C31,"CRNCY")</f>
        <v>#NAME?</v>
      </c>
      <c r="P31" s="43" t="e">
        <f t="shared" ca="1" si="17"/>
        <v>#NAME?</v>
      </c>
      <c r="Q31" s="14">
        <v>42593</v>
      </c>
      <c r="R31" s="22" t="e">
        <f ca="1">_xll.BDH("RUB curncy","PX_LAST",$Q31)</f>
        <v>#NAME?</v>
      </c>
    </row>
    <row r="32" spans="1:25" x14ac:dyDescent="0.2">
      <c r="B32" s="103" t="s">
        <v>201</v>
      </c>
      <c r="C32" s="41" t="s">
        <v>202</v>
      </c>
      <c r="D32" s="73" t="s">
        <v>51</v>
      </c>
      <c r="E32" s="43" t="e">
        <f ca="1">F32*_xll.BDP(C32,"PX_LAST")</f>
        <v>#NAME?</v>
      </c>
      <c r="F32" s="43">
        <v>928</v>
      </c>
      <c r="G32" s="104">
        <v>928</v>
      </c>
      <c r="H32" s="47">
        <f t="shared" si="12"/>
        <v>1</v>
      </c>
      <c r="I32" s="43">
        <f t="shared" si="13"/>
        <v>2680064</v>
      </c>
      <c r="J32" s="45">
        <f t="shared" si="14"/>
        <v>3003008</v>
      </c>
      <c r="K32" s="38">
        <v>2888</v>
      </c>
      <c r="L32" s="38">
        <v>3236</v>
      </c>
      <c r="M32" s="119">
        <f t="shared" si="15"/>
        <v>0.12049861495844882</v>
      </c>
      <c r="N32" s="43">
        <f t="shared" si="16"/>
        <v>322944</v>
      </c>
      <c r="O32" s="106" t="e">
        <f ca="1">_xll.BDP($C32,"CRNCY")</f>
        <v>#NAME?</v>
      </c>
      <c r="P32" s="43" t="e">
        <f t="shared" ca="1" si="17"/>
        <v>#NAME?</v>
      </c>
      <c r="Q32" s="14">
        <v>42648</v>
      </c>
      <c r="R32" s="22" t="e">
        <f ca="1">_xll.BDH("RUB curncy","PX_LAST",$Q32)</f>
        <v>#NAME?</v>
      </c>
    </row>
    <row r="33" spans="2:22" x14ac:dyDescent="0.2">
      <c r="B33" s="103" t="s">
        <v>107</v>
      </c>
      <c r="C33" s="41" t="s">
        <v>292</v>
      </c>
      <c r="D33" s="73" t="s">
        <v>51</v>
      </c>
      <c r="E33" s="43" t="e">
        <f ca="1">F33*_xll.BDP(C33,"PX_LAST")</f>
        <v>#NAME?</v>
      </c>
      <c r="F33" s="43">
        <v>4600</v>
      </c>
      <c r="G33" s="104">
        <v>4600</v>
      </c>
      <c r="H33" s="47">
        <f t="shared" si="12"/>
        <v>1</v>
      </c>
      <c r="I33" s="43">
        <f t="shared" si="13"/>
        <v>2925600</v>
      </c>
      <c r="J33" s="45">
        <f t="shared" si="14"/>
        <v>3056240</v>
      </c>
      <c r="K33" s="38">
        <v>636</v>
      </c>
      <c r="L33" s="38">
        <v>664.4</v>
      </c>
      <c r="M33" s="119">
        <f t="shared" si="15"/>
        <v>4.4654088050314344E-2</v>
      </c>
      <c r="N33" s="43">
        <f t="shared" si="16"/>
        <v>130640</v>
      </c>
      <c r="O33" s="106" t="e">
        <f ca="1">_xll.BDP($C33,"CRNCY")</f>
        <v>#NAME?</v>
      </c>
      <c r="P33" s="43" t="e">
        <f t="shared" ca="1" si="17"/>
        <v>#NAME?</v>
      </c>
      <c r="Q33" s="14">
        <v>42660</v>
      </c>
      <c r="R33" s="22" t="e">
        <f ca="1">_xll.BDH("RUB curncy","PX_LAST",$Q33)</f>
        <v>#NAME?</v>
      </c>
    </row>
    <row r="34" spans="2:22" x14ac:dyDescent="0.2">
      <c r="B34" s="103" t="s">
        <v>733</v>
      </c>
      <c r="C34" s="41" t="s">
        <v>292</v>
      </c>
      <c r="D34" s="73" t="s">
        <v>51</v>
      </c>
      <c r="E34" s="43" t="e">
        <f ca="1">F34*_xll.BDP(C34,"PX_LAST")</f>
        <v>#NAME?</v>
      </c>
      <c r="F34" s="43">
        <v>5520</v>
      </c>
      <c r="G34" s="104">
        <v>5520</v>
      </c>
      <c r="H34" s="47">
        <f t="shared" si="12"/>
        <v>1</v>
      </c>
      <c r="I34" s="43">
        <f t="shared" si="13"/>
        <v>977040</v>
      </c>
      <c r="J34" s="45">
        <f t="shared" si="14"/>
        <v>1092960</v>
      </c>
      <c r="K34" s="38">
        <v>177</v>
      </c>
      <c r="L34" s="38">
        <v>198</v>
      </c>
      <c r="M34" s="119">
        <f t="shared" si="15"/>
        <v>0.11864406779661008</v>
      </c>
      <c r="N34" s="43">
        <f t="shared" si="16"/>
        <v>115920</v>
      </c>
      <c r="O34" s="106" t="e">
        <f ca="1">_xll.BDP($C34,"CRNCY")</f>
        <v>#NAME?</v>
      </c>
      <c r="P34" s="43" t="e">
        <f t="shared" ca="1" si="17"/>
        <v>#NAME?</v>
      </c>
      <c r="Q34" s="14">
        <v>42677</v>
      </c>
      <c r="R34" s="22" t="e">
        <f ca="1">_xll.BDH("RUB curncy","PX_LAST",$Q34)</f>
        <v>#NAME?</v>
      </c>
    </row>
    <row r="35" spans="2:22" x14ac:dyDescent="0.2">
      <c r="B35" s="103" t="s">
        <v>147</v>
      </c>
      <c r="C35" s="41" t="s">
        <v>53</v>
      </c>
      <c r="D35" s="73" t="s">
        <v>51</v>
      </c>
      <c r="E35" s="43" t="e">
        <f ca="1">F35*_xll.BDP(C35,"PX_LAST")</f>
        <v>#NAME?</v>
      </c>
      <c r="F35" s="43">
        <v>4600</v>
      </c>
      <c r="G35" s="104">
        <v>4600</v>
      </c>
      <c r="H35" s="47">
        <f>G35/F35</f>
        <v>1</v>
      </c>
      <c r="I35" s="43">
        <f>G35*K35</f>
        <v>12502800</v>
      </c>
      <c r="J35" s="45">
        <f>G35*L35</f>
        <v>13570000</v>
      </c>
      <c r="K35" s="38">
        <v>2718</v>
      </c>
      <c r="L35" s="38">
        <v>2950</v>
      </c>
      <c r="M35" s="119">
        <f>L35/K35-1</f>
        <v>8.535688005886688E-2</v>
      </c>
      <c r="N35" s="43">
        <f>J35-I35</f>
        <v>1067200</v>
      </c>
      <c r="O35" s="106" t="e">
        <f ca="1">_xll.BDP($C35,"CRNCY")</f>
        <v>#NAME?</v>
      </c>
      <c r="P35" s="43" t="e">
        <f ca="1">N35/R35</f>
        <v>#NAME?</v>
      </c>
      <c r="Q35" s="14">
        <v>42677</v>
      </c>
      <c r="R35" s="22" t="e">
        <f ca="1">_xll.BDH("RUB curncy","PX_LAST",$Q35)</f>
        <v>#NAME?</v>
      </c>
    </row>
    <row r="36" spans="2:22" x14ac:dyDescent="0.2">
      <c r="B36" s="103" t="s">
        <v>188</v>
      </c>
      <c r="C36" s="41" t="s">
        <v>189</v>
      </c>
      <c r="D36" s="73" t="s">
        <v>51</v>
      </c>
      <c r="E36" s="43" t="e">
        <f ca="1">F36*_xll.BDP(C36,"PX_LAST")</f>
        <v>#NAME?</v>
      </c>
      <c r="F36" s="43">
        <v>45450</v>
      </c>
      <c r="G36" s="104">
        <v>45450</v>
      </c>
      <c r="H36" s="47">
        <f>G36/F36</f>
        <v>1</v>
      </c>
      <c r="I36" s="43">
        <f>G36*K36</f>
        <v>3726900</v>
      </c>
      <c r="J36" s="45">
        <f>G36*L36</f>
        <v>5093025.9192000004</v>
      </c>
      <c r="K36" s="38">
        <v>82</v>
      </c>
      <c r="L36" s="38">
        <v>112.057776</v>
      </c>
      <c r="M36" s="119">
        <f>L36/K36-1</f>
        <v>0.36655824390243907</v>
      </c>
      <c r="N36" s="43">
        <f>J36-I36</f>
        <v>1366125.9192000004</v>
      </c>
      <c r="O36" s="106" t="e">
        <f ca="1">_xll.BDP($C36,"CRNCY")</f>
        <v>#NAME?</v>
      </c>
      <c r="P36" s="43" t="e">
        <f ca="1">N36/R36</f>
        <v>#NAME?</v>
      </c>
      <c r="Q36" s="14">
        <v>42684</v>
      </c>
      <c r="R36" s="22" t="e">
        <f ca="1">_xll.BDH("RUB curncy","PX_LAST",$Q36)</f>
        <v>#NAME?</v>
      </c>
    </row>
    <row r="37" spans="2:22" x14ac:dyDescent="0.2">
      <c r="B37" s="103" t="s">
        <v>388</v>
      </c>
      <c r="C37" s="41" t="s">
        <v>736</v>
      </c>
      <c r="D37" s="73" t="s">
        <v>51</v>
      </c>
      <c r="E37" s="43" t="e">
        <f ca="1">F37*_xll.BDP(C37,"PX_LAST")</f>
        <v>#NAME?</v>
      </c>
      <c r="F37" s="43">
        <v>434</v>
      </c>
      <c r="G37" s="104">
        <v>434</v>
      </c>
      <c r="H37" s="47">
        <f>G37/F37</f>
        <v>1</v>
      </c>
      <c r="I37" s="43">
        <f>G37*K37</f>
        <v>3894282</v>
      </c>
      <c r="J37" s="45">
        <f>G37*L37</f>
        <v>4545716</v>
      </c>
      <c r="K37" s="38">
        <v>8973</v>
      </c>
      <c r="L37" s="38">
        <v>10474</v>
      </c>
      <c r="M37" s="119">
        <f>L37/K37-1</f>
        <v>0.16727961662766067</v>
      </c>
      <c r="N37" s="43">
        <f>J37-I37</f>
        <v>651434</v>
      </c>
      <c r="O37" s="106" t="e">
        <f ca="1">_xll.BDP($C37,"CRNCY")</f>
        <v>#NAME?</v>
      </c>
      <c r="P37" s="43" t="e">
        <f ca="1">N37/R37</f>
        <v>#NAME?</v>
      </c>
      <c r="Q37" s="14">
        <v>42698</v>
      </c>
      <c r="R37" s="22" t="e">
        <f ca="1">_xll.BDH("RUB curncy","PX_LAST",$Q37)</f>
        <v>#NAME?</v>
      </c>
    </row>
    <row r="38" spans="2:22" x14ac:dyDescent="0.2">
      <c r="B38" s="103" t="s">
        <v>95</v>
      </c>
      <c r="C38" s="41" t="s">
        <v>78</v>
      </c>
      <c r="D38" s="73" t="s">
        <v>51</v>
      </c>
      <c r="E38" s="43" t="e">
        <f ca="1">F38*_xll.BDP(C38,"PX_LAST")</f>
        <v>#NAME?</v>
      </c>
      <c r="F38" s="43">
        <v>11840</v>
      </c>
      <c r="G38" s="104">
        <v>11840</v>
      </c>
      <c r="H38" s="47">
        <f>G38/F38</f>
        <v>1</v>
      </c>
      <c r="I38" s="43">
        <f>G38*K38</f>
        <v>2841600</v>
      </c>
      <c r="J38" s="45">
        <f>G38*L38</f>
        <v>3031040</v>
      </c>
      <c r="K38" s="38">
        <v>240</v>
      </c>
      <c r="L38" s="38">
        <v>256</v>
      </c>
      <c r="M38" s="119">
        <f>L38/K38-1</f>
        <v>6.6666666666666652E-2</v>
      </c>
      <c r="N38" s="43">
        <f>J38-I38</f>
        <v>189440</v>
      </c>
      <c r="O38" s="106" t="e">
        <f ca="1">_xll.BDP($C38,"CRNCY")</f>
        <v>#NAME?</v>
      </c>
      <c r="P38" s="43" t="e">
        <f ca="1">N38/R38</f>
        <v>#NAME?</v>
      </c>
      <c r="Q38" s="14">
        <v>42713</v>
      </c>
      <c r="R38" s="22" t="e">
        <f ca="1">_xll.BDH("RUB curncy","PX_LAST",$Q38)</f>
        <v>#NAME?</v>
      </c>
    </row>
    <row r="39" spans="2:22" x14ac:dyDescent="0.2">
      <c r="B39" s="33"/>
      <c r="C39" s="33"/>
      <c r="D39" s="33"/>
      <c r="G39" s="33"/>
      <c r="H39" s="33"/>
      <c r="I39" s="33"/>
      <c r="J39" s="38"/>
      <c r="K39" s="37"/>
      <c r="L39" s="36"/>
      <c r="M39" s="35" t="s">
        <v>94</v>
      </c>
      <c r="N39" s="40">
        <f>SUM(N27:N38)</f>
        <v>5233705.6442160001</v>
      </c>
      <c r="O39" s="34" t="s">
        <v>75</v>
      </c>
      <c r="P39" s="40" t="e">
        <f ca="1">SUM(P27:P38)</f>
        <v>#NAME?</v>
      </c>
      <c r="R39" s="39"/>
    </row>
    <row r="40" spans="2:22" x14ac:dyDescent="0.2">
      <c r="B40" s="32" t="s">
        <v>276</v>
      </c>
      <c r="E40" s="10"/>
      <c r="M40" s="352"/>
      <c r="N40" s="34"/>
      <c r="O40" s="34"/>
      <c r="P40" s="30"/>
      <c r="Q40" s="519"/>
      <c r="R40" s="519"/>
      <c r="S40" s="645"/>
      <c r="T40" s="645"/>
      <c r="U40" s="645"/>
      <c r="V40" s="645"/>
    </row>
    <row r="41" spans="2:22" x14ac:dyDescent="0.2">
      <c r="B41" s="379">
        <v>2016</v>
      </c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53"/>
      <c r="N41" s="34"/>
      <c r="O41" s="34"/>
      <c r="P41" s="30"/>
    </row>
    <row r="42" spans="2:22" ht="51" x14ac:dyDescent="0.2">
      <c r="B42" s="51" t="s">
        <v>105</v>
      </c>
      <c r="C42" s="50" t="s">
        <v>104</v>
      </c>
      <c r="D42" s="50" t="s">
        <v>174</v>
      </c>
      <c r="E42" s="50" t="s">
        <v>173</v>
      </c>
      <c r="F42" s="50" t="s">
        <v>175</v>
      </c>
      <c r="G42" s="50" t="s">
        <v>172</v>
      </c>
      <c r="H42" s="50" t="s">
        <v>103</v>
      </c>
      <c r="I42" s="50" t="s">
        <v>102</v>
      </c>
      <c r="J42" s="50" t="s">
        <v>101</v>
      </c>
      <c r="K42" s="50" t="s">
        <v>100</v>
      </c>
      <c r="L42" s="50" t="s">
        <v>99</v>
      </c>
      <c r="M42" s="50" t="s">
        <v>98</v>
      </c>
      <c r="N42" s="50" t="s">
        <v>280</v>
      </c>
      <c r="O42" s="50" t="s">
        <v>97</v>
      </c>
      <c r="P42" s="50" t="s">
        <v>279</v>
      </c>
      <c r="Q42" s="50" t="s">
        <v>277</v>
      </c>
      <c r="R42" s="50" t="s">
        <v>278</v>
      </c>
    </row>
    <row r="43" spans="2:22" x14ac:dyDescent="0.2">
      <c r="B43" s="103" t="s">
        <v>201</v>
      </c>
      <c r="C43" s="41" t="s">
        <v>202</v>
      </c>
      <c r="D43" s="73" t="s">
        <v>51</v>
      </c>
      <c r="E43" s="43" t="e">
        <f ca="1">F43*_xll.BDP(C43,"PX_LAST")</f>
        <v>#NAME?</v>
      </c>
      <c r="F43" s="43">
        <v>2756</v>
      </c>
      <c r="G43" s="104">
        <v>2756</v>
      </c>
      <c r="H43" s="47">
        <f t="shared" ref="H43" si="18">G43/F43</f>
        <v>1</v>
      </c>
      <c r="I43" s="43">
        <f t="shared" ref="I43" si="19">G43*K43</f>
        <v>9771039.7199999988</v>
      </c>
      <c r="J43" s="45">
        <f t="shared" ref="J43" si="20">G43*L43</f>
        <v>10060144.119999999</v>
      </c>
      <c r="K43" s="38">
        <v>3545.37</v>
      </c>
      <c r="L43" s="38">
        <v>3650.27</v>
      </c>
      <c r="M43" s="119">
        <f t="shared" ref="M43" si="21">L43/K43-1</f>
        <v>2.9587885044438211E-2</v>
      </c>
      <c r="N43" s="43">
        <f t="shared" ref="N43" si="22">J43-I43</f>
        <v>289104.40000000037</v>
      </c>
      <c r="O43" s="106" t="e">
        <f ca="1">_xll.BDP($C43,"CRNCY")</f>
        <v>#NAME?</v>
      </c>
      <c r="P43" s="43" t="e">
        <f t="shared" ref="P43" ca="1" si="23">N43/R43</f>
        <v>#NAME?</v>
      </c>
      <c r="Q43" s="14">
        <v>42758</v>
      </c>
      <c r="R43" s="22" t="e">
        <f ca="1">_xll.BDH("RUB curncy","PX_LAST",$Q43)</f>
        <v>#NAME?</v>
      </c>
    </row>
    <row r="44" spans="2:22" x14ac:dyDescent="0.2">
      <c r="B44" s="33"/>
      <c r="C44" s="33"/>
      <c r="D44" s="33"/>
      <c r="E44" s="33"/>
      <c r="F44" s="33"/>
      <c r="G44" s="33"/>
      <c r="H44" s="38"/>
      <c r="I44" s="37"/>
      <c r="J44" s="36"/>
      <c r="K44" s="35"/>
      <c r="L44" s="30"/>
      <c r="M44" s="34"/>
      <c r="N44" s="33"/>
    </row>
    <row r="45" spans="2:22" x14ac:dyDescent="0.2">
      <c r="B45" s="32" t="s">
        <v>93</v>
      </c>
      <c r="C45" s="10"/>
      <c r="D45" s="31"/>
      <c r="H45" s="31"/>
      <c r="I45" s="10"/>
      <c r="J45" s="10"/>
      <c r="K45" s="29"/>
    </row>
    <row r="46" spans="2:22" ht="13.5" thickBot="1" x14ac:dyDescent="0.25">
      <c r="C46" s="29"/>
      <c r="D46" s="29"/>
      <c r="G46" s="29"/>
      <c r="H46" s="10"/>
      <c r="I46" s="30"/>
      <c r="J46" s="10"/>
      <c r="K46" s="29"/>
    </row>
    <row r="47" spans="2:22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6"/>
      <c r="M47" s="26"/>
      <c r="N47" s="26"/>
      <c r="Q47" s="129"/>
    </row>
    <row r="48" spans="2:22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3" t="s">
        <v>82</v>
      </c>
      <c r="M48" s="23" t="s">
        <v>81</v>
      </c>
      <c r="N48" s="23" t="s">
        <v>80</v>
      </c>
    </row>
    <row r="49" spans="2:14" x14ac:dyDescent="0.2">
      <c r="H49" s="10"/>
    </row>
    <row r="50" spans="2:14" x14ac:dyDescent="0.2">
      <c r="B50" s="287" t="s">
        <v>744</v>
      </c>
      <c r="C50" s="287" t="s">
        <v>19</v>
      </c>
      <c r="D50" s="284" t="e">
        <f ca="1">_xll.BDP(C50,"SECURITY_NAME")</f>
        <v>#NAME?</v>
      </c>
      <c r="E50" s="284" t="s">
        <v>50</v>
      </c>
      <c r="F50" s="285">
        <v>10700</v>
      </c>
      <c r="G50" s="284" t="e">
        <f ca="1">_xll.BDP(C50,"CRNCY")</f>
        <v>#NAME?</v>
      </c>
      <c r="H50" s="281">
        <v>334.4384</v>
      </c>
      <c r="I50" s="282">
        <f>F50*H50</f>
        <v>3578490.8799999999</v>
      </c>
      <c r="J50" s="283" t="e">
        <f ca="1">I50/L50</f>
        <v>#NAME?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42593</v>
      </c>
    </row>
    <row r="51" spans="2:14" x14ac:dyDescent="0.2">
      <c r="B51" s="279"/>
      <c r="C51" s="279"/>
      <c r="D51" s="278"/>
      <c r="E51" s="278"/>
      <c r="F51" s="277">
        <f>SUM(F50:F50)</f>
        <v>10700</v>
      </c>
      <c r="G51" s="278"/>
      <c r="H51" s="276">
        <f>I51/F51</f>
        <v>334.4384</v>
      </c>
      <c r="I51" s="277">
        <f>SUM(I50:I50)</f>
        <v>3578490.8799999999</v>
      </c>
      <c r="J51" s="277" t="e">
        <f ca="1">SUM(J50:J50)</f>
        <v>#NAME?</v>
      </c>
      <c r="K51" s="277" t="e">
        <f ca="1">SUM(K50:K50)</f>
        <v>#NAME?</v>
      </c>
      <c r="L51" s="276"/>
      <c r="M51" s="275"/>
      <c r="N51" s="274"/>
    </row>
    <row r="52" spans="2:14" x14ac:dyDescent="0.2">
      <c r="H52" s="10"/>
    </row>
    <row r="53" spans="2:14" x14ac:dyDescent="0.2">
      <c r="B53" s="287" t="s">
        <v>744</v>
      </c>
      <c r="C53" s="287" t="s">
        <v>42</v>
      </c>
      <c r="D53" s="284" t="e">
        <f ca="1">_xll.BDP(C53,"SECURITY_NAME")</f>
        <v>#NAME?</v>
      </c>
      <c r="E53" s="284" t="s">
        <v>50</v>
      </c>
      <c r="F53" s="285">
        <v>13700</v>
      </c>
      <c r="G53" s="284" t="e">
        <f ca="1">_xll.BDP(C53,"CRNCY")</f>
        <v>#NAME?</v>
      </c>
      <c r="H53" s="281">
        <v>3.5</v>
      </c>
      <c r="I53" s="282">
        <f>F53*H53</f>
        <v>47950</v>
      </c>
      <c r="J53" s="283">
        <f>I53</f>
        <v>47950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42647</v>
      </c>
    </row>
    <row r="54" spans="2:14" x14ac:dyDescent="0.2">
      <c r="B54" s="287" t="s">
        <v>744</v>
      </c>
      <c r="C54" s="287" t="s">
        <v>42</v>
      </c>
      <c r="D54" s="284" t="e">
        <f ca="1">_xll.BDP(C54,"SECURITY_NAME")</f>
        <v>#NAME?</v>
      </c>
      <c r="E54" s="284" t="s">
        <v>50</v>
      </c>
      <c r="F54" s="285">
        <v>13000</v>
      </c>
      <c r="G54" s="284" t="e">
        <f ca="1">_xll.BDP(C54,"CRNCY")</f>
        <v>#NAME?</v>
      </c>
      <c r="H54" s="281">
        <v>4.4705940000000002</v>
      </c>
      <c r="I54" s="282">
        <f>F54*H54</f>
        <v>58117.722000000002</v>
      </c>
      <c r="J54" s="283">
        <f>I54</f>
        <v>58117.722000000002</v>
      </c>
      <c r="K54" s="282" t="e">
        <f ca="1">J54*L54</f>
        <v>#NAME?</v>
      </c>
      <c r="L54" s="281" t="e">
        <f ca="1">_xll.BDH("RUB curncy","PX_LAST",$N54)</f>
        <v>#NAME?</v>
      </c>
      <c r="M54" s="280" t="e">
        <f ca="1">1/_xll.BDH("RUB curncy","PX_LAST",$N54)</f>
        <v>#NAME?</v>
      </c>
      <c r="N54" s="274">
        <v>42594</v>
      </c>
    </row>
    <row r="55" spans="2:14" x14ac:dyDescent="0.2">
      <c r="B55" s="279"/>
      <c r="C55" s="279"/>
      <c r="D55" s="278"/>
      <c r="E55" s="278"/>
      <c r="F55" s="277">
        <f>SUM(F53:F54)</f>
        <v>26700</v>
      </c>
      <c r="G55" s="278"/>
      <c r="H55" s="276">
        <f>I55/F55</f>
        <v>3.9725738576779031</v>
      </c>
      <c r="I55" s="277">
        <f>SUM(I53:I54)</f>
        <v>106067.72200000001</v>
      </c>
      <c r="J55" s="277">
        <f>SUM(J53:J54)</f>
        <v>106067.72200000001</v>
      </c>
      <c r="K55" s="277" t="e">
        <f ca="1">SUM(K53:K54)</f>
        <v>#NAME?</v>
      </c>
      <c r="L55" s="276"/>
      <c r="M55" s="275"/>
      <c r="N55" s="274"/>
    </row>
    <row r="56" spans="2:14" x14ac:dyDescent="0.2">
      <c r="L56" s="13"/>
    </row>
    <row r="57" spans="2:14" x14ac:dyDescent="0.2">
      <c r="B57" s="287" t="s">
        <v>744</v>
      </c>
      <c r="C57" s="286" t="s">
        <v>697</v>
      </c>
      <c r="D57" s="284" t="e">
        <f ca="1">_xll.BDP(C57,"SECURITY_NAME")</f>
        <v>#NAME?</v>
      </c>
      <c r="E57" s="284" t="s">
        <v>50</v>
      </c>
      <c r="F57" s="285">
        <v>200000</v>
      </c>
      <c r="G57" s="284" t="e">
        <f ca="1">_xll.BDP(C57,"CRNCY")</f>
        <v>#NAME?</v>
      </c>
      <c r="H57" s="281">
        <v>94</v>
      </c>
      <c r="I57" s="282">
        <f>F57*H57/100</f>
        <v>188000</v>
      </c>
      <c r="J57" s="283">
        <f>I57</f>
        <v>188000</v>
      </c>
      <c r="K57" s="282" t="e">
        <f ca="1">J57*L57</f>
        <v>#NAME?</v>
      </c>
      <c r="L57" s="281" t="e">
        <f ca="1">_xll.BDH("RUB curncy","PX_LAST",$N57)</f>
        <v>#NAME?</v>
      </c>
      <c r="M57" s="280" t="e">
        <f ca="1">1/_xll.BDH("RUB curncy","PX_LAST",$N57)</f>
        <v>#NAME?</v>
      </c>
      <c r="N57" s="274">
        <v>42690</v>
      </c>
    </row>
    <row r="58" spans="2:14" x14ac:dyDescent="0.2">
      <c r="B58" s="287" t="s">
        <v>744</v>
      </c>
      <c r="C58" s="286" t="s">
        <v>697</v>
      </c>
      <c r="D58" s="284" t="e">
        <f ca="1">_xll.BDP(C58,"SECURITY_NAME")</f>
        <v>#NAME?</v>
      </c>
      <c r="E58" s="284" t="s">
        <v>50</v>
      </c>
      <c r="F58" s="285">
        <v>200000</v>
      </c>
      <c r="G58" s="284" t="e">
        <f ca="1">_xll.BDP(C58,"CRNCY")</f>
        <v>#NAME?</v>
      </c>
      <c r="H58" s="281">
        <v>95</v>
      </c>
      <c r="I58" s="282">
        <f>F58*H58/100</f>
        <v>190000</v>
      </c>
      <c r="J58" s="283">
        <f>I58</f>
        <v>190000</v>
      </c>
      <c r="K58" s="282" t="e">
        <f ca="1">J58*L58</f>
        <v>#NAME?</v>
      </c>
      <c r="L58" s="281" t="e">
        <f ca="1">_xll.BDH("RUB curncy","PX_LAST",$N58)</f>
        <v>#NAME?</v>
      </c>
      <c r="M58" s="280" t="e">
        <f ca="1">1/_xll.BDH("RUB curncy","PX_LAST",$N58)</f>
        <v>#NAME?</v>
      </c>
      <c r="N58" s="274">
        <v>42605</v>
      </c>
    </row>
    <row r="59" spans="2:14" x14ac:dyDescent="0.2">
      <c r="B59" s="279"/>
      <c r="C59" s="279"/>
      <c r="D59" s="278"/>
      <c r="E59" s="278"/>
      <c r="F59" s="277">
        <f>SUM(F57:F58)</f>
        <v>400000</v>
      </c>
      <c r="G59" s="278"/>
      <c r="H59" s="276">
        <f>J59/F59*100</f>
        <v>94.5</v>
      </c>
      <c r="I59" s="277">
        <f>SUM(I57:I58)</f>
        <v>378000</v>
      </c>
      <c r="J59" s="277">
        <f>SUM(J57:J58)</f>
        <v>378000</v>
      </c>
      <c r="K59" s="277" t="e">
        <f ca="1">SUM(K57:K58)</f>
        <v>#NAME?</v>
      </c>
      <c r="L59" s="276"/>
      <c r="M59" s="275"/>
      <c r="N59" s="274"/>
    </row>
    <row r="61" spans="2:14" x14ac:dyDescent="0.2">
      <c r="B61" s="287" t="s">
        <v>744</v>
      </c>
      <c r="C61" s="286" t="s">
        <v>156</v>
      </c>
      <c r="D61" s="284" t="e">
        <f ca="1">_xll.BDP(C61,"SECURITY_NAME")</f>
        <v>#NAME?</v>
      </c>
      <c r="E61" s="284" t="s">
        <v>50</v>
      </c>
      <c r="F61" s="285">
        <v>200000</v>
      </c>
      <c r="G61" s="284" t="e">
        <f ca="1">_xll.BDP(C61,"CRNCY")</f>
        <v>#NAME?</v>
      </c>
      <c r="H61" s="281">
        <v>102</v>
      </c>
      <c r="I61" s="282">
        <f>F61*H61/100</f>
        <v>204000</v>
      </c>
      <c r="J61" s="283">
        <f>I61</f>
        <v>204000</v>
      </c>
      <c r="K61" s="282" t="e">
        <f ca="1">J61*L61</f>
        <v>#NAME?</v>
      </c>
      <c r="L61" s="281" t="e">
        <f ca="1">_xll.BDH("RUB curncy","PX_LAST",$N61)</f>
        <v>#NAME?</v>
      </c>
      <c r="M61" s="280" t="e">
        <f ca="1">1/_xll.BDH("RUB curncy","PX_LAST",$N61)</f>
        <v>#NAME?</v>
      </c>
      <c r="N61" s="274">
        <v>42690</v>
      </c>
    </row>
    <row r="62" spans="2:14" x14ac:dyDescent="0.2">
      <c r="B62" s="287" t="s">
        <v>744</v>
      </c>
      <c r="C62" s="286" t="s">
        <v>156</v>
      </c>
      <c r="D62" s="284" t="e">
        <f ca="1">_xll.BDP(C62,"SECURITY_NAME")</f>
        <v>#NAME?</v>
      </c>
      <c r="E62" s="284" t="s">
        <v>50</v>
      </c>
      <c r="F62" s="285">
        <v>200000</v>
      </c>
      <c r="G62" s="284" t="e">
        <f ca="1">_xll.BDP(C62,"CRNCY")</f>
        <v>#NAME?</v>
      </c>
      <c r="H62" s="281">
        <v>103.5</v>
      </c>
      <c r="I62" s="282">
        <f>F62*H62/100</f>
        <v>207000</v>
      </c>
      <c r="J62" s="283">
        <f>I62</f>
        <v>207000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42639</v>
      </c>
    </row>
    <row r="63" spans="2:14" x14ac:dyDescent="0.2">
      <c r="B63" s="279"/>
      <c r="C63" s="279"/>
      <c r="D63" s="278"/>
      <c r="E63" s="278"/>
      <c r="F63" s="277">
        <f>SUM(F61:F62)</f>
        <v>400000</v>
      </c>
      <c r="G63" s="278"/>
      <c r="H63" s="276">
        <f>J63/F63*100</f>
        <v>102.75000000000001</v>
      </c>
      <c r="I63" s="277">
        <f>SUM(I61:I62)</f>
        <v>411000</v>
      </c>
      <c r="J63" s="277">
        <f>SUM(J61:J62)</f>
        <v>411000</v>
      </c>
      <c r="K63" s="277" t="e">
        <f ca="1">SUM(K61:K62)</f>
        <v>#NAME?</v>
      </c>
      <c r="L63" s="276"/>
      <c r="M63" s="275"/>
      <c r="N63" s="274"/>
    </row>
    <row r="64" spans="2:14" x14ac:dyDescent="0.2">
      <c r="G64" s="10"/>
    </row>
    <row r="65" spans="2:14" x14ac:dyDescent="0.2">
      <c r="B65" s="287" t="s">
        <v>744</v>
      </c>
      <c r="C65" s="287" t="s">
        <v>309</v>
      </c>
      <c r="D65" s="284" t="e">
        <f ca="1">_xll.BDP(C65,"SECURITY_NAME")</f>
        <v>#NAME?</v>
      </c>
      <c r="E65" s="284" t="s">
        <v>50</v>
      </c>
      <c r="F65" s="285">
        <v>147000</v>
      </c>
      <c r="G65" s="284" t="e">
        <f ca="1">_xll.BDP(C65,"CRNCY")</f>
        <v>#NAME?</v>
      </c>
      <c r="H65" s="281">
        <v>20.41</v>
      </c>
      <c r="I65" s="282">
        <f>F65*H65</f>
        <v>3000270</v>
      </c>
      <c r="J65" s="283" t="e">
        <f ca="1">I65/L65</f>
        <v>#NAME?</v>
      </c>
      <c r="K65" s="282" t="e">
        <f ca="1">J65*L65</f>
        <v>#NAME?</v>
      </c>
      <c r="L65" s="281" t="e">
        <f ca="1">_xll.BDH("RUB curncy","PX_LAST",$N65)</f>
        <v>#NAME?</v>
      </c>
      <c r="M65" s="280" t="e">
        <f ca="1">1/_xll.BDH("RUB curncy","PX_LAST",$N65)</f>
        <v>#NAME?</v>
      </c>
      <c r="N65" s="274">
        <v>42648</v>
      </c>
    </row>
    <row r="66" spans="2:14" x14ac:dyDescent="0.2">
      <c r="B66" s="279"/>
      <c r="C66" s="279"/>
      <c r="D66" s="278"/>
      <c r="E66" s="278"/>
      <c r="F66" s="277">
        <f>SUM(F65:F65)</f>
        <v>147000</v>
      </c>
      <c r="G66" s="278"/>
      <c r="H66" s="276">
        <f>I66/F66</f>
        <v>20.41</v>
      </c>
      <c r="I66" s="277">
        <f>SUM(I65:I65)</f>
        <v>3000270</v>
      </c>
      <c r="J66" s="277" t="e">
        <f ca="1">SUM(J65:J65)</f>
        <v>#NAME?</v>
      </c>
      <c r="K66" s="277" t="e">
        <f ca="1">SUM(K65:K65)</f>
        <v>#NAME?</v>
      </c>
      <c r="L66" s="276"/>
      <c r="M66" s="275"/>
      <c r="N66" s="274"/>
    </row>
    <row r="68" spans="2:14" x14ac:dyDescent="0.2">
      <c r="B68" s="287" t="s">
        <v>744</v>
      </c>
      <c r="C68" s="287" t="s">
        <v>336</v>
      </c>
      <c r="D68" s="284" t="e">
        <f ca="1">_xll.BDP(C68,"SECURITY_NAME")</f>
        <v>#NAME?</v>
      </c>
      <c r="E68" s="284" t="s">
        <v>50</v>
      </c>
      <c r="F68" s="285">
        <v>5560</v>
      </c>
      <c r="G68" s="284" t="e">
        <f ca="1">_xll.BDP(C68,"CRNCY")</f>
        <v>#NAME?</v>
      </c>
      <c r="H68" s="281">
        <v>599.19820000000004</v>
      </c>
      <c r="I68" s="282">
        <f>F68*H68</f>
        <v>3331541.9920000001</v>
      </c>
      <c r="J68" s="283" t="e">
        <f ca="1">I68/L68</f>
        <v>#NAME?</v>
      </c>
      <c r="K68" s="282" t="e">
        <f ca="1">J68*L68</f>
        <v>#NAME?</v>
      </c>
      <c r="L68" s="281" t="e">
        <f ca="1">_xll.BDH("RUB curncy","PX_LAST",$N68)</f>
        <v>#NAME?</v>
      </c>
      <c r="M68" s="280" t="e">
        <f ca="1">1/_xll.BDH("RUB curncy","PX_LAST",$N68)</f>
        <v>#NAME?</v>
      </c>
      <c r="N68" s="274">
        <v>42720</v>
      </c>
    </row>
    <row r="69" spans="2:14" x14ac:dyDescent="0.2">
      <c r="B69" s="287" t="s">
        <v>744</v>
      </c>
      <c r="C69" s="287" t="s">
        <v>336</v>
      </c>
      <c r="D69" s="284" t="e">
        <f ca="1">_xll.BDP(C69,"SECURITY_NAME")</f>
        <v>#NAME?</v>
      </c>
      <c r="E69" s="284" t="s">
        <v>50</v>
      </c>
      <c r="F69" s="285">
        <v>3370</v>
      </c>
      <c r="G69" s="284" t="e">
        <f ca="1">_xll.BDP(C69,"CRNCY")</f>
        <v>#NAME?</v>
      </c>
      <c r="H69" s="281">
        <v>712.98099999999999</v>
      </c>
      <c r="I69" s="282">
        <f>F69*H69</f>
        <v>2402745.9700000002</v>
      </c>
      <c r="J69" s="283" t="e">
        <f ca="1">I69/L69</f>
        <v>#NAME?</v>
      </c>
      <c r="K69" s="282" t="e">
        <f ca="1">J69*L69</f>
        <v>#NAME?</v>
      </c>
      <c r="L69" s="281" t="e">
        <f ca="1">_xll.BDH("RUB curncy","PX_LAST",$N69)</f>
        <v>#NAME?</v>
      </c>
      <c r="M69" s="280" t="e">
        <f ca="1">1/_xll.BDH("RUB curncy","PX_LAST",$N69)</f>
        <v>#NAME?</v>
      </c>
      <c r="N69" s="274">
        <v>42648</v>
      </c>
    </row>
    <row r="70" spans="2:14" x14ac:dyDescent="0.2">
      <c r="B70" s="279"/>
      <c r="C70" s="279"/>
      <c r="D70" s="278"/>
      <c r="E70" s="278"/>
      <c r="F70" s="277">
        <f>SUM(F68:F69)</f>
        <v>8930</v>
      </c>
      <c r="G70" s="278"/>
      <c r="H70" s="276">
        <f>I70/F70</f>
        <v>642.13750974244124</v>
      </c>
      <c r="I70" s="277">
        <f>SUM(I68:I69)</f>
        <v>5734287.9620000003</v>
      </c>
      <c r="J70" s="277" t="e">
        <f ca="1">SUM(J68:J69)</f>
        <v>#NAME?</v>
      </c>
      <c r="K70" s="277" t="e">
        <f ca="1">SUM(K68:K69)</f>
        <v>#NAME?</v>
      </c>
      <c r="L70" s="276"/>
      <c r="M70" s="275"/>
      <c r="N70" s="274"/>
    </row>
    <row r="72" spans="2:14" x14ac:dyDescent="0.2">
      <c r="B72" s="287" t="s">
        <v>744</v>
      </c>
      <c r="C72" s="287" t="s">
        <v>334</v>
      </c>
      <c r="D72" s="284" t="e">
        <f ca="1">_xll.BDP(C72,"SECURITY_NAME")</f>
        <v>#NAME?</v>
      </c>
      <c r="E72" s="284" t="s">
        <v>50</v>
      </c>
      <c r="F72" s="285">
        <v>13890</v>
      </c>
      <c r="G72" s="284" t="e">
        <f ca="1">_xll.BDP(C72,"CRNCY")</f>
        <v>#NAME?</v>
      </c>
      <c r="H72" s="281">
        <v>219.26300000000001</v>
      </c>
      <c r="I72" s="282">
        <f>F72*H72</f>
        <v>3045563.0700000003</v>
      </c>
      <c r="J72" s="283" t="e">
        <f ca="1">I72/L72</f>
        <v>#NAME?</v>
      </c>
      <c r="K72" s="282" t="e">
        <f ca="1">J72*L72</f>
        <v>#NAME?</v>
      </c>
      <c r="L72" s="281" t="e">
        <f ca="1">_xll.BDH("RUB curncy","PX_LAST",$N72)</f>
        <v>#NAME?</v>
      </c>
      <c r="M72" s="280" t="e">
        <f ca="1">1/_xll.BDH("RUB curncy","PX_LAST",$N72)</f>
        <v>#NAME?</v>
      </c>
      <c r="N72" s="274">
        <v>42660</v>
      </c>
    </row>
    <row r="73" spans="2:14" x14ac:dyDescent="0.2">
      <c r="B73" s="279"/>
      <c r="C73" s="279"/>
      <c r="D73" s="278"/>
      <c r="E73" s="278"/>
      <c r="F73" s="277">
        <f>SUM(F72:F72)</f>
        <v>13890</v>
      </c>
      <c r="G73" s="278"/>
      <c r="H73" s="276">
        <f>I73/F73</f>
        <v>219.26300000000003</v>
      </c>
      <c r="I73" s="277">
        <f>SUM(I72:I72)</f>
        <v>3045563.0700000003</v>
      </c>
      <c r="J73" s="277" t="e">
        <f ca="1">SUM(J72:J72)</f>
        <v>#NAME?</v>
      </c>
      <c r="K73" s="277" t="e">
        <f ca="1">SUM(K72:K72)</f>
        <v>#NAME?</v>
      </c>
      <c r="L73" s="276"/>
      <c r="M73" s="275"/>
      <c r="N73" s="274"/>
    </row>
    <row r="74" spans="2:14" s="409" customFormat="1" x14ac:dyDescent="0.2">
      <c r="B74" s="688"/>
      <c r="C74" s="688"/>
      <c r="D74" s="689"/>
      <c r="E74" s="689"/>
      <c r="F74" s="690"/>
      <c r="G74" s="689"/>
      <c r="H74" s="691"/>
      <c r="I74" s="690"/>
      <c r="J74" s="690"/>
      <c r="K74" s="690"/>
      <c r="L74" s="691"/>
      <c r="M74" s="692"/>
      <c r="N74" s="401"/>
    </row>
    <row r="75" spans="2:14" x14ac:dyDescent="0.2">
      <c r="B75" s="287" t="s">
        <v>744</v>
      </c>
      <c r="C75" s="286" t="s">
        <v>828</v>
      </c>
      <c r="D75" s="284" t="e">
        <f ca="1">_xll.BDP(C75,"SECURITY_NAME")</f>
        <v>#NAME?</v>
      </c>
      <c r="E75" s="284" t="s">
        <v>50</v>
      </c>
      <c r="F75" s="285">
        <v>200000</v>
      </c>
      <c r="G75" s="284" t="e">
        <f ca="1">_xll.BDP(C75,"CRNCY")</f>
        <v>#NAME?</v>
      </c>
      <c r="H75" s="281">
        <v>93</v>
      </c>
      <c r="I75" s="282">
        <f>F75*H75/100</f>
        <v>186000</v>
      </c>
      <c r="J75" s="283">
        <f>I75</f>
        <v>186000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42685</v>
      </c>
    </row>
    <row r="76" spans="2:14" x14ac:dyDescent="0.2">
      <c r="B76" s="279"/>
      <c r="C76" s="279"/>
      <c r="D76" s="278"/>
      <c r="E76" s="278"/>
      <c r="F76" s="277">
        <f>SUM(F75:F75)</f>
        <v>200000</v>
      </c>
      <c r="G76" s="278"/>
      <c r="H76" s="276">
        <f>J76/F76*100</f>
        <v>93</v>
      </c>
      <c r="I76" s="277">
        <f>SUM(I75:I75)</f>
        <v>186000</v>
      </c>
      <c r="J76" s="277">
        <f>SUM(J75:J75)</f>
        <v>186000</v>
      </c>
      <c r="K76" s="277" t="e">
        <f ca="1">SUM(K75:K75)</f>
        <v>#NAME?</v>
      </c>
      <c r="L76" s="276"/>
      <c r="M76" s="275"/>
      <c r="N76" s="274"/>
    </row>
    <row r="78" spans="2:14" x14ac:dyDescent="0.2">
      <c r="B78" s="287" t="s">
        <v>744</v>
      </c>
      <c r="C78" s="286" t="s">
        <v>225</v>
      </c>
      <c r="D78" s="284" t="e">
        <f ca="1">_xll.BDP(C78,"SECURITY_NAME")</f>
        <v>#NAME?</v>
      </c>
      <c r="E78" s="284" t="s">
        <v>50</v>
      </c>
      <c r="F78" s="285">
        <v>200000</v>
      </c>
      <c r="G78" s="284" t="e">
        <f ca="1">_xll.BDP(C78,"CRNCY")</f>
        <v>#NAME?</v>
      </c>
      <c r="H78" s="281">
        <v>98.905000000000001</v>
      </c>
      <c r="I78" s="282">
        <f>F78*H78/100</f>
        <v>197810</v>
      </c>
      <c r="J78" s="283">
        <f>I78</f>
        <v>197810</v>
      </c>
      <c r="K78" s="282" t="e">
        <f ca="1">J78*L78</f>
        <v>#NAME?</v>
      </c>
      <c r="L78" s="281" t="e">
        <f ca="1">_xll.BDH("RUB curncy","PX_LAST",$N78)</f>
        <v>#NAME?</v>
      </c>
      <c r="M78" s="280" t="e">
        <f ca="1">1/_xll.BDH("RUB curncy","PX_LAST",$N78)</f>
        <v>#NAME?</v>
      </c>
      <c r="N78" s="274">
        <v>42690</v>
      </c>
    </row>
    <row r="79" spans="2:14" x14ac:dyDescent="0.2">
      <c r="B79" s="279"/>
      <c r="C79" s="279"/>
      <c r="D79" s="278"/>
      <c r="E79" s="278"/>
      <c r="F79" s="277">
        <f>SUM(F78:F78)</f>
        <v>200000</v>
      </c>
      <c r="G79" s="278"/>
      <c r="H79" s="276">
        <f>J79/F79*100</f>
        <v>98.905000000000001</v>
      </c>
      <c r="I79" s="277">
        <f>SUM(I78:I78)</f>
        <v>197810</v>
      </c>
      <c r="J79" s="277">
        <f>SUM(J78:J78)</f>
        <v>197810</v>
      </c>
      <c r="K79" s="277" t="e">
        <f ca="1">SUM(K78:K78)</f>
        <v>#NAME?</v>
      </c>
      <c r="L79" s="276"/>
      <c r="M79" s="275"/>
      <c r="N79" s="274"/>
    </row>
    <row r="81" spans="2:14" x14ac:dyDescent="0.2">
      <c r="B81" s="287" t="s">
        <v>744</v>
      </c>
      <c r="C81" s="287" t="s">
        <v>65</v>
      </c>
      <c r="D81" s="284" t="e">
        <f ca="1">_xll.BDP(C81,"SECURITY_NAME")</f>
        <v>#NAME?</v>
      </c>
      <c r="E81" s="284" t="s">
        <v>50</v>
      </c>
      <c r="F81" s="285">
        <v>1256</v>
      </c>
      <c r="G81" s="284" t="e">
        <f ca="1">_xll.BDP(C81,"CRNCY")</f>
        <v>#NAME?</v>
      </c>
      <c r="H81" s="281">
        <v>3550</v>
      </c>
      <c r="I81" s="282">
        <f>F81*H81</f>
        <v>4458800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42699</v>
      </c>
    </row>
    <row r="82" spans="2:14" x14ac:dyDescent="0.2">
      <c r="B82" s="287" t="s">
        <v>744</v>
      </c>
      <c r="C82" s="287" t="s">
        <v>65</v>
      </c>
      <c r="D82" s="284" t="e">
        <f ca="1">_xll.BDP(C82,"SECURITY_NAME")</f>
        <v>#NAME?</v>
      </c>
      <c r="E82" s="284" t="s">
        <v>50</v>
      </c>
      <c r="F82" s="285">
        <v>1500</v>
      </c>
      <c r="G82" s="284" t="e">
        <f ca="1">_xll.BDP(C82,"CRNCY")</f>
        <v>#NAME?</v>
      </c>
      <c r="H82" s="281">
        <v>3541.5</v>
      </c>
      <c r="I82" s="282">
        <f>F82*H82</f>
        <v>5312250</v>
      </c>
      <c r="J82" s="283" t="e">
        <f ca="1">I82/L82</f>
        <v>#NAME?</v>
      </c>
      <c r="K82" s="282" t="e">
        <f ca="1">J82*L82</f>
        <v>#NAME?</v>
      </c>
      <c r="L82" s="281" t="e">
        <f ca="1">_xll.BDH("RUB curncy","PX_LAST",$N82)</f>
        <v>#NAME?</v>
      </c>
      <c r="M82" s="280" t="e">
        <f ca="1">1/_xll.BDH("RUB curncy","PX_LAST",$N82)</f>
        <v>#NAME?</v>
      </c>
      <c r="N82" s="274">
        <v>42698</v>
      </c>
    </row>
    <row r="83" spans="2:14" x14ac:dyDescent="0.2">
      <c r="B83" s="279"/>
      <c r="C83" s="279"/>
      <c r="D83" s="278"/>
      <c r="E83" s="278"/>
      <c r="F83" s="277">
        <f>SUM(F81:F82)</f>
        <v>2756</v>
      </c>
      <c r="G83" s="278"/>
      <c r="H83" s="276">
        <f>I83/F83</f>
        <v>3545.3737300435414</v>
      </c>
      <c r="I83" s="277">
        <f>SUM(I81:I82)</f>
        <v>9771050</v>
      </c>
      <c r="J83" s="277" t="e">
        <f ca="1">SUM(J81:J82)</f>
        <v>#NAME?</v>
      </c>
      <c r="K83" s="277" t="e">
        <f ca="1">SUM(K81:K82)</f>
        <v>#NAME?</v>
      </c>
      <c r="L83" s="276"/>
      <c r="M83" s="275"/>
      <c r="N83" s="274"/>
    </row>
    <row r="85" spans="2:14" x14ac:dyDescent="0.2">
      <c r="B85" s="287" t="s">
        <v>744</v>
      </c>
      <c r="C85" s="287" t="s">
        <v>2</v>
      </c>
      <c r="D85" s="284" t="e">
        <f ca="1">_xll.BDP(C85,"SECURITY_NAME")</f>
        <v>#NAME?</v>
      </c>
      <c r="E85" s="284" t="s">
        <v>50</v>
      </c>
      <c r="F85" s="285">
        <v>4520</v>
      </c>
      <c r="G85" s="284" t="e">
        <f ca="1">_xll.BDP(C85,"CRNCY")</f>
        <v>#NAME?</v>
      </c>
      <c r="H85" s="281">
        <v>609</v>
      </c>
      <c r="I85" s="282">
        <f>F85*H85</f>
        <v>2752680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42719</v>
      </c>
    </row>
    <row r="86" spans="2:14" x14ac:dyDescent="0.2">
      <c r="B86" s="287" t="s">
        <v>744</v>
      </c>
      <c r="C86" s="287" t="s">
        <v>2</v>
      </c>
      <c r="D86" s="284" t="e">
        <f ca="1">_xll.BDP(C86,"SECURITY_NAME")</f>
        <v>#NAME?</v>
      </c>
      <c r="E86" s="284" t="s">
        <v>50</v>
      </c>
      <c r="F86" s="285">
        <v>4520</v>
      </c>
      <c r="G86" s="284" t="e">
        <f ca="1">_xll.BDP(C86,"CRNCY")</f>
        <v>#NAME?</v>
      </c>
      <c r="H86" s="281">
        <v>597</v>
      </c>
      <c r="I86" s="282">
        <f>F86*H86</f>
        <v>2698440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42713</v>
      </c>
    </row>
    <row r="87" spans="2:14" x14ac:dyDescent="0.2">
      <c r="B87" s="279"/>
      <c r="C87" s="279"/>
      <c r="D87" s="278"/>
      <c r="E87" s="278"/>
      <c r="F87" s="277">
        <f>SUM(F85:F86)</f>
        <v>9040</v>
      </c>
      <c r="G87" s="278"/>
      <c r="H87" s="276">
        <f>I87/F87</f>
        <v>603</v>
      </c>
      <c r="I87" s="277">
        <f>SUM(I85:I86)</f>
        <v>5451120</v>
      </c>
      <c r="J87" s="277" t="e">
        <f ca="1">SUM(J85:J86)</f>
        <v>#NAME?</v>
      </c>
      <c r="K87" s="277" t="e">
        <f ca="1">SUM(K85:K86)</f>
        <v>#NAME?</v>
      </c>
      <c r="L87" s="276"/>
      <c r="M87" s="275"/>
      <c r="N87" s="274"/>
    </row>
    <row r="89" spans="2:14" x14ac:dyDescent="0.2">
      <c r="B89" s="287" t="s">
        <v>744</v>
      </c>
      <c r="C89" s="287" t="s">
        <v>66</v>
      </c>
      <c r="D89" s="284" t="e">
        <f ca="1">_xll.BDP(C89,"SECURITY_NAME")</f>
        <v>#NAME?</v>
      </c>
      <c r="E89" s="284" t="s">
        <v>50</v>
      </c>
      <c r="F89" s="285">
        <v>5920</v>
      </c>
      <c r="G89" s="284" t="e">
        <f ca="1">_xll.BDP(C89,"CRNCY")</f>
        <v>#NAME?</v>
      </c>
      <c r="H89" s="281">
        <v>8</v>
      </c>
      <c r="I89" s="282">
        <f>F89*H89</f>
        <v>47360</v>
      </c>
      <c r="J89" s="283">
        <f>I89</f>
        <v>47360</v>
      </c>
      <c r="K89" s="282" t="e">
        <f ca="1">J89*L89</f>
        <v>#NAME?</v>
      </c>
      <c r="L89" s="281" t="e">
        <f ca="1">_xll.BDH("RUB curncy","PX_LAST",$N89)</f>
        <v>#NAME?</v>
      </c>
      <c r="M89" s="280" t="e">
        <f ca="1">1/_xll.BDH("RUB curncy","PX_LAST",$N89)</f>
        <v>#NAME?</v>
      </c>
      <c r="N89" s="274">
        <v>42719</v>
      </c>
    </row>
    <row r="90" spans="2:14" x14ac:dyDescent="0.2">
      <c r="B90" s="279"/>
      <c r="C90" s="279"/>
      <c r="D90" s="278"/>
      <c r="E90" s="278"/>
      <c r="F90" s="277">
        <f>SUM(F89)</f>
        <v>5920</v>
      </c>
      <c r="G90" s="278"/>
      <c r="H90" s="276">
        <f>I90/F90</f>
        <v>8</v>
      </c>
      <c r="I90" s="277">
        <f>SUM(I89)</f>
        <v>47360</v>
      </c>
      <c r="J90" s="277">
        <f>SUM(J89)</f>
        <v>47360</v>
      </c>
      <c r="K90" s="277" t="e">
        <f ca="1">SUM(K89)</f>
        <v>#NAME?</v>
      </c>
      <c r="L90" s="276"/>
      <c r="M90" s="275"/>
      <c r="N90" s="274"/>
    </row>
  </sheetData>
  <sortState ref="A15:Y18">
    <sortCondition descending="1" ref="T15:T18"/>
  </sortState>
  <mergeCells count="1">
    <mergeCell ref="T21:U22"/>
  </mergeCells>
  <conditionalFormatting sqref="Y12">
    <cfRule type="dataBar" priority="1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{E84EECE8-FC7E-4377-93B2-906AF5A1B431}</x14:id>
        </ext>
      </extLst>
    </cfRule>
  </conditionalFormatting>
  <conditionalFormatting sqref="I12">
    <cfRule type="dataBar" priority="1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{3053EF17-61ED-4C8D-A471-3916D206E182}</x14:id>
        </ext>
      </extLst>
    </cfRule>
  </conditionalFormatting>
  <conditionalFormatting sqref="K12">
    <cfRule type="dataBar" priority="1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{EDBD64B5-7095-4C3F-9F21-5BDE13420AED}</x14:id>
        </ext>
      </extLst>
    </cfRule>
  </conditionalFormatting>
  <conditionalFormatting sqref="V12">
    <cfRule type="dataBar" priority="1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{D46F9ACC-D499-4D60-BBA6-3B51B3377510}</x14:id>
        </ext>
      </extLst>
    </cfRule>
  </conditionalFormatting>
  <conditionalFormatting sqref="W12">
    <cfRule type="dataBar" priority="1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{AF8F0F48-5D1E-435E-B8AF-4A1210E2E490}</x14:id>
        </ext>
      </extLst>
    </cfRule>
  </conditionalFormatting>
  <conditionalFormatting sqref="X12">
    <cfRule type="dataBar" priority="1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{3CF2E69D-BF6A-470E-8E22-1445B541318C}</x14:id>
        </ext>
      </extLst>
    </cfRule>
  </conditionalFormatting>
  <conditionalFormatting sqref="Y12">
    <cfRule type="dataBar" priority="1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{DBEC2672-D57B-42B4-9A26-6214BE09964A}</x14:id>
        </ext>
      </extLst>
    </cfRule>
  </conditionalFormatting>
  <conditionalFormatting sqref="I12">
    <cfRule type="dataBar" priority="1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{E648A72F-1BDA-4A67-ADBF-50DDCB298132}</x14:id>
        </ext>
      </extLst>
    </cfRule>
  </conditionalFormatting>
  <conditionalFormatting sqref="K12">
    <cfRule type="dataBar" priority="1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{396902D9-4EC5-454E-86D4-4293D0CDEF6F}</x14:id>
        </ext>
      </extLst>
    </cfRule>
  </conditionalFormatting>
  <conditionalFormatting sqref="I12">
    <cfRule type="dataBar" priority="1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{97A1844D-E363-4956-9635-DD6909823835}</x14:id>
        </ext>
      </extLst>
    </cfRule>
  </conditionalFormatting>
  <conditionalFormatting sqref="K12">
    <cfRule type="dataBar" priority="1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{6CB35FB8-9703-4E8D-B108-F795A5AFE585}</x14:id>
        </ext>
      </extLst>
    </cfRule>
  </conditionalFormatting>
  <conditionalFormatting sqref="Y4">
    <cfRule type="dataBar" priority="1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{751E2F72-6F26-4B78-B374-A757F9B810C8}</x14:id>
        </ext>
      </extLst>
    </cfRule>
  </conditionalFormatting>
  <conditionalFormatting sqref="I4">
    <cfRule type="dataBar" priority="1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{8871975D-643C-4408-B9F1-2F967200626D}</x14:id>
        </ext>
      </extLst>
    </cfRule>
  </conditionalFormatting>
  <conditionalFormatting sqref="K4">
    <cfRule type="dataBar" priority="1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{B6D26DAC-50A8-4D69-B2AC-355AEB119093}</x14:id>
        </ext>
      </extLst>
    </cfRule>
  </conditionalFormatting>
  <conditionalFormatting sqref="V4">
    <cfRule type="dataBar" priority="1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{83CF04A7-1AEC-4FBD-9F6A-6BC63B15D276}</x14:id>
        </ext>
      </extLst>
    </cfRule>
  </conditionalFormatting>
  <conditionalFormatting sqref="W4">
    <cfRule type="dataBar" priority="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{29C3995D-AE92-429B-BEA6-80C2CCA4B87B}</x14:id>
        </ext>
      </extLst>
    </cfRule>
  </conditionalFormatting>
  <conditionalFormatting sqref="X4">
    <cfRule type="dataBar" priority="1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{CC5655B2-E0A2-482C-8A00-985297929085}</x14:id>
        </ext>
      </extLst>
    </cfRule>
  </conditionalFormatting>
  <conditionalFormatting sqref="Y4">
    <cfRule type="dataBar" priority="1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{B7DDB076-088F-450F-94FD-1987D0C540C0}</x14:id>
        </ext>
      </extLst>
    </cfRule>
  </conditionalFormatting>
  <conditionalFormatting sqref="I4">
    <cfRule type="dataBar" priority="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{1C852D35-0E41-4E78-812D-557FDCBF9B79}</x14:id>
        </ext>
      </extLst>
    </cfRule>
  </conditionalFormatting>
  <conditionalFormatting sqref="K4">
    <cfRule type="dataBar" priority="17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{CC2FEF14-930D-4E91-B43B-8D5F7B47FDBA}</x14:id>
        </ext>
      </extLst>
    </cfRule>
  </conditionalFormatting>
  <conditionalFormatting sqref="I4">
    <cfRule type="dataBar" priority="1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{77ADBE10-3186-4F7F-9F1C-5ECD4F6D67DE}</x14:id>
        </ext>
      </extLst>
    </cfRule>
  </conditionalFormatting>
  <conditionalFormatting sqref="K4">
    <cfRule type="dataBar" priority="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{0532F485-80CA-43D7-A781-B6CAD124EFA5}</x14:id>
        </ext>
      </extLst>
    </cfRule>
  </conditionalFormatting>
  <conditionalFormatting sqref="T4">
    <cfRule type="dataBar" priority="1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{C30D04EE-6F8C-4127-B50E-3D8C8102D2CD}</x14:id>
        </ext>
      </extLst>
    </cfRule>
  </conditionalFormatting>
  <conditionalFormatting sqref="T4">
    <cfRule type="dataBar" priority="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{37D8BCCF-70C8-4B56-AC55-AE35068FC85E}</x14:id>
        </ext>
      </extLst>
    </cfRule>
  </conditionalFormatting>
  <conditionalFormatting sqref="T4">
    <cfRule type="dataBar" priority="1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{D28739E4-E483-46DF-A43D-1B2A9C960EA0}</x14:id>
        </ext>
      </extLst>
    </cfRule>
  </conditionalFormatting>
  <conditionalFormatting sqref="T4">
    <cfRule type="dataBar" priority="1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{1887DAAC-66F0-466D-B886-19E378B57768}</x14:id>
        </ext>
      </extLst>
    </cfRule>
  </conditionalFormatting>
  <conditionalFormatting sqref="Y8:Y10 Y14">
    <cfRule type="dataBar" priority="2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{888D6F04-80B2-4782-BE6B-FEAFE3A600D6}</x14:id>
        </ext>
      </extLst>
    </cfRule>
  </conditionalFormatting>
  <conditionalFormatting sqref="Y11">
    <cfRule type="dataBar" priority="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{4866355A-9BEE-4EBF-A4D1-288105D463FD}</x14:id>
        </ext>
      </extLst>
    </cfRule>
  </conditionalFormatting>
  <conditionalFormatting sqref="I11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{4EFA973B-772D-4942-A4AA-ED06A63E65CA}</x14:id>
        </ext>
      </extLst>
    </cfRule>
  </conditionalFormatting>
  <conditionalFormatting sqref="K11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{D3D8CD3C-7F62-401D-AE6F-BFCAF10C5277}</x14:id>
        </ext>
      </extLst>
    </cfRule>
  </conditionalFormatting>
  <conditionalFormatting sqref="V11">
    <cfRule type="dataBar" priority="1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{B8749CDC-9968-4088-95BB-5BA0C82D7055}</x14:id>
        </ext>
      </extLst>
    </cfRule>
  </conditionalFormatting>
  <conditionalFormatting sqref="W11">
    <cfRule type="dataBar" priority="14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{25AABF7D-7436-4B29-B7AE-E373C9CC7BF5}</x14:id>
        </ext>
      </extLst>
    </cfRule>
  </conditionalFormatting>
  <conditionalFormatting sqref="X11">
    <cfRule type="dataBar" priority="1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{14A5CC57-2F4D-4C62-8A1E-F46CAC14C20D}</x14:id>
        </ext>
      </extLst>
    </cfRule>
  </conditionalFormatting>
  <conditionalFormatting sqref="Y11">
    <cfRule type="dataBar" priority="1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{47F1CE1D-F8EE-45E9-85F9-8F598272E256}</x14:id>
        </ext>
      </extLst>
    </cfRule>
  </conditionalFormatting>
  <conditionalFormatting sqref="I11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{203C0D35-2184-473C-B962-69AF6F77FD22}</x14:id>
        </ext>
      </extLst>
    </cfRule>
  </conditionalFormatting>
  <conditionalFormatting sqref="K11">
    <cfRule type="dataBar" priority="1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{E637B517-5B6C-46A6-A4FA-5F08FCFD8A33}</x14:id>
        </ext>
      </extLst>
    </cfRule>
  </conditionalFormatting>
  <conditionalFormatting sqref="I11">
    <cfRule type="dataBar" priority="14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{E1BB419E-3E1B-46CF-8764-D7C42E49A9E7}</x14:id>
        </ext>
      </extLst>
    </cfRule>
  </conditionalFormatting>
  <conditionalFormatting sqref="K11">
    <cfRule type="dataBar" priority="1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{F271FDE6-B612-496D-A281-E5E42D19F694}</x14:id>
        </ext>
      </extLst>
    </cfRule>
  </conditionalFormatting>
  <conditionalFormatting sqref="T11">
    <cfRule type="dataBar" priority="1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{1BC5CACA-B204-4565-8503-4A6F4DA1FD49}</x14:id>
        </ext>
      </extLst>
    </cfRule>
  </conditionalFormatting>
  <conditionalFormatting sqref="T11">
    <cfRule type="dataBar" priority="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{2380A474-ABDD-47E2-9C40-CBBE602E172A}</x14:id>
        </ext>
      </extLst>
    </cfRule>
  </conditionalFormatting>
  <conditionalFormatting sqref="K11">
    <cfRule type="dataBar" priority="14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{FE46C73C-D974-467F-BE99-E6C6C8BBB31B}</x14:id>
        </ext>
      </extLst>
    </cfRule>
  </conditionalFormatting>
  <conditionalFormatting sqref="Y13">
    <cfRule type="dataBar" priority="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{C399BF94-D0E3-4416-B43E-125327381DD7}</x14:id>
        </ext>
      </extLst>
    </cfRule>
  </conditionalFormatting>
  <conditionalFormatting sqref="I1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{7F046B49-942A-4F60-AB96-A1FEB4734FDD}</x14:id>
        </ext>
      </extLst>
    </cfRule>
  </conditionalFormatting>
  <conditionalFormatting sqref="K1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{9FA7AB1B-D0D1-456B-A275-B2A422217967}</x14:id>
        </ext>
      </extLst>
    </cfRule>
  </conditionalFormatting>
  <conditionalFormatting sqref="V13">
    <cfRule type="dataBar" priority="1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{5B08CB57-6C0C-4C77-9472-8254B266F0D2}</x14:id>
        </ext>
      </extLst>
    </cfRule>
  </conditionalFormatting>
  <conditionalFormatting sqref="W13">
    <cfRule type="dataBar" priority="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{FF5A4F9B-6996-4D11-9D08-FEF63194C2F9}</x14:id>
        </ext>
      </extLst>
    </cfRule>
  </conditionalFormatting>
  <conditionalFormatting sqref="X13">
    <cfRule type="dataBar" priority="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{C45703AC-CF70-4A52-BE55-B78A71CC48BE}</x14:id>
        </ext>
      </extLst>
    </cfRule>
  </conditionalFormatting>
  <conditionalFormatting sqref="Y13">
    <cfRule type="dataBar" priority="1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{AF3031A4-0EBD-44FC-9584-89966B4BEF29}</x14:id>
        </ext>
      </extLst>
    </cfRule>
  </conditionalFormatting>
  <conditionalFormatting sqref="I1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{23DC4464-60CC-4B8F-984A-5862A788A778}</x14:id>
        </ext>
      </extLst>
    </cfRule>
  </conditionalFormatting>
  <conditionalFormatting sqref="K1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{8D9A5126-10EA-4BD2-A3C6-A51483F45D66}</x14:id>
        </ext>
      </extLst>
    </cfRule>
  </conditionalFormatting>
  <conditionalFormatting sqref="I1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{1A6F4907-B60A-47BD-B06A-CF985EA68ED9}</x14:id>
        </ext>
      </extLst>
    </cfRule>
  </conditionalFormatting>
  <conditionalFormatting sqref="K1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{E07EBD43-99BA-4084-83E6-6D540E3B7A3C}</x14:id>
        </ext>
      </extLst>
    </cfRule>
  </conditionalFormatting>
  <conditionalFormatting sqref="T13">
    <cfRule type="dataBar" priority="1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{56705592-F1CB-416D-A5F9-740E51E95E7A}</x14:id>
        </ext>
      </extLst>
    </cfRule>
  </conditionalFormatting>
  <conditionalFormatting sqref="T13">
    <cfRule type="dataBar" priority="1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{0904803C-620C-47C4-90BC-61EC7F871E8B}</x14:id>
        </ext>
      </extLst>
    </cfRule>
  </conditionalFormatting>
  <conditionalFormatting sqref="T13">
    <cfRule type="dataBar" priority="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{C8B80421-F34D-42F2-A6C2-8C43CD06A7FD}</x14:id>
        </ext>
      </extLst>
    </cfRule>
  </conditionalFormatting>
  <conditionalFormatting sqref="K1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{A03EDC37-B66B-4BE9-97C7-4E75F75CC3F1}</x14:id>
        </ext>
      </extLst>
    </cfRule>
  </conditionalFormatting>
  <conditionalFormatting sqref="H27">
    <cfRule type="dataBar" priority="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{05C7CA04-E0A2-49D0-8FF3-92F5F4C20679}</x14:id>
        </ext>
      </extLst>
    </cfRule>
    <cfRule type="cellIs" dxfId="8126" priority="1407" operator="equal">
      <formula>1</formula>
    </cfRule>
  </conditionalFormatting>
  <conditionalFormatting sqref="D27">
    <cfRule type="containsText" dxfId="8125" priority="1405" operator="containsText" text="Buy">
      <formula>NOT(ISERROR(SEARCH("Buy",D27)))</formula>
    </cfRule>
    <cfRule type="containsText" dxfId="8124" priority="1406" operator="containsText" text="Sell">
      <formula>NOT(ISERROR(SEARCH("Sell",D27)))</formula>
    </cfRule>
  </conditionalFormatting>
  <conditionalFormatting sqref="H28">
    <cfRule type="dataBar" priority="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{8093CCB6-BD78-46E7-A301-6250F9E05763}</x14:id>
        </ext>
      </extLst>
    </cfRule>
    <cfRule type="cellIs" dxfId="8123" priority="1403" operator="equal">
      <formula>1</formula>
    </cfRule>
  </conditionalFormatting>
  <conditionalFormatting sqref="D28">
    <cfRule type="containsText" dxfId="8122" priority="1401" operator="containsText" text="Buy">
      <formula>NOT(ISERROR(SEARCH("Buy",D28)))</formula>
    </cfRule>
    <cfRule type="containsText" dxfId="8121" priority="1402" operator="containsText" text="Sell">
      <formula>NOT(ISERROR(SEARCH("Sell",D28)))</formula>
    </cfRule>
  </conditionalFormatting>
  <conditionalFormatting sqref="H29">
    <cfRule type="dataBar" priority="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{88FCF1F7-C13D-4985-84ED-0BE487EB8E99}</x14:id>
        </ext>
      </extLst>
    </cfRule>
    <cfRule type="cellIs" dxfId="8120" priority="1399" operator="equal">
      <formula>1</formula>
    </cfRule>
  </conditionalFormatting>
  <conditionalFormatting sqref="D29">
    <cfRule type="containsText" dxfId="8119" priority="1397" operator="containsText" text="Buy">
      <formula>NOT(ISERROR(SEARCH("Buy",D29)))</formula>
    </cfRule>
    <cfRule type="containsText" dxfId="8118" priority="1398" operator="containsText" text="Sell">
      <formula>NOT(ISERROR(SEARCH("Sell",D29)))</formula>
    </cfRule>
  </conditionalFormatting>
  <conditionalFormatting sqref="H30">
    <cfRule type="dataBar" priority="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{AE0EC5F0-A65B-42A2-A760-35E45C743E64}</x14:id>
        </ext>
      </extLst>
    </cfRule>
    <cfRule type="cellIs" dxfId="8117" priority="1395" operator="equal">
      <formula>1</formula>
    </cfRule>
  </conditionalFormatting>
  <conditionalFormatting sqref="D30">
    <cfRule type="containsText" dxfId="8116" priority="1393" operator="containsText" text="Buy">
      <formula>NOT(ISERROR(SEARCH("Buy",D30)))</formula>
    </cfRule>
    <cfRule type="containsText" dxfId="8115" priority="1394" operator="containsText" text="Sell">
      <formula>NOT(ISERROR(SEARCH("Sell",D30)))</formula>
    </cfRule>
  </conditionalFormatting>
  <conditionalFormatting sqref="H31">
    <cfRule type="dataBar" priority="1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{5B86634F-8AD3-4CE6-A893-479BB2934409}</x14:id>
        </ext>
      </extLst>
    </cfRule>
    <cfRule type="cellIs" dxfId="8114" priority="1391" operator="equal">
      <formula>1</formula>
    </cfRule>
  </conditionalFormatting>
  <conditionalFormatting sqref="D31">
    <cfRule type="containsText" dxfId="8113" priority="1389" operator="containsText" text="Buy">
      <formula>NOT(ISERROR(SEARCH("Buy",D31)))</formula>
    </cfRule>
    <cfRule type="containsText" dxfId="8112" priority="1390" operator="containsText" text="Sell">
      <formula>NOT(ISERROR(SEARCH("Sell",D31)))</formula>
    </cfRule>
  </conditionalFormatting>
  <conditionalFormatting sqref="E51">
    <cfRule type="containsText" dxfId="8111" priority="1336" operator="containsText" text="Buy">
      <formula>NOT(ISERROR(SEARCH("Buy",E51)))</formula>
    </cfRule>
    <cfRule type="containsText" dxfId="8110" priority="1337" operator="containsText" text="Sell">
      <formula>NOT(ISERROR(SEARCH("Sell",E51)))</formula>
    </cfRule>
  </conditionalFormatting>
  <conditionalFormatting sqref="E50">
    <cfRule type="containsText" dxfId="8109" priority="1334" operator="containsText" text="Buy">
      <formula>NOT(ISERROR(SEARCH("Buy",E50)))</formula>
    </cfRule>
    <cfRule type="containsText" dxfId="8108" priority="1335" operator="containsText" text="Sell">
      <formula>NOT(ISERROR(SEARCH("Sell",E50)))</formula>
    </cfRule>
  </conditionalFormatting>
  <conditionalFormatting sqref="E55">
    <cfRule type="containsText" dxfId="8107" priority="1332" operator="containsText" text="Buy">
      <formula>NOT(ISERROR(SEARCH("Buy",E55)))</formula>
    </cfRule>
    <cfRule type="containsText" dxfId="8106" priority="1333" operator="containsText" text="Sell">
      <formula>NOT(ISERROR(SEARCH("Sell",E55)))</formula>
    </cfRule>
  </conditionalFormatting>
  <conditionalFormatting sqref="E54">
    <cfRule type="containsText" dxfId="8105" priority="1330" operator="containsText" text="Buy">
      <formula>NOT(ISERROR(SEARCH("Buy",E54)))</formula>
    </cfRule>
    <cfRule type="containsText" dxfId="8104" priority="1331" operator="containsText" text="Sell">
      <formula>NOT(ISERROR(SEARCH("Sell",E54)))</formula>
    </cfRule>
  </conditionalFormatting>
  <conditionalFormatting sqref="I18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{475FE3B5-6092-4B8E-9C5F-E2F6529FB908}</x14:id>
        </ext>
      </extLst>
    </cfRule>
  </conditionalFormatting>
  <conditionalFormatting sqref="Y18">
    <cfRule type="dataBar" priority="1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{0CD6FEF7-0B4A-4F8F-9A0C-A7055CFA3CD6}</x14:id>
        </ext>
      </extLst>
    </cfRule>
  </conditionalFormatting>
  <conditionalFormatting sqref="V18">
    <cfRule type="dataBar" priority="1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{87AFD510-A049-4564-8109-3E88F3465CF2}</x14:id>
        </ext>
      </extLst>
    </cfRule>
  </conditionalFormatting>
  <conditionalFormatting sqref="W18">
    <cfRule type="dataBar" priority="1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{4BE6C3D7-F23B-4E7D-ACF4-543D21B85D4A}</x14:id>
        </ext>
      </extLst>
    </cfRule>
  </conditionalFormatting>
  <conditionalFormatting sqref="X18">
    <cfRule type="dataBar" priority="1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{850144AD-4C5E-4B0B-9610-6866861FAA49}</x14:id>
        </ext>
      </extLst>
    </cfRule>
  </conditionalFormatting>
  <conditionalFormatting sqref="K18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{E0D0CD17-7CE6-4791-9362-E877D31DC0E4}</x14:id>
        </ext>
      </extLst>
    </cfRule>
  </conditionalFormatting>
  <conditionalFormatting sqref="I18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{C69298F2-3853-4447-AB0B-CF8B99BDC63F}</x14:id>
        </ext>
      </extLst>
    </cfRule>
  </conditionalFormatting>
  <conditionalFormatting sqref="K18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{BB7B3503-114B-44E9-BED6-DA411704FF36}</x14:id>
        </ext>
      </extLst>
    </cfRule>
  </conditionalFormatting>
  <conditionalFormatting sqref="I18">
    <cfRule type="dataBar" priority="1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{B6BCC945-F380-44AE-ACA6-52DA20AA0740}</x14:id>
        </ext>
      </extLst>
    </cfRule>
  </conditionalFormatting>
  <conditionalFormatting sqref="K18">
    <cfRule type="dataBar" priority="1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{6E348418-3BCA-48AA-BAC7-C66C1AFCA493}</x14:id>
        </ext>
      </extLst>
    </cfRule>
  </conditionalFormatting>
  <conditionalFormatting sqref="I18">
    <cfRule type="dataBar" priority="1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{6CC9C9A4-1449-41B4-AFF6-07BBDFE55EA7}</x14:id>
        </ext>
      </extLst>
    </cfRule>
  </conditionalFormatting>
  <conditionalFormatting sqref="K18">
    <cfRule type="dataBar" priority="1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{EF76B539-AB7B-4D9A-AA5A-F4C506E906DF}</x14:id>
        </ext>
      </extLst>
    </cfRule>
  </conditionalFormatting>
  <conditionalFormatting sqref="E59">
    <cfRule type="containsText" dxfId="8103" priority="1306" operator="containsText" text="Buy">
      <formula>NOT(ISERROR(SEARCH("Buy",E59)))</formula>
    </cfRule>
    <cfRule type="containsText" dxfId="8102" priority="1307" operator="containsText" text="Sell">
      <formula>NOT(ISERROR(SEARCH("Sell",E59)))</formula>
    </cfRule>
  </conditionalFormatting>
  <conditionalFormatting sqref="E58">
    <cfRule type="containsText" dxfId="8101" priority="1304" operator="containsText" text="Buy">
      <formula>NOT(ISERROR(SEARCH("Buy",E58)))</formula>
    </cfRule>
    <cfRule type="containsText" dxfId="8100" priority="1305" operator="containsText" text="Sell">
      <formula>NOT(ISERROR(SEARCH("Sell",E58)))</formula>
    </cfRule>
  </conditionalFormatting>
  <conditionalFormatting sqref="V12">
    <cfRule type="dataBar" priority="1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{714A3872-C190-42DE-A77B-5410A4B42FA9}</x14:id>
        </ext>
      </extLst>
    </cfRule>
  </conditionalFormatting>
  <conditionalFormatting sqref="W12">
    <cfRule type="dataBar" priority="1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{5A1E1DF1-FCC3-4656-9447-5D0E5E10D0DA}</x14:id>
        </ext>
      </extLst>
    </cfRule>
  </conditionalFormatting>
  <conditionalFormatting sqref="X12">
    <cfRule type="dataBar" priority="1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{4EBE40B5-B40B-4010-B549-42423F488AE3}</x14:id>
        </ext>
      </extLst>
    </cfRule>
  </conditionalFormatting>
  <conditionalFormatting sqref="Y12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{2E8C8552-18D3-49BC-8AB5-B34E884817C4}</x14:id>
        </ext>
      </extLst>
    </cfRule>
  </conditionalFormatting>
  <conditionalFormatting sqref="V4">
    <cfRule type="dataBar" priority="1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{194F5EBF-832F-4878-8EFA-C6DA961F4213}</x14:id>
        </ext>
      </extLst>
    </cfRule>
  </conditionalFormatting>
  <conditionalFormatting sqref="W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{604BA7E7-51A1-4DC8-AF38-06740FEAE2B5}</x14:id>
        </ext>
      </extLst>
    </cfRule>
  </conditionalFormatting>
  <conditionalFormatting sqref="X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{A2382A27-7940-4EA5-B70D-3F8B5CF3740F}</x14:id>
        </ext>
      </extLst>
    </cfRule>
  </conditionalFormatting>
  <conditionalFormatting sqref="Y4">
    <cfRule type="dataBar" priority="1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{9D4E356A-17F2-4753-8AA9-F4D3A221781F}</x14:id>
        </ext>
      </extLst>
    </cfRule>
  </conditionalFormatting>
  <conditionalFormatting sqref="V11">
    <cfRule type="dataBar" priority="1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{A0CE7C3F-6464-40C0-8625-A799D6F7413D}</x14:id>
        </ext>
      </extLst>
    </cfRule>
  </conditionalFormatting>
  <conditionalFormatting sqref="W11">
    <cfRule type="dataBar" priority="1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{1157E163-5722-4081-A4B9-A0E2E0981094}</x14:id>
        </ext>
      </extLst>
    </cfRule>
  </conditionalFormatting>
  <conditionalFormatting sqref="X11">
    <cfRule type="dataBar" priority="1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{DC4F6D87-C7C6-45A3-8EBC-CEE86CD042C4}</x14:id>
        </ext>
      </extLst>
    </cfRule>
  </conditionalFormatting>
  <conditionalFormatting sqref="Y11">
    <cfRule type="dataBar" priority="1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{404E3800-9D75-4DB6-BEF3-088B526E742F}</x14:id>
        </ext>
      </extLst>
    </cfRule>
  </conditionalFormatting>
  <conditionalFormatting sqref="V13">
    <cfRule type="dataBar" priority="1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{1C3FD10E-E75F-4E80-9D34-CE63585EBB2F}</x14:id>
        </ext>
      </extLst>
    </cfRule>
  </conditionalFormatting>
  <conditionalFormatting sqref="W13">
    <cfRule type="dataBar" priority="1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{A7BB318E-4BA9-4E8E-BE79-71E1110977F4}</x14:id>
        </ext>
      </extLst>
    </cfRule>
  </conditionalFormatting>
  <conditionalFormatting sqref="X13">
    <cfRule type="dataBar" priority="1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{24312229-EE5A-4437-B2AB-003F5C4197D8}</x14:id>
        </ext>
      </extLst>
    </cfRule>
  </conditionalFormatting>
  <conditionalFormatting sqref="Y13">
    <cfRule type="dataBar" priority="1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{EE43D76D-2641-43ED-9156-DD211B203975}</x14:id>
        </ext>
      </extLst>
    </cfRule>
  </conditionalFormatting>
  <conditionalFormatting sqref="V18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{965E1876-A12E-422C-B3E5-D7CAAE6F0920}</x14:id>
        </ext>
      </extLst>
    </cfRule>
  </conditionalFormatting>
  <conditionalFormatting sqref="W18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{1FF239E2-7BFD-40D7-A22E-ABB5166BE4B3}</x14:id>
        </ext>
      </extLst>
    </cfRule>
  </conditionalFormatting>
  <conditionalFormatting sqref="X18">
    <cfRule type="dataBar" priority="1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{63FD107A-61ED-4498-A81F-C0E14885D9A0}</x14:id>
        </ext>
      </extLst>
    </cfRule>
  </conditionalFormatting>
  <conditionalFormatting sqref="Y18">
    <cfRule type="dataBar" priority="1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{96F759CE-8F97-442D-A978-FA13FCEEC1F7}</x14:id>
        </ext>
      </extLst>
    </cfRule>
  </conditionalFormatting>
  <conditionalFormatting sqref="V12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{95A0AE44-E417-4B51-BC42-AE71145FFD72}</x14:id>
        </ext>
      </extLst>
    </cfRule>
  </conditionalFormatting>
  <conditionalFormatting sqref="W12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{2C86BCA9-6BB2-4777-8028-AE123059F09E}</x14:id>
        </ext>
      </extLst>
    </cfRule>
  </conditionalFormatting>
  <conditionalFormatting sqref="X12">
    <cfRule type="dataBar" priority="1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{BB8C5845-2CB3-475F-945C-D0E3D1B91AE2}</x14:id>
        </ext>
      </extLst>
    </cfRule>
  </conditionalFormatting>
  <conditionalFormatting sqref="Y12">
    <cfRule type="dataBar" priority="1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{6FEDE5D0-31C6-4089-923E-E3FA3E0E7C70}</x14:id>
        </ext>
      </extLst>
    </cfRule>
  </conditionalFormatting>
  <conditionalFormatting sqref="V4">
    <cfRule type="dataBar" priority="1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{2693207A-358F-43A9-A121-DC72B8D9F6A5}</x14:id>
        </ext>
      </extLst>
    </cfRule>
  </conditionalFormatting>
  <conditionalFormatting sqref="W4">
    <cfRule type="dataBar" priority="1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{B8AEA28D-BA71-4BA8-8426-7371F2E4C80D}</x14:id>
        </ext>
      </extLst>
    </cfRule>
  </conditionalFormatting>
  <conditionalFormatting sqref="X4">
    <cfRule type="dataBar" priority="1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{7042F9C5-B80F-4086-9CA8-AD337B582E10}</x14:id>
        </ext>
      </extLst>
    </cfRule>
  </conditionalFormatting>
  <conditionalFormatting sqref="Y4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{8626FE50-4943-4C16-8144-4F0433E4A526}</x14:id>
        </ext>
      </extLst>
    </cfRule>
  </conditionalFormatting>
  <conditionalFormatting sqref="V11">
    <cfRule type="dataBar" priority="1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{2DF68ADB-E214-406E-852D-0E32885F030C}</x14:id>
        </ext>
      </extLst>
    </cfRule>
  </conditionalFormatting>
  <conditionalFormatting sqref="W11">
    <cfRule type="dataBar" priority="1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{3C4B88F6-5026-4D7D-8C5D-D3A15219435A}</x14:id>
        </ext>
      </extLst>
    </cfRule>
  </conditionalFormatting>
  <conditionalFormatting sqref="X11"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{AC335950-8977-46C3-8D25-8CCF8587687D}</x14:id>
        </ext>
      </extLst>
    </cfRule>
  </conditionalFormatting>
  <conditionalFormatting sqref="Y11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{50255A30-463F-40DF-8868-812952A9E6E4}</x14:id>
        </ext>
      </extLst>
    </cfRule>
  </conditionalFormatting>
  <conditionalFormatting sqref="V13">
    <cfRule type="dataBar" priority="1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{6F88E7BD-09DD-4339-90CA-26C1C6A9CE84}</x14:id>
        </ext>
      </extLst>
    </cfRule>
  </conditionalFormatting>
  <conditionalFormatting sqref="W13">
    <cfRule type="dataBar" priority="1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{F2E9307B-C2EF-4AA3-BC9B-5D31AA9837B9}</x14:id>
        </ext>
      </extLst>
    </cfRule>
  </conditionalFormatting>
  <conditionalFormatting sqref="X13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{E8EE6C8C-8EF7-4C74-870B-B608720812E8}</x14:id>
        </ext>
      </extLst>
    </cfRule>
  </conditionalFormatting>
  <conditionalFormatting sqref="Y13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{CF5BA83B-EAAC-4719-A474-1C5993AC7FF8}</x14:id>
        </ext>
      </extLst>
    </cfRule>
  </conditionalFormatting>
  <conditionalFormatting sqref="V18">
    <cfRule type="dataBar" priority="1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{D2EE191F-EB5C-46ED-AFB8-193FBB07D88D}</x14:id>
        </ext>
      </extLst>
    </cfRule>
  </conditionalFormatting>
  <conditionalFormatting sqref="W18">
    <cfRule type="dataBar" priority="1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{C0085A68-8539-49B6-ADCD-AAC80FFCC7F1}</x14:id>
        </ext>
      </extLst>
    </cfRule>
  </conditionalFormatting>
  <conditionalFormatting sqref="X18">
    <cfRule type="dataBar" priority="1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{C9CA3535-DEA9-473E-B4C2-658E65245FF0}</x14:id>
        </ext>
      </extLst>
    </cfRule>
  </conditionalFormatting>
  <conditionalFormatting sqref="Y18">
    <cfRule type="dataBar" priority="1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{FB82DE22-1CDA-4C06-BD25-DBCD63F562FB}</x14:id>
        </ext>
      </extLst>
    </cfRule>
  </conditionalFormatting>
  <conditionalFormatting sqref="V12">
    <cfRule type="dataBar" priority="1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{D9B620D7-406E-42B2-9186-8C5F99137954}</x14:id>
        </ext>
      </extLst>
    </cfRule>
  </conditionalFormatting>
  <conditionalFormatting sqref="W12">
    <cfRule type="dataBar" priority="1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{35FAE5FA-AFD4-4285-BFAA-1A0BA6B36162}</x14:id>
        </ext>
      </extLst>
    </cfRule>
  </conditionalFormatting>
  <conditionalFormatting sqref="X12">
    <cfRule type="dataBar" priority="1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{B2A9047C-C578-4C29-8BA4-04E85B67C241}</x14:id>
        </ext>
      </extLst>
    </cfRule>
  </conditionalFormatting>
  <conditionalFormatting sqref="Y12">
    <cfRule type="dataBar" priority="1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{4B91812F-BB72-4BD0-9CA2-19146200E59F}</x14:id>
        </ext>
      </extLst>
    </cfRule>
  </conditionalFormatting>
  <conditionalFormatting sqref="V4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{A400EA55-53F5-4496-B188-6C1C8E4CC6F8}</x14:id>
        </ext>
      </extLst>
    </cfRule>
  </conditionalFormatting>
  <conditionalFormatting sqref="W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{D8644666-EEBA-42D3-8B18-949619819E5C}</x14:id>
        </ext>
      </extLst>
    </cfRule>
  </conditionalFormatting>
  <conditionalFormatting sqref="X4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{C2B70CFF-4FE5-405A-ACDF-6653C4281DB6}</x14:id>
        </ext>
      </extLst>
    </cfRule>
  </conditionalFormatting>
  <conditionalFormatting sqref="Y4">
    <cfRule type="dataBar" priority="1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{5DED1693-11DA-4B4D-917C-72CE710C11BF}</x14:id>
        </ext>
      </extLst>
    </cfRule>
  </conditionalFormatting>
  <conditionalFormatting sqref="V11">
    <cfRule type="dataBar" priority="1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{C54FFF90-CAA1-49F8-9F81-CBC6F619F393}</x14:id>
        </ext>
      </extLst>
    </cfRule>
  </conditionalFormatting>
  <conditionalFormatting sqref="W11">
    <cfRule type="dataBar" priority="1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{AD0CE3E9-645C-4DE8-A0E1-4FF267D9D610}</x14:id>
        </ext>
      </extLst>
    </cfRule>
  </conditionalFormatting>
  <conditionalFormatting sqref="X11">
    <cfRule type="dataBar" priority="1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{8D576BA3-2013-4E7B-A9A2-DCA61AA9BAE5}</x14:id>
        </ext>
      </extLst>
    </cfRule>
  </conditionalFormatting>
  <conditionalFormatting sqref="Y11">
    <cfRule type="dataBar" priority="1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{71CC632B-A133-45C0-929E-3E379095A957}</x14:id>
        </ext>
      </extLst>
    </cfRule>
  </conditionalFormatting>
  <conditionalFormatting sqref="V13">
    <cfRule type="dataBar" priority="10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{50CE719F-640F-4D8D-B7A2-9E30DDF6BDA9}</x14:id>
        </ext>
      </extLst>
    </cfRule>
  </conditionalFormatting>
  <conditionalFormatting sqref="W13">
    <cfRule type="dataBar" priority="10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{EEE1A207-ED38-4B62-BA63-78A9D6422353}</x14:id>
        </ext>
      </extLst>
    </cfRule>
  </conditionalFormatting>
  <conditionalFormatting sqref="X13">
    <cfRule type="dataBar" priority="10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{D90BB876-5A2E-48A7-969B-0AA02F3FADF4}</x14:id>
        </ext>
      </extLst>
    </cfRule>
  </conditionalFormatting>
  <conditionalFormatting sqref="Y13">
    <cfRule type="dataBar" priority="10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{B7010D57-7EB7-422C-BBD4-D6C8D44D8F0D}</x14:id>
        </ext>
      </extLst>
    </cfRule>
  </conditionalFormatting>
  <conditionalFormatting sqref="V18">
    <cfRule type="dataBar" priority="10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{A5348B36-C8B9-4346-9760-1DF4D619C71A}</x14:id>
        </ext>
      </extLst>
    </cfRule>
  </conditionalFormatting>
  <conditionalFormatting sqref="W18">
    <cfRule type="dataBar" priority="10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{B69436D5-1F2E-4BE2-8952-89516F660C39}</x14:id>
        </ext>
      </extLst>
    </cfRule>
  </conditionalFormatting>
  <conditionalFormatting sqref="X18">
    <cfRule type="dataBar" priority="10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{72FE0C0D-B0CC-400E-895D-7B816FCD0EBC}</x14:id>
        </ext>
      </extLst>
    </cfRule>
  </conditionalFormatting>
  <conditionalFormatting sqref="Y18">
    <cfRule type="dataBar" priority="10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{BD9D303D-0C5D-41B9-A3F2-A452683663EA}</x14:id>
        </ext>
      </extLst>
    </cfRule>
  </conditionalFormatting>
  <conditionalFormatting sqref="I15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{0FAC4537-7BA4-46F6-BFC4-84D2C5AA6929}</x14:id>
        </ext>
      </extLst>
    </cfRule>
  </conditionalFormatting>
  <conditionalFormatting sqref="Y15">
    <cfRule type="dataBar" priority="10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{38CD7B83-0DA3-4B95-A58D-8DA9E59EAF06}</x14:id>
        </ext>
      </extLst>
    </cfRule>
  </conditionalFormatting>
  <conditionalFormatting sqref="V15">
    <cfRule type="dataBar" priority="10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{4538FF70-AE56-43CD-A32F-00D735A483E6}</x14:id>
        </ext>
      </extLst>
    </cfRule>
  </conditionalFormatting>
  <conditionalFormatting sqref="W15">
    <cfRule type="dataBar" priority="10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{C681FE47-FE6F-4953-A7B7-072790C1C52F}</x14:id>
        </ext>
      </extLst>
    </cfRule>
  </conditionalFormatting>
  <conditionalFormatting sqref="X15">
    <cfRule type="dataBar" priority="10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{86B48890-1014-4B31-8CED-01E2BDA09B9F}</x14:id>
        </ext>
      </extLst>
    </cfRule>
  </conditionalFormatting>
  <conditionalFormatting sqref="K15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{A8CAEDEE-AE18-4773-9EA8-840EA6EF44E4}</x14:id>
        </ext>
      </extLst>
    </cfRule>
  </conditionalFormatting>
  <conditionalFormatting sqref="I15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{1450A6D8-B479-49A5-8CCD-FF7680E4227D}</x14:id>
        </ext>
      </extLst>
    </cfRule>
  </conditionalFormatting>
  <conditionalFormatting sqref="K15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{2BE9C51C-296B-4CA2-8F44-25DD69D9C7DB}</x14:id>
        </ext>
      </extLst>
    </cfRule>
  </conditionalFormatting>
  <conditionalFormatting sqref="I15">
    <cfRule type="dataBar" priority="10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{B2E913FE-2672-4075-8CEC-A60A30ECB968}</x14:id>
        </ext>
      </extLst>
    </cfRule>
  </conditionalFormatting>
  <conditionalFormatting sqref="K15">
    <cfRule type="dataBar" priority="10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{698227D6-14EB-4AB7-902C-B2C939FE0548}</x14:id>
        </ext>
      </extLst>
    </cfRule>
  </conditionalFormatting>
  <conditionalFormatting sqref="I15">
    <cfRule type="dataBar" priority="10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{DD912D65-0654-42E9-9832-A3091DB16069}</x14:id>
        </ext>
      </extLst>
    </cfRule>
  </conditionalFormatting>
  <conditionalFormatting sqref="K15">
    <cfRule type="dataBar" priority="10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{130FD791-CE52-4A7D-9B40-7B953FB94EFF}</x14:id>
        </ext>
      </extLst>
    </cfRule>
  </conditionalFormatting>
  <conditionalFormatting sqref="V15">
    <cfRule type="dataBar" priority="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{C97047BD-95FB-477F-B666-67C9971F0281}</x14:id>
        </ext>
      </extLst>
    </cfRule>
  </conditionalFormatting>
  <conditionalFormatting sqref="W15">
    <cfRule type="dataBar" priority="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{3421FD87-CF36-476A-A241-95540E3884CF}</x14:id>
        </ext>
      </extLst>
    </cfRule>
  </conditionalFormatting>
  <conditionalFormatting sqref="X15">
    <cfRule type="dataBar" priority="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{967AF585-A7F0-4E24-8CE4-DC126E2ADB62}</x14:id>
        </ext>
      </extLst>
    </cfRule>
  </conditionalFormatting>
  <conditionalFormatting sqref="Y15">
    <cfRule type="dataBar" priority="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{3AA689A7-E625-4667-B78E-076DB57E9AE1}</x14:id>
        </ext>
      </extLst>
    </cfRule>
  </conditionalFormatting>
  <conditionalFormatting sqref="V15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{21225BF0-8683-487C-AE64-B1559902D190}</x14:id>
        </ext>
      </extLst>
    </cfRule>
  </conditionalFormatting>
  <conditionalFormatting sqref="W15">
    <cfRule type="dataBar" priority="10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{1F279366-22DD-408D-9582-B6CBD0D2907C}</x14:id>
        </ext>
      </extLst>
    </cfRule>
  </conditionalFormatting>
  <conditionalFormatting sqref="X15">
    <cfRule type="dataBar" priority="10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{02B67428-009D-456E-A09E-DBB583ADA9AA}</x14:id>
        </ext>
      </extLst>
    </cfRule>
  </conditionalFormatting>
  <conditionalFormatting sqref="Y15">
    <cfRule type="dataBar" priority="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{D5DAE81E-D6FF-4990-80A9-602A3FCFF09B}</x14:id>
        </ext>
      </extLst>
    </cfRule>
  </conditionalFormatting>
  <conditionalFormatting sqref="V15">
    <cfRule type="dataBar" priority="9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{86859CDD-4680-40A2-A8E2-2C7D2415A49D}</x14:id>
        </ext>
      </extLst>
    </cfRule>
  </conditionalFormatting>
  <conditionalFormatting sqref="W15"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{881107FA-7874-491D-8121-BBB73F558045}</x14:id>
        </ext>
      </extLst>
    </cfRule>
  </conditionalFormatting>
  <conditionalFormatting sqref="X15">
    <cfRule type="dataBar" priority="10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{4D5F09A7-14A5-473C-A2E2-3B9414D6D4FF}</x14:id>
        </ext>
      </extLst>
    </cfRule>
  </conditionalFormatting>
  <conditionalFormatting sqref="Y15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{04A8D36C-F051-4647-A3D0-7E2E5B304475}</x14:id>
        </ext>
      </extLst>
    </cfRule>
  </conditionalFormatting>
  <conditionalFormatting sqref="E63">
    <cfRule type="containsText" dxfId="8099" priority="995" operator="containsText" text="Buy">
      <formula>NOT(ISERROR(SEARCH("Buy",E63)))</formula>
    </cfRule>
    <cfRule type="containsText" dxfId="8098" priority="996" operator="containsText" text="Sell">
      <formula>NOT(ISERROR(SEARCH("Sell",E63)))</formula>
    </cfRule>
  </conditionalFormatting>
  <conditionalFormatting sqref="E62">
    <cfRule type="containsText" dxfId="8097" priority="993" operator="containsText" text="Buy">
      <formula>NOT(ISERROR(SEARCH("Buy",E62)))</formula>
    </cfRule>
    <cfRule type="containsText" dxfId="8096" priority="994" operator="containsText" text="Sell">
      <formula>NOT(ISERROR(SEARCH("Sell",E62)))</formula>
    </cfRule>
  </conditionalFormatting>
  <conditionalFormatting sqref="R19">
    <cfRule type="dataBar" priority="9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{3A196623-C169-402A-9EA2-95416976F848}</x14:id>
        </ext>
      </extLst>
    </cfRule>
  </conditionalFormatting>
  <conditionalFormatting sqref="L12:M12">
    <cfRule type="dataBar" priority="9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{F6E98E23-1CDB-4909-974D-CF4BC473EA49}</x14:id>
        </ext>
      </extLst>
    </cfRule>
  </conditionalFormatting>
  <conditionalFormatting sqref="L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{601D1993-B7C3-488A-8BD3-11A24AE3A1C4}</x14:id>
        </ext>
      </extLst>
    </cfRule>
  </conditionalFormatting>
  <conditionalFormatting sqref="M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{76CC29E3-C92A-472D-BA0D-98A6ECFBA506}</x14:id>
        </ext>
      </extLst>
    </cfRule>
  </conditionalFormatting>
  <conditionalFormatting sqref="X12">
    <cfRule type="dataBar" priority="9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{6F8EA4E3-1799-42BD-BDB4-3A9DB73DC88E}</x14:id>
        </ext>
      </extLst>
    </cfRule>
  </conditionalFormatting>
  <conditionalFormatting sqref="Y12">
    <cfRule type="dataBar" priority="9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{31C7DC30-AFEC-4443-AD8A-6E4D413428BA}</x14:id>
        </ext>
      </extLst>
    </cfRule>
  </conditionalFormatting>
  <conditionalFormatting sqref="L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{70823941-DCFB-43DF-B498-131859650C7E}</x14:id>
        </ext>
      </extLst>
    </cfRule>
  </conditionalFormatting>
  <conditionalFormatting sqref="M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{2A914560-89CF-470F-92D8-7992E0E339B4}</x14:id>
        </ext>
      </extLst>
    </cfRule>
  </conditionalFormatting>
  <conditionalFormatting sqref="L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{3665F21F-7FF7-4A90-95AF-971BE6D67D5F}</x14:id>
        </ext>
      </extLst>
    </cfRule>
  </conditionalFormatting>
  <conditionalFormatting sqref="M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{1DAFC31C-2A84-44D4-A4B9-956BC28737F9}</x14:id>
        </ext>
      </extLst>
    </cfRule>
  </conditionalFormatting>
  <conditionalFormatting sqref="M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{14F7802B-9CF0-486A-90B1-69E7F780EA61}</x14:id>
        </ext>
      </extLst>
    </cfRule>
  </conditionalFormatting>
  <conditionalFormatting sqref="X4">
    <cfRule type="dataBar" priority="9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{DEEFD3E8-5DC7-4B6B-B444-B108BDAB6B96}</x14:id>
        </ext>
      </extLst>
    </cfRule>
  </conditionalFormatting>
  <conditionalFormatting sqref="Y4">
    <cfRule type="dataBar" priority="9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{C6498C3A-3BA9-4A4A-AEA1-A33133FFFDBF}</x14:id>
        </ext>
      </extLst>
    </cfRule>
  </conditionalFormatting>
  <conditionalFormatting sqref="M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{6499682D-8CF2-4C82-B47B-DA1698F6EA47}</x14:id>
        </ext>
      </extLst>
    </cfRule>
  </conditionalFormatting>
  <conditionalFormatting sqref="M4">
    <cfRule type="dataBar" priority="9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{0E1F533C-FD51-4DD1-8918-8B0F9B7C93AB}</x14:id>
        </ext>
      </extLst>
    </cfRule>
  </conditionalFormatting>
  <conditionalFormatting sqref="V4">
    <cfRule type="dataBar" priority="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{3302B11A-F5C5-4C76-8D6D-AAB34F9C6105}</x14:id>
        </ext>
      </extLst>
    </cfRule>
  </conditionalFormatting>
  <conditionalFormatting sqref="V4">
    <cfRule type="dataBar" priority="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{63E5C163-6F60-4114-943B-B19CA2707F45}</x14:id>
        </ext>
      </extLst>
    </cfRule>
  </conditionalFormatting>
  <conditionalFormatting sqref="V4">
    <cfRule type="dataBar" priority="9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{DA2220B2-BBEF-40CB-B7DB-26DEB988E308}</x14:id>
        </ext>
      </extLst>
    </cfRule>
  </conditionalFormatting>
  <conditionalFormatting sqref="V4">
    <cfRule type="dataBar" priority="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{2FC82285-D4AD-4A4F-A2C4-7E95BDF7E310}</x14:id>
        </ext>
      </extLst>
    </cfRule>
  </conditionalFormatting>
  <conditionalFormatting sqref="L11:M11">
    <cfRule type="dataBar" priority="8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{30ABC2F4-8FD4-436D-AB03-7EA8C5CBB78C}</x14:id>
        </ext>
      </extLst>
    </cfRule>
  </conditionalFormatting>
  <conditionalFormatting sqref="L11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{BFACE64B-961D-4D0D-82FF-21070EAB1313}</x14:id>
        </ext>
      </extLst>
    </cfRule>
  </conditionalFormatting>
  <conditionalFormatting sqref="M11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{B3F0B047-BB93-481D-B5E4-62FA27AE4C2F}</x14:id>
        </ext>
      </extLst>
    </cfRule>
  </conditionalFormatting>
  <conditionalFormatting sqref="X11">
    <cfRule type="dataBar" priority="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{BBAD2BCD-2F93-4041-81FC-A8B27C75D4D4}</x14:id>
        </ext>
      </extLst>
    </cfRule>
  </conditionalFormatting>
  <conditionalFormatting sqref="Y11">
    <cfRule type="dataBar" priority="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{DB4933DB-B3CE-4A00-B015-08C3B991471A}</x14:id>
        </ext>
      </extLst>
    </cfRule>
  </conditionalFormatting>
  <conditionalFormatting sqref="L11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{A65AEA70-286B-4729-8715-D738041B8E22}</x14:id>
        </ext>
      </extLst>
    </cfRule>
  </conditionalFormatting>
  <conditionalFormatting sqref="M11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{96FB1F0D-8C3C-4535-B365-AE06D6561020}</x14:id>
        </ext>
      </extLst>
    </cfRule>
  </conditionalFormatting>
  <conditionalFormatting sqref="L11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{5A475C99-284D-45A5-A93A-F1DA9B8E3485}</x14:id>
        </ext>
      </extLst>
    </cfRule>
  </conditionalFormatting>
  <conditionalFormatting sqref="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{5CE3E099-FAC0-48E6-A7B0-F01CA175A583}</x14:id>
        </ext>
      </extLst>
    </cfRule>
  </conditionalFormatting>
  <conditionalFormatting sqref="V11">
    <cfRule type="dataBar" priority="9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{3F35C980-573A-4228-BFF3-90C4AE4B6085}</x14:id>
        </ext>
      </extLst>
    </cfRule>
  </conditionalFormatting>
  <conditionalFormatting sqref="V11">
    <cfRule type="dataBar" priority="9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{2BF39F46-5EBC-46EE-86A1-45235614DAF9}</x14:id>
        </ext>
      </extLst>
    </cfRule>
  </conditionalFormatting>
  <conditionalFormatting sqref="M11">
    <cfRule type="dataBar" priority="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{6769554C-DFB7-4C8E-84B5-51E972A2D0E4}</x14:id>
        </ext>
      </extLst>
    </cfRule>
  </conditionalFormatting>
  <conditionalFormatting sqref="L11:M11">
    <cfRule type="dataBar" priority="9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{841E1FC1-B629-4207-BE0E-1367F6F0F0D4}</x14:id>
        </ext>
      </extLst>
    </cfRule>
  </conditionalFormatting>
  <conditionalFormatting sqref="L13:M13">
    <cfRule type="dataBar" priority="8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{0F044ABF-0B79-41CD-B0D6-1285B9DDD215}</x14:id>
        </ext>
      </extLst>
    </cfRule>
  </conditionalFormatting>
  <conditionalFormatting sqref="L13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{41F74EB7-CE90-4EC8-BA63-96D6E5AC0F8B}</x14:id>
        </ext>
      </extLst>
    </cfRule>
  </conditionalFormatting>
  <conditionalFormatting sqref="M13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{BAB4F9D9-E4A1-44A7-9876-670F1946AB38}</x14:id>
        </ext>
      </extLst>
    </cfRule>
  </conditionalFormatting>
  <conditionalFormatting sqref="X13">
    <cfRule type="dataBar" priority="8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{AD115683-EE78-41EC-9925-1A12CBAB41C6}</x14:id>
        </ext>
      </extLst>
    </cfRule>
  </conditionalFormatting>
  <conditionalFormatting sqref="Y13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{E9332BBE-C039-48E7-925F-F57145C05182}</x14:id>
        </ext>
      </extLst>
    </cfRule>
  </conditionalFormatting>
  <conditionalFormatting sqref="L13">
    <cfRule type="dataBar" priority="8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{41D0D955-65E2-4DEF-8CA1-A9DAADED1112}</x14:id>
        </ext>
      </extLst>
    </cfRule>
  </conditionalFormatting>
  <conditionalFormatting sqref="M13">
    <cfRule type="dataBar" priority="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{B2C19FB3-0110-4861-A0C8-A8C5438C49D9}</x14:id>
        </ext>
      </extLst>
    </cfRule>
  </conditionalFormatting>
  <conditionalFormatting sqref="L13">
    <cfRule type="dataBar" priority="8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{A3FDD754-C7DD-470A-8F29-49B929F81BFF}</x14:id>
        </ext>
      </extLst>
    </cfRule>
  </conditionalFormatting>
  <conditionalFormatting sqref="M13">
    <cfRule type="dataBar" priority="8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{0EB0A781-6CD6-41DC-BF7A-62DEEC852EB7}</x14:id>
        </ext>
      </extLst>
    </cfRule>
  </conditionalFormatting>
  <conditionalFormatting sqref="V13">
    <cfRule type="dataBar" priority="8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{AD833BB6-E09D-4B44-ABB1-72692A388959}</x14:id>
        </ext>
      </extLst>
    </cfRule>
  </conditionalFormatting>
  <conditionalFormatting sqref="V13">
    <cfRule type="dataBar" priority="8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{7878F03D-A311-4BA6-AFDD-A31C524F7648}</x14:id>
        </ext>
      </extLst>
    </cfRule>
  </conditionalFormatting>
  <conditionalFormatting sqref="V13">
    <cfRule type="dataBar" priority="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{8D375713-5465-491B-9FF1-EBC95C02DDB8}</x14:id>
        </ext>
      </extLst>
    </cfRule>
  </conditionalFormatting>
  <conditionalFormatting sqref="M13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{2767FABB-726D-4252-A6C9-52A21F787863}</x14:id>
        </ext>
      </extLst>
    </cfRule>
  </conditionalFormatting>
  <conditionalFormatting sqref="L13:M13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{A91B8A59-4599-421B-AC57-8907DEF412AD}</x14:id>
        </ext>
      </extLst>
    </cfRule>
  </conditionalFormatting>
  <conditionalFormatting sqref="L18:M18">
    <cfRule type="dataBar" priority="8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{D0DC8630-5829-4AE2-B5EE-85B148A5EB17}</x14:id>
        </ext>
      </extLst>
    </cfRule>
  </conditionalFormatting>
  <conditionalFormatting sqref="L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{12192813-3FB5-4F91-89D3-C339E576A5F6}</x14:id>
        </ext>
      </extLst>
    </cfRule>
  </conditionalFormatting>
  <conditionalFormatting sqref="X18">
    <cfRule type="dataBar" priority="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{4BAF4B28-D611-4873-8BA0-D843AE85AC8B}</x14:id>
        </ext>
      </extLst>
    </cfRule>
  </conditionalFormatting>
  <conditionalFormatting sqref="Y18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{E96AE5CD-6999-467C-B00E-9B11E40F2694}</x14:id>
        </ext>
      </extLst>
    </cfRule>
  </conditionalFormatting>
  <conditionalFormatting sqref="M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{D64CA2E2-6799-4EB5-AE7D-48BC51601D44}</x14:id>
        </ext>
      </extLst>
    </cfRule>
  </conditionalFormatting>
  <conditionalFormatting sqref="L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{9A626858-BF84-4860-92AB-B5D95DF105CD}</x14:id>
        </ext>
      </extLst>
    </cfRule>
  </conditionalFormatting>
  <conditionalFormatting sqref="M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{1E7740BE-2979-4794-9B4C-5CE573BD76B9}</x14:id>
        </ext>
      </extLst>
    </cfRule>
  </conditionalFormatting>
  <conditionalFormatting sqref="L18:M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{8184F7B4-4822-457A-8422-EA496A4EEEF4}</x14:id>
        </ext>
      </extLst>
    </cfRule>
  </conditionalFormatting>
  <conditionalFormatting sqref="L18">
    <cfRule type="dataBar" priority="8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{9348BFAA-85B4-48A0-8CFF-1E811FB87A65}</x14:id>
        </ext>
      </extLst>
    </cfRule>
  </conditionalFormatting>
  <conditionalFormatting sqref="M18">
    <cfRule type="dataBar" priority="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{46092420-3967-43ED-BC65-692071306F9F}</x14:id>
        </ext>
      </extLst>
    </cfRule>
  </conditionalFormatting>
  <conditionalFormatting sqref="L18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{235153BD-7529-4140-96DF-4D8B5CB9EF97}</x14:id>
        </ext>
      </extLst>
    </cfRule>
  </conditionalFormatting>
  <conditionalFormatting sqref="M18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{202FCE65-D4B3-49BD-B654-1E9B5F0F13E6}</x14:id>
        </ext>
      </extLst>
    </cfRule>
  </conditionalFormatting>
  <conditionalFormatting sqref="X12">
    <cfRule type="dataBar" priority="7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{CE9626B5-C85F-45AE-9298-E0F4241F350E}</x14:id>
        </ext>
      </extLst>
    </cfRule>
  </conditionalFormatting>
  <conditionalFormatting sqref="Y12">
    <cfRule type="dataBar" priority="7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{683EA0DF-2AB2-44D9-81FD-D7C0FDAC65F3}</x14:id>
        </ext>
      </extLst>
    </cfRule>
  </conditionalFormatting>
  <conditionalFormatting sqref="X4">
    <cfRule type="dataBar" priority="7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{B50CD7DB-BA8E-4A33-9D18-2B8DCDB000BC}</x14:id>
        </ext>
      </extLst>
    </cfRule>
  </conditionalFormatting>
  <conditionalFormatting sqref="Y4">
    <cfRule type="dataBar" priority="7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{40482954-52ED-486C-87C6-EC148FE94240}</x14:id>
        </ext>
      </extLst>
    </cfRule>
  </conditionalFormatting>
  <conditionalFormatting sqref="X11">
    <cfRule type="dataBar" priority="7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{3110F51C-1E68-48D6-9117-E5F564D49954}</x14:id>
        </ext>
      </extLst>
    </cfRule>
  </conditionalFormatting>
  <conditionalFormatting sqref="Y11">
    <cfRule type="dataBar" priority="7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{00340976-3F15-4B8A-9F91-5E904B35DAA1}</x14:id>
        </ext>
      </extLst>
    </cfRule>
  </conditionalFormatting>
  <conditionalFormatting sqref="X13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{153E2B6F-33EC-49B6-A0BA-9C59977A2673}</x14:id>
        </ext>
      </extLst>
    </cfRule>
  </conditionalFormatting>
  <conditionalFormatting sqref="Y13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{FBDA50A3-DA1A-42B8-A407-D55C9E47E4C9}</x14:id>
        </ext>
      </extLst>
    </cfRule>
  </conditionalFormatting>
  <conditionalFormatting sqref="X18">
    <cfRule type="dataBar" priority="7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{75E9FE4D-5D50-4147-AC54-EC785D5DCAE2}</x14:id>
        </ext>
      </extLst>
    </cfRule>
  </conditionalFormatting>
  <conditionalFormatting sqref="Y18">
    <cfRule type="dataBar" priority="7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{0C047B16-25F2-476F-8244-6AE6F215FA36}</x14:id>
        </ext>
      </extLst>
    </cfRule>
  </conditionalFormatting>
  <conditionalFormatting sqref="X12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{301A4C10-71A2-4C63-93F2-E1F1A494DC4D}</x14:id>
        </ext>
      </extLst>
    </cfRule>
  </conditionalFormatting>
  <conditionalFormatting sqref="Y12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{C2624A1E-892B-4465-8CB3-571A39A526AE}</x14:id>
        </ext>
      </extLst>
    </cfRule>
  </conditionalFormatting>
  <conditionalFormatting sqref="X4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{ECA63623-7BD2-45BA-A97E-BF9D84216B94}</x14:id>
        </ext>
      </extLst>
    </cfRule>
  </conditionalFormatting>
  <conditionalFormatting sqref="Y4">
    <cfRule type="dataBar" priority="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{F95A95C4-5812-4BAD-8353-6AAD8664A8D1}</x14:id>
        </ext>
      </extLst>
    </cfRule>
  </conditionalFormatting>
  <conditionalFormatting sqref="X11"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{E41BB847-1023-4DD1-9A53-A14CB58AE704}</x14:id>
        </ext>
      </extLst>
    </cfRule>
  </conditionalFormatting>
  <conditionalFormatting sqref="Y11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{5EF7C753-6E4F-4193-837C-2F89B5E81191}</x14:id>
        </ext>
      </extLst>
    </cfRule>
  </conditionalFormatting>
  <conditionalFormatting sqref="X13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{85403E4E-17C1-4F5E-8FDD-FF64DA5F2FAD}</x14:id>
        </ext>
      </extLst>
    </cfRule>
  </conditionalFormatting>
  <conditionalFormatting sqref="Y13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{5C4068C6-4E58-4F57-9697-5108CBECA36A}</x14:id>
        </ext>
      </extLst>
    </cfRule>
  </conditionalFormatting>
  <conditionalFormatting sqref="X18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{4DC246D0-0C2F-4340-AE93-314140AAC506}</x14:id>
        </ext>
      </extLst>
    </cfRule>
  </conditionalFormatting>
  <conditionalFormatting sqref="Y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{49514C50-5221-422F-9375-3266C967500A}</x14:id>
        </ext>
      </extLst>
    </cfRule>
  </conditionalFormatting>
  <conditionalFormatting sqref="X12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{76697E3B-52D0-43EA-95A2-D0E0B7C14D5D}</x14:id>
        </ext>
      </extLst>
    </cfRule>
  </conditionalFormatting>
  <conditionalFormatting sqref="Y12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{DCCB383C-3645-4680-9BCE-29EB334965A5}</x14:id>
        </ext>
      </extLst>
    </cfRule>
  </conditionalFormatting>
  <conditionalFormatting sqref="X4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{5F939778-BE7D-4689-B57C-41DC6B442068}</x14:id>
        </ext>
      </extLst>
    </cfRule>
  </conditionalFormatting>
  <conditionalFormatting sqref="Y4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{41FC719A-47DA-4A42-A3D1-C7E80F7C10DA}</x14:id>
        </ext>
      </extLst>
    </cfRule>
  </conditionalFormatting>
  <conditionalFormatting sqref="X11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{8646C351-2C82-4AB3-8919-052488F76280}</x14:id>
        </ext>
      </extLst>
    </cfRule>
  </conditionalFormatting>
  <conditionalFormatting sqref="Y11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{D00007CE-C255-4710-B6A4-27D99ADFE3C6}</x14:id>
        </ext>
      </extLst>
    </cfRule>
  </conditionalFormatting>
  <conditionalFormatting sqref="X13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{4B46B975-93E2-4A44-BF1F-29B1DDDD27F2}</x14:id>
        </ext>
      </extLst>
    </cfRule>
  </conditionalFormatting>
  <conditionalFormatting sqref="Y13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{F72C47D1-D11A-4C23-8D60-5AE3DC17502D}</x14:id>
        </ext>
      </extLst>
    </cfRule>
  </conditionalFormatting>
  <conditionalFormatting sqref="X18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{6AFC1381-2321-4330-811F-8BFEACC8D69B}</x14:id>
        </ext>
      </extLst>
    </cfRule>
  </conditionalFormatting>
  <conditionalFormatting sqref="Y18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{60696F98-19B9-430D-8C78-6761D2AE6185}</x14:id>
        </ext>
      </extLst>
    </cfRule>
  </conditionalFormatting>
  <conditionalFormatting sqref="W4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{423BEC29-0D9F-40B1-A3BD-19DAF4A70715}</x14:id>
        </ext>
      </extLst>
    </cfRule>
  </conditionalFormatting>
  <conditionalFormatting sqref="W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{F9F2AAAD-5ACD-4A6D-A25D-1EBD450889B1}</x14:id>
        </ext>
      </extLst>
    </cfRule>
  </conditionalFormatting>
  <conditionalFormatting sqref="W4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{2DDDFAC4-75D5-4630-89EA-11F0C9619C47}</x14:id>
        </ext>
      </extLst>
    </cfRule>
  </conditionalFormatting>
  <conditionalFormatting sqref="W4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{F2B5B734-BF27-4E0E-88E9-74D594BB278E}</x14:id>
        </ext>
      </extLst>
    </cfRule>
  </conditionalFormatting>
  <conditionalFormatting sqref="W11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{8C34E1C3-A58D-48B4-B1C1-E13AE2017375}</x14:id>
        </ext>
      </extLst>
    </cfRule>
  </conditionalFormatting>
  <conditionalFormatting sqref="W11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{9F32EA45-5FA2-4B54-826E-897899877985}</x14:id>
        </ext>
      </extLst>
    </cfRule>
  </conditionalFormatting>
  <conditionalFormatting sqref="W13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{7A8E2A6C-1767-4A5A-9835-22ACFCDF78F7}</x14:id>
        </ext>
      </extLst>
    </cfRule>
  </conditionalFormatting>
  <conditionalFormatting sqref="W13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{6355242D-A88D-48BB-907F-F9214FC85FBA}</x14:id>
        </ext>
      </extLst>
    </cfRule>
  </conditionalFormatting>
  <conditionalFormatting sqref="W13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{CA537FBE-A200-421F-9F49-88BA4D9E001A}</x14:id>
        </ext>
      </extLst>
    </cfRule>
  </conditionalFormatting>
  <conditionalFormatting sqref="L15:M15">
    <cfRule type="dataBar" priority="5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{D38B61E3-AED5-489F-A093-663E1C4CFB51}</x14:id>
        </ext>
      </extLst>
    </cfRule>
  </conditionalFormatting>
  <conditionalFormatting sqref="L15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{F77902DA-D12F-4F7D-A4AE-4911827A76D4}</x14:id>
        </ext>
      </extLst>
    </cfRule>
  </conditionalFormatting>
  <conditionalFormatting sqref="X15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{BC8F26EB-7ED8-41F3-B075-8174DFBEA34F}</x14:id>
        </ext>
      </extLst>
    </cfRule>
  </conditionalFormatting>
  <conditionalFormatting sqref="Y15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{B4696A7A-9965-4E52-B89D-6BEAEB2EB769}</x14:id>
        </ext>
      </extLst>
    </cfRule>
  </conditionalFormatting>
  <conditionalFormatting sqref="M15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{373C81D8-9409-46EE-B152-F1708047FC19}</x14:id>
        </ext>
      </extLst>
    </cfRule>
  </conditionalFormatting>
  <conditionalFormatting sqref="L1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{311EC820-BA7E-41E6-9B96-7169480D3905}</x14:id>
        </ext>
      </extLst>
    </cfRule>
  </conditionalFormatting>
  <conditionalFormatting sqref="M15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{9A2918ED-6555-4240-9F6C-4F57DDBFE800}</x14:id>
        </ext>
      </extLst>
    </cfRule>
  </conditionalFormatting>
  <conditionalFormatting sqref="L15:M1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{9237D315-0DCC-4043-9172-6A9466E55744}</x14:id>
        </ext>
      </extLst>
    </cfRule>
  </conditionalFormatting>
  <conditionalFormatting sqref="L15">
    <cfRule type="dataBar" priority="5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{AA87381C-B209-438C-88C2-4FCAB645C648}</x14:id>
        </ext>
      </extLst>
    </cfRule>
  </conditionalFormatting>
  <conditionalFormatting sqref="M15">
    <cfRule type="dataBar" priority="5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{7CFA159C-810F-4DDE-9009-8A1F0F93F161}</x14:id>
        </ext>
      </extLst>
    </cfRule>
  </conditionalFormatting>
  <conditionalFormatting sqref="L15">
    <cfRule type="dataBar" priority="5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{42FBDDBC-51D7-4D2B-99AF-47AF1FC69055}</x14:id>
        </ext>
      </extLst>
    </cfRule>
  </conditionalFormatting>
  <conditionalFormatting sqref="M15">
    <cfRule type="dataBar" priority="5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{0CCB7038-078F-4E39-A2EA-B2150C996CDA}</x14:id>
        </ext>
      </extLst>
    </cfRule>
  </conditionalFormatting>
  <conditionalFormatting sqref="T15:T18">
    <cfRule type="dataBar" priority="5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{0D9295DF-046D-4C70-9F67-FC46BB170F24}</x14:id>
        </ext>
      </extLst>
    </cfRule>
  </conditionalFormatting>
  <conditionalFormatting sqref="T15:T18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{C84DECB2-EFC5-4522-9FB4-818B1932E71E}</x14:id>
        </ext>
      </extLst>
    </cfRule>
  </conditionalFormatting>
  <conditionalFormatting sqref="T15:T18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{4FB54D63-A85E-4F9F-A505-6FF7DFC90051}</x14:id>
        </ext>
      </extLst>
    </cfRule>
  </conditionalFormatting>
  <conditionalFormatting sqref="X1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{4A39B9F6-9BA7-4CF4-B54A-A53F30084279}</x14:id>
        </ext>
      </extLst>
    </cfRule>
  </conditionalFormatting>
  <conditionalFormatting sqref="Y1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{02F4526C-6850-428A-878C-861CA17AE2F5}</x14:id>
        </ext>
      </extLst>
    </cfRule>
  </conditionalFormatting>
  <conditionalFormatting sqref="X15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{B01AF34A-AAC0-4A0E-8E54-C7BD38D61267}</x14:id>
        </ext>
      </extLst>
    </cfRule>
  </conditionalFormatting>
  <conditionalFormatting sqref="Y1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{37B5DF1E-4266-40D0-930A-0226142C6044}</x14:id>
        </ext>
      </extLst>
    </cfRule>
  </conditionalFormatting>
  <conditionalFormatting sqref="X1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{5FBEF441-2E99-48EE-A2A3-6BD74C5E4BD3}</x14:id>
        </ext>
      </extLst>
    </cfRule>
  </conditionalFormatting>
  <conditionalFormatting sqref="Y1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{5F66143B-D4AF-4ACD-8370-05178F233B26}</x14:id>
        </ext>
      </extLst>
    </cfRule>
  </conditionalFormatting>
  <conditionalFormatting sqref="M18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{8F4D7193-F66C-4F1E-A76A-05DEADF5E3E8}</x14:id>
        </ext>
      </extLst>
    </cfRule>
  </conditionalFormatting>
  <conditionalFormatting sqref="M18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{D413A0BF-9019-4155-94D8-248B4B4991ED}</x14:id>
        </ext>
      </extLst>
    </cfRule>
  </conditionalFormatting>
  <conditionalFormatting sqref="M18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{E6019667-78E1-4AC4-9484-73C30304C08C}</x14:id>
        </ext>
      </extLst>
    </cfRule>
  </conditionalFormatting>
  <conditionalFormatting sqref="M18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{16D5BE3A-8731-4E47-A541-F76221879F55}</x14:id>
        </ext>
      </extLst>
    </cfRule>
  </conditionalFormatting>
  <conditionalFormatting sqref="M18">
    <cfRule type="dataBar" priority="5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{0DAAE040-5FA9-4A87-A2D6-2DDA1FE7EEDE}</x14:id>
        </ext>
      </extLst>
    </cfRule>
  </conditionalFormatting>
  <conditionalFormatting sqref="M18">
    <cfRule type="dataBar" priority="5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{88654146-828F-4471-9217-2CE06BDC7B7C}</x14:id>
        </ext>
      </extLst>
    </cfRule>
  </conditionalFormatting>
  <conditionalFormatting sqref="E53">
    <cfRule type="containsText" dxfId="8095" priority="508" operator="containsText" text="Buy">
      <formula>NOT(ISERROR(SEARCH("Buy",E53)))</formula>
    </cfRule>
    <cfRule type="containsText" dxfId="8094" priority="509" operator="containsText" text="Sell">
      <formula>NOT(ISERROR(SEARCH("Sell",E53)))</formula>
    </cfRule>
  </conditionalFormatting>
  <conditionalFormatting sqref="H32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{AEB4E829-0D45-4DC9-A1FD-D6EF2D023AEC}</x14:id>
        </ext>
      </extLst>
    </cfRule>
    <cfRule type="cellIs" dxfId="8093" priority="507" operator="equal">
      <formula>1</formula>
    </cfRule>
  </conditionalFormatting>
  <conditionalFormatting sqref="D32">
    <cfRule type="containsText" dxfId="8092" priority="505" operator="containsText" text="Buy">
      <formula>NOT(ISERROR(SEARCH("Buy",D32)))</formula>
    </cfRule>
    <cfRule type="containsText" dxfId="8091" priority="506" operator="containsText" text="Sell">
      <formula>NOT(ISERROR(SEARCH("Sell",D32)))</formula>
    </cfRule>
  </conditionalFormatting>
  <conditionalFormatting sqref="Y6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{4B2F74D1-BCC7-47EC-984B-763F5D585DFF}</x14:id>
        </ext>
      </extLst>
    </cfRule>
  </conditionalFormatting>
  <conditionalFormatting sqref="T6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{526225C7-56A0-4F6B-944D-449544514D71}</x14:id>
        </ext>
      </extLst>
    </cfRule>
  </conditionalFormatting>
  <conditionalFormatting sqref="I6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{2FE03FAC-B955-43A0-8967-1FD15657455A}</x14:id>
        </ext>
      </extLst>
    </cfRule>
  </conditionalFormatting>
  <conditionalFormatting sqref="K6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{EAC12BD7-43B0-4928-91EC-9AD020E25469}</x14:id>
        </ext>
      </extLst>
    </cfRule>
  </conditionalFormatting>
  <conditionalFormatting sqref="V6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{E28D5A00-5A27-45B6-B034-ED74F353E2B5}</x14:id>
        </ext>
      </extLst>
    </cfRule>
  </conditionalFormatting>
  <conditionalFormatting sqref="W6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{FF25276B-E948-44DD-8B92-B3B08F901E65}</x14:id>
        </ext>
      </extLst>
    </cfRule>
  </conditionalFormatting>
  <conditionalFormatting sqref="X6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{32F2758B-F864-430B-A743-76EA73FC9E9A}</x14:id>
        </ext>
      </extLst>
    </cfRule>
  </conditionalFormatting>
  <conditionalFormatting sqref="Y6">
    <cfRule type="dataBar" priority="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{215D85DD-474D-41DB-904F-5ABB1DFDF86E}</x14:id>
        </ext>
      </extLst>
    </cfRule>
  </conditionalFormatting>
  <conditionalFormatting sqref="V6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{EA16F180-283E-4A87-801F-B646E7320340}</x14:id>
        </ext>
      </extLst>
    </cfRule>
  </conditionalFormatting>
  <conditionalFormatting sqref="L6:M6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{4139A665-A5B3-4FE0-977A-058F13DB9126}</x14:id>
        </ext>
      </extLst>
    </cfRule>
  </conditionalFormatting>
  <conditionalFormatting sqref="L6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{CD6A7B97-C4F7-47CC-83DE-E4CE4FA42D8A}</x14:id>
        </ext>
      </extLst>
    </cfRule>
  </conditionalFormatting>
  <conditionalFormatting sqref="M6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{D3905CD5-7B20-4AE6-9C37-AD9C119222B5}</x14:id>
        </ext>
      </extLst>
    </cfRule>
  </conditionalFormatting>
  <conditionalFormatting sqref="T6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{FC6132A1-949D-4BE6-AA95-9500EF097DEE}</x14:id>
        </ext>
      </extLst>
    </cfRule>
  </conditionalFormatting>
  <conditionalFormatting sqref="W6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{860A5B3C-9F12-439B-A389-7BC75DDBAD1D}</x14:id>
        </ext>
      </extLst>
    </cfRule>
  </conditionalFormatting>
  <conditionalFormatting sqref="K6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{C5879608-A7DF-4418-BAE0-469549285D95}</x14:id>
        </ext>
      </extLst>
    </cfRule>
  </conditionalFormatting>
  <conditionalFormatting sqref="L6">
    <cfRule type="dataBar" priority="4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{7A71772D-0C08-4900-9391-6F9455078653}</x14:id>
        </ext>
      </extLst>
    </cfRule>
  </conditionalFormatting>
  <conditionalFormatting sqref="L6">
    <cfRule type="dataBar" priority="4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{53EEB393-074F-46BC-8389-D759A928D7F4}</x14:id>
        </ext>
      </extLst>
    </cfRule>
  </conditionalFormatting>
  <conditionalFormatting sqref="M6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{E071E368-295D-49DB-9DB5-7C1856B916A2}</x14:id>
        </ext>
      </extLst>
    </cfRule>
  </conditionalFormatting>
  <conditionalFormatting sqref="L6:M6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{E934BAFC-5002-47BA-9E73-D98546675B44}</x14:id>
        </ext>
      </extLst>
    </cfRule>
  </conditionalFormatting>
  <conditionalFormatting sqref="T6">
    <cfRule type="dataBar" priority="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{AD0503CF-BE86-40E2-ADD3-83FEEA5F6175}</x14:id>
        </ext>
      </extLst>
    </cfRule>
  </conditionalFormatting>
  <conditionalFormatting sqref="L6:M6">
    <cfRule type="dataBar" priority="5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{807ADAC0-091B-4B01-9C84-59EA1A531C85}</x14:id>
        </ext>
      </extLst>
    </cfRule>
  </conditionalFormatting>
  <conditionalFormatting sqref="T6">
    <cfRule type="dataBar" priority="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{8E16B97C-9B63-439E-84AF-40769678E9BE}</x14:id>
        </ext>
      </extLst>
    </cfRule>
  </conditionalFormatting>
  <conditionalFormatting sqref="I6">
    <cfRule type="dataBar" priority="4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{A20D6DDD-B0C4-4B5C-9C3F-AACDA1CFED3A}</x14:id>
        </ext>
      </extLst>
    </cfRule>
  </conditionalFormatting>
  <conditionalFormatting sqref="E66">
    <cfRule type="containsText" dxfId="8090" priority="459" operator="containsText" text="Buy">
      <formula>NOT(ISERROR(SEARCH("Buy",E66)))</formula>
    </cfRule>
    <cfRule type="containsText" dxfId="8089" priority="460" operator="containsText" text="Sell">
      <formula>NOT(ISERROR(SEARCH("Sell",E66)))</formula>
    </cfRule>
  </conditionalFormatting>
  <conditionalFormatting sqref="E65">
    <cfRule type="containsText" dxfId="8088" priority="457" operator="containsText" text="Buy">
      <formula>NOT(ISERROR(SEARCH("Buy",E65)))</formula>
    </cfRule>
    <cfRule type="containsText" dxfId="8087" priority="458" operator="containsText" text="Sell">
      <formula>NOT(ISERROR(SEARCH("Sell",E65)))</formula>
    </cfRule>
  </conditionalFormatting>
  <conditionalFormatting sqref="E70">
    <cfRule type="containsText" dxfId="8086" priority="349" operator="containsText" text="Buy">
      <formula>NOT(ISERROR(SEARCH("Buy",E70)))</formula>
    </cfRule>
    <cfRule type="containsText" dxfId="8085" priority="350" operator="containsText" text="Sell">
      <formula>NOT(ISERROR(SEARCH("Sell",E70)))</formula>
    </cfRule>
  </conditionalFormatting>
  <conditionalFormatting sqref="E69">
    <cfRule type="containsText" dxfId="8084" priority="347" operator="containsText" text="Buy">
      <formula>NOT(ISERROR(SEARCH("Buy",E69)))</formula>
    </cfRule>
    <cfRule type="containsText" dxfId="8083" priority="348" operator="containsText" text="Sell">
      <formula>NOT(ISERROR(SEARCH("Sell",E69)))</formula>
    </cfRule>
  </conditionalFormatting>
  <conditionalFormatting sqref="V14:Y14">
    <cfRule type="dataBar" priority="31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{AA751CD6-1E4C-41FC-9BFF-2A28544DDA5E}</x14:id>
        </ext>
      </extLst>
    </cfRule>
  </conditionalFormatting>
  <conditionalFormatting sqref="V8:Y8">
    <cfRule type="dataBar" priority="31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{27D4E85C-E22C-4903-8B2D-A0DB7B7A7A35}</x14:id>
        </ext>
      </extLst>
    </cfRule>
  </conditionalFormatting>
  <conditionalFormatting sqref="V9:Y9">
    <cfRule type="dataBar" priority="31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{93FD7E12-E896-4B68-9F7B-52D64CD2B519}</x14:id>
        </ext>
      </extLst>
    </cfRule>
  </conditionalFormatting>
  <conditionalFormatting sqref="V10:Y10">
    <cfRule type="dataBar" priority="31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{2C07EB62-136B-41D2-B0B7-6F8983623C7F}</x14:id>
        </ext>
      </extLst>
    </cfRule>
  </conditionalFormatting>
  <conditionalFormatting sqref="V12:Y12">
    <cfRule type="dataBar" priority="31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{7FE76BBB-AD4F-4A2A-9226-2C6FD1F14219}</x14:id>
        </ext>
      </extLst>
    </cfRule>
  </conditionalFormatting>
  <conditionalFormatting sqref="V12:Y12">
    <cfRule type="dataBar" priority="31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{5D637647-C342-47A8-9A8A-A4EC84FE5D03}</x14:id>
        </ext>
      </extLst>
    </cfRule>
  </conditionalFormatting>
  <conditionalFormatting sqref="V4:Y4">
    <cfRule type="dataBar" priority="31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{700AF89E-B15E-4CC9-9DA4-B667CE0999CA}</x14:id>
        </ext>
      </extLst>
    </cfRule>
  </conditionalFormatting>
  <conditionalFormatting sqref="V4:Y4">
    <cfRule type="dataBar" priority="31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{4147C85F-AE55-4382-80E8-265F1207F15F}</x14:id>
        </ext>
      </extLst>
    </cfRule>
  </conditionalFormatting>
  <conditionalFormatting sqref="V11:Y11">
    <cfRule type="dataBar" priority="31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{092B7201-4D25-4EB4-9819-21534B0B30F2}</x14:id>
        </ext>
      </extLst>
    </cfRule>
  </conditionalFormatting>
  <conditionalFormatting sqref="V11:Y11">
    <cfRule type="dataBar" priority="3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{C8126B7D-A88C-42A9-BEF9-74B3D9A2EB99}</x14:id>
        </ext>
      </extLst>
    </cfRule>
  </conditionalFormatting>
  <conditionalFormatting sqref="V13:Y13">
    <cfRule type="dataBar" priority="31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{61BFB196-BFF7-48A5-8A5E-AD808DA26975}</x14:id>
        </ext>
      </extLst>
    </cfRule>
  </conditionalFormatting>
  <conditionalFormatting sqref="V13:Y13">
    <cfRule type="dataBar" priority="3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{85712190-3B27-46D7-B183-DAA9E1A69D26}</x14:id>
        </ext>
      </extLst>
    </cfRule>
  </conditionalFormatting>
  <conditionalFormatting sqref="V14:Y14 V8:Y8">
    <cfRule type="dataBar" priority="31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{6A7AB4C5-A811-4464-B37D-3FAF8F3735AC}</x14:id>
        </ext>
      </extLst>
    </cfRule>
  </conditionalFormatting>
  <conditionalFormatting sqref="V18:Y18">
    <cfRule type="dataBar" priority="31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{FE2B2793-8543-488E-8E3D-DD64E71DC6B3}</x14:id>
        </ext>
      </extLst>
    </cfRule>
  </conditionalFormatting>
  <conditionalFormatting sqref="V18:Y18">
    <cfRule type="dataBar" priority="3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{05EA619B-F34A-4E99-9DDD-57B77BBEE338}</x14:id>
        </ext>
      </extLst>
    </cfRule>
  </conditionalFormatting>
  <conditionalFormatting sqref="V18:Y18 V4:Y4 V8:Y14">
    <cfRule type="dataBar" priority="316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{6D4A5B8D-DE72-4D28-9D32-5CEACB38239C}</x14:id>
        </ext>
      </extLst>
    </cfRule>
  </conditionalFormatting>
  <conditionalFormatting sqref="V18:Y18">
    <cfRule type="dataBar" priority="31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{E6058137-43C4-4D9A-AA21-E0C3F385D61E}</x14:id>
        </ext>
      </extLst>
    </cfRule>
  </conditionalFormatting>
  <conditionalFormatting sqref="V15:Y15">
    <cfRule type="dataBar" priority="31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{36E9A631-3D38-4131-9A7F-1C17BBAFA714}</x14:id>
        </ext>
      </extLst>
    </cfRule>
  </conditionalFormatting>
  <conditionalFormatting sqref="V15:Y15">
    <cfRule type="dataBar" priority="3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{05B50F64-F5D3-496C-8568-6DA5B1A651DE}</x14:id>
        </ext>
      </extLst>
    </cfRule>
  </conditionalFormatting>
  <conditionalFormatting sqref="V15:Y15">
    <cfRule type="dataBar" priority="31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{13B46634-12A6-445E-AD67-ABE7C6E89B85}</x14:id>
        </ext>
      </extLst>
    </cfRule>
  </conditionalFormatting>
  <conditionalFormatting sqref="V6:Y6">
    <cfRule type="dataBar" priority="31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{F4256A03-100F-4038-B4FA-9F9CACF921ED}</x14:id>
        </ext>
      </extLst>
    </cfRule>
  </conditionalFormatting>
  <conditionalFormatting sqref="V6:Y6">
    <cfRule type="dataBar" priority="31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{E256E9A7-A672-4262-8C80-E42BDCC93586}</x14:id>
        </ext>
      </extLst>
    </cfRule>
  </conditionalFormatting>
  <conditionalFormatting sqref="V6:Y6">
    <cfRule type="dataBar" priority="31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{52232911-43A9-4EB8-9259-E9155D73EB89}</x14:id>
        </ext>
      </extLst>
    </cfRule>
  </conditionalFormatting>
  <conditionalFormatting sqref="K12 I12">
    <cfRule type="dataBar" priority="320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{057096CD-6531-4BDE-A333-F73CE27780ED}</x14:id>
        </ext>
      </extLst>
    </cfRule>
  </conditionalFormatting>
  <conditionalFormatting sqref="I4 K4">
    <cfRule type="dataBar" priority="32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{FC3DBDE7-50E9-431F-8E57-1C5F42EE48B2}</x14:id>
        </ext>
      </extLst>
    </cfRule>
  </conditionalFormatting>
  <conditionalFormatting sqref="I11 K11">
    <cfRule type="dataBar" priority="320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{F58A0C7D-2DEF-4FBD-9075-5517945D0DEE}</x14:id>
        </ext>
      </extLst>
    </cfRule>
  </conditionalFormatting>
  <conditionalFormatting sqref="I11 K11">
    <cfRule type="dataBar" priority="32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{9799BCE7-75CE-4E48-A9C9-9DC6B3323447}</x14:id>
        </ext>
      </extLst>
    </cfRule>
  </conditionalFormatting>
  <conditionalFormatting sqref="K13 I13">
    <cfRule type="dataBar" priority="320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{1CFE58BF-B0A1-444A-BFAA-ED3267B2E5F5}</x14:id>
        </ext>
      </extLst>
    </cfRule>
  </conditionalFormatting>
  <conditionalFormatting sqref="I13 K13">
    <cfRule type="dataBar" priority="32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{925931EE-B88D-43AD-A2B6-C895C9060025}</x14:id>
        </ext>
      </extLst>
    </cfRule>
  </conditionalFormatting>
  <conditionalFormatting sqref="I15">
    <cfRule type="dataBar" priority="320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{E0A1DDC2-D32F-4251-8F14-A196D54BBD82}</x14:id>
        </ext>
      </extLst>
    </cfRule>
  </conditionalFormatting>
  <conditionalFormatting sqref="K18 I18">
    <cfRule type="dataBar" priority="320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{92740077-841F-4C07-9692-00A638AB2D58}</x14:id>
        </ext>
      </extLst>
    </cfRule>
  </conditionalFormatting>
  <conditionalFormatting sqref="K18 I18">
    <cfRule type="dataBar" priority="32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{7C41B2C0-9BA4-4C02-A013-E1A29950BA77}</x14:id>
        </ext>
      </extLst>
    </cfRule>
  </conditionalFormatting>
  <conditionalFormatting sqref="I15 K15">
    <cfRule type="dataBar" priority="32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{D23F5F8C-A9AF-485F-A2F5-222163BB9DE4}</x14:id>
        </ext>
      </extLst>
    </cfRule>
  </conditionalFormatting>
  <conditionalFormatting sqref="K15">
    <cfRule type="dataBar" priority="32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{B204189B-5072-4632-8AF9-00F429AC52FA}</x14:id>
        </ext>
      </extLst>
    </cfRule>
  </conditionalFormatting>
  <conditionalFormatting sqref="K6 I6">
    <cfRule type="dataBar" priority="32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{E32AAD7A-2BBB-468A-ADA6-3F803F61E2B4}</x14:id>
        </ext>
      </extLst>
    </cfRule>
  </conditionalFormatting>
  <conditionalFormatting sqref="K6 I6">
    <cfRule type="dataBar" priority="32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{60BB98C2-E2D9-4F23-AA27-D9C64F529004}</x14:id>
        </ext>
      </extLst>
    </cfRule>
  </conditionalFormatting>
  <conditionalFormatting sqref="H3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{E3870BCE-8FF5-4B0D-A07F-C96BE17A0645}</x14:id>
        </ext>
      </extLst>
    </cfRule>
    <cfRule type="cellIs" dxfId="8082" priority="340" operator="equal">
      <formula>1</formula>
    </cfRule>
  </conditionalFormatting>
  <conditionalFormatting sqref="D33">
    <cfRule type="containsText" dxfId="8081" priority="338" operator="containsText" text="Buy">
      <formula>NOT(ISERROR(SEARCH("Buy",D33)))</formula>
    </cfRule>
    <cfRule type="containsText" dxfId="8080" priority="339" operator="containsText" text="Sell">
      <formula>NOT(ISERROR(SEARCH("Sell",D33)))</formula>
    </cfRule>
  </conditionalFormatting>
  <conditionalFormatting sqref="E73:E74">
    <cfRule type="containsText" dxfId="8079" priority="335" operator="containsText" text="Buy">
      <formula>NOT(ISERROR(SEARCH("Buy",E73)))</formula>
    </cfRule>
    <cfRule type="containsText" dxfId="8078" priority="336" operator="containsText" text="Sell">
      <formula>NOT(ISERROR(SEARCH("Sell",E73)))</formula>
    </cfRule>
  </conditionalFormatting>
  <conditionalFormatting sqref="E72">
    <cfRule type="containsText" dxfId="8077" priority="333" operator="containsText" text="Buy">
      <formula>NOT(ISERROR(SEARCH("Buy",E72)))</formula>
    </cfRule>
    <cfRule type="containsText" dxfId="8076" priority="334" operator="containsText" text="Sell">
      <formula>NOT(ISERROR(SEARCH("Sell",E72)))</formula>
    </cfRule>
  </conditionalFormatting>
  <conditionalFormatting sqref="H35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{109FE393-D562-44E8-9523-7FE059327241}</x14:id>
        </ext>
      </extLst>
    </cfRule>
    <cfRule type="cellIs" dxfId="8075" priority="328" operator="equal">
      <formula>1</formula>
    </cfRule>
  </conditionalFormatting>
  <conditionalFormatting sqref="D35">
    <cfRule type="containsText" dxfId="8074" priority="326" operator="containsText" text="Buy">
      <formula>NOT(ISERROR(SEARCH("Buy",D35)))</formula>
    </cfRule>
    <cfRule type="containsText" dxfId="8073" priority="327" operator="containsText" text="Sell">
      <formula>NOT(ISERROR(SEARCH("Sell",D35)))</formula>
    </cfRule>
  </conditionalFormatting>
  <conditionalFormatting sqref="H34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{D9F5FF05-28AE-4580-B346-3D60C0EFF66D}</x14:id>
        </ext>
      </extLst>
    </cfRule>
    <cfRule type="cellIs" dxfId="8072" priority="324" operator="equal">
      <formula>1</formula>
    </cfRule>
  </conditionalFormatting>
  <conditionalFormatting sqref="D34">
    <cfRule type="containsText" dxfId="8071" priority="322" operator="containsText" text="Buy">
      <formula>NOT(ISERROR(SEARCH("Buy",D34)))</formula>
    </cfRule>
    <cfRule type="containsText" dxfId="8070" priority="323" operator="containsText" text="Sell">
      <formula>NOT(ISERROR(SEARCH("Sell",D34)))</formula>
    </cfRule>
  </conditionalFormatting>
  <conditionalFormatting sqref="L18:M18 L4:M4 L8:M15">
    <cfRule type="dataBar" priority="32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{C81F915A-1969-4826-90A0-BD86DEA55CFC}</x14:id>
        </ext>
      </extLst>
    </cfRule>
  </conditionalFormatting>
  <conditionalFormatting sqref="I4 K18 K4 I8:I15 K8:K15 I18">
    <cfRule type="dataBar" priority="328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{78EC73CA-F71F-4E35-97DA-FDCE474329EE}</x14:id>
        </ext>
      </extLst>
    </cfRule>
  </conditionalFormatting>
  <conditionalFormatting sqref="H3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{9D09A14C-3D58-4CBF-9958-E1627508A6D7}</x14:id>
        </ext>
      </extLst>
    </cfRule>
    <cfRule type="cellIs" dxfId="8069" priority="318" operator="equal">
      <formula>1</formula>
    </cfRule>
  </conditionalFormatting>
  <conditionalFormatting sqref="D36">
    <cfRule type="containsText" dxfId="8068" priority="316" operator="containsText" text="Buy">
      <formula>NOT(ISERROR(SEARCH("Buy",D36)))</formula>
    </cfRule>
    <cfRule type="containsText" dxfId="8067" priority="317" operator="containsText" text="Sell">
      <formula>NOT(ISERROR(SEARCH("Sell",D36)))</formula>
    </cfRule>
  </conditionalFormatting>
  <conditionalFormatting sqref="L18:M18 L4:M4 L8:M15 L6:M6">
    <cfRule type="dataBar" priority="33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{F84198A1-978C-4687-8E6B-9AEA1DCAA85A}</x14:id>
        </ext>
      </extLst>
    </cfRule>
  </conditionalFormatting>
  <conditionalFormatting sqref="I18:I20 I4 I8:I15 I6">
    <cfRule type="dataBar" priority="33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{8C6F8CE4-764B-4030-B677-27BE6F945034}</x14:id>
        </ext>
      </extLst>
    </cfRule>
  </conditionalFormatting>
  <conditionalFormatting sqref="L18:M21 L4:M4 L8:M15 L6:M6">
    <cfRule type="dataBar" priority="33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{227B44E1-A940-4E9E-8441-77B7E0C702C7}</x14:id>
        </ext>
      </extLst>
    </cfRule>
  </conditionalFormatting>
  <conditionalFormatting sqref="X18:Y18 X4:Y4 X8:Y15 X6:Y6">
    <cfRule type="dataBar" priority="33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{AA73BD8F-547A-4465-BF6A-3A06E7E999BC}</x14:id>
        </ext>
      </extLst>
    </cfRule>
  </conditionalFormatting>
  <conditionalFormatting sqref="I16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{67E74A5D-5879-4E2F-9AFC-02BFB72B67B1}</x14:id>
        </ext>
      </extLst>
    </cfRule>
  </conditionalFormatting>
  <conditionalFormatting sqref="Y16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{E40D0893-49A4-410F-8852-9F1B5028D57E}</x14:id>
        </ext>
      </extLst>
    </cfRule>
  </conditionalFormatting>
  <conditionalFormatting sqref="V16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{C68898B7-23B8-4170-94B1-E5A271956403}</x14:id>
        </ext>
      </extLst>
    </cfRule>
  </conditionalFormatting>
  <conditionalFormatting sqref="W1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{08A62D55-9801-439E-8FB4-97AFCF68D8FF}</x14:id>
        </ext>
      </extLst>
    </cfRule>
  </conditionalFormatting>
  <conditionalFormatting sqref="X1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{93874C70-8A54-450D-8F82-B4BFA8E591A5}</x14:id>
        </ext>
      </extLst>
    </cfRule>
  </conditionalFormatting>
  <conditionalFormatting sqref="K16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{AC6DEBE7-6C03-404F-AE4A-05EBD4AE927A}</x14:id>
        </ext>
      </extLst>
    </cfRule>
  </conditionalFormatting>
  <conditionalFormatting sqref="I1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{2FFB2472-0A23-4AC9-8A7F-8A6F9FEC7D0E}</x14:id>
        </ext>
      </extLst>
    </cfRule>
  </conditionalFormatting>
  <conditionalFormatting sqref="K16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{75396C84-4C3B-4CCA-8426-0B9D1B854F54}</x14:id>
        </ext>
      </extLst>
    </cfRule>
  </conditionalFormatting>
  <conditionalFormatting sqref="I16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{C128463F-F63E-43F8-9BFF-B7FBAAEC4EF0}</x14:id>
        </ext>
      </extLst>
    </cfRule>
  </conditionalFormatting>
  <conditionalFormatting sqref="K16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{E0B2B052-7127-4883-9916-FC492425469F}</x14:id>
        </ext>
      </extLst>
    </cfRule>
  </conditionalFormatting>
  <conditionalFormatting sqref="I16">
    <cfRule type="dataBar" priority="2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{0A39606C-8F07-40F5-84AE-A38E1F35ECD3}</x14:id>
        </ext>
      </extLst>
    </cfRule>
  </conditionalFormatting>
  <conditionalFormatting sqref="K16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{BF68562B-B54D-4364-AD39-CC8CE5C55EC3}</x14:id>
        </ext>
      </extLst>
    </cfRule>
  </conditionalFormatting>
  <conditionalFormatting sqref="V16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{CCFCE578-E715-41A4-A886-2E057964CB57}</x14:id>
        </ext>
      </extLst>
    </cfRule>
  </conditionalFormatting>
  <conditionalFormatting sqref="W16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{87A5C433-52A3-462E-B7F4-0F02FF18AFEE}</x14:id>
        </ext>
      </extLst>
    </cfRule>
  </conditionalFormatting>
  <conditionalFormatting sqref="X16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{7862333D-41A7-49EB-BD1D-B749E131BD5D}</x14:id>
        </ext>
      </extLst>
    </cfRule>
  </conditionalFormatting>
  <conditionalFormatting sqref="Y16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{6A5162AE-150B-4072-BEA0-998B40271555}</x14:id>
        </ext>
      </extLst>
    </cfRule>
  </conditionalFormatting>
  <conditionalFormatting sqref="V16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{ECAF48AB-9E92-45E0-9BEA-5E20880077F8}</x14:id>
        </ext>
      </extLst>
    </cfRule>
  </conditionalFormatting>
  <conditionalFormatting sqref="W1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{C1C7898C-3C36-481E-8BEB-A85A8E610326}</x14:id>
        </ext>
      </extLst>
    </cfRule>
  </conditionalFormatting>
  <conditionalFormatting sqref="X16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{571C2FCC-F7A3-4A68-92F0-AA10A4ECFD50}</x14:id>
        </ext>
      </extLst>
    </cfRule>
  </conditionalFormatting>
  <conditionalFormatting sqref="Y16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{CFFC1BB0-4761-4B2F-9595-EAD267766BD2}</x14:id>
        </ext>
      </extLst>
    </cfRule>
  </conditionalFormatting>
  <conditionalFormatting sqref="V16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{99F2A106-3881-40EC-A471-8CDE6D8911B8}</x14:id>
        </ext>
      </extLst>
    </cfRule>
  </conditionalFormatting>
  <conditionalFormatting sqref="W1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{6E168847-3982-4053-8C08-8B2F4979884C}</x14:id>
        </ext>
      </extLst>
    </cfRule>
  </conditionalFormatting>
  <conditionalFormatting sqref="X16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{5E554106-9089-4327-885E-0B030681C510}</x14:id>
        </ext>
      </extLst>
    </cfRule>
  </conditionalFormatting>
  <conditionalFormatting sqref="Y16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{EF3A6972-3BA9-4EFC-9FF8-3C278E58D95F}</x14:id>
        </ext>
      </extLst>
    </cfRule>
  </conditionalFormatting>
  <conditionalFormatting sqref="L16:M1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{0F6F964C-0F1B-471C-AA06-4311506313B0}</x14:id>
        </ext>
      </extLst>
    </cfRule>
  </conditionalFormatting>
  <conditionalFormatting sqref="L16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{27BE0370-4C80-42B9-B89D-F5575ED39D04}</x14:id>
        </ext>
      </extLst>
    </cfRule>
  </conditionalFormatting>
  <conditionalFormatting sqref="X1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{8EA0C307-D08A-4A61-8573-6C52F9ABB53E}</x14:id>
        </ext>
      </extLst>
    </cfRule>
  </conditionalFormatting>
  <conditionalFormatting sqref="Y1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{76C6A545-339B-413D-90F7-29B138F935CA}</x14:id>
        </ext>
      </extLst>
    </cfRule>
  </conditionalFormatting>
  <conditionalFormatting sqref="M16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{4C7BC6DF-4813-45DB-A607-40219C371230}</x14:id>
        </ext>
      </extLst>
    </cfRule>
  </conditionalFormatting>
  <conditionalFormatting sqref="L16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{3E56BB0D-92C0-4D19-9BF4-AF0056195786}</x14:id>
        </ext>
      </extLst>
    </cfRule>
  </conditionalFormatting>
  <conditionalFormatting sqref="M16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{F2223E15-6081-4DF0-A9FD-4A223835C444}</x14:id>
        </ext>
      </extLst>
    </cfRule>
  </conditionalFormatting>
  <conditionalFormatting sqref="L16:M16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{AB6819C5-CBF6-47ED-895F-BDF32761F35E}</x14:id>
        </ext>
      </extLst>
    </cfRule>
  </conditionalFormatting>
  <conditionalFormatting sqref="L16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{4A9BA0B2-952E-4438-B19F-28F432FB1796}</x14:id>
        </ext>
      </extLst>
    </cfRule>
  </conditionalFormatting>
  <conditionalFormatting sqref="M1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{2AE939DC-48F7-4B95-947F-9CC2EC2986A2}</x14:id>
        </ext>
      </extLst>
    </cfRule>
  </conditionalFormatting>
  <conditionalFormatting sqref="L1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{C54A4CDE-45A7-4D04-9054-E4B9557A257A}</x14:id>
        </ext>
      </extLst>
    </cfRule>
  </conditionalFormatting>
  <conditionalFormatting sqref="M1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{7A238214-1720-4336-9B49-59FDB6FDD4D9}</x14:id>
        </ext>
      </extLst>
    </cfRule>
  </conditionalFormatting>
  <conditionalFormatting sqref="X1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{597AD124-E60C-4D45-AE7C-F1CC8435503C}</x14:id>
        </ext>
      </extLst>
    </cfRule>
  </conditionalFormatting>
  <conditionalFormatting sqref="Y1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{E60FB2BA-F998-4317-B51B-9CDA5441F7DB}</x14:id>
        </ext>
      </extLst>
    </cfRule>
  </conditionalFormatting>
  <conditionalFormatting sqref="X1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{7AE95722-69DF-4E64-85CF-577D40AE806F}</x14:id>
        </ext>
      </extLst>
    </cfRule>
  </conditionalFormatting>
  <conditionalFormatting sqref="Y1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{33643703-9964-4269-8C95-38629D45BCC1}</x14:id>
        </ext>
      </extLst>
    </cfRule>
  </conditionalFormatting>
  <conditionalFormatting sqref="X16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{500600AC-1D7C-4F5D-92BC-5700DA96B94E}</x14:id>
        </ext>
      </extLst>
    </cfRule>
  </conditionalFormatting>
  <conditionalFormatting sqref="Y1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{050DEAE2-833E-4257-8743-62589AA9133E}</x14:id>
        </ext>
      </extLst>
    </cfRule>
  </conditionalFormatting>
  <conditionalFormatting sqref="M16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{1CA773FA-291D-423E-B8C4-8DD56B5AF228}</x14:id>
        </ext>
      </extLst>
    </cfRule>
  </conditionalFormatting>
  <conditionalFormatting sqref="M16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{1BF616A8-27A3-4A07-93C1-7274AF2FC380}</x14:id>
        </ext>
      </extLst>
    </cfRule>
  </conditionalFormatting>
  <conditionalFormatting sqref="M16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{A8957BF2-D5B3-4836-BE97-F258E2FD3630}</x14:id>
        </ext>
      </extLst>
    </cfRule>
  </conditionalFormatting>
  <conditionalFormatting sqref="M16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{10655239-FD2A-4563-83E8-2ED58AD57EDF}</x14:id>
        </ext>
      </extLst>
    </cfRule>
  </conditionalFormatting>
  <conditionalFormatting sqref="M16">
    <cfRule type="dataBar" priority="2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{54D722CE-505C-4619-BF85-1AF6D5792F02}</x14:id>
        </ext>
      </extLst>
    </cfRule>
  </conditionalFormatting>
  <conditionalFormatting sqref="M16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{D84BD333-81FB-47C9-8D85-8FCB40607BE6}</x14:id>
        </ext>
      </extLst>
    </cfRule>
  </conditionalFormatting>
  <conditionalFormatting sqref="V16:Y16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{FA155F56-2CDB-4C8E-AD17-9665526BFCE4}</x14:id>
        </ext>
      </extLst>
    </cfRule>
  </conditionalFormatting>
  <conditionalFormatting sqref="V16:Y16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{579E4B8F-9088-45BB-BDFF-2F5AAB3D2638}</x14:id>
        </ext>
      </extLst>
    </cfRule>
  </conditionalFormatting>
  <conditionalFormatting sqref="V16:Y16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{34E24D2B-3B2E-49AC-AB67-48A0D86F60CC}</x14:id>
        </ext>
      </extLst>
    </cfRule>
  </conditionalFormatting>
  <conditionalFormatting sqref="V16:Y16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{4AE8CD37-679A-49AD-92A6-75FFBD8AD704}</x14:id>
        </ext>
      </extLst>
    </cfRule>
  </conditionalFormatting>
  <conditionalFormatting sqref="I16 K16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{7DA136A5-1FEC-4420-BE70-4285A4D8B452}</x14:id>
        </ext>
      </extLst>
    </cfRule>
  </conditionalFormatting>
  <conditionalFormatting sqref="I16 K16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{2A86101C-38E6-45CF-9988-BDDDFE92145B}</x14:id>
        </ext>
      </extLst>
    </cfRule>
  </conditionalFormatting>
  <conditionalFormatting sqref="L16:M16">
    <cfRule type="dataBar" priority="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{94578B86-EA2D-43DA-88AB-BEA1BBB4F490}</x14:id>
        </ext>
      </extLst>
    </cfRule>
  </conditionalFormatting>
  <conditionalFormatting sqref="I16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{7D4643C1-D2C4-4ABA-94BD-16070A60B7F9}</x14:id>
        </ext>
      </extLst>
    </cfRule>
  </conditionalFormatting>
  <conditionalFormatting sqref="L16:M16"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{18645B31-D626-4C63-870A-92C4E8B3E1F4}</x14:id>
        </ext>
      </extLst>
    </cfRule>
  </conditionalFormatting>
  <conditionalFormatting sqref="I16"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{CEBDB0E2-5500-417B-80D1-E8BF2B8B4A50}</x14:id>
        </ext>
      </extLst>
    </cfRule>
  </conditionalFormatting>
  <conditionalFormatting sqref="L16:M16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{4F7A0EFB-CCC0-4390-91EF-DEDBDCCF9360}</x14:id>
        </ext>
      </extLst>
    </cfRule>
  </conditionalFormatting>
  <conditionalFormatting sqref="X16:Y16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{E831BA4E-2B74-4F0E-9977-C097C4F07B98}</x14:id>
        </ext>
      </extLst>
    </cfRule>
  </conditionalFormatting>
  <conditionalFormatting sqref="E76">
    <cfRule type="containsText" dxfId="8066" priority="244" operator="containsText" text="Buy">
      <formula>NOT(ISERROR(SEARCH("Buy",E76)))</formula>
    </cfRule>
    <cfRule type="containsText" dxfId="8065" priority="245" operator="containsText" text="Sell">
      <formula>NOT(ISERROR(SEARCH("Sell",E76)))</formula>
    </cfRule>
  </conditionalFormatting>
  <conditionalFormatting sqref="E75">
    <cfRule type="containsText" dxfId="8064" priority="242" operator="containsText" text="Buy">
      <formula>NOT(ISERROR(SEARCH("Buy",E75)))</formula>
    </cfRule>
    <cfRule type="containsText" dxfId="8063" priority="243" operator="containsText" text="Sell">
      <formula>NOT(ISERROR(SEARCH("Sell",E75)))</formula>
    </cfRule>
  </conditionalFormatting>
  <conditionalFormatting sqref="I18:I20 I4 I8:I16 I6">
    <cfRule type="dataBar" priority="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{2B59005A-B93D-4618-B548-7E12FDE5DBAB}</x14:id>
        </ext>
      </extLst>
    </cfRule>
  </conditionalFormatting>
  <conditionalFormatting sqref="L18:M21 L4:M4 L8:M16 L6:M6">
    <cfRule type="dataBar" priority="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{198A8587-59A7-423C-8D64-079061D0AC8A}</x14:id>
        </ext>
      </extLst>
    </cfRule>
  </conditionalFormatting>
  <conditionalFormatting sqref="E61">
    <cfRule type="containsText" dxfId="8062" priority="238" operator="containsText" text="Buy">
      <formula>NOT(ISERROR(SEARCH("Buy",E61)))</formula>
    </cfRule>
    <cfRule type="containsText" dxfId="8061" priority="239" operator="containsText" text="Sell">
      <formula>NOT(ISERROR(SEARCH("Sell",E61)))</formula>
    </cfRule>
  </conditionalFormatting>
  <conditionalFormatting sqref="E57">
    <cfRule type="containsText" dxfId="8060" priority="236" operator="containsText" text="Buy">
      <formula>NOT(ISERROR(SEARCH("Buy",E57)))</formula>
    </cfRule>
    <cfRule type="containsText" dxfId="8059" priority="237" operator="containsText" text="Sell">
      <formula>NOT(ISERROR(SEARCH("Sell",E57)))</formula>
    </cfRule>
  </conditionalFormatting>
  <conditionalFormatting sqref="E79">
    <cfRule type="containsText" dxfId="8058" priority="234" operator="containsText" text="Buy">
      <formula>NOT(ISERROR(SEARCH("Buy",E79)))</formula>
    </cfRule>
    <cfRule type="containsText" dxfId="8057" priority="235" operator="containsText" text="Sell">
      <formula>NOT(ISERROR(SEARCH("Sell",E79)))</formula>
    </cfRule>
  </conditionalFormatting>
  <conditionalFormatting sqref="E78">
    <cfRule type="containsText" dxfId="8056" priority="230" operator="containsText" text="Buy">
      <formula>NOT(ISERROR(SEARCH("Buy",E78)))</formula>
    </cfRule>
    <cfRule type="containsText" dxfId="8055" priority="231" operator="containsText" text="Sell">
      <formula>NOT(ISERROR(SEARCH("Sell",E78)))</formula>
    </cfRule>
  </conditionalFormatting>
  <conditionalFormatting sqref="I17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{516011B9-73C0-4F4F-A97A-5F3F6AC29079}</x14:id>
        </ext>
      </extLst>
    </cfRule>
  </conditionalFormatting>
  <conditionalFormatting sqref="Y17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{9E4CA17A-84F2-413C-A339-B7789F730731}</x14:id>
        </ext>
      </extLst>
    </cfRule>
  </conditionalFormatting>
  <conditionalFormatting sqref="V17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{4390564B-BC28-4B4D-A09F-4B70283D2103}</x14:id>
        </ext>
      </extLst>
    </cfRule>
  </conditionalFormatting>
  <conditionalFormatting sqref="W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{3D76E79B-E45E-46BA-82EB-27D1C7F6F784}</x14:id>
        </ext>
      </extLst>
    </cfRule>
  </conditionalFormatting>
  <conditionalFormatting sqref="X17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{37D5AA7E-9C5D-464C-9EB1-B76309B04B99}</x14:id>
        </ext>
      </extLst>
    </cfRule>
  </conditionalFormatting>
  <conditionalFormatting sqref="K17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{9E67E878-45DB-4844-B52D-7A030BE05B55}</x14:id>
        </ext>
      </extLst>
    </cfRule>
  </conditionalFormatting>
  <conditionalFormatting sqref="I17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{F91DBC9A-27A6-4F02-B83A-708A00233785}</x14:id>
        </ext>
      </extLst>
    </cfRule>
  </conditionalFormatting>
  <conditionalFormatting sqref="K17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{60BF1874-0840-4B84-848C-AF6B6E709457}</x14:id>
        </ext>
      </extLst>
    </cfRule>
  </conditionalFormatting>
  <conditionalFormatting sqref="I17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{821C38B0-4511-463B-86C8-FCB6D8453272}</x14:id>
        </ext>
      </extLst>
    </cfRule>
  </conditionalFormatting>
  <conditionalFormatting sqref="K17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{06066C0F-98CB-44F4-B502-C8F8BD2A1A15}</x14:id>
        </ext>
      </extLst>
    </cfRule>
  </conditionalFormatting>
  <conditionalFormatting sqref="I17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{74B63413-5A81-444C-A4E6-C3C2E6C46067}</x14:id>
        </ext>
      </extLst>
    </cfRule>
  </conditionalFormatting>
  <conditionalFormatting sqref="K17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{7A247795-C382-48F6-83F9-B1D21557F131}</x14:id>
        </ext>
      </extLst>
    </cfRule>
  </conditionalFormatting>
  <conditionalFormatting sqref="V17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{00C6FFB0-46C9-4B3E-A6ED-58453A3BB825}</x14:id>
        </ext>
      </extLst>
    </cfRule>
  </conditionalFormatting>
  <conditionalFormatting sqref="W17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{4A93DE7C-FE5A-4657-A64F-7BEB5BC7E804}</x14:id>
        </ext>
      </extLst>
    </cfRule>
  </conditionalFormatting>
  <conditionalFormatting sqref="X17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{2904201A-1EE3-4C4D-8412-D44FA68840A9}</x14:id>
        </ext>
      </extLst>
    </cfRule>
  </conditionalFormatting>
  <conditionalFormatting sqref="Y17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{FC6BF229-EA8F-4354-9C16-50A2D952F086}</x14:id>
        </ext>
      </extLst>
    </cfRule>
  </conditionalFormatting>
  <conditionalFormatting sqref="V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{F13EF038-4461-4262-BF59-F59D076147B4}</x14:id>
        </ext>
      </extLst>
    </cfRule>
  </conditionalFormatting>
  <conditionalFormatting sqref="W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{39204654-E707-4F62-B60F-E32269EBED49}</x14:id>
        </ext>
      </extLst>
    </cfRule>
  </conditionalFormatting>
  <conditionalFormatting sqref="X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{276A4CC2-0BA9-4A3F-AE35-816B0BEBBE3F}</x14:id>
        </ext>
      </extLst>
    </cfRule>
  </conditionalFormatting>
  <conditionalFormatting sqref="Y17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{9FEC0FDC-519D-487C-99CE-E0DE19837762}</x14:id>
        </ext>
      </extLst>
    </cfRule>
  </conditionalFormatting>
  <conditionalFormatting sqref="V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{FFD513EA-A48D-4263-8ECC-20A32A572CF5}</x14:id>
        </ext>
      </extLst>
    </cfRule>
  </conditionalFormatting>
  <conditionalFormatting sqref="W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{971540D8-4161-44BF-9C74-DC6DC46A187F}</x14:id>
        </ext>
      </extLst>
    </cfRule>
  </conditionalFormatting>
  <conditionalFormatting sqref="X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{73A2D463-89BE-44A6-BF13-36B0F7563628}</x14:id>
        </ext>
      </extLst>
    </cfRule>
  </conditionalFormatting>
  <conditionalFormatting sqref="Y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{6606BBDC-5353-427A-A72B-F712F6A57935}</x14:id>
        </ext>
      </extLst>
    </cfRule>
  </conditionalFormatting>
  <conditionalFormatting sqref="L17:M17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{D2C42D87-DF27-4686-987F-5D1C2E58A2A4}</x14:id>
        </ext>
      </extLst>
    </cfRule>
  </conditionalFormatting>
  <conditionalFormatting sqref="L17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{7CB2D0E9-968E-4495-82FD-010551CCF75B}</x14:id>
        </ext>
      </extLst>
    </cfRule>
  </conditionalFormatting>
  <conditionalFormatting sqref="X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{F5CF4171-022C-4D98-8161-AF27180586FE}</x14:id>
        </ext>
      </extLst>
    </cfRule>
  </conditionalFormatting>
  <conditionalFormatting sqref="Y1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{39BD6CDF-CC56-42A5-B975-4D9C3D98F541}</x14:id>
        </ext>
      </extLst>
    </cfRule>
  </conditionalFormatting>
  <conditionalFormatting sqref="M17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{28E2A9F9-4568-44B3-946C-78AD1F2E9EF1}</x14:id>
        </ext>
      </extLst>
    </cfRule>
  </conditionalFormatting>
  <conditionalFormatting sqref="L17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{758061DB-6DE5-4C45-A422-389C6DB6B7E2}</x14:id>
        </ext>
      </extLst>
    </cfRule>
  </conditionalFormatting>
  <conditionalFormatting sqref="M17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{8B94A228-AB74-408F-B1E5-A3153C71F846}</x14:id>
        </ext>
      </extLst>
    </cfRule>
  </conditionalFormatting>
  <conditionalFormatting sqref="L17:M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{83C7CB55-A936-4CBF-9C7F-13222E55FBD2}</x14:id>
        </ext>
      </extLst>
    </cfRule>
  </conditionalFormatting>
  <conditionalFormatting sqref="L17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{D1417BC0-15C7-4708-A8CD-AC3FB8101375}</x14:id>
        </ext>
      </extLst>
    </cfRule>
  </conditionalFormatting>
  <conditionalFormatting sqref="M17"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{8C05B7FE-27ED-495A-88F8-6AE4FC6CDAAE}</x14:id>
        </ext>
      </extLst>
    </cfRule>
  </conditionalFormatting>
  <conditionalFormatting sqref="L17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{4F262B2A-C7F3-4CAC-95A1-DCD9694C532B}</x14:id>
        </ext>
      </extLst>
    </cfRule>
  </conditionalFormatting>
  <conditionalFormatting sqref="M17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{2B24705C-2F73-4A0A-8DA1-37CE4345CDAA}</x14:id>
        </ext>
      </extLst>
    </cfRule>
  </conditionalFormatting>
  <conditionalFormatting sqref="X17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{0733E6F5-9418-476B-944A-94403750643F}</x14:id>
        </ext>
      </extLst>
    </cfRule>
  </conditionalFormatting>
  <conditionalFormatting sqref="Y17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{958579CE-9486-4CFE-BD79-ADFE4C3B0927}</x14:id>
        </ext>
      </extLst>
    </cfRule>
  </conditionalFormatting>
  <conditionalFormatting sqref="X1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{F4162C57-7F91-43BA-BC38-23FE4DAAFADE}</x14:id>
        </ext>
      </extLst>
    </cfRule>
  </conditionalFormatting>
  <conditionalFormatting sqref="Y17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{EF3E8E00-687C-4D5E-B936-0180FB7B503B}</x14:id>
        </ext>
      </extLst>
    </cfRule>
  </conditionalFormatting>
  <conditionalFormatting sqref="X1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{DE83CE97-EA6C-416F-9144-0569A483D814}</x14:id>
        </ext>
      </extLst>
    </cfRule>
  </conditionalFormatting>
  <conditionalFormatting sqref="Y17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{B22FF06A-9591-43FD-8022-816D375477BE}</x14:id>
        </ext>
      </extLst>
    </cfRule>
  </conditionalFormatting>
  <conditionalFormatting sqref="M17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{FD164159-5E38-4272-A228-C94DAAFA6819}</x14:id>
        </ext>
      </extLst>
    </cfRule>
  </conditionalFormatting>
  <conditionalFormatting sqref="M17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{56D0506C-0D5B-4839-BB92-1FC6DFC19FF9}</x14:id>
        </ext>
      </extLst>
    </cfRule>
  </conditionalFormatting>
  <conditionalFormatting sqref="M17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{E66860AA-13DC-48E4-9DD0-E635EBA4F434}</x14:id>
        </ext>
      </extLst>
    </cfRule>
  </conditionalFormatting>
  <conditionalFormatting sqref="M1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{684C567B-7FD2-40B3-999C-65BE87C6A1F4}</x14:id>
        </ext>
      </extLst>
    </cfRule>
  </conditionalFormatting>
  <conditionalFormatting sqref="M1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{E52C87B2-054F-4B52-89EF-E8FA2E3DC0D8}</x14:id>
        </ext>
      </extLst>
    </cfRule>
  </conditionalFormatting>
  <conditionalFormatting sqref="M17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{4181F127-9294-4147-850F-E70C18E2F906}</x14:id>
        </ext>
      </extLst>
    </cfRule>
  </conditionalFormatting>
  <conditionalFormatting sqref="V17:Y1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{5AA5C773-24A5-4E6A-8141-B5092FFD7C63}</x14:id>
        </ext>
      </extLst>
    </cfRule>
  </conditionalFormatting>
  <conditionalFormatting sqref="V17:Y17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{40731425-D1BC-4809-AA7C-F7D79BB1510C}</x14:id>
        </ext>
      </extLst>
    </cfRule>
  </conditionalFormatting>
  <conditionalFormatting sqref="V17:Y17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{1E1AA908-7B00-4395-BF99-FEDE9B9502C5}</x14:id>
        </ext>
      </extLst>
    </cfRule>
  </conditionalFormatting>
  <conditionalFormatting sqref="V17:Y17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{6BDFBD22-2BB6-4FAE-8048-F6358CD50BDB}</x14:id>
        </ext>
      </extLst>
    </cfRule>
  </conditionalFormatting>
  <conditionalFormatting sqref="I17 K17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{B20EA322-BAE2-4A89-9B99-2D0E9E43427E}</x14:id>
        </ext>
      </extLst>
    </cfRule>
  </conditionalFormatting>
  <conditionalFormatting sqref="I17 K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{654A9DA0-1DC4-4AD0-9654-40F9F10948D1}</x14:id>
        </ext>
      </extLst>
    </cfRule>
  </conditionalFormatting>
  <conditionalFormatting sqref="L17:M17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{123764E4-E5E9-498C-8E51-50178C66FEC4}</x14:id>
        </ext>
      </extLst>
    </cfRule>
  </conditionalFormatting>
  <conditionalFormatting sqref="I17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{1D8E1DB6-3DBB-4927-B205-C3D871A9B896}</x14:id>
        </ext>
      </extLst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{2A470E75-E720-42E8-88B8-56236BB409B7}</x14:id>
        </ext>
      </extLst>
    </cfRule>
  </conditionalFormatting>
  <conditionalFormatting sqref="I17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{08F5DEF4-5AD4-4BFB-BC32-1993543CB15E}</x14:id>
        </ext>
      </extLst>
    </cfRule>
  </conditionalFormatting>
  <conditionalFormatting sqref="L17:M17">
    <cfRule type="dataBar" priority="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{F9230623-6E8D-4968-8257-AAC322AADEBE}</x14:id>
        </ext>
      </extLst>
    </cfRule>
  </conditionalFormatting>
  <conditionalFormatting sqref="X17:Y17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{686E0558-B9B1-4B23-AC5C-9592BECFEF44}</x14:id>
        </ext>
      </extLst>
    </cfRule>
  </conditionalFormatting>
  <conditionalFormatting sqref="I17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{3EF0091F-63D6-4E41-8BCA-C8414F2EACAF}</x14:id>
        </ext>
      </extLst>
    </cfRule>
  </conditionalFormatting>
  <conditionalFormatting sqref="L17:M17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{BC080F7C-A619-48AC-81F5-67EC96F02893}</x14:id>
        </ext>
      </extLst>
    </cfRule>
  </conditionalFormatting>
  <conditionalFormatting sqref="Y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{32455D7D-A737-4784-9780-14446B63866C}</x14:id>
        </ext>
      </extLst>
    </cfRule>
  </conditionalFormatting>
  <conditionalFormatting sqref="T7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{D431AC16-6033-4864-A9F2-681E8A632FF8}</x14:id>
        </ext>
      </extLst>
    </cfRule>
  </conditionalFormatting>
  <conditionalFormatting sqref="I7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{E61F7A3A-1400-4F18-813B-A051D628C53A}</x14:id>
        </ext>
      </extLst>
    </cfRule>
  </conditionalFormatting>
  <conditionalFormatting sqref="K7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{07FB362A-FA03-4CE7-8F91-4F71C2866443}</x14:id>
        </ext>
      </extLst>
    </cfRule>
  </conditionalFormatting>
  <conditionalFormatting sqref="V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{05F73E39-B2C0-42CD-92FF-63380C934687}</x14:id>
        </ext>
      </extLst>
    </cfRule>
  </conditionalFormatting>
  <conditionalFormatting sqref="W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{FFF3BD84-30B5-47BC-8DCC-2CCEE02CB9F1}</x14:id>
        </ext>
      </extLst>
    </cfRule>
  </conditionalFormatting>
  <conditionalFormatting sqref="X7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{DD3BFB82-CDB5-44C3-9D01-48BED0E64850}</x14:id>
        </ext>
      </extLst>
    </cfRule>
  </conditionalFormatting>
  <conditionalFormatting sqref="Y7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{109F9B24-9E35-4A75-91C4-A8AB1C1D6690}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{20270C70-7D12-4ABF-A42C-FE8A3342155D}</x14:id>
        </ext>
      </extLst>
    </cfRule>
  </conditionalFormatting>
  <conditionalFormatting sqref="L7:M7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{F48A13AA-0841-4116-A9DE-F3B15B15633C}</x14:id>
        </ext>
      </extLst>
    </cfRule>
  </conditionalFormatting>
  <conditionalFormatting sqref="L7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{06DFFFE0-D354-4CAC-9543-5725C19AD07B}</x14:id>
        </ext>
      </extLst>
    </cfRule>
  </conditionalFormatting>
  <conditionalFormatting sqref="M7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{E66FF140-E7F5-4E5C-8F7D-163B192B93AF}</x14:id>
        </ext>
      </extLst>
    </cfRule>
  </conditionalFormatting>
  <conditionalFormatting sqref="T7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{F89F2217-B0E0-49CB-921C-17C88BA7D122}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{C7E6C539-7B35-4364-B4C4-A4015C2E1E5B}</x14:id>
        </ext>
      </extLst>
    </cfRule>
  </conditionalFormatting>
  <conditionalFormatting sqref="K7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{E90A8DDD-B255-4C30-8618-C9786F5734C4}</x14:id>
        </ext>
      </extLst>
    </cfRule>
  </conditionalFormatting>
  <conditionalFormatting sqref="M7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{71C15393-C293-4BD7-8AE1-796AC7800BA4}</x14:id>
        </ext>
      </extLst>
    </cfRule>
  </conditionalFormatting>
  <conditionalFormatting sqref="V7:Y7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{D4E1E153-AE53-4727-B0A4-2F336081E0DA}</x14:id>
        </ext>
      </extLst>
    </cfRule>
  </conditionalFormatting>
  <conditionalFormatting sqref="V7:Y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{7CEF0168-BBC7-45E9-A513-D9E1795C4EDB}</x14:id>
        </ext>
      </extLst>
    </cfRule>
  </conditionalFormatting>
  <conditionalFormatting sqref="V7:Y7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{1F824FC5-7B68-4817-BCFA-896E38DBFF57}</x14:id>
        </ext>
      </extLst>
    </cfRule>
  </conditionalFormatting>
  <conditionalFormatting sqref="V7:Y7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{89371523-FAD9-433D-9B51-F1AF092556EB}</x14:id>
        </ext>
      </extLst>
    </cfRule>
  </conditionalFormatting>
  <conditionalFormatting sqref="V7:Y7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{E8BE2C74-921C-4165-B847-792DCD24726C}</x14:id>
        </ext>
      </extLst>
    </cfRule>
  </conditionalFormatting>
  <conditionalFormatting sqref="K7 I7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{7B9F6ED3-5F73-4C0C-8448-D08753EBD28D}</x14:id>
        </ext>
      </extLst>
    </cfRule>
  </conditionalFormatting>
  <conditionalFormatting sqref="K7 I7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{AB4F3892-2C3A-4A4E-9208-4D300B8681EC}</x14:id>
        </ext>
      </extLst>
    </cfRule>
  </conditionalFormatting>
  <conditionalFormatting sqref="L7:M7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{9F8485F8-DA75-44CF-A62A-F1204B5D542E}</x14:id>
        </ext>
      </extLst>
    </cfRule>
  </conditionalFormatting>
  <conditionalFormatting sqref="T7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{00374E66-F913-4E70-929B-BBF919354292}</x14:id>
        </ext>
      </extLst>
    </cfRule>
  </conditionalFormatting>
  <conditionalFormatting sqref="L7:M7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{50F1D098-DC95-4594-BFA4-2643EFEB675C}</x14:id>
        </ext>
      </extLst>
    </cfRule>
  </conditionalFormatting>
  <conditionalFormatting sqref="T7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{F3DEBEF8-A84C-4FEC-B0DD-8D4F6D23736A}</x14:id>
        </ext>
      </extLst>
    </cfRule>
  </conditionalFormatting>
  <conditionalFormatting sqref="K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{CA901999-E1B3-4726-8B5F-6D221BE86B9E}</x14:id>
        </ext>
      </extLst>
    </cfRule>
  </conditionalFormatting>
  <conditionalFormatting sqref="L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{66454445-6AAE-40FB-AE8B-60CD7521CB8E}</x14:id>
        </ext>
      </extLst>
    </cfRule>
  </conditionalFormatting>
  <conditionalFormatting sqref="L7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{2E23D828-04C8-4154-95E6-184FFC3CA105}</x14:id>
        </ext>
      </extLst>
    </cfRule>
  </conditionalFormatting>
  <conditionalFormatting sqref="I7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{9D854482-4804-4237-9EA8-C0C62F6E0820}</x14:id>
        </ext>
      </extLst>
    </cfRule>
  </conditionalFormatting>
  <conditionalFormatting sqref="I7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{237B638E-1F31-43D1-9B82-4C1375521506}</x14:id>
        </ext>
      </extLst>
    </cfRule>
  </conditionalFormatting>
  <conditionalFormatting sqref="L7:M7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{DD03D80B-06EF-45F4-8983-9484ADA8224C}</x14:id>
        </ext>
      </extLst>
    </cfRule>
  </conditionalFormatting>
  <conditionalFormatting sqref="I7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{2C6EA4AE-644C-42AC-A11D-23B378F0BC13}</x14:id>
        </ext>
      </extLst>
    </cfRule>
  </conditionalFormatting>
  <conditionalFormatting sqref="L7:M7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{36A926D4-302C-4838-A3C5-AF5419EB53A5}</x14:id>
        </ext>
      </extLst>
    </cfRule>
  </conditionalFormatting>
  <conditionalFormatting sqref="X7:Y7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{1391CFDC-B412-40C4-9135-5522907F3E23}</x14:id>
        </ext>
      </extLst>
    </cfRule>
  </conditionalFormatting>
  <conditionalFormatting sqref="T7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{82B03532-807F-4542-91F9-B08A73A5CFB4}</x14:id>
        </ext>
      </extLst>
    </cfRule>
  </conditionalFormatting>
  <conditionalFormatting sqref="I7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{5980AEA8-B9F2-4D89-A83B-94A7EA3DC71D}</x14:id>
        </ext>
      </extLst>
    </cfRule>
  </conditionalFormatting>
  <conditionalFormatting sqref="L7:M7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{E91D6444-F2B3-4682-BEFF-B6E1E9325A6A}</x14:id>
        </ext>
      </extLst>
    </cfRule>
  </conditionalFormatting>
  <conditionalFormatting sqref="I7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{6122C671-33E9-4C87-A872-2B9C724C5C30}</x14:id>
        </ext>
      </extLst>
    </cfRule>
  </conditionalFormatting>
  <conditionalFormatting sqref="E83">
    <cfRule type="containsText" dxfId="8054" priority="115" operator="containsText" text="Buy">
      <formula>NOT(ISERROR(SEARCH("Buy",E83)))</formula>
    </cfRule>
    <cfRule type="containsText" dxfId="8053" priority="116" operator="containsText" text="Sell">
      <formula>NOT(ISERROR(SEARCH("Sell",E83)))</formula>
    </cfRule>
  </conditionalFormatting>
  <conditionalFormatting sqref="E82">
    <cfRule type="containsText" dxfId="8052" priority="113" operator="containsText" text="Buy">
      <formula>NOT(ISERROR(SEARCH("Buy",E82)))</formula>
    </cfRule>
    <cfRule type="containsText" dxfId="8051" priority="114" operator="containsText" text="Sell">
      <formula>NOT(ISERROR(SEARCH("Sell",E82)))</formula>
    </cfRule>
  </conditionalFormatting>
  <conditionalFormatting sqref="E81">
    <cfRule type="containsText" dxfId="8050" priority="111" operator="containsText" text="Buy">
      <formula>NOT(ISERROR(SEARCH("Buy",E81)))</formula>
    </cfRule>
    <cfRule type="containsText" dxfId="8049" priority="112" operator="containsText" text="Sell">
      <formula>NOT(ISERROR(SEARCH("Sell",E81)))</formula>
    </cfRule>
  </conditionalFormatting>
  <conditionalFormatting sqref="H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{B8E98F85-C444-464F-8535-02F60F6E9984}</x14:id>
        </ext>
      </extLst>
    </cfRule>
    <cfRule type="cellIs" dxfId="8048" priority="107" operator="equal">
      <formula>1</formula>
    </cfRule>
  </conditionalFormatting>
  <conditionalFormatting sqref="D37">
    <cfRule type="containsText" dxfId="8047" priority="105" operator="containsText" text="Buy">
      <formula>NOT(ISERROR(SEARCH("Buy",D37)))</formula>
    </cfRule>
    <cfRule type="containsText" dxfId="8046" priority="106" operator="containsText" text="Sell">
      <formula>NOT(ISERROR(SEARCH("Sell",D37)))</formula>
    </cfRule>
  </conditionalFormatting>
  <conditionalFormatting sqref="H3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{1B15E74D-62B3-49F8-BD6D-2610FB9AA2F0}</x14:id>
        </ext>
      </extLst>
    </cfRule>
    <cfRule type="cellIs" dxfId="8045" priority="100" operator="equal">
      <formula>1</formula>
    </cfRule>
  </conditionalFormatting>
  <conditionalFormatting sqref="D38">
    <cfRule type="containsText" dxfId="8044" priority="98" operator="containsText" text="Buy">
      <formula>NOT(ISERROR(SEARCH("Buy",D38)))</formula>
    </cfRule>
    <cfRule type="containsText" dxfId="8043" priority="99" operator="containsText" text="Sell">
      <formula>NOT(ISERROR(SEARCH("Sell",D38)))</formula>
    </cfRule>
  </conditionalFormatting>
  <conditionalFormatting sqref="E87">
    <cfRule type="containsText" dxfId="8042" priority="93" operator="containsText" text="Buy">
      <formula>NOT(ISERROR(SEARCH("Buy",E87)))</formula>
    </cfRule>
    <cfRule type="containsText" dxfId="8041" priority="94" operator="containsText" text="Sell">
      <formula>NOT(ISERROR(SEARCH("Sell",E87)))</formula>
    </cfRule>
  </conditionalFormatting>
  <conditionalFormatting sqref="E86">
    <cfRule type="containsText" dxfId="8040" priority="91" operator="containsText" text="Buy">
      <formula>NOT(ISERROR(SEARCH("Buy",E86)))</formula>
    </cfRule>
    <cfRule type="containsText" dxfId="8039" priority="92" operator="containsText" text="Sell">
      <formula>NOT(ISERROR(SEARCH("Sell",E86)))</formula>
    </cfRule>
  </conditionalFormatting>
  <conditionalFormatting sqref="E85">
    <cfRule type="containsText" dxfId="8038" priority="89" operator="containsText" text="Buy">
      <formula>NOT(ISERROR(SEARCH("Buy",E85)))</formula>
    </cfRule>
    <cfRule type="containsText" dxfId="8037" priority="90" operator="containsText" text="Sell">
      <formula>NOT(ISERROR(SEARCH("Sell",E85)))</formula>
    </cfRule>
  </conditionalFormatting>
  <conditionalFormatting sqref="Y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{EC529FBC-6E43-4319-B93D-4349201DFB95}</x14:id>
        </ext>
      </extLst>
    </cfRule>
  </conditionalFormatting>
  <conditionalFormatting sqref="I5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{23D4AF08-0421-4458-B122-71BEFDBFA0A8}</x14:id>
        </ext>
      </extLst>
    </cfRule>
  </conditionalFormatting>
  <conditionalFormatting sqref="K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{51719397-68A3-42D3-8071-FB1927BC9F4F}</x14:id>
        </ext>
      </extLst>
    </cfRule>
  </conditionalFormatting>
  <conditionalFormatting sqref="V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{33B6B5FA-BA10-40B0-A87F-214367761CB2}</x14:id>
        </ext>
      </extLst>
    </cfRule>
  </conditionalFormatting>
  <conditionalFormatting sqref="W5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{F9774EE6-B2C2-4D35-B913-2E1371C015DA}</x14:id>
        </ext>
      </extLst>
    </cfRule>
  </conditionalFormatting>
  <conditionalFormatting sqref="X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{7D67E518-7137-4EB0-AA75-EC34BC10D133}</x14:id>
        </ext>
      </extLst>
    </cfRule>
  </conditionalFormatting>
  <conditionalFormatting sqref="Y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{55CC212D-665B-4B03-9BA7-6A602E0CC875}</x14:id>
        </ext>
      </extLst>
    </cfRule>
  </conditionalFormatting>
  <conditionalFormatting sqref="I5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{B370AD24-90A2-4EED-995D-6007C7A10D71}</x14:id>
        </ext>
      </extLst>
    </cfRule>
  </conditionalFormatting>
  <conditionalFormatting sqref="K5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{BEE3D967-440E-4A86-8B20-59735BA88C2D}</x14:id>
        </ext>
      </extLst>
    </cfRule>
  </conditionalFormatting>
  <conditionalFormatting sqref="I5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{78C9BDC5-9ED9-4BF2-9749-B268308A83A8}</x14:id>
        </ext>
      </extLst>
    </cfRule>
  </conditionalFormatting>
  <conditionalFormatting sqref="K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{EEBAFFEF-52B5-42D2-81F6-06B15553EB1C}</x14:id>
        </ext>
      </extLst>
    </cfRule>
  </conditionalFormatting>
  <conditionalFormatting sqref="T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{035BDDB7-4AD7-43D1-98FB-2AF00066C3BC}</x14:id>
        </ext>
      </extLst>
    </cfRule>
  </conditionalFormatting>
  <conditionalFormatting sqref="T5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{DB017447-8214-44E4-8667-D7E1846452F9}</x14:id>
        </ext>
      </extLst>
    </cfRule>
  </conditionalFormatting>
  <conditionalFormatting sqref="T5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{13296196-B083-4CD2-B88B-3F9218497250}</x14:id>
        </ext>
      </extLst>
    </cfRule>
  </conditionalFormatting>
  <conditionalFormatting sqref="T5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{A3EE02B4-4F47-4949-9AF8-99639585B401}</x14:id>
        </ext>
      </extLst>
    </cfRule>
  </conditionalFormatting>
  <conditionalFormatting sqref="V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{6BC88D65-13E5-44D0-BA35-9C8330149818}</x14:id>
        </ext>
      </extLst>
    </cfRule>
  </conditionalFormatting>
  <conditionalFormatting sqref="W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{705FF242-804B-4839-B3A5-3663328B17DA}</x14:id>
        </ext>
      </extLst>
    </cfRule>
  </conditionalFormatting>
  <conditionalFormatting sqref="X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{F72D27D3-DECD-4616-BBC7-D5570BDE7CA6}</x14:id>
        </ext>
      </extLst>
    </cfRule>
  </conditionalFormatting>
  <conditionalFormatting sqref="Y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{D6090F38-6581-4FC8-93D1-E0EB8BFF6AEF}</x14:id>
        </ext>
      </extLst>
    </cfRule>
  </conditionalFormatting>
  <conditionalFormatting sqref="V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{97830700-4BDD-48A8-A198-4875B9816616}</x14:id>
        </ext>
      </extLst>
    </cfRule>
  </conditionalFormatting>
  <conditionalFormatting sqref="W5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{FF1F04DE-DDD7-4251-8436-097CD72F767E}</x14:id>
        </ext>
      </extLst>
    </cfRule>
  </conditionalFormatting>
  <conditionalFormatting sqref="X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{6BCA27C5-6C95-4F50-B3C6-3B7E9B3E79BC}</x14:id>
        </ext>
      </extLst>
    </cfRule>
  </conditionalFormatting>
  <conditionalFormatting sqref="Y5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{D28C5534-2A04-4FC0-9DF9-F2F613E5944B}</x14:id>
        </ext>
      </extLst>
    </cfRule>
  </conditionalFormatting>
  <conditionalFormatting sqref="V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{2F4BA5D3-C95F-431B-84B5-7EDC47D2235F}</x14:id>
        </ext>
      </extLst>
    </cfRule>
  </conditionalFormatting>
  <conditionalFormatting sqref="W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{DD8B073B-EB42-48C2-A0EE-0082945EC075}</x14:id>
        </ext>
      </extLst>
    </cfRule>
  </conditionalFormatting>
  <conditionalFormatting sqref="X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{2C007C3C-A6E1-44F8-A403-F210954CC0ED}</x14:id>
        </ext>
      </extLst>
    </cfRule>
  </conditionalFormatting>
  <conditionalFormatting sqref="Y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{32C4D755-5CE0-47AB-BFAB-92118E45267D}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{842CB3F2-7698-4F70-A953-D5E56EA9A706}</x14:id>
        </ext>
      </extLst>
    </cfRule>
  </conditionalFormatting>
  <conditionalFormatting sqref="X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{A1E5DB29-B678-4062-B288-96342539B08E}</x14:id>
        </ext>
      </extLst>
    </cfRule>
  </conditionalFormatting>
  <conditionalFormatting sqref="Y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{FEDDB5FD-5001-4EB3-9FA9-3D27D89C2259}</x14:id>
        </ext>
      </extLst>
    </cfRule>
  </conditionalFormatting>
  <conditionalFormatting sqref="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{764EE342-8DE0-46B6-B296-3FD2E2A1B90A}</x14:id>
        </ext>
      </extLst>
    </cfRule>
  </conditionalFormatting>
  <conditionalFormatting sqref="M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{1EAAABBB-3D66-4D32-96C8-36276781FF6C}</x14:id>
        </ext>
      </extLst>
    </cfRule>
  </conditionalFormatting>
  <conditionalFormatting sqref="V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{9E2EC188-53D5-43FB-9A62-4DB8274AE01E}</x14:id>
        </ext>
      </extLst>
    </cfRule>
  </conditionalFormatting>
  <conditionalFormatting sqref="V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{6AF53AAA-4827-4F02-AF71-680464D3BFB0}</x14:id>
        </ext>
      </extLst>
    </cfRule>
  </conditionalFormatting>
  <conditionalFormatting sqref="V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{EFFAA754-5D5A-4166-88CF-C1CE58F61512}</x14:id>
        </ext>
      </extLst>
    </cfRule>
  </conditionalFormatting>
  <conditionalFormatting sqref="V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{1F835460-61F0-4674-8792-342E46088E60}</x14:id>
        </ext>
      </extLst>
    </cfRule>
  </conditionalFormatting>
  <conditionalFormatting sqref="X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{7B94D7E1-2949-468D-A687-AB065D1221CB}</x14:id>
        </ext>
      </extLst>
    </cfRule>
  </conditionalFormatting>
  <conditionalFormatting sqref="Y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{A54E36EC-B3BE-45FC-B0DF-7EF5404A7BD8}</x14:id>
        </ext>
      </extLst>
    </cfRule>
  </conditionalFormatting>
  <conditionalFormatting sqref="X5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{841BA487-0B08-4B8C-BC19-EA69070C60FE}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{CCC04A23-A8C3-48DA-91A1-9B43C9B451CD}</x14:id>
        </ext>
      </extLst>
    </cfRule>
  </conditionalFormatting>
  <conditionalFormatting sqref="X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{EBE3916E-AC24-4952-8309-C383020ED98A}</x14:id>
        </ext>
      </extLst>
    </cfRule>
  </conditionalFormatting>
  <conditionalFormatting sqref="Y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{CAE923FD-5C41-48A5-A31A-39A9C4C89866}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{298531E4-8C08-46DA-8D61-97124919C097}</x14:id>
        </ext>
      </extLst>
    </cfRule>
  </conditionalFormatting>
  <conditionalFormatting sqref="W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{561BEF10-FC89-43D7-97FF-43F967E7F359}</x14:id>
        </ext>
      </extLst>
    </cfRule>
  </conditionalFormatting>
  <conditionalFormatting sqref="W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{37B0CC86-1892-450C-A4D2-3352BF05D835}</x14:id>
        </ext>
      </extLst>
    </cfRule>
  </conditionalFormatting>
  <conditionalFormatting sqref="W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{3940CA4B-8876-4431-ACFE-58845BB2AFF9}</x14:id>
        </ext>
      </extLst>
    </cfRule>
  </conditionalFormatting>
  <conditionalFormatting sqref="K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{0C632A57-F69D-425E-8535-C01C2C26CB06}</x14:id>
        </ext>
      </extLst>
    </cfRule>
  </conditionalFormatting>
  <conditionalFormatting sqref="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{9741DC0A-8423-4DB7-A251-E2A9BCC6452C}</x14:id>
        </ext>
      </extLst>
    </cfRule>
  </conditionalFormatting>
  <conditionalFormatting sqref="V5: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{A6F3762B-7B64-4BEF-8861-715FE5E797AA}</x14:id>
        </ext>
      </extLst>
    </cfRule>
  </conditionalFormatting>
  <conditionalFormatting sqref="V5:Y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{3C27DBA5-FBED-4EDF-A1FB-1EC877683463}</x14:id>
        </ext>
      </extLst>
    </cfRule>
  </conditionalFormatting>
  <conditionalFormatting sqref="V5:Y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{0E8BC9E9-B6E5-460A-B1A5-5C1D8E4A3184}</x14:id>
        </ext>
      </extLst>
    </cfRule>
  </conditionalFormatting>
  <conditionalFormatting sqref="I5 K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{BFD045A1-6579-4A18-9E86-2479CECBFB7F}</x14:id>
        </ext>
      </extLst>
    </cfRule>
  </conditionalFormatting>
  <conditionalFormatting sqref="I5 K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{D46E1236-AF8A-4D20-A079-BE3392284606}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{9D2F8845-3942-4B10-BCBE-C0F1C50F362C}</x14:id>
        </ext>
      </extLst>
    </cfRule>
  </conditionalFormatting>
  <conditionalFormatting sqref="L5:M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{76690663-269D-440C-8AAA-524C1D28E63A}</x14:id>
        </ext>
      </extLst>
    </cfRule>
  </conditionalFormatting>
  <conditionalFormatting sqref="I5 K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{D5BD34A8-97F5-4AE5-9A12-2B08460C489B}</x14:id>
        </ext>
      </extLst>
    </cfRule>
  </conditionalFormatting>
  <conditionalFormatting sqref="L5:M5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{5CE56EBF-E7B3-4DDD-88EF-E229D477B0DD}</x14:id>
        </ext>
      </extLst>
    </cfRule>
  </conditionalFormatting>
  <conditionalFormatting sqref="I5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{BFBFCBB5-B20D-410E-8486-BE5B43CA7FDF}</x14:id>
        </ext>
      </extLst>
    </cfRule>
  </conditionalFormatting>
  <conditionalFormatting sqref="L5:M5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{6B372C3A-0637-4AA9-A40A-D695419B6132}</x14:id>
        </ext>
      </extLst>
    </cfRule>
  </conditionalFormatting>
  <conditionalFormatting sqref="X5:Y5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{7B08F52A-73F5-42EF-BCA7-0E8B53624C2E}</x14:id>
        </ext>
      </extLst>
    </cfRule>
  </conditionalFormatting>
  <conditionalFormatting sqref="I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{B6E38040-A487-4526-B6DF-EA3BB001922D}</x14:id>
        </ext>
      </extLst>
    </cfRule>
  </conditionalFormatting>
  <conditionalFormatting sqref="L5:M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{65B33518-011E-4620-836E-DB4154A8E332}</x14:id>
        </ext>
      </extLst>
    </cfRule>
  </conditionalFormatting>
  <conditionalFormatting sqref="T5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{07B19B8F-8F99-4F04-8F00-8315E884F44E}</x14:id>
        </ext>
      </extLst>
    </cfRule>
  </conditionalFormatting>
  <conditionalFormatting sqref="T5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{F7E01E4D-2A97-4CFE-8E40-D9749BED6CB1}</x14:id>
        </ext>
      </extLst>
    </cfRule>
  </conditionalFormatting>
  <conditionalFormatting sqref="T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{5561FAC7-2571-4D05-B4CF-082B2F4CC539}</x14:id>
        </ext>
      </extLst>
    </cfRule>
  </conditionalFormatting>
  <conditionalFormatting sqref="L5:M5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{6B63BD97-BC06-4186-B2F0-2D32349205F8}</x14:id>
        </ext>
      </extLst>
    </cfRule>
  </conditionalFormatting>
  <conditionalFormatting sqref="L5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{409E7A6B-776B-4D6A-8331-B546D3798CE0}</x14:id>
        </ext>
      </extLst>
    </cfRule>
  </conditionalFormatting>
  <conditionalFormatting sqref="I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{0FE17E25-6927-4A75-AB48-AAD9B7597C79}</x14:id>
        </ext>
      </extLst>
    </cfRule>
  </conditionalFormatting>
  <conditionalFormatting sqref="I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{4380DC2F-C544-4336-A2DE-77EC6F3C0D54}</x14:id>
        </ext>
      </extLst>
    </cfRule>
  </conditionalFormatting>
  <conditionalFormatting sqref="T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{0B817323-37E2-4943-999C-F8CA2992CE78}</x14:id>
        </ext>
      </extLst>
    </cfRule>
  </conditionalFormatting>
  <conditionalFormatting sqref="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{1406A252-3C78-41F6-BF0B-8C29A1FD5486}</x14:id>
        </ext>
      </extLst>
    </cfRule>
  </conditionalFormatting>
  <conditionalFormatting sqref="I5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{0DC9CE2F-FC48-435C-9CA7-BE3FC428E455}</x14:id>
        </ext>
      </extLst>
    </cfRule>
  </conditionalFormatting>
  <conditionalFormatting sqref="L5:M5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{67F2B0E5-B11E-4D56-B30E-E56D0025AAD0}</x14:id>
        </ext>
      </extLst>
    </cfRule>
  </conditionalFormatting>
  <conditionalFormatting sqref="T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{99D5D2AF-7B1A-4756-9084-5362B8D3EB4D}</x14:id>
        </ext>
      </extLst>
    </cfRule>
  </conditionalFormatting>
  <conditionalFormatting sqref="X5:Y5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{98DEBF2F-3E5D-40CB-9C17-01D7090B6089}</x14:id>
        </ext>
      </extLst>
    </cfRule>
  </conditionalFormatting>
  <conditionalFormatting sqref="E90">
    <cfRule type="containsText" dxfId="8036" priority="11" operator="containsText" text="Buy">
      <formula>NOT(ISERROR(SEARCH("Buy",E90)))</formula>
    </cfRule>
    <cfRule type="containsText" dxfId="8035" priority="12" operator="containsText" text="Sell">
      <formula>NOT(ISERROR(SEARCH("Sell",E90)))</formula>
    </cfRule>
  </conditionalFormatting>
  <conditionalFormatting sqref="E89">
    <cfRule type="containsText" dxfId="8034" priority="9" operator="containsText" text="Buy">
      <formula>NOT(ISERROR(SEARCH("Buy",E89)))</formula>
    </cfRule>
    <cfRule type="containsText" dxfId="8033" priority="10" operator="containsText" text="Sell">
      <formula>NOT(ISERROR(SEARCH("Sell",E89)))</formula>
    </cfRule>
  </conditionalFormatting>
  <conditionalFormatting sqref="E68">
    <cfRule type="containsText" dxfId="8032" priority="7" operator="containsText" text="Buy">
      <formula>NOT(ISERROR(SEARCH("Buy",E68)))</formula>
    </cfRule>
    <cfRule type="containsText" dxfId="8031" priority="8" operator="containsText" text="Sell">
      <formula>NOT(ISERROR(SEARCH("Sell",E68)))</formula>
    </cfRule>
  </conditionalFormatting>
  <conditionalFormatting sqref="H4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{37D97F3F-0663-4803-8DA2-04EA699A523F}</x14:id>
        </ext>
      </extLst>
    </cfRule>
    <cfRule type="cellIs" dxfId="8030" priority="5" operator="equal">
      <formula>1</formula>
    </cfRule>
  </conditionalFormatting>
  <conditionalFormatting sqref="D43">
    <cfRule type="containsText" dxfId="8029" priority="3" operator="containsText" text="Buy">
      <formula>NOT(ISERROR(SEARCH("Buy",D43)))</formula>
    </cfRule>
    <cfRule type="containsText" dxfId="8028" priority="4" operator="containsText" text="Sell">
      <formula>NOT(ISERROR(SEARCH("Sell",D43)))</formula>
    </cfRule>
  </conditionalFormatting>
  <conditionalFormatting sqref="T8:T10 T14 T12">
    <cfRule type="dataBar" priority="34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{4C5D14CE-28CF-417E-8246-01E2E81135D6}</x14:id>
        </ext>
      </extLst>
    </cfRule>
  </conditionalFormatting>
  <conditionalFormatting sqref="T14">
    <cfRule type="dataBar" priority="34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{7EC590BC-B5E0-4589-AF5F-26FACA49FF37}</x14:id>
        </ext>
      </extLst>
    </cfRule>
  </conditionalFormatting>
  <conditionalFormatting sqref="I8:I10 I14">
    <cfRule type="dataBar" priority="34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{0CF36B9B-B64D-43F2-BBC8-7CAD7F17822F}</x14:id>
        </ext>
      </extLst>
    </cfRule>
  </conditionalFormatting>
  <conditionalFormatting sqref="K8:K10 K14">
    <cfRule type="dataBar" priority="34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{C431054C-F21D-48CE-8D56-7DFA9B5BA0E3}</x14:id>
        </ext>
      </extLst>
    </cfRule>
  </conditionalFormatting>
  <conditionalFormatting sqref="V8:V10 V14">
    <cfRule type="dataBar" priority="34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{DB25D2DE-3A0D-4194-A08C-44CE2A30CB27}</x14:id>
        </ext>
      </extLst>
    </cfRule>
  </conditionalFormatting>
  <conditionalFormatting sqref="W8:W10 W14">
    <cfRule type="dataBar" priority="34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{8FB7E222-6CA0-4411-8571-3F7E517B4DDC}</x14:id>
        </ext>
      </extLst>
    </cfRule>
  </conditionalFormatting>
  <conditionalFormatting sqref="X8:X10 X14">
    <cfRule type="dataBar" priority="34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{914F7FF4-ED37-489C-AD8F-8603D1C94E1C}</x14:id>
        </ext>
      </extLst>
    </cfRule>
  </conditionalFormatting>
  <conditionalFormatting sqref="Y8:Y10 Y14">
    <cfRule type="dataBar" priority="34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{D7259AD7-744F-46B2-82B4-D92B23EEC65D}</x14:id>
        </ext>
      </extLst>
    </cfRule>
  </conditionalFormatting>
  <conditionalFormatting sqref="V14">
    <cfRule type="dataBar" priority="34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{37A0AF2D-B0F5-4AB9-BB88-E218470893A1}</x14:id>
        </ext>
      </extLst>
    </cfRule>
  </conditionalFormatting>
  <conditionalFormatting sqref="W14">
    <cfRule type="dataBar" priority="34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{DF8AE149-DE1F-470A-BF96-C2800CF8DA02}</x14:id>
        </ext>
      </extLst>
    </cfRule>
  </conditionalFormatting>
  <conditionalFormatting sqref="X14">
    <cfRule type="dataBar" priority="34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{85EA2F08-FC00-4322-A789-415D8A383D7A}</x14:id>
        </ext>
      </extLst>
    </cfRule>
  </conditionalFormatting>
  <conditionalFormatting sqref="Y14">
    <cfRule type="dataBar" priority="34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{2C1C54F0-5993-4890-927B-140051CAAE3A}</x14:id>
        </ext>
      </extLst>
    </cfRule>
  </conditionalFormatting>
  <conditionalFormatting sqref="V8:V10 V14 V12">
    <cfRule type="dataBar" priority="34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{FF9CBA40-D40D-4489-8BC2-63A13A0D2BC8}</x14:id>
        </ext>
      </extLst>
    </cfRule>
  </conditionalFormatting>
  <conditionalFormatting sqref="L14:M14 L8:M10">
    <cfRule type="dataBar" priority="34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{00EBA750-ACE3-4A6A-8A81-21C6F762F1BE}</x14:id>
        </ext>
      </extLst>
    </cfRule>
  </conditionalFormatting>
  <conditionalFormatting sqref="L8:L10 L14">
    <cfRule type="dataBar" priority="34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{1575833F-8A0A-49AD-AE57-3998AABE0653}</x14:id>
        </ext>
      </extLst>
    </cfRule>
  </conditionalFormatting>
  <conditionalFormatting sqref="M8:M10 M14">
    <cfRule type="dataBar" priority="34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{2C3C905A-7A5C-44F0-82BB-D3D4E997841A}</x14:id>
        </ext>
      </extLst>
    </cfRule>
  </conditionalFormatting>
  <conditionalFormatting sqref="W8:W10 W14 W12">
    <cfRule type="dataBar" priority="34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{9CAFE462-FA28-42BB-B2F5-F17F0267338A}</x14:id>
        </ext>
      </extLst>
    </cfRule>
  </conditionalFormatting>
  <conditionalFormatting sqref="K4 K14 K12 K8:K10">
    <cfRule type="dataBar" priority="34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{86424EC8-7C53-49D3-B041-22FD9A1902EE}</x14:id>
        </ext>
      </extLst>
    </cfRule>
  </conditionalFormatting>
  <conditionalFormatting sqref="M14 M4 M12 M8:M10">
    <cfRule type="dataBar" priority="34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{8E18A45F-B115-4FE0-9B33-C567174DC8B6}</x14:id>
        </ext>
      </extLst>
    </cfRule>
  </conditionalFormatting>
  <conditionalFormatting sqref="V14:Y14 V8:Y10">
    <cfRule type="dataBar" priority="34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{9BBACD9D-27A0-4227-A35A-C3D0106A7B68}</x14:id>
        </ext>
      </extLst>
    </cfRule>
  </conditionalFormatting>
  <conditionalFormatting sqref="V14:Y14 V8:Y10">
    <cfRule type="dataBar" priority="34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{0776EBE1-DDB2-472A-84CC-ED4D25DF8824}</x14:id>
        </ext>
      </extLst>
    </cfRule>
  </conditionalFormatting>
  <conditionalFormatting sqref="K14 I14 I8:I10 K8:K10">
    <cfRule type="dataBar" priority="34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{B9EA7350-EEE8-47C5-A917-7F637F08C3C5}</x14:id>
        </ext>
      </extLst>
    </cfRule>
  </conditionalFormatting>
  <conditionalFormatting sqref="K14 I14 I4 K4 I12 K12 I8:I10 K8:K10">
    <cfRule type="dataBar" priority="34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{BE97F062-9A79-46F8-BBDD-6BBD5F3C7A35}</x14:id>
        </ext>
      </extLst>
    </cfRule>
  </conditionalFormatting>
  <conditionalFormatting sqref="L14:M14 L4:M4 L12:M12 L9:L14 L8:M10">
    <cfRule type="dataBar" priority="3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{B26202E3-BB19-4E6C-B0D4-5CBCF5ECC054}</x14:id>
        </ext>
      </extLst>
    </cfRule>
  </conditionalFormatting>
  <conditionalFormatting sqref="T8:T14 T4">
    <cfRule type="dataBar" priority="34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{5B7E09CB-14AF-4AE6-851C-6E0DC37AF139}</x14:id>
        </ext>
      </extLst>
    </cfRule>
  </conditionalFormatting>
  <conditionalFormatting sqref="T8:T18 T4">
    <cfRule type="dataBar" priority="34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{32F20EE4-A94E-4D55-A539-3FC686BE035C}</x14:id>
        </ext>
      </extLst>
    </cfRule>
  </conditionalFormatting>
  <conditionalFormatting sqref="T8:T20 T4">
    <cfRule type="dataBar" priority="34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{848FD18D-C1E9-42F7-9EB8-6957FBDF2DEE}</x14:id>
        </ext>
      </extLst>
    </cfRule>
  </conditionalFormatting>
  <conditionalFormatting sqref="L4:M4 L8:L14">
    <cfRule type="dataBar" priority="34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{12550BF5-34B7-47D9-967F-C618B580E6EC}</x14:id>
        </ext>
      </extLst>
    </cfRule>
  </conditionalFormatting>
  <conditionalFormatting sqref="L8:L14 L4">
    <cfRule type="dataBar" priority="34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{A9EB4FC6-3090-43ED-8081-01E7CE18F1CF}</x14:id>
        </ext>
      </extLst>
    </cfRule>
  </conditionalFormatting>
  <conditionalFormatting sqref="I8:I14 I4">
    <cfRule type="dataBar" priority="34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{CAA4DACC-0F3A-4F1B-A89B-498DB711C6ED}</x14:id>
        </ext>
      </extLst>
    </cfRule>
  </conditionalFormatting>
  <conditionalFormatting sqref="I8:I14 I4 I6">
    <cfRule type="dataBar" priority="342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{1C8C34A3-24D3-4052-8563-33969E8D1C32}</x14:id>
        </ext>
      </extLst>
    </cfRule>
  </conditionalFormatting>
  <conditionalFormatting sqref="T8:T20 T4 T6">
    <cfRule type="dataBar" priority="34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{7C4249CF-E2FF-4851-9339-EAF5872B3370}</x14:id>
        </ext>
      </extLst>
    </cfRule>
  </conditionalFormatting>
  <conditionalFormatting sqref="I8:I20 I4 I6">
    <cfRule type="dataBar" priority="34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{2F56C0FE-31FF-4E9F-A123-28F094AEB7DA}</x14:id>
        </ext>
      </extLst>
    </cfRule>
  </conditionalFormatting>
  <conditionalFormatting sqref="I6:I20 I4">
    <cfRule type="dataBar" priority="34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{5EFAFB00-BD2E-46AA-B008-541C3CB6AFF7}</x14:id>
        </ext>
      </extLst>
    </cfRule>
  </conditionalFormatting>
  <conditionalFormatting sqref="L4:M4 L6:M21">
    <cfRule type="dataBar" priority="34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{DFAB1E08-8BBF-421A-9EB7-B453ED914BB6}</x14:id>
        </ext>
      </extLst>
    </cfRule>
  </conditionalFormatting>
  <conditionalFormatting sqref="T6:T20 T4">
    <cfRule type="dataBar" priority="3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{DFD03747-C068-4C2A-AE0F-ACA8ECDD57E0}</x14:id>
        </ext>
      </extLst>
    </cfRule>
  </conditionalFormatting>
  <conditionalFormatting sqref="X4:Y4 X6:Y18">
    <cfRule type="dataBar" priority="342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{E398D268-C0A3-4675-AD14-C10E5EEC7D49}</x14:id>
        </ext>
      </extLst>
    </cfRule>
  </conditionalFormatting>
  <conditionalFormatting sqref="L4:M20">
    <cfRule type="dataBar" priority="34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{45F702CA-D01F-44FA-8526-5AA7191FD605}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{7321E5C0-BEAF-48B0-9E4C-58EA89B34D65}</x14:id>
        </ext>
      </extLst>
    </cfRule>
  </conditionalFormatting>
  <pageMargins left="0.25" right="0.25" top="0.75" bottom="0.75" header="0.3" footer="0.3"/>
  <pageSetup paperSize="9"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4EECE8-FC7E-4377-93B2-906AF5A1B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3053EF17-61ED-4C8D-A471-3916D206E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DBD64B5-7095-4C3F-9F21-5BDE13420A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D46F9ACC-D499-4D60-BBA6-3B51B3377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AF8F0F48-5D1E-435E-B8AF-4A1210E2E4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CF2E69D-BF6A-470E-8E22-1445B5413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BEC2672-D57B-42B4-9A26-6214BE099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648A72F-1BDA-4A67-ADBF-50DDCB2981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96902D9-4EC5-454E-86D4-4293D0CDEF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7A1844D-E363-4956-9635-DD6909823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6CB35FB8-9703-4E8D-B108-F795A5AFE5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51E2F72-6F26-4B78-B374-A757F9B81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871975D-643C-4408-B9F1-2F96720062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D26DAC-50A8-4D69-B2AC-355AEB1190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83CF04A7-1AEC-4FBD-9F6A-6BC63B15D2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C3995D-AE92-429B-BEA6-80C2CCA4B8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C5655B2-E0A2-482C-8A00-985297929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7DDB076-088F-450F-94FD-1987D0C54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C852D35-0E41-4E78-812D-557FDCBF9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2FEF14-930D-4E91-B43B-8D5F7B47F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77ADBE10-3186-4F7F-9F1C-5ECD4F6D6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532F485-80CA-43D7-A781-B6CAD124EF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30D04EE-6F8C-4127-B50E-3D8C8102D2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7D8BCCF-70C8-4B56-AC55-AE35068FC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D28739E4-E483-46DF-A43D-1B2A9C960E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1887DAAC-66F0-466D-B886-19E378B57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8D6F04-80B2-4782-BE6B-FEAFE3A60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4866355A-9BEE-4EBF-A4D1-288105D463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EFA973B-772D-4942-A4AA-ED06A63E65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3D8CD3C-7F62-401D-AE6F-BFCAF10C52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B8749CDC-9968-4088-95BB-5BA0C82D7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5AABF7D-7436-4B29-B7AE-E373C9CC7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14A5CC57-2F4D-4C62-8A1E-F46CAC14C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7F1CE1D-F8EE-45E9-85F9-8F598272E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203C0D35-2184-473C-B962-69AF6F77FD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637B517-5B6C-46A6-A4FA-5F08FCFD8A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1BB419E-3E1B-46CF-8764-D7C42E49A9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271FDE6-B612-496D-A281-E5E42D19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BC5CACA-B204-4565-8503-4A6F4DA1F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80A474-ABDD-47E2-9C40-CBBE602E17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E46C73C-D974-467F-BE99-E6C6C8BB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C399BF94-D0E3-4416-B43E-125327381D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F046B49-942A-4F60-AB96-A1FEB4734F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9FA7AB1B-D0D1-456B-A275-B2A4222179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B08CB57-6C0C-4C77-9472-8254B266F0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F5A4F9B-6996-4D11-9D08-FEF63194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45703AC-CF70-4A52-BE55-B78A71CC48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F3031A4-0EBD-44FC-9584-89966B4BE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23DC4464-60CC-4B8F-984A-5862A788A7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8D9A5126-10EA-4BD2-A3C6-A51483F45D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1A6F4907-B60A-47BD-B06A-CF985EA68E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07EBD43-99BA-4084-83E6-6D540E3B7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56705592-F1CB-416D-A5F9-740E51E95E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0904803C-620C-47C4-90BC-61EC7F871E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8B80421-F34D-42F2-A6C2-8C43CD06A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A03EDC37-B66B-4BE9-97C7-4E75F75CC3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5C7CA04-E0A2-49D0-8FF3-92F5F4C20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093CCB6-BD78-46E7-A301-6250F9E05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8FCF1F7-C13D-4985-84ED-0BE487EB8E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E0EC5F0-A65B-42A2-A760-35E45C743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B86634F-8AD3-4CE6-A893-479BB293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475FE3B5-6092-4B8E-9C5F-E2F6529FB9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0CD6FEF7-0B4A-4F8F-9A0C-A7055CFA3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7AFD510-A049-4564-8109-3E88F3465C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BE6C3D7-F23B-4E7D-ACF4-543D21B85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50144AD-4C5E-4B0B-9610-6866861FA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0D0CD17-7CE6-4791-9362-E877D31DC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C69298F2-3853-4447-AB0B-CF8B99BDC6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B7B3503-114B-44E9-BED6-DA411704F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B6BCC945-F380-44AE-ACA6-52DA20AA07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E348418-3BCA-48AA-BAC7-C66C1AFC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6CC9C9A4-1449-41B4-AFF6-07BBDFE55E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F76B539-AB7B-4D9A-AA5A-F4C506E906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714A3872-C190-42DE-A77B-5410A4B42F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5A1E1DF1-FCC3-4656-9447-5D0E5E10D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4EBE40B5-B40B-4010-B549-42423F488A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2E8C8552-18D3-49BC-8AB5-B34E884817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194F5EBF-832F-4878-8EFA-C6DA961F4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04BA7E7-51A1-4DC8-AF38-06740FEA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382A27-7940-4EA5-B70D-3F8B5CF37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D4E356A-17F2-4753-8AA9-F4D3A22178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0CE7C3F-6464-40C0-8625-A799D6F741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157E163-5722-4081-A4B9-A0E2E09810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C4F6D87-C7C6-45A3-8EBC-CEE86CD042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04E3800-9D75-4DB6-BEF3-088B526E7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C3FD10E-E75F-4E80-9D34-CE63585EB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A7BB318E-4BA9-4E8E-BE79-71E111097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24312229-EE5A-4437-B2AB-003F5C419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E43D76D-2641-43ED-9156-DD211B203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965E1876-A12E-422C-B3E5-D7CAAE6F0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F239E2-7BFD-40D7-A22E-ABB5166BE4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3FD107A-61ED-4498-A81F-C0E14885D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6F759CE-8F97-442D-A978-FA13FCEEC1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95A0AE44-E417-4B51-BC42-AE71145FF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C86BCA9-6BB2-4777-8028-AE123059F0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B8C5845-2CB3-475F-945C-D0E3D1B91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FEDE5D0-31C6-4089-923E-E3FA3E0E7C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693207A-358F-43A9-A121-DC72B8D9F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8AEA28D-BA71-4BA8-8426-7371F2E4C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042F9C5-B80F-4086-9CA8-AD337B582E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626FE50-4943-4C16-8144-4F0433E4A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2DF68ADB-E214-406E-852D-0E32885F03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3C4B88F6-5026-4D7D-8C5D-D3A1521943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AC335950-8977-46C3-8D25-8CCF858768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0255A30-463F-40DF-8868-812952A9E6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6F88E7BD-09DD-4339-90CA-26C1C6A9CE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2E9307B-C2EF-4AA3-BC9B-5D31AA9837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8EE6C8C-8EF7-4C74-870B-B608720812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CF5BA83B-EAAC-4719-A474-1C5993AC7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D2EE191F-EB5C-46ED-AFB8-193FBB07D8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C0085A68-8539-49B6-ADCD-AAC80FFCC7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9CA3535-DEA9-473E-B4C2-658E65245F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FB82DE22-1CDA-4C06-BD25-DBCD63F562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9B620D7-406E-42B2-9186-8C5F99137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5FAE5FA-AFD4-4285-BFAA-1A0BA6B361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B2A9047C-C578-4C29-8BA4-04E85B67C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B91812F-BB72-4BD0-9CA2-19146200E5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A400EA55-53F5-4496-B188-6C1C8E4CC6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8644666-EEBA-42D3-8B18-949619819E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C2B70CFF-4FE5-405A-ACDF-6653C4281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ED1693-11DA-4B4D-917C-72CE710C11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C54FFF90-CAA1-49F8-9F81-CBC6F619F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D0CE3E9-645C-4DE8-A0E1-4FF267D9D6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D576BA3-2013-4E7B-A9A2-DCA61AA9B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1CC632B-A133-45C0-929E-3E379095A9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50CE719F-640F-4D8D-B7A2-9E30DDF6B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EEE1A207-ED38-4B62-BA63-78A9D6422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90BB876-5A2E-48A7-969B-0AA02F3FA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7010D57-7EB7-422C-BBD4-D6C8D44D8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A5348B36-C8B9-4346-9760-1DF4D619C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B69436D5-1F2E-4BE2-8952-89516F660C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72FE0C0D-B0CC-400E-895D-7B816FCD0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BD9D303D-0C5D-41B9-A3F2-A4526836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0FAC4537-7BA4-46F6-BFC4-84D2C5AA6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8CD7B83-0DA3-4B95-A58D-8DA9E59EA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4538FF70-AE56-43CD-A32F-00D735A48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681FE47-FE6F-4953-A7B7-072790C1C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6B48890-1014-4B31-8CED-01E2BDA09B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A8CAEDEE-AE18-4773-9EA8-840EA6EF4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1450A6D8-B479-49A5-8CCD-FF7680E42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BE9C51C-296B-4CA2-8F44-25DD69D9C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B2E913FE-2672-4075-8CEC-A60A30ECB9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98227D6-14EB-4AB7-902C-B2C939FE05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DD912D65-0654-42E9-9832-A3091DB16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30FD791-CE52-4A7D-9B40-7B953FB94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C97047BD-95FB-477F-B666-67C9971F0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421FD87-CF36-476A-A241-95540E3884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67AF585-A7F0-4E24-8CE4-DC126E2A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AA689A7-E625-4667-B78E-076DB57E9A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21225BF0-8683-487C-AE64-B1559902D1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F279366-22DD-408D-9582-B6CBD0D29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02B67428-009D-456E-A09E-DBB583ADA9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D5DAE81E-D6FF-4990-80A9-602A3FCFF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6859CDD-4680-40A2-A8E2-2C7D2415A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81107FA-7874-491D-8121-BBB73F558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4D5F09A7-14A5-473C-A2E2-3B9414D6D4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4A8D36C-F051-4647-A3D0-7E2E5B3044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A196623-C169-402A-9EA2-95416976F8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F6E98E23-1CDB-4909-974D-CF4BC473EA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01D1993-B7C3-488A-8BD3-11A24AE3A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6CC29E3-C92A-472D-BA0D-98A6ECFBA5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F8EA4E3-1799-42BD-BDB4-3A9DB73DC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1C7DC30-AFEC-4443-AD8A-6E4D41342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0823941-DCFB-43DF-B498-131859650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914560-89CF-470F-92D8-7992E0E3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3665F21F-7FF7-4A90-95AF-971BE6D67D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DAFC31C-2A84-44D4-A4B9-956BC28737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14F7802B-9CF0-486A-90B1-69E7F780EA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EEFD3E8-5DC7-4B6B-B444-B108BDA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6498C3A-3BA9-4A4A-AEA1-A33133FFF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499682D-8CF2-4C82-B47B-DA1698F6EA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E1F533C-FD51-4DD1-8918-8B0F9B7C93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302B11A-F5C5-4C76-8D6D-AAB34F9C61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E5C163-6F60-4114-943B-B19CA2707F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A2220B2-BBEF-40CB-B7DB-26DEB988E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FC82285-D4AD-4A4F-A2C4-7E95BDF7E3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0ABC2F4-8FD4-436D-AB03-7EA8C5CBB7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FACE64B-961D-4D0D-82FF-21070EAB13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3F0B047-BB93-481D-B5E4-62FA27AE4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BAD2BCD-2F93-4041-81FC-A8B27C75D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B4933DB-B3CE-4A00-B015-08C3B99147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65AEA70-286B-4729-8715-D738041B8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6FB1F0D-8C3C-4535-B365-AE06D6561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A475C99-284D-45A5-A93A-F1DA9B8E34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CE3E099-FAC0-48E6-A7B0-F01CA175A5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F35C980-573A-4228-BFF3-90C4AE4B6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BF39F46-5EBC-46EE-86A1-45235614D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769554C-DFB7-4C8E-84B5-51E972A2D0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1E1FC1-B629-4207-BE0E-1367F6F0F0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F044ABF-0B79-41CD-B0D6-1285B9DDD2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1F74EB7-CE90-4EC8-BA63-96D6E5AC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AB4F9D9-E4A1-44A7-9876-670F1946AB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115683-EE78-41EC-9925-1A12CBAB4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9332BBE-C039-48E7-925F-F57145C051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1D0D955-65E2-4DEF-8CA1-A9DAADED11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2C19FB3-0110-4861-A0C8-A8C5438C49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3FDD754-C7DD-470A-8F29-49B929F81B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EB0A781-6CD6-41DC-BF7A-62DEEC852E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D833BB6-E09D-4B44-ABB1-72692A3889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878F03D-A311-4BA6-AFDD-A31C524F76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8D375713-5465-491B-9FF1-EBC95C02D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67FABB-726D-4252-A6C9-52A21F787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91B8A59-4599-421B-AC57-8907DEF41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0DC8630-5829-4AE2-B5EE-85B148A5EB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2192813-3FB5-4F91-89D3-C339E576A5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BAF4B28-D611-4873-8BA0-D843AE85AC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96AE5CD-6999-467C-B00E-9B11E40F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D64CA2E2-6799-4EB5-AE7D-48BC51601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A626858-BF84-4860-92AB-B5D95DF10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1E7740BE-2979-4794-9B4C-5CE573BD76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184F7B4-4822-457A-8422-EA496A4EE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9348BFAA-85B4-48A0-8CFF-1E811FB87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46092420-3967-43ED-BC65-692071306F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35153BD-7529-4140-96DF-4D8B5CB9EF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02FCE65-D4B3-49BD-B654-1E9B5F0F13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E9626B5-C85F-45AE-9298-E0F4241F35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683EA0DF-2AB2-44D9-81FD-D7C0FDAC6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B50CD7DB-BA8E-4A33-9D18-2B8DCDB000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0482954-52ED-486C-87C6-EC148FE942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110F51C-1E68-48D6-9117-E5F564D499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00340976-3F15-4B8A-9F91-5E904B35DA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53E2B6F-33EC-49B6-A0BA-9C59977A26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BDA50A3-DA1A-42B8-A407-D55C9E47E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75E9FE4D-5D50-4147-AC54-EC785D5DC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0C047B16-25F2-476F-8244-6AE6F215F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01A4C10-71A2-4C63-93F2-E1F1A494DC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C2624A1E-892B-4465-8CB3-571A39A52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ECA63623-7BD2-45BA-A97E-BF9D84216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95A95C4-5812-4BAD-8353-6AAD8664A8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41BB847-1023-4DD1-9A53-A14CB58AE7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EF7C753-6E4F-4193-837C-2F89B5E81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85403E4E-17C1-4F5E-8FDD-FF64DA5F2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5C4068C6-4E58-4F57-9697-5108CBECA3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4DC246D0-0C2F-4340-AE93-314140AAC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9514C50-5221-422F-9375-3266C96750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6697E3B-52D0-43EA-95A2-D0E0B7C14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DCCB383C-3645-4680-9BCE-29EB334965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5F939778-BE7D-4689-B57C-41DC6B4420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1FC719A-47DA-4A42-A3D1-C7E80F7C1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8646C351-2C82-4AB3-8919-052488F76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00007CE-C255-4710-B6A4-27D99ADFE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B46B975-93E2-4A44-BF1F-29B1DDDD2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F72C47D1-D11A-4C23-8D60-5AE3DC175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AFC1381-2321-4330-811F-8BFEACC8D6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60696F98-19B9-430D-8C78-6761D2AE6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23BEC29-0D9F-40B1-A3BD-19DAF4A707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9F2AAAD-5ACD-4A6D-A25D-1EBD450889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2DDDFAC4-75D5-4630-89EA-11F0C9619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2B5B734-BF27-4E0E-88E9-74D594BB27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8C34E1C3-A58D-48B4-B1C1-E13AE20173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9F32EA45-5FA2-4B54-826E-897899877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A8E2A6C-1767-4A5A-9835-22ACFCDF78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355242D-A88D-48BB-907F-F9214FC85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CA537FBE-A200-421F-9F49-88BA4D9E00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D38B61E3-AED5-489F-A093-663E1C4CFB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77902DA-D12F-4F7D-A4AE-4911827A7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C8F26EB-7ED8-41F3-B075-8174DFBEA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B4696A7A-9965-4E52-B89D-6BEAEB2E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373C81D8-9409-46EE-B152-F1708047F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11EC820-BA7E-41E6-9B96-7169480D3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A2918ED-6555-4240-9F6C-4F57DDBFE8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237D315-0DCC-4043-9172-6A9466E557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A87381C-B209-438C-88C2-4FCAB645C6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CFA159C-810F-4DDE-9009-8A1F0F93F1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42FBDDBC-51D7-4D2B-99AF-47AF1FC690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CB7038-078F-4E39-A2EA-B2150C996C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D9295DF-046D-4C70-9F67-FC46BB170F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C84DECB2-EFC5-4522-9FB4-818B1932E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FB54D63-A85E-4F9F-A505-6FF7DFC900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4A39B9F6-9BA7-4CF4-B54A-A53F300842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02F4526C-6850-428A-878C-861CA17AE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B01AF34A-AAC0-4A0E-8E54-C7BD38D6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37B5DF1E-4266-40D0-930A-0226142C60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5FBEF441-2E99-48EE-A2A3-6BD74C5E4B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5F66143B-D4AF-4ACD-8370-05178F233B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8F4D7193-F66C-4F1E-A76A-05DEADF5E3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D413A0BF-9019-4155-94D8-248B4B4991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E6019667-78E1-4AC4-9484-73C30304C0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6D5BE3A-8731-4E47-A541-F76221879F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0DAAE040-5FA9-4A87-A2D6-2DDA1FE7E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88654146-828F-4471-9217-2CE06BDC7B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AEB4E829-0D45-4DC9-A1FD-D6EF2D023A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B2F74D1-BCC7-47EC-984B-763F5D58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526225C7-56A0-4F6B-944D-449544514D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FE03FAC-B955-43A0-8967-1FD1565745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AC12BD7-43B0-4928-91EC-9AD020E25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28D5A00-5A27-45B6-B034-ED74F353E2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F25276B-E948-44DD-8B92-B3B08F901E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2F2758B-F864-430B-A743-76EA73FC9E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15D85DD-474D-41DB-904F-5ABB1DFD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A16F180-283E-4A87-801F-B646E73203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39A665-A5B3-4FE0-977A-058F13DB91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CD6A7B97-C4F7-47CC-83DE-E4CE4FA42D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3905CD5-7B20-4AE6-9C37-AD9C119222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C6132A1-949D-4BE6-AA95-9500EF097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60A5B3C-9F12-439B-A389-7BC75DDBA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C5879608-A7DF-4418-BAE0-469549285D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7A71772D-0C08-4900-9391-6F9455078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3EEB393-074F-46BC-8389-D759A928D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071E368-295D-49DB-9DB5-7C1856B91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934BAFC-5002-47BA-9E73-D98546675B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D0503CF-BE86-40E2-ADD3-83FEEA5F61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07ADAC0-091B-4B01-9C84-59EA1A531C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E16B97C-9B63-439E-84AF-40769678E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20D6DDD-B0C4-4B5C-9C3F-AACDA1CF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A751CD6-1E4C-41FC-9BFF-2A28544DD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</xm:sqref>
        </x14:conditionalFormatting>
        <x14:conditionalFormatting xmlns:xm="http://schemas.microsoft.com/office/excel/2006/main">
          <x14:cfRule type="dataBar" id="{27D4E85C-E22C-4903-8B2D-A0DB7B7A7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V8:Y8</xm:sqref>
        </x14:conditionalFormatting>
        <x14:conditionalFormatting xmlns:xm="http://schemas.microsoft.com/office/excel/2006/main">
          <x14:cfRule type="dataBar" id="{93FD7E12-E896-4B68-9F7B-52D64CD2B5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V9:Y9</xm:sqref>
        </x14:conditionalFormatting>
        <x14:conditionalFormatting xmlns:xm="http://schemas.microsoft.com/office/excel/2006/main">
          <x14:cfRule type="dataBar" id="{2C07EB62-136B-41D2-B0B7-6F8983623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V10:Y10</xm:sqref>
        </x14:conditionalFormatting>
        <x14:conditionalFormatting xmlns:xm="http://schemas.microsoft.com/office/excel/2006/main">
          <x14:cfRule type="dataBar" id="{7FE76BBB-AD4F-4A2A-9226-2C6FD1F14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5D637647-C342-47A8-9A8A-A4EC84FE5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V12:Y12</xm:sqref>
        </x14:conditionalFormatting>
        <x14:conditionalFormatting xmlns:xm="http://schemas.microsoft.com/office/excel/2006/main">
          <x14:cfRule type="dataBar" id="{700AF89E-B15E-4CC9-9DA4-B667CE0999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4147C85F-AE55-4382-80E8-265F1207F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V4:Y4</xm:sqref>
        </x14:conditionalFormatting>
        <x14:conditionalFormatting xmlns:xm="http://schemas.microsoft.com/office/excel/2006/main">
          <x14:cfRule type="dataBar" id="{092B7201-4D25-4EB4-9819-21534B0B30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C8126B7D-A88C-42A9-BEF9-74B3D9A2E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1BFB196-BFF7-48A5-8A5E-AD808DA269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85712190-3B27-46D7-B183-DAA9E1A69D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V13:Y13</xm:sqref>
        </x14:conditionalFormatting>
        <x14:conditionalFormatting xmlns:xm="http://schemas.microsoft.com/office/excel/2006/main">
          <x14:cfRule type="dataBar" id="{6A7AB4C5-A811-4464-B37D-3FAF8F373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V8:Y8</xm:sqref>
        </x14:conditionalFormatting>
        <x14:conditionalFormatting xmlns:xm="http://schemas.microsoft.com/office/excel/2006/main">
          <x14:cfRule type="dataBar" id="{FE2B2793-8543-488E-8E3D-DD64E71DC6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05EA619B-F34A-4E99-9DDD-57B77BBEE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6D4A5B8D-DE72-4D28-9D32-5CEACB3823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 V4:Y4 V8:Y14</xm:sqref>
        </x14:conditionalFormatting>
        <x14:conditionalFormatting xmlns:xm="http://schemas.microsoft.com/office/excel/2006/main">
          <x14:cfRule type="dataBar" id="{E6058137-43C4-4D9A-AA21-E0C3F385D6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V18:Y18</xm:sqref>
        </x14:conditionalFormatting>
        <x14:conditionalFormatting xmlns:xm="http://schemas.microsoft.com/office/excel/2006/main">
          <x14:cfRule type="dataBar" id="{36E9A631-3D38-4131-9A7F-1C17BBAFA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05B50F64-F5D3-496C-8568-6DA5B1A651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13B46634-12A6-445E-AD67-ABE7C6E89B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V15:Y15</xm:sqref>
        </x14:conditionalFormatting>
        <x14:conditionalFormatting xmlns:xm="http://schemas.microsoft.com/office/excel/2006/main">
          <x14:cfRule type="dataBar" id="{F4256A03-100F-4038-B4FA-9F9CACF921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E256E9A7-A672-4262-8C80-E42BDCC935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52232911-43A9-4EB8-9259-E9155D73E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V6:Y6</xm:sqref>
        </x14:conditionalFormatting>
        <x14:conditionalFormatting xmlns:xm="http://schemas.microsoft.com/office/excel/2006/main">
          <x14:cfRule type="dataBar" id="{057096CD-6531-4BDE-A333-F73CE27780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 I12</xm:sqref>
        </x14:conditionalFormatting>
        <x14:conditionalFormatting xmlns:xm="http://schemas.microsoft.com/office/excel/2006/main">
          <x14:cfRule type="dataBar" id="{FC3DBDE7-50E9-431F-8E57-1C5F42EE48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K4</xm:sqref>
        </x14:conditionalFormatting>
        <x14:conditionalFormatting xmlns:xm="http://schemas.microsoft.com/office/excel/2006/main">
          <x14:cfRule type="dataBar" id="{F58A0C7D-2DEF-4FBD-9075-5517945D0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9799BCE7-75CE-4E48-A9C9-9DC6B332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1CFE58BF-B0A1-444A-BFAA-ED3267B2E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 I13</xm:sqref>
        </x14:conditionalFormatting>
        <x14:conditionalFormatting xmlns:xm="http://schemas.microsoft.com/office/excel/2006/main">
          <x14:cfRule type="dataBar" id="{925931EE-B88D-43AD-A2B6-C895C90600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 K13</xm:sqref>
        </x14:conditionalFormatting>
        <x14:conditionalFormatting xmlns:xm="http://schemas.microsoft.com/office/excel/2006/main">
          <x14:cfRule type="dataBar" id="{E0A1DDC2-D32F-4251-8F14-A196D54BBD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2740077-841F-4C07-9692-00A638AB2D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7C41B2C0-9BA4-4C02-A013-E1A29950BA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K18 I18</xm:sqref>
        </x14:conditionalFormatting>
        <x14:conditionalFormatting xmlns:xm="http://schemas.microsoft.com/office/excel/2006/main">
          <x14:cfRule type="dataBar" id="{D23F5F8C-A9AF-485F-A2F5-222163BB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 K15</xm:sqref>
        </x14:conditionalFormatting>
        <x14:conditionalFormatting xmlns:xm="http://schemas.microsoft.com/office/excel/2006/main">
          <x14:cfRule type="dataBar" id="{B204189B-5072-4632-8AF9-00F429AC5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E32AAD7A-2BBB-468A-ADA6-3F803F61E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60BB98C2-E2D9-4F23-AA27-D9C64F5290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 I6</xm:sqref>
        </x14:conditionalFormatting>
        <x14:conditionalFormatting xmlns:xm="http://schemas.microsoft.com/office/excel/2006/main">
          <x14:cfRule type="dataBar" id="{E3870BCE-8FF5-4B0D-A07F-C96BE17A06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09FE393-D562-44E8-9523-7FE0593272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D9F5FF05-28AE-4580-B346-3D60C0EFF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C81F915A-1969-4826-90A0-BD86DEA55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</xm:sqref>
        </x14:conditionalFormatting>
        <x14:conditionalFormatting xmlns:xm="http://schemas.microsoft.com/office/excel/2006/main">
          <x14:cfRule type="dataBar" id="{78EC73CA-F71F-4E35-97DA-FDCE474329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K18 K4 I8:I15 K8:K15 I18</xm:sqref>
        </x14:conditionalFormatting>
        <x14:conditionalFormatting xmlns:xm="http://schemas.microsoft.com/office/excel/2006/main">
          <x14:cfRule type="dataBar" id="{9D09A14C-3D58-4CBF-9958-E1627508A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F84198A1-978C-4687-8E6B-9AEA1DCAA8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 L4:M4 L8:M15 L6:M6</xm:sqref>
        </x14:conditionalFormatting>
        <x14:conditionalFormatting xmlns:xm="http://schemas.microsoft.com/office/excel/2006/main">
          <x14:cfRule type="dataBar" id="{8C6F8CE4-764B-4030-B677-27BE6F9450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I8:I15 I6</xm:sqref>
        </x14:conditionalFormatting>
        <x14:conditionalFormatting xmlns:xm="http://schemas.microsoft.com/office/excel/2006/main">
          <x14:cfRule type="dataBar" id="{227B44E1-A940-4E9E-8441-77B7E0C70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L8:M15 L6:M6</xm:sqref>
        </x14:conditionalFormatting>
        <x14:conditionalFormatting xmlns:xm="http://schemas.microsoft.com/office/excel/2006/main">
          <x14:cfRule type="dataBar" id="{AA73BD8F-547A-4465-BF6A-3A06E7E99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X18:Y18 X4:Y4 X8:Y15 X6:Y6</xm:sqref>
        </x14:conditionalFormatting>
        <x14:conditionalFormatting xmlns:xm="http://schemas.microsoft.com/office/excel/2006/main">
          <x14:cfRule type="dataBar" id="{67E74A5D-5879-4E2F-9AFC-02BFB72B6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40D0893-49A4-410F-8852-9F1B5028D5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C68898B7-23B8-4170-94B1-E5A2719564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8A62D55-9801-439E-8FB4-97AFCF68D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93874C70-8A54-450D-8F82-B4BFA8E591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C6DEBE7-6C03-404F-AE4A-05EBD4AE9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FFB2472-0A23-4AC9-8A7F-8A6F9FEC7D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5396C84-4C3B-4CCA-8426-0B9D1B85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128463F-F63E-43F8-9BFF-B7FBAAEC4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E0B2B052-7127-4883-9916-FC4924254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0A39606C-8F07-40F5-84AE-A38E1F35EC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BF68562B-B54D-4364-AD39-CC8CE5C55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CCFCE578-E715-41A4-A886-2E057964CB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A5C433-52A3-462E-B7F4-0F02FF18A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862333D-41A7-49EB-BD1D-B749E131B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6A5162AE-150B-4072-BEA0-998B402715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ECAF48AB-9E92-45E0-9BEA-5E2088007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1C7898C-3C36-481E-8BEB-A85A8E6103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71C2FCC-F7A3-4A68-92F0-AA10A4EC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CFFC1BB0-4761-4B2F-9595-EAD267766B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9F2A106-3881-40EC-A471-8CDE6D8911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E168847-3982-4053-8C08-8B2F497988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5E554106-9089-4327-885E-0B030681C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F3A6972-3BA9-4EFC-9FF8-3C278E58D9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0F6F964C-0F1B-471C-AA06-4311506313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27BE0370-4C80-42B9-B89D-F5575ED39D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EA0C307-D08A-4A61-8573-6C52F9ABB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76C6A545-339B-413D-90F7-29B138F935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4C7BC6DF-4813-45DB-A607-40219C371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E56BB0D-92C0-4D19-9BF4-AF0056195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2223E15-6081-4DF0-A9FD-4A223835C4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B6819C5-CBF6-47ED-895F-BDF32761F3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4A9BA0B2-952E-4438-B19F-28F432FB17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AE939DC-48F7-4B95-947F-9CC2EC2986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54A4CDE-45A7-4D04-9054-E4B9557A25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A238214-1720-4336-9B49-59FDB6FDD4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97AD124-E60C-4D45-AE7C-F1CC843550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E60FB2BA-F998-4317-B51B-9CDA5441F7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AE95722-69DF-4E64-85CF-577D40AE80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33643703-9964-4269-8C95-38629D45BC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500600AC-1D7C-4F5D-92BC-5700DA96B9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050DEAE2-833E-4257-8743-62589AA91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1CA773FA-291D-423E-B8C4-8DD56B5AF2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BF616A8-27A3-4A07-93C1-7274AF2FC3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A8957BF2-D5B3-4836-BE97-F258E2FD36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10655239-FD2A-4563-83E8-2ED58AD57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4D722CE-505C-4619-BF85-1AF6D5792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84BD333-81FB-47C9-8D85-8FCB40607B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FA155F56-2CDB-4C8E-AD17-9665526BFC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579E4B8F-9088-45BB-BDFF-2F5AAB3D26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34E24D2B-3B2E-49AC-AB67-48A0D86F6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4AE8CD37-679A-49AD-92A6-75FFBD8AD7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V16:Y16</xm:sqref>
        </x14:conditionalFormatting>
        <x14:conditionalFormatting xmlns:xm="http://schemas.microsoft.com/office/excel/2006/main">
          <x14:cfRule type="dataBar" id="{7DA136A5-1FEC-4420-BE70-4285A4D8B4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2A86101C-38E6-45CF-9988-BDDDFE921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 K16</xm:sqref>
        </x14:conditionalFormatting>
        <x14:conditionalFormatting xmlns:xm="http://schemas.microsoft.com/office/excel/2006/main">
          <x14:cfRule type="dataBar" id="{94578B86-EA2D-43DA-88AB-BEA1BBB4F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D4643C1-D2C4-4ABA-94BD-16070A60B7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8645B31-D626-4C63-870A-92C4E8B3E1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CEBDB0E2-5500-417B-80D1-E8BF2B8B4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F7A0EFB-CCC0-4390-91EF-DEDBDCCF93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831BA4E-2B74-4F0E-9977-C097C4F07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X16:Y16</xm:sqref>
        </x14:conditionalFormatting>
        <x14:conditionalFormatting xmlns:xm="http://schemas.microsoft.com/office/excel/2006/main">
          <x14:cfRule type="dataBar" id="{2B59005A-B93D-4618-B548-7E12FDE5D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I18:I20 I4 I8:I16 I6</xm:sqref>
        </x14:conditionalFormatting>
        <x14:conditionalFormatting xmlns:xm="http://schemas.microsoft.com/office/excel/2006/main">
          <x14:cfRule type="dataBar" id="{198A8587-59A7-423C-8D64-079061D0A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L18:M21 L4:M4 L8:M16 L6:M6</xm:sqref>
        </x14:conditionalFormatting>
        <x14:conditionalFormatting xmlns:xm="http://schemas.microsoft.com/office/excel/2006/main">
          <x14:cfRule type="dataBar" id="{516011B9-73C0-4F4F-A97A-5F3F6AC29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9E4CA17A-84F2-413C-A339-B7789F7307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390564B-BC28-4B4D-A09F-4B70283D2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D76E79B-E45E-46BA-82EB-27D1C7F6F7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37D5AA7E-9C5D-464C-9EB1-B76309B0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E67E878-45DB-4844-B52D-7A030BE05B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F91DBC9A-27A6-4F02-B83A-708A002337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60BF1874-0840-4B84-848C-AF6B6E70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821C38B0-4511-463B-86C8-FCB6D84532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06066C0F-98CB-44F4-B502-C8F8BD2A1A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74B63413-5A81-444C-A4E6-C3C2E6C460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7A247795-C382-48F6-83F9-B1D21557F1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00C6FFB0-46C9-4B3E-A6ED-58453A3BB8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4A93DE7C-FE5A-4657-A64F-7BEB5BC7E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04201A-1EE3-4C4D-8412-D44FA68840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C6BF229-EA8F-4354-9C16-50A2D952F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13EF038-4461-4262-BF59-F59D07614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39204654-E707-4F62-B60F-E32269EBE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76A4CC2-0BA9-4A3F-AE35-816B0BEBBE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FEC0FDC-519D-487C-99CE-E0DE198377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FD513EA-A48D-4263-8ECC-20A32A572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71540D8-4161-44BF-9C74-DC6DC46A1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73A2D463-89BE-44A6-BF13-36B0F7563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6606BBDC-5353-427A-A72B-F712F6A5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2C42D87-DF27-4686-987F-5D1C2E58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7CB2D0E9-968E-4495-82FD-010551CCF7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5CF4171-022C-4D98-8161-AF2718058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9BD6CDF-CC56-42A5-B975-4D9C3D98F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28E2A9F9-4568-44B3-946C-78AD1F2E9E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58061DB-6DE5-4C45-A422-389C6DB6B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B94A228-AB74-408F-B1E5-A3153C71F8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83C7CB55-A936-4CBF-9C7F-13222E55F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1417BC0-15C7-4708-A8CD-AC3FB81013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C05B7FE-27ED-495A-88F8-6AE4FC6CD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262B2A-C7F3-4CAC-95A1-DCD9694C53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2B24705C-2F73-4A0A-8DA1-37CE4345CD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733E6F5-9418-476B-944A-9440375064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958579CE-9486-4CFE-BD79-ADFE4C3B09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4162C57-7F91-43BA-BC38-23FE4DAAF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EF3E8E00-687C-4D5E-B936-0180FB7B50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E83CE97-EA6C-416F-9144-0569A483D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B22FF06A-9591-43FD-8022-816D375477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D164159-5E38-4272-A228-C94DAAFA68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6D0506C-0D5B-4839-BB92-1FC6DFC19F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66860AA-13DC-48E4-9DD0-E635EBA4F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84C567B-7FD2-40B3-999C-65BE87C6A1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52C87B2-054F-4B52-89EF-E8FA2E3DC0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181F127-9294-4147-850F-E70C18E2F9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AA5C773-24A5-4E6A-8141-B5092FFD7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40731425-D1BC-4809-AA7C-F7D79BB15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1E1AA908-7B00-4395-BF99-FEDE9B9502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6BDFBD22-2BB6-4FAE-8048-F6358CD50B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V17:Y17</xm:sqref>
        </x14:conditionalFormatting>
        <x14:conditionalFormatting xmlns:xm="http://schemas.microsoft.com/office/excel/2006/main">
          <x14:cfRule type="dataBar" id="{B20EA322-BAE2-4A89-9B99-2D0E9E4342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 K17</xm:sqref>
        </x14:conditionalFormatting>
        <x14:conditionalFormatting xmlns:xm="http://schemas.microsoft.com/office/excel/2006/main">
          <x14:cfRule type="dataBar" id="{654A9DA0-1DC4-4AD0-9654-40F9F109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 K17</xm:sqref>
        </x14:conditionalFormatting>
        <x14:conditionalFormatting xmlns:xm="http://schemas.microsoft.com/office/excel/2006/main">
          <x14:cfRule type="dataBar" id="{123764E4-E5E9-498C-8E51-50178C66FE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1D8E1DB6-3DBB-4927-B205-C3D871A9B8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2A470E75-E720-42E8-88B8-56236BB409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8F5DEF4-5AD4-4BFB-BC32-1993543CB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F9230623-6E8D-4968-8257-AAC322AAD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86E0558-B9B1-4B23-AC5C-9592BECFEF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X17:Y17</xm:sqref>
        </x14:conditionalFormatting>
        <x14:conditionalFormatting xmlns:xm="http://schemas.microsoft.com/office/excel/2006/main">
          <x14:cfRule type="dataBar" id="{3EF0091F-63D6-4E41-8BCA-C8414F2EAC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BC080F7C-A619-48AC-81F5-67EC96F02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2455D7D-A737-4784-9780-14446B638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D431AC16-6033-4864-A9F2-681E8A632F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61F7A3A-1400-4F18-813B-A051D628C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7FB362A-FA03-4CE7-8F91-4F71C2866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05F73E39-B2C0-42CD-92FF-63380C9346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FF3BD84-30B5-47BC-8DCC-2CCEE02CB9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DD3BFB82-CDB5-44C3-9D01-48BED0E648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109F9B24-9E35-4A75-91C4-A8AB1C1D66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0270C70-7D12-4ABF-A42C-FE8A334215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F48A13AA-0841-4116-A9DE-F3B15B156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6DFFFE0-D354-4CAC-9543-5725C19AD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66FF140-E7F5-4E5C-8F7D-163B192B93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89F2217-B0E0-49CB-921C-17C88BA7D1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7E6C539-7B35-4364-B4C4-A4015C2E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90A8DDD-B255-4C30-8618-C9786F573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71C15393-C293-4BD7-8AE1-796AC7800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4E1E153-AE53-4727-B0A4-2F336081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CEF0168-BBC7-45E9-A513-D9E1795C4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1F824FC5-7B68-4817-BCFA-896E38DBF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89371523-FAD9-433D-9B51-F1AF09255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E8BE2C74-921C-4165-B847-792DCD2472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V7:Y7</xm:sqref>
        </x14:conditionalFormatting>
        <x14:conditionalFormatting xmlns:xm="http://schemas.microsoft.com/office/excel/2006/main">
          <x14:cfRule type="dataBar" id="{7B9F6ED3-5F73-4C0C-8448-D08753EBD2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AB4F3892-2C3A-4A4E-9208-4D300B868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 I7</xm:sqref>
        </x14:conditionalFormatting>
        <x14:conditionalFormatting xmlns:xm="http://schemas.microsoft.com/office/excel/2006/main">
          <x14:cfRule type="dataBar" id="{9F8485F8-DA75-44CF-A62A-F1204B5D5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374E66-F913-4E70-929B-BBF9193542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0F1D098-DC95-4594-BFA4-2643EFEB67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3DEBEF8-A84C-4FEC-B0DD-8D4F6D2373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CA901999-E1B3-4726-8B5F-6D221BE86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66454445-6AAE-40FB-AE8B-60CD7521CB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23D828-04C8-4154-95E6-184FFC3CA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D854482-4804-4237-9EA8-C0C62F6E0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37B638E-1F31-43D1-9B82-4C13755215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D03D80B-06EF-45F4-8983-9484ADA822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C6EA4AE-644C-42AC-A11D-23B378F0BC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6A926D4-302C-4838-A3C5-AF5419EB5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391CFDC-B412-40C4-9135-5522907F3E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X7:Y7</xm:sqref>
        </x14:conditionalFormatting>
        <x14:conditionalFormatting xmlns:xm="http://schemas.microsoft.com/office/excel/2006/main">
          <x14:cfRule type="dataBar" id="{82B03532-807F-4542-91F9-B08A73A5CF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980AEA8-B9F2-4D89-A83B-94A7EA3DC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E91D6444-F2B3-4682-BEFF-B6E1E9325A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122C671-33E9-4C87-A872-2B9C724C5C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8E98F85-C444-464F-8535-02F60F6E99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1B15E74D-62B3-49F8-BD6D-2610FB9AA2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C529FBC-6E43-4319-B93D-4349201DFB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3D4AF08-0421-4458-B122-71BEFDBFA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719397-68A3-42D3-8071-FB1927BC9F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3B6B5FA-BA10-40B0-A87F-214367761C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9774EE6-B2C2-4D35-B913-2E1371C015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7D67E518-7137-4EB0-AA75-EC34BC10D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5CC212D-665B-4B03-9BA7-6A602E0CC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370AD24-90A2-4EED-995D-6007C7A10D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E3D967-440E-4A86-8B20-59735BA88C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78C9BDC5-9ED9-4BF2-9749-B268308A83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EBAFFEF-52B5-42D2-81F6-06B15553E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5BDDB7-4AD7-43D1-98FB-2AF00066C3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B017447-8214-44E4-8667-D7E184645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3296196-B083-4CD2-B88B-3F92184972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A3EE02B4-4F47-4949-9AF8-99639585B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C88D65-13E5-44D0-BA35-9C83301498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05FF242-804B-4839-B3A5-3663328B1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F72D27D3-DECD-4616-BBC7-D5570BDE7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6090F38-6581-4FC8-93D1-E0EB8BFF6A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7830700-4BDD-48A8-A198-4875B98166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F1F04DE-DDD7-4251-8436-097CD72F7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BCA27C5-6C95-4F50-B3C6-3B7E9B3E79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28C5534-2A04-4FC0-9DF9-F2F613E59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F4BA5D3-C95F-431B-84B5-7EDC47D22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D8B073B-EB42-48C2-A0EE-0082945EC0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007C3C-A6E1-44F8-A403-F210954CC0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C4D755-5CE0-47AB-BFAB-92118E45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2CB3F2-7698-4F70-A953-D5E56EA9A7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1E5DB29-B678-4062-B288-96342539B0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EDDB5FD-5001-4EB3-9FA9-3D27D89C2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64EE342-8DE0-46B6-B296-3FD2E2A1B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EAAABBB-3D66-4D32-96C8-36276781FF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E2EC188-53D5-43FB-9A62-4DB8274AE0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AF53AAA-4827-4F02-AF71-680464D3BF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EFFAA754-5D5A-4166-88CF-C1CE58F61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835460-61F0-4674-8792-342E46088E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B94D7E1-2949-468D-A687-AB065D122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54E36EC-B3BE-45FC-B0DF-7EF5404A7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841BA487-0B08-4B8C-BC19-EA69070C6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CC04A23-A8C3-48DA-91A1-9B43C9B451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EBE3916E-AC24-4952-8309-C383020ED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E923FD-5C41-48A5-A31A-39A9C4C898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8531E4-8C08-46DA-8D61-97124919C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61BEF10-FC89-43D7-97FF-43F967E7F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7B0CC86-1892-450C-A4D2-3352BF05D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940CA4B-8876-4431-ACFE-58845BB2A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C632A57-F69D-425E-8535-C01C2C26CB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9741DC0A-8423-4DB7-A251-E2A9BCC645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6F3762B-7B64-4BEF-8861-715FE5E79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3C27DBA5-FBED-4EDF-A1FB-1EC877683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0E8BC9E9-B6E5-460A-B1A5-5C1D8E4A31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V5:Y5</xm:sqref>
        </x14:conditionalFormatting>
        <x14:conditionalFormatting xmlns:xm="http://schemas.microsoft.com/office/excel/2006/main">
          <x14:cfRule type="dataBar" id="{BFD045A1-6579-4A18-9E86-2479CECBFB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D46E1236-AF8A-4D20-A079-BE3392284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9D2F8845-3942-4B10-BCBE-C0F1C50F36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6690663-269D-440C-8AAA-524C1D28E6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5BD34A8-97F5-4AE5-9A12-2B08460C4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 K5</xm:sqref>
        </x14:conditionalFormatting>
        <x14:conditionalFormatting xmlns:xm="http://schemas.microsoft.com/office/excel/2006/main">
          <x14:cfRule type="dataBar" id="{5CE56EBF-E7B3-4DDD-88EF-E229D477B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BFCBB5-B20D-410E-8486-BE5B43CA7F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B372C3A-0637-4AA9-A40A-D695419B61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B08F52A-73F5-42EF-BCA7-0E8B53624C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B6E38040-A487-4526-B6DF-EA3BB0019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5B33518-011E-4620-836E-DB4154A8E3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7B19B8F-8F99-4F04-8F00-8315E884F4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7E01E4D-2A97-4CFE-8E40-D9749BED6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5561FAC7-2571-4D05-B4CF-082B2F4CC5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6B63BD97-BC06-4186-B2F0-2D32349205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09E7A6B-776B-4D6A-8331-B546D3798C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FE17E25-6927-4A75-AB48-AAD9B7597C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380DC2F-C544-4336-A2DE-77EC6F3C0D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17323-37E2-4943-999C-F8CA2992CE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06A252-3C78-41F6-BF0B-8C29A1FD54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DC9CE2F-FC48-435C-9CA7-BE3FC428E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7F2B0E5-B11E-4D56-B30E-E56D0025A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D5D2AF-7B1A-4756-9084-5362B8D3EB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8DEBF2F-3E5D-40CB-9C17-01D7090B60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X5:Y5</xm:sqref>
        </x14:conditionalFormatting>
        <x14:conditionalFormatting xmlns:xm="http://schemas.microsoft.com/office/excel/2006/main">
          <x14:cfRule type="dataBar" id="{37D97F3F-0663-4803-8DA2-04EA699A52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4C5D14CE-28CF-417E-8246-01E2E8113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T8:T10 T14 T12</xm:sqref>
        </x14:conditionalFormatting>
        <x14:conditionalFormatting xmlns:xm="http://schemas.microsoft.com/office/excel/2006/main">
          <x14:cfRule type="dataBar" id="{7EC590BC-B5E0-4589-AF5F-26FACA49F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0CF36B9B-B64D-43F2-BBC8-7CAD7F1782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I8:I10 I14</xm:sqref>
        </x14:conditionalFormatting>
        <x14:conditionalFormatting xmlns:xm="http://schemas.microsoft.com/office/excel/2006/main">
          <x14:cfRule type="dataBar" id="{C431054C-F21D-48CE-8D56-7DFA9B5BA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K8:K10 K14</xm:sqref>
        </x14:conditionalFormatting>
        <x14:conditionalFormatting xmlns:xm="http://schemas.microsoft.com/office/excel/2006/main">
          <x14:cfRule type="dataBar" id="{DB25D2DE-3A0D-4194-A08C-44CE2A30CB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</xm:sqref>
        </x14:conditionalFormatting>
        <x14:conditionalFormatting xmlns:xm="http://schemas.microsoft.com/office/excel/2006/main">
          <x14:cfRule type="dataBar" id="{8FB7E222-6CA0-4411-8571-3F7E517B4D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</xm:sqref>
        </x14:conditionalFormatting>
        <x14:conditionalFormatting xmlns:xm="http://schemas.microsoft.com/office/excel/2006/main">
          <x14:cfRule type="dataBar" id="{914F7FF4-ED37-489C-AD8F-8603D1C94E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X8:X10 X14</xm:sqref>
        </x14:conditionalFormatting>
        <x14:conditionalFormatting xmlns:xm="http://schemas.microsoft.com/office/excel/2006/main">
          <x14:cfRule type="dataBar" id="{D7259AD7-744F-46B2-82B4-D92B23EEC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Y8:Y10 Y14</xm:sqref>
        </x14:conditionalFormatting>
        <x14:conditionalFormatting xmlns:xm="http://schemas.microsoft.com/office/excel/2006/main">
          <x14:cfRule type="dataBar" id="{37A0AF2D-B0F5-4AB9-BB88-E21847089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F8AE149-DE1F-470A-BF96-C2800CF8D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85EA2F08-FC00-4322-A789-415D8A383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2C1C54F0-5993-4890-927B-140051CAA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FF9CBA40-D40D-4489-8BC2-63A13A0D2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V8:V10 V14 V12</xm:sqref>
        </x14:conditionalFormatting>
        <x14:conditionalFormatting xmlns:xm="http://schemas.microsoft.com/office/excel/2006/main">
          <x14:cfRule type="dataBar" id="{00EBA750-ACE3-4A6A-8A81-21C6F762F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L8:M10</xm:sqref>
        </x14:conditionalFormatting>
        <x14:conditionalFormatting xmlns:xm="http://schemas.microsoft.com/office/excel/2006/main">
          <x14:cfRule type="dataBar" id="{1575833F-8A0A-49AD-AE57-3998AABE06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L8:L10 L14</xm:sqref>
        </x14:conditionalFormatting>
        <x14:conditionalFormatting xmlns:xm="http://schemas.microsoft.com/office/excel/2006/main">
          <x14:cfRule type="dataBar" id="{2C3C905A-7A5C-44F0-82BB-D3D4E9978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M8:M10 M14</xm:sqref>
        </x14:conditionalFormatting>
        <x14:conditionalFormatting xmlns:xm="http://schemas.microsoft.com/office/excel/2006/main">
          <x14:cfRule type="dataBar" id="{9CAFE462-FA28-42BB-B2F5-F17F026733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W8:W10 W14 W12</xm:sqref>
        </x14:conditionalFormatting>
        <x14:conditionalFormatting xmlns:xm="http://schemas.microsoft.com/office/excel/2006/main">
          <x14:cfRule type="dataBar" id="{86424EC8-7C53-49D3-B041-22FD9A1902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K14 K12 K8:K10</xm:sqref>
        </x14:conditionalFormatting>
        <x14:conditionalFormatting xmlns:xm="http://schemas.microsoft.com/office/excel/2006/main">
          <x14:cfRule type="dataBar" id="{8E18A45F-B115-4FE0-9B33-C567174DC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 M4 M12 M8:M10</xm:sqref>
        </x14:conditionalFormatting>
        <x14:conditionalFormatting xmlns:xm="http://schemas.microsoft.com/office/excel/2006/main">
          <x14:cfRule type="dataBar" id="{9BBACD9D-27A0-4227-A35A-C3D0106A7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0776EBE1-DDB2-472A-84CC-ED4D25DF8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V14:Y14 V8:Y10</xm:sqref>
        </x14:conditionalFormatting>
        <x14:conditionalFormatting xmlns:xm="http://schemas.microsoft.com/office/excel/2006/main">
          <x14:cfRule type="dataBar" id="{B9EA7350-EEE8-47C5-A917-7F637F08C3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 I14 I8:I10 K8:K10</xm:sqref>
        </x14:conditionalFormatting>
        <x14:conditionalFormatting xmlns:xm="http://schemas.microsoft.com/office/excel/2006/main">
          <x14:cfRule type="dataBar" id="{BE97F062-9A79-46F8-BBDD-6BBD5F3C7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 I14 I4 K4 I12 K12 I8:I10 K8:K10</xm:sqref>
        </x14:conditionalFormatting>
        <x14:conditionalFormatting xmlns:xm="http://schemas.microsoft.com/office/excel/2006/main">
          <x14:cfRule type="dataBar" id="{B26202E3-BB19-4E6C-B0D4-5CBCF5ECC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L4:M4 L12:M12 L9:L14 L8:M10</xm:sqref>
        </x14:conditionalFormatting>
        <x14:conditionalFormatting xmlns:xm="http://schemas.microsoft.com/office/excel/2006/main">
          <x14:cfRule type="dataBar" id="{5B7E09CB-14AF-4AE6-851C-6E0DC37AF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T8:T14 T4</xm:sqref>
        </x14:conditionalFormatting>
        <x14:conditionalFormatting xmlns:xm="http://schemas.microsoft.com/office/excel/2006/main">
          <x14:cfRule type="dataBar" id="{32F20EE4-A94E-4D55-A539-3FC686BE0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T8:T18 T4</xm:sqref>
        </x14:conditionalFormatting>
        <x14:conditionalFormatting xmlns:xm="http://schemas.microsoft.com/office/excel/2006/main">
          <x14:cfRule type="dataBar" id="{848FD18D-C1E9-42F7-9EB8-6957FBDF2D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</xm:sqref>
        </x14:conditionalFormatting>
        <x14:conditionalFormatting xmlns:xm="http://schemas.microsoft.com/office/excel/2006/main">
          <x14:cfRule type="dataBar" id="{12550BF5-34B7-47D9-967F-C618B580E6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L8:L14</xm:sqref>
        </x14:conditionalFormatting>
        <x14:conditionalFormatting xmlns:xm="http://schemas.microsoft.com/office/excel/2006/main">
          <x14:cfRule type="dataBar" id="{A9EB4FC6-3090-43ED-8081-01E7CE18F1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L8:L14 L4</xm:sqref>
        </x14:conditionalFormatting>
        <x14:conditionalFormatting xmlns:xm="http://schemas.microsoft.com/office/excel/2006/main">
          <x14:cfRule type="dataBar" id="{CAA4DACC-0F3A-4F1B-A89B-498DB711C6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</xm:sqref>
        </x14:conditionalFormatting>
        <x14:conditionalFormatting xmlns:xm="http://schemas.microsoft.com/office/excel/2006/main">
          <x14:cfRule type="dataBar" id="{1C8C34A3-24D3-4052-8563-33969E8D1C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I8:I14 I4 I6</xm:sqref>
        </x14:conditionalFormatting>
        <x14:conditionalFormatting xmlns:xm="http://schemas.microsoft.com/office/excel/2006/main">
          <x14:cfRule type="dataBar" id="{7C4249CF-E2FF-4851-9339-EAF5872B33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T8:T20 T4 T6</xm:sqref>
        </x14:conditionalFormatting>
        <x14:conditionalFormatting xmlns:xm="http://schemas.microsoft.com/office/excel/2006/main">
          <x14:cfRule type="dataBar" id="{2F56C0FE-31FF-4E9F-A123-28F094AEB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 I4 I6</xm:sqref>
        </x14:conditionalFormatting>
        <x14:conditionalFormatting xmlns:xm="http://schemas.microsoft.com/office/excel/2006/main">
          <x14:cfRule type="dataBar" id="{5EFAFB00-BD2E-46AA-B008-541C3CB6A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DFAB1E08-8BBF-421A-9EB7-B453ED914B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L6:M21</xm:sqref>
        </x14:conditionalFormatting>
        <x14:conditionalFormatting xmlns:xm="http://schemas.microsoft.com/office/excel/2006/main">
          <x14:cfRule type="dataBar" id="{DFD03747-C068-4C2A-AE0F-ACA8ECDD57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E398D268-C0A3-4675-AD14-C10E5EEC7D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X4:Y4 X6:Y18</xm:sqref>
        </x14:conditionalFormatting>
        <x14:conditionalFormatting xmlns:xm="http://schemas.microsoft.com/office/excel/2006/main">
          <x14:cfRule type="dataBar" id="{45F702CA-D01F-44FA-8526-5AA7191FD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L4:M20</xm:sqref>
        </x14:conditionalFormatting>
        <x14:conditionalFormatting xmlns:xm="http://schemas.microsoft.com/office/excel/2006/main">
          <x14:cfRule type="dataBar" id="{7321E5C0-BEAF-48B0-9E4C-58EA89B34D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157" id="{664B6A51-9662-4360-8AF8-F031FFC46E8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  <x14:conditionalFormatting xmlns:xm="http://schemas.microsoft.com/office/excel/2006/main">
          <x14:cfRule type="iconSet" priority="86" id="{7ADA460F-A62C-4FF4-AC18-9AE45D10E0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275" id="{255F2D01-579B-4547-8A03-19F5A0D58F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J8:J14 J6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AC398"/>
  <sheetViews>
    <sheetView workbookViewId="0">
      <selection activeCell="C6" sqref="C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8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2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9" width="11.5703125" style="32" customWidth="1"/>
    <col min="20" max="20" width="12.7109375" style="32" customWidth="1"/>
    <col min="21" max="21" width="11.28515625" style="32" customWidth="1"/>
    <col min="22" max="23" width="11.42578125" style="32" customWidth="1"/>
    <col min="24" max="25" width="11.28515625" style="32" customWidth="1"/>
    <col min="26" max="26" width="11.5703125" style="32" customWidth="1"/>
    <col min="27" max="27" width="11.140625" style="32" customWidth="1"/>
    <col min="28" max="28" width="11.28515625" style="32" customWidth="1"/>
    <col min="29" max="16384" width="9.140625" style="32"/>
  </cols>
  <sheetData>
    <row r="1" spans="1:29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s="626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394" t="s">
        <v>128</v>
      </c>
      <c r="Y3" s="394" t="s">
        <v>129</v>
      </c>
      <c r="Z3" s="394" t="s">
        <v>130</v>
      </c>
      <c r="AA3" s="394" t="s">
        <v>131</v>
      </c>
      <c r="AB3" s="394" t="s">
        <v>132</v>
      </c>
      <c r="AC3" s="394" t="s">
        <v>233</v>
      </c>
    </row>
    <row r="4" spans="1:29" s="118" customFormat="1" x14ac:dyDescent="0.2">
      <c r="A4" s="118" t="s">
        <v>731</v>
      </c>
      <c r="B4" s="116" t="s">
        <v>399</v>
      </c>
      <c r="C4" s="118" t="s">
        <v>134</v>
      </c>
      <c r="D4" s="119" t="e">
        <f t="shared" ref="D4:D12" ca="1" si="0">Q4/$Q$13</f>
        <v>#NAME?</v>
      </c>
      <c r="E4" s="120">
        <f>$F$43</f>
        <v>43000</v>
      </c>
      <c r="F4" s="418" t="e">
        <f ca="1">$H$43</f>
        <v>#NAME?</v>
      </c>
      <c r="G4" s="181" t="e">
        <f ca="1">_xll.BDP(C4,"PX LAST")</f>
        <v>#NAME?</v>
      </c>
      <c r="H4" s="612" t="e">
        <f ca="1">_xll.BDP($C4,"BEST_TARGET_PRICE")</f>
        <v>#NAME?</v>
      </c>
      <c r="I4" s="611" t="e">
        <f ca="1">H4/G4-1</f>
        <v>#NAME?</v>
      </c>
      <c r="J4" s="181" t="e">
        <f ca="1">_xll.BDP($C4,"EQY_REC_CONS")</f>
        <v>#NAME?</v>
      </c>
      <c r="K4" s="18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$K$43</f>
        <v>#NAME?</v>
      </c>
      <c r="O4" s="120" t="e">
        <f ca="1">$J$43</f>
        <v>#NAME?</v>
      </c>
      <c r="P4" s="120" t="e">
        <f ca="1">E4*G4/100*$K$1*$I$1</f>
        <v>#NAME?</v>
      </c>
      <c r="Q4" s="120" t="e">
        <f ca="1">P4/$I$1</f>
        <v>#NAME?</v>
      </c>
      <c r="R4" s="123" t="e">
        <f t="shared" ref="R4:S8" ca="1" si="1">P4-N4</f>
        <v>#NAME?</v>
      </c>
      <c r="S4" s="123" t="e">
        <f t="shared" ca="1" si="1"/>
        <v>#NAME?</v>
      </c>
      <c r="T4" s="268" t="e">
        <f ca="1">_xll.BDP($C4,"EQY_DVD_YLD_EST")</f>
        <v>#NAME?</v>
      </c>
      <c r="U4" s="200" t="e">
        <f ca="1">Q4</f>
        <v>#NAME?</v>
      </c>
      <c r="V4" s="406" t="e">
        <f ca="1">_xll.BDP($C4,"DVD_EX_DT")</f>
        <v>#NAME?</v>
      </c>
      <c r="W4" s="406" t="e">
        <f ca="1">_xll.BDP($C4,"BDVD_NEXT_EST_DECL_DT")</f>
        <v>#NAME?</v>
      </c>
      <c r="X4" s="125" t="e">
        <f ca="1">_xll.BDP($C4,"CHG_PCT_YTD")</f>
        <v>#NAME?</v>
      </c>
      <c r="Y4" s="125" t="e">
        <f ca="1">_xll.BDP($C4,"CHG_PCT_1YR")</f>
        <v>#NAME?</v>
      </c>
      <c r="Z4" s="125" t="e">
        <f ca="1">_xll.BDP($C4,"CHG_PCT_6M")</f>
        <v>#NAME?</v>
      </c>
      <c r="AA4" s="125" t="e">
        <f ca="1">_xll.BDP($C4,"CHG_PCT_3M")</f>
        <v>#NAME?</v>
      </c>
      <c r="AB4" s="125" t="e">
        <f ca="1">_xll.BDP($C4,"CHG_PCT_1M")</f>
        <v>#NAME?</v>
      </c>
      <c r="AC4" s="125" t="e">
        <f ca="1">_xll.BDP($C4,"CHG_PCT_5D")</f>
        <v>#NAME?</v>
      </c>
    </row>
    <row r="5" spans="1:29" s="118" customFormat="1" x14ac:dyDescent="0.2">
      <c r="A5" s="118" t="s">
        <v>731</v>
      </c>
      <c r="B5" s="116" t="s">
        <v>96</v>
      </c>
      <c r="C5" s="118" t="s">
        <v>2</v>
      </c>
      <c r="D5" s="119" t="e">
        <f t="shared" ca="1" si="0"/>
        <v>#NAME?</v>
      </c>
      <c r="E5" s="120">
        <f>$F$32</f>
        <v>3200</v>
      </c>
      <c r="F5" s="186">
        <f>$H$32</f>
        <v>697.32090000000017</v>
      </c>
      <c r="G5" s="181" t="e">
        <f ca="1">_xll.BDP(C5,"PX LAST")</f>
        <v>#NAME?</v>
      </c>
      <c r="H5" s="612" t="e">
        <f ca="1">_xll.BDP($C5,"BEST_TARGET_PRICE")</f>
        <v>#NAME?</v>
      </c>
      <c r="I5" s="611" t="e">
        <f ca="1">H5/G5-1</f>
        <v>#NAME?</v>
      </c>
      <c r="J5" s="181" t="e">
        <f ca="1">_xll.BDP($C5,"EQY_REC_CONS")</f>
        <v>#NAME?</v>
      </c>
      <c r="K5" s="18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>
        <f>E5*F5</f>
        <v>2231426.8800000004</v>
      </c>
      <c r="O5" s="120" t="e">
        <f ca="1">$J$32</f>
        <v>#NAME?</v>
      </c>
      <c r="P5" s="120" t="e">
        <f ca="1">E5*G5</f>
        <v>#NAME?</v>
      </c>
      <c r="Q5" s="120" t="e">
        <f ca="1">P5/$I$1</f>
        <v>#NAME?</v>
      </c>
      <c r="R5" s="123" t="e">
        <f t="shared" ca="1" si="1"/>
        <v>#NAME?</v>
      </c>
      <c r="S5" s="123" t="e">
        <f t="shared" ca="1" si="1"/>
        <v>#NAME?</v>
      </c>
      <c r="T5" s="268" t="e">
        <f ca="1">_xll.BDP($C5,"EQY_DVD_YLD_EST")</f>
        <v>#NAME?</v>
      </c>
      <c r="U5" s="200" t="e">
        <f ca="1">Q5</f>
        <v>#NAME?</v>
      </c>
      <c r="V5" s="406" t="e">
        <f ca="1">_xll.BDP($C5,"DVD_EX_DT")</f>
        <v>#NAME?</v>
      </c>
      <c r="W5" s="406" t="e">
        <f ca="1">_xll.BDP($C5,"BDVD_NEXT_EST_DECL_DT")</f>
        <v>#NAME?</v>
      </c>
      <c r="X5" s="125" t="e">
        <f ca="1">_xll.BDP($C5,"CHG_PCT_YTD")</f>
        <v>#NAME?</v>
      </c>
      <c r="Y5" s="125" t="e">
        <f ca="1">_xll.BDP($C5,"CHG_PCT_1YR")</f>
        <v>#NAME?</v>
      </c>
      <c r="Z5" s="125" t="e">
        <f ca="1">_xll.BDP($C5,"CHG_PCT_6M")</f>
        <v>#NAME?</v>
      </c>
      <c r="AA5" s="125" t="e">
        <f ca="1">_xll.BDP($C5,"CHG_PCT_3M")</f>
        <v>#NAME?</v>
      </c>
      <c r="AB5" s="125" t="e">
        <f ca="1">_xll.BDP($C5,"CHG_PCT_1M")</f>
        <v>#NAME?</v>
      </c>
      <c r="AC5" s="125" t="e">
        <f ca="1">_xll.BDP($C5,"CHG_PCT_5D")</f>
        <v>#NAME?</v>
      </c>
    </row>
    <row r="6" spans="1:29" s="118" customFormat="1" x14ac:dyDescent="0.2">
      <c r="A6" s="118" t="s">
        <v>731</v>
      </c>
      <c r="B6" s="116" t="s">
        <v>402</v>
      </c>
      <c r="C6" s="118" t="s">
        <v>35</v>
      </c>
      <c r="D6" s="119" t="e">
        <f t="shared" ca="1" si="0"/>
        <v>#NAME?</v>
      </c>
      <c r="E6" s="120">
        <f>$F$46</f>
        <v>535</v>
      </c>
      <c r="F6" s="419">
        <f>$H$46</f>
        <v>9345</v>
      </c>
      <c r="G6" s="120" t="e">
        <f ca="1">_xll.BDP(C6,"PX LAST")</f>
        <v>#NAME?</v>
      </c>
      <c r="H6" s="612" t="e">
        <f ca="1">_xll.BDP($C6,"BEST_TARGET_PRICE")</f>
        <v>#NAME?</v>
      </c>
      <c r="I6" s="611" t="e">
        <f ca="1">H6/G6-1</f>
        <v>#NAME?</v>
      </c>
      <c r="J6" s="181" t="e">
        <f ca="1">_xll.BDP($C6,"EQY_REC_CONS")</f>
        <v>#NAME?</v>
      </c>
      <c r="K6" s="18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4999575</v>
      </c>
      <c r="O6" s="120" t="e">
        <f ca="1">$J$46</f>
        <v>#NAME?</v>
      </c>
      <c r="P6" s="120" t="e">
        <f ca="1">E6*G6</f>
        <v>#NAME?</v>
      </c>
      <c r="Q6" s="120" t="e">
        <f ca="1">P6/$I$1</f>
        <v>#NAME?</v>
      </c>
      <c r="R6" s="123" t="e">
        <f t="shared" ca="1" si="1"/>
        <v>#NAME?</v>
      </c>
      <c r="S6" s="123" t="e">
        <f t="shared" ca="1" si="1"/>
        <v>#NAME?</v>
      </c>
      <c r="T6" s="268" t="e">
        <f ca="1">_xll.BDP($C6,"EQY_DVD_YLD_EST")</f>
        <v>#NAME?</v>
      </c>
      <c r="U6" s="200" t="e">
        <f ca="1">Q6</f>
        <v>#NAME?</v>
      </c>
      <c r="V6" s="406" t="e">
        <f ca="1">_xll.BDP($C6,"DVD_EX_DT")</f>
        <v>#NAME?</v>
      </c>
      <c r="W6" s="406" t="e">
        <f ca="1">_xll.BDP($C6,"BDVD_NEXT_EST_DECL_DT")</f>
        <v>#NAME?</v>
      </c>
      <c r="X6" s="125" t="e">
        <f ca="1">_xll.BDP($C6,"CHG_PCT_YTD")</f>
        <v>#NAME?</v>
      </c>
      <c r="Y6" s="125" t="e">
        <f ca="1">_xll.BDP($C6,"CHG_PCT_1YR")</f>
        <v>#NAME?</v>
      </c>
      <c r="Z6" s="125" t="e">
        <f ca="1">_xll.BDP($C6,"CHG_PCT_6M")</f>
        <v>#NAME?</v>
      </c>
      <c r="AA6" s="125" t="e">
        <f ca="1">_xll.BDP($C6,"CHG_PCT_3M")</f>
        <v>#NAME?</v>
      </c>
      <c r="AB6" s="125" t="e">
        <f ca="1">_xll.BDP($C6,"CHG_PCT_1M")</f>
        <v>#NAME?</v>
      </c>
      <c r="AC6" s="125" t="e">
        <f ca="1">_xll.BDP($C6,"CHG_PCT_5D")</f>
        <v>#NAME?</v>
      </c>
    </row>
    <row r="7" spans="1:29" s="118" customFormat="1" x14ac:dyDescent="0.2">
      <c r="A7" s="118" t="s">
        <v>731</v>
      </c>
      <c r="B7" s="116" t="s">
        <v>183</v>
      </c>
      <c r="C7" s="118" t="s">
        <v>44</v>
      </c>
      <c r="D7" s="119" t="e">
        <f t="shared" ca="1" si="0"/>
        <v>#NAME?</v>
      </c>
      <c r="E7" s="120">
        <f>$F$26</f>
        <v>631900</v>
      </c>
      <c r="F7" s="186">
        <f>$H$26</f>
        <v>40.385978999999999</v>
      </c>
      <c r="G7" s="181" t="e">
        <f ca="1">_xll.BDP(C7,"PX LAST")</f>
        <v>#NAME?</v>
      </c>
      <c r="H7" s="612" t="e">
        <f ca="1">_xll.BDP($C7,"BEST_TARGET_PRICE")</f>
        <v>#NAME?</v>
      </c>
      <c r="I7" s="611" t="e">
        <f ca="1">H7/G7-1</f>
        <v>#NAME?</v>
      </c>
      <c r="J7" s="181" t="e">
        <f ca="1">_xll.BDP($C7,"EQY_REC_CONS")</f>
        <v>#NAME?</v>
      </c>
      <c r="K7" s="18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25519900.130100001</v>
      </c>
      <c r="O7" s="120" t="e">
        <f ca="1">$J$26</f>
        <v>#NAME?</v>
      </c>
      <c r="P7" s="120" t="e">
        <f ca="1">E7*G7</f>
        <v>#NAME?</v>
      </c>
      <c r="Q7" s="120" t="e">
        <f ca="1">P7/$I$1</f>
        <v>#NAME?</v>
      </c>
      <c r="R7" s="123" t="e">
        <f t="shared" ca="1" si="1"/>
        <v>#NAME?</v>
      </c>
      <c r="S7" s="123" t="e">
        <f t="shared" ca="1" si="1"/>
        <v>#NAME?</v>
      </c>
      <c r="T7" s="268" t="e">
        <f ca="1">_xll.BDP($C7,"EQY_DVD_YLD_EST")</f>
        <v>#NAME?</v>
      </c>
      <c r="U7" s="200" t="e">
        <f ca="1">Q7</f>
        <v>#NAME?</v>
      </c>
      <c r="V7" s="406" t="e">
        <f ca="1">_xll.BDP($C7,"DVD_EX_DT")</f>
        <v>#NAME?</v>
      </c>
      <c r="W7" s="406" t="e">
        <f ca="1">_xll.BDP($C7,"BDVD_NEXT_EST_DECL_DT")</f>
        <v>#NAME?</v>
      </c>
      <c r="X7" s="125" t="e">
        <f ca="1">_xll.BDP($C7,"CHG_PCT_YTD")</f>
        <v>#NAME?</v>
      </c>
      <c r="Y7" s="125" t="e">
        <f ca="1">_xll.BDP($C7,"CHG_PCT_1YR")</f>
        <v>#NAME?</v>
      </c>
      <c r="Z7" s="125" t="e">
        <f ca="1">_xll.BDP($C7,"CHG_PCT_6M")</f>
        <v>#NAME?</v>
      </c>
      <c r="AA7" s="125" t="e">
        <f ca="1">_xll.BDP($C7,"CHG_PCT_3M")</f>
        <v>#NAME?</v>
      </c>
      <c r="AB7" s="125" t="e">
        <f ca="1">_xll.BDP($C7,"CHG_PCT_1M")</f>
        <v>#NAME?</v>
      </c>
      <c r="AC7" s="125" t="e">
        <f ca="1">_xll.BDP($C7,"CHG_PCT_5D")</f>
        <v>#NAME?</v>
      </c>
    </row>
    <row r="8" spans="1:29" s="118" customFormat="1" x14ac:dyDescent="0.2">
      <c r="A8" s="118" t="s">
        <v>731</v>
      </c>
      <c r="B8" s="116" t="s">
        <v>153</v>
      </c>
      <c r="C8" s="118" t="s">
        <v>7</v>
      </c>
      <c r="D8" s="119" t="e">
        <f t="shared" ca="1" si="0"/>
        <v>#NAME?</v>
      </c>
      <c r="E8" s="120">
        <v>175470</v>
      </c>
      <c r="F8" s="186">
        <f>$H$37</f>
        <v>131.73934336875246</v>
      </c>
      <c r="G8" s="181" t="e">
        <f ca="1">_xll.BDP(C8,"PX LAST")</f>
        <v>#NAME?</v>
      </c>
      <c r="H8" s="612" t="e">
        <f ca="1">_xll.BDP($C8,"BEST_TARGET_PRICE")</f>
        <v>#NAME?</v>
      </c>
      <c r="I8" s="611" t="e">
        <f ca="1">H8/G8-1</f>
        <v>#NAME?</v>
      </c>
      <c r="J8" s="181" t="e">
        <f ca="1">_xll.BDP($C8,"EQY_REC_CONS")</f>
        <v>#NAME?</v>
      </c>
      <c r="K8" s="182" t="e">
        <f ca="1">_xll.BDP($C8,"CRNCY")</f>
        <v>#NAME?</v>
      </c>
      <c r="L8" s="119" t="e">
        <f ca="1">G8/F8-1</f>
        <v>#NAME?</v>
      </c>
      <c r="M8" s="119" t="e">
        <f ca="1">Q8/O8-1</f>
        <v>#NAME?</v>
      </c>
      <c r="N8" s="120">
        <f>E8*F8</f>
        <v>23116302.580914993</v>
      </c>
      <c r="O8" s="120" t="e">
        <f ca="1">$J$37</f>
        <v>#NAME?</v>
      </c>
      <c r="P8" s="120" t="e">
        <f ca="1">E8*G8</f>
        <v>#NAME?</v>
      </c>
      <c r="Q8" s="120" t="e">
        <f ca="1">P8/$I$1</f>
        <v>#NAME?</v>
      </c>
      <c r="R8" s="123" t="e">
        <f t="shared" ca="1" si="1"/>
        <v>#NAME?</v>
      </c>
      <c r="S8" s="123" t="e">
        <f t="shared" ca="1" si="1"/>
        <v>#NAME?</v>
      </c>
      <c r="T8" s="268" t="e">
        <f ca="1">_xll.BDP($C8,"EQY_DVD_YLD_EST")</f>
        <v>#NAME?</v>
      </c>
      <c r="U8" s="200" t="e">
        <f ca="1">Q8</f>
        <v>#NAME?</v>
      </c>
      <c r="V8" s="406" t="e">
        <f ca="1">_xll.BDP($C8,"DVD_EX_DT")</f>
        <v>#NAME?</v>
      </c>
      <c r="W8" s="406" t="e">
        <f ca="1">_xll.BDP($C8,"BDVD_NEXT_EST_DECL_DT")</f>
        <v>#NAME?</v>
      </c>
      <c r="X8" s="125" t="e">
        <f ca="1">_xll.BDP($C8,"CHG_PCT_YTD")</f>
        <v>#NAME?</v>
      </c>
      <c r="Y8" s="125" t="e">
        <f ca="1">_xll.BDP($C8,"CHG_PCT_1YR")</f>
        <v>#NAME?</v>
      </c>
      <c r="Z8" s="125" t="e">
        <f ca="1">_xll.BDP($C8,"CHG_PCT_6M")</f>
        <v>#NAME?</v>
      </c>
      <c r="AA8" s="125" t="e">
        <f ca="1">_xll.BDP($C8,"CHG_PCT_3M")</f>
        <v>#NAME?</v>
      </c>
      <c r="AB8" s="125" t="e">
        <f ca="1">_xll.BDP($C8,"CHG_PCT_1M")</f>
        <v>#NAME?</v>
      </c>
      <c r="AC8" s="125" t="e">
        <f ca="1">_xll.BDP($C8,"CHG_PCT_5D")</f>
        <v>#NAME?</v>
      </c>
    </row>
    <row r="9" spans="1:29" s="440" customFormat="1" x14ac:dyDescent="0.2">
      <c r="A9" s="440" t="s">
        <v>731</v>
      </c>
      <c r="B9" s="441" t="e">
        <f ca="1">_xll.BDP(C9,"SECURITY_NAME")</f>
        <v>#NAME?</v>
      </c>
      <c r="C9" s="481" t="s">
        <v>163</v>
      </c>
      <c r="D9" s="442" t="e">
        <f t="shared" ca="1" si="0"/>
        <v>#NAME?</v>
      </c>
      <c r="E9" s="443">
        <f>$F$29</f>
        <v>200000</v>
      </c>
      <c r="F9" s="468">
        <f>$H$29</f>
        <v>100.49999999999999</v>
      </c>
      <c r="G9" s="444" t="e">
        <f ca="1">_xll.BDP(C9,"PX_ASK")</f>
        <v>#NAME?</v>
      </c>
      <c r="K9" s="445" t="e">
        <f ca="1">_xll.BDP($C9,"CRNCY")</f>
        <v>#NAME?</v>
      </c>
      <c r="L9" s="442" t="e">
        <f ca="1">P9/N9-1</f>
        <v>#NAME?</v>
      </c>
      <c r="M9" s="442" t="e">
        <f ca="1">G9/F9-1</f>
        <v>#NAME?</v>
      </c>
      <c r="N9" s="443" t="e">
        <f ca="1">$K$29</f>
        <v>#NAME?</v>
      </c>
      <c r="O9" s="443">
        <f>E9*F9/100</f>
        <v>200999.99999999997</v>
      </c>
      <c r="P9" s="443" t="e">
        <f ca="1">E9*G9/100*$I$1</f>
        <v>#NAME?</v>
      </c>
      <c r="Q9" s="443" t="e">
        <f t="shared" ref="Q9:Q11" ca="1" si="2">P9/$I$1</f>
        <v>#NAME?</v>
      </c>
      <c r="R9" s="446" t="e">
        <f t="shared" ref="R9:S11" ca="1" si="3">P9-N9</f>
        <v>#NAME?</v>
      </c>
      <c r="S9" s="446" t="e">
        <f t="shared" ca="1" si="3"/>
        <v>#NAME?</v>
      </c>
      <c r="T9" s="482" t="e">
        <f ca="1">_xll.BDP(C9,"YLD_YTM_BID")</f>
        <v>#NAME?</v>
      </c>
      <c r="U9" s="463" t="e">
        <f ca="1">E9*_xll.BDP(C9,"PX_GROSS_ASK")/100</f>
        <v>#NAME?</v>
      </c>
      <c r="V9" s="448"/>
      <c r="X9" s="448" t="e">
        <f ca="1">_xll.BDP($C9,"CHG_PCT_YTD")</f>
        <v>#NAME?</v>
      </c>
      <c r="Y9" s="448" t="e">
        <f ca="1">_xll.BDP($C9,"CHG_PCT_1YR")</f>
        <v>#NAME?</v>
      </c>
      <c r="Z9" s="448" t="e">
        <f ca="1">_xll.BDP($C9,"CHG_PCT_6M")</f>
        <v>#NAME?</v>
      </c>
      <c r="AA9" s="448" t="e">
        <f ca="1">_xll.BDP($C9,"CHG_PCT_3M")</f>
        <v>#NAME?</v>
      </c>
      <c r="AB9" s="448" t="e">
        <f ca="1">_xll.BDP($C9,"CHG_PCT_1M")</f>
        <v>#NAME?</v>
      </c>
      <c r="AC9" s="448" t="e">
        <f ca="1">_xll.BDP($C9,"CHG_PCT_5D")</f>
        <v>#NAME?</v>
      </c>
    </row>
    <row r="10" spans="1:29" s="440" customFormat="1" x14ac:dyDescent="0.2">
      <c r="A10" s="440" t="s">
        <v>731</v>
      </c>
      <c r="B10" s="441" t="e">
        <f ca="1">_xll.BDP(C10,"SECURITY_NAME")</f>
        <v>#NAME?</v>
      </c>
      <c r="C10" s="483" t="s">
        <v>697</v>
      </c>
      <c r="D10" s="442" t="e">
        <f t="shared" ca="1" si="0"/>
        <v>#NAME?</v>
      </c>
      <c r="E10" s="443">
        <f>$F$40</f>
        <v>200000</v>
      </c>
      <c r="F10" s="468">
        <f>$H$40</f>
        <v>91.5</v>
      </c>
      <c r="G10" s="444" t="e">
        <f ca="1">_xll.BDP(C10,"PX_ASK")</f>
        <v>#NAME?</v>
      </c>
      <c r="K10" s="445" t="e">
        <f ca="1">_xll.BDP($C10,"CRNCY")</f>
        <v>#NAME?</v>
      </c>
      <c r="L10" s="442" t="e">
        <f ca="1">P10/N10-1</f>
        <v>#NAME?</v>
      </c>
      <c r="M10" s="442" t="e">
        <f ca="1">G10/F10-1</f>
        <v>#NAME?</v>
      </c>
      <c r="N10" s="443" t="e">
        <f ca="1">$K$40</f>
        <v>#NAME?</v>
      </c>
      <c r="O10" s="443">
        <f>E10*F10/100</f>
        <v>183000</v>
      </c>
      <c r="P10" s="443" t="e">
        <f ca="1">E10*G10/100*$I$1</f>
        <v>#NAME?</v>
      </c>
      <c r="Q10" s="443" t="e">
        <f ca="1">P10/$I$1</f>
        <v>#NAME?</v>
      </c>
      <c r="R10" s="446" t="e">
        <f t="shared" ca="1" si="3"/>
        <v>#NAME?</v>
      </c>
      <c r="S10" s="446" t="e">
        <f t="shared" ca="1" si="3"/>
        <v>#NAME?</v>
      </c>
      <c r="T10" s="482" t="e">
        <f ca="1">_xll.BDP(C10,"YLD_YTM_BID")</f>
        <v>#NAME?</v>
      </c>
      <c r="U10" s="463" t="e">
        <f ca="1">E10*_xll.BDP(C10,"PX_GROSS_ASK")/100</f>
        <v>#NAME?</v>
      </c>
      <c r="V10" s="448"/>
      <c r="X10" s="448" t="e">
        <f ca="1">_xll.BDP($C10,"CHG_PCT_YTD")</f>
        <v>#NAME?</v>
      </c>
      <c r="Y10" s="448" t="e">
        <f ca="1">_xll.BDP($C10,"CHG_PCT_1YR")</f>
        <v>#NAME?</v>
      </c>
      <c r="Z10" s="448" t="e">
        <f ca="1">_xll.BDP($C10,"CHG_PCT_6M")</f>
        <v>#NAME?</v>
      </c>
      <c r="AA10" s="448" t="e">
        <f ca="1">_xll.BDP($C10,"CHG_PCT_3M")</f>
        <v>#NAME?</v>
      </c>
      <c r="AB10" s="448" t="e">
        <f ca="1">_xll.BDP($C10,"CHG_PCT_1M")</f>
        <v>#NAME?</v>
      </c>
      <c r="AC10" s="448" t="e">
        <f ca="1">_xll.BDP($C10,"CHG_PCT_5D")</f>
        <v>#NAME?</v>
      </c>
    </row>
    <row r="11" spans="1:29" s="440" customFormat="1" x14ac:dyDescent="0.2">
      <c r="A11" s="440" t="s">
        <v>731</v>
      </c>
      <c r="B11" s="441" t="e">
        <f ca="1">_xll.BDP(C11,"SECURITY_NAME")</f>
        <v>#NAME?</v>
      </c>
      <c r="C11" s="483" t="s">
        <v>156</v>
      </c>
      <c r="D11" s="442" t="e">
        <f t="shared" ca="1" si="0"/>
        <v>#NAME?</v>
      </c>
      <c r="E11" s="443">
        <f>$F$49</f>
        <v>200000</v>
      </c>
      <c r="F11" s="468">
        <f>$H$49</f>
        <v>104</v>
      </c>
      <c r="G11" s="444" t="e">
        <f ca="1">_xll.BDP(C11,"PX_ASK")</f>
        <v>#NAME?</v>
      </c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$K$49</f>
        <v>#NAME?</v>
      </c>
      <c r="O11" s="443">
        <f>E11*F11/100</f>
        <v>208000</v>
      </c>
      <c r="P11" s="443" t="e">
        <f ca="1">E11*G11/100*$I$1</f>
        <v>#NAME?</v>
      </c>
      <c r="Q11" s="443" t="e">
        <f t="shared" ca="1" si="2"/>
        <v>#NAME?</v>
      </c>
      <c r="R11" s="446" t="e">
        <f t="shared" ca="1" si="3"/>
        <v>#NAME?</v>
      </c>
      <c r="S11" s="446" t="e">
        <f t="shared" ca="1" si="3"/>
        <v>#NAME?</v>
      </c>
      <c r="T11" s="482" t="e">
        <f ca="1">_xll.BDP(C11,"YLD_YTM_BID")</f>
        <v>#NAME?</v>
      </c>
      <c r="U11" s="463" t="e">
        <f ca="1">E11*_xll.BDP(C11,"PX_GROSS_ASK")/100</f>
        <v>#NAME?</v>
      </c>
      <c r="V11" s="448"/>
      <c r="X11" s="448" t="e">
        <f ca="1">_xll.BDP($C11,"CHG_PCT_YTD")</f>
        <v>#NAME?</v>
      </c>
      <c r="Y11" s="448" t="e">
        <f ca="1">_xll.BDP($C11,"CHG_PCT_1YR")</f>
        <v>#NAME?</v>
      </c>
      <c r="Z11" s="448" t="e">
        <f ca="1">_xll.BDP($C11,"CHG_PCT_6M")</f>
        <v>#NAME?</v>
      </c>
      <c r="AA11" s="448" t="e">
        <f ca="1">_xll.BDP($C11,"CHG_PCT_3M")</f>
        <v>#NAME?</v>
      </c>
      <c r="AB11" s="448" t="e">
        <f ca="1">_xll.BDP($C11,"CHG_PCT_1M")</f>
        <v>#NAME?</v>
      </c>
      <c r="AC11" s="448" t="e">
        <f ca="1">_xll.BDP($C11,"CHG_PCT_5D")</f>
        <v>#NAME?</v>
      </c>
    </row>
    <row r="12" spans="1:29" x14ac:dyDescent="0.2">
      <c r="B12" s="68" t="s">
        <v>106</v>
      </c>
      <c r="C12" s="68" t="s">
        <v>106</v>
      </c>
      <c r="D12" s="101" t="e">
        <f t="shared" ca="1" si="0"/>
        <v>#NAME?</v>
      </c>
      <c r="E12" s="101"/>
      <c r="F12" s="101"/>
      <c r="G12" s="66"/>
      <c r="H12" s="66"/>
      <c r="I12" s="66"/>
      <c r="J12" s="66"/>
      <c r="K12" s="177"/>
      <c r="L12" s="179"/>
      <c r="M12" s="179"/>
      <c r="N12" s="64"/>
      <c r="O12" s="177"/>
      <c r="P12" s="64"/>
      <c r="Q12" s="64">
        <v>0</v>
      </c>
      <c r="R12" s="62"/>
      <c r="S12" s="62"/>
      <c r="T12" s="62"/>
      <c r="U12" s="187">
        <f>Q12</f>
        <v>0</v>
      </c>
      <c r="V12" s="177"/>
      <c r="W12" s="177"/>
      <c r="X12" s="177"/>
      <c r="Y12" s="177"/>
      <c r="Z12" s="177"/>
      <c r="AA12" s="177"/>
      <c r="AB12" s="177"/>
      <c r="AC12" s="177"/>
    </row>
    <row r="13" spans="1:29" ht="13.5" customHeight="1" thickBot="1" x14ac:dyDescent="0.25">
      <c r="B13" s="175"/>
      <c r="C13" s="175"/>
      <c r="D13" s="59" t="e">
        <f ca="1">SUM(D4:D12)</f>
        <v>#NAME?</v>
      </c>
      <c r="E13" s="176"/>
      <c r="F13" s="176"/>
      <c r="G13" s="175"/>
      <c r="H13" s="175"/>
      <c r="I13" s="624" t="e">
        <f ca="1">SUMPRODUCT($D$4:$D$11,I4:I11)</f>
        <v>#NAME?</v>
      </c>
      <c r="J13" s="175"/>
      <c r="K13" s="55"/>
      <c r="L13" s="624" t="e">
        <f ca="1">SUMPRODUCT($D$4:$D$11,L4:L11)</f>
        <v>#NAME?</v>
      </c>
      <c r="M13" s="624" t="e">
        <f ca="1">SUMPRODUCT($D$4:$D$11,M4:M11)</f>
        <v>#NAME?</v>
      </c>
      <c r="N13" s="184" t="e">
        <f t="shared" ref="N13:S13" ca="1" si="4">SUM(N4:N12)</f>
        <v>#NAME?</v>
      </c>
      <c r="O13" s="184" t="e">
        <f t="shared" ca="1" si="4"/>
        <v>#NAME?</v>
      </c>
      <c r="P13" s="184" t="e">
        <f t="shared" ca="1" si="4"/>
        <v>#NAME?</v>
      </c>
      <c r="Q13" s="184" t="e">
        <f t="shared" ca="1" si="4"/>
        <v>#NAME?</v>
      </c>
      <c r="R13" s="184" t="e">
        <f t="shared" ca="1" si="4"/>
        <v>#NAME?</v>
      </c>
      <c r="S13" s="184" t="e">
        <f t="shared" ca="1" si="4"/>
        <v>#NAME?</v>
      </c>
      <c r="T13" s="492" t="e">
        <f ca="1">SUMPRODUCT(D4:D11,T4:T11)</f>
        <v>#NAME?</v>
      </c>
      <c r="U13" s="55" t="e">
        <f ca="1">SUM(U4:U12)</f>
        <v>#NAME?</v>
      </c>
      <c r="V13" s="55"/>
      <c r="W13" s="55"/>
      <c r="X13" s="55"/>
      <c r="Y13" s="55"/>
      <c r="Z13" s="55"/>
      <c r="AA13" s="55"/>
      <c r="AB13" s="55"/>
      <c r="AC13" s="55"/>
    </row>
    <row r="14" spans="1:29" ht="13.5" customHeight="1" x14ac:dyDescent="0.2">
      <c r="B14" s="35"/>
      <c r="C14" s="35"/>
      <c r="D14" s="54"/>
      <c r="E14" s="46"/>
      <c r="F14" s="46"/>
      <c r="G14" s="35"/>
      <c r="I14" s="33" t="s">
        <v>794</v>
      </c>
      <c r="K14" s="35"/>
      <c r="L14" s="40"/>
      <c r="M14" s="40"/>
      <c r="N14" s="40"/>
      <c r="O14" s="130"/>
      <c r="P14" s="52"/>
      <c r="Q14" s="53"/>
      <c r="R14" s="98"/>
      <c r="S14" s="836" t="s">
        <v>771</v>
      </c>
      <c r="T14" s="836"/>
      <c r="U14" s="836"/>
      <c r="V14" s="729"/>
      <c r="W14" s="729"/>
    </row>
    <row r="15" spans="1:29" x14ac:dyDescent="0.2">
      <c r="E15" s="155"/>
      <c r="K15" s="30"/>
      <c r="L15" s="148"/>
      <c r="M15" s="35"/>
      <c r="N15" s="34"/>
      <c r="O15" s="34"/>
      <c r="P15" s="30"/>
      <c r="Q15" s="728"/>
      <c r="R15" s="728"/>
      <c r="S15" s="837"/>
      <c r="T15" s="837"/>
      <c r="U15" s="837"/>
    </row>
    <row r="16" spans="1:29" x14ac:dyDescent="0.2">
      <c r="B16" s="32" t="s">
        <v>276</v>
      </c>
      <c r="E16" s="155"/>
      <c r="M16" s="35"/>
      <c r="N16" s="34"/>
      <c r="O16" s="34"/>
      <c r="P16" s="30"/>
      <c r="Q16" s="728"/>
      <c r="R16" s="728"/>
      <c r="S16" s="728"/>
      <c r="T16" s="728"/>
    </row>
    <row r="17" spans="2:20" x14ac:dyDescent="0.2">
      <c r="B17" s="379">
        <v>2016</v>
      </c>
      <c r="M17" s="35"/>
      <c r="N17" s="34"/>
      <c r="O17" s="34"/>
      <c r="P17" s="30"/>
      <c r="Q17" s="728"/>
      <c r="R17" s="728"/>
      <c r="S17" s="728"/>
      <c r="T17" s="728"/>
    </row>
    <row r="18" spans="2:20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20" x14ac:dyDescent="0.2">
      <c r="B19" s="103" t="s">
        <v>153</v>
      </c>
      <c r="C19" s="41" t="s">
        <v>54</v>
      </c>
      <c r="D19" s="73" t="s">
        <v>51</v>
      </c>
      <c r="E19" s="43" t="e">
        <f ca="1">F19*_xll.BDP(C19,"PX_LAST")</f>
        <v>#NAME?</v>
      </c>
      <c r="F19" s="43">
        <v>355740</v>
      </c>
      <c r="G19" s="104">
        <v>177870</v>
      </c>
      <c r="H19" s="47">
        <f>G19/F19</f>
        <v>0.5</v>
      </c>
      <c r="I19" s="43">
        <f>G19*K19</f>
        <v>23432593.800000001</v>
      </c>
      <c r="J19" s="45">
        <f>G19*L19</f>
        <v>25626354.867960002</v>
      </c>
      <c r="K19" s="38">
        <v>131.74</v>
      </c>
      <c r="L19" s="38">
        <v>144.073508</v>
      </c>
      <c r="M19" s="119">
        <f>L19/K19-1</f>
        <v>9.3620069834522424E-2</v>
      </c>
      <c r="N19" s="43">
        <f>J19-I19</f>
        <v>2193761.0679600015</v>
      </c>
      <c r="O19" s="106" t="e">
        <f ca="1">_xll.BDP($C19,"CRNCY")</f>
        <v>#NAME?</v>
      </c>
      <c r="P19" s="43" t="e">
        <f ca="1">N19/R19</f>
        <v>#NAME?</v>
      </c>
      <c r="Q19" s="14">
        <v>42531</v>
      </c>
      <c r="R19" s="22" t="e">
        <f ca="1">_xll.BDH("RUB curncy","PX_LAST",$Q19)</f>
        <v>#NAME?</v>
      </c>
      <c r="S19" s="75"/>
      <c r="T19" s="75"/>
    </row>
    <row r="20" spans="2:20" x14ac:dyDescent="0.2">
      <c r="H20" s="105"/>
      <c r="I20" s="70"/>
      <c r="J20" s="151"/>
      <c r="K20" s="35"/>
      <c r="L20" s="148"/>
      <c r="M20" s="34"/>
    </row>
    <row r="21" spans="2:20" x14ac:dyDescent="0.2">
      <c r="B21" s="32" t="s">
        <v>93</v>
      </c>
      <c r="C21" s="151"/>
      <c r="D21" s="105"/>
      <c r="H21" s="105"/>
      <c r="I21" s="151"/>
      <c r="J21" s="151"/>
      <c r="K21" s="30"/>
    </row>
    <row r="22" spans="2:20" ht="13.5" thickBot="1" x14ac:dyDescent="0.25">
      <c r="C22" s="30"/>
      <c r="D22" s="30"/>
      <c r="G22" s="30"/>
      <c r="H22" s="151"/>
      <c r="I22" s="30"/>
      <c r="J22" s="151"/>
      <c r="K22" s="30"/>
    </row>
    <row r="23" spans="2:20" ht="15" x14ac:dyDescent="0.35">
      <c r="B23" s="26"/>
      <c r="C23" s="26"/>
      <c r="D23" s="26"/>
      <c r="E23" s="26"/>
      <c r="F23" s="26"/>
      <c r="G23" s="26"/>
      <c r="H23" s="28" t="s">
        <v>92</v>
      </c>
      <c r="I23" s="27" t="s">
        <v>91</v>
      </c>
      <c r="J23" s="27" t="s">
        <v>90</v>
      </c>
      <c r="K23" s="27"/>
      <c r="L23" s="27"/>
      <c r="M23" s="26"/>
      <c r="N23" s="26"/>
      <c r="Q23" s="174"/>
    </row>
    <row r="24" spans="2:20" ht="15" x14ac:dyDescent="0.35">
      <c r="B24" s="23" t="s">
        <v>89</v>
      </c>
      <c r="C24" s="23" t="s">
        <v>88</v>
      </c>
      <c r="D24" s="23" t="s">
        <v>87</v>
      </c>
      <c r="E24" s="23" t="s">
        <v>86</v>
      </c>
      <c r="F24" s="23" t="s">
        <v>85</v>
      </c>
      <c r="G24" s="23" t="s">
        <v>84</v>
      </c>
      <c r="H24" s="25" t="s">
        <v>83</v>
      </c>
      <c r="I24" s="24" t="s">
        <v>83</v>
      </c>
      <c r="J24" s="24" t="s">
        <v>75</v>
      </c>
      <c r="K24" s="24" t="s">
        <v>73</v>
      </c>
      <c r="L24" s="24" t="s">
        <v>82</v>
      </c>
      <c r="M24" s="23" t="s">
        <v>81</v>
      </c>
      <c r="N24" s="23" t="s">
        <v>80</v>
      </c>
    </row>
    <row r="25" spans="2:20" x14ac:dyDescent="0.2">
      <c r="B25" s="287" t="s">
        <v>731</v>
      </c>
      <c r="C25" s="287" t="s">
        <v>44</v>
      </c>
      <c r="D25" s="284" t="e">
        <f ca="1">_xll.BDP(C25,"SECURITY_NAME")</f>
        <v>#NAME?</v>
      </c>
      <c r="E25" s="284" t="s">
        <v>50</v>
      </c>
      <c r="F25" s="285">
        <v>631900</v>
      </c>
      <c r="G25" s="284" t="e">
        <f ca="1">_xll.BDP(C25,"CRNCY")</f>
        <v>#NAME?</v>
      </c>
      <c r="H25" s="281">
        <v>40.385978999999999</v>
      </c>
      <c r="I25" s="282">
        <f>F25*H25</f>
        <v>25519900.130100001</v>
      </c>
      <c r="J25" s="283" t="e">
        <f ca="1">I25/L25</f>
        <v>#NAME?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42531</v>
      </c>
    </row>
    <row r="26" spans="2:20" x14ac:dyDescent="0.2">
      <c r="B26" s="279"/>
      <c r="C26" s="279"/>
      <c r="D26" s="278"/>
      <c r="E26" s="278"/>
      <c r="F26" s="277">
        <f>SUM(F25:F25)</f>
        <v>631900</v>
      </c>
      <c r="G26" s="278"/>
      <c r="H26" s="276">
        <f>I26/F26</f>
        <v>40.385978999999999</v>
      </c>
      <c r="I26" s="277">
        <f>SUM(I25:I25)</f>
        <v>25519900.130100001</v>
      </c>
      <c r="J26" s="277" t="e">
        <f ca="1">SUM(J25:J25)</f>
        <v>#NAME?</v>
      </c>
      <c r="K26" s="277" t="e">
        <f ca="1">SUM(K25:K25)</f>
        <v>#NAME?</v>
      </c>
      <c r="L26" s="276"/>
      <c r="M26" s="275"/>
      <c r="N26" s="274"/>
      <c r="O26" s="33"/>
    </row>
    <row r="27" spans="2:20" x14ac:dyDescent="0.2">
      <c r="B27" s="71"/>
      <c r="C27" s="33"/>
      <c r="D27" s="73"/>
      <c r="E27" s="73"/>
      <c r="F27" s="74"/>
      <c r="G27" s="73"/>
      <c r="H27" s="75"/>
      <c r="I27" s="74"/>
      <c r="J27" s="74"/>
      <c r="K27" s="74"/>
      <c r="L27" s="139"/>
      <c r="M27" s="86"/>
      <c r="N27" s="14"/>
      <c r="O27" s="33"/>
    </row>
    <row r="28" spans="2:20" x14ac:dyDescent="0.2">
      <c r="B28" s="287" t="s">
        <v>731</v>
      </c>
      <c r="C28" s="287" t="s">
        <v>163</v>
      </c>
      <c r="D28" s="284" t="e">
        <f ca="1">_xll.BDP(C28,"SECURITY_NAME")</f>
        <v>#NAME?</v>
      </c>
      <c r="E28" s="284" t="s">
        <v>50</v>
      </c>
      <c r="F28" s="285">
        <v>200000</v>
      </c>
      <c r="G28" s="284" t="e">
        <f ca="1">_xll.BDP(C28,"CRNCY")</f>
        <v>#NAME?</v>
      </c>
      <c r="H28" s="281">
        <v>100.5</v>
      </c>
      <c r="I28" s="282">
        <f>F28*H28/100</f>
        <v>201000</v>
      </c>
      <c r="J28" s="283">
        <f>I28</f>
        <v>201000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42544</v>
      </c>
    </row>
    <row r="29" spans="2:20" x14ac:dyDescent="0.2">
      <c r="B29" s="279"/>
      <c r="C29" s="279"/>
      <c r="D29" s="278"/>
      <c r="E29" s="278"/>
      <c r="F29" s="277">
        <f>SUM(F28:F28)</f>
        <v>200000</v>
      </c>
      <c r="G29" s="278"/>
      <c r="H29" s="276">
        <f>I29/F29*100</f>
        <v>100.49999999999999</v>
      </c>
      <c r="I29" s="277">
        <f>SUM(I28:I28)</f>
        <v>201000</v>
      </c>
      <c r="J29" s="277">
        <f>SUM(J28:J28)</f>
        <v>201000</v>
      </c>
      <c r="K29" s="277" t="e">
        <f ca="1">SUM(K28:K28)</f>
        <v>#NAME?</v>
      </c>
      <c r="L29" s="276"/>
      <c r="M29" s="275"/>
      <c r="N29" s="274"/>
    </row>
    <row r="30" spans="2:20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20" x14ac:dyDescent="0.2">
      <c r="B31" s="287" t="s">
        <v>731</v>
      </c>
      <c r="C31" s="287" t="s">
        <v>2</v>
      </c>
      <c r="D31" s="284" t="e">
        <f ca="1">_xll.BDP(C31,"SECURITY_NAME")</f>
        <v>#NAME?</v>
      </c>
      <c r="E31" s="284" t="s">
        <v>50</v>
      </c>
      <c r="F31" s="285">
        <v>3200</v>
      </c>
      <c r="G31" s="284" t="e">
        <f ca="1">_xll.BDP(C31,"CRNCY")</f>
        <v>#NAME?</v>
      </c>
      <c r="H31" s="281">
        <v>697.32090000000005</v>
      </c>
      <c r="I31" s="282">
        <f>F31*H31</f>
        <v>2231426.8800000004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42471</v>
      </c>
    </row>
    <row r="32" spans="2:20" x14ac:dyDescent="0.2">
      <c r="B32" s="279"/>
      <c r="C32" s="279"/>
      <c r="D32" s="278"/>
      <c r="E32" s="278"/>
      <c r="F32" s="277">
        <f>SUM(F31:F31)</f>
        <v>3200</v>
      </c>
      <c r="G32" s="278"/>
      <c r="H32" s="276">
        <f>I32/F32</f>
        <v>697.32090000000017</v>
      </c>
      <c r="I32" s="277">
        <f>SUM(I31:I31)</f>
        <v>2231426.8800000004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3" spans="2:14" x14ac:dyDescent="0.2">
      <c r="B33" s="167"/>
      <c r="C33" s="166"/>
      <c r="D33" s="165"/>
      <c r="E33" s="165"/>
      <c r="F33" s="96"/>
      <c r="G33" s="165"/>
      <c r="H33" s="97"/>
      <c r="I33" s="163"/>
      <c r="J33" s="164"/>
      <c r="K33" s="163"/>
      <c r="L33" s="162"/>
      <c r="M33" s="161"/>
      <c r="N33" s="157"/>
    </row>
    <row r="34" spans="2:14" x14ac:dyDescent="0.2">
      <c r="B34" s="287" t="s">
        <v>731</v>
      </c>
      <c r="C34" s="287" t="s">
        <v>7</v>
      </c>
      <c r="D34" s="284" t="e">
        <f ca="1">_xll.BDP(C34,"SECURITY_NAME")</f>
        <v>#NAME?</v>
      </c>
      <c r="E34" s="284" t="s">
        <v>50</v>
      </c>
      <c r="F34" s="285">
        <v>21640</v>
      </c>
      <c r="G34" s="284" t="e">
        <f ca="1">_xll.BDP(C34,"CRNCY")</f>
        <v>#NAME?</v>
      </c>
      <c r="H34" s="281">
        <v>135.36850000000001</v>
      </c>
      <c r="I34" s="282">
        <f>F34*H34</f>
        <v>2929374.3400000003</v>
      </c>
      <c r="J34" s="283" t="e">
        <f ca="1">I34/L34</f>
        <v>#NAME?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41927</v>
      </c>
    </row>
    <row r="35" spans="2:14" x14ac:dyDescent="0.2">
      <c r="B35" s="287" t="s">
        <v>731</v>
      </c>
      <c r="C35" s="287" t="s">
        <v>7</v>
      </c>
      <c r="D35" s="284" t="e">
        <f ca="1">_xll.BDP(C35,"SECURITY_NAME")</f>
        <v>#NAME?</v>
      </c>
      <c r="E35" s="284" t="s">
        <v>50</v>
      </c>
      <c r="F35" s="285">
        <v>230000</v>
      </c>
      <c r="G35" s="284" t="e">
        <f ca="1">_xll.BDP(C35,"CRNCY")</f>
        <v>#NAME?</v>
      </c>
      <c r="H35" s="281">
        <v>130.76</v>
      </c>
      <c r="I35" s="282">
        <f>F35*H35</f>
        <v>30074799.999999996</v>
      </c>
      <c r="J35" s="283" t="e">
        <f ca="1">I35/L35</f>
        <v>#NAME?</v>
      </c>
      <c r="K35" s="282" t="e">
        <f ca="1">J35*L35</f>
        <v>#NAME?</v>
      </c>
      <c r="L35" s="281" t="e">
        <f ca="1">_xll.BDH("RUB curncy","PX_LAST",$N35)</f>
        <v>#NAME?</v>
      </c>
      <c r="M35" s="280" t="e">
        <f ca="1">1/_xll.BDH("RUB curncy","PX_LAST",$N35)</f>
        <v>#NAME?</v>
      </c>
      <c r="N35" s="274">
        <v>41702</v>
      </c>
    </row>
    <row r="36" spans="2:14" x14ac:dyDescent="0.2">
      <c r="B36" s="287" t="s">
        <v>731</v>
      </c>
      <c r="C36" s="287" t="s">
        <v>7</v>
      </c>
      <c r="D36" s="284" t="e">
        <f ca="1">_xll.BDP(C36,"SECURITY_NAME")</f>
        <v>#NAME?</v>
      </c>
      <c r="E36" s="284" t="s">
        <v>50</v>
      </c>
      <c r="F36" s="285">
        <v>104100</v>
      </c>
      <c r="G36" s="284" t="e">
        <f ca="1">_xll.BDP(C36,"CRNCY")</f>
        <v>#NAME?</v>
      </c>
      <c r="H36" s="281">
        <v>133.14869999999999</v>
      </c>
      <c r="I36" s="282">
        <f>F36*H36</f>
        <v>13860779.67</v>
      </c>
      <c r="J36" s="283" t="e">
        <f ca="1">I36/L36</f>
        <v>#NAME?</v>
      </c>
      <c r="K36" s="282" t="e">
        <f ca="1">J36*L36</f>
        <v>#NAME?</v>
      </c>
      <c r="L36" s="281" t="e">
        <f ca="1">_xll.BDH("RUB curncy","PX_LAST",$N36)</f>
        <v>#NAME?</v>
      </c>
      <c r="M36" s="280" t="e">
        <f ca="1">1/_xll.BDH("RUB curncy","PX_LAST",$N36)</f>
        <v>#NAME?</v>
      </c>
      <c r="N36" s="274">
        <v>41509</v>
      </c>
    </row>
    <row r="37" spans="2:14" x14ac:dyDescent="0.2">
      <c r="B37" s="279"/>
      <c r="C37" s="279"/>
      <c r="D37" s="278"/>
      <c r="E37" s="278">
        <f>177870/F37</f>
        <v>0.5</v>
      </c>
      <c r="F37" s="277">
        <f>SUM(F34:F36)</f>
        <v>355740</v>
      </c>
      <c r="G37" s="278"/>
      <c r="H37" s="276">
        <f>I37/F37</f>
        <v>131.73934336875246</v>
      </c>
      <c r="I37" s="277">
        <f>SUM(I34:I36)</f>
        <v>46864954.009999998</v>
      </c>
      <c r="J37" s="277" t="e">
        <f ca="1">SUM(J34:J36)*E37</f>
        <v>#NAME?</v>
      </c>
      <c r="K37" s="277" t="e">
        <f ca="1">SUM(K34:K36)</f>
        <v>#NAME?</v>
      </c>
      <c r="L37" s="276"/>
      <c r="M37" s="275"/>
      <c r="N37" s="274"/>
    </row>
    <row r="39" spans="2:14" x14ac:dyDescent="0.2">
      <c r="B39" s="287" t="s">
        <v>731</v>
      </c>
      <c r="C39" s="118" t="s">
        <v>697</v>
      </c>
      <c r="D39" s="284" t="e">
        <f ca="1">_xll.BDP(C39,"SECURITY_NAME")</f>
        <v>#NAME?</v>
      </c>
      <c r="E39" s="284" t="s">
        <v>50</v>
      </c>
      <c r="F39" s="285">
        <v>200000</v>
      </c>
      <c r="G39" s="284" t="e">
        <f ca="1">_xll.BDP(C39,"CRNCY")</f>
        <v>#NAME?</v>
      </c>
      <c r="H39" s="281">
        <v>91.5</v>
      </c>
      <c r="I39" s="282">
        <f>F39*H39/100</f>
        <v>183000</v>
      </c>
      <c r="J39" s="283">
        <f>I39</f>
        <v>183000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42569</v>
      </c>
    </row>
    <row r="40" spans="2:14" x14ac:dyDescent="0.2">
      <c r="B40" s="279"/>
      <c r="C40" s="279"/>
      <c r="D40" s="278"/>
      <c r="E40" s="278"/>
      <c r="F40" s="277">
        <f>SUM(F39:F39)</f>
        <v>200000</v>
      </c>
      <c r="G40" s="278"/>
      <c r="H40" s="276">
        <f>I40/F40*100</f>
        <v>91.5</v>
      </c>
      <c r="I40" s="277">
        <f>SUM(I39:I39)</f>
        <v>183000</v>
      </c>
      <c r="J40" s="277">
        <f>SUM(J39:J39)</f>
        <v>183000</v>
      </c>
      <c r="K40" s="277" t="e">
        <f ca="1">SUM(K39:K39)</f>
        <v>#NAME?</v>
      </c>
      <c r="L40" s="276"/>
      <c r="M40" s="275"/>
      <c r="N40" s="274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287" t="s">
        <v>731</v>
      </c>
      <c r="C42" s="287" t="s">
        <v>134</v>
      </c>
      <c r="D42" s="284" t="e">
        <f ca="1">_xll.BDP(C42,"SECURITY_NAME")</f>
        <v>#NAME?</v>
      </c>
      <c r="E42" s="284" t="s">
        <v>50</v>
      </c>
      <c r="F42" s="285">
        <v>43000</v>
      </c>
      <c r="G42" s="284" t="e">
        <f ca="1">_xll.BDP(C42,"CRNCY")</f>
        <v>#NAME?</v>
      </c>
      <c r="H42" s="416" t="e">
        <f ca="1">_xll.BDH(C42,"PX_LAST",$N42)</f>
        <v>#NAME?</v>
      </c>
      <c r="I42" s="282" t="e">
        <f ca="1">F42*H42/100</f>
        <v>#NAME?</v>
      </c>
      <c r="J42" s="283" t="e">
        <f ca="1">I42*M42</f>
        <v>#NAME?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_xll.BDH("GBP curncy","PX_LAST",$N42)</f>
        <v>#NAME?</v>
      </c>
      <c r="N42" s="274">
        <v>42572</v>
      </c>
    </row>
    <row r="43" spans="2:14" x14ac:dyDescent="0.2">
      <c r="B43" s="279"/>
      <c r="C43" s="279"/>
      <c r="D43" s="278"/>
      <c r="E43" s="278"/>
      <c r="F43" s="277">
        <f>SUM(F42:F42)</f>
        <v>43000</v>
      </c>
      <c r="G43" s="278"/>
      <c r="H43" s="417" t="e">
        <f ca="1">I43/F43*100</f>
        <v>#NAME?</v>
      </c>
      <c r="I43" s="277" t="e">
        <f ca="1">SUM(I42:I42)</f>
        <v>#NAME?</v>
      </c>
      <c r="J43" s="277" t="e">
        <f ca="1">SUM(J42:J42)</f>
        <v>#NAME?</v>
      </c>
      <c r="K43" s="277" t="e">
        <f ca="1">SUM(K42:K42)</f>
        <v>#NAME?</v>
      </c>
      <c r="L43" s="276"/>
      <c r="M43" s="275"/>
      <c r="N43" s="274"/>
    </row>
    <row r="44" spans="2:14" x14ac:dyDescent="0.2">
      <c r="B44" s="160"/>
      <c r="D44" s="87"/>
      <c r="E44" s="87"/>
      <c r="F44" s="79"/>
      <c r="G44" s="87"/>
      <c r="H44" s="80"/>
      <c r="I44" s="79"/>
      <c r="J44" s="79"/>
      <c r="K44" s="79"/>
      <c r="L44" s="88"/>
      <c r="M44" s="158"/>
      <c r="N44" s="157"/>
    </row>
    <row r="45" spans="2:14" x14ac:dyDescent="0.2">
      <c r="B45" s="287" t="s">
        <v>731</v>
      </c>
      <c r="C45" s="287" t="s">
        <v>35</v>
      </c>
      <c r="D45" s="284" t="e">
        <f ca="1">_xll.BDP(C45,"SECURITY_NAME")</f>
        <v>#NAME?</v>
      </c>
      <c r="E45" s="284" t="s">
        <v>50</v>
      </c>
      <c r="F45" s="285">
        <v>535</v>
      </c>
      <c r="G45" s="284" t="e">
        <f ca="1">_xll.BDP(C45,"CRNCY")</f>
        <v>#NAME?</v>
      </c>
      <c r="H45" s="285">
        <v>9345</v>
      </c>
      <c r="I45" s="282">
        <f>F45*H45</f>
        <v>4999575</v>
      </c>
      <c r="J45" s="283" t="e">
        <f ca="1">I45/L45</f>
        <v>#NAME?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42572</v>
      </c>
    </row>
    <row r="46" spans="2:14" x14ac:dyDescent="0.2">
      <c r="B46" s="279"/>
      <c r="C46" s="279"/>
      <c r="D46" s="278"/>
      <c r="E46" s="278"/>
      <c r="F46" s="277">
        <f>SUM(F45:F45)</f>
        <v>535</v>
      </c>
      <c r="G46" s="278"/>
      <c r="H46" s="277">
        <f>I46/F46</f>
        <v>9345</v>
      </c>
      <c r="I46" s="277">
        <f>SUM(I45:I45)</f>
        <v>4999575</v>
      </c>
      <c r="J46" s="277" t="e">
        <f ca="1">SUM(J45:J45)</f>
        <v>#NAME?</v>
      </c>
      <c r="K46" s="277" t="e">
        <f ca="1">SUM(K45:K45)</f>
        <v>#NAME?</v>
      </c>
      <c r="L46" s="276"/>
      <c r="M46" s="275"/>
      <c r="N46" s="274"/>
    </row>
    <row r="47" spans="2:14" x14ac:dyDescent="0.2">
      <c r="B47" s="160"/>
      <c r="D47" s="87"/>
      <c r="E47" s="87"/>
      <c r="F47" s="79"/>
      <c r="G47" s="87"/>
      <c r="H47" s="80"/>
      <c r="I47" s="79"/>
      <c r="J47" s="79"/>
      <c r="K47" s="79"/>
      <c r="L47" s="88"/>
      <c r="M47" s="158"/>
      <c r="N47" s="157"/>
    </row>
    <row r="48" spans="2:14" x14ac:dyDescent="0.2">
      <c r="B48" s="287" t="s">
        <v>731</v>
      </c>
      <c r="C48" s="118" t="s">
        <v>156</v>
      </c>
      <c r="D48" s="284" t="e">
        <f ca="1">_xll.BDP(C48,"SECURITY_NAME")</f>
        <v>#NAME?</v>
      </c>
      <c r="E48" s="284" t="s">
        <v>50</v>
      </c>
      <c r="F48" s="285">
        <v>200000</v>
      </c>
      <c r="G48" s="284" t="e">
        <f ca="1">_xll.BDP(C48,"CRNCY")</f>
        <v>#NAME?</v>
      </c>
      <c r="H48" s="281">
        <v>104</v>
      </c>
      <c r="I48" s="282">
        <f>F48*H48/100</f>
        <v>208000</v>
      </c>
      <c r="J48" s="283">
        <f>I48</f>
        <v>208000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42626</v>
      </c>
    </row>
    <row r="49" spans="2:14" x14ac:dyDescent="0.2">
      <c r="B49" s="279"/>
      <c r="C49" s="279"/>
      <c r="D49" s="278"/>
      <c r="E49" s="278"/>
      <c r="F49" s="277">
        <f>SUM(F48:F48)</f>
        <v>200000</v>
      </c>
      <c r="G49" s="278"/>
      <c r="H49" s="276">
        <f>I49/F49*100</f>
        <v>104</v>
      </c>
      <c r="I49" s="277">
        <f>SUM(I48:I48)</f>
        <v>208000</v>
      </c>
      <c r="J49" s="277">
        <f>SUM(J48:J48)</f>
        <v>208000</v>
      </c>
      <c r="K49" s="277" t="e">
        <f ca="1">SUM(K48:K48)</f>
        <v>#NAME?</v>
      </c>
      <c r="L49" s="276"/>
      <c r="M49" s="275"/>
      <c r="N49" s="274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6" spans="2:14" x14ac:dyDescent="0.2">
      <c r="B56" s="167"/>
      <c r="C56" s="166"/>
      <c r="D56" s="165"/>
      <c r="E56" s="165"/>
      <c r="F56" s="96"/>
      <c r="G56" s="165"/>
      <c r="H56" s="97"/>
      <c r="I56" s="163"/>
      <c r="J56" s="164"/>
      <c r="K56" s="163"/>
      <c r="L56" s="162"/>
      <c r="M56" s="161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7"/>
      <c r="C59" s="166"/>
      <c r="D59" s="165"/>
      <c r="E59" s="165"/>
      <c r="F59" s="96"/>
      <c r="G59" s="165"/>
      <c r="H59" s="97"/>
      <c r="I59" s="163"/>
      <c r="J59" s="164"/>
      <c r="K59" s="163"/>
      <c r="L59" s="162"/>
      <c r="M59" s="161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0"/>
      <c r="C78" s="159"/>
      <c r="D78" s="87"/>
      <c r="E78" s="87"/>
      <c r="F78" s="79"/>
      <c r="G78" s="87"/>
      <c r="H78" s="99"/>
      <c r="I78" s="79"/>
      <c r="J78" s="79"/>
      <c r="K78" s="79"/>
      <c r="L78" s="88"/>
      <c r="M78" s="158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0"/>
      <c r="C81" s="159"/>
      <c r="D81" s="87"/>
      <c r="E81" s="87"/>
      <c r="F81" s="79"/>
      <c r="G81" s="87"/>
      <c r="H81" s="99"/>
      <c r="I81" s="79"/>
      <c r="J81" s="79"/>
      <c r="K81" s="79"/>
      <c r="L81" s="88"/>
      <c r="M81" s="158"/>
      <c r="N81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0"/>
      <c r="C84" s="159"/>
      <c r="D84" s="87"/>
      <c r="E84" s="87"/>
      <c r="F84" s="79"/>
      <c r="G84" s="87"/>
      <c r="H84" s="99"/>
      <c r="I84" s="79"/>
      <c r="J84" s="79"/>
      <c r="K84" s="79"/>
      <c r="L84" s="88"/>
      <c r="M84" s="158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0"/>
      <c r="C87" s="159"/>
      <c r="D87" s="87"/>
      <c r="E87" s="87"/>
      <c r="F87" s="79"/>
      <c r="G87" s="87"/>
      <c r="H87" s="99"/>
      <c r="I87" s="79"/>
      <c r="J87" s="79"/>
      <c r="K87" s="79"/>
      <c r="L87" s="88"/>
      <c r="M87" s="158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0"/>
      <c r="C93" s="159"/>
      <c r="D93" s="87"/>
      <c r="E93" s="87"/>
      <c r="F93" s="79"/>
      <c r="G93" s="87"/>
      <c r="H93" s="99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0"/>
      <c r="C96" s="159"/>
      <c r="D96" s="87"/>
      <c r="E96" s="87"/>
      <c r="F96" s="79"/>
      <c r="G96" s="87"/>
      <c r="H96" s="99"/>
      <c r="I96" s="79"/>
      <c r="J96" s="79"/>
      <c r="K96" s="79"/>
      <c r="L96" s="88"/>
      <c r="M96" s="158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0"/>
      <c r="C99" s="159"/>
      <c r="D99" s="87"/>
      <c r="E99" s="87"/>
      <c r="F99" s="79"/>
      <c r="G99" s="87"/>
      <c r="H99" s="99"/>
      <c r="I99" s="79"/>
      <c r="J99" s="79"/>
      <c r="K99" s="79"/>
      <c r="L99" s="88"/>
      <c r="M99" s="158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0"/>
      <c r="C102" s="159"/>
      <c r="D102" s="87"/>
      <c r="E102" s="87"/>
      <c r="F102" s="79"/>
      <c r="G102" s="87"/>
      <c r="H102" s="99"/>
      <c r="I102" s="79"/>
      <c r="J102" s="79"/>
      <c r="K102" s="79"/>
      <c r="L102" s="88"/>
      <c r="M102" s="158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0"/>
      <c r="C105" s="159"/>
      <c r="D105" s="87"/>
      <c r="E105" s="87"/>
      <c r="F105" s="79"/>
      <c r="G105" s="87"/>
      <c r="H105" s="99"/>
      <c r="I105" s="79"/>
      <c r="J105" s="79"/>
      <c r="K105" s="79"/>
      <c r="L105" s="88"/>
      <c r="M105" s="158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0"/>
      <c r="C108" s="159"/>
      <c r="D108" s="87"/>
      <c r="E108" s="87"/>
      <c r="F108" s="79"/>
      <c r="G108" s="87"/>
      <c r="H108" s="99"/>
      <c r="I108" s="79"/>
      <c r="J108" s="79"/>
      <c r="K108" s="79"/>
      <c r="L108" s="88"/>
      <c r="M108" s="158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0"/>
      <c r="C114" s="159"/>
      <c r="D114" s="87"/>
      <c r="E114" s="87"/>
      <c r="F114" s="79"/>
      <c r="G114" s="87"/>
      <c r="H114" s="99"/>
      <c r="I114" s="79"/>
      <c r="J114" s="79"/>
      <c r="K114" s="79"/>
      <c r="L114" s="88"/>
      <c r="M114" s="158"/>
      <c r="N114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100"/>
      <c r="I134" s="79"/>
      <c r="J134" s="79"/>
      <c r="K134" s="79"/>
      <c r="L134" s="88"/>
      <c r="M134" s="158"/>
      <c r="N134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D137" s="87"/>
      <c r="E137" s="87"/>
      <c r="F137" s="79"/>
      <c r="G137" s="87"/>
      <c r="H137" s="80"/>
      <c r="I137" s="79"/>
      <c r="J137" s="79"/>
      <c r="K137" s="79"/>
      <c r="L137" s="88"/>
      <c r="M137" s="158"/>
      <c r="N137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F145" s="79"/>
      <c r="H145" s="80"/>
      <c r="I145" s="79"/>
      <c r="J145" s="79"/>
      <c r="K145" s="79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D148" s="87"/>
      <c r="E148" s="87"/>
      <c r="F148" s="79"/>
      <c r="G148" s="87"/>
      <c r="H148" s="80"/>
      <c r="I148" s="79"/>
      <c r="J148" s="79"/>
      <c r="K148" s="79"/>
      <c r="L148" s="88"/>
      <c r="M148" s="158"/>
      <c r="N148" s="157"/>
    </row>
    <row r="149" spans="2:14" x14ac:dyDescent="0.2">
      <c r="B149" s="160"/>
      <c r="D149" s="87"/>
      <c r="E149" s="87"/>
      <c r="F149" s="79"/>
      <c r="G149" s="87"/>
      <c r="H149" s="80"/>
      <c r="I149" s="79"/>
      <c r="J149" s="79"/>
      <c r="K149" s="79"/>
      <c r="L149" s="88"/>
      <c r="M149" s="158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D152" s="87"/>
      <c r="E152" s="87"/>
      <c r="F152" s="79"/>
      <c r="G152" s="87"/>
      <c r="H152" s="80"/>
      <c r="I152" s="79"/>
      <c r="J152" s="79"/>
      <c r="K152" s="79"/>
      <c r="L152" s="88"/>
      <c r="M152" s="158"/>
      <c r="N152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F160" s="79"/>
      <c r="H160" s="80"/>
      <c r="I160" s="79"/>
      <c r="J160" s="79"/>
      <c r="K160" s="79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F164" s="79"/>
      <c r="G164" s="79"/>
      <c r="H164" s="80"/>
      <c r="I164" s="79"/>
      <c r="J164" s="79"/>
      <c r="K164" s="79"/>
    </row>
    <row r="165" spans="2:14" x14ac:dyDescent="0.2">
      <c r="G165" s="79"/>
      <c r="H165" s="80"/>
      <c r="I165" s="79"/>
      <c r="J165" s="79"/>
      <c r="K165" s="79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7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80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79"/>
      <c r="I188" s="79"/>
      <c r="J188" s="79"/>
      <c r="K188" s="79"/>
      <c r="L188" s="88"/>
      <c r="M188" s="158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80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58"/>
      <c r="N219" s="157"/>
    </row>
    <row r="220" spans="2:14" x14ac:dyDescent="0.2">
      <c r="B220" s="160"/>
      <c r="C220" s="159"/>
      <c r="D220" s="87"/>
      <c r="E220" s="87"/>
      <c r="F220" s="79"/>
      <c r="G220" s="87"/>
      <c r="H220" s="80"/>
      <c r="I220" s="79"/>
      <c r="J220" s="79"/>
      <c r="K220" s="79"/>
      <c r="L220" s="88"/>
      <c r="M220" s="158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F225" s="79"/>
      <c r="H225" s="88"/>
      <c r="I225" s="79"/>
      <c r="J225" s="79"/>
      <c r="K225" s="79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73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8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80"/>
      <c r="I248" s="168"/>
      <c r="J248" s="169"/>
      <c r="K248" s="168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73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73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168"/>
      <c r="J264" s="169"/>
      <c r="K264" s="168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73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73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168"/>
      <c r="J282" s="169"/>
      <c r="K282" s="168"/>
      <c r="L282" s="88"/>
      <c r="M282" s="173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1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91"/>
      <c r="I287" s="79"/>
      <c r="J287" s="79"/>
      <c r="K287" s="79"/>
      <c r="L287" s="88"/>
      <c r="M287" s="158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2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3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92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171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92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92"/>
      <c r="I293" s="79"/>
      <c r="J293" s="79"/>
      <c r="K293" s="79"/>
      <c r="L293" s="88"/>
      <c r="M293" s="158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170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170"/>
      <c r="I295" s="163"/>
      <c r="J295" s="164"/>
      <c r="K295" s="163"/>
      <c r="L295" s="162"/>
      <c r="M295" s="161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95"/>
      <c r="I296" s="79"/>
      <c r="J296" s="79"/>
      <c r="K296" s="79"/>
      <c r="L296" s="88"/>
      <c r="M296" s="158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168"/>
      <c r="J297" s="169"/>
      <c r="K297" s="168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58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168"/>
      <c r="J303" s="169"/>
      <c r="K303" s="168"/>
      <c r="L303" s="88"/>
      <c r="M303" s="158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96"/>
      <c r="J319" s="96"/>
      <c r="K319" s="96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96"/>
      <c r="J320" s="96"/>
      <c r="K320" s="96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58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168"/>
      <c r="J360" s="169"/>
      <c r="K360" s="168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79"/>
      <c r="J362" s="79"/>
      <c r="K362" s="79"/>
      <c r="L362" s="88"/>
      <c r="M362" s="158"/>
      <c r="N362" s="157"/>
    </row>
    <row r="363" spans="2:14" x14ac:dyDescent="0.2">
      <c r="B363" s="160"/>
      <c r="C363" s="159"/>
      <c r="D363" s="87"/>
      <c r="E363" s="87"/>
      <c r="F363" s="79"/>
      <c r="G363" s="87"/>
      <c r="H363" s="80"/>
      <c r="I363" s="168"/>
      <c r="J363" s="169"/>
      <c r="K363" s="168"/>
      <c r="L363" s="88"/>
      <c r="M363" s="158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80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0"/>
      <c r="C368" s="159"/>
      <c r="D368" s="87"/>
      <c r="E368" s="87"/>
      <c r="F368" s="79"/>
      <c r="G368" s="87"/>
      <c r="H368" s="80"/>
      <c r="I368" s="79"/>
      <c r="J368" s="79"/>
      <c r="K368" s="79"/>
      <c r="L368" s="88"/>
      <c r="M368" s="158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168"/>
      <c r="J369" s="169"/>
      <c r="K369" s="168"/>
      <c r="L369" s="88"/>
      <c r="M369" s="158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56"/>
      <c r="C380" s="156"/>
      <c r="D380" s="156"/>
      <c r="E380" s="102"/>
      <c r="F380" s="102"/>
      <c r="G380" s="156"/>
      <c r="H380" s="156"/>
      <c r="I380" s="156"/>
      <c r="J380" s="156"/>
      <c r="K380" s="156"/>
      <c r="L380" s="102"/>
      <c r="M380" s="156"/>
      <c r="N380" s="156"/>
    </row>
    <row r="381" spans="2:14" x14ac:dyDescent="0.2">
      <c r="H381" s="151"/>
    </row>
    <row r="382" spans="2:14" x14ac:dyDescent="0.2">
      <c r="H382" s="151"/>
    </row>
    <row r="384" spans="2:14" x14ac:dyDescent="0.2">
      <c r="H384" s="151"/>
    </row>
    <row r="385" spans="5:12" x14ac:dyDescent="0.2">
      <c r="H385" s="151"/>
    </row>
    <row r="386" spans="5:12" x14ac:dyDescent="0.2">
      <c r="L386" s="155"/>
    </row>
    <row r="387" spans="5:12" x14ac:dyDescent="0.2">
      <c r="L387" s="155"/>
    </row>
    <row r="388" spans="5:12" x14ac:dyDescent="0.2">
      <c r="E388" s="32"/>
      <c r="F388" s="32"/>
      <c r="L388" s="154"/>
    </row>
    <row r="390" spans="5:12" x14ac:dyDescent="0.2">
      <c r="E390" s="32"/>
      <c r="F390" s="32"/>
      <c r="L390" s="153"/>
    </row>
    <row r="394" spans="5:12" x14ac:dyDescent="0.2">
      <c r="E394" s="32"/>
      <c r="F394" s="32"/>
      <c r="G394" s="151"/>
    </row>
    <row r="395" spans="5:12" x14ac:dyDescent="0.2">
      <c r="E395" s="32"/>
      <c r="F395" s="32"/>
      <c r="G395" s="152"/>
    </row>
    <row r="398" spans="5:12" x14ac:dyDescent="0.2">
      <c r="E398" s="32"/>
      <c r="F398" s="32"/>
      <c r="G398" s="151"/>
    </row>
  </sheetData>
  <sortState ref="A4:AC8">
    <sortCondition descending="1" ref="I4:I8"/>
  </sortState>
  <mergeCells count="1">
    <mergeCell ref="S14:U15"/>
  </mergeCells>
  <conditionalFormatting sqref="E229:E230 E277:E278 E270 E260:E261 E232:E233 E273:E274 E61 E108 E90 E281:E283">
    <cfRule type="containsText" dxfId="8027" priority="640" operator="containsText" text="Buy">
      <formula>NOT(ISERROR(SEARCH("Buy",E61)))</formula>
    </cfRule>
    <cfRule type="containsText" dxfId="8026" priority="641" operator="containsText" text="Sell">
      <formula>NOT(ISERROR(SEARCH("Sell",E61)))</formula>
    </cfRule>
  </conditionalFormatting>
  <conditionalFormatting sqref="E302:E303 E292:E293 E297">
    <cfRule type="containsText" dxfId="8025" priority="638" operator="containsText" text="Buy">
      <formula>NOT(ISERROR(SEARCH("Buy",E292)))</formula>
    </cfRule>
    <cfRule type="containsText" dxfId="8024" priority="639" operator="containsText" text="Sell">
      <formula>NOT(ISERROR(SEARCH("Sell",E292)))</formula>
    </cfRule>
  </conditionalFormatting>
  <conditionalFormatting sqref="E318:E320 E377 E374 E369 E363 E360 E357 E354 E347 E343 E337 E327">
    <cfRule type="containsText" dxfId="8023" priority="636" operator="containsText" text="Buy">
      <formula>NOT(ISERROR(SEARCH("Buy",E318)))</formula>
    </cfRule>
    <cfRule type="containsText" dxfId="8022" priority="637" operator="containsText" text="Sell">
      <formula>NOT(ISERROR(SEARCH("Sell",E318)))</formula>
    </cfRule>
  </conditionalFormatting>
  <conditionalFormatting sqref="E317">
    <cfRule type="containsText" dxfId="8021" priority="634" operator="containsText" text="Buy">
      <formula>NOT(ISERROR(SEARCH("Buy",E317)))</formula>
    </cfRule>
    <cfRule type="containsText" dxfId="8020" priority="635" operator="containsText" text="Sell">
      <formula>NOT(ISERROR(SEARCH("Sell",E317)))</formula>
    </cfRule>
  </conditionalFormatting>
  <conditionalFormatting sqref="E316">
    <cfRule type="containsText" dxfId="8019" priority="632" operator="containsText" text="Buy">
      <formula>NOT(ISERROR(SEARCH("Buy",E316)))</formula>
    </cfRule>
    <cfRule type="containsText" dxfId="8018" priority="633" operator="containsText" text="Sell">
      <formula>NOT(ISERROR(SEARCH("Sell",E316)))</formula>
    </cfRule>
  </conditionalFormatting>
  <conditionalFormatting sqref="E315">
    <cfRule type="containsText" dxfId="8017" priority="630" operator="containsText" text="Buy">
      <formula>NOT(ISERROR(SEARCH("Buy",E315)))</formula>
    </cfRule>
    <cfRule type="containsText" dxfId="8016" priority="631" operator="containsText" text="Sell">
      <formula>NOT(ISERROR(SEARCH("Sell",E315)))</formula>
    </cfRule>
  </conditionalFormatting>
  <conditionalFormatting sqref="E228">
    <cfRule type="containsText" dxfId="8015" priority="628" operator="containsText" text="Buy">
      <formula>NOT(ISERROR(SEARCH("Buy",E228)))</formula>
    </cfRule>
    <cfRule type="containsText" dxfId="8014" priority="629" operator="containsText" text="Sell">
      <formula>NOT(ISERROR(SEARCH("Sell",E228)))</formula>
    </cfRule>
  </conditionalFormatting>
  <conditionalFormatting sqref="E227">
    <cfRule type="containsText" dxfId="8013" priority="626" operator="containsText" text="Buy">
      <formula>NOT(ISERROR(SEARCH("Buy",E227)))</formula>
    </cfRule>
    <cfRule type="containsText" dxfId="8012" priority="627" operator="containsText" text="Sell">
      <formula>NOT(ISERROR(SEARCH("Sell",E227)))</formula>
    </cfRule>
  </conditionalFormatting>
  <conditionalFormatting sqref="E276">
    <cfRule type="containsText" dxfId="8011" priority="624" operator="containsText" text="Buy">
      <formula>NOT(ISERROR(SEARCH("Buy",E276)))</formula>
    </cfRule>
    <cfRule type="containsText" dxfId="8010" priority="625" operator="containsText" text="Sell">
      <formula>NOT(ISERROR(SEARCH("Sell",E276)))</formula>
    </cfRule>
  </conditionalFormatting>
  <conditionalFormatting sqref="E275">
    <cfRule type="containsText" dxfId="8009" priority="622" operator="containsText" text="Buy">
      <formula>NOT(ISERROR(SEARCH("Buy",E275)))</formula>
    </cfRule>
    <cfRule type="containsText" dxfId="8008" priority="623" operator="containsText" text="Sell">
      <formula>NOT(ISERROR(SEARCH("Sell",E275)))</formula>
    </cfRule>
  </conditionalFormatting>
  <conditionalFormatting sqref="E262:E264">
    <cfRule type="containsText" dxfId="8007" priority="620" operator="containsText" text="Buy">
      <formula>NOT(ISERROR(SEARCH("Buy",E262)))</formula>
    </cfRule>
    <cfRule type="containsText" dxfId="8006" priority="621" operator="containsText" text="Sell">
      <formula>NOT(ISERROR(SEARCH("Sell",E262)))</formula>
    </cfRule>
  </conditionalFormatting>
  <conditionalFormatting sqref="E259">
    <cfRule type="containsText" dxfId="8005" priority="618" operator="containsText" text="Buy">
      <formula>NOT(ISERROR(SEARCH("Buy",E259)))</formula>
    </cfRule>
    <cfRule type="containsText" dxfId="8004" priority="619" operator="containsText" text="Sell">
      <formula>NOT(ISERROR(SEARCH("Sell",E259)))</formula>
    </cfRule>
  </conditionalFormatting>
  <conditionalFormatting sqref="E258">
    <cfRule type="containsText" dxfId="8003" priority="616" operator="containsText" text="Buy">
      <formula>NOT(ISERROR(SEARCH("Buy",E258)))</formula>
    </cfRule>
    <cfRule type="containsText" dxfId="8002" priority="617" operator="containsText" text="Sell">
      <formula>NOT(ISERROR(SEARCH("Sell",E258)))</formula>
    </cfRule>
  </conditionalFormatting>
  <conditionalFormatting sqref="E257">
    <cfRule type="containsText" dxfId="8001" priority="614" operator="containsText" text="Buy">
      <formula>NOT(ISERROR(SEARCH("Buy",E257)))</formula>
    </cfRule>
    <cfRule type="containsText" dxfId="8000" priority="615" operator="containsText" text="Sell">
      <formula>NOT(ISERROR(SEARCH("Sell",E257)))</formula>
    </cfRule>
  </conditionalFormatting>
  <conditionalFormatting sqref="E256">
    <cfRule type="containsText" dxfId="7999" priority="612" operator="containsText" text="Buy">
      <formula>NOT(ISERROR(SEARCH("Buy",E256)))</formula>
    </cfRule>
    <cfRule type="containsText" dxfId="7998" priority="613" operator="containsText" text="Sell">
      <formula>NOT(ISERROR(SEARCH("Sell",E256)))</formula>
    </cfRule>
  </conditionalFormatting>
  <conditionalFormatting sqref="E255">
    <cfRule type="containsText" dxfId="7997" priority="610" operator="containsText" text="Buy">
      <formula>NOT(ISERROR(SEARCH("Buy",E255)))</formula>
    </cfRule>
    <cfRule type="containsText" dxfId="7996" priority="611" operator="containsText" text="Sell">
      <formula>NOT(ISERROR(SEARCH("Sell",E255)))</formula>
    </cfRule>
  </conditionalFormatting>
  <conditionalFormatting sqref="E254">
    <cfRule type="containsText" dxfId="7995" priority="608" operator="containsText" text="Buy">
      <formula>NOT(ISERROR(SEARCH("Buy",E254)))</formula>
    </cfRule>
    <cfRule type="containsText" dxfId="7994" priority="609" operator="containsText" text="Sell">
      <formula>NOT(ISERROR(SEARCH("Sell",E254)))</formula>
    </cfRule>
  </conditionalFormatting>
  <conditionalFormatting sqref="E253">
    <cfRule type="containsText" dxfId="7993" priority="606" operator="containsText" text="Buy">
      <formula>NOT(ISERROR(SEARCH("Buy",E253)))</formula>
    </cfRule>
    <cfRule type="containsText" dxfId="7992" priority="607" operator="containsText" text="Sell">
      <formula>NOT(ISERROR(SEARCH("Sell",E253)))</formula>
    </cfRule>
  </conditionalFormatting>
  <conditionalFormatting sqref="E246:E248">
    <cfRule type="containsText" dxfId="7991" priority="604" operator="containsText" text="Buy">
      <formula>NOT(ISERROR(SEARCH("Buy",E246)))</formula>
    </cfRule>
    <cfRule type="containsText" dxfId="7990" priority="605" operator="containsText" text="Sell">
      <formula>NOT(ISERROR(SEARCH("Sell",E246)))</formula>
    </cfRule>
  </conditionalFormatting>
  <conditionalFormatting sqref="E245">
    <cfRule type="containsText" dxfId="7989" priority="602" operator="containsText" text="Buy">
      <formula>NOT(ISERROR(SEARCH("Buy",E245)))</formula>
    </cfRule>
    <cfRule type="containsText" dxfId="7988" priority="603" operator="containsText" text="Sell">
      <formula>NOT(ISERROR(SEARCH("Sell",E245)))</formula>
    </cfRule>
  </conditionalFormatting>
  <conditionalFormatting sqref="E244">
    <cfRule type="containsText" dxfId="7987" priority="600" operator="containsText" text="Buy">
      <formula>NOT(ISERROR(SEARCH("Buy",E244)))</formula>
    </cfRule>
    <cfRule type="containsText" dxfId="7986" priority="601" operator="containsText" text="Sell">
      <formula>NOT(ISERROR(SEARCH("Sell",E244)))</formula>
    </cfRule>
  </conditionalFormatting>
  <conditionalFormatting sqref="E243">
    <cfRule type="containsText" dxfId="7985" priority="598" operator="containsText" text="Buy">
      <formula>NOT(ISERROR(SEARCH("Buy",E243)))</formula>
    </cfRule>
    <cfRule type="containsText" dxfId="7984" priority="599" operator="containsText" text="Sell">
      <formula>NOT(ISERROR(SEARCH("Sell",E243)))</formula>
    </cfRule>
  </conditionalFormatting>
  <conditionalFormatting sqref="E242">
    <cfRule type="containsText" dxfId="7983" priority="596" operator="containsText" text="Buy">
      <formula>NOT(ISERROR(SEARCH("Buy",E242)))</formula>
    </cfRule>
    <cfRule type="containsText" dxfId="7982" priority="597" operator="containsText" text="Sell">
      <formula>NOT(ISERROR(SEARCH("Sell",E242)))</formula>
    </cfRule>
  </conditionalFormatting>
  <conditionalFormatting sqref="E241">
    <cfRule type="containsText" dxfId="7981" priority="594" operator="containsText" text="Buy">
      <formula>NOT(ISERROR(SEARCH("Buy",E241)))</formula>
    </cfRule>
    <cfRule type="containsText" dxfId="7980" priority="595" operator="containsText" text="Sell">
      <formula>NOT(ISERROR(SEARCH("Sell",E241)))</formula>
    </cfRule>
  </conditionalFormatting>
  <conditionalFormatting sqref="E240">
    <cfRule type="containsText" dxfId="7979" priority="592" operator="containsText" text="Buy">
      <formula>NOT(ISERROR(SEARCH("Buy",E240)))</formula>
    </cfRule>
    <cfRule type="containsText" dxfId="7978" priority="593" operator="containsText" text="Sell">
      <formula>NOT(ISERROR(SEARCH("Sell",E240)))</formula>
    </cfRule>
  </conditionalFormatting>
  <conditionalFormatting sqref="E239">
    <cfRule type="containsText" dxfId="7977" priority="590" operator="containsText" text="Buy">
      <formula>NOT(ISERROR(SEARCH("Buy",E239)))</formula>
    </cfRule>
    <cfRule type="containsText" dxfId="7976" priority="591" operator="containsText" text="Sell">
      <formula>NOT(ISERROR(SEARCH("Sell",E239)))</formula>
    </cfRule>
  </conditionalFormatting>
  <conditionalFormatting sqref="E238">
    <cfRule type="containsText" dxfId="7975" priority="588" operator="containsText" text="Buy">
      <formula>NOT(ISERROR(SEARCH("Buy",E238)))</formula>
    </cfRule>
    <cfRule type="containsText" dxfId="7974" priority="589" operator="containsText" text="Sell">
      <formula>NOT(ISERROR(SEARCH("Sell",E238)))</formula>
    </cfRule>
  </conditionalFormatting>
  <conditionalFormatting sqref="E237">
    <cfRule type="containsText" dxfId="7973" priority="586" operator="containsText" text="Buy">
      <formula>NOT(ISERROR(SEARCH("Buy",E237)))</formula>
    </cfRule>
    <cfRule type="containsText" dxfId="7972" priority="587" operator="containsText" text="Sell">
      <formula>NOT(ISERROR(SEARCH("Sell",E237)))</formula>
    </cfRule>
  </conditionalFormatting>
  <conditionalFormatting sqref="E236">
    <cfRule type="containsText" dxfId="7971" priority="584" operator="containsText" text="Buy">
      <formula>NOT(ISERROR(SEARCH("Buy",E236)))</formula>
    </cfRule>
    <cfRule type="containsText" dxfId="7970" priority="585" operator="containsText" text="Sell">
      <formula>NOT(ISERROR(SEARCH("Sell",E236)))</formula>
    </cfRule>
  </conditionalFormatting>
  <conditionalFormatting sqref="E235">
    <cfRule type="containsText" dxfId="7969" priority="582" operator="containsText" text="Buy">
      <formula>NOT(ISERROR(SEARCH("Buy",E235)))</formula>
    </cfRule>
    <cfRule type="containsText" dxfId="7968" priority="583" operator="containsText" text="Sell">
      <formula>NOT(ISERROR(SEARCH("Sell",E235)))</formula>
    </cfRule>
  </conditionalFormatting>
  <conditionalFormatting sqref="E231">
    <cfRule type="containsText" dxfId="7967" priority="580" operator="containsText" text="Buy">
      <formula>NOT(ISERROR(SEARCH("Buy",E231)))</formula>
    </cfRule>
    <cfRule type="containsText" dxfId="7966" priority="581" operator="containsText" text="Sell">
      <formula>NOT(ISERROR(SEARCH("Sell",E231)))</formula>
    </cfRule>
  </conditionalFormatting>
  <conditionalFormatting sqref="E291">
    <cfRule type="containsText" dxfId="7965" priority="578" operator="containsText" text="Buy">
      <formula>NOT(ISERROR(SEARCH("Buy",E291)))</formula>
    </cfRule>
    <cfRule type="containsText" dxfId="7964" priority="579" operator="containsText" text="Sell">
      <formula>NOT(ISERROR(SEARCH("Sell",E291)))</formula>
    </cfRule>
  </conditionalFormatting>
  <conditionalFormatting sqref="E290 E287">
    <cfRule type="containsText" dxfId="7963" priority="576" operator="containsText" text="Buy">
      <formula>NOT(ISERROR(SEARCH("Buy",E287)))</formula>
    </cfRule>
    <cfRule type="containsText" dxfId="7962" priority="577" operator="containsText" text="Sell">
      <formula>NOT(ISERROR(SEARCH("Sell",E287)))</formula>
    </cfRule>
  </conditionalFormatting>
  <conditionalFormatting sqref="E296">
    <cfRule type="containsText" dxfId="7961" priority="574" operator="containsText" text="Buy">
      <formula>NOT(ISERROR(SEARCH("Buy",E296)))</formula>
    </cfRule>
    <cfRule type="containsText" dxfId="7960" priority="575" operator="containsText" text="Sell">
      <formula>NOT(ISERROR(SEARCH("Sell",E296)))</formula>
    </cfRule>
  </conditionalFormatting>
  <conditionalFormatting sqref="E378:E379">
    <cfRule type="containsText" dxfId="7959" priority="572" operator="containsText" text="Buy">
      <formula>NOT(ISERROR(SEARCH("Buy",E378)))</formula>
    </cfRule>
    <cfRule type="containsText" dxfId="7958" priority="573" operator="containsText" text="Sell">
      <formula>NOT(ISERROR(SEARCH("Sell",E378)))</formula>
    </cfRule>
  </conditionalFormatting>
  <conditionalFormatting sqref="E289">
    <cfRule type="containsText" dxfId="7957" priority="570" operator="containsText" text="Buy">
      <formula>NOT(ISERROR(SEARCH("Buy",E289)))</formula>
    </cfRule>
    <cfRule type="containsText" dxfId="7956" priority="571" operator="containsText" text="Sell">
      <formula>NOT(ISERROR(SEARCH("Sell",E289)))</formula>
    </cfRule>
  </conditionalFormatting>
  <conditionalFormatting sqref="E286">
    <cfRule type="containsText" dxfId="7955" priority="568" operator="containsText" text="Buy">
      <formula>NOT(ISERROR(SEARCH("Buy",E286)))</formula>
    </cfRule>
    <cfRule type="containsText" dxfId="7954" priority="569" operator="containsText" text="Sell">
      <formula>NOT(ISERROR(SEARCH("Sell",E286)))</formula>
    </cfRule>
  </conditionalFormatting>
  <conditionalFormatting sqref="E285">
    <cfRule type="containsText" dxfId="7953" priority="566" operator="containsText" text="Buy">
      <formula>NOT(ISERROR(SEARCH("Buy",E285)))</formula>
    </cfRule>
    <cfRule type="containsText" dxfId="7952" priority="567" operator="containsText" text="Sell">
      <formula>NOT(ISERROR(SEARCH("Sell",E285)))</formula>
    </cfRule>
  </conditionalFormatting>
  <conditionalFormatting sqref="E272">
    <cfRule type="containsText" dxfId="7951" priority="564" operator="containsText" text="Buy">
      <formula>NOT(ISERROR(SEARCH("Buy",E272)))</formula>
    </cfRule>
    <cfRule type="containsText" dxfId="7950" priority="565" operator="containsText" text="Sell">
      <formula>NOT(ISERROR(SEARCH("Sell",E272)))</formula>
    </cfRule>
  </conditionalFormatting>
  <conditionalFormatting sqref="E209:E212 E222 E219:E220">
    <cfRule type="containsText" dxfId="7949" priority="562" operator="containsText" text="Buy">
      <formula>NOT(ISERROR(SEARCH("Buy",E209)))</formula>
    </cfRule>
    <cfRule type="containsText" dxfId="7948" priority="563" operator="containsText" text="Sell">
      <formula>NOT(ISERROR(SEARCH("Sell",E209)))</formula>
    </cfRule>
  </conditionalFormatting>
  <conditionalFormatting sqref="E375:E376">
    <cfRule type="containsText" dxfId="7947" priority="560" operator="containsText" text="Buy">
      <formula>NOT(ISERROR(SEARCH("Buy",E375)))</formula>
    </cfRule>
    <cfRule type="containsText" dxfId="7946" priority="561" operator="containsText" text="Sell">
      <formula>NOT(ISERROR(SEARCH("Sell",E375)))</formula>
    </cfRule>
  </conditionalFormatting>
  <conditionalFormatting sqref="E372:E373">
    <cfRule type="containsText" dxfId="7945" priority="558" operator="containsText" text="Buy">
      <formula>NOT(ISERROR(SEARCH("Buy",E372)))</formula>
    </cfRule>
    <cfRule type="containsText" dxfId="7944" priority="559" operator="containsText" text="Sell">
      <formula>NOT(ISERROR(SEARCH("Sell",E372)))</formula>
    </cfRule>
  </conditionalFormatting>
  <conditionalFormatting sqref="E370:E371">
    <cfRule type="containsText" dxfId="7943" priority="556" operator="containsText" text="Buy">
      <formula>NOT(ISERROR(SEARCH("Buy",E370)))</formula>
    </cfRule>
    <cfRule type="containsText" dxfId="7942" priority="557" operator="containsText" text="Sell">
      <formula>NOT(ISERROR(SEARCH("Sell",E370)))</formula>
    </cfRule>
  </conditionalFormatting>
  <conditionalFormatting sqref="E367:E368">
    <cfRule type="containsText" dxfId="7941" priority="554" operator="containsText" text="Buy">
      <formula>NOT(ISERROR(SEARCH("Buy",E367)))</formula>
    </cfRule>
    <cfRule type="containsText" dxfId="7940" priority="555" operator="containsText" text="Sell">
      <formula>NOT(ISERROR(SEARCH("Sell",E367)))</formula>
    </cfRule>
  </conditionalFormatting>
  <conditionalFormatting sqref="E364:E366">
    <cfRule type="containsText" dxfId="7939" priority="552" operator="containsText" text="Buy">
      <formula>NOT(ISERROR(SEARCH("Buy",E364)))</formula>
    </cfRule>
    <cfRule type="containsText" dxfId="7938" priority="553" operator="containsText" text="Sell">
      <formula>NOT(ISERROR(SEARCH("Sell",E364)))</formula>
    </cfRule>
  </conditionalFormatting>
  <conditionalFormatting sqref="E361:E362">
    <cfRule type="containsText" dxfId="7937" priority="550" operator="containsText" text="Buy">
      <formula>NOT(ISERROR(SEARCH("Buy",E361)))</formula>
    </cfRule>
    <cfRule type="containsText" dxfId="7936" priority="551" operator="containsText" text="Sell">
      <formula>NOT(ISERROR(SEARCH("Sell",E361)))</formula>
    </cfRule>
  </conditionalFormatting>
  <conditionalFormatting sqref="E358:E359">
    <cfRule type="containsText" dxfId="7935" priority="548" operator="containsText" text="Buy">
      <formula>NOT(ISERROR(SEARCH("Buy",E358)))</formula>
    </cfRule>
    <cfRule type="containsText" dxfId="7934" priority="549" operator="containsText" text="Sell">
      <formula>NOT(ISERROR(SEARCH("Sell",E358)))</formula>
    </cfRule>
  </conditionalFormatting>
  <conditionalFormatting sqref="E355:E356">
    <cfRule type="containsText" dxfId="7933" priority="546" operator="containsText" text="Buy">
      <formula>NOT(ISERROR(SEARCH("Buy",E355)))</formula>
    </cfRule>
    <cfRule type="containsText" dxfId="7932" priority="547" operator="containsText" text="Sell">
      <formula>NOT(ISERROR(SEARCH("Sell",E355)))</formula>
    </cfRule>
  </conditionalFormatting>
  <conditionalFormatting sqref="E351">
    <cfRule type="containsText" dxfId="7931" priority="542" operator="containsText" text="Buy">
      <formula>NOT(ISERROR(SEARCH("Buy",E351)))</formula>
    </cfRule>
    <cfRule type="containsText" dxfId="7930" priority="543" operator="containsText" text="Sell">
      <formula>NOT(ISERROR(SEARCH("Sell",E351)))</formula>
    </cfRule>
  </conditionalFormatting>
  <conditionalFormatting sqref="E352:E353">
    <cfRule type="containsText" dxfId="7929" priority="544" operator="containsText" text="Buy">
      <formula>NOT(ISERROR(SEARCH("Buy",E352)))</formula>
    </cfRule>
    <cfRule type="containsText" dxfId="7928" priority="545" operator="containsText" text="Sell">
      <formula>NOT(ISERROR(SEARCH("Sell",E352)))</formula>
    </cfRule>
  </conditionalFormatting>
  <conditionalFormatting sqref="E345:E346">
    <cfRule type="containsText" dxfId="7927" priority="540" operator="containsText" text="Buy">
      <formula>NOT(ISERROR(SEARCH("Buy",E345)))</formula>
    </cfRule>
    <cfRule type="containsText" dxfId="7926" priority="541" operator="containsText" text="Sell">
      <formula>NOT(ISERROR(SEARCH("Sell",E345)))</formula>
    </cfRule>
  </conditionalFormatting>
  <conditionalFormatting sqref="E341:E342">
    <cfRule type="containsText" dxfId="7925" priority="538" operator="containsText" text="Buy">
      <formula>NOT(ISERROR(SEARCH("Buy",E341)))</formula>
    </cfRule>
    <cfRule type="containsText" dxfId="7924" priority="539" operator="containsText" text="Sell">
      <formula>NOT(ISERROR(SEARCH("Sell",E341)))</formula>
    </cfRule>
  </conditionalFormatting>
  <conditionalFormatting sqref="E206:E207">
    <cfRule type="containsText" dxfId="7923" priority="536" operator="containsText" text="Buy">
      <formula>NOT(ISERROR(SEARCH("Buy",E206)))</formula>
    </cfRule>
    <cfRule type="containsText" dxfId="7922" priority="537" operator="containsText" text="Sell">
      <formula>NOT(ISERROR(SEARCH("Sell",E206)))</formula>
    </cfRule>
  </conditionalFormatting>
  <conditionalFormatting sqref="E201:E202">
    <cfRule type="containsText" dxfId="7921" priority="534" operator="containsText" text="Buy">
      <formula>NOT(ISERROR(SEARCH("Buy",E201)))</formula>
    </cfRule>
    <cfRule type="containsText" dxfId="7920" priority="535" operator="containsText" text="Sell">
      <formula>NOT(ISERROR(SEARCH("Sell",E201)))</formula>
    </cfRule>
  </conditionalFormatting>
  <conditionalFormatting sqref="E218">
    <cfRule type="containsText" dxfId="7919" priority="532" operator="containsText" text="Buy">
      <formula>NOT(ISERROR(SEARCH("Buy",E218)))</formula>
    </cfRule>
    <cfRule type="containsText" dxfId="7918" priority="533" operator="containsText" text="Sell">
      <formula>NOT(ISERROR(SEARCH("Sell",E218)))</formula>
    </cfRule>
  </conditionalFormatting>
  <conditionalFormatting sqref="E217">
    <cfRule type="containsText" dxfId="7917" priority="530" operator="containsText" text="Buy">
      <formula>NOT(ISERROR(SEARCH("Buy",E217)))</formula>
    </cfRule>
    <cfRule type="containsText" dxfId="7916" priority="531" operator="containsText" text="Sell">
      <formula>NOT(ISERROR(SEARCH("Sell",E217)))</formula>
    </cfRule>
  </conditionalFormatting>
  <conditionalFormatting sqref="E213">
    <cfRule type="containsText" dxfId="7915" priority="528" operator="containsText" text="Buy">
      <formula>NOT(ISERROR(SEARCH("Buy",E213)))</formula>
    </cfRule>
    <cfRule type="containsText" dxfId="7914" priority="529" operator="containsText" text="Sell">
      <formula>NOT(ISERROR(SEARCH("Sell",E213)))</formula>
    </cfRule>
  </conditionalFormatting>
  <conditionalFormatting sqref="E338:E340">
    <cfRule type="containsText" dxfId="7913" priority="526" operator="containsText" text="Buy">
      <formula>NOT(ISERROR(SEARCH("Buy",E338)))</formula>
    </cfRule>
    <cfRule type="containsText" dxfId="7912" priority="527" operator="containsText" text="Sell">
      <formula>NOT(ISERROR(SEARCH("Sell",E338)))</formula>
    </cfRule>
  </conditionalFormatting>
  <conditionalFormatting sqref="E335:E336">
    <cfRule type="containsText" dxfId="7911" priority="524" operator="containsText" text="Buy">
      <formula>NOT(ISERROR(SEARCH("Buy",E335)))</formula>
    </cfRule>
    <cfRule type="containsText" dxfId="7910" priority="525" operator="containsText" text="Sell">
      <formula>NOT(ISERROR(SEARCH("Sell",E335)))</formula>
    </cfRule>
  </conditionalFormatting>
  <conditionalFormatting sqref="E329:E331">
    <cfRule type="containsText" dxfId="7909" priority="522" operator="containsText" text="Buy">
      <formula>NOT(ISERROR(SEARCH("Buy",E329)))</formula>
    </cfRule>
    <cfRule type="containsText" dxfId="7908" priority="523" operator="containsText" text="Sell">
      <formula>NOT(ISERROR(SEARCH("Sell",E329)))</formula>
    </cfRule>
  </conditionalFormatting>
  <conditionalFormatting sqref="E325:E326">
    <cfRule type="containsText" dxfId="7907" priority="520" operator="containsText" text="Buy">
      <formula>NOT(ISERROR(SEARCH("Buy",E325)))</formula>
    </cfRule>
    <cfRule type="containsText" dxfId="7906" priority="521" operator="containsText" text="Sell">
      <formula>NOT(ISERROR(SEARCH("Sell",E325)))</formula>
    </cfRule>
  </conditionalFormatting>
  <conditionalFormatting sqref="E334">
    <cfRule type="containsText" dxfId="7905" priority="518" operator="containsText" text="Buy">
      <formula>NOT(ISERROR(SEARCH("Buy",E334)))</formula>
    </cfRule>
    <cfRule type="containsText" dxfId="7904" priority="519" operator="containsText" text="Sell">
      <formula>NOT(ISERROR(SEARCH("Sell",E334)))</formula>
    </cfRule>
  </conditionalFormatting>
  <conditionalFormatting sqref="E314">
    <cfRule type="containsText" dxfId="7903" priority="516" operator="containsText" text="Buy">
      <formula>NOT(ISERROR(SEARCH("Buy",E314)))</formula>
    </cfRule>
    <cfRule type="containsText" dxfId="7902" priority="517" operator="containsText" text="Sell">
      <formula>NOT(ISERROR(SEARCH("Sell",E314)))</formula>
    </cfRule>
  </conditionalFormatting>
  <conditionalFormatting sqref="E313">
    <cfRule type="containsText" dxfId="7901" priority="514" operator="containsText" text="Buy">
      <formula>NOT(ISERROR(SEARCH("Buy",E313)))</formula>
    </cfRule>
    <cfRule type="containsText" dxfId="7900" priority="515" operator="containsText" text="Sell">
      <formula>NOT(ISERROR(SEARCH("Sell",E313)))</formula>
    </cfRule>
  </conditionalFormatting>
  <conditionalFormatting sqref="E312">
    <cfRule type="containsText" dxfId="7899" priority="512" operator="containsText" text="Buy">
      <formula>NOT(ISERROR(SEARCH("Buy",E312)))</formula>
    </cfRule>
    <cfRule type="containsText" dxfId="7898" priority="513" operator="containsText" text="Sell">
      <formula>NOT(ISERROR(SEARCH("Sell",E312)))</formula>
    </cfRule>
  </conditionalFormatting>
  <conditionalFormatting sqref="E269">
    <cfRule type="containsText" dxfId="7897" priority="510" operator="containsText" text="Buy">
      <formula>NOT(ISERROR(SEARCH("Buy",E269)))</formula>
    </cfRule>
    <cfRule type="containsText" dxfId="7896" priority="511" operator="containsText" text="Sell">
      <formula>NOT(ISERROR(SEARCH("Sell",E269)))</formula>
    </cfRule>
  </conditionalFormatting>
  <conditionalFormatting sqref="E288">
    <cfRule type="containsText" dxfId="7895" priority="508" operator="containsText" text="Buy">
      <formula>NOT(ISERROR(SEARCH("Buy",E288)))</formula>
    </cfRule>
    <cfRule type="containsText" dxfId="7894" priority="509" operator="containsText" text="Sell">
      <formula>NOT(ISERROR(SEARCH("Sell",E288)))</formula>
    </cfRule>
  </conditionalFormatting>
  <conditionalFormatting sqref="E182:E183">
    <cfRule type="containsText" dxfId="7893" priority="506" operator="containsText" text="Buy">
      <formula>NOT(ISERROR(SEARCH("Buy",E182)))</formula>
    </cfRule>
    <cfRule type="containsText" dxfId="7892" priority="507" operator="containsText" text="Sell">
      <formula>NOT(ISERROR(SEARCH("Sell",E182)))</formula>
    </cfRule>
  </conditionalFormatting>
  <conditionalFormatting sqref="E311">
    <cfRule type="containsText" dxfId="7891" priority="502" operator="containsText" text="Buy">
      <formula>NOT(ISERROR(SEARCH("Buy",E311)))</formula>
    </cfRule>
    <cfRule type="containsText" dxfId="7890" priority="503" operator="containsText" text="Sell">
      <formula>NOT(ISERROR(SEARCH("Sell",E311)))</formula>
    </cfRule>
  </conditionalFormatting>
  <conditionalFormatting sqref="E221">
    <cfRule type="containsText" dxfId="7889" priority="504" operator="containsText" text="Buy">
      <formula>NOT(ISERROR(SEARCH("Buy",E221)))</formula>
    </cfRule>
    <cfRule type="containsText" dxfId="7888" priority="505" operator="containsText" text="Sell">
      <formula>NOT(ISERROR(SEARCH("Sell",E221)))</formula>
    </cfRule>
  </conditionalFormatting>
  <conditionalFormatting sqref="E310">
    <cfRule type="containsText" dxfId="7887" priority="500" operator="containsText" text="Buy">
      <formula>NOT(ISERROR(SEARCH("Buy",E310)))</formula>
    </cfRule>
    <cfRule type="containsText" dxfId="7886" priority="501" operator="containsText" text="Sell">
      <formula>NOT(ISERROR(SEARCH("Sell",E310)))</formula>
    </cfRule>
  </conditionalFormatting>
  <conditionalFormatting sqref="E309">
    <cfRule type="containsText" dxfId="7885" priority="498" operator="containsText" text="Buy">
      <formula>NOT(ISERROR(SEARCH("Buy",E309)))</formula>
    </cfRule>
    <cfRule type="containsText" dxfId="7884" priority="499" operator="containsText" text="Sell">
      <formula>NOT(ISERROR(SEARCH("Sell",E309)))</formula>
    </cfRule>
  </conditionalFormatting>
  <conditionalFormatting sqref="E308">
    <cfRule type="containsText" dxfId="7883" priority="496" operator="containsText" text="Buy">
      <formula>NOT(ISERROR(SEARCH("Buy",E308)))</formula>
    </cfRule>
    <cfRule type="containsText" dxfId="7882" priority="497" operator="containsText" text="Sell">
      <formula>NOT(ISERROR(SEARCH("Sell",E308)))</formula>
    </cfRule>
  </conditionalFormatting>
  <conditionalFormatting sqref="E307">
    <cfRule type="containsText" dxfId="7881" priority="494" operator="containsText" text="Buy">
      <formula>NOT(ISERROR(SEARCH("Buy",E307)))</formula>
    </cfRule>
    <cfRule type="containsText" dxfId="7880" priority="495" operator="containsText" text="Sell">
      <formula>NOT(ISERROR(SEARCH("Sell",E307)))</formula>
    </cfRule>
  </conditionalFormatting>
  <conditionalFormatting sqref="E187:E189 E200">
    <cfRule type="containsText" dxfId="7879" priority="492" operator="containsText" text="Buy">
      <formula>NOT(ISERROR(SEARCH("Buy",E187)))</formula>
    </cfRule>
    <cfRule type="containsText" dxfId="7878" priority="493" operator="containsText" text="Sell">
      <formula>NOT(ISERROR(SEARCH("Sell",E187)))</formula>
    </cfRule>
  </conditionalFormatting>
  <conditionalFormatting sqref="E177:E178">
    <cfRule type="containsText" dxfId="7877" priority="490" operator="containsText" text="Buy">
      <formula>NOT(ISERROR(SEARCH("Buy",E177)))</formula>
    </cfRule>
    <cfRule type="containsText" dxfId="7876" priority="491" operator="containsText" text="Sell">
      <formula>NOT(ISERROR(SEARCH("Sell",E177)))</formula>
    </cfRule>
  </conditionalFormatting>
  <conditionalFormatting sqref="E171:E172">
    <cfRule type="containsText" dxfId="7875" priority="488" operator="containsText" text="Buy">
      <formula>NOT(ISERROR(SEARCH("Buy",E171)))</formula>
    </cfRule>
    <cfRule type="containsText" dxfId="7874" priority="489" operator="containsText" text="Sell">
      <formula>NOT(ISERROR(SEARCH("Sell",E171)))</formula>
    </cfRule>
  </conditionalFormatting>
  <conditionalFormatting sqref="E198:E199">
    <cfRule type="containsText" dxfId="7873" priority="486" operator="containsText" text="Buy">
      <formula>NOT(ISERROR(SEARCH("Buy",E198)))</formula>
    </cfRule>
    <cfRule type="containsText" dxfId="7872" priority="487" operator="containsText" text="Sell">
      <formula>NOT(ISERROR(SEARCH("Sell",E198)))</formula>
    </cfRule>
  </conditionalFormatting>
  <conditionalFormatting sqref="E197">
    <cfRule type="containsText" dxfId="7871" priority="484" operator="containsText" text="Buy">
      <formula>NOT(ISERROR(SEARCH("Buy",E197)))</formula>
    </cfRule>
    <cfRule type="containsText" dxfId="7870" priority="485" operator="containsText" text="Sell">
      <formula>NOT(ISERROR(SEARCH("Sell",E197)))</formula>
    </cfRule>
  </conditionalFormatting>
  <conditionalFormatting sqref="E280">
    <cfRule type="containsText" dxfId="7869" priority="482" operator="containsText" text="Buy">
      <formula>NOT(ISERROR(SEARCH("Buy",E280)))</formula>
    </cfRule>
    <cfRule type="containsText" dxfId="7868" priority="483" operator="containsText" text="Sell">
      <formula>NOT(ISERROR(SEARCH("Sell",E280)))</formula>
    </cfRule>
  </conditionalFormatting>
  <conditionalFormatting sqref="E279">
    <cfRule type="containsText" dxfId="7867" priority="480" operator="containsText" text="Buy">
      <formula>NOT(ISERROR(SEARCH("Buy",E279)))</formula>
    </cfRule>
    <cfRule type="containsText" dxfId="7866" priority="481" operator="containsText" text="Sell">
      <formula>NOT(ISERROR(SEARCH("Sell",E279)))</formula>
    </cfRule>
  </conditionalFormatting>
  <conditionalFormatting sqref="E168:E169">
    <cfRule type="containsText" dxfId="7865" priority="478" operator="containsText" text="Buy">
      <formula>NOT(ISERROR(SEARCH("Buy",E168)))</formula>
    </cfRule>
    <cfRule type="containsText" dxfId="7864" priority="479" operator="containsText" text="Sell">
      <formula>NOT(ISERROR(SEARCH("Sell",E168)))</formula>
    </cfRule>
  </conditionalFormatting>
  <conditionalFormatting sqref="E167">
    <cfRule type="containsText" dxfId="7863" priority="476" operator="containsText" text="Buy">
      <formula>NOT(ISERROR(SEARCH("Buy",E167)))</formula>
    </cfRule>
    <cfRule type="containsText" dxfId="7862" priority="477" operator="containsText" text="Sell">
      <formula>NOT(ISERROR(SEARCH("Sell",E167)))</formula>
    </cfRule>
  </conditionalFormatting>
  <conditionalFormatting sqref="E166">
    <cfRule type="containsText" dxfId="7861" priority="474" operator="containsText" text="Buy">
      <formula>NOT(ISERROR(SEARCH("Buy",E166)))</formula>
    </cfRule>
    <cfRule type="containsText" dxfId="7860" priority="475" operator="containsText" text="Sell">
      <formula>NOT(ISERROR(SEARCH("Sell",E166)))</formula>
    </cfRule>
  </conditionalFormatting>
  <conditionalFormatting sqref="E163">
    <cfRule type="containsText" dxfId="7859" priority="472" operator="containsText" text="Buy">
      <formula>NOT(ISERROR(SEARCH("Buy",E163)))</formula>
    </cfRule>
    <cfRule type="containsText" dxfId="7858" priority="473" operator="containsText" text="Sell">
      <formula>NOT(ISERROR(SEARCH("Sell",E163)))</formula>
    </cfRule>
  </conditionalFormatting>
  <conditionalFormatting sqref="E162">
    <cfRule type="containsText" dxfId="7857" priority="470" operator="containsText" text="Buy">
      <formula>NOT(ISERROR(SEARCH("Buy",E162)))</formula>
    </cfRule>
    <cfRule type="containsText" dxfId="7856" priority="471" operator="containsText" text="Sell">
      <formula>NOT(ISERROR(SEARCH("Sell",E162)))</formula>
    </cfRule>
  </conditionalFormatting>
  <conditionalFormatting sqref="E159">
    <cfRule type="containsText" dxfId="7855" priority="468" operator="containsText" text="Buy">
      <formula>NOT(ISERROR(SEARCH("Buy",E159)))</formula>
    </cfRule>
    <cfRule type="containsText" dxfId="7854" priority="469" operator="containsText" text="Sell">
      <formula>NOT(ISERROR(SEARCH("Sell",E159)))</formula>
    </cfRule>
  </conditionalFormatting>
  <conditionalFormatting sqref="E158">
    <cfRule type="containsText" dxfId="7853" priority="466" operator="containsText" text="Buy">
      <formula>NOT(ISERROR(SEARCH("Buy",E158)))</formula>
    </cfRule>
    <cfRule type="containsText" dxfId="7852" priority="467" operator="containsText" text="Sell">
      <formula>NOT(ISERROR(SEARCH("Sell",E158)))</formula>
    </cfRule>
  </conditionalFormatting>
  <conditionalFormatting sqref="E157">
    <cfRule type="containsText" dxfId="7851" priority="464" operator="containsText" text="Buy">
      <formula>NOT(ISERROR(SEARCH("Buy",E157)))</formula>
    </cfRule>
    <cfRule type="containsText" dxfId="7850" priority="465" operator="containsText" text="Sell">
      <formula>NOT(ISERROR(SEARCH("Sell",E157)))</formula>
    </cfRule>
  </conditionalFormatting>
  <conditionalFormatting sqref="E155:E156">
    <cfRule type="containsText" dxfId="7849" priority="462" operator="containsText" text="Buy">
      <formula>NOT(ISERROR(SEARCH("Buy",E155)))</formula>
    </cfRule>
    <cfRule type="containsText" dxfId="7848" priority="463" operator="containsText" text="Sell">
      <formula>NOT(ISERROR(SEARCH("Sell",E155)))</formula>
    </cfRule>
  </conditionalFormatting>
  <conditionalFormatting sqref="E152 E148:E149">
    <cfRule type="containsText" dxfId="7847" priority="460" operator="containsText" text="Buy">
      <formula>NOT(ISERROR(SEARCH("Buy",E148)))</formula>
    </cfRule>
    <cfRule type="containsText" dxfId="7846" priority="461" operator="containsText" text="Sell">
      <formula>NOT(ISERROR(SEARCH("Sell",E148)))</formula>
    </cfRule>
  </conditionalFormatting>
  <conditionalFormatting sqref="E144">
    <cfRule type="containsText" dxfId="7845" priority="458" operator="containsText" text="Buy">
      <formula>NOT(ISERROR(SEARCH("Buy",E144)))</formula>
    </cfRule>
    <cfRule type="containsText" dxfId="7844" priority="459" operator="containsText" text="Sell">
      <formula>NOT(ISERROR(SEARCH("Sell",E144)))</formula>
    </cfRule>
  </conditionalFormatting>
  <conditionalFormatting sqref="E143">
    <cfRule type="containsText" dxfId="7843" priority="456" operator="containsText" text="Buy">
      <formula>NOT(ISERROR(SEARCH("Buy",E143)))</formula>
    </cfRule>
    <cfRule type="containsText" dxfId="7842" priority="457" operator="containsText" text="Sell">
      <formula>NOT(ISERROR(SEARCH("Sell",E143)))</formula>
    </cfRule>
  </conditionalFormatting>
  <conditionalFormatting sqref="E151">
    <cfRule type="containsText" dxfId="7841" priority="454" operator="containsText" text="Buy">
      <formula>NOT(ISERROR(SEARCH("Buy",E151)))</formula>
    </cfRule>
    <cfRule type="containsText" dxfId="7840" priority="455" operator="containsText" text="Sell">
      <formula>NOT(ISERROR(SEARCH("Sell",E151)))</formula>
    </cfRule>
  </conditionalFormatting>
  <conditionalFormatting sqref="E150">
    <cfRule type="containsText" dxfId="7839" priority="452" operator="containsText" text="Buy">
      <formula>NOT(ISERROR(SEARCH("Buy",E150)))</formula>
    </cfRule>
    <cfRule type="containsText" dxfId="7838" priority="453" operator="containsText" text="Sell">
      <formula>NOT(ISERROR(SEARCH("Sell",E150)))</formula>
    </cfRule>
  </conditionalFormatting>
  <conditionalFormatting sqref="E284">
    <cfRule type="containsText" dxfId="7837" priority="450" operator="containsText" text="Buy">
      <formula>NOT(ISERROR(SEARCH("Buy",E284)))</formula>
    </cfRule>
    <cfRule type="containsText" dxfId="7836" priority="451" operator="containsText" text="Sell">
      <formula>NOT(ISERROR(SEARCH("Sell",E284)))</formula>
    </cfRule>
  </conditionalFormatting>
  <conditionalFormatting sqref="E205">
    <cfRule type="containsText" dxfId="7835" priority="448" operator="containsText" text="Buy">
      <formula>NOT(ISERROR(SEARCH("Buy",E205)))</formula>
    </cfRule>
    <cfRule type="containsText" dxfId="7834" priority="449" operator="containsText" text="Sell">
      <formula>NOT(ISERROR(SEARCH("Sell",E205)))</formula>
    </cfRule>
  </conditionalFormatting>
  <conditionalFormatting sqref="E252">
    <cfRule type="containsText" dxfId="7833" priority="446" operator="containsText" text="Buy">
      <formula>NOT(ISERROR(SEARCH("Buy",E252)))</formula>
    </cfRule>
    <cfRule type="containsText" dxfId="7832" priority="447" operator="containsText" text="Sell">
      <formula>NOT(ISERROR(SEARCH("Sell",E252)))</formula>
    </cfRule>
  </conditionalFormatting>
  <conditionalFormatting sqref="E147">
    <cfRule type="containsText" dxfId="7831" priority="444" operator="containsText" text="Buy">
      <formula>NOT(ISERROR(SEARCH("Buy",E147)))</formula>
    </cfRule>
    <cfRule type="containsText" dxfId="7830" priority="445" operator="containsText" text="Sell">
      <formula>NOT(ISERROR(SEARCH("Sell",E147)))</formula>
    </cfRule>
  </conditionalFormatting>
  <conditionalFormatting sqref="E137">
    <cfRule type="containsText" dxfId="7829" priority="442" operator="containsText" text="Buy">
      <formula>NOT(ISERROR(SEARCH("Buy",E137)))</formula>
    </cfRule>
    <cfRule type="containsText" dxfId="7828" priority="443" operator="containsText" text="Sell">
      <formula>NOT(ISERROR(SEARCH("Sell",E137)))</formula>
    </cfRule>
  </conditionalFormatting>
  <conditionalFormatting sqref="E251">
    <cfRule type="containsText" dxfId="7827" priority="440" operator="containsText" text="Buy">
      <formula>NOT(ISERROR(SEARCH("Buy",E251)))</formula>
    </cfRule>
    <cfRule type="containsText" dxfId="7826" priority="441" operator="containsText" text="Sell">
      <formula>NOT(ISERROR(SEARCH("Sell",E251)))</formula>
    </cfRule>
  </conditionalFormatting>
  <conditionalFormatting sqref="E250">
    <cfRule type="containsText" dxfId="7825" priority="438" operator="containsText" text="Buy">
      <formula>NOT(ISERROR(SEARCH("Buy",E250)))</formula>
    </cfRule>
    <cfRule type="containsText" dxfId="7824" priority="439" operator="containsText" text="Sell">
      <formula>NOT(ISERROR(SEARCH("Sell",E250)))</formula>
    </cfRule>
  </conditionalFormatting>
  <conditionalFormatting sqref="E321:E323">
    <cfRule type="containsText" dxfId="7823" priority="436" operator="containsText" text="Buy">
      <formula>NOT(ISERROR(SEARCH("Buy",E321)))</formula>
    </cfRule>
    <cfRule type="containsText" dxfId="7822" priority="437" operator="containsText" text="Sell">
      <formula>NOT(ISERROR(SEARCH("Sell",E321)))</formula>
    </cfRule>
  </conditionalFormatting>
  <conditionalFormatting sqref="E306">
    <cfRule type="containsText" dxfId="7821" priority="434" operator="containsText" text="Buy">
      <formula>NOT(ISERROR(SEARCH("Buy",E306)))</formula>
    </cfRule>
    <cfRule type="containsText" dxfId="7820" priority="435" operator="containsText" text="Sell">
      <formula>NOT(ISERROR(SEARCH("Sell",E306)))</formula>
    </cfRule>
  </conditionalFormatting>
  <conditionalFormatting sqref="E305">
    <cfRule type="containsText" dxfId="7819" priority="432" operator="containsText" text="Buy">
      <formula>NOT(ISERROR(SEARCH("Buy",E305)))</formula>
    </cfRule>
    <cfRule type="containsText" dxfId="7818" priority="433" operator="containsText" text="Sell">
      <formula>NOT(ISERROR(SEARCH("Sell",E305)))</formula>
    </cfRule>
  </conditionalFormatting>
  <conditionalFormatting sqref="E142">
    <cfRule type="containsText" dxfId="7817" priority="430" operator="containsText" text="Buy">
      <formula>NOT(ISERROR(SEARCH("Buy",E142)))</formula>
    </cfRule>
    <cfRule type="containsText" dxfId="7816" priority="431" operator="containsText" text="Sell">
      <formula>NOT(ISERROR(SEARCH("Sell",E142)))</formula>
    </cfRule>
  </conditionalFormatting>
  <conditionalFormatting sqref="E271">
    <cfRule type="containsText" dxfId="7815" priority="428" operator="containsText" text="Buy">
      <formula>NOT(ISERROR(SEARCH("Buy",E271)))</formula>
    </cfRule>
    <cfRule type="containsText" dxfId="7814" priority="429" operator="containsText" text="Sell">
      <formula>NOT(ISERROR(SEARCH("Sell",E271)))</formula>
    </cfRule>
  </conditionalFormatting>
  <conditionalFormatting sqref="E268">
    <cfRule type="containsText" dxfId="7813" priority="426" operator="containsText" text="Buy">
      <formula>NOT(ISERROR(SEARCH("Buy",E268)))</formula>
    </cfRule>
    <cfRule type="containsText" dxfId="7812" priority="427" operator="containsText" text="Sell">
      <formula>NOT(ISERROR(SEARCH("Sell",E268)))</formula>
    </cfRule>
  </conditionalFormatting>
  <conditionalFormatting sqref="E133:E134">
    <cfRule type="containsText" dxfId="7811" priority="424" operator="containsText" text="Buy">
      <formula>NOT(ISERROR(SEARCH("Buy",E133)))</formula>
    </cfRule>
    <cfRule type="containsText" dxfId="7810" priority="425" operator="containsText" text="Sell">
      <formula>NOT(ISERROR(SEARCH("Sell",E133)))</formula>
    </cfRule>
  </conditionalFormatting>
  <conditionalFormatting sqref="E130:E131">
    <cfRule type="containsText" dxfId="7809" priority="422" operator="containsText" text="Buy">
      <formula>NOT(ISERROR(SEARCH("Buy",E130)))</formula>
    </cfRule>
    <cfRule type="containsText" dxfId="7808" priority="423" operator="containsText" text="Sell">
      <formula>NOT(ISERROR(SEARCH("Sell",E130)))</formula>
    </cfRule>
  </conditionalFormatting>
  <conditionalFormatting sqref="E304">
    <cfRule type="containsText" dxfId="7807" priority="420" operator="containsText" text="Buy">
      <formula>NOT(ISERROR(SEARCH("Buy",E304)))</formula>
    </cfRule>
    <cfRule type="containsText" dxfId="7806" priority="421" operator="containsText" text="Sell">
      <formula>NOT(ISERROR(SEARCH("Sell",E304)))</formula>
    </cfRule>
  </conditionalFormatting>
  <conditionalFormatting sqref="E127:E128">
    <cfRule type="containsText" dxfId="7805" priority="418" operator="containsText" text="Buy">
      <formula>NOT(ISERROR(SEARCH("Buy",E127)))</formula>
    </cfRule>
    <cfRule type="containsText" dxfId="7804" priority="419" operator="containsText" text="Sell">
      <formula>NOT(ISERROR(SEARCH("Sell",E127)))</formula>
    </cfRule>
  </conditionalFormatting>
  <conditionalFormatting sqref="E124:E125">
    <cfRule type="containsText" dxfId="7803" priority="416" operator="containsText" text="Buy">
      <formula>NOT(ISERROR(SEARCH("Buy",E124)))</formula>
    </cfRule>
    <cfRule type="containsText" dxfId="7802" priority="417" operator="containsText" text="Sell">
      <formula>NOT(ISERROR(SEARCH("Sell",E124)))</formula>
    </cfRule>
  </conditionalFormatting>
  <conditionalFormatting sqref="E196">
    <cfRule type="containsText" dxfId="7801" priority="414" operator="containsText" text="Buy">
      <formula>NOT(ISERROR(SEARCH("Buy",E196)))</formula>
    </cfRule>
    <cfRule type="containsText" dxfId="7800" priority="415" operator="containsText" text="Sell">
      <formula>NOT(ISERROR(SEARCH("Sell",E196)))</formula>
    </cfRule>
  </conditionalFormatting>
  <conditionalFormatting sqref="E122">
    <cfRule type="containsText" dxfId="7799" priority="412" operator="containsText" text="Buy">
      <formula>NOT(ISERROR(SEARCH("Buy",E122)))</formula>
    </cfRule>
    <cfRule type="containsText" dxfId="7798" priority="413" operator="containsText" text="Sell">
      <formula>NOT(ISERROR(SEARCH("Sell",E122)))</formula>
    </cfRule>
  </conditionalFormatting>
  <conditionalFormatting sqref="E121">
    <cfRule type="containsText" dxfId="7797" priority="410" operator="containsText" text="Buy">
      <formula>NOT(ISERROR(SEARCH("Buy",E121)))</formula>
    </cfRule>
    <cfRule type="containsText" dxfId="7796" priority="411" operator="containsText" text="Sell">
      <formula>NOT(ISERROR(SEARCH("Sell",E121)))</formula>
    </cfRule>
  </conditionalFormatting>
  <conditionalFormatting sqref="E333">
    <cfRule type="containsText" dxfId="7795" priority="408" operator="containsText" text="Buy">
      <formula>NOT(ISERROR(SEARCH("Buy",E333)))</formula>
    </cfRule>
    <cfRule type="containsText" dxfId="7794" priority="409" operator="containsText" text="Sell">
      <formula>NOT(ISERROR(SEARCH("Sell",E333)))</formula>
    </cfRule>
  </conditionalFormatting>
  <conditionalFormatting sqref="E350">
    <cfRule type="containsText" dxfId="7793" priority="406" operator="containsText" text="Buy">
      <formula>NOT(ISERROR(SEARCH("Buy",E350)))</formula>
    </cfRule>
    <cfRule type="containsText" dxfId="7792" priority="407" operator="containsText" text="Sell">
      <formula>NOT(ISERROR(SEARCH("Sell",E350)))</formula>
    </cfRule>
  </conditionalFormatting>
  <conditionalFormatting sqref="E113:E114">
    <cfRule type="containsText" dxfId="7791" priority="404" operator="containsText" text="Buy">
      <formula>NOT(ISERROR(SEARCH("Buy",E113)))</formula>
    </cfRule>
    <cfRule type="containsText" dxfId="7790" priority="405" operator="containsText" text="Sell">
      <formula>NOT(ISERROR(SEARCH("Sell",E113)))</formula>
    </cfRule>
  </conditionalFormatting>
  <conditionalFormatting sqref="E328">
    <cfRule type="containsText" dxfId="7789" priority="402" operator="containsText" text="Buy">
      <formula>NOT(ISERROR(SEARCH("Buy",E328)))</formula>
    </cfRule>
    <cfRule type="containsText" dxfId="7788" priority="403" operator="containsText" text="Sell">
      <formula>NOT(ISERROR(SEARCH("Sell",E328)))</formula>
    </cfRule>
  </conditionalFormatting>
  <conditionalFormatting sqref="E324">
    <cfRule type="containsText" dxfId="7787" priority="400" operator="containsText" text="Buy">
      <formula>NOT(ISERROR(SEARCH("Buy",E324)))</formula>
    </cfRule>
    <cfRule type="containsText" dxfId="7786" priority="401" operator="containsText" text="Sell">
      <formula>NOT(ISERROR(SEARCH("Sell",E324)))</formula>
    </cfRule>
  </conditionalFormatting>
  <conditionalFormatting sqref="E62:E63 E105 E102 E99 E96 E87 E66 E81">
    <cfRule type="containsText" dxfId="7785" priority="398" operator="containsText" text="Buy">
      <formula>NOT(ISERROR(SEARCH("Buy",E62)))</formula>
    </cfRule>
    <cfRule type="containsText" dxfId="7784" priority="399" operator="containsText" text="Sell">
      <formula>NOT(ISERROR(SEARCH("Sell",E62)))</formula>
    </cfRule>
  </conditionalFormatting>
  <conditionalFormatting sqref="E195">
    <cfRule type="containsText" dxfId="7783" priority="396" operator="containsText" text="Buy">
      <formula>NOT(ISERROR(SEARCH("Buy",E195)))</formula>
    </cfRule>
    <cfRule type="containsText" dxfId="7782" priority="397" operator="containsText" text="Sell">
      <formula>NOT(ISERROR(SEARCH("Sell",E195)))</formula>
    </cfRule>
  </conditionalFormatting>
  <conditionalFormatting sqref="E249">
    <cfRule type="containsText" dxfId="7781" priority="394" operator="containsText" text="Buy">
      <formula>NOT(ISERROR(SEARCH("Buy",E249)))</formula>
    </cfRule>
    <cfRule type="containsText" dxfId="7780" priority="395" operator="containsText" text="Sell">
      <formula>NOT(ISERROR(SEARCH("Sell",E249)))</formula>
    </cfRule>
  </conditionalFormatting>
  <conditionalFormatting sqref="E204">
    <cfRule type="containsText" dxfId="7779" priority="392" operator="containsText" text="Buy">
      <formula>NOT(ISERROR(SEARCH("Buy",E204)))</formula>
    </cfRule>
    <cfRule type="containsText" dxfId="7778" priority="393" operator="containsText" text="Sell">
      <formula>NOT(ISERROR(SEARCH("Sell",E204)))</formula>
    </cfRule>
  </conditionalFormatting>
  <conditionalFormatting sqref="E139">
    <cfRule type="containsText" dxfId="7777" priority="390" operator="containsText" text="Buy">
      <formula>NOT(ISERROR(SEARCH("Buy",E139)))</formula>
    </cfRule>
    <cfRule type="containsText" dxfId="7776" priority="391" operator="containsText" text="Sell">
      <formula>NOT(ISERROR(SEARCH("Sell",E139)))</formula>
    </cfRule>
  </conditionalFormatting>
  <conditionalFormatting sqref="E47">
    <cfRule type="containsText" dxfId="7775" priority="388" operator="containsText" text="Buy">
      <formula>NOT(ISERROR(SEARCH("Buy",E47)))</formula>
    </cfRule>
    <cfRule type="containsText" dxfId="7774" priority="389" operator="containsText" text="Sell">
      <formula>NOT(ISERROR(SEARCH("Sell",E47)))</formula>
    </cfRule>
  </conditionalFormatting>
  <conditionalFormatting sqref="E60">
    <cfRule type="containsText" dxfId="7773" priority="382" operator="containsText" text="Buy">
      <formula>NOT(ISERROR(SEARCH("Buy",E60)))</formula>
    </cfRule>
    <cfRule type="containsText" dxfId="7772" priority="383" operator="containsText" text="Sell">
      <formula>NOT(ISERROR(SEARCH("Sell",E60)))</formula>
    </cfRule>
  </conditionalFormatting>
  <conditionalFormatting sqref="E295">
    <cfRule type="containsText" dxfId="7771" priority="384" operator="containsText" text="Buy">
      <formula>NOT(ISERROR(SEARCH("Buy",E295)))</formula>
    </cfRule>
    <cfRule type="containsText" dxfId="7770" priority="385" operator="containsText" text="Sell">
      <formula>NOT(ISERROR(SEARCH("Sell",E295)))</formula>
    </cfRule>
  </conditionalFormatting>
  <conditionalFormatting sqref="E349">
    <cfRule type="containsText" dxfId="7769" priority="380" operator="containsText" text="Buy">
      <formula>NOT(ISERROR(SEARCH("Buy",E349)))</formula>
    </cfRule>
    <cfRule type="containsText" dxfId="7768" priority="381" operator="containsText" text="Sell">
      <formula>NOT(ISERROR(SEARCH("Sell",E349)))</formula>
    </cfRule>
  </conditionalFormatting>
  <conditionalFormatting sqref="E110:E111">
    <cfRule type="containsText" dxfId="7767" priority="378" operator="containsText" text="Buy">
      <formula>NOT(ISERROR(SEARCH("Buy",E110)))</formula>
    </cfRule>
    <cfRule type="containsText" dxfId="7766" priority="379" operator="containsText" text="Sell">
      <formula>NOT(ISERROR(SEARCH("Sell",E110)))</formula>
    </cfRule>
  </conditionalFormatting>
  <conditionalFormatting sqref="E194">
    <cfRule type="containsText" dxfId="7765" priority="376" operator="containsText" text="Buy">
      <formula>NOT(ISERROR(SEARCH("Buy",E194)))</formula>
    </cfRule>
    <cfRule type="containsText" dxfId="7764" priority="377" operator="containsText" text="Sell">
      <formula>NOT(ISERROR(SEARCH("Sell",E194)))</formula>
    </cfRule>
  </conditionalFormatting>
  <conditionalFormatting sqref="E59">
    <cfRule type="containsText" dxfId="7763" priority="374" operator="containsText" text="Buy">
      <formula>NOT(ISERROR(SEARCH("Buy",E59)))</formula>
    </cfRule>
    <cfRule type="containsText" dxfId="7762" priority="375" operator="containsText" text="Sell">
      <formula>NOT(ISERROR(SEARCH("Sell",E59)))</formula>
    </cfRule>
  </conditionalFormatting>
  <conditionalFormatting sqref="E267">
    <cfRule type="containsText" dxfId="7761" priority="372" operator="containsText" text="Buy">
      <formula>NOT(ISERROR(SEARCH("Buy",E267)))</formula>
    </cfRule>
    <cfRule type="containsText" dxfId="7760" priority="373" operator="containsText" text="Sell">
      <formula>NOT(ISERROR(SEARCH("Sell",E267)))</formula>
    </cfRule>
  </conditionalFormatting>
  <conditionalFormatting sqref="E106:E107">
    <cfRule type="containsText" dxfId="7759" priority="370" operator="containsText" text="Buy">
      <formula>NOT(ISERROR(SEARCH("Buy",E106)))</formula>
    </cfRule>
    <cfRule type="containsText" dxfId="7758" priority="371" operator="containsText" text="Sell">
      <formula>NOT(ISERROR(SEARCH("Sell",E106)))</formula>
    </cfRule>
  </conditionalFormatting>
  <conditionalFormatting sqref="E344">
    <cfRule type="containsText" dxfId="7757" priority="368" operator="containsText" text="Buy">
      <formula>NOT(ISERROR(SEARCH("Buy",E344)))</formula>
    </cfRule>
    <cfRule type="containsText" dxfId="7756" priority="369" operator="containsText" text="Sell">
      <formula>NOT(ISERROR(SEARCH("Sell",E344)))</formula>
    </cfRule>
  </conditionalFormatting>
  <conditionalFormatting sqref="E103:E104">
    <cfRule type="containsText" dxfId="7755" priority="366" operator="containsText" text="Buy">
      <formula>NOT(ISERROR(SEARCH("Buy",E103)))</formula>
    </cfRule>
    <cfRule type="containsText" dxfId="7754" priority="367" operator="containsText" text="Sell">
      <formula>NOT(ISERROR(SEARCH("Sell",E103)))</formula>
    </cfRule>
  </conditionalFormatting>
  <conditionalFormatting sqref="E100:E101">
    <cfRule type="containsText" dxfId="7753" priority="364" operator="containsText" text="Buy">
      <formula>NOT(ISERROR(SEARCH("Buy",E100)))</formula>
    </cfRule>
    <cfRule type="containsText" dxfId="7752" priority="365" operator="containsText" text="Sell">
      <formula>NOT(ISERROR(SEARCH("Sell",E100)))</formula>
    </cfRule>
  </conditionalFormatting>
  <conditionalFormatting sqref="E234">
    <cfRule type="containsText" dxfId="7751" priority="362" operator="containsText" text="Buy">
      <formula>NOT(ISERROR(SEARCH("Buy",E234)))</formula>
    </cfRule>
    <cfRule type="containsText" dxfId="7750" priority="363" operator="containsText" text="Sell">
      <formula>NOT(ISERROR(SEARCH("Sell",E234)))</formula>
    </cfRule>
  </conditionalFormatting>
  <conditionalFormatting sqref="E348">
    <cfRule type="containsText" dxfId="7749" priority="360" operator="containsText" text="Buy">
      <formula>NOT(ISERROR(SEARCH("Buy",E348)))</formula>
    </cfRule>
    <cfRule type="containsText" dxfId="7748" priority="361" operator="containsText" text="Sell">
      <formula>NOT(ISERROR(SEARCH("Sell",E348)))</formula>
    </cfRule>
  </conditionalFormatting>
  <conditionalFormatting sqref="E332">
    <cfRule type="containsText" dxfId="7747" priority="358" operator="containsText" text="Buy">
      <formula>NOT(ISERROR(SEARCH("Buy",E332)))</formula>
    </cfRule>
    <cfRule type="containsText" dxfId="7746" priority="359" operator="containsText" text="Sell">
      <formula>NOT(ISERROR(SEARCH("Sell",E332)))</formula>
    </cfRule>
  </conditionalFormatting>
  <conditionalFormatting sqref="E109">
    <cfRule type="containsText" dxfId="7745" priority="356" operator="containsText" text="Buy">
      <formula>NOT(ISERROR(SEARCH("Buy",E109)))</formula>
    </cfRule>
    <cfRule type="containsText" dxfId="7744" priority="357" operator="containsText" text="Sell">
      <formula>NOT(ISERROR(SEARCH("Sell",E109)))</formula>
    </cfRule>
  </conditionalFormatting>
  <conditionalFormatting sqref="E97:E98">
    <cfRule type="containsText" dxfId="7743" priority="354" operator="containsText" text="Buy">
      <formula>NOT(ISERROR(SEARCH("Buy",E97)))</formula>
    </cfRule>
    <cfRule type="containsText" dxfId="7742" priority="355" operator="containsText" text="Sell">
      <formula>NOT(ISERROR(SEARCH("Sell",E97)))</formula>
    </cfRule>
  </conditionalFormatting>
  <conditionalFormatting sqref="E91:E93">
    <cfRule type="containsText" dxfId="7741" priority="352" operator="containsText" text="Buy">
      <formula>NOT(ISERROR(SEARCH("Buy",E91)))</formula>
    </cfRule>
    <cfRule type="containsText" dxfId="7740" priority="353" operator="containsText" text="Sell">
      <formula>NOT(ISERROR(SEARCH("Sell",E91)))</formula>
    </cfRule>
  </conditionalFormatting>
  <conditionalFormatting sqref="E116">
    <cfRule type="containsText" dxfId="7739" priority="350" operator="containsText" text="Buy">
      <formula>NOT(ISERROR(SEARCH("Buy",E116)))</formula>
    </cfRule>
    <cfRule type="containsText" dxfId="7738" priority="351" operator="containsText" text="Sell">
      <formula>NOT(ISERROR(SEARCH("Sell",E116)))</formula>
    </cfRule>
  </conditionalFormatting>
  <conditionalFormatting sqref="E294">
    <cfRule type="containsText" dxfId="7737" priority="348" operator="containsText" text="Buy">
      <formula>NOT(ISERROR(SEARCH("Buy",E294)))</formula>
    </cfRule>
    <cfRule type="containsText" dxfId="7736" priority="349" operator="containsText" text="Sell">
      <formula>NOT(ISERROR(SEARCH("Sell",E294)))</formula>
    </cfRule>
  </conditionalFormatting>
  <conditionalFormatting sqref="E265">
    <cfRule type="containsText" dxfId="7735" priority="344" operator="containsText" text="Buy">
      <formula>NOT(ISERROR(SEARCH("Buy",E265)))</formula>
    </cfRule>
    <cfRule type="containsText" dxfId="7734" priority="345" operator="containsText" text="Sell">
      <formula>NOT(ISERROR(SEARCH("Sell",E265)))</formula>
    </cfRule>
  </conditionalFormatting>
  <conditionalFormatting sqref="E224">
    <cfRule type="containsText" dxfId="7733" priority="342" operator="containsText" text="Buy">
      <formula>NOT(ISERROR(SEARCH("Buy",E224)))</formula>
    </cfRule>
    <cfRule type="containsText" dxfId="7732" priority="343" operator="containsText" text="Sell">
      <formula>NOT(ISERROR(SEARCH("Sell",E224)))</formula>
    </cfRule>
  </conditionalFormatting>
  <conditionalFormatting sqref="E266">
    <cfRule type="containsText" dxfId="7731" priority="346" operator="containsText" text="Buy">
      <formula>NOT(ISERROR(SEARCH("Buy",E266)))</formula>
    </cfRule>
    <cfRule type="containsText" dxfId="7730" priority="347" operator="containsText" text="Sell">
      <formula>NOT(ISERROR(SEARCH("Sell",E266)))</formula>
    </cfRule>
  </conditionalFormatting>
  <conditionalFormatting sqref="E64:E65">
    <cfRule type="containsText" dxfId="7729" priority="330" operator="containsText" text="Buy">
      <formula>NOT(ISERROR(SEARCH("Buy",E64)))</formula>
    </cfRule>
    <cfRule type="containsText" dxfId="7728" priority="331" operator="containsText" text="Sell">
      <formula>NOT(ISERROR(SEARCH("Sell",E64)))</formula>
    </cfRule>
  </conditionalFormatting>
  <conditionalFormatting sqref="E44">
    <cfRule type="containsText" dxfId="7727" priority="340" operator="containsText" text="Buy">
      <formula>NOT(ISERROR(SEARCH("Buy",E44)))</formula>
    </cfRule>
    <cfRule type="containsText" dxfId="7726" priority="341" operator="containsText" text="Sell">
      <formula>NOT(ISERROR(SEARCH("Sell",E44)))</formula>
    </cfRule>
  </conditionalFormatting>
  <conditionalFormatting sqref="E154">
    <cfRule type="containsText" dxfId="7725" priority="336" operator="containsText" text="Buy">
      <formula>NOT(ISERROR(SEARCH("Buy",E154)))</formula>
    </cfRule>
    <cfRule type="containsText" dxfId="7724" priority="337" operator="containsText" text="Sell">
      <formula>NOT(ISERROR(SEARCH("Sell",E154)))</formula>
    </cfRule>
  </conditionalFormatting>
  <conditionalFormatting sqref="E27">
    <cfRule type="containsText" dxfId="7723" priority="334" operator="containsText" text="Buy">
      <formula>NOT(ISERROR(SEARCH("Buy",E27)))</formula>
    </cfRule>
    <cfRule type="containsText" dxfId="7722" priority="335" operator="containsText" text="Sell">
      <formula>NOT(ISERROR(SEARCH("Sell",E27)))</formula>
    </cfRule>
  </conditionalFormatting>
  <conditionalFormatting sqref="E82:E84">
    <cfRule type="containsText" dxfId="7721" priority="332" operator="containsText" text="Buy">
      <formula>NOT(ISERROR(SEARCH("Buy",E82)))</formula>
    </cfRule>
    <cfRule type="containsText" dxfId="7720" priority="333" operator="containsText" text="Sell">
      <formula>NOT(ISERROR(SEARCH("Sell",E82)))</formula>
    </cfRule>
  </conditionalFormatting>
  <conditionalFormatting sqref="E50">
    <cfRule type="containsText" dxfId="7719" priority="312" operator="containsText" text="Buy">
      <formula>NOT(ISERROR(SEARCH("Buy",E50)))</formula>
    </cfRule>
    <cfRule type="containsText" dxfId="7718" priority="313" operator="containsText" text="Sell">
      <formula>NOT(ISERROR(SEARCH("Sell",E50)))</formula>
    </cfRule>
  </conditionalFormatting>
  <conditionalFormatting sqref="E67:E69">
    <cfRule type="containsText" dxfId="7717" priority="328" operator="containsText" text="Buy">
      <formula>NOT(ISERROR(SEARCH("Buy",E67)))</formula>
    </cfRule>
    <cfRule type="containsText" dxfId="7716" priority="329" operator="containsText" text="Sell">
      <formula>NOT(ISERROR(SEARCH("Sell",E67)))</formula>
    </cfRule>
  </conditionalFormatting>
  <conditionalFormatting sqref="E70:E72">
    <cfRule type="containsText" dxfId="7715" priority="326" operator="containsText" text="Buy">
      <formula>NOT(ISERROR(SEARCH("Buy",E70)))</formula>
    </cfRule>
    <cfRule type="containsText" dxfId="7714" priority="327" operator="containsText" text="Sell">
      <formula>NOT(ISERROR(SEARCH("Sell",E70)))</formula>
    </cfRule>
  </conditionalFormatting>
  <conditionalFormatting sqref="E73:E75">
    <cfRule type="containsText" dxfId="7713" priority="324" operator="containsText" text="Buy">
      <formula>NOT(ISERROR(SEARCH("Buy",E73)))</formula>
    </cfRule>
    <cfRule type="containsText" dxfId="7712" priority="325" operator="containsText" text="Sell">
      <formula>NOT(ISERROR(SEARCH("Sell",E73)))</formula>
    </cfRule>
  </conditionalFormatting>
  <conditionalFormatting sqref="E76:E78">
    <cfRule type="containsText" dxfId="7711" priority="322" operator="containsText" text="Buy">
      <formula>NOT(ISERROR(SEARCH("Buy",E76)))</formula>
    </cfRule>
    <cfRule type="containsText" dxfId="7710" priority="323" operator="containsText" text="Sell">
      <formula>NOT(ISERROR(SEARCH("Sell",E76)))</formula>
    </cfRule>
  </conditionalFormatting>
  <conditionalFormatting sqref="E79:E80">
    <cfRule type="containsText" dxfId="7709" priority="320" operator="containsText" text="Buy">
      <formula>NOT(ISERROR(SEARCH("Buy",E79)))</formula>
    </cfRule>
    <cfRule type="containsText" dxfId="7708" priority="321" operator="containsText" text="Sell">
      <formula>NOT(ISERROR(SEARCH("Sell",E79)))</formula>
    </cfRule>
  </conditionalFormatting>
  <conditionalFormatting sqref="E94:E95">
    <cfRule type="containsText" dxfId="7707" priority="318" operator="containsText" text="Buy">
      <formula>NOT(ISERROR(SEARCH("Buy",E94)))</formula>
    </cfRule>
    <cfRule type="containsText" dxfId="7706" priority="319" operator="containsText" text="Sell">
      <formula>NOT(ISERROR(SEARCH("Sell",E94)))</formula>
    </cfRule>
  </conditionalFormatting>
  <conditionalFormatting sqref="E136">
    <cfRule type="containsText" dxfId="7705" priority="316" operator="containsText" text="Buy">
      <formula>NOT(ISERROR(SEARCH("Buy",E136)))</formula>
    </cfRule>
    <cfRule type="containsText" dxfId="7704" priority="317" operator="containsText" text="Sell">
      <formula>NOT(ISERROR(SEARCH("Sell",E136)))</formula>
    </cfRule>
  </conditionalFormatting>
  <conditionalFormatting sqref="E51:E52">
    <cfRule type="containsText" dxfId="7703" priority="314" operator="containsText" text="Buy">
      <formula>NOT(ISERROR(SEARCH("Buy",E51)))</formula>
    </cfRule>
    <cfRule type="containsText" dxfId="7702" priority="315" operator="containsText" text="Sell">
      <formula>NOT(ISERROR(SEARCH("Sell",E51)))</formula>
    </cfRule>
  </conditionalFormatting>
  <conditionalFormatting sqref="E85:E86">
    <cfRule type="containsText" dxfId="7701" priority="310" operator="containsText" text="Buy">
      <formula>NOT(ISERROR(SEARCH("Buy",E85)))</formula>
    </cfRule>
    <cfRule type="containsText" dxfId="7700" priority="311" operator="containsText" text="Sell">
      <formula>NOT(ISERROR(SEARCH("Sell",E85)))</formula>
    </cfRule>
  </conditionalFormatting>
  <conditionalFormatting sqref="E88:E89">
    <cfRule type="containsText" dxfId="7699" priority="308" operator="containsText" text="Buy">
      <formula>NOT(ISERROR(SEARCH("Buy",E88)))</formula>
    </cfRule>
    <cfRule type="containsText" dxfId="7698" priority="309" operator="containsText" text="Sell">
      <formula>NOT(ISERROR(SEARCH("Sell",E88)))</formula>
    </cfRule>
  </conditionalFormatting>
  <conditionalFormatting sqref="E301">
    <cfRule type="containsText" dxfId="7697" priority="306" operator="containsText" text="Buy">
      <formula>NOT(ISERROR(SEARCH("Buy",E301)))</formula>
    </cfRule>
    <cfRule type="containsText" dxfId="7696" priority="307" operator="containsText" text="Sell">
      <formula>NOT(ISERROR(SEARCH("Sell",E301)))</formula>
    </cfRule>
  </conditionalFormatting>
  <conditionalFormatting sqref="E120">
    <cfRule type="containsText" dxfId="7695" priority="304" operator="containsText" text="Buy">
      <formula>NOT(ISERROR(SEARCH("Buy",E120)))</formula>
    </cfRule>
    <cfRule type="containsText" dxfId="7694" priority="305" operator="containsText" text="Sell">
      <formula>NOT(ISERROR(SEARCH("Sell",E120)))</formula>
    </cfRule>
  </conditionalFormatting>
  <conditionalFormatting sqref="E119">
    <cfRule type="containsText" dxfId="7693" priority="302" operator="containsText" text="Buy">
      <formula>NOT(ISERROR(SEARCH("Buy",E119)))</formula>
    </cfRule>
    <cfRule type="containsText" dxfId="7692" priority="303" operator="containsText" text="Sell">
      <formula>NOT(ISERROR(SEARCH("Sell",E119)))</formula>
    </cfRule>
  </conditionalFormatting>
  <conditionalFormatting sqref="E118">
    <cfRule type="containsText" dxfId="7691" priority="300" operator="containsText" text="Buy">
      <formula>NOT(ISERROR(SEARCH("Buy",E118)))</formula>
    </cfRule>
    <cfRule type="containsText" dxfId="7690" priority="301" operator="containsText" text="Sell">
      <formula>NOT(ISERROR(SEARCH("Sell",E118)))</formula>
    </cfRule>
  </conditionalFormatting>
  <conditionalFormatting sqref="E117">
    <cfRule type="containsText" dxfId="7689" priority="298" operator="containsText" text="Buy">
      <formula>NOT(ISERROR(SEARCH("Buy",E117)))</formula>
    </cfRule>
    <cfRule type="containsText" dxfId="7688" priority="299" operator="containsText" text="Sell">
      <formula>NOT(ISERROR(SEARCH("Sell",E117)))</formula>
    </cfRule>
  </conditionalFormatting>
  <conditionalFormatting sqref="E140:E141">
    <cfRule type="containsText" dxfId="7687" priority="296" operator="containsText" text="Buy">
      <formula>NOT(ISERROR(SEARCH("Buy",E140)))</formula>
    </cfRule>
    <cfRule type="containsText" dxfId="7686" priority="297" operator="containsText" text="Sell">
      <formula>NOT(ISERROR(SEARCH("Sell",E140)))</formula>
    </cfRule>
  </conditionalFormatting>
  <conditionalFormatting sqref="E214:E216">
    <cfRule type="containsText" dxfId="7685" priority="294" operator="containsText" text="Buy">
      <formula>NOT(ISERROR(SEARCH("Buy",E214)))</formula>
    </cfRule>
    <cfRule type="containsText" dxfId="7684" priority="295" operator="containsText" text="Sell">
      <formula>NOT(ISERROR(SEARCH("Sell",E214)))</formula>
    </cfRule>
  </conditionalFormatting>
  <conditionalFormatting sqref="E193">
    <cfRule type="containsText" dxfId="7683" priority="292" operator="containsText" text="Buy">
      <formula>NOT(ISERROR(SEARCH("Buy",E193)))</formula>
    </cfRule>
    <cfRule type="containsText" dxfId="7682" priority="293" operator="containsText" text="Sell">
      <formula>NOT(ISERROR(SEARCH("Sell",E193)))</formula>
    </cfRule>
  </conditionalFormatting>
  <conditionalFormatting sqref="E192">
    <cfRule type="containsText" dxfId="7681" priority="290" operator="containsText" text="Buy">
      <formula>NOT(ISERROR(SEARCH("Buy",E192)))</formula>
    </cfRule>
    <cfRule type="containsText" dxfId="7680" priority="291" operator="containsText" text="Sell">
      <formula>NOT(ISERROR(SEARCH("Sell",E192)))</formula>
    </cfRule>
  </conditionalFormatting>
  <conditionalFormatting sqref="E58">
    <cfRule type="containsText" dxfId="7679" priority="288" operator="containsText" text="Buy">
      <formula>NOT(ISERROR(SEARCH("Buy",E58)))</formula>
    </cfRule>
    <cfRule type="containsText" dxfId="7678" priority="289" operator="containsText" text="Sell">
      <formula>NOT(ISERROR(SEARCH("Sell",E58)))</formula>
    </cfRule>
  </conditionalFormatting>
  <conditionalFormatting sqref="E186">
    <cfRule type="containsText" dxfId="7677" priority="286" operator="containsText" text="Buy">
      <formula>NOT(ISERROR(SEARCH("Buy",E186)))</formula>
    </cfRule>
    <cfRule type="containsText" dxfId="7676" priority="287" operator="containsText" text="Sell">
      <formula>NOT(ISERROR(SEARCH("Sell",E186)))</formula>
    </cfRule>
  </conditionalFormatting>
  <conditionalFormatting sqref="E191">
    <cfRule type="containsText" dxfId="7675" priority="284" operator="containsText" text="Buy">
      <formula>NOT(ISERROR(SEARCH("Buy",E191)))</formula>
    </cfRule>
    <cfRule type="containsText" dxfId="7674" priority="285" operator="containsText" text="Sell">
      <formula>NOT(ISERROR(SEARCH("Sell",E191)))</formula>
    </cfRule>
  </conditionalFormatting>
  <conditionalFormatting sqref="E190">
    <cfRule type="containsText" dxfId="7673" priority="282" operator="containsText" text="Buy">
      <formula>NOT(ISERROR(SEARCH("Buy",E190)))</formula>
    </cfRule>
    <cfRule type="containsText" dxfId="7672" priority="283" operator="containsText" text="Sell">
      <formula>NOT(ISERROR(SEARCH("Sell",E190)))</formula>
    </cfRule>
  </conditionalFormatting>
  <conditionalFormatting sqref="E300">
    <cfRule type="containsText" dxfId="7671" priority="280" operator="containsText" text="Buy">
      <formula>NOT(ISERROR(SEARCH("Buy",E300)))</formula>
    </cfRule>
    <cfRule type="containsText" dxfId="7670" priority="281" operator="containsText" text="Sell">
      <formula>NOT(ISERROR(SEARCH("Sell",E300)))</formula>
    </cfRule>
  </conditionalFormatting>
  <conditionalFormatting sqref="E175:E176">
    <cfRule type="containsText" dxfId="7669" priority="278" operator="containsText" text="Buy">
      <formula>NOT(ISERROR(SEARCH("Buy",E175)))</formula>
    </cfRule>
    <cfRule type="containsText" dxfId="7668" priority="279" operator="containsText" text="Sell">
      <formula>NOT(ISERROR(SEARCH("Sell",E175)))</formula>
    </cfRule>
  </conditionalFormatting>
  <conditionalFormatting sqref="E299">
    <cfRule type="containsText" dxfId="7667" priority="276" operator="containsText" text="Buy">
      <formula>NOT(ISERROR(SEARCH("Buy",E299)))</formula>
    </cfRule>
    <cfRule type="containsText" dxfId="7666" priority="277" operator="containsText" text="Sell">
      <formula>NOT(ISERROR(SEARCH("Sell",E299)))</formula>
    </cfRule>
  </conditionalFormatting>
  <conditionalFormatting sqref="E174">
    <cfRule type="containsText" dxfId="7665" priority="274" operator="containsText" text="Buy">
      <formula>NOT(ISERROR(SEARCH("Buy",E174)))</formula>
    </cfRule>
    <cfRule type="containsText" dxfId="7664" priority="275" operator="containsText" text="Sell">
      <formula>NOT(ISERROR(SEARCH("Sell",E174)))</formula>
    </cfRule>
  </conditionalFormatting>
  <conditionalFormatting sqref="E30">
    <cfRule type="containsText" dxfId="7663" priority="264" operator="containsText" text="Buy">
      <formula>NOT(ISERROR(SEARCH("Buy",E30)))</formula>
    </cfRule>
    <cfRule type="containsText" dxfId="7662" priority="265" operator="containsText" text="Sell">
      <formula>NOT(ISERROR(SEARCH("Sell",E30)))</formula>
    </cfRule>
  </conditionalFormatting>
  <conditionalFormatting sqref="E57">
    <cfRule type="containsText" dxfId="7661" priority="270" operator="containsText" text="Buy">
      <formula>NOT(ISERROR(SEARCH("Buy",E57)))</formula>
    </cfRule>
    <cfRule type="containsText" dxfId="7660" priority="271" operator="containsText" text="Sell">
      <formula>NOT(ISERROR(SEARCH("Sell",E57)))</formula>
    </cfRule>
  </conditionalFormatting>
  <conditionalFormatting sqref="E298">
    <cfRule type="containsText" dxfId="7659" priority="268" operator="containsText" text="Buy">
      <formula>NOT(ISERROR(SEARCH("Buy",E298)))</formula>
    </cfRule>
    <cfRule type="containsText" dxfId="7658" priority="269" operator="containsText" text="Sell">
      <formula>NOT(ISERROR(SEARCH("Sell",E298)))</formula>
    </cfRule>
  </conditionalFormatting>
  <conditionalFormatting sqref="E41">
    <cfRule type="containsText" dxfId="7657" priority="266" operator="containsText" text="Buy">
      <formula>NOT(ISERROR(SEARCH("Buy",E41)))</formula>
    </cfRule>
    <cfRule type="containsText" dxfId="7656" priority="267" operator="containsText" text="Sell">
      <formula>NOT(ISERROR(SEARCH("Sell",E41)))</formula>
    </cfRule>
  </conditionalFormatting>
  <conditionalFormatting sqref="E185">
    <cfRule type="containsText" dxfId="7655" priority="260" operator="containsText" text="Buy">
      <formula>NOT(ISERROR(SEARCH("Buy",E185)))</formula>
    </cfRule>
    <cfRule type="containsText" dxfId="7654" priority="261" operator="containsText" text="Sell">
      <formula>NOT(ISERROR(SEARCH("Sell",E185)))</formula>
    </cfRule>
  </conditionalFormatting>
  <conditionalFormatting sqref="E181">
    <cfRule type="containsText" dxfId="7653" priority="262" operator="containsText" text="Buy">
      <formula>NOT(ISERROR(SEARCH("Buy",E181)))</formula>
    </cfRule>
    <cfRule type="containsText" dxfId="7652" priority="263" operator="containsText" text="Sell">
      <formula>NOT(ISERROR(SEARCH("Sell",E181)))</formula>
    </cfRule>
  </conditionalFormatting>
  <conditionalFormatting sqref="E53">
    <cfRule type="containsText" dxfId="7651" priority="250" operator="containsText" text="Buy">
      <formula>NOT(ISERROR(SEARCH("Buy",E53)))</formula>
    </cfRule>
    <cfRule type="containsText" dxfId="7650" priority="251" operator="containsText" text="Sell">
      <formula>NOT(ISERROR(SEARCH("Sell",E53)))</formula>
    </cfRule>
  </conditionalFormatting>
  <conditionalFormatting sqref="E54">
    <cfRule type="containsText" dxfId="7649" priority="248" operator="containsText" text="Buy">
      <formula>NOT(ISERROR(SEARCH("Buy",E54)))</formula>
    </cfRule>
    <cfRule type="containsText" dxfId="7648" priority="249" operator="containsText" text="Sell">
      <formula>NOT(ISERROR(SEARCH("Sell",E54)))</formula>
    </cfRule>
  </conditionalFormatting>
  <conditionalFormatting sqref="E33">
    <cfRule type="containsText" dxfId="7647" priority="258" operator="containsText" text="Buy">
      <formula>NOT(ISERROR(SEARCH("Buy",E33)))</formula>
    </cfRule>
    <cfRule type="containsText" dxfId="7646" priority="259" operator="containsText" text="Sell">
      <formula>NOT(ISERROR(SEARCH("Sell",E33)))</formula>
    </cfRule>
  </conditionalFormatting>
  <conditionalFormatting sqref="E180">
    <cfRule type="containsText" dxfId="7645" priority="256" operator="containsText" text="Buy">
      <formula>NOT(ISERROR(SEARCH("Buy",E180)))</formula>
    </cfRule>
    <cfRule type="containsText" dxfId="7644" priority="257" operator="containsText" text="Sell">
      <formula>NOT(ISERROR(SEARCH("Sell",E180)))</formula>
    </cfRule>
  </conditionalFormatting>
  <conditionalFormatting sqref="E56">
    <cfRule type="containsText" dxfId="7643" priority="252" operator="containsText" text="Buy">
      <formula>NOT(ISERROR(SEARCH("Buy",E56)))</formula>
    </cfRule>
    <cfRule type="containsText" dxfId="7642" priority="253" operator="containsText" text="Sell">
      <formula>NOT(ISERROR(SEARCH("Sell",E56)))</formula>
    </cfRule>
  </conditionalFormatting>
  <conditionalFormatting sqref="X7:AB7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{3CFA90FA-9DF6-42F5-BE91-7A77F6DDE4F7}</x14:id>
        </ext>
      </extLst>
    </cfRule>
  </conditionalFormatting>
  <conditionalFormatting sqref="X7:AB7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{B5CB20C2-474E-43BB-B7CB-1CB137B32298}</x14:id>
        </ext>
      </extLst>
    </cfRule>
  </conditionalFormatting>
  <conditionalFormatting sqref="X7:AB7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{5A562BC9-9CFB-447B-B87B-EF81B2259C01}</x14:id>
        </ext>
      </extLst>
    </cfRule>
  </conditionalFormatting>
  <conditionalFormatting sqref="AC7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{240FBB18-F1F9-4441-B7AD-DC679D454952}</x14:id>
        </ext>
      </extLst>
    </cfRule>
  </conditionalFormatting>
  <conditionalFormatting sqref="AC7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{2D2A8653-4419-4FE4-9D5A-0FDC0B726EC8}</x14:id>
        </ext>
      </extLst>
    </cfRule>
  </conditionalFormatting>
  <conditionalFormatting sqref="AC7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{5D1EAC27-5762-4E12-87B1-727153A377D8}</x14:id>
        </ext>
      </extLst>
    </cfRule>
  </conditionalFormatting>
  <conditionalFormatting sqref="X7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{2B78CBFB-9183-4CD4-A9B9-1879F3044AA9}</x14:id>
        </ext>
      </extLst>
    </cfRule>
  </conditionalFormatting>
  <conditionalFormatting sqref="Y7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{547505F3-2F7A-44EE-9E63-389F068F56F3}</x14:id>
        </ext>
      </extLst>
    </cfRule>
  </conditionalFormatting>
  <conditionalFormatting sqref="Z7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{A433FD28-955E-4C0F-8FCC-33ED1A832EFA}</x14:id>
        </ext>
      </extLst>
    </cfRule>
  </conditionalFormatting>
  <conditionalFormatting sqref="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{D1287477-E176-41BF-833B-791C13CCAEA7}</x14:id>
        </ext>
      </extLst>
    </cfRule>
  </conditionalFormatting>
  <conditionalFormatting sqref="AB7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{BA9C6017-C284-4FA2-89A1-F356FBED3B94}</x14:id>
        </ext>
      </extLst>
    </cfRule>
  </conditionalFormatting>
  <conditionalFormatting sqref="AC7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{DBB89E67-3C29-4A4F-8B6B-60E83217CAD0}</x14:id>
        </ext>
      </extLst>
    </cfRule>
  </conditionalFormatting>
  <conditionalFormatting sqref="V11">
    <cfRule type="dataBar" priority="6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{7E7AFDBC-A64F-4EAD-9238-3E987BFFB42C}</x14:id>
        </ext>
      </extLst>
    </cfRule>
  </conditionalFormatting>
  <conditionalFormatting sqref="X11:AB11">
    <cfRule type="dataBar" priority="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{6906E9BD-4DEC-4514-9B34-FCF090D98713}</x14:id>
        </ext>
      </extLst>
    </cfRule>
  </conditionalFormatting>
  <conditionalFormatting sqref="X11:AB11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{76418A05-18D6-4E88-AFF4-8F787D9652F5}</x14:id>
        </ext>
      </extLst>
    </cfRule>
  </conditionalFormatting>
  <conditionalFormatting sqref="AC11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{18854C17-9FDD-4F48-B93F-734D51B24284}</x14:id>
        </ext>
      </extLst>
    </cfRule>
  </conditionalFormatting>
  <conditionalFormatting sqref="X11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{07DB16EB-960C-4F4E-9257-AAFCEA958AE5}</x14:id>
        </ext>
      </extLst>
    </cfRule>
  </conditionalFormatting>
  <conditionalFormatting sqref="Y11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{146B5854-DE34-4E3B-B45B-9FB11A47E17C}</x14:id>
        </ext>
      </extLst>
    </cfRule>
  </conditionalFormatting>
  <conditionalFormatting sqref="Z11">
    <cfRule type="dataBar" priority="6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{A3D9CF7C-EE5C-4333-87A0-384E170747BD}</x14:id>
        </ext>
      </extLst>
    </cfRule>
  </conditionalFormatting>
  <conditionalFormatting sqref="AA11">
    <cfRule type="dataBar" priority="6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{ACA7ACCF-00E0-4E85-90AA-8C85311C7133}</x14:id>
        </ext>
      </extLst>
    </cfRule>
  </conditionalFormatting>
  <conditionalFormatting sqref="AB11">
    <cfRule type="dataBar" priority="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{DE5F3A7F-3E85-4035-9D16-B5B2F65073A1}</x14:id>
        </ext>
      </extLst>
    </cfRule>
  </conditionalFormatting>
  <conditionalFormatting sqref="X7:AC7 X11:AC11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{E6BC31B2-94A1-4397-94AC-33E2B128A6E3}</x14:id>
        </ext>
      </extLst>
    </cfRule>
  </conditionalFormatting>
  <conditionalFormatting sqref="E26">
    <cfRule type="containsText" dxfId="7641" priority="232" operator="containsText" text="Buy">
      <formula>NOT(ISERROR(SEARCH("Buy",E26)))</formula>
    </cfRule>
    <cfRule type="containsText" dxfId="7640" priority="233" operator="containsText" text="Sell">
      <formula>NOT(ISERROR(SEARCH("Sell",E26)))</formula>
    </cfRule>
  </conditionalFormatting>
  <conditionalFormatting sqref="E25">
    <cfRule type="containsText" dxfId="7639" priority="228" operator="containsText" text="Buy">
      <formula>NOT(ISERROR(SEARCH("Buy",E25)))</formula>
    </cfRule>
    <cfRule type="containsText" dxfId="7638" priority="229" operator="containsText" text="Sell">
      <formula>NOT(ISERROR(SEARCH("Sell",E25)))</formula>
    </cfRule>
  </conditionalFormatting>
  <conditionalFormatting sqref="E29">
    <cfRule type="containsText" dxfId="7637" priority="226" operator="containsText" text="Buy">
      <formula>NOT(ISERROR(SEARCH("Buy",E29)))</formula>
    </cfRule>
    <cfRule type="containsText" dxfId="7636" priority="227" operator="containsText" text="Sell">
      <formula>NOT(ISERROR(SEARCH("Sell",E29)))</formula>
    </cfRule>
  </conditionalFormatting>
  <conditionalFormatting sqref="E28">
    <cfRule type="containsText" dxfId="7635" priority="224" operator="containsText" text="Buy">
      <formula>NOT(ISERROR(SEARCH("Buy",E28)))</formula>
    </cfRule>
    <cfRule type="containsText" dxfId="7634" priority="225" operator="containsText" text="Sell">
      <formula>NOT(ISERROR(SEARCH("Sell",E28)))</formula>
    </cfRule>
  </conditionalFormatting>
  <conditionalFormatting sqref="L11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{6F4E4E66-7D95-490A-B276-7C119B0EE0D3}</x14:id>
        </ext>
      </extLst>
    </cfRule>
  </conditionalFormatting>
  <conditionalFormatting sqref="M11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{34E654CD-D24B-4412-AF21-6FC9EE1FA146}</x14:id>
        </ext>
      </extLst>
    </cfRule>
  </conditionalFormatting>
  <conditionalFormatting sqref="L11:M11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{FB32A181-498B-4A70-BD5F-712AC7B2B222}</x14:id>
        </ext>
      </extLst>
    </cfRule>
  </conditionalFormatting>
  <conditionalFormatting sqref="L11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{D9A7D7D8-0292-4FFD-AC34-2EFA34E3DAE2}</x14:id>
        </ext>
      </extLst>
    </cfRule>
  </conditionalFormatting>
  <conditionalFormatting sqref="M11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{E0CB5B73-209E-4308-8084-23E6676D4DDF}</x14:id>
        </ext>
      </extLst>
    </cfRule>
  </conditionalFormatting>
  <conditionalFormatting sqref="L11:M11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{23B0B729-3F94-451E-8A57-2A325129B8D9}</x14:id>
        </ext>
      </extLst>
    </cfRule>
  </conditionalFormatting>
  <conditionalFormatting sqref="L7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{1D18DE3C-54D6-45E3-964B-EB0ABAA3932F}</x14:id>
        </ext>
      </extLst>
    </cfRule>
  </conditionalFormatting>
  <conditionalFormatting sqref="M7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{44EA534E-255C-4DF7-BFDE-11188F25F16D}</x14:id>
        </ext>
      </extLst>
    </cfRule>
  </conditionalFormatting>
  <conditionalFormatting sqref="L7:M7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{42487C26-3AAB-464B-8489-B4D2725EDC53}</x14:id>
        </ext>
      </extLst>
    </cfRule>
  </conditionalFormatting>
  <conditionalFormatting sqref="L7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{0CBE3C31-941A-439A-BE30-C037B151EA41}</x14:id>
        </ext>
      </extLst>
    </cfRule>
  </conditionalFormatting>
  <conditionalFormatting sqref="M7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{59DA9459-7A57-44F2-87B1-A71D9BB6BA09}</x14:id>
        </ext>
      </extLst>
    </cfRule>
  </conditionalFormatting>
  <conditionalFormatting sqref="L7:M7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{F5998C19-B1D0-40C8-8B9B-4035E57B654C}</x14:id>
        </ext>
      </extLst>
    </cfRule>
  </conditionalFormatting>
  <conditionalFormatting sqref="X8:AB8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{1C9FD860-C1A3-47C8-A274-277FAC772348}</x14:id>
        </ext>
      </extLst>
    </cfRule>
  </conditionalFormatting>
  <conditionalFormatting sqref="X8:AB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{F3524C98-E80C-485B-8959-3778A66C7E66}</x14:id>
        </ext>
      </extLst>
    </cfRule>
  </conditionalFormatting>
  <conditionalFormatting sqref="X8:AB8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{11A281FD-E72D-430B-AF7A-CE097F97D31D}</x14:id>
        </ext>
      </extLst>
    </cfRule>
  </conditionalFormatting>
  <conditionalFormatting sqref="AC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{0A030418-B445-480F-9D01-DF54D2794054}</x14:id>
        </ext>
      </extLst>
    </cfRule>
  </conditionalFormatting>
  <conditionalFormatting sqref="AC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{2391B953-6A53-4CF5-9309-ACD72490620F}</x14:id>
        </ext>
      </extLst>
    </cfRule>
  </conditionalFormatting>
  <conditionalFormatting sqref="AC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{D607CB17-AFDD-4EFE-9DFC-B629BEEA4C91}</x14:id>
        </ext>
      </extLst>
    </cfRule>
  </conditionalFormatting>
  <conditionalFormatting sqref="X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{B21F0A29-2E3F-402A-88AA-53DE130AA257}</x14:id>
        </ext>
      </extLst>
    </cfRule>
  </conditionalFormatting>
  <conditionalFormatting sqref="Y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{17549E83-DA55-4D15-8E6B-F504E547E52B}</x14:id>
        </ext>
      </extLst>
    </cfRule>
  </conditionalFormatting>
  <conditionalFormatting sqref="Z8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{4C7A4107-AED4-424A-B1F1-B60BEEF7865E}</x14:id>
        </ext>
      </extLst>
    </cfRule>
  </conditionalFormatting>
  <conditionalFormatting sqref="AA8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{09E26718-32CA-4C89-9727-C6EE78A8DEE3}</x14:id>
        </ext>
      </extLst>
    </cfRule>
  </conditionalFormatting>
  <conditionalFormatting sqref="AB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{D69082F1-0CF1-40F9-88E0-E1CB49C7AB05}</x14:id>
        </ext>
      </extLst>
    </cfRule>
  </conditionalFormatting>
  <conditionalFormatting sqref="AC8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{8EC4EC86-F307-44F9-8F7A-D6D376EB89D5}</x14:id>
        </ext>
      </extLst>
    </cfRule>
  </conditionalFormatting>
  <conditionalFormatting sqref="X8:AC8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{B2C0E262-DDD7-4998-9DC8-7D4014B7171E}</x14:id>
        </ext>
      </extLst>
    </cfRule>
  </conditionalFormatting>
  <conditionalFormatting sqref="L8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{E1B8380E-6274-4AE1-A847-A3BE4849BFB5}</x14:id>
        </ext>
      </extLst>
    </cfRule>
  </conditionalFormatting>
  <conditionalFormatting sqref="M8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{5601B09A-82DE-4873-A96F-923E78D73472}</x14:id>
        </ext>
      </extLst>
    </cfRule>
  </conditionalFormatting>
  <conditionalFormatting sqref="L8:M8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{AD9A336C-E9FD-4992-8B7B-9190779D4FF4}</x14:id>
        </ext>
      </extLst>
    </cfRule>
  </conditionalFormatting>
  <conditionalFormatting sqref="L8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{18B160FD-DA5F-4955-A103-3186A0D84C61}</x14:id>
        </ext>
      </extLst>
    </cfRule>
  </conditionalFormatting>
  <conditionalFormatting sqref="M8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{C842B075-C936-4E50-BC88-D651CF7A84EE}</x14:id>
        </ext>
      </extLst>
    </cfRule>
  </conditionalFormatting>
  <conditionalFormatting sqref="L8:M8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{78858798-7A46-49E1-A134-D97F0F6310F1}</x14:id>
        </ext>
      </extLst>
    </cfRule>
  </conditionalFormatting>
  <conditionalFormatting sqref="E32">
    <cfRule type="containsText" dxfId="7633" priority="144" operator="containsText" text="Buy">
      <formula>NOT(ISERROR(SEARCH("Buy",E32)))</formula>
    </cfRule>
    <cfRule type="containsText" dxfId="7632" priority="145" operator="containsText" text="Sell">
      <formula>NOT(ISERROR(SEARCH("Sell",E32)))</formula>
    </cfRule>
  </conditionalFormatting>
  <conditionalFormatting sqref="E31">
    <cfRule type="containsText" dxfId="7631" priority="142" operator="containsText" text="Buy">
      <formula>NOT(ISERROR(SEARCH("Buy",E31)))</formula>
    </cfRule>
    <cfRule type="containsText" dxfId="7630" priority="143" operator="containsText" text="Sell">
      <formula>NOT(ISERROR(SEARCH("Sell",E31)))</formula>
    </cfRule>
  </conditionalFormatting>
  <conditionalFormatting sqref="E37">
    <cfRule type="containsText" dxfId="7629" priority="140" operator="containsText" text="Buy">
      <formula>NOT(ISERROR(SEARCH("Buy",E37)))</formula>
    </cfRule>
    <cfRule type="containsText" dxfId="7628" priority="141" operator="containsText" text="Sell">
      <formula>NOT(ISERROR(SEARCH("Sell",E37)))</formula>
    </cfRule>
  </conditionalFormatting>
  <conditionalFormatting sqref="E36">
    <cfRule type="containsText" dxfId="7627" priority="138" operator="containsText" text="Buy">
      <formula>NOT(ISERROR(SEARCH("Buy",E36)))</formula>
    </cfRule>
    <cfRule type="containsText" dxfId="7626" priority="139" operator="containsText" text="Sell">
      <formula>NOT(ISERROR(SEARCH("Sell",E36)))</formula>
    </cfRule>
  </conditionalFormatting>
  <conditionalFormatting sqref="E34">
    <cfRule type="containsText" dxfId="7625" priority="136" operator="containsText" text="Buy">
      <formula>NOT(ISERROR(SEARCH("Buy",E34)))</formula>
    </cfRule>
    <cfRule type="containsText" dxfId="7624" priority="137" operator="containsText" text="Sell">
      <formula>NOT(ISERROR(SEARCH("Sell",E34)))</formula>
    </cfRule>
  </conditionalFormatting>
  <conditionalFormatting sqref="E35">
    <cfRule type="containsText" dxfId="7623" priority="134" operator="containsText" text="Buy">
      <formula>NOT(ISERROR(SEARCH("Buy",E35)))</formula>
    </cfRule>
    <cfRule type="containsText" dxfId="7622" priority="135" operator="containsText" text="Sell">
      <formula>NOT(ISERROR(SEARCH("Sell",E35)))</formula>
    </cfRule>
  </conditionalFormatting>
  <conditionalFormatting sqref="X6:AB6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{79ACDBBF-955F-472F-9125-1BC70FF193CA}</x14:id>
        </ext>
      </extLst>
    </cfRule>
  </conditionalFormatting>
  <conditionalFormatting sqref="X6:AB6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{1F45D90B-6D8B-4548-9A6F-528C0B7F3888}</x14:id>
        </ext>
      </extLst>
    </cfRule>
  </conditionalFormatting>
  <conditionalFormatting sqref="X6:AB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{D57BED25-0990-4955-A0AB-D86F658C102B}</x14:id>
        </ext>
      </extLst>
    </cfRule>
  </conditionalFormatting>
  <conditionalFormatting sqref="AC6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{6C957225-E5C6-4E33-B17A-14A512B29BC6}</x14:id>
        </ext>
      </extLst>
    </cfRule>
  </conditionalFormatting>
  <conditionalFormatting sqref="AC6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{918F01B0-FF4F-4958-9A11-D7D9C5F7200B}</x14:id>
        </ext>
      </extLst>
    </cfRule>
  </conditionalFormatting>
  <conditionalFormatting sqref="AC6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{1E5CCB90-0BCD-4238-9071-58A7F1E2DFDE}</x14:id>
        </ext>
      </extLst>
    </cfRule>
  </conditionalFormatting>
  <conditionalFormatting sqref="X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{F636461B-962F-4BD5-A4AF-5FF1B83055B5}</x14:id>
        </ext>
      </extLst>
    </cfRule>
  </conditionalFormatting>
  <conditionalFormatting sqref="Y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{ABC71ACF-3589-4B18-87CB-B3FBF180A05E}</x14:id>
        </ext>
      </extLst>
    </cfRule>
  </conditionalFormatting>
  <conditionalFormatting sqref="Z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{CA1FD115-00DB-45FC-917E-29ECB1AC134E}</x14:id>
        </ext>
      </extLst>
    </cfRule>
  </conditionalFormatting>
  <conditionalFormatting sqref="AA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{C0BF9490-2FFD-4FE3-A4E0-DDF5F419FB85}</x14:id>
        </ext>
      </extLst>
    </cfRule>
  </conditionalFormatting>
  <conditionalFormatting sqref="AB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{A78DE948-F75B-4ED9-8A1D-5309AE4F41E1}</x14:id>
        </ext>
      </extLst>
    </cfRule>
  </conditionalFormatting>
  <conditionalFormatting sqref="AC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{C965A95F-9D16-4056-8B93-6971F52E9FAE}</x14:id>
        </ext>
      </extLst>
    </cfRule>
  </conditionalFormatting>
  <conditionalFormatting sqref="X6:AC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{F53C20B0-8332-40D7-8009-392EC105DA3B}</x14:id>
        </ext>
      </extLst>
    </cfRule>
  </conditionalFormatting>
  <conditionalFormatting sqref="L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{4E9A7635-00FA-47B7-A2AE-B5568B3C9539}</x14:id>
        </ext>
      </extLst>
    </cfRule>
  </conditionalFormatting>
  <conditionalFormatting sqref="M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{CC38309C-EA84-433F-B365-03359B39D5EE}</x14:id>
        </ext>
      </extLst>
    </cfRule>
  </conditionalFormatting>
  <conditionalFormatting sqref="L6:M6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{806FE63D-9E53-447E-B9D4-5C8E63135D04}</x14:id>
        </ext>
      </extLst>
    </cfRule>
  </conditionalFormatting>
  <conditionalFormatting sqref="L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{089C53C1-173F-405E-926D-548CDD8C1ED7}</x14:id>
        </ext>
      </extLst>
    </cfRule>
  </conditionalFormatting>
  <conditionalFormatting sqref="M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{BB1F84AA-B767-4695-A544-153E2E6E6136}</x14:id>
        </ext>
      </extLst>
    </cfRule>
  </conditionalFormatting>
  <conditionalFormatting sqref="L6:M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{ACF52517-3F91-4245-BCBA-0B3653A77394}</x14:id>
        </ext>
      </extLst>
    </cfRule>
  </conditionalFormatting>
  <conditionalFormatting sqref="H19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{4C14EBD3-3985-400B-AA7B-E658FD6A55D3}</x14:id>
        </ext>
      </extLst>
    </cfRule>
    <cfRule type="cellIs" dxfId="7621" priority="111" operator="equal">
      <formula>1</formula>
    </cfRule>
  </conditionalFormatting>
  <conditionalFormatting sqref="D19">
    <cfRule type="containsText" dxfId="7620" priority="109" operator="containsText" text="Buy">
      <formula>NOT(ISERROR(SEARCH("Buy",D19)))</formula>
    </cfRule>
    <cfRule type="containsText" dxfId="7619" priority="110" operator="containsText" text="Sell">
      <formula>NOT(ISERROR(SEARCH("Sell",D19)))</formula>
    </cfRule>
  </conditionalFormatting>
  <conditionalFormatting sqref="V9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{A92A82E5-169A-4043-B987-AF52B7D402B6}</x14:id>
        </ext>
      </extLst>
    </cfRule>
  </conditionalFormatting>
  <conditionalFormatting sqref="X9:AB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{D9417287-6443-48C2-83E3-B81563CA12A1}</x14:id>
        </ext>
      </extLst>
    </cfRule>
  </conditionalFormatting>
  <conditionalFormatting sqref="X9:AB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{D467604B-8A7A-4BEC-9244-951424F3819E}</x14:id>
        </ext>
      </extLst>
    </cfRule>
  </conditionalFormatting>
  <conditionalFormatting sqref="AC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{A0BF3455-4BB3-49E9-9B9A-F6C4989FDD4D}</x14:id>
        </ext>
      </extLst>
    </cfRule>
  </conditionalFormatting>
  <conditionalFormatting sqref="X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{7292E8EA-A0BF-483E-BF31-C75E556D3C47}</x14:id>
        </ext>
      </extLst>
    </cfRule>
  </conditionalFormatting>
  <conditionalFormatting sqref="Y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{AEB3DE08-9DF8-4BDE-BC43-A38378441FAA}</x14:id>
        </ext>
      </extLst>
    </cfRule>
  </conditionalFormatting>
  <conditionalFormatting sqref="Z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{C083A183-03A0-43B3-808F-E4CC28A3C32B}</x14:id>
        </ext>
      </extLst>
    </cfRule>
  </conditionalFormatting>
  <conditionalFormatting sqref="AA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{4B54F28D-3A65-44FC-A7ED-7B80071AE19C}</x14:id>
        </ext>
      </extLst>
    </cfRule>
  </conditionalFormatting>
  <conditionalFormatting sqref="AB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{65CADB91-5F82-4FF0-BDC2-88296CC1CE75}</x14:id>
        </ext>
      </extLst>
    </cfRule>
  </conditionalFormatting>
  <conditionalFormatting sqref="X9:AC9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{D526377B-AC7F-4750-BD0E-F6DECBA0E934}</x14:id>
        </ext>
      </extLst>
    </cfRule>
  </conditionalFormatting>
  <conditionalFormatting sqref="L9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{CE882147-019D-4D9D-AA02-2E2BDAC05C5B}</x14:id>
        </ext>
      </extLst>
    </cfRule>
  </conditionalFormatting>
  <conditionalFormatting sqref="M9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{C75A1786-5A1D-4AA4-A1DB-9601FC5A66D5}</x14:id>
        </ext>
      </extLst>
    </cfRule>
  </conditionalFormatting>
  <conditionalFormatting sqref="L9:M9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{AEA5EAD4-96A5-47EF-9C27-00AEA730585D}</x14:id>
        </ext>
      </extLst>
    </cfRule>
  </conditionalFormatting>
  <conditionalFormatting sqref="L9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{4C91CCF4-A8ED-493E-8FDD-D246A4B80FE1}</x14:id>
        </ext>
      </extLst>
    </cfRule>
  </conditionalFormatting>
  <conditionalFormatting sqref="M9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{F7AEDDD6-05FD-462B-98F4-86C1B59F83ED}</x14:id>
        </ext>
      </extLst>
    </cfRule>
  </conditionalFormatting>
  <conditionalFormatting sqref="L9:M9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{43979E33-4911-4FF6-A1E8-AFACCAE1ED70}</x14:id>
        </ext>
      </extLst>
    </cfRule>
  </conditionalFormatting>
  <conditionalFormatting sqref="E40">
    <cfRule type="containsText" dxfId="7618" priority="89" operator="containsText" text="Buy">
      <formula>NOT(ISERROR(SEARCH("Buy",E40)))</formula>
    </cfRule>
    <cfRule type="containsText" dxfId="7617" priority="90" operator="containsText" text="Sell">
      <formula>NOT(ISERROR(SEARCH("Sell",E40)))</formula>
    </cfRule>
  </conditionalFormatting>
  <conditionalFormatting sqref="E39">
    <cfRule type="containsText" dxfId="7616" priority="87" operator="containsText" text="Buy">
      <formula>NOT(ISERROR(SEARCH("Buy",E39)))</formula>
    </cfRule>
    <cfRule type="containsText" dxfId="7615" priority="88" operator="containsText" text="Sell">
      <formula>NOT(ISERROR(SEARCH("Sell",E39)))</formula>
    </cfRule>
  </conditionalFormatting>
  <conditionalFormatting sqref="X5:AB5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{D97919F3-3CB6-4EDF-9812-AB9C62B4C1C6}</x14:id>
        </ext>
      </extLst>
    </cfRule>
  </conditionalFormatting>
  <conditionalFormatting sqref="X5:AB5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{1E9A2072-4DEC-4BAD-A5D5-9EE48532AC84}</x14:id>
        </ext>
      </extLst>
    </cfRule>
  </conditionalFormatting>
  <conditionalFormatting sqref="X5:AB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{38E62C76-40CA-4C8E-9A6B-9E409BECDDA5}</x14:id>
        </ext>
      </extLst>
    </cfRule>
  </conditionalFormatting>
  <conditionalFormatting sqref="AC5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{83B9985B-5335-4C63-9D5A-983708DAADB8}</x14:id>
        </ext>
      </extLst>
    </cfRule>
  </conditionalFormatting>
  <conditionalFormatting sqref="AC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{9CD36F2A-6E1B-4372-A6C1-94E3437DC943}</x14:id>
        </ext>
      </extLst>
    </cfRule>
  </conditionalFormatting>
  <conditionalFormatting sqref="AC5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{0C8B5F89-B18A-44E6-BAF4-063598EFC907}</x14:id>
        </ext>
      </extLst>
    </cfRule>
  </conditionalFormatting>
  <conditionalFormatting sqref="X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{784E40ED-64B8-476C-9C7A-633D24632387}</x14:id>
        </ext>
      </extLst>
    </cfRule>
  </conditionalFormatting>
  <conditionalFormatting sqref="Y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{3702DEBB-1AF5-47B1-8FCF-E569240FCEE4}</x14:id>
        </ext>
      </extLst>
    </cfRule>
  </conditionalFormatting>
  <conditionalFormatting sqref="Z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{6CE9E9FE-C383-48C6-B3FF-9BDBDE70B683}</x14:id>
        </ext>
      </extLst>
    </cfRule>
  </conditionalFormatting>
  <conditionalFormatting sqref="AA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{47542600-F296-49F7-99D2-F99DFD8213E8}</x14:id>
        </ext>
      </extLst>
    </cfRule>
  </conditionalFormatting>
  <conditionalFormatting sqref="AB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{8D0B40BD-65A0-4910-83E7-41C879AB324D}</x14:id>
        </ext>
      </extLst>
    </cfRule>
  </conditionalFormatting>
  <conditionalFormatting sqref="AC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{D96ED9CA-E189-47D7-A31A-2BE6FD1FEC99}</x14:id>
        </ext>
      </extLst>
    </cfRule>
  </conditionalFormatting>
  <conditionalFormatting sqref="X5:AC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{AD5E9202-2D4A-49C3-AA98-2084B20E3682}</x14:id>
        </ext>
      </extLst>
    </cfRule>
  </conditionalFormatting>
  <conditionalFormatting sqref="L5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{F26C00C9-E7E0-4D2F-B0E3-396F88D5FE73}</x14:id>
        </ext>
      </extLst>
    </cfRule>
  </conditionalFormatting>
  <conditionalFormatting sqref="M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{1C7981F6-01C2-442C-90FD-BCE27DB597D1}</x14:id>
        </ext>
      </extLst>
    </cfRule>
  </conditionalFormatting>
  <conditionalFormatting sqref="L5:M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{3A67F38A-723D-4F14-98C3-7BA5BAD4E293}</x14:id>
        </ext>
      </extLst>
    </cfRule>
  </conditionalFormatting>
  <conditionalFormatting sqref="L5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{684E39D1-D3CB-4819-A1A7-4B9FA3CC810C}</x14:id>
        </ext>
      </extLst>
    </cfRule>
  </conditionalFormatting>
  <conditionalFormatting sqref="M5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{D1904920-E18B-4021-BE36-237BCA1A548E}</x14:id>
        </ext>
      </extLst>
    </cfRule>
  </conditionalFormatting>
  <conditionalFormatting sqref="L5:M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{8E5815CD-73E7-494F-B3A0-9CAE9E5ACC9A}</x14:id>
        </ext>
      </extLst>
    </cfRule>
  </conditionalFormatting>
  <conditionalFormatting sqref="X4:AB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{FB8A7B03-BAA7-4E7D-A5BF-1AFD34B8C478}</x14:id>
        </ext>
      </extLst>
    </cfRule>
  </conditionalFormatting>
  <conditionalFormatting sqref="X4:AB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{26FDD90D-A7BE-4604-9811-061E96F0CE2D}</x14:id>
        </ext>
      </extLst>
    </cfRule>
  </conditionalFormatting>
  <conditionalFormatting sqref="X4:AB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{9C6B7495-3BA6-4C67-8FD4-95EB2F5BC356}</x14:id>
        </ext>
      </extLst>
    </cfRule>
  </conditionalFormatting>
  <conditionalFormatting sqref="AC4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{F6351511-C668-4C19-9671-D69FDEC26CFA}</x14:id>
        </ext>
      </extLst>
    </cfRule>
  </conditionalFormatting>
  <conditionalFormatting sqref="AC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{FB188E92-4B9B-4DC1-80F0-7B45A6689CB1}</x14:id>
        </ext>
      </extLst>
    </cfRule>
  </conditionalFormatting>
  <conditionalFormatting sqref="AC4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{EB3AEFEE-8E60-4FA7-8778-F7B853B91ECB}</x14:id>
        </ext>
      </extLst>
    </cfRule>
  </conditionalFormatting>
  <conditionalFormatting sqref="X4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{3AAD8A16-FAE2-4080-855E-A23F3B600783}</x14:id>
        </ext>
      </extLst>
    </cfRule>
  </conditionalFormatting>
  <conditionalFormatting sqref="Y4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{1AB5F098-B0E9-4770-8D4E-7EBEB302D026}</x14:id>
        </ext>
      </extLst>
    </cfRule>
  </conditionalFormatting>
  <conditionalFormatting sqref="Z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{66A9788C-1CA9-4EDF-A50B-7E8478FCB70B}</x14:id>
        </ext>
      </extLst>
    </cfRule>
  </conditionalFormatting>
  <conditionalFormatting sqref="AA4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{E544868B-3F72-4E1B-B769-DB35D132D67E}</x14:id>
        </ext>
      </extLst>
    </cfRule>
  </conditionalFormatting>
  <conditionalFormatting sqref="AB4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{E0257BF2-39DB-455D-9645-1DA874E2937F}</x14:id>
        </ext>
      </extLst>
    </cfRule>
  </conditionalFormatting>
  <conditionalFormatting sqref="AC4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{C09EF0F0-A15E-4040-A294-961D03115D28}</x14:id>
        </ext>
      </extLst>
    </cfRule>
  </conditionalFormatting>
  <conditionalFormatting sqref="X4:AC4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{6335B04E-84DC-4FAB-B4C3-569AEDC144CA}</x14:id>
        </ext>
      </extLst>
    </cfRule>
  </conditionalFormatting>
  <conditionalFormatting sqref="L4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{B518D0E3-4F93-4409-99F6-EEDFB167B688}</x14:id>
        </ext>
      </extLst>
    </cfRule>
  </conditionalFormatting>
  <conditionalFormatting sqref="M4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{C3A6710F-2DF2-4EDD-BD89-47B82B8E341A}</x14:id>
        </ext>
      </extLst>
    </cfRule>
  </conditionalFormatting>
  <conditionalFormatting sqref="L4:M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{6F6DB958-9A7A-4BE3-B9DF-36A472579012}</x14:id>
        </ext>
      </extLst>
    </cfRule>
  </conditionalFormatting>
  <conditionalFormatting sqref="L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{A3EE6529-8305-4076-B964-3E44E9B6A9CF}</x14:id>
        </ext>
      </extLst>
    </cfRule>
  </conditionalFormatting>
  <conditionalFormatting sqref="M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{8B15ACDB-3665-45F6-B46C-8375C293250E}</x14:id>
        </ext>
      </extLst>
    </cfRule>
  </conditionalFormatting>
  <conditionalFormatting sqref="L4:M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{C2353483-9CFA-423F-A386-07A7CF584682}</x14:id>
        </ext>
      </extLst>
    </cfRule>
  </conditionalFormatting>
  <conditionalFormatting sqref="E43">
    <cfRule type="containsText" dxfId="7614" priority="41" operator="containsText" text="Buy">
      <formula>NOT(ISERROR(SEARCH("Buy",E43)))</formula>
    </cfRule>
    <cfRule type="containsText" dxfId="7613" priority="42" operator="containsText" text="Sell">
      <formula>NOT(ISERROR(SEARCH("Sell",E43)))</formula>
    </cfRule>
  </conditionalFormatting>
  <conditionalFormatting sqref="E42">
    <cfRule type="containsText" dxfId="7612" priority="39" operator="containsText" text="Buy">
      <formula>NOT(ISERROR(SEARCH("Buy",E42)))</formula>
    </cfRule>
    <cfRule type="containsText" dxfId="7611" priority="40" operator="containsText" text="Sell">
      <formula>NOT(ISERROR(SEARCH("Sell",E42)))</formula>
    </cfRule>
  </conditionalFormatting>
  <conditionalFormatting sqref="E46">
    <cfRule type="containsText" dxfId="7610" priority="37" operator="containsText" text="Buy">
      <formula>NOT(ISERROR(SEARCH("Buy",E46)))</formula>
    </cfRule>
    <cfRule type="containsText" dxfId="7609" priority="38" operator="containsText" text="Sell">
      <formula>NOT(ISERROR(SEARCH("Sell",E46)))</formula>
    </cfRule>
  </conditionalFormatting>
  <conditionalFormatting sqref="E45">
    <cfRule type="containsText" dxfId="7608" priority="35" operator="containsText" text="Buy">
      <formula>NOT(ISERROR(SEARCH("Buy",E45)))</formula>
    </cfRule>
    <cfRule type="containsText" dxfId="7607" priority="36" operator="containsText" text="Sell">
      <formula>NOT(ISERROR(SEARCH("Sell",E45)))</formula>
    </cfRule>
  </conditionalFormatting>
  <conditionalFormatting sqref="V10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{4423B8E5-9B56-47F0-9E31-06987807748C}</x14:id>
        </ext>
      </extLst>
    </cfRule>
  </conditionalFormatting>
  <conditionalFormatting sqref="X10:AB1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{47152C42-B027-4B57-9662-5BC90F8042B0}</x14:id>
        </ext>
      </extLst>
    </cfRule>
  </conditionalFormatting>
  <conditionalFormatting sqref="X10:AB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{58430B2D-2FE2-49D8-9FB4-B3280EF2CB03}</x14:id>
        </ext>
      </extLst>
    </cfRule>
  </conditionalFormatting>
  <conditionalFormatting sqref="AC1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{8AED4F0E-7DB5-4C39-BB4D-01823812633D}</x14:id>
        </ext>
      </extLst>
    </cfRule>
  </conditionalFormatting>
  <conditionalFormatting sqref="X10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{051A0BA1-D0D0-40AC-9189-4C2C14B0A3A3}</x14:id>
        </ext>
      </extLst>
    </cfRule>
  </conditionalFormatting>
  <conditionalFormatting sqref="Y10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{A17CB1BC-1BF6-405C-9B56-B74001F98C3E}</x14:id>
        </ext>
      </extLst>
    </cfRule>
  </conditionalFormatting>
  <conditionalFormatting sqref="Z10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{4B7A511E-CF4E-43CD-95C1-9E5E150A3EC7}</x14:id>
        </ext>
      </extLst>
    </cfRule>
  </conditionalFormatting>
  <conditionalFormatting sqref="AA10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{3B2D0007-998E-48C2-BB20-C65C1D1B5DFF}</x14:id>
        </ext>
      </extLst>
    </cfRule>
  </conditionalFormatting>
  <conditionalFormatting sqref="AB10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{FB2671BB-7AB2-4CFD-B6F9-657FEEE0643E}</x14:id>
        </ext>
      </extLst>
    </cfRule>
  </conditionalFormatting>
  <conditionalFormatting sqref="X10:AC1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{CB001B64-4B06-4217-BBE0-9C5CE7B1CB36}</x14:id>
        </ext>
      </extLst>
    </cfRule>
  </conditionalFormatting>
  <conditionalFormatting sqref="L10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{69812054-9F75-4594-A33E-702DB994A13B}</x14:id>
        </ext>
      </extLst>
    </cfRule>
  </conditionalFormatting>
  <conditionalFormatting sqref="M10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{4FFD910A-5897-4744-948F-4442809DDBBF}</x14:id>
        </ext>
      </extLst>
    </cfRule>
  </conditionalFormatting>
  <conditionalFormatting sqref="L10:M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{941A313E-7813-48B4-B324-E9E9A6CE4409}</x14:id>
        </ext>
      </extLst>
    </cfRule>
  </conditionalFormatting>
  <conditionalFormatting sqref="L10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{01DFF6BB-B1AD-432F-9E61-C8E8AE76FDBB}</x14:id>
        </ext>
      </extLst>
    </cfRule>
  </conditionalFormatting>
  <conditionalFormatting sqref="M10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{98B47729-2BB3-4D76-8672-31FB2DA34D9B}</x14:id>
        </ext>
      </extLst>
    </cfRule>
  </conditionalFormatting>
  <conditionalFormatting sqref="L10:M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{28416BE9-67CE-48CE-9161-8C258715FF50}</x14:id>
        </ext>
      </extLst>
    </cfRule>
  </conditionalFormatting>
  <conditionalFormatting sqref="E49">
    <cfRule type="containsText" dxfId="7606" priority="17" operator="containsText" text="Buy">
      <formula>NOT(ISERROR(SEARCH("Buy",E49)))</formula>
    </cfRule>
    <cfRule type="containsText" dxfId="7605" priority="18" operator="containsText" text="Sell">
      <formula>NOT(ISERROR(SEARCH("Sell",E49)))</formula>
    </cfRule>
  </conditionalFormatting>
  <conditionalFormatting sqref="E48">
    <cfRule type="containsText" dxfId="7604" priority="15" operator="containsText" text="Buy">
      <formula>NOT(ISERROR(SEARCH("Buy",E48)))</formula>
    </cfRule>
    <cfRule type="containsText" dxfId="7603" priority="16" operator="containsText" text="Sell">
      <formula>NOT(ISERROR(SEARCH("Sell",E48)))</formula>
    </cfRule>
  </conditionalFormatting>
  <conditionalFormatting sqref="I4:I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{210F5DAE-CA50-4249-975E-99560BBF32BC}</x14:id>
        </ext>
      </extLst>
    </cfRule>
  </conditionalFormatting>
  <conditionalFormatting sqref="I4:I8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{A9B072A0-14AF-4662-854D-50A61D4FD793}</x14:id>
        </ext>
      </extLst>
    </cfRule>
  </conditionalFormatting>
  <conditionalFormatting sqref="I13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{26645CA6-78B9-41AB-B48E-434F6073DE3A}</x14:id>
        </ext>
      </extLst>
    </cfRule>
  </conditionalFormatting>
  <conditionalFormatting sqref="I1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{7D1ABAEF-8EB6-4338-BE58-1FBA6934CBCB}</x14:id>
        </ext>
      </extLst>
    </cfRule>
  </conditionalFormatting>
  <conditionalFormatting sqref="L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{E86CB695-1A8E-4A17-865B-9DBE347C1C14}</x14:id>
        </ext>
      </extLst>
    </cfRule>
  </conditionalFormatting>
  <conditionalFormatting sqref="L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{8F21C100-142F-46E5-866A-820242F0F9DE}</x14:id>
        </ext>
      </extLst>
    </cfRule>
  </conditionalFormatting>
  <conditionalFormatting sqref="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{67CD00B0-148C-468F-B7F3-866D412DBE21}</x14:id>
        </ext>
      </extLst>
    </cfRule>
  </conditionalFormatting>
  <conditionalFormatting sqref="M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{84AE3F74-CFA7-48E7-90AF-AB3418903087}</x14:id>
        </ext>
      </extLst>
    </cfRule>
  </conditionalFormatting>
  <conditionalFormatting sqref="V4:V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{C8B6EB36-DEB7-47B3-8CBD-DF363EAD5B18}</x14:id>
        </ext>
      </extLst>
    </cfRule>
  </conditionalFormatting>
  <conditionalFormatting sqref="W4:W8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{88FB14EC-DFDD-44AF-A52B-B28DDAE557E4}</x14:id>
        </ext>
      </extLst>
    </cfRule>
  </conditionalFormatting>
  <conditionalFormatting sqref="L4:M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{73908BC3-6D7B-4C37-9D3A-096A1797EBCD}</x14:id>
        </ext>
      </extLst>
    </cfRule>
  </conditionalFormatting>
  <conditionalFormatting sqref="I4:I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{28F4DA8D-DD72-43C8-BE64-070C8A1C1A37}</x14:id>
        </ext>
      </extLst>
    </cfRule>
  </conditionalFormatting>
  <conditionalFormatting sqref="X4:AC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{C517188D-15ED-4CBB-910D-C4EA2A6C0259}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FA90FA-9DF6-42F5-BE91-7A77F6DDE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B5CB20C2-474E-43BB-B7CB-1CB137B322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5A562BC9-9CFB-447B-B87B-EF81B2259C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X7:AB7</xm:sqref>
        </x14:conditionalFormatting>
        <x14:conditionalFormatting xmlns:xm="http://schemas.microsoft.com/office/excel/2006/main">
          <x14:cfRule type="dataBar" id="{240FBB18-F1F9-4441-B7AD-DC679D454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D2A8653-4419-4FE4-9D5A-0FDC0B726E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5D1EAC27-5762-4E12-87B1-727153A377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2B78CBFB-9183-4CD4-A9B9-1879F3044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547505F3-2F7A-44EE-9E63-389F068F56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433FD28-955E-4C0F-8FCC-33ED1A832E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287477-E176-41BF-833B-791C13CCAE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BA9C6017-C284-4FA2-89A1-F356FBED3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DBB89E67-3C29-4A4F-8B6B-60E83217CA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AC7</xm:sqref>
        </x14:conditionalFormatting>
        <x14:conditionalFormatting xmlns:xm="http://schemas.microsoft.com/office/excel/2006/main">
          <x14:cfRule type="dataBar" id="{7E7AFDBC-A64F-4EAD-9238-3E987BFFB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6906E9BD-4DEC-4514-9B34-FCF090D987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76418A05-18D6-4E88-AFF4-8F787D965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X11:AB11</xm:sqref>
        </x14:conditionalFormatting>
        <x14:conditionalFormatting xmlns:xm="http://schemas.microsoft.com/office/excel/2006/main">
          <x14:cfRule type="dataBar" id="{18854C17-9FDD-4F48-B93F-734D51B242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07DB16EB-960C-4F4E-9257-AAFCEA958A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146B5854-DE34-4E3B-B45B-9FB11A47E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3D9CF7C-EE5C-4333-87A0-384E17074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ACA7ACCF-00E0-4E85-90AA-8C85311C71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E5F3A7F-3E85-4035-9D16-B5B2F65073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E6BC31B2-94A1-4397-94AC-33E2B128A6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X7:AC7 X11:AC11</xm:sqref>
        </x14:conditionalFormatting>
        <x14:conditionalFormatting xmlns:xm="http://schemas.microsoft.com/office/excel/2006/main">
          <x14:cfRule type="dataBar" id="{6F4E4E66-7D95-490A-B276-7C119B0EE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4E654CD-D24B-4412-AF21-6FC9EE1FA1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B32A181-498B-4A70-BD5F-712AC7B2B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D9A7D7D8-0292-4FFD-AC34-2EFA34E3DA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CB5B73-209E-4308-8084-23E6676D4D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3B0B729-3F94-451E-8A57-2A325129B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D18DE3C-54D6-45E3-964B-EB0ABAA393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4EA534E-255C-4DF7-BFDE-11188F25F1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42487C26-3AAB-464B-8489-B4D2725EDC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BE3C31-941A-439A-BE30-C037B151E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DA9459-7A57-44F2-87B1-A71D9BB6B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5998C19-B1D0-40C8-8B9B-4035E57B65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C9FD860-C1A3-47C8-A274-277FAC77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F3524C98-E80C-485B-8959-3778A66C7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11A281FD-E72D-430B-AF7A-CE097F97D3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X8:AB8</xm:sqref>
        </x14:conditionalFormatting>
        <x14:conditionalFormatting xmlns:xm="http://schemas.microsoft.com/office/excel/2006/main">
          <x14:cfRule type="dataBar" id="{0A030418-B445-480F-9D01-DF54D2794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2391B953-6A53-4CF5-9309-ACD7249062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D607CB17-AFDD-4EFE-9DFC-B629BEEA4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1F0A29-2E3F-402A-88AA-53DE130AA2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7549E83-DA55-4D15-8E6B-F504E547E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4C7A4107-AED4-424A-B1F1-B60BEEF78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09E26718-32CA-4C89-9727-C6EE78A8DE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D69082F1-0CF1-40F9-88E0-E1CB49C7AB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AB8</xm:sqref>
        </x14:conditionalFormatting>
        <x14:conditionalFormatting xmlns:xm="http://schemas.microsoft.com/office/excel/2006/main">
          <x14:cfRule type="dataBar" id="{8EC4EC86-F307-44F9-8F7A-D6D376EB89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</xm:sqref>
        </x14:conditionalFormatting>
        <x14:conditionalFormatting xmlns:xm="http://schemas.microsoft.com/office/excel/2006/main">
          <x14:cfRule type="dataBar" id="{B2C0E262-DDD7-4998-9DC8-7D4014B717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X8:AC8</xm:sqref>
        </x14:conditionalFormatting>
        <x14:conditionalFormatting xmlns:xm="http://schemas.microsoft.com/office/excel/2006/main">
          <x14:cfRule type="dataBar" id="{E1B8380E-6274-4AE1-A847-A3BE4849B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601B09A-82DE-4873-A96F-923E78D7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AD9A336C-E9FD-4992-8B7B-9190779D4F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8B160FD-DA5F-4955-A103-3186A0D84C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42B075-C936-4E50-BC88-D651CF7A84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78858798-7A46-49E1-A134-D97F0F6310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9ACDBBF-955F-472F-9125-1BC70FF193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1F45D90B-6D8B-4548-9A6F-528C0B7F3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D57BED25-0990-4955-A0AB-D86F658C10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X6:AB6</xm:sqref>
        </x14:conditionalFormatting>
        <x14:conditionalFormatting xmlns:xm="http://schemas.microsoft.com/office/excel/2006/main">
          <x14:cfRule type="dataBar" id="{6C957225-E5C6-4E33-B17A-14A512B29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918F01B0-FF4F-4958-9A11-D7D9C5F720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1E5CCB90-0BCD-4238-9071-58A7F1E2DF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636461B-962F-4BD5-A4AF-5FF1B8305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BC71ACF-3589-4B18-87CB-B3FBF180A0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A1FD115-00DB-45FC-917E-29ECB1AC1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C0BF9490-2FFD-4FE3-A4E0-DDF5F419FB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A78DE948-F75B-4ED9-8A1D-5309AE4F4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AB6</xm:sqref>
        </x14:conditionalFormatting>
        <x14:conditionalFormatting xmlns:xm="http://schemas.microsoft.com/office/excel/2006/main">
          <x14:cfRule type="dataBar" id="{C965A95F-9D16-4056-8B93-6971F52E9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AC6</xm:sqref>
        </x14:conditionalFormatting>
        <x14:conditionalFormatting xmlns:xm="http://schemas.microsoft.com/office/excel/2006/main">
          <x14:cfRule type="dataBar" id="{F53C20B0-8332-40D7-8009-392EC105DA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X6:AC6</xm:sqref>
        </x14:conditionalFormatting>
        <x14:conditionalFormatting xmlns:xm="http://schemas.microsoft.com/office/excel/2006/main">
          <x14:cfRule type="dataBar" id="{4E9A7635-00FA-47B7-A2AE-B5568B3C95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C38309C-EA84-433F-B365-03359B39D5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06FE63D-9E53-447E-B9D4-5C8E63135D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89C53C1-173F-405E-926D-548CDD8C1E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B1F84AA-B767-4695-A544-153E2E6E61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CF52517-3F91-4245-BCBA-0B3653A773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C14EBD3-3985-400B-AA7B-E658FD6A5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A92A82E5-169A-4043-B987-AF52B7D402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9417287-6443-48C2-83E3-B81563CA12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D467604B-8A7A-4BEC-9244-951424F381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X9:AB9</xm:sqref>
        </x14:conditionalFormatting>
        <x14:conditionalFormatting xmlns:xm="http://schemas.microsoft.com/office/excel/2006/main">
          <x14:cfRule type="dataBar" id="{A0BF3455-4BB3-49E9-9B9A-F6C4989FDD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AC9</xm:sqref>
        </x14:conditionalFormatting>
        <x14:conditionalFormatting xmlns:xm="http://schemas.microsoft.com/office/excel/2006/main">
          <x14:cfRule type="dataBar" id="{7292E8EA-A0BF-483E-BF31-C75E556D3C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AEB3DE08-9DF8-4BDE-BC43-A38378441F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083A183-03A0-43B3-808F-E4CC28A3C3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B54F28D-3A65-44FC-A7ED-7B80071AE1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65CADB91-5F82-4FF0-BDC2-88296CC1C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AB9</xm:sqref>
        </x14:conditionalFormatting>
        <x14:conditionalFormatting xmlns:xm="http://schemas.microsoft.com/office/excel/2006/main">
          <x14:cfRule type="dataBar" id="{D526377B-AC7F-4750-BD0E-F6DECBA0E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X9:AC9</xm:sqref>
        </x14:conditionalFormatting>
        <x14:conditionalFormatting xmlns:xm="http://schemas.microsoft.com/office/excel/2006/main">
          <x14:cfRule type="dataBar" id="{CE882147-019D-4D9D-AA02-2E2BDAC05C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75A1786-5A1D-4AA4-A1DB-9601FC5A6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EA5EAD4-96A5-47EF-9C27-00AEA7305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4C91CCF4-A8ED-493E-8FDD-D246A4B80F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7AEDDD6-05FD-462B-98F4-86C1B59F8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3979E33-4911-4FF6-A1E8-AFACCAE1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97919F3-3CB6-4EDF-9812-AB9C62B4C1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1E9A2072-4DEC-4BAD-A5D5-9EE48532A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38E62C76-40CA-4C8E-9A6B-9E409BECDD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X5:AB5</xm:sqref>
        </x14:conditionalFormatting>
        <x14:conditionalFormatting xmlns:xm="http://schemas.microsoft.com/office/excel/2006/main">
          <x14:cfRule type="dataBar" id="{83B9985B-5335-4C63-9D5A-983708DAA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CD36F2A-6E1B-4372-A6C1-94E3437DC9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0C8B5F89-B18A-44E6-BAF4-063598EFC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784E40ED-64B8-476C-9C7A-633D246323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702DEBB-1AF5-47B1-8FCF-E569240FCE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6CE9E9FE-C383-48C6-B3FF-9BDBDE70B6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7542600-F296-49F7-99D2-F99DFD8213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D0B40BD-65A0-4910-83E7-41C879AB32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D96ED9CA-E189-47D7-A31A-2BE6FD1FE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D5E9202-2D4A-49C3-AA98-2084B20E3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X5:AC5</xm:sqref>
        </x14:conditionalFormatting>
        <x14:conditionalFormatting xmlns:xm="http://schemas.microsoft.com/office/excel/2006/main">
          <x14:cfRule type="dataBar" id="{F26C00C9-E7E0-4D2F-B0E3-396F88D5F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C7981F6-01C2-442C-90FD-BCE27DB597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A67F38A-723D-4F14-98C3-7BA5BAD4E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84E39D1-D3CB-4819-A1A7-4B9FA3CC81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1904920-E18B-4021-BE36-237BCA1A5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8E5815CD-73E7-494F-B3A0-9CAE9E5ACC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B8A7B03-BAA7-4E7D-A5BF-1AFD34B8C4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26FDD90D-A7BE-4604-9811-061E96F0CE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9C6B7495-3BA6-4C67-8FD4-95EB2F5BC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X4:AB4</xm:sqref>
        </x14:conditionalFormatting>
        <x14:conditionalFormatting xmlns:xm="http://schemas.microsoft.com/office/excel/2006/main">
          <x14:cfRule type="dataBar" id="{F6351511-C668-4C19-9671-D69FDEC26C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FB188E92-4B9B-4DC1-80F0-7B45A6689C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EB3AEFEE-8E60-4FA7-8778-F7B853B91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3AAD8A16-FAE2-4080-855E-A23F3B6007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AB5F098-B0E9-4770-8D4E-7EBEB302D0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66A9788C-1CA9-4EDF-A50B-7E8478FCB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544868B-3F72-4E1B-B769-DB35D132D6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E0257BF2-39DB-455D-9645-1DA874E2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C09EF0F0-A15E-4040-A294-961D03115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</xm:sqref>
        </x14:conditionalFormatting>
        <x14:conditionalFormatting xmlns:xm="http://schemas.microsoft.com/office/excel/2006/main">
          <x14:cfRule type="dataBar" id="{6335B04E-84DC-4FAB-B4C3-569AEDC144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X4:AC4</xm:sqref>
        </x14:conditionalFormatting>
        <x14:conditionalFormatting xmlns:xm="http://schemas.microsoft.com/office/excel/2006/main">
          <x14:cfRule type="dataBar" id="{B518D0E3-4F93-4409-99F6-EEDFB167B6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C3A6710F-2DF2-4EDD-BD89-47B82B8E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F6DB958-9A7A-4BE3-B9DF-36A4725790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3EE6529-8305-4076-B964-3E44E9B6A9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B15ACDB-3665-45F6-B46C-8375C2932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C2353483-9CFA-423F-A386-07A7CF5846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423B8E5-9B56-47F0-9E31-0698780774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7152C42-B027-4B57-9662-5BC90F8042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58430B2D-2FE2-49D8-9FB4-B3280EF2CB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X10:AB10</xm:sqref>
        </x14:conditionalFormatting>
        <x14:conditionalFormatting xmlns:xm="http://schemas.microsoft.com/office/excel/2006/main">
          <x14:cfRule type="dataBar" id="{8AED4F0E-7DB5-4C39-BB4D-018238126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051A0BA1-D0D0-40AC-9189-4C2C14B0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A17CB1BC-1BF6-405C-9B56-B74001F98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4B7A511E-CF4E-43CD-95C1-9E5E150A3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B2D0007-998E-48C2-BB20-C65C1D1B5D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FB2671BB-7AB2-4CFD-B6F9-657FEEE064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B001B64-4B06-4217-BBE0-9C5CE7B1CB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X10:AC10</xm:sqref>
        </x14:conditionalFormatting>
        <x14:conditionalFormatting xmlns:xm="http://schemas.microsoft.com/office/excel/2006/main">
          <x14:cfRule type="dataBar" id="{69812054-9F75-4594-A33E-702DB994A1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FFD910A-5897-4744-948F-4442809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41A313E-7813-48B4-B324-E9E9A6CE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01DFF6BB-B1AD-432F-9E61-C8E8AE76F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8B47729-2BB3-4D76-8672-31FB2DA3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8416BE9-67CE-48CE-9161-8C258715F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10F5DAE-CA50-4249-975E-99560BBF3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A9B072A0-14AF-4662-854D-50A61D4FD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I4:I8</xm:sqref>
        </x14:conditionalFormatting>
        <x14:conditionalFormatting xmlns:xm="http://schemas.microsoft.com/office/excel/2006/main">
          <x14:cfRule type="dataBar" id="{26645CA6-78B9-41AB-B48E-434F6073DE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D1ABAEF-8EB6-4338-BE58-1FBA6934CB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E86CB695-1A8E-4A17-865B-9DBE347C1C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21C100-142F-46E5-866A-820242F0F9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67CD00B0-148C-468F-B7F3-866D412DBE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84AE3F74-CFA7-48E7-90AF-AB3418903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C8B6EB36-DEB7-47B3-8CBD-DF363EAD5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V4:V8</xm:sqref>
        </x14:conditionalFormatting>
        <x14:conditionalFormatting xmlns:xm="http://schemas.microsoft.com/office/excel/2006/main">
          <x14:cfRule type="dataBar" id="{88FB14EC-DFDD-44AF-A52B-B28DDAE557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W4:W8</xm:sqref>
        </x14:conditionalFormatting>
        <x14:conditionalFormatting xmlns:xm="http://schemas.microsoft.com/office/excel/2006/main">
          <x14:cfRule type="dataBar" id="{73908BC3-6D7B-4C37-9D3A-096A1797EB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L4:M13</xm:sqref>
        </x14:conditionalFormatting>
        <x14:conditionalFormatting xmlns:xm="http://schemas.microsoft.com/office/excel/2006/main">
          <x14:cfRule type="dataBar" id="{28F4DA8D-DD72-43C8-BE64-070C8A1C1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C517188D-15ED-4CBB-910D-C4EA2A6C02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X4:AC11</xm:sqref>
        </x14:conditionalFormatting>
        <x14:conditionalFormatting xmlns:xm="http://schemas.microsoft.com/office/excel/2006/main">
          <x14:cfRule type="iconSet" priority="13" id="{606E5964-AC8F-492C-ADBF-16047C039F6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  <pageSetUpPr fitToPage="1"/>
  </sheetPr>
  <dimension ref="A1:AE391"/>
  <sheetViews>
    <sheetView workbookViewId="0">
      <selection activeCell="M37" sqref="M37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8554687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1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1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1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406</v>
      </c>
      <c r="AC3" s="83" t="s">
        <v>405</v>
      </c>
      <c r="AD3" s="83" t="s">
        <v>404</v>
      </c>
      <c r="AE3" s="83" t="s">
        <v>403</v>
      </c>
    </row>
    <row r="4" spans="1:31" s="103" customFormat="1" x14ac:dyDescent="0.2">
      <c r="A4" s="103" t="s">
        <v>727</v>
      </c>
      <c r="B4" s="46" t="e">
        <f ca="1">_xll.BDP(C4,"SECURITY_NAME")</f>
        <v>#NAME?</v>
      </c>
      <c r="C4" s="103" t="s">
        <v>428</v>
      </c>
      <c r="D4" s="44" t="e">
        <f ca="1">N4/$N$9</f>
        <v>#NAME?</v>
      </c>
      <c r="E4" s="43">
        <f>$F$32</f>
        <v>39770000</v>
      </c>
      <c r="F4" s="188">
        <f>$H$32</f>
        <v>99.69</v>
      </c>
      <c r="G4" s="38" t="e">
        <f ca="1">_xll.BDP(C4,"PX LAST")</f>
        <v>#NAME?</v>
      </c>
      <c r="H4" s="106" t="e">
        <f ca="1">_xll.BDP($C4,"CRNCY")</f>
        <v>#NAME?</v>
      </c>
      <c r="I4" s="44" t="e">
        <f ca="1">G4/F4-1</f>
        <v>#NAME?</v>
      </c>
      <c r="J4" s="44" t="e">
        <f ca="1">N4/L4-1</f>
        <v>#NAME?</v>
      </c>
      <c r="K4" s="43">
        <f>E4*F4/100</f>
        <v>39646713</v>
      </c>
      <c r="L4" s="43" t="e">
        <f ca="1">$J$32</f>
        <v>#NAME?</v>
      </c>
      <c r="M4" s="43" t="e">
        <f ca="1">E4*G4/100</f>
        <v>#NAME?</v>
      </c>
      <c r="N4" s="43" t="e">
        <f ca="1">M4/$I$1</f>
        <v>#NAME?</v>
      </c>
      <c r="O4" s="142" t="e">
        <f t="shared" ref="O4:P7" ca="1" si="0">M4-K4</f>
        <v>#NAME?</v>
      </c>
      <c r="P4" s="142" t="e">
        <f t="shared" ca="1" si="0"/>
        <v>#NAME?</v>
      </c>
      <c r="Q4" s="142" t="e">
        <f ca="1">P4*$I$1</f>
        <v>#NAME?</v>
      </c>
      <c r="R4" s="82" t="e">
        <f ca="1">_xll.BDP($C4,"CHG_PCT_1D")</f>
        <v>#NAME?</v>
      </c>
      <c r="S4" s="82" t="e">
        <f ca="1">_xll.BDP($C4,"CHG_PCT_YTD")</f>
        <v>#NAME?</v>
      </c>
      <c r="T4" s="82" t="e">
        <f ca="1">_xll.BDP($C4,"CHG_PCT_1YR")</f>
        <v>#NAME?</v>
      </c>
      <c r="U4" s="82" t="e">
        <f ca="1">_xll.BDP($C4,"CHG_PCT_6M")</f>
        <v>#NAME?</v>
      </c>
      <c r="V4" s="82" t="e">
        <f ca="1">_xll.BDP($C4,"CHG_PCT_3M")</f>
        <v>#NAME?</v>
      </c>
      <c r="W4" s="82" t="e">
        <f ca="1">_xll.BDP($C4,"CHG_PCT_1M")</f>
        <v>#NAME?</v>
      </c>
      <c r="X4" s="82" t="e">
        <f ca="1">_xll.BDP($C4,"CHG_PCT_5D")</f>
        <v>#NAME?</v>
      </c>
      <c r="Y4" s="82"/>
    </row>
    <row r="5" spans="1:31" s="103" customFormat="1" x14ac:dyDescent="0.2">
      <c r="A5" s="103" t="s">
        <v>727</v>
      </c>
      <c r="B5" s="46" t="e">
        <f ca="1">_xll.BDP(C5,"SECURITY_NAME")</f>
        <v>#NAME?</v>
      </c>
      <c r="C5" s="103" t="s">
        <v>697</v>
      </c>
      <c r="D5" s="44" t="e">
        <f ca="1">N5/$N$9</f>
        <v>#NAME?</v>
      </c>
      <c r="E5" s="43">
        <f>$F$26</f>
        <v>375000</v>
      </c>
      <c r="F5" s="188">
        <f>$H$26</f>
        <v>89.5</v>
      </c>
      <c r="G5" s="38" t="e">
        <f ca="1">_xll.BDP(C5,"PX LAST")</f>
        <v>#NAME?</v>
      </c>
      <c r="H5" s="106" t="e">
        <f ca="1">_xll.BDP($C5,"CRNCY")</f>
        <v>#NAME?</v>
      </c>
      <c r="I5" s="44" t="e">
        <f ca="1">M5/K5-1</f>
        <v>#NAME?</v>
      </c>
      <c r="J5" s="44" t="e">
        <f ca="1">G5/F5-1</f>
        <v>#NAME?</v>
      </c>
      <c r="K5" s="43" t="e">
        <f ca="1">$K$26</f>
        <v>#NAME?</v>
      </c>
      <c r="L5" s="43">
        <f>E5*F5/100</f>
        <v>335625</v>
      </c>
      <c r="M5" s="43" t="e">
        <f ca="1">E5*G5/100*$I$1</f>
        <v>#NAME?</v>
      </c>
      <c r="N5" s="43" t="e">
        <f ca="1">M5/$I$1</f>
        <v>#NAME?</v>
      </c>
      <c r="O5" s="142" t="e">
        <f ca="1">M5-K5</f>
        <v>#NAME?</v>
      </c>
      <c r="P5" s="142" t="e">
        <f ca="1">N5-L5</f>
        <v>#NAME?</v>
      </c>
      <c r="Q5" s="142" t="e">
        <f ca="1">P5*$I$1</f>
        <v>#NAME?</v>
      </c>
      <c r="R5" s="82" t="e">
        <f ca="1">_xll.BDP($C5,"CHG_PCT_1D")</f>
        <v>#NAME?</v>
      </c>
      <c r="S5" s="82" t="e">
        <f ca="1">_xll.BDP($C5,"CHG_PCT_YTD")</f>
        <v>#NAME?</v>
      </c>
      <c r="T5" s="82" t="e">
        <f ca="1">_xll.BDP($C5,"CHG_PCT_1YR")</f>
        <v>#NAME?</v>
      </c>
      <c r="U5" s="82" t="e">
        <f ca="1">_xll.BDP($C5,"CHG_PCT_6M")</f>
        <v>#NAME?</v>
      </c>
      <c r="V5" s="82" t="e">
        <f ca="1">_xll.BDP($C5,"CHG_PCT_3M")</f>
        <v>#NAME?</v>
      </c>
      <c r="W5" s="82" t="e">
        <f ca="1">_xll.BDP($C5,"CHG_PCT_1M")</f>
        <v>#NAME?</v>
      </c>
      <c r="X5" s="82" t="e">
        <f ca="1">_xll.BDP($C5,"CHG_PCT_5D")</f>
        <v>#NAME?</v>
      </c>
      <c r="Y5" s="82"/>
    </row>
    <row r="6" spans="1:31" s="103" customFormat="1" x14ac:dyDescent="0.2">
      <c r="A6" s="103" t="s">
        <v>727</v>
      </c>
      <c r="B6" s="46" t="e">
        <f ca="1">_xll.BDP(C6,"SECURITY_NAME")</f>
        <v>#NAME?</v>
      </c>
      <c r="C6" s="41" t="s">
        <v>453</v>
      </c>
      <c r="D6" s="44" t="e">
        <f ca="1">N6/$N$9</f>
        <v>#NAME?</v>
      </c>
      <c r="E6" s="43">
        <f>$F$23</f>
        <v>1984000</v>
      </c>
      <c r="F6" s="188">
        <f>$H$23</f>
        <v>102.19858870967742</v>
      </c>
      <c r="G6" s="38" t="e">
        <f ca="1">_xll.BDP(C6,"PX LAST")</f>
        <v>#NAME?</v>
      </c>
      <c r="H6" s="106" t="e">
        <f ca="1">_xll.BDP($C6,"CRNCY")</f>
        <v>#NAME?</v>
      </c>
      <c r="I6" s="44" t="e">
        <f ca="1">M6/K6-1</f>
        <v>#NAME?</v>
      </c>
      <c r="J6" s="44" t="e">
        <f ca="1">G6/F6-1</f>
        <v>#NAME?</v>
      </c>
      <c r="K6" s="43" t="e">
        <f ca="1">$K$23</f>
        <v>#NAME?</v>
      </c>
      <c r="L6" s="43">
        <f>E6*F6/100</f>
        <v>2027620</v>
      </c>
      <c r="M6" s="43" t="e">
        <f ca="1">E6*G6/100*$I$1</f>
        <v>#NAME?</v>
      </c>
      <c r="N6" s="43" t="e">
        <f ca="1">M6/$I$1</f>
        <v>#NAME?</v>
      </c>
      <c r="O6" s="142" t="e">
        <f ca="1">M6-K6</f>
        <v>#NAME?</v>
      </c>
      <c r="P6" s="142" t="e">
        <f ca="1">N6-L6</f>
        <v>#NAME?</v>
      </c>
      <c r="Q6" s="142" t="e">
        <f ca="1">P6*$I$1</f>
        <v>#NAME?</v>
      </c>
      <c r="R6" s="82" t="e">
        <f ca="1">_xll.BDP($C6,"CHG_PCT_1D")</f>
        <v>#NAME?</v>
      </c>
      <c r="S6" s="82" t="e">
        <f ca="1">_xll.BDP($C6,"CHG_PCT_YTD")</f>
        <v>#NAME?</v>
      </c>
      <c r="T6" s="82" t="e">
        <f ca="1">_xll.BDP($C6,"CHG_PCT_1YR")</f>
        <v>#NAME?</v>
      </c>
      <c r="U6" s="82" t="e">
        <f ca="1">_xll.BDP($C6,"CHG_PCT_6M")</f>
        <v>#NAME?</v>
      </c>
      <c r="V6" s="82" t="e">
        <f ca="1">_xll.BDP($C6,"CHG_PCT_3M")</f>
        <v>#NAME?</v>
      </c>
      <c r="W6" s="82" t="e">
        <f ca="1">_xll.BDP($C6,"CHG_PCT_1M")</f>
        <v>#NAME?</v>
      </c>
      <c r="X6" s="82" t="e">
        <f ca="1">_xll.BDP($C6,"CHG_PCT_5D")</f>
        <v>#NAME?</v>
      </c>
      <c r="Y6" s="82"/>
    </row>
    <row r="7" spans="1:31" s="103" customFormat="1" x14ac:dyDescent="0.2">
      <c r="A7" s="103" t="s">
        <v>727</v>
      </c>
      <c r="B7" s="46" t="e">
        <f ca="1">_xll.BDP(C7,"SECURITY_NAME")</f>
        <v>#NAME?</v>
      </c>
      <c r="C7" s="103" t="s">
        <v>156</v>
      </c>
      <c r="D7" s="44" t="e">
        <f ca="1">N7/$N$9</f>
        <v>#NAME?</v>
      </c>
      <c r="E7" s="43">
        <f>$F$29</f>
        <v>300000</v>
      </c>
      <c r="F7" s="188">
        <f>$H$29</f>
        <v>102.75000000000001</v>
      </c>
      <c r="G7" s="38" t="e">
        <f ca="1">_xll.BDP(C7,"PX LAST")</f>
        <v>#NAME?</v>
      </c>
      <c r="H7" s="106" t="e">
        <f ca="1">_xll.BDP($C7,"CRNCY")</f>
        <v>#NAME?</v>
      </c>
      <c r="I7" s="44" t="e">
        <f ca="1">M7/K7-1</f>
        <v>#NAME?</v>
      </c>
      <c r="J7" s="44" t="e">
        <f ca="1">G7/F7-1</f>
        <v>#NAME?</v>
      </c>
      <c r="K7" s="43" t="e">
        <f ca="1">$K$29</f>
        <v>#NAME?</v>
      </c>
      <c r="L7" s="43">
        <f>E7*F7/100</f>
        <v>308250.00000000006</v>
      </c>
      <c r="M7" s="43" t="e">
        <f ca="1">E7*G7/100*$I$1</f>
        <v>#NAME?</v>
      </c>
      <c r="N7" s="43" t="e">
        <f ca="1">M7/$I$1</f>
        <v>#NAME?</v>
      </c>
      <c r="O7" s="142" t="e">
        <f t="shared" ca="1" si="0"/>
        <v>#NAME?</v>
      </c>
      <c r="P7" s="142" t="e">
        <f t="shared" ca="1" si="0"/>
        <v>#NAME?</v>
      </c>
      <c r="Q7" s="142" t="e">
        <f ca="1">P7*$I$1</f>
        <v>#NAME?</v>
      </c>
      <c r="R7" s="82" t="e">
        <f ca="1">_xll.BDP($C7,"CHG_PCT_1D")</f>
        <v>#NAME?</v>
      </c>
      <c r="S7" s="82" t="e">
        <f ca="1">_xll.BDP($C7,"CHG_PCT_YTD")</f>
        <v>#NAME?</v>
      </c>
      <c r="T7" s="82" t="e">
        <f ca="1">_xll.BDP($C7,"CHG_PCT_1YR")</f>
        <v>#NAME?</v>
      </c>
      <c r="U7" s="82" t="e">
        <f ca="1">_xll.BDP($C7,"CHG_PCT_6M")</f>
        <v>#NAME?</v>
      </c>
      <c r="V7" s="82" t="e">
        <f ca="1">_xll.BDP($C7,"CHG_PCT_3M")</f>
        <v>#NAME?</v>
      </c>
      <c r="W7" s="82" t="e">
        <f ca="1">_xll.BDP($C7,"CHG_PCT_1M")</f>
        <v>#NAME?</v>
      </c>
      <c r="X7" s="82" t="e">
        <f ca="1">_xll.BDP($C7,"CHG_PCT_5D")</f>
        <v>#NAME?</v>
      </c>
      <c r="Y7" s="82"/>
    </row>
    <row r="8" spans="1:31" x14ac:dyDescent="0.2">
      <c r="B8" s="68" t="s">
        <v>106</v>
      </c>
      <c r="C8" s="68" t="s">
        <v>106</v>
      </c>
      <c r="D8" s="101" t="e">
        <f ca="1">N8/$N$9</f>
        <v>#NAME?</v>
      </c>
      <c r="E8" s="101"/>
      <c r="F8" s="101"/>
      <c r="G8" s="66"/>
      <c r="H8" s="177"/>
      <c r="I8" s="179"/>
      <c r="J8" s="179"/>
      <c r="K8" s="178"/>
      <c r="L8" s="177"/>
      <c r="M8" s="178"/>
      <c r="N8" s="178">
        <v>0</v>
      </c>
      <c r="O8" s="62"/>
      <c r="P8" s="62"/>
      <c r="Q8" s="62"/>
      <c r="R8" s="177"/>
      <c r="S8" s="177"/>
      <c r="T8" s="177"/>
      <c r="U8" s="177"/>
      <c r="V8" s="177"/>
      <c r="W8" s="177"/>
      <c r="X8" s="177"/>
      <c r="Y8" s="177"/>
      <c r="Z8" s="177"/>
    </row>
    <row r="9" spans="1:31" ht="13.5" customHeight="1" thickBot="1" x14ac:dyDescent="0.25">
      <c r="B9" s="175"/>
      <c r="C9" s="175"/>
      <c r="D9" s="59" t="e">
        <f ca="1">SUM(D4:D8)</f>
        <v>#NAME?</v>
      </c>
      <c r="E9" s="176"/>
      <c r="F9" s="176"/>
      <c r="G9" s="175"/>
      <c r="H9" s="55"/>
      <c r="I9" s="175"/>
      <c r="J9" s="175"/>
      <c r="K9" s="57"/>
      <c r="L9" s="133" t="e">
        <f ca="1">SUM(L4:L8)</f>
        <v>#NAME?</v>
      </c>
      <c r="M9" s="57"/>
      <c r="N9" s="133" t="e">
        <f ca="1">SUM(N4:N8)</f>
        <v>#NAME?</v>
      </c>
      <c r="O9" s="184" t="e">
        <f ca="1">SUM(O4:O8)</f>
        <v>#NAME?</v>
      </c>
      <c r="P9" s="133" t="e">
        <f ca="1">SUM(P4:P8)</f>
        <v>#NAME?</v>
      </c>
      <c r="Q9" s="133" t="e">
        <f ca="1">SUM(Q4:Q8)</f>
        <v>#NAME?</v>
      </c>
      <c r="R9" s="55"/>
      <c r="S9" s="55"/>
      <c r="T9" s="55"/>
      <c r="U9" s="55"/>
      <c r="V9" s="55"/>
      <c r="W9" s="55"/>
      <c r="X9" s="55"/>
      <c r="Y9" s="55"/>
      <c r="Z9" s="55"/>
    </row>
    <row r="10" spans="1:31" ht="13.5" customHeight="1" x14ac:dyDescent="0.2">
      <c r="B10" s="35"/>
      <c r="C10" s="35"/>
      <c r="D10" s="54"/>
      <c r="E10" s="46"/>
      <c r="F10" s="46"/>
      <c r="G10" s="35"/>
      <c r="H10" s="35"/>
      <c r="I10" s="40"/>
      <c r="J10" s="40"/>
      <c r="K10" s="40"/>
      <c r="L10" s="130"/>
      <c r="M10" s="52"/>
      <c r="N10" s="53"/>
      <c r="O10" s="53"/>
      <c r="P10" s="98" t="e">
        <f ca="1">$N$9/L9-1</f>
        <v>#NAME?</v>
      </c>
    </row>
    <row r="11" spans="1:31" x14ac:dyDescent="0.2">
      <c r="E11" s="155"/>
      <c r="K11" s="30"/>
      <c r="L11" s="148"/>
      <c r="M11" s="35"/>
      <c r="N11" s="34"/>
      <c r="O11" s="34"/>
      <c r="P11" s="30"/>
    </row>
    <row r="12" spans="1:31" x14ac:dyDescent="0.2">
      <c r="B12" s="32" t="s">
        <v>276</v>
      </c>
      <c r="E12" s="155"/>
      <c r="M12" s="35"/>
      <c r="N12" s="34"/>
      <c r="O12" s="34"/>
      <c r="P12" s="30"/>
    </row>
    <row r="13" spans="1:31" x14ac:dyDescent="0.2">
      <c r="M13" s="35"/>
      <c r="N13" s="34"/>
      <c r="O13" s="34"/>
      <c r="P13" s="30"/>
    </row>
    <row r="14" spans="1:31" ht="40.5" customHeight="1" x14ac:dyDescent="0.2">
      <c r="B14" s="51" t="s">
        <v>105</v>
      </c>
      <c r="C14" s="50" t="s">
        <v>104</v>
      </c>
      <c r="D14" s="50" t="s">
        <v>174</v>
      </c>
      <c r="E14" s="50" t="s">
        <v>173</v>
      </c>
      <c r="F14" s="50" t="s">
        <v>175</v>
      </c>
      <c r="G14" s="50" t="s">
        <v>172</v>
      </c>
      <c r="H14" s="50" t="s">
        <v>103</v>
      </c>
      <c r="I14" s="50" t="s">
        <v>102</v>
      </c>
      <c r="J14" s="50" t="s">
        <v>101</v>
      </c>
      <c r="K14" s="50" t="s">
        <v>100</v>
      </c>
      <c r="L14" s="50" t="s">
        <v>99</v>
      </c>
      <c r="M14" s="50" t="s">
        <v>98</v>
      </c>
      <c r="N14" s="50" t="s">
        <v>280</v>
      </c>
      <c r="O14" s="50" t="s">
        <v>97</v>
      </c>
      <c r="P14" s="50" t="s">
        <v>279</v>
      </c>
      <c r="Q14" s="50" t="s">
        <v>277</v>
      </c>
      <c r="R14" s="50" t="s">
        <v>278</v>
      </c>
    </row>
    <row r="15" spans="1:31" x14ac:dyDescent="0.2">
      <c r="J15" s="105"/>
      <c r="K15" s="70"/>
      <c r="L15" s="155"/>
      <c r="M15" s="35"/>
      <c r="N15" s="30"/>
      <c r="O15" s="30"/>
      <c r="P15" s="34"/>
      <c r="R15" s="35"/>
    </row>
    <row r="16" spans="1:31" x14ac:dyDescent="0.2">
      <c r="H16" s="105"/>
      <c r="I16" s="70"/>
      <c r="J16" s="151"/>
      <c r="K16" s="35"/>
      <c r="L16" s="148"/>
      <c r="M16" s="34"/>
    </row>
    <row r="17" spans="2:17" x14ac:dyDescent="0.2">
      <c r="B17" s="32" t="s">
        <v>93</v>
      </c>
      <c r="C17" s="151"/>
      <c r="D17" s="105"/>
      <c r="H17" s="105"/>
      <c r="I17" s="151"/>
      <c r="J17" s="151"/>
      <c r="K17" s="30"/>
    </row>
    <row r="18" spans="2:17" ht="13.5" thickBot="1" x14ac:dyDescent="0.25">
      <c r="C18" s="30"/>
      <c r="D18" s="30"/>
      <c r="G18" s="30"/>
      <c r="H18" s="151"/>
      <c r="I18" s="30"/>
      <c r="J18" s="151"/>
      <c r="K18" s="30"/>
    </row>
    <row r="19" spans="2:17" ht="15" x14ac:dyDescent="0.35">
      <c r="B19" s="26"/>
      <c r="C19" s="26"/>
      <c r="D19" s="26"/>
      <c r="E19" s="26"/>
      <c r="F19" s="26"/>
      <c r="G19" s="26"/>
      <c r="H19" s="28" t="s">
        <v>92</v>
      </c>
      <c r="I19" s="27" t="s">
        <v>91</v>
      </c>
      <c r="J19" s="27" t="s">
        <v>90</v>
      </c>
      <c r="K19" s="27"/>
      <c r="L19" s="27"/>
      <c r="M19" s="26"/>
      <c r="N19" s="26"/>
      <c r="Q19" s="174"/>
    </row>
    <row r="20" spans="2:17" ht="15" x14ac:dyDescent="0.35">
      <c r="B20" s="23" t="s">
        <v>89</v>
      </c>
      <c r="C20" s="23" t="s">
        <v>88</v>
      </c>
      <c r="D20" s="23" t="s">
        <v>87</v>
      </c>
      <c r="E20" s="23" t="s">
        <v>86</v>
      </c>
      <c r="F20" s="23" t="s">
        <v>85</v>
      </c>
      <c r="G20" s="23" t="s">
        <v>84</v>
      </c>
      <c r="H20" s="25" t="s">
        <v>83</v>
      </c>
      <c r="I20" s="24" t="s">
        <v>83</v>
      </c>
      <c r="J20" s="24" t="s">
        <v>75</v>
      </c>
      <c r="K20" s="24" t="s">
        <v>73</v>
      </c>
      <c r="L20" s="24" t="s">
        <v>82</v>
      </c>
      <c r="M20" s="23" t="s">
        <v>81</v>
      </c>
      <c r="N20" s="23" t="s">
        <v>80</v>
      </c>
    </row>
    <row r="21" spans="2:17" x14ac:dyDescent="0.2">
      <c r="B21" s="287" t="s">
        <v>727</v>
      </c>
      <c r="C21" s="287" t="s">
        <v>453</v>
      </c>
      <c r="D21" s="284" t="e">
        <f ca="1">_xll.BDP(C21,"SECURITY_NAME")</f>
        <v>#NAME?</v>
      </c>
      <c r="E21" s="284" t="s">
        <v>50</v>
      </c>
      <c r="F21" s="285">
        <v>990000</v>
      </c>
      <c r="G21" s="284" t="e">
        <f ca="1">_xll.BDP(C21,"CRNCY")</f>
        <v>#NAME?</v>
      </c>
      <c r="H21" s="281">
        <v>102.9</v>
      </c>
      <c r="I21" s="282">
        <f>F21*H21/100</f>
        <v>1018710</v>
      </c>
      <c r="J21" s="283">
        <f>I21</f>
        <v>1018710</v>
      </c>
      <c r="K21" s="282" t="e">
        <f ca="1">J21*L21</f>
        <v>#NAME?</v>
      </c>
      <c r="L21" s="281" t="e">
        <f ca="1">_xll.BDH("RUB curncy","PX_LAST",$N21)</f>
        <v>#NAME?</v>
      </c>
      <c r="M21" s="280" t="e">
        <f ca="1">1/_xll.BDH("RUB curncy","PX_LAST",$N21)</f>
        <v>#NAME?</v>
      </c>
      <c r="N21" s="274">
        <v>42541</v>
      </c>
    </row>
    <row r="22" spans="2:17" x14ac:dyDescent="0.2">
      <c r="B22" s="287" t="s">
        <v>727</v>
      </c>
      <c r="C22" s="287" t="s">
        <v>453</v>
      </c>
      <c r="D22" s="284" t="e">
        <f ca="1">_xll.BDP(C22,"SECURITY_NAME")</f>
        <v>#NAME?</v>
      </c>
      <c r="E22" s="284" t="s">
        <v>50</v>
      </c>
      <c r="F22" s="285">
        <v>994000</v>
      </c>
      <c r="G22" s="284" t="e">
        <f ca="1">_xll.BDP(C22,"CRNCY")</f>
        <v>#NAME?</v>
      </c>
      <c r="H22" s="281">
        <v>101.5</v>
      </c>
      <c r="I22" s="282">
        <f>F22*H22/100</f>
        <v>1008910</v>
      </c>
      <c r="J22" s="283">
        <f>I22</f>
        <v>1008910</v>
      </c>
      <c r="K22" s="282" t="e">
        <f ca="1">J22*L22</f>
        <v>#NAME?</v>
      </c>
      <c r="L22" s="281" t="e">
        <f ca="1">_xll.BDH("RUB curncy","PX_LAST",$N22)</f>
        <v>#NAME?</v>
      </c>
      <c r="M22" s="280" t="e">
        <f ca="1">1/_xll.BDH("RUB curncy","PX_LAST",$N22)</f>
        <v>#NAME?</v>
      </c>
      <c r="N22" s="274">
        <v>42527</v>
      </c>
      <c r="O22" s="33"/>
    </row>
    <row r="23" spans="2:17" x14ac:dyDescent="0.2">
      <c r="B23" s="279"/>
      <c r="C23" s="279"/>
      <c r="D23" s="278"/>
      <c r="E23" s="278"/>
      <c r="F23" s="277">
        <f>SUM(F21:F22)</f>
        <v>1984000</v>
      </c>
      <c r="G23" s="278"/>
      <c r="H23" s="276">
        <f>I23/F23*100</f>
        <v>102.19858870967742</v>
      </c>
      <c r="I23" s="277">
        <f>SUM(I21:I22)</f>
        <v>2027620</v>
      </c>
      <c r="J23" s="277">
        <f>SUM(J21:J22)</f>
        <v>2027620</v>
      </c>
      <c r="K23" s="277" t="e">
        <f ca="1">SUM(K21:K22)</f>
        <v>#NAME?</v>
      </c>
      <c r="L23" s="276"/>
      <c r="M23" s="275"/>
      <c r="N23" s="274"/>
      <c r="O23" s="33"/>
    </row>
    <row r="24" spans="2:17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  <c r="O24" s="33"/>
    </row>
    <row r="25" spans="2:17" x14ac:dyDescent="0.2">
      <c r="B25" s="287" t="s">
        <v>727</v>
      </c>
      <c r="C25" s="287" t="s">
        <v>697</v>
      </c>
      <c r="D25" s="284" t="e">
        <f ca="1">_xll.BDP(C25,"SECURITY_NAME")</f>
        <v>#NAME?</v>
      </c>
      <c r="E25" s="284" t="s">
        <v>50</v>
      </c>
      <c r="F25" s="285">
        <v>375000</v>
      </c>
      <c r="G25" s="284" t="e">
        <f ca="1">_xll.BDP(C25,"CRNCY")</f>
        <v>#NAME?</v>
      </c>
      <c r="H25" s="281">
        <v>89.5</v>
      </c>
      <c r="I25" s="282">
        <f>F25*H25/100</f>
        <v>335625</v>
      </c>
      <c r="J25" s="283">
        <f>I25</f>
        <v>335625</v>
      </c>
      <c r="K25" s="282" t="e">
        <f ca="1">J25*L25</f>
        <v>#NAME?</v>
      </c>
      <c r="L25" s="281" t="e">
        <f ca="1">_xll.BDH("RUB curncy","PX_LAST",$N25)</f>
        <v>#NAME?</v>
      </c>
      <c r="M25" s="280" t="e">
        <f ca="1">1/_xll.BDH("RUB curncy","PX_LAST",$N25)</f>
        <v>#NAME?</v>
      </c>
      <c r="N25" s="274">
        <v>42543</v>
      </c>
    </row>
    <row r="26" spans="2:17" x14ac:dyDescent="0.2">
      <c r="B26" s="279"/>
      <c r="C26" s="279"/>
      <c r="D26" s="278"/>
      <c r="E26" s="278"/>
      <c r="F26" s="277">
        <f>SUM(F25:F25)</f>
        <v>375000</v>
      </c>
      <c r="G26" s="278"/>
      <c r="H26" s="276">
        <f>I26/F26*100</f>
        <v>89.5</v>
      </c>
      <c r="I26" s="277">
        <f>SUM(I25:I25)</f>
        <v>335625</v>
      </c>
      <c r="J26" s="277">
        <f>SUM(J25:J25)</f>
        <v>335625</v>
      </c>
      <c r="K26" s="277" t="e">
        <f ca="1">SUM(K25:K25)</f>
        <v>#NAME?</v>
      </c>
      <c r="L26" s="276"/>
      <c r="M26" s="275"/>
      <c r="N26" s="274"/>
    </row>
    <row r="27" spans="2:17" x14ac:dyDescent="0.2">
      <c r="B27" s="160"/>
      <c r="C27" s="159"/>
      <c r="D27" s="87"/>
      <c r="E27" s="87"/>
      <c r="F27" s="79"/>
      <c r="G27" s="87"/>
      <c r="H27" s="99"/>
      <c r="I27" s="79"/>
      <c r="J27" s="79"/>
      <c r="K27" s="79"/>
      <c r="L27" s="88"/>
      <c r="M27" s="158"/>
      <c r="N27" s="157"/>
    </row>
    <row r="28" spans="2:17" x14ac:dyDescent="0.2">
      <c r="B28" s="287" t="s">
        <v>727</v>
      </c>
      <c r="C28" s="287" t="s">
        <v>156</v>
      </c>
      <c r="D28" s="284" t="e">
        <f ca="1">_xll.BDP(C28,"SECURITY_NAME")</f>
        <v>#NAME?</v>
      </c>
      <c r="E28" s="284" t="s">
        <v>50</v>
      </c>
      <c r="F28" s="285">
        <v>300000</v>
      </c>
      <c r="G28" s="284" t="e">
        <f ca="1">_xll.BDP(C28,"CRNCY")</f>
        <v>#NAME?</v>
      </c>
      <c r="H28" s="281">
        <v>102.75</v>
      </c>
      <c r="I28" s="282">
        <f>F28*H28/100</f>
        <v>308250</v>
      </c>
      <c r="J28" s="283">
        <f>I28</f>
        <v>308250</v>
      </c>
      <c r="K28" s="282" t="e">
        <f ca="1">J28*L28</f>
        <v>#NAME?</v>
      </c>
      <c r="L28" s="281" t="e">
        <f ca="1">_xll.BDH("RUB curncy","PX_LAST",$N28)</f>
        <v>#NAME?</v>
      </c>
      <c r="M28" s="280" t="e">
        <f ca="1">1/_xll.BDH("RUB curncy","PX_LAST",$N28)</f>
        <v>#NAME?</v>
      </c>
      <c r="N28" s="274">
        <v>42543</v>
      </c>
    </row>
    <row r="29" spans="2:17" x14ac:dyDescent="0.2">
      <c r="B29" s="279"/>
      <c r="C29" s="279"/>
      <c r="D29" s="278"/>
      <c r="E29" s="278"/>
      <c r="F29" s="277">
        <f>SUM(F28:F28)</f>
        <v>300000</v>
      </c>
      <c r="G29" s="278"/>
      <c r="H29" s="276">
        <f>I29/F29*100</f>
        <v>102.75000000000001</v>
      </c>
      <c r="I29" s="277">
        <f>SUM(I28:I28)</f>
        <v>308250</v>
      </c>
      <c r="J29" s="277">
        <f>SUM(J28:J28)</f>
        <v>308250</v>
      </c>
      <c r="K29" s="277" t="e">
        <f ca="1">SUM(K28:K28)</f>
        <v>#NAME?</v>
      </c>
      <c r="L29" s="276"/>
      <c r="M29" s="275"/>
      <c r="N29" s="274"/>
    </row>
    <row r="30" spans="2:17" x14ac:dyDescent="0.2">
      <c r="B30" s="167"/>
      <c r="C30" s="166"/>
      <c r="D30" s="165"/>
      <c r="E30" s="165"/>
      <c r="F30" s="96"/>
      <c r="G30" s="165"/>
      <c r="H30" s="97"/>
      <c r="I30" s="163"/>
      <c r="J30" s="164"/>
      <c r="K30" s="163"/>
      <c r="L30" s="162"/>
      <c r="M30" s="161"/>
      <c r="N30" s="157"/>
    </row>
    <row r="31" spans="2:17" x14ac:dyDescent="0.2">
      <c r="B31" s="287" t="s">
        <v>727</v>
      </c>
      <c r="C31" s="287" t="s">
        <v>428</v>
      </c>
      <c r="D31" s="284" t="e">
        <f ca="1">_xll.BDP(C31,"SECURITY_NAME")</f>
        <v>#NAME?</v>
      </c>
      <c r="E31" s="284" t="s">
        <v>50</v>
      </c>
      <c r="F31" s="285">
        <v>39770000</v>
      </c>
      <c r="G31" s="284" t="e">
        <f ca="1">_xll.BDP(C31,"CRNCY")</f>
        <v>#NAME?</v>
      </c>
      <c r="H31" s="281">
        <v>99.69</v>
      </c>
      <c r="I31" s="282">
        <f>F31*H31/100</f>
        <v>39646713</v>
      </c>
      <c r="J31" s="283" t="e">
        <f ca="1">I31/L31</f>
        <v>#NAME?</v>
      </c>
      <c r="K31" s="282" t="e">
        <f ca="1">J31*L31</f>
        <v>#NAME?</v>
      </c>
      <c r="L31" s="281" t="e">
        <f ca="1">_xll.BDH("RUB curncy","PX_LAST",$N31)</f>
        <v>#NAME?</v>
      </c>
      <c r="M31" s="280" t="e">
        <f ca="1">1/_xll.BDH("RUB curncy","PX_LAST",$N31)</f>
        <v>#NAME?</v>
      </c>
      <c r="N31" s="274">
        <v>42549</v>
      </c>
    </row>
    <row r="32" spans="2:17" x14ac:dyDescent="0.2">
      <c r="B32" s="279"/>
      <c r="C32" s="279"/>
      <c r="D32" s="278"/>
      <c r="E32" s="278"/>
      <c r="F32" s="277">
        <f>SUM(F31:F31)</f>
        <v>39770000</v>
      </c>
      <c r="G32" s="278"/>
      <c r="H32" s="276">
        <f>I32/F32*100</f>
        <v>99.69</v>
      </c>
      <c r="I32" s="277">
        <f>SUM(I31:I31)</f>
        <v>39646713</v>
      </c>
      <c r="J32" s="277" t="e">
        <f ca="1">SUM(J31:J31)</f>
        <v>#NAME?</v>
      </c>
      <c r="K32" s="277" t="e">
        <f ca="1">SUM(K31:K31)</f>
        <v>#NAME?</v>
      </c>
      <c r="L32" s="276"/>
      <c r="M32" s="275"/>
      <c r="N32" s="274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7"/>
      <c r="C35" s="166"/>
      <c r="D35" s="165"/>
      <c r="E35" s="165"/>
      <c r="F35" s="96"/>
      <c r="G35" s="165"/>
      <c r="H35" s="97"/>
      <c r="I35" s="163"/>
      <c r="J35" s="164"/>
      <c r="K35" s="163"/>
      <c r="L35" s="162"/>
      <c r="M35" s="161"/>
      <c r="N35" s="157"/>
    </row>
    <row r="36" spans="2:14" x14ac:dyDescent="0.2">
      <c r="B36" s="167"/>
      <c r="C36" s="166"/>
      <c r="D36" s="165"/>
      <c r="E36" s="165"/>
      <c r="F36" s="96"/>
      <c r="G36" s="165"/>
      <c r="H36" s="97"/>
      <c r="I36" s="163"/>
      <c r="J36" s="164"/>
      <c r="K36" s="163"/>
      <c r="L36" s="162"/>
      <c r="M36" s="161"/>
      <c r="N36" s="157"/>
    </row>
    <row r="37" spans="2:14" x14ac:dyDescent="0.2">
      <c r="B37" s="160"/>
      <c r="D37" s="87"/>
      <c r="E37" s="87"/>
      <c r="F37" s="79"/>
      <c r="G37" s="87"/>
      <c r="H37" s="80"/>
      <c r="I37" s="79"/>
      <c r="J37" s="79"/>
      <c r="K37" s="79"/>
      <c r="L37" s="88"/>
      <c r="M37" s="158"/>
      <c r="N37" s="157"/>
    </row>
    <row r="39" spans="2:14" x14ac:dyDescent="0.2">
      <c r="B39" s="167"/>
      <c r="C39" s="166"/>
      <c r="D39" s="165"/>
      <c r="E39" s="165"/>
      <c r="F39" s="96"/>
      <c r="G39" s="165"/>
      <c r="H39" s="97"/>
      <c r="I39" s="163"/>
      <c r="J39" s="164"/>
      <c r="K39" s="163"/>
      <c r="L39" s="162"/>
      <c r="M39" s="161"/>
      <c r="N39" s="157"/>
    </row>
    <row r="40" spans="2:14" x14ac:dyDescent="0.2">
      <c r="B40" s="160"/>
      <c r="D40" s="87"/>
      <c r="E40" s="87"/>
      <c r="F40" s="79"/>
      <c r="G40" s="87"/>
      <c r="H40" s="80"/>
      <c r="I40" s="79"/>
      <c r="J40" s="79"/>
      <c r="K40" s="79"/>
      <c r="L40" s="88"/>
      <c r="M40" s="158"/>
      <c r="N40" s="157"/>
    </row>
    <row r="41" spans="2:14" x14ac:dyDescent="0.2">
      <c r="B41" s="160"/>
      <c r="D41" s="87"/>
      <c r="E41" s="87"/>
      <c r="F41" s="79"/>
      <c r="G41" s="87"/>
      <c r="H41" s="80"/>
      <c r="I41" s="79"/>
      <c r="J41" s="79"/>
      <c r="K41" s="79"/>
      <c r="L41" s="88"/>
      <c r="M41" s="158"/>
      <c r="N41" s="157"/>
    </row>
    <row r="42" spans="2:14" x14ac:dyDescent="0.2">
      <c r="B42" s="167"/>
      <c r="C42" s="166"/>
      <c r="D42" s="165"/>
      <c r="E42" s="165"/>
      <c r="F42" s="96"/>
      <c r="G42" s="165"/>
      <c r="H42" s="97"/>
      <c r="I42" s="163"/>
      <c r="J42" s="164"/>
      <c r="K42" s="163"/>
      <c r="L42" s="162"/>
      <c r="M42" s="161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7"/>
      <c r="C51" s="166"/>
      <c r="D51" s="165"/>
      <c r="E51" s="165"/>
      <c r="F51" s="96"/>
      <c r="G51" s="165"/>
      <c r="H51" s="97"/>
      <c r="I51" s="163"/>
      <c r="J51" s="164"/>
      <c r="K51" s="163"/>
      <c r="L51" s="162"/>
      <c r="M51" s="161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C61" s="159"/>
      <c r="D61" s="87"/>
      <c r="E61" s="87"/>
      <c r="F61" s="79"/>
      <c r="G61" s="87"/>
      <c r="H61" s="99"/>
      <c r="I61" s="79"/>
      <c r="J61" s="79"/>
      <c r="K61" s="79"/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0"/>
      <c r="C64" s="159"/>
      <c r="D64" s="87"/>
      <c r="E64" s="87"/>
      <c r="F64" s="79"/>
      <c r="G64" s="87"/>
      <c r="H64" s="99"/>
      <c r="I64" s="79"/>
      <c r="J64" s="79"/>
      <c r="K64" s="79"/>
      <c r="L64" s="88"/>
      <c r="M64" s="158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7"/>
      <c r="C66" s="166"/>
      <c r="D66" s="165"/>
      <c r="E66" s="165"/>
      <c r="F66" s="96"/>
      <c r="G66" s="165"/>
      <c r="H66" s="97"/>
      <c r="I66" s="163"/>
      <c r="J66" s="164"/>
      <c r="K66" s="163"/>
      <c r="L66" s="162"/>
      <c r="M66" s="161"/>
      <c r="N66" s="157"/>
    </row>
    <row r="67" spans="2:14" x14ac:dyDescent="0.2">
      <c r="B67" s="160"/>
      <c r="C67" s="159"/>
      <c r="D67" s="87"/>
      <c r="E67" s="87"/>
      <c r="F67" s="79"/>
      <c r="G67" s="87"/>
      <c r="H67" s="99"/>
      <c r="I67" s="79"/>
      <c r="J67" s="79"/>
      <c r="K67" s="79"/>
      <c r="L67" s="88"/>
      <c r="M67" s="158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69" spans="2:14" x14ac:dyDescent="0.2">
      <c r="B69" s="167"/>
      <c r="C69" s="166"/>
      <c r="D69" s="165"/>
      <c r="E69" s="165"/>
      <c r="F69" s="96"/>
      <c r="G69" s="165"/>
      <c r="H69" s="97"/>
      <c r="I69" s="163"/>
      <c r="J69" s="164"/>
      <c r="K69" s="163"/>
      <c r="L69" s="162"/>
      <c r="M69" s="161"/>
      <c r="N69" s="157"/>
    </row>
    <row r="70" spans="2:14" x14ac:dyDescent="0.2">
      <c r="B70" s="160"/>
      <c r="C70" s="159"/>
      <c r="D70" s="87"/>
      <c r="E70" s="87"/>
      <c r="F70" s="79"/>
      <c r="G70" s="87"/>
      <c r="H70" s="99"/>
      <c r="I70" s="79"/>
      <c r="J70" s="79"/>
      <c r="K70" s="79"/>
      <c r="L70" s="88"/>
      <c r="M70" s="158"/>
      <c r="N70" s="157"/>
    </row>
    <row r="71" spans="2:14" x14ac:dyDescent="0.2">
      <c r="B71" s="160"/>
      <c r="C71" s="159"/>
      <c r="D71" s="87"/>
      <c r="E71" s="87"/>
      <c r="F71" s="79"/>
      <c r="G71" s="87"/>
      <c r="H71" s="99"/>
      <c r="I71" s="79"/>
      <c r="J71" s="79"/>
      <c r="K71" s="79"/>
      <c r="L71" s="88"/>
      <c r="M71" s="158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0"/>
      <c r="C73" s="159"/>
      <c r="D73" s="87"/>
      <c r="E73" s="87"/>
      <c r="F73" s="79"/>
      <c r="G73" s="87"/>
      <c r="H73" s="99"/>
      <c r="I73" s="79"/>
      <c r="J73" s="79"/>
      <c r="K73" s="79"/>
      <c r="L73" s="88"/>
      <c r="M73" s="158"/>
      <c r="N73" s="157"/>
    </row>
    <row r="74" spans="2:14" x14ac:dyDescent="0.2">
      <c r="B74" s="160"/>
      <c r="C74" s="159"/>
      <c r="D74" s="87"/>
      <c r="E74" s="87"/>
      <c r="F74" s="79"/>
      <c r="G74" s="87"/>
      <c r="H74" s="99"/>
      <c r="I74" s="79"/>
      <c r="J74" s="79"/>
      <c r="K74" s="79"/>
      <c r="L74" s="88"/>
      <c r="M74" s="158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D115" s="87"/>
      <c r="E115" s="87"/>
      <c r="F115" s="79"/>
      <c r="G115" s="87"/>
      <c r="H115" s="80"/>
      <c r="I115" s="79"/>
      <c r="J115" s="79"/>
      <c r="K115" s="79"/>
      <c r="L115" s="88"/>
      <c r="M115" s="158"/>
      <c r="N115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9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10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F138" s="79"/>
      <c r="H138" s="80"/>
      <c r="I138" s="79"/>
      <c r="J138" s="79"/>
      <c r="K138" s="79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2" spans="2:14" x14ac:dyDescent="0.2">
      <c r="B142" s="160"/>
      <c r="D142" s="87"/>
      <c r="E142" s="87"/>
      <c r="F142" s="79"/>
      <c r="G142" s="87"/>
      <c r="H142" s="80"/>
      <c r="I142" s="79"/>
      <c r="J142" s="79"/>
      <c r="K142" s="79"/>
      <c r="L142" s="88"/>
      <c r="M142" s="158"/>
      <c r="N142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D145" s="87"/>
      <c r="E145" s="87"/>
      <c r="F145" s="79"/>
      <c r="G145" s="87"/>
      <c r="H145" s="80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F153" s="79"/>
      <c r="H153" s="80"/>
      <c r="I153" s="79"/>
      <c r="J153" s="79"/>
      <c r="K153" s="79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F157" s="79"/>
      <c r="G157" s="79"/>
      <c r="H157" s="80"/>
      <c r="I157" s="79"/>
      <c r="J157" s="79"/>
      <c r="K157" s="79"/>
    </row>
    <row r="158" spans="2:14" x14ac:dyDescent="0.2">
      <c r="G158" s="79"/>
      <c r="H158" s="80"/>
      <c r="I158" s="79"/>
      <c r="J158" s="79"/>
      <c r="K158" s="79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79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80"/>
      <c r="I171" s="79"/>
      <c r="J171" s="79"/>
      <c r="K171" s="79"/>
      <c r="L171" s="88"/>
      <c r="M171" s="158"/>
      <c r="N171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0"/>
      <c r="I176" s="79"/>
      <c r="J176" s="79"/>
      <c r="K176" s="79"/>
      <c r="L176" s="88"/>
      <c r="M176" s="158"/>
      <c r="N176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C181" s="159"/>
      <c r="D181" s="87"/>
      <c r="E181" s="87"/>
      <c r="F181" s="79"/>
      <c r="G181" s="87"/>
      <c r="H181" s="79"/>
      <c r="I181" s="79"/>
      <c r="J181" s="79"/>
      <c r="K181" s="79"/>
      <c r="L181" s="88"/>
      <c r="M181" s="158"/>
      <c r="N181" s="157"/>
    </row>
    <row r="182" spans="2:14" x14ac:dyDescent="0.2">
      <c r="B182" s="160"/>
      <c r="C182" s="159"/>
      <c r="D182" s="87"/>
      <c r="E182" s="87"/>
      <c r="F182" s="79"/>
      <c r="G182" s="87"/>
      <c r="H182" s="80"/>
      <c r="I182" s="79"/>
      <c r="J182" s="79"/>
      <c r="K182" s="79"/>
      <c r="L182" s="88"/>
      <c r="M182" s="158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C193" s="159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0"/>
      <c r="C195" s="159"/>
      <c r="D195" s="87"/>
      <c r="E195" s="87"/>
      <c r="F195" s="79"/>
      <c r="G195" s="87"/>
      <c r="H195" s="80"/>
      <c r="I195" s="79"/>
      <c r="J195" s="79"/>
      <c r="K195" s="79"/>
      <c r="L195" s="88"/>
      <c r="M195" s="158"/>
      <c r="N195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0"/>
      <c r="C212" s="159"/>
      <c r="D212" s="87"/>
      <c r="E212" s="87"/>
      <c r="F212" s="79"/>
      <c r="G212" s="87"/>
      <c r="H212" s="80"/>
      <c r="I212" s="79"/>
      <c r="J212" s="79"/>
      <c r="K212" s="79"/>
      <c r="L212" s="88"/>
      <c r="M212" s="158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58"/>
      <c r="N215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F218" s="79"/>
      <c r="H218" s="88"/>
      <c r="I218" s="79"/>
      <c r="J218" s="79"/>
      <c r="K218" s="79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73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8"/>
      <c r="I225" s="79"/>
      <c r="J225" s="79"/>
      <c r="K225" s="79"/>
      <c r="L225" s="88"/>
      <c r="M225" s="173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73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0"/>
      <c r="C253" s="159"/>
      <c r="D253" s="87"/>
      <c r="E253" s="87"/>
      <c r="F253" s="79"/>
      <c r="G253" s="87"/>
      <c r="H253" s="80"/>
      <c r="I253" s="79"/>
      <c r="J253" s="79"/>
      <c r="K253" s="79"/>
      <c r="L253" s="88"/>
      <c r="M253" s="173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73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168"/>
      <c r="J257" s="169"/>
      <c r="K257" s="168"/>
      <c r="L257" s="88"/>
      <c r="M257" s="158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73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73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73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73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73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73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91"/>
      <c r="I276" s="79"/>
      <c r="J276" s="79"/>
      <c r="K276" s="79"/>
      <c r="L276" s="88"/>
      <c r="M276" s="158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91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172"/>
      <c r="I281" s="163"/>
      <c r="J281" s="164"/>
      <c r="K281" s="163"/>
      <c r="L281" s="162"/>
      <c r="M281" s="161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93"/>
      <c r="I282" s="79"/>
      <c r="J282" s="79"/>
      <c r="K282" s="79"/>
      <c r="L282" s="88"/>
      <c r="M282" s="158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92"/>
      <c r="I283" s="79"/>
      <c r="J283" s="79"/>
      <c r="K283" s="79"/>
      <c r="L283" s="88"/>
      <c r="M283" s="158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171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92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92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170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170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95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168"/>
      <c r="J290" s="169"/>
      <c r="K290" s="168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58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96"/>
      <c r="J312" s="96"/>
      <c r="K312" s="96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96"/>
      <c r="J313" s="96"/>
      <c r="K313" s="96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0"/>
      <c r="C319" s="159"/>
      <c r="D319" s="87"/>
      <c r="E319" s="87"/>
      <c r="F319" s="79"/>
      <c r="G319" s="87"/>
      <c r="H319" s="80"/>
      <c r="I319" s="79"/>
      <c r="J319" s="79"/>
      <c r="K319" s="79"/>
      <c r="L319" s="88"/>
      <c r="M319" s="158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0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0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79"/>
      <c r="J349" s="79"/>
      <c r="K349" s="79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80"/>
      <c r="I352" s="79"/>
      <c r="J352" s="79"/>
      <c r="K352" s="79"/>
      <c r="L352" s="88"/>
      <c r="M352" s="158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168"/>
      <c r="J353" s="169"/>
      <c r="K353" s="168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168"/>
      <c r="J356" s="169"/>
      <c r="K356" s="168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80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80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80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80"/>
      <c r="I362" s="168"/>
      <c r="J362" s="169"/>
      <c r="K362" s="168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168"/>
      <c r="J367" s="169"/>
      <c r="K367" s="168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0"/>
      <c r="C369" s="159"/>
      <c r="D369" s="87"/>
      <c r="E369" s="87"/>
      <c r="F369" s="79"/>
      <c r="G369" s="87"/>
      <c r="H369" s="80"/>
      <c r="I369" s="79"/>
      <c r="J369" s="79"/>
      <c r="K369" s="79"/>
      <c r="L369" s="88"/>
      <c r="M369" s="158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168"/>
      <c r="J370" s="169"/>
      <c r="K370" s="168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79"/>
      <c r="J372" s="79"/>
      <c r="K372" s="79"/>
      <c r="L372" s="88"/>
      <c r="M372" s="158"/>
      <c r="N372" s="157"/>
    </row>
    <row r="373" spans="2:14" x14ac:dyDescent="0.2">
      <c r="B373" s="156"/>
      <c r="C373" s="156"/>
      <c r="D373" s="156"/>
      <c r="E373" s="102"/>
      <c r="F373" s="102"/>
      <c r="G373" s="156"/>
      <c r="H373" s="156"/>
      <c r="I373" s="156"/>
      <c r="J373" s="156"/>
      <c r="K373" s="156"/>
      <c r="L373" s="102"/>
      <c r="M373" s="156"/>
      <c r="N373" s="156"/>
    </row>
    <row r="374" spans="2:14" x14ac:dyDescent="0.2">
      <c r="H374" s="151"/>
    </row>
    <row r="375" spans="2:14" x14ac:dyDescent="0.2">
      <c r="H375" s="151"/>
    </row>
    <row r="377" spans="2:14" x14ac:dyDescent="0.2">
      <c r="H377" s="151"/>
    </row>
    <row r="378" spans="2:14" x14ac:dyDescent="0.2">
      <c r="H378" s="151"/>
    </row>
    <row r="379" spans="2:14" x14ac:dyDescent="0.2">
      <c r="L379" s="155"/>
    </row>
    <row r="380" spans="2:14" x14ac:dyDescent="0.2">
      <c r="L380" s="155"/>
    </row>
    <row r="381" spans="2:14" x14ac:dyDescent="0.2">
      <c r="E381" s="32"/>
      <c r="F381" s="32"/>
      <c r="L381" s="154"/>
    </row>
    <row r="383" spans="2:14" x14ac:dyDescent="0.2">
      <c r="E383" s="32"/>
      <c r="F383" s="32"/>
      <c r="L383" s="153"/>
    </row>
    <row r="387" spans="5:7" x14ac:dyDescent="0.2">
      <c r="E387" s="32"/>
      <c r="F387" s="32"/>
      <c r="G387" s="151"/>
    </row>
    <row r="388" spans="5:7" x14ac:dyDescent="0.2">
      <c r="E388" s="32"/>
      <c r="F388" s="32"/>
      <c r="G388" s="152"/>
    </row>
    <row r="391" spans="5:7" x14ac:dyDescent="0.2">
      <c r="E391" s="32"/>
      <c r="F391" s="32"/>
      <c r="G391" s="151"/>
    </row>
  </sheetData>
  <conditionalFormatting sqref="E222:E223 E270:E271 E263 E253:E254 E225:E226 E266:E267 E54 E101 E83 E274:E276">
    <cfRule type="containsText" dxfId="7602" priority="538" operator="containsText" text="Buy">
      <formula>NOT(ISERROR(SEARCH("Buy",E54)))</formula>
    </cfRule>
    <cfRule type="containsText" dxfId="7601" priority="539" operator="containsText" text="Sell">
      <formula>NOT(ISERROR(SEARCH("Sell",E54)))</formula>
    </cfRule>
  </conditionalFormatting>
  <conditionalFormatting sqref="E295:E296 E285:E286 E290">
    <cfRule type="containsText" dxfId="7600" priority="536" operator="containsText" text="Buy">
      <formula>NOT(ISERROR(SEARCH("Buy",E285)))</formula>
    </cfRule>
    <cfRule type="containsText" dxfId="7599" priority="537" operator="containsText" text="Sell">
      <formula>NOT(ISERROR(SEARCH("Sell",E285)))</formula>
    </cfRule>
  </conditionalFormatting>
  <conditionalFormatting sqref="E311:E313 E370 E367 E362 E356 E353 E350 E347 E340 E336 E330 E320">
    <cfRule type="containsText" dxfId="7598" priority="534" operator="containsText" text="Buy">
      <formula>NOT(ISERROR(SEARCH("Buy",E311)))</formula>
    </cfRule>
    <cfRule type="containsText" dxfId="7597" priority="535" operator="containsText" text="Sell">
      <formula>NOT(ISERROR(SEARCH("Sell",E311)))</formula>
    </cfRule>
  </conditionalFormatting>
  <conditionalFormatting sqref="E310">
    <cfRule type="containsText" dxfId="7596" priority="532" operator="containsText" text="Buy">
      <formula>NOT(ISERROR(SEARCH("Buy",E310)))</formula>
    </cfRule>
    <cfRule type="containsText" dxfId="7595" priority="533" operator="containsText" text="Sell">
      <formula>NOT(ISERROR(SEARCH("Sell",E310)))</formula>
    </cfRule>
  </conditionalFormatting>
  <conditionalFormatting sqref="E309">
    <cfRule type="containsText" dxfId="7594" priority="530" operator="containsText" text="Buy">
      <formula>NOT(ISERROR(SEARCH("Buy",E309)))</formula>
    </cfRule>
    <cfRule type="containsText" dxfId="7593" priority="531" operator="containsText" text="Sell">
      <formula>NOT(ISERROR(SEARCH("Sell",E309)))</formula>
    </cfRule>
  </conditionalFormatting>
  <conditionalFormatting sqref="E308">
    <cfRule type="containsText" dxfId="7592" priority="528" operator="containsText" text="Buy">
      <formula>NOT(ISERROR(SEARCH("Buy",E308)))</formula>
    </cfRule>
    <cfRule type="containsText" dxfId="7591" priority="529" operator="containsText" text="Sell">
      <formula>NOT(ISERROR(SEARCH("Sell",E308)))</formula>
    </cfRule>
  </conditionalFormatting>
  <conditionalFormatting sqref="E221">
    <cfRule type="containsText" dxfId="7590" priority="526" operator="containsText" text="Buy">
      <formula>NOT(ISERROR(SEARCH("Buy",E221)))</formula>
    </cfRule>
    <cfRule type="containsText" dxfId="7589" priority="527" operator="containsText" text="Sell">
      <formula>NOT(ISERROR(SEARCH("Sell",E221)))</formula>
    </cfRule>
  </conditionalFormatting>
  <conditionalFormatting sqref="E220">
    <cfRule type="containsText" dxfId="7588" priority="524" operator="containsText" text="Buy">
      <formula>NOT(ISERROR(SEARCH("Buy",E220)))</formula>
    </cfRule>
    <cfRule type="containsText" dxfId="7587" priority="525" operator="containsText" text="Sell">
      <formula>NOT(ISERROR(SEARCH("Sell",E220)))</formula>
    </cfRule>
  </conditionalFormatting>
  <conditionalFormatting sqref="E269">
    <cfRule type="containsText" dxfId="7586" priority="522" operator="containsText" text="Buy">
      <formula>NOT(ISERROR(SEARCH("Buy",E269)))</formula>
    </cfRule>
    <cfRule type="containsText" dxfId="7585" priority="523" operator="containsText" text="Sell">
      <formula>NOT(ISERROR(SEARCH("Sell",E269)))</formula>
    </cfRule>
  </conditionalFormatting>
  <conditionalFormatting sqref="E268">
    <cfRule type="containsText" dxfId="7584" priority="520" operator="containsText" text="Buy">
      <formula>NOT(ISERROR(SEARCH("Buy",E268)))</formula>
    </cfRule>
    <cfRule type="containsText" dxfId="7583" priority="521" operator="containsText" text="Sell">
      <formula>NOT(ISERROR(SEARCH("Sell",E268)))</formula>
    </cfRule>
  </conditionalFormatting>
  <conditionalFormatting sqref="E255:E257">
    <cfRule type="containsText" dxfId="7582" priority="518" operator="containsText" text="Buy">
      <formula>NOT(ISERROR(SEARCH("Buy",E255)))</formula>
    </cfRule>
    <cfRule type="containsText" dxfId="7581" priority="519" operator="containsText" text="Sell">
      <formula>NOT(ISERROR(SEARCH("Sell",E255)))</formula>
    </cfRule>
  </conditionalFormatting>
  <conditionalFormatting sqref="E252">
    <cfRule type="containsText" dxfId="7580" priority="516" operator="containsText" text="Buy">
      <formula>NOT(ISERROR(SEARCH("Buy",E252)))</formula>
    </cfRule>
    <cfRule type="containsText" dxfId="7579" priority="517" operator="containsText" text="Sell">
      <formula>NOT(ISERROR(SEARCH("Sell",E252)))</formula>
    </cfRule>
  </conditionalFormatting>
  <conditionalFormatting sqref="E251">
    <cfRule type="containsText" dxfId="7578" priority="514" operator="containsText" text="Buy">
      <formula>NOT(ISERROR(SEARCH("Buy",E251)))</formula>
    </cfRule>
    <cfRule type="containsText" dxfId="7577" priority="515" operator="containsText" text="Sell">
      <formula>NOT(ISERROR(SEARCH("Sell",E251)))</formula>
    </cfRule>
  </conditionalFormatting>
  <conditionalFormatting sqref="E250">
    <cfRule type="containsText" dxfId="7576" priority="512" operator="containsText" text="Buy">
      <formula>NOT(ISERROR(SEARCH("Buy",E250)))</formula>
    </cfRule>
    <cfRule type="containsText" dxfId="7575" priority="513" operator="containsText" text="Sell">
      <formula>NOT(ISERROR(SEARCH("Sell",E250)))</formula>
    </cfRule>
  </conditionalFormatting>
  <conditionalFormatting sqref="E249">
    <cfRule type="containsText" dxfId="7574" priority="510" operator="containsText" text="Buy">
      <formula>NOT(ISERROR(SEARCH("Buy",E249)))</formula>
    </cfRule>
    <cfRule type="containsText" dxfId="7573" priority="511" operator="containsText" text="Sell">
      <formula>NOT(ISERROR(SEARCH("Sell",E249)))</formula>
    </cfRule>
  </conditionalFormatting>
  <conditionalFormatting sqref="E248">
    <cfRule type="containsText" dxfId="7572" priority="508" operator="containsText" text="Buy">
      <formula>NOT(ISERROR(SEARCH("Buy",E248)))</formula>
    </cfRule>
    <cfRule type="containsText" dxfId="7571" priority="509" operator="containsText" text="Sell">
      <formula>NOT(ISERROR(SEARCH("Sell",E248)))</formula>
    </cfRule>
  </conditionalFormatting>
  <conditionalFormatting sqref="E247">
    <cfRule type="containsText" dxfId="7570" priority="506" operator="containsText" text="Buy">
      <formula>NOT(ISERROR(SEARCH("Buy",E247)))</formula>
    </cfRule>
    <cfRule type="containsText" dxfId="7569" priority="507" operator="containsText" text="Sell">
      <formula>NOT(ISERROR(SEARCH("Sell",E247)))</formula>
    </cfRule>
  </conditionalFormatting>
  <conditionalFormatting sqref="E246">
    <cfRule type="containsText" dxfId="7568" priority="504" operator="containsText" text="Buy">
      <formula>NOT(ISERROR(SEARCH("Buy",E246)))</formula>
    </cfRule>
    <cfRule type="containsText" dxfId="7567" priority="505" operator="containsText" text="Sell">
      <formula>NOT(ISERROR(SEARCH("Sell",E246)))</formula>
    </cfRule>
  </conditionalFormatting>
  <conditionalFormatting sqref="E239:E241">
    <cfRule type="containsText" dxfId="7566" priority="502" operator="containsText" text="Buy">
      <formula>NOT(ISERROR(SEARCH("Buy",E239)))</formula>
    </cfRule>
    <cfRule type="containsText" dxfId="7565" priority="503" operator="containsText" text="Sell">
      <formula>NOT(ISERROR(SEARCH("Sell",E239)))</formula>
    </cfRule>
  </conditionalFormatting>
  <conditionalFormatting sqref="E238">
    <cfRule type="containsText" dxfId="7564" priority="500" operator="containsText" text="Buy">
      <formula>NOT(ISERROR(SEARCH("Buy",E238)))</formula>
    </cfRule>
    <cfRule type="containsText" dxfId="7563" priority="501" operator="containsText" text="Sell">
      <formula>NOT(ISERROR(SEARCH("Sell",E238)))</formula>
    </cfRule>
  </conditionalFormatting>
  <conditionalFormatting sqref="E237">
    <cfRule type="containsText" dxfId="7562" priority="498" operator="containsText" text="Buy">
      <formula>NOT(ISERROR(SEARCH("Buy",E237)))</formula>
    </cfRule>
    <cfRule type="containsText" dxfId="7561" priority="499" operator="containsText" text="Sell">
      <formula>NOT(ISERROR(SEARCH("Sell",E237)))</formula>
    </cfRule>
  </conditionalFormatting>
  <conditionalFormatting sqref="E236">
    <cfRule type="containsText" dxfId="7560" priority="496" operator="containsText" text="Buy">
      <formula>NOT(ISERROR(SEARCH("Buy",E236)))</formula>
    </cfRule>
    <cfRule type="containsText" dxfId="7559" priority="497" operator="containsText" text="Sell">
      <formula>NOT(ISERROR(SEARCH("Sell",E236)))</formula>
    </cfRule>
  </conditionalFormatting>
  <conditionalFormatting sqref="E235">
    <cfRule type="containsText" dxfId="7558" priority="494" operator="containsText" text="Buy">
      <formula>NOT(ISERROR(SEARCH("Buy",E235)))</formula>
    </cfRule>
    <cfRule type="containsText" dxfId="7557" priority="495" operator="containsText" text="Sell">
      <formula>NOT(ISERROR(SEARCH("Sell",E235)))</formula>
    </cfRule>
  </conditionalFormatting>
  <conditionalFormatting sqref="E234">
    <cfRule type="containsText" dxfId="7556" priority="492" operator="containsText" text="Buy">
      <formula>NOT(ISERROR(SEARCH("Buy",E234)))</formula>
    </cfRule>
    <cfRule type="containsText" dxfId="7555" priority="493" operator="containsText" text="Sell">
      <formula>NOT(ISERROR(SEARCH("Sell",E234)))</formula>
    </cfRule>
  </conditionalFormatting>
  <conditionalFormatting sqref="E233">
    <cfRule type="containsText" dxfId="7554" priority="490" operator="containsText" text="Buy">
      <formula>NOT(ISERROR(SEARCH("Buy",E233)))</formula>
    </cfRule>
    <cfRule type="containsText" dxfId="7553" priority="491" operator="containsText" text="Sell">
      <formula>NOT(ISERROR(SEARCH("Sell",E233)))</formula>
    </cfRule>
  </conditionalFormatting>
  <conditionalFormatting sqref="E232">
    <cfRule type="containsText" dxfId="7552" priority="488" operator="containsText" text="Buy">
      <formula>NOT(ISERROR(SEARCH("Buy",E232)))</formula>
    </cfRule>
    <cfRule type="containsText" dxfId="7551" priority="489" operator="containsText" text="Sell">
      <formula>NOT(ISERROR(SEARCH("Sell",E232)))</formula>
    </cfRule>
  </conditionalFormatting>
  <conditionalFormatting sqref="E231">
    <cfRule type="containsText" dxfId="7550" priority="486" operator="containsText" text="Buy">
      <formula>NOT(ISERROR(SEARCH("Buy",E231)))</formula>
    </cfRule>
    <cfRule type="containsText" dxfId="7549" priority="487" operator="containsText" text="Sell">
      <formula>NOT(ISERROR(SEARCH("Sell",E231)))</formula>
    </cfRule>
  </conditionalFormatting>
  <conditionalFormatting sqref="E230">
    <cfRule type="containsText" dxfId="7548" priority="484" operator="containsText" text="Buy">
      <formula>NOT(ISERROR(SEARCH("Buy",E230)))</formula>
    </cfRule>
    <cfRule type="containsText" dxfId="7547" priority="485" operator="containsText" text="Sell">
      <formula>NOT(ISERROR(SEARCH("Sell",E230)))</formula>
    </cfRule>
  </conditionalFormatting>
  <conditionalFormatting sqref="E229">
    <cfRule type="containsText" dxfId="7546" priority="482" operator="containsText" text="Buy">
      <formula>NOT(ISERROR(SEARCH("Buy",E229)))</formula>
    </cfRule>
    <cfRule type="containsText" dxfId="7545" priority="483" operator="containsText" text="Sell">
      <formula>NOT(ISERROR(SEARCH("Sell",E229)))</formula>
    </cfRule>
  </conditionalFormatting>
  <conditionalFormatting sqref="E228">
    <cfRule type="containsText" dxfId="7544" priority="480" operator="containsText" text="Buy">
      <formula>NOT(ISERROR(SEARCH("Buy",E228)))</formula>
    </cfRule>
    <cfRule type="containsText" dxfId="7543" priority="481" operator="containsText" text="Sell">
      <formula>NOT(ISERROR(SEARCH("Sell",E228)))</formula>
    </cfRule>
  </conditionalFormatting>
  <conditionalFormatting sqref="E224">
    <cfRule type="containsText" dxfId="7542" priority="478" operator="containsText" text="Buy">
      <formula>NOT(ISERROR(SEARCH("Buy",E224)))</formula>
    </cfRule>
    <cfRule type="containsText" dxfId="7541" priority="479" operator="containsText" text="Sell">
      <formula>NOT(ISERROR(SEARCH("Sell",E224)))</formula>
    </cfRule>
  </conditionalFormatting>
  <conditionalFormatting sqref="E284">
    <cfRule type="containsText" dxfId="7540" priority="476" operator="containsText" text="Buy">
      <formula>NOT(ISERROR(SEARCH("Buy",E284)))</formula>
    </cfRule>
    <cfRule type="containsText" dxfId="7539" priority="477" operator="containsText" text="Sell">
      <formula>NOT(ISERROR(SEARCH("Sell",E284)))</formula>
    </cfRule>
  </conditionalFormatting>
  <conditionalFormatting sqref="E283 E280">
    <cfRule type="containsText" dxfId="7538" priority="474" operator="containsText" text="Buy">
      <formula>NOT(ISERROR(SEARCH("Buy",E280)))</formula>
    </cfRule>
    <cfRule type="containsText" dxfId="7537" priority="475" operator="containsText" text="Sell">
      <formula>NOT(ISERROR(SEARCH("Sell",E280)))</formula>
    </cfRule>
  </conditionalFormatting>
  <conditionalFormatting sqref="E289">
    <cfRule type="containsText" dxfId="7536" priority="472" operator="containsText" text="Buy">
      <formula>NOT(ISERROR(SEARCH("Buy",E289)))</formula>
    </cfRule>
    <cfRule type="containsText" dxfId="7535" priority="473" operator="containsText" text="Sell">
      <formula>NOT(ISERROR(SEARCH("Sell",E289)))</formula>
    </cfRule>
  </conditionalFormatting>
  <conditionalFormatting sqref="E371:E372">
    <cfRule type="containsText" dxfId="7534" priority="470" operator="containsText" text="Buy">
      <formula>NOT(ISERROR(SEARCH("Buy",E371)))</formula>
    </cfRule>
    <cfRule type="containsText" dxfId="7533" priority="471" operator="containsText" text="Sell">
      <formula>NOT(ISERROR(SEARCH("Sell",E371)))</formula>
    </cfRule>
  </conditionalFormatting>
  <conditionalFormatting sqref="E282">
    <cfRule type="containsText" dxfId="7532" priority="468" operator="containsText" text="Buy">
      <formula>NOT(ISERROR(SEARCH("Buy",E282)))</formula>
    </cfRule>
    <cfRule type="containsText" dxfId="7531" priority="469" operator="containsText" text="Sell">
      <formula>NOT(ISERROR(SEARCH("Sell",E282)))</formula>
    </cfRule>
  </conditionalFormatting>
  <conditionalFormatting sqref="E279">
    <cfRule type="containsText" dxfId="7530" priority="466" operator="containsText" text="Buy">
      <formula>NOT(ISERROR(SEARCH("Buy",E279)))</formula>
    </cfRule>
    <cfRule type="containsText" dxfId="7529" priority="467" operator="containsText" text="Sell">
      <formula>NOT(ISERROR(SEARCH("Sell",E279)))</formula>
    </cfRule>
  </conditionalFormatting>
  <conditionalFormatting sqref="E278">
    <cfRule type="containsText" dxfId="7528" priority="464" operator="containsText" text="Buy">
      <formula>NOT(ISERROR(SEARCH("Buy",E278)))</formula>
    </cfRule>
    <cfRule type="containsText" dxfId="7527" priority="465" operator="containsText" text="Sell">
      <formula>NOT(ISERROR(SEARCH("Sell",E278)))</formula>
    </cfRule>
  </conditionalFormatting>
  <conditionalFormatting sqref="E265">
    <cfRule type="containsText" dxfId="7526" priority="462" operator="containsText" text="Buy">
      <formula>NOT(ISERROR(SEARCH("Buy",E265)))</formula>
    </cfRule>
    <cfRule type="containsText" dxfId="7525" priority="463" operator="containsText" text="Sell">
      <formula>NOT(ISERROR(SEARCH("Sell",E265)))</formula>
    </cfRule>
  </conditionalFormatting>
  <conditionalFormatting sqref="E202:E205 E215 E212:E213">
    <cfRule type="containsText" dxfId="7524" priority="460" operator="containsText" text="Buy">
      <formula>NOT(ISERROR(SEARCH("Buy",E202)))</formula>
    </cfRule>
    <cfRule type="containsText" dxfId="7523" priority="461" operator="containsText" text="Sell">
      <formula>NOT(ISERROR(SEARCH("Sell",E202)))</formula>
    </cfRule>
  </conditionalFormatting>
  <conditionalFormatting sqref="E368:E369">
    <cfRule type="containsText" dxfId="7522" priority="458" operator="containsText" text="Buy">
      <formula>NOT(ISERROR(SEARCH("Buy",E368)))</formula>
    </cfRule>
    <cfRule type="containsText" dxfId="7521" priority="459" operator="containsText" text="Sell">
      <formula>NOT(ISERROR(SEARCH("Sell",E368)))</formula>
    </cfRule>
  </conditionalFormatting>
  <conditionalFormatting sqref="E365:E366">
    <cfRule type="containsText" dxfId="7520" priority="456" operator="containsText" text="Buy">
      <formula>NOT(ISERROR(SEARCH("Buy",E365)))</formula>
    </cfRule>
    <cfRule type="containsText" dxfId="7519" priority="457" operator="containsText" text="Sell">
      <formula>NOT(ISERROR(SEARCH("Sell",E365)))</formula>
    </cfRule>
  </conditionalFormatting>
  <conditionalFormatting sqref="E363:E364">
    <cfRule type="containsText" dxfId="7518" priority="454" operator="containsText" text="Buy">
      <formula>NOT(ISERROR(SEARCH("Buy",E363)))</formula>
    </cfRule>
    <cfRule type="containsText" dxfId="7517" priority="455" operator="containsText" text="Sell">
      <formula>NOT(ISERROR(SEARCH("Sell",E363)))</formula>
    </cfRule>
  </conditionalFormatting>
  <conditionalFormatting sqref="E360:E361">
    <cfRule type="containsText" dxfId="7516" priority="452" operator="containsText" text="Buy">
      <formula>NOT(ISERROR(SEARCH("Buy",E360)))</formula>
    </cfRule>
    <cfRule type="containsText" dxfId="7515" priority="453" operator="containsText" text="Sell">
      <formula>NOT(ISERROR(SEARCH("Sell",E360)))</formula>
    </cfRule>
  </conditionalFormatting>
  <conditionalFormatting sqref="E357:E359">
    <cfRule type="containsText" dxfId="7514" priority="450" operator="containsText" text="Buy">
      <formula>NOT(ISERROR(SEARCH("Buy",E357)))</formula>
    </cfRule>
    <cfRule type="containsText" dxfId="7513" priority="451" operator="containsText" text="Sell">
      <formula>NOT(ISERROR(SEARCH("Sell",E357)))</formula>
    </cfRule>
  </conditionalFormatting>
  <conditionalFormatting sqref="E354:E355">
    <cfRule type="containsText" dxfId="7512" priority="448" operator="containsText" text="Buy">
      <formula>NOT(ISERROR(SEARCH("Buy",E354)))</formula>
    </cfRule>
    <cfRule type="containsText" dxfId="7511" priority="449" operator="containsText" text="Sell">
      <formula>NOT(ISERROR(SEARCH("Sell",E354)))</formula>
    </cfRule>
  </conditionalFormatting>
  <conditionalFormatting sqref="E351:E352">
    <cfRule type="containsText" dxfId="7510" priority="446" operator="containsText" text="Buy">
      <formula>NOT(ISERROR(SEARCH("Buy",E351)))</formula>
    </cfRule>
    <cfRule type="containsText" dxfId="7509" priority="447" operator="containsText" text="Sell">
      <formula>NOT(ISERROR(SEARCH("Sell",E351)))</formula>
    </cfRule>
  </conditionalFormatting>
  <conditionalFormatting sqref="E348:E349">
    <cfRule type="containsText" dxfId="7508" priority="444" operator="containsText" text="Buy">
      <formula>NOT(ISERROR(SEARCH("Buy",E348)))</formula>
    </cfRule>
    <cfRule type="containsText" dxfId="7507" priority="445" operator="containsText" text="Sell">
      <formula>NOT(ISERROR(SEARCH("Sell",E348)))</formula>
    </cfRule>
  </conditionalFormatting>
  <conditionalFormatting sqref="E344">
    <cfRule type="containsText" dxfId="7506" priority="440" operator="containsText" text="Buy">
      <formula>NOT(ISERROR(SEARCH("Buy",E344)))</formula>
    </cfRule>
    <cfRule type="containsText" dxfId="7505" priority="441" operator="containsText" text="Sell">
      <formula>NOT(ISERROR(SEARCH("Sell",E344)))</formula>
    </cfRule>
  </conditionalFormatting>
  <conditionalFormatting sqref="E345:E346">
    <cfRule type="containsText" dxfId="7504" priority="442" operator="containsText" text="Buy">
      <formula>NOT(ISERROR(SEARCH("Buy",E345)))</formula>
    </cfRule>
    <cfRule type="containsText" dxfId="7503" priority="443" operator="containsText" text="Sell">
      <formula>NOT(ISERROR(SEARCH("Sell",E345)))</formula>
    </cfRule>
  </conditionalFormatting>
  <conditionalFormatting sqref="E338:E339">
    <cfRule type="containsText" dxfId="7502" priority="438" operator="containsText" text="Buy">
      <formula>NOT(ISERROR(SEARCH("Buy",E338)))</formula>
    </cfRule>
    <cfRule type="containsText" dxfId="7501" priority="439" operator="containsText" text="Sell">
      <formula>NOT(ISERROR(SEARCH("Sell",E338)))</formula>
    </cfRule>
  </conditionalFormatting>
  <conditionalFormatting sqref="E334:E335">
    <cfRule type="containsText" dxfId="7500" priority="436" operator="containsText" text="Buy">
      <formula>NOT(ISERROR(SEARCH("Buy",E334)))</formula>
    </cfRule>
    <cfRule type="containsText" dxfId="7499" priority="437" operator="containsText" text="Sell">
      <formula>NOT(ISERROR(SEARCH("Sell",E334)))</formula>
    </cfRule>
  </conditionalFormatting>
  <conditionalFormatting sqref="E199:E200">
    <cfRule type="containsText" dxfId="7498" priority="434" operator="containsText" text="Buy">
      <formula>NOT(ISERROR(SEARCH("Buy",E199)))</formula>
    </cfRule>
    <cfRule type="containsText" dxfId="7497" priority="435" operator="containsText" text="Sell">
      <formula>NOT(ISERROR(SEARCH("Sell",E199)))</formula>
    </cfRule>
  </conditionalFormatting>
  <conditionalFormatting sqref="E194:E195">
    <cfRule type="containsText" dxfId="7496" priority="432" operator="containsText" text="Buy">
      <formula>NOT(ISERROR(SEARCH("Buy",E194)))</formula>
    </cfRule>
    <cfRule type="containsText" dxfId="7495" priority="433" operator="containsText" text="Sell">
      <formula>NOT(ISERROR(SEARCH("Sell",E194)))</formula>
    </cfRule>
  </conditionalFormatting>
  <conditionalFormatting sqref="E211">
    <cfRule type="containsText" dxfId="7494" priority="430" operator="containsText" text="Buy">
      <formula>NOT(ISERROR(SEARCH("Buy",E211)))</formula>
    </cfRule>
    <cfRule type="containsText" dxfId="7493" priority="431" operator="containsText" text="Sell">
      <formula>NOT(ISERROR(SEARCH("Sell",E211)))</formula>
    </cfRule>
  </conditionalFormatting>
  <conditionalFormatting sqref="E210">
    <cfRule type="containsText" dxfId="7492" priority="428" operator="containsText" text="Buy">
      <formula>NOT(ISERROR(SEARCH("Buy",E210)))</formula>
    </cfRule>
    <cfRule type="containsText" dxfId="7491" priority="429" operator="containsText" text="Sell">
      <formula>NOT(ISERROR(SEARCH("Sell",E210)))</formula>
    </cfRule>
  </conditionalFormatting>
  <conditionalFormatting sqref="E206">
    <cfRule type="containsText" dxfId="7490" priority="426" operator="containsText" text="Buy">
      <formula>NOT(ISERROR(SEARCH("Buy",E206)))</formula>
    </cfRule>
    <cfRule type="containsText" dxfId="7489" priority="427" operator="containsText" text="Sell">
      <formula>NOT(ISERROR(SEARCH("Sell",E206)))</formula>
    </cfRule>
  </conditionalFormatting>
  <conditionalFormatting sqref="E331:E333">
    <cfRule type="containsText" dxfId="7488" priority="424" operator="containsText" text="Buy">
      <formula>NOT(ISERROR(SEARCH("Buy",E331)))</formula>
    </cfRule>
    <cfRule type="containsText" dxfId="7487" priority="425" operator="containsText" text="Sell">
      <formula>NOT(ISERROR(SEARCH("Sell",E331)))</formula>
    </cfRule>
  </conditionalFormatting>
  <conditionalFormatting sqref="E328:E329">
    <cfRule type="containsText" dxfId="7486" priority="422" operator="containsText" text="Buy">
      <formula>NOT(ISERROR(SEARCH("Buy",E328)))</formula>
    </cfRule>
    <cfRule type="containsText" dxfId="7485" priority="423" operator="containsText" text="Sell">
      <formula>NOT(ISERROR(SEARCH("Sell",E328)))</formula>
    </cfRule>
  </conditionalFormatting>
  <conditionalFormatting sqref="E322:E324">
    <cfRule type="containsText" dxfId="7484" priority="420" operator="containsText" text="Buy">
      <formula>NOT(ISERROR(SEARCH("Buy",E322)))</formula>
    </cfRule>
    <cfRule type="containsText" dxfId="7483" priority="421" operator="containsText" text="Sell">
      <formula>NOT(ISERROR(SEARCH("Sell",E322)))</formula>
    </cfRule>
  </conditionalFormatting>
  <conditionalFormatting sqref="E318:E319">
    <cfRule type="containsText" dxfId="7482" priority="418" operator="containsText" text="Buy">
      <formula>NOT(ISERROR(SEARCH("Buy",E318)))</formula>
    </cfRule>
    <cfRule type="containsText" dxfId="7481" priority="419" operator="containsText" text="Sell">
      <formula>NOT(ISERROR(SEARCH("Sell",E318)))</formula>
    </cfRule>
  </conditionalFormatting>
  <conditionalFormatting sqref="E327">
    <cfRule type="containsText" dxfId="7480" priority="416" operator="containsText" text="Buy">
      <formula>NOT(ISERROR(SEARCH("Buy",E327)))</formula>
    </cfRule>
    <cfRule type="containsText" dxfId="7479" priority="417" operator="containsText" text="Sell">
      <formula>NOT(ISERROR(SEARCH("Sell",E327)))</formula>
    </cfRule>
  </conditionalFormatting>
  <conditionalFormatting sqref="E307">
    <cfRule type="containsText" dxfId="7478" priority="414" operator="containsText" text="Buy">
      <formula>NOT(ISERROR(SEARCH("Buy",E307)))</formula>
    </cfRule>
    <cfRule type="containsText" dxfId="7477" priority="415" operator="containsText" text="Sell">
      <formula>NOT(ISERROR(SEARCH("Sell",E307)))</formula>
    </cfRule>
  </conditionalFormatting>
  <conditionalFormatting sqref="E306">
    <cfRule type="containsText" dxfId="7476" priority="412" operator="containsText" text="Buy">
      <formula>NOT(ISERROR(SEARCH("Buy",E306)))</formula>
    </cfRule>
    <cfRule type="containsText" dxfId="7475" priority="413" operator="containsText" text="Sell">
      <formula>NOT(ISERROR(SEARCH("Sell",E306)))</formula>
    </cfRule>
  </conditionalFormatting>
  <conditionalFormatting sqref="E305">
    <cfRule type="containsText" dxfId="7474" priority="410" operator="containsText" text="Buy">
      <formula>NOT(ISERROR(SEARCH("Buy",E305)))</formula>
    </cfRule>
    <cfRule type="containsText" dxfId="7473" priority="411" operator="containsText" text="Sell">
      <formula>NOT(ISERROR(SEARCH("Sell",E305)))</formula>
    </cfRule>
  </conditionalFormatting>
  <conditionalFormatting sqref="E262">
    <cfRule type="containsText" dxfId="7472" priority="408" operator="containsText" text="Buy">
      <formula>NOT(ISERROR(SEARCH("Buy",E262)))</formula>
    </cfRule>
    <cfRule type="containsText" dxfId="7471" priority="409" operator="containsText" text="Sell">
      <formula>NOT(ISERROR(SEARCH("Sell",E262)))</formula>
    </cfRule>
  </conditionalFormatting>
  <conditionalFormatting sqref="E281">
    <cfRule type="containsText" dxfId="7470" priority="406" operator="containsText" text="Buy">
      <formula>NOT(ISERROR(SEARCH("Buy",E281)))</formula>
    </cfRule>
    <cfRule type="containsText" dxfId="7469" priority="407" operator="containsText" text="Sell">
      <formula>NOT(ISERROR(SEARCH("Sell",E281)))</formula>
    </cfRule>
  </conditionalFormatting>
  <conditionalFormatting sqref="E175:E176">
    <cfRule type="containsText" dxfId="7468" priority="404" operator="containsText" text="Buy">
      <formula>NOT(ISERROR(SEARCH("Buy",E175)))</formula>
    </cfRule>
    <cfRule type="containsText" dxfId="7467" priority="405" operator="containsText" text="Sell">
      <formula>NOT(ISERROR(SEARCH("Sell",E175)))</formula>
    </cfRule>
  </conditionalFormatting>
  <conditionalFormatting sqref="E304">
    <cfRule type="containsText" dxfId="7466" priority="400" operator="containsText" text="Buy">
      <formula>NOT(ISERROR(SEARCH("Buy",E304)))</formula>
    </cfRule>
    <cfRule type="containsText" dxfId="7465" priority="401" operator="containsText" text="Sell">
      <formula>NOT(ISERROR(SEARCH("Sell",E304)))</formula>
    </cfRule>
  </conditionalFormatting>
  <conditionalFormatting sqref="E214">
    <cfRule type="containsText" dxfId="7464" priority="402" operator="containsText" text="Buy">
      <formula>NOT(ISERROR(SEARCH("Buy",E214)))</formula>
    </cfRule>
    <cfRule type="containsText" dxfId="7463" priority="403" operator="containsText" text="Sell">
      <formula>NOT(ISERROR(SEARCH("Sell",E214)))</formula>
    </cfRule>
  </conditionalFormatting>
  <conditionalFormatting sqref="E303">
    <cfRule type="containsText" dxfId="7462" priority="398" operator="containsText" text="Buy">
      <formula>NOT(ISERROR(SEARCH("Buy",E303)))</formula>
    </cfRule>
    <cfRule type="containsText" dxfId="7461" priority="399" operator="containsText" text="Sell">
      <formula>NOT(ISERROR(SEARCH("Sell",E303)))</formula>
    </cfRule>
  </conditionalFormatting>
  <conditionalFormatting sqref="E302">
    <cfRule type="containsText" dxfId="7460" priority="396" operator="containsText" text="Buy">
      <formula>NOT(ISERROR(SEARCH("Buy",E302)))</formula>
    </cfRule>
    <cfRule type="containsText" dxfId="7459" priority="397" operator="containsText" text="Sell">
      <formula>NOT(ISERROR(SEARCH("Sell",E302)))</formula>
    </cfRule>
  </conditionalFormatting>
  <conditionalFormatting sqref="E301">
    <cfRule type="containsText" dxfId="7458" priority="394" operator="containsText" text="Buy">
      <formula>NOT(ISERROR(SEARCH("Buy",E301)))</formula>
    </cfRule>
    <cfRule type="containsText" dxfId="7457" priority="395" operator="containsText" text="Sell">
      <formula>NOT(ISERROR(SEARCH("Sell",E301)))</formula>
    </cfRule>
  </conditionalFormatting>
  <conditionalFormatting sqref="E300">
    <cfRule type="containsText" dxfId="7456" priority="392" operator="containsText" text="Buy">
      <formula>NOT(ISERROR(SEARCH("Buy",E300)))</formula>
    </cfRule>
    <cfRule type="containsText" dxfId="7455" priority="393" operator="containsText" text="Sell">
      <formula>NOT(ISERROR(SEARCH("Sell",E300)))</formula>
    </cfRule>
  </conditionalFormatting>
  <conditionalFormatting sqref="E180:E182 E193">
    <cfRule type="containsText" dxfId="7454" priority="390" operator="containsText" text="Buy">
      <formula>NOT(ISERROR(SEARCH("Buy",E180)))</formula>
    </cfRule>
    <cfRule type="containsText" dxfId="7453" priority="391" operator="containsText" text="Sell">
      <formula>NOT(ISERROR(SEARCH("Sell",E180)))</formula>
    </cfRule>
  </conditionalFormatting>
  <conditionalFormatting sqref="E170:E171">
    <cfRule type="containsText" dxfId="7452" priority="388" operator="containsText" text="Buy">
      <formula>NOT(ISERROR(SEARCH("Buy",E170)))</formula>
    </cfRule>
    <cfRule type="containsText" dxfId="7451" priority="389" operator="containsText" text="Sell">
      <formula>NOT(ISERROR(SEARCH("Sell",E170)))</formula>
    </cfRule>
  </conditionalFormatting>
  <conditionalFormatting sqref="E164:E165">
    <cfRule type="containsText" dxfId="7450" priority="386" operator="containsText" text="Buy">
      <formula>NOT(ISERROR(SEARCH("Buy",E164)))</formula>
    </cfRule>
    <cfRule type="containsText" dxfId="7449" priority="387" operator="containsText" text="Sell">
      <formula>NOT(ISERROR(SEARCH("Sell",E164)))</formula>
    </cfRule>
  </conditionalFormatting>
  <conditionalFormatting sqref="E191:E192">
    <cfRule type="containsText" dxfId="7448" priority="384" operator="containsText" text="Buy">
      <formula>NOT(ISERROR(SEARCH("Buy",E191)))</formula>
    </cfRule>
    <cfRule type="containsText" dxfId="7447" priority="385" operator="containsText" text="Sell">
      <formula>NOT(ISERROR(SEARCH("Sell",E191)))</formula>
    </cfRule>
  </conditionalFormatting>
  <conditionalFormatting sqref="E190">
    <cfRule type="containsText" dxfId="7446" priority="382" operator="containsText" text="Buy">
      <formula>NOT(ISERROR(SEARCH("Buy",E190)))</formula>
    </cfRule>
    <cfRule type="containsText" dxfId="7445" priority="383" operator="containsText" text="Sell">
      <formula>NOT(ISERROR(SEARCH("Sell",E190)))</formula>
    </cfRule>
  </conditionalFormatting>
  <conditionalFormatting sqref="E273">
    <cfRule type="containsText" dxfId="7444" priority="380" operator="containsText" text="Buy">
      <formula>NOT(ISERROR(SEARCH("Buy",E273)))</formula>
    </cfRule>
    <cfRule type="containsText" dxfId="7443" priority="381" operator="containsText" text="Sell">
      <formula>NOT(ISERROR(SEARCH("Sell",E273)))</formula>
    </cfRule>
  </conditionalFormatting>
  <conditionalFormatting sqref="E272">
    <cfRule type="containsText" dxfId="7442" priority="378" operator="containsText" text="Buy">
      <formula>NOT(ISERROR(SEARCH("Buy",E272)))</formula>
    </cfRule>
    <cfRule type="containsText" dxfId="7441" priority="379" operator="containsText" text="Sell">
      <formula>NOT(ISERROR(SEARCH("Sell",E272)))</formula>
    </cfRule>
  </conditionalFormatting>
  <conditionalFormatting sqref="E161:E162">
    <cfRule type="containsText" dxfId="7440" priority="376" operator="containsText" text="Buy">
      <formula>NOT(ISERROR(SEARCH("Buy",E161)))</formula>
    </cfRule>
    <cfRule type="containsText" dxfId="7439" priority="377" operator="containsText" text="Sell">
      <formula>NOT(ISERROR(SEARCH("Sell",E161)))</formula>
    </cfRule>
  </conditionalFormatting>
  <conditionalFormatting sqref="E160">
    <cfRule type="containsText" dxfId="7438" priority="374" operator="containsText" text="Buy">
      <formula>NOT(ISERROR(SEARCH("Buy",E160)))</formula>
    </cfRule>
    <cfRule type="containsText" dxfId="7437" priority="375" operator="containsText" text="Sell">
      <formula>NOT(ISERROR(SEARCH("Sell",E160)))</formula>
    </cfRule>
  </conditionalFormatting>
  <conditionalFormatting sqref="E159">
    <cfRule type="containsText" dxfId="7436" priority="372" operator="containsText" text="Buy">
      <formula>NOT(ISERROR(SEARCH("Buy",E159)))</formula>
    </cfRule>
    <cfRule type="containsText" dxfId="7435" priority="373" operator="containsText" text="Sell">
      <formula>NOT(ISERROR(SEARCH("Sell",E159)))</formula>
    </cfRule>
  </conditionalFormatting>
  <conditionalFormatting sqref="E156">
    <cfRule type="containsText" dxfId="7434" priority="370" operator="containsText" text="Buy">
      <formula>NOT(ISERROR(SEARCH("Buy",E156)))</formula>
    </cfRule>
    <cfRule type="containsText" dxfId="7433" priority="371" operator="containsText" text="Sell">
      <formula>NOT(ISERROR(SEARCH("Sell",E156)))</formula>
    </cfRule>
  </conditionalFormatting>
  <conditionalFormatting sqref="E155">
    <cfRule type="containsText" dxfId="7432" priority="368" operator="containsText" text="Buy">
      <formula>NOT(ISERROR(SEARCH("Buy",E155)))</formula>
    </cfRule>
    <cfRule type="containsText" dxfId="7431" priority="369" operator="containsText" text="Sell">
      <formula>NOT(ISERROR(SEARCH("Sell",E155)))</formula>
    </cfRule>
  </conditionalFormatting>
  <conditionalFormatting sqref="E152">
    <cfRule type="containsText" dxfId="7430" priority="366" operator="containsText" text="Buy">
      <formula>NOT(ISERROR(SEARCH("Buy",E152)))</formula>
    </cfRule>
    <cfRule type="containsText" dxfId="7429" priority="367" operator="containsText" text="Sell">
      <formula>NOT(ISERROR(SEARCH("Sell",E152)))</formula>
    </cfRule>
  </conditionalFormatting>
  <conditionalFormatting sqref="E151">
    <cfRule type="containsText" dxfId="7428" priority="364" operator="containsText" text="Buy">
      <formula>NOT(ISERROR(SEARCH("Buy",E151)))</formula>
    </cfRule>
    <cfRule type="containsText" dxfId="7427" priority="365" operator="containsText" text="Sell">
      <formula>NOT(ISERROR(SEARCH("Sell",E151)))</formula>
    </cfRule>
  </conditionalFormatting>
  <conditionalFormatting sqref="E150">
    <cfRule type="containsText" dxfId="7426" priority="362" operator="containsText" text="Buy">
      <formula>NOT(ISERROR(SEARCH("Buy",E150)))</formula>
    </cfRule>
    <cfRule type="containsText" dxfId="7425" priority="363" operator="containsText" text="Sell">
      <formula>NOT(ISERROR(SEARCH("Sell",E150)))</formula>
    </cfRule>
  </conditionalFormatting>
  <conditionalFormatting sqref="E148:E149">
    <cfRule type="containsText" dxfId="7424" priority="360" operator="containsText" text="Buy">
      <formula>NOT(ISERROR(SEARCH("Buy",E148)))</formula>
    </cfRule>
    <cfRule type="containsText" dxfId="7423" priority="361" operator="containsText" text="Sell">
      <formula>NOT(ISERROR(SEARCH("Sell",E148)))</formula>
    </cfRule>
  </conditionalFormatting>
  <conditionalFormatting sqref="E145 E141:E142">
    <cfRule type="containsText" dxfId="7422" priority="358" operator="containsText" text="Buy">
      <formula>NOT(ISERROR(SEARCH("Buy",E141)))</formula>
    </cfRule>
    <cfRule type="containsText" dxfId="7421" priority="359" operator="containsText" text="Sell">
      <formula>NOT(ISERROR(SEARCH("Sell",E141)))</formula>
    </cfRule>
  </conditionalFormatting>
  <conditionalFormatting sqref="E137">
    <cfRule type="containsText" dxfId="7420" priority="356" operator="containsText" text="Buy">
      <formula>NOT(ISERROR(SEARCH("Buy",E137)))</formula>
    </cfRule>
    <cfRule type="containsText" dxfId="7419" priority="357" operator="containsText" text="Sell">
      <formula>NOT(ISERROR(SEARCH("Sell",E137)))</formula>
    </cfRule>
  </conditionalFormatting>
  <conditionalFormatting sqref="E136">
    <cfRule type="containsText" dxfId="7418" priority="354" operator="containsText" text="Buy">
      <formula>NOT(ISERROR(SEARCH("Buy",E136)))</formula>
    </cfRule>
    <cfRule type="containsText" dxfId="7417" priority="355" operator="containsText" text="Sell">
      <formula>NOT(ISERROR(SEARCH("Sell",E136)))</formula>
    </cfRule>
  </conditionalFormatting>
  <conditionalFormatting sqref="E144">
    <cfRule type="containsText" dxfId="7416" priority="352" operator="containsText" text="Buy">
      <formula>NOT(ISERROR(SEARCH("Buy",E144)))</formula>
    </cfRule>
    <cfRule type="containsText" dxfId="7415" priority="353" operator="containsText" text="Sell">
      <formula>NOT(ISERROR(SEARCH("Sell",E144)))</formula>
    </cfRule>
  </conditionalFormatting>
  <conditionalFormatting sqref="E143">
    <cfRule type="containsText" dxfId="7414" priority="350" operator="containsText" text="Buy">
      <formula>NOT(ISERROR(SEARCH("Buy",E143)))</formula>
    </cfRule>
    <cfRule type="containsText" dxfId="7413" priority="351" operator="containsText" text="Sell">
      <formula>NOT(ISERROR(SEARCH("Sell",E143)))</formula>
    </cfRule>
  </conditionalFormatting>
  <conditionalFormatting sqref="E277">
    <cfRule type="containsText" dxfId="7412" priority="348" operator="containsText" text="Buy">
      <formula>NOT(ISERROR(SEARCH("Buy",E277)))</formula>
    </cfRule>
    <cfRule type="containsText" dxfId="7411" priority="349" operator="containsText" text="Sell">
      <formula>NOT(ISERROR(SEARCH("Sell",E277)))</formula>
    </cfRule>
  </conditionalFormatting>
  <conditionalFormatting sqref="E198">
    <cfRule type="containsText" dxfId="7410" priority="346" operator="containsText" text="Buy">
      <formula>NOT(ISERROR(SEARCH("Buy",E198)))</formula>
    </cfRule>
    <cfRule type="containsText" dxfId="7409" priority="347" operator="containsText" text="Sell">
      <formula>NOT(ISERROR(SEARCH("Sell",E198)))</formula>
    </cfRule>
  </conditionalFormatting>
  <conditionalFormatting sqref="E245">
    <cfRule type="containsText" dxfId="7408" priority="344" operator="containsText" text="Buy">
      <formula>NOT(ISERROR(SEARCH("Buy",E245)))</formula>
    </cfRule>
    <cfRule type="containsText" dxfId="7407" priority="345" operator="containsText" text="Sell">
      <formula>NOT(ISERROR(SEARCH("Sell",E245)))</formula>
    </cfRule>
  </conditionalFormatting>
  <conditionalFormatting sqref="E140">
    <cfRule type="containsText" dxfId="7406" priority="342" operator="containsText" text="Buy">
      <formula>NOT(ISERROR(SEARCH("Buy",E140)))</formula>
    </cfRule>
    <cfRule type="containsText" dxfId="7405" priority="343" operator="containsText" text="Sell">
      <formula>NOT(ISERROR(SEARCH("Sell",E140)))</formula>
    </cfRule>
  </conditionalFormatting>
  <conditionalFormatting sqref="E130">
    <cfRule type="containsText" dxfId="7404" priority="340" operator="containsText" text="Buy">
      <formula>NOT(ISERROR(SEARCH("Buy",E130)))</formula>
    </cfRule>
    <cfRule type="containsText" dxfId="7403" priority="341" operator="containsText" text="Sell">
      <formula>NOT(ISERROR(SEARCH("Sell",E130)))</formula>
    </cfRule>
  </conditionalFormatting>
  <conditionalFormatting sqref="E244">
    <cfRule type="containsText" dxfId="7402" priority="338" operator="containsText" text="Buy">
      <formula>NOT(ISERROR(SEARCH("Buy",E244)))</formula>
    </cfRule>
    <cfRule type="containsText" dxfId="7401" priority="339" operator="containsText" text="Sell">
      <formula>NOT(ISERROR(SEARCH("Sell",E244)))</formula>
    </cfRule>
  </conditionalFormatting>
  <conditionalFormatting sqref="E243">
    <cfRule type="containsText" dxfId="7400" priority="336" operator="containsText" text="Buy">
      <formula>NOT(ISERROR(SEARCH("Buy",E243)))</formula>
    </cfRule>
    <cfRule type="containsText" dxfId="7399" priority="337" operator="containsText" text="Sell">
      <formula>NOT(ISERROR(SEARCH("Sell",E243)))</formula>
    </cfRule>
  </conditionalFormatting>
  <conditionalFormatting sqref="E314:E316">
    <cfRule type="containsText" dxfId="7398" priority="334" operator="containsText" text="Buy">
      <formula>NOT(ISERROR(SEARCH("Buy",E314)))</formula>
    </cfRule>
    <cfRule type="containsText" dxfId="7397" priority="335" operator="containsText" text="Sell">
      <formula>NOT(ISERROR(SEARCH("Sell",E314)))</formula>
    </cfRule>
  </conditionalFormatting>
  <conditionalFormatting sqref="E299">
    <cfRule type="containsText" dxfId="7396" priority="332" operator="containsText" text="Buy">
      <formula>NOT(ISERROR(SEARCH("Buy",E299)))</formula>
    </cfRule>
    <cfRule type="containsText" dxfId="7395" priority="333" operator="containsText" text="Sell">
      <formula>NOT(ISERROR(SEARCH("Sell",E299)))</formula>
    </cfRule>
  </conditionalFormatting>
  <conditionalFormatting sqref="E298">
    <cfRule type="containsText" dxfId="7394" priority="330" operator="containsText" text="Buy">
      <formula>NOT(ISERROR(SEARCH("Buy",E298)))</formula>
    </cfRule>
    <cfRule type="containsText" dxfId="7393" priority="331" operator="containsText" text="Sell">
      <formula>NOT(ISERROR(SEARCH("Sell",E298)))</formula>
    </cfRule>
  </conditionalFormatting>
  <conditionalFormatting sqref="E135">
    <cfRule type="containsText" dxfId="7392" priority="328" operator="containsText" text="Buy">
      <formula>NOT(ISERROR(SEARCH("Buy",E135)))</formula>
    </cfRule>
    <cfRule type="containsText" dxfId="7391" priority="329" operator="containsText" text="Sell">
      <formula>NOT(ISERROR(SEARCH("Sell",E135)))</formula>
    </cfRule>
  </conditionalFormatting>
  <conditionalFormatting sqref="E264">
    <cfRule type="containsText" dxfId="7390" priority="326" operator="containsText" text="Buy">
      <formula>NOT(ISERROR(SEARCH("Buy",E264)))</formula>
    </cfRule>
    <cfRule type="containsText" dxfId="7389" priority="327" operator="containsText" text="Sell">
      <formula>NOT(ISERROR(SEARCH("Sell",E264)))</formula>
    </cfRule>
  </conditionalFormatting>
  <conditionalFormatting sqref="E261">
    <cfRule type="containsText" dxfId="7388" priority="324" operator="containsText" text="Buy">
      <formula>NOT(ISERROR(SEARCH("Buy",E261)))</formula>
    </cfRule>
    <cfRule type="containsText" dxfId="7387" priority="325" operator="containsText" text="Sell">
      <formula>NOT(ISERROR(SEARCH("Sell",E261)))</formula>
    </cfRule>
  </conditionalFormatting>
  <conditionalFormatting sqref="E126:E127">
    <cfRule type="containsText" dxfId="7386" priority="322" operator="containsText" text="Buy">
      <formula>NOT(ISERROR(SEARCH("Buy",E126)))</formula>
    </cfRule>
    <cfRule type="containsText" dxfId="7385" priority="323" operator="containsText" text="Sell">
      <formula>NOT(ISERROR(SEARCH("Sell",E126)))</formula>
    </cfRule>
  </conditionalFormatting>
  <conditionalFormatting sqref="E123:E124">
    <cfRule type="containsText" dxfId="7384" priority="320" operator="containsText" text="Buy">
      <formula>NOT(ISERROR(SEARCH("Buy",E123)))</formula>
    </cfRule>
    <cfRule type="containsText" dxfId="7383" priority="321" operator="containsText" text="Sell">
      <formula>NOT(ISERROR(SEARCH("Sell",E123)))</formula>
    </cfRule>
  </conditionalFormatting>
  <conditionalFormatting sqref="E297">
    <cfRule type="containsText" dxfId="7382" priority="318" operator="containsText" text="Buy">
      <formula>NOT(ISERROR(SEARCH("Buy",E297)))</formula>
    </cfRule>
    <cfRule type="containsText" dxfId="7381" priority="319" operator="containsText" text="Sell">
      <formula>NOT(ISERROR(SEARCH("Sell",E297)))</formula>
    </cfRule>
  </conditionalFormatting>
  <conditionalFormatting sqref="E120:E121">
    <cfRule type="containsText" dxfId="7380" priority="316" operator="containsText" text="Buy">
      <formula>NOT(ISERROR(SEARCH("Buy",E120)))</formula>
    </cfRule>
    <cfRule type="containsText" dxfId="7379" priority="317" operator="containsText" text="Sell">
      <formula>NOT(ISERROR(SEARCH("Sell",E120)))</formula>
    </cfRule>
  </conditionalFormatting>
  <conditionalFormatting sqref="E117:E118">
    <cfRule type="containsText" dxfId="7378" priority="314" operator="containsText" text="Buy">
      <formula>NOT(ISERROR(SEARCH("Buy",E117)))</formula>
    </cfRule>
    <cfRule type="containsText" dxfId="7377" priority="315" operator="containsText" text="Sell">
      <formula>NOT(ISERROR(SEARCH("Sell",E117)))</formula>
    </cfRule>
  </conditionalFormatting>
  <conditionalFormatting sqref="E189">
    <cfRule type="containsText" dxfId="7376" priority="312" operator="containsText" text="Buy">
      <formula>NOT(ISERROR(SEARCH("Buy",E189)))</formula>
    </cfRule>
    <cfRule type="containsText" dxfId="7375" priority="313" operator="containsText" text="Sell">
      <formula>NOT(ISERROR(SEARCH("Sell",E189)))</formula>
    </cfRule>
  </conditionalFormatting>
  <conditionalFormatting sqref="E115">
    <cfRule type="containsText" dxfId="7374" priority="310" operator="containsText" text="Buy">
      <formula>NOT(ISERROR(SEARCH("Buy",E115)))</formula>
    </cfRule>
    <cfRule type="containsText" dxfId="7373" priority="311" operator="containsText" text="Sell">
      <formula>NOT(ISERROR(SEARCH("Sell",E115)))</formula>
    </cfRule>
  </conditionalFormatting>
  <conditionalFormatting sqref="E114">
    <cfRule type="containsText" dxfId="7372" priority="308" operator="containsText" text="Buy">
      <formula>NOT(ISERROR(SEARCH("Buy",E114)))</formula>
    </cfRule>
    <cfRule type="containsText" dxfId="7371" priority="309" operator="containsText" text="Sell">
      <formula>NOT(ISERROR(SEARCH("Sell",E114)))</formula>
    </cfRule>
  </conditionalFormatting>
  <conditionalFormatting sqref="E326">
    <cfRule type="containsText" dxfId="7370" priority="306" operator="containsText" text="Buy">
      <formula>NOT(ISERROR(SEARCH("Buy",E326)))</formula>
    </cfRule>
    <cfRule type="containsText" dxfId="7369" priority="307" operator="containsText" text="Sell">
      <formula>NOT(ISERROR(SEARCH("Sell",E326)))</formula>
    </cfRule>
  </conditionalFormatting>
  <conditionalFormatting sqref="E343">
    <cfRule type="containsText" dxfId="7368" priority="304" operator="containsText" text="Buy">
      <formula>NOT(ISERROR(SEARCH("Buy",E343)))</formula>
    </cfRule>
    <cfRule type="containsText" dxfId="7367" priority="305" operator="containsText" text="Sell">
      <formula>NOT(ISERROR(SEARCH("Sell",E343)))</formula>
    </cfRule>
  </conditionalFormatting>
  <conditionalFormatting sqref="E106:E107">
    <cfRule type="containsText" dxfId="7366" priority="302" operator="containsText" text="Buy">
      <formula>NOT(ISERROR(SEARCH("Buy",E106)))</formula>
    </cfRule>
    <cfRule type="containsText" dxfId="7365" priority="303" operator="containsText" text="Sell">
      <formula>NOT(ISERROR(SEARCH("Sell",E106)))</formula>
    </cfRule>
  </conditionalFormatting>
  <conditionalFormatting sqref="E321">
    <cfRule type="containsText" dxfId="7364" priority="300" operator="containsText" text="Buy">
      <formula>NOT(ISERROR(SEARCH("Buy",E321)))</formula>
    </cfRule>
    <cfRule type="containsText" dxfId="7363" priority="301" operator="containsText" text="Sell">
      <formula>NOT(ISERROR(SEARCH("Sell",E321)))</formula>
    </cfRule>
  </conditionalFormatting>
  <conditionalFormatting sqref="E317">
    <cfRule type="containsText" dxfId="7362" priority="298" operator="containsText" text="Buy">
      <formula>NOT(ISERROR(SEARCH("Buy",E317)))</formula>
    </cfRule>
    <cfRule type="containsText" dxfId="7361" priority="299" operator="containsText" text="Sell">
      <formula>NOT(ISERROR(SEARCH("Sell",E317)))</formula>
    </cfRule>
  </conditionalFormatting>
  <conditionalFormatting sqref="E55:E56 E98 E95 E92 E89 E80 E59 E74">
    <cfRule type="containsText" dxfId="7360" priority="296" operator="containsText" text="Buy">
      <formula>NOT(ISERROR(SEARCH("Buy",E55)))</formula>
    </cfRule>
    <cfRule type="containsText" dxfId="7359" priority="297" operator="containsText" text="Sell">
      <formula>NOT(ISERROR(SEARCH("Sell",E55)))</formula>
    </cfRule>
  </conditionalFormatting>
  <conditionalFormatting sqref="E188">
    <cfRule type="containsText" dxfId="7358" priority="294" operator="containsText" text="Buy">
      <formula>NOT(ISERROR(SEARCH("Buy",E188)))</formula>
    </cfRule>
    <cfRule type="containsText" dxfId="7357" priority="295" operator="containsText" text="Sell">
      <formula>NOT(ISERROR(SEARCH("Sell",E188)))</formula>
    </cfRule>
  </conditionalFormatting>
  <conditionalFormatting sqref="E242">
    <cfRule type="containsText" dxfId="7356" priority="292" operator="containsText" text="Buy">
      <formula>NOT(ISERROR(SEARCH("Buy",E242)))</formula>
    </cfRule>
    <cfRule type="containsText" dxfId="7355" priority="293" operator="containsText" text="Sell">
      <formula>NOT(ISERROR(SEARCH("Sell",E242)))</formula>
    </cfRule>
  </conditionalFormatting>
  <conditionalFormatting sqref="E197">
    <cfRule type="containsText" dxfId="7354" priority="290" operator="containsText" text="Buy">
      <formula>NOT(ISERROR(SEARCH("Buy",E197)))</formula>
    </cfRule>
    <cfRule type="containsText" dxfId="7353" priority="291" operator="containsText" text="Sell">
      <formula>NOT(ISERROR(SEARCH("Sell",E197)))</formula>
    </cfRule>
  </conditionalFormatting>
  <conditionalFormatting sqref="E132">
    <cfRule type="containsText" dxfId="7352" priority="288" operator="containsText" text="Buy">
      <formula>NOT(ISERROR(SEARCH("Buy",E132)))</formula>
    </cfRule>
    <cfRule type="containsText" dxfId="7351" priority="289" operator="containsText" text="Sell">
      <formula>NOT(ISERROR(SEARCH("Sell",E132)))</formula>
    </cfRule>
  </conditionalFormatting>
  <conditionalFormatting sqref="E40:E41">
    <cfRule type="containsText" dxfId="7350" priority="286" operator="containsText" text="Buy">
      <formula>NOT(ISERROR(SEARCH("Buy",E40)))</formula>
    </cfRule>
    <cfRule type="containsText" dxfId="7349" priority="287" operator="containsText" text="Sell">
      <formula>NOT(ISERROR(SEARCH("Sell",E40)))</formula>
    </cfRule>
  </conditionalFormatting>
  <conditionalFormatting sqref="E39">
    <cfRule type="containsText" dxfId="7348" priority="284" operator="containsText" text="Buy">
      <formula>NOT(ISERROR(SEARCH("Buy",E39)))</formula>
    </cfRule>
    <cfRule type="containsText" dxfId="7347" priority="285" operator="containsText" text="Sell">
      <formula>NOT(ISERROR(SEARCH("Sell",E39)))</formula>
    </cfRule>
  </conditionalFormatting>
  <conditionalFormatting sqref="E288">
    <cfRule type="containsText" dxfId="7346" priority="282" operator="containsText" text="Buy">
      <formula>NOT(ISERROR(SEARCH("Buy",E288)))</formula>
    </cfRule>
    <cfRule type="containsText" dxfId="7345" priority="283" operator="containsText" text="Sell">
      <formula>NOT(ISERROR(SEARCH("Sell",E288)))</formula>
    </cfRule>
  </conditionalFormatting>
  <conditionalFormatting sqref="E53">
    <cfRule type="containsText" dxfId="7344" priority="280" operator="containsText" text="Buy">
      <formula>NOT(ISERROR(SEARCH("Buy",E53)))</formula>
    </cfRule>
    <cfRule type="containsText" dxfId="7343" priority="281" operator="containsText" text="Sell">
      <formula>NOT(ISERROR(SEARCH("Sell",E53)))</formula>
    </cfRule>
  </conditionalFormatting>
  <conditionalFormatting sqref="E342">
    <cfRule type="containsText" dxfId="7342" priority="278" operator="containsText" text="Buy">
      <formula>NOT(ISERROR(SEARCH("Buy",E342)))</formula>
    </cfRule>
    <cfRule type="containsText" dxfId="7341" priority="279" operator="containsText" text="Sell">
      <formula>NOT(ISERROR(SEARCH("Sell",E342)))</formula>
    </cfRule>
  </conditionalFormatting>
  <conditionalFormatting sqref="E103:E104">
    <cfRule type="containsText" dxfId="7340" priority="276" operator="containsText" text="Buy">
      <formula>NOT(ISERROR(SEARCH("Buy",E103)))</formula>
    </cfRule>
    <cfRule type="containsText" dxfId="7339" priority="277" operator="containsText" text="Sell">
      <formula>NOT(ISERROR(SEARCH("Sell",E103)))</formula>
    </cfRule>
  </conditionalFormatting>
  <conditionalFormatting sqref="E187">
    <cfRule type="containsText" dxfId="7338" priority="274" operator="containsText" text="Buy">
      <formula>NOT(ISERROR(SEARCH("Buy",E187)))</formula>
    </cfRule>
    <cfRule type="containsText" dxfId="7337" priority="275" operator="containsText" text="Sell">
      <formula>NOT(ISERROR(SEARCH("Sell",E187)))</formula>
    </cfRule>
  </conditionalFormatting>
  <conditionalFormatting sqref="E52">
    <cfRule type="containsText" dxfId="7336" priority="272" operator="containsText" text="Buy">
      <formula>NOT(ISERROR(SEARCH("Buy",E52)))</formula>
    </cfRule>
    <cfRule type="containsText" dxfId="7335" priority="273" operator="containsText" text="Sell">
      <formula>NOT(ISERROR(SEARCH("Sell",E52)))</formula>
    </cfRule>
  </conditionalFormatting>
  <conditionalFormatting sqref="E260">
    <cfRule type="containsText" dxfId="7334" priority="270" operator="containsText" text="Buy">
      <formula>NOT(ISERROR(SEARCH("Buy",E260)))</formula>
    </cfRule>
    <cfRule type="containsText" dxfId="7333" priority="271" operator="containsText" text="Sell">
      <formula>NOT(ISERROR(SEARCH("Sell",E260)))</formula>
    </cfRule>
  </conditionalFormatting>
  <conditionalFormatting sqref="E99:E100">
    <cfRule type="containsText" dxfId="7332" priority="268" operator="containsText" text="Buy">
      <formula>NOT(ISERROR(SEARCH("Buy",E99)))</formula>
    </cfRule>
    <cfRule type="containsText" dxfId="7331" priority="269" operator="containsText" text="Sell">
      <formula>NOT(ISERROR(SEARCH("Sell",E99)))</formula>
    </cfRule>
  </conditionalFormatting>
  <conditionalFormatting sqref="E337">
    <cfRule type="containsText" dxfId="7330" priority="266" operator="containsText" text="Buy">
      <formula>NOT(ISERROR(SEARCH("Buy",E337)))</formula>
    </cfRule>
    <cfRule type="containsText" dxfId="7329" priority="267" operator="containsText" text="Sell">
      <formula>NOT(ISERROR(SEARCH("Sell",E337)))</formula>
    </cfRule>
  </conditionalFormatting>
  <conditionalFormatting sqref="E96:E97">
    <cfRule type="containsText" dxfId="7328" priority="264" operator="containsText" text="Buy">
      <formula>NOT(ISERROR(SEARCH("Buy",E96)))</formula>
    </cfRule>
    <cfRule type="containsText" dxfId="7327" priority="265" operator="containsText" text="Sell">
      <formula>NOT(ISERROR(SEARCH("Sell",E96)))</formula>
    </cfRule>
  </conditionalFormatting>
  <conditionalFormatting sqref="E93:E94">
    <cfRule type="containsText" dxfId="7326" priority="262" operator="containsText" text="Buy">
      <formula>NOT(ISERROR(SEARCH("Buy",E93)))</formula>
    </cfRule>
    <cfRule type="containsText" dxfId="7325" priority="263" operator="containsText" text="Sell">
      <formula>NOT(ISERROR(SEARCH("Sell",E93)))</formula>
    </cfRule>
  </conditionalFormatting>
  <conditionalFormatting sqref="E227">
    <cfRule type="containsText" dxfId="7324" priority="260" operator="containsText" text="Buy">
      <formula>NOT(ISERROR(SEARCH("Buy",E227)))</formula>
    </cfRule>
    <cfRule type="containsText" dxfId="7323" priority="261" operator="containsText" text="Sell">
      <formula>NOT(ISERROR(SEARCH("Sell",E227)))</formula>
    </cfRule>
  </conditionalFormatting>
  <conditionalFormatting sqref="E341">
    <cfRule type="containsText" dxfId="7322" priority="258" operator="containsText" text="Buy">
      <formula>NOT(ISERROR(SEARCH("Buy",E341)))</formula>
    </cfRule>
    <cfRule type="containsText" dxfId="7321" priority="259" operator="containsText" text="Sell">
      <formula>NOT(ISERROR(SEARCH("Sell",E341)))</formula>
    </cfRule>
  </conditionalFormatting>
  <conditionalFormatting sqref="E325">
    <cfRule type="containsText" dxfId="7320" priority="256" operator="containsText" text="Buy">
      <formula>NOT(ISERROR(SEARCH("Buy",E325)))</formula>
    </cfRule>
    <cfRule type="containsText" dxfId="7319" priority="257" operator="containsText" text="Sell">
      <formula>NOT(ISERROR(SEARCH("Sell",E325)))</formula>
    </cfRule>
  </conditionalFormatting>
  <conditionalFormatting sqref="E102">
    <cfRule type="containsText" dxfId="7318" priority="254" operator="containsText" text="Buy">
      <formula>NOT(ISERROR(SEARCH("Buy",E102)))</formula>
    </cfRule>
    <cfRule type="containsText" dxfId="7317" priority="255" operator="containsText" text="Sell">
      <formula>NOT(ISERROR(SEARCH("Sell",E102)))</formula>
    </cfRule>
  </conditionalFormatting>
  <conditionalFormatting sqref="E90:E91">
    <cfRule type="containsText" dxfId="7316" priority="252" operator="containsText" text="Buy">
      <formula>NOT(ISERROR(SEARCH("Buy",E90)))</formula>
    </cfRule>
    <cfRule type="containsText" dxfId="7315" priority="253" operator="containsText" text="Sell">
      <formula>NOT(ISERROR(SEARCH("Sell",E90)))</formula>
    </cfRule>
  </conditionalFormatting>
  <conditionalFormatting sqref="E84:E86">
    <cfRule type="containsText" dxfId="7314" priority="250" operator="containsText" text="Buy">
      <formula>NOT(ISERROR(SEARCH("Buy",E84)))</formula>
    </cfRule>
    <cfRule type="containsText" dxfId="7313" priority="251" operator="containsText" text="Sell">
      <formula>NOT(ISERROR(SEARCH("Sell",E84)))</formula>
    </cfRule>
  </conditionalFormatting>
  <conditionalFormatting sqref="E109">
    <cfRule type="containsText" dxfId="7312" priority="248" operator="containsText" text="Buy">
      <formula>NOT(ISERROR(SEARCH("Buy",E109)))</formula>
    </cfRule>
    <cfRule type="containsText" dxfId="7311" priority="249" operator="containsText" text="Sell">
      <formula>NOT(ISERROR(SEARCH("Sell",E109)))</formula>
    </cfRule>
  </conditionalFormatting>
  <conditionalFormatting sqref="E287">
    <cfRule type="containsText" dxfId="7310" priority="246" operator="containsText" text="Buy">
      <formula>NOT(ISERROR(SEARCH("Buy",E287)))</formula>
    </cfRule>
    <cfRule type="containsText" dxfId="7309" priority="247" operator="containsText" text="Sell">
      <formula>NOT(ISERROR(SEARCH("Sell",E287)))</formula>
    </cfRule>
  </conditionalFormatting>
  <conditionalFormatting sqref="E258">
    <cfRule type="containsText" dxfId="7308" priority="242" operator="containsText" text="Buy">
      <formula>NOT(ISERROR(SEARCH("Buy",E258)))</formula>
    </cfRule>
    <cfRule type="containsText" dxfId="7307" priority="243" operator="containsText" text="Sell">
      <formula>NOT(ISERROR(SEARCH("Sell",E258)))</formula>
    </cfRule>
  </conditionalFormatting>
  <conditionalFormatting sqref="E217">
    <cfRule type="containsText" dxfId="7306" priority="240" operator="containsText" text="Buy">
      <formula>NOT(ISERROR(SEARCH("Buy",E217)))</formula>
    </cfRule>
    <cfRule type="containsText" dxfId="7305" priority="241" operator="containsText" text="Sell">
      <formula>NOT(ISERROR(SEARCH("Sell",E217)))</formula>
    </cfRule>
  </conditionalFormatting>
  <conditionalFormatting sqref="E259">
    <cfRule type="containsText" dxfId="7304" priority="244" operator="containsText" text="Buy">
      <formula>NOT(ISERROR(SEARCH("Buy",E259)))</formula>
    </cfRule>
    <cfRule type="containsText" dxfId="7303" priority="245" operator="containsText" text="Sell">
      <formula>NOT(ISERROR(SEARCH("Sell",E259)))</formula>
    </cfRule>
  </conditionalFormatting>
  <conditionalFormatting sqref="E36">
    <cfRule type="containsText" dxfId="7302" priority="236" operator="containsText" text="Buy">
      <formula>NOT(ISERROR(SEARCH("Buy",E36)))</formula>
    </cfRule>
    <cfRule type="containsText" dxfId="7301" priority="237" operator="containsText" text="Sell">
      <formula>NOT(ISERROR(SEARCH("Sell",E36)))</formula>
    </cfRule>
  </conditionalFormatting>
  <conditionalFormatting sqref="E37">
    <cfRule type="containsText" dxfId="7300" priority="238" operator="containsText" text="Buy">
      <formula>NOT(ISERROR(SEARCH("Buy",E37)))</formula>
    </cfRule>
    <cfRule type="containsText" dxfId="7299" priority="239" operator="containsText" text="Sell">
      <formula>NOT(ISERROR(SEARCH("Sell",E37)))</formula>
    </cfRule>
  </conditionalFormatting>
  <conditionalFormatting sqref="E147">
    <cfRule type="containsText" dxfId="7298" priority="234" operator="containsText" text="Buy">
      <formula>NOT(ISERROR(SEARCH("Buy",E147)))</formula>
    </cfRule>
    <cfRule type="containsText" dxfId="7297" priority="235" operator="containsText" text="Sell">
      <formula>NOT(ISERROR(SEARCH("Sell",E147)))</formula>
    </cfRule>
  </conditionalFormatting>
  <conditionalFormatting sqref="E57:E58">
    <cfRule type="containsText" dxfId="7296" priority="228" operator="containsText" text="Buy">
      <formula>NOT(ISERROR(SEARCH("Buy",E57)))</formula>
    </cfRule>
    <cfRule type="containsText" dxfId="7295" priority="229" operator="containsText" text="Sell">
      <formula>NOT(ISERROR(SEARCH("Sell",E57)))</formula>
    </cfRule>
  </conditionalFormatting>
  <conditionalFormatting sqref="E24">
    <cfRule type="containsText" dxfId="7294" priority="232" operator="containsText" text="Buy">
      <formula>NOT(ISERROR(SEARCH("Buy",E24)))</formula>
    </cfRule>
    <cfRule type="containsText" dxfId="7293" priority="233" operator="containsText" text="Sell">
      <formula>NOT(ISERROR(SEARCH("Sell",E24)))</formula>
    </cfRule>
  </conditionalFormatting>
  <conditionalFormatting sqref="E75:E77">
    <cfRule type="containsText" dxfId="7292" priority="230" operator="containsText" text="Buy">
      <formula>NOT(ISERROR(SEARCH("Buy",E75)))</formula>
    </cfRule>
    <cfRule type="containsText" dxfId="7291" priority="231" operator="containsText" text="Sell">
      <formula>NOT(ISERROR(SEARCH("Sell",E75)))</formula>
    </cfRule>
  </conditionalFormatting>
  <conditionalFormatting sqref="E43">
    <cfRule type="containsText" dxfId="7290" priority="210" operator="containsText" text="Buy">
      <formula>NOT(ISERROR(SEARCH("Buy",E43)))</formula>
    </cfRule>
    <cfRule type="containsText" dxfId="7289" priority="211" operator="containsText" text="Sell">
      <formula>NOT(ISERROR(SEARCH("Sell",E43)))</formula>
    </cfRule>
  </conditionalFormatting>
  <conditionalFormatting sqref="E60:E62">
    <cfRule type="containsText" dxfId="7288" priority="226" operator="containsText" text="Buy">
      <formula>NOT(ISERROR(SEARCH("Buy",E60)))</formula>
    </cfRule>
    <cfRule type="containsText" dxfId="7287" priority="227" operator="containsText" text="Sell">
      <formula>NOT(ISERROR(SEARCH("Sell",E60)))</formula>
    </cfRule>
  </conditionalFormatting>
  <conditionalFormatting sqref="E63:E65">
    <cfRule type="containsText" dxfId="7286" priority="224" operator="containsText" text="Buy">
      <formula>NOT(ISERROR(SEARCH("Buy",E63)))</formula>
    </cfRule>
    <cfRule type="containsText" dxfId="7285" priority="225" operator="containsText" text="Sell">
      <formula>NOT(ISERROR(SEARCH("Sell",E63)))</formula>
    </cfRule>
  </conditionalFormatting>
  <conditionalFormatting sqref="E66:E68">
    <cfRule type="containsText" dxfId="7284" priority="222" operator="containsText" text="Buy">
      <formula>NOT(ISERROR(SEARCH("Buy",E66)))</formula>
    </cfRule>
    <cfRule type="containsText" dxfId="7283" priority="223" operator="containsText" text="Sell">
      <formula>NOT(ISERROR(SEARCH("Sell",E66)))</formula>
    </cfRule>
  </conditionalFormatting>
  <conditionalFormatting sqref="E69:E71">
    <cfRule type="containsText" dxfId="7282" priority="220" operator="containsText" text="Buy">
      <formula>NOT(ISERROR(SEARCH("Buy",E69)))</formula>
    </cfRule>
    <cfRule type="containsText" dxfId="7281" priority="221" operator="containsText" text="Sell">
      <formula>NOT(ISERROR(SEARCH("Sell",E69)))</formula>
    </cfRule>
  </conditionalFormatting>
  <conditionalFormatting sqref="E72:E73">
    <cfRule type="containsText" dxfId="7280" priority="218" operator="containsText" text="Buy">
      <formula>NOT(ISERROR(SEARCH("Buy",E72)))</formula>
    </cfRule>
    <cfRule type="containsText" dxfId="7279" priority="219" operator="containsText" text="Sell">
      <formula>NOT(ISERROR(SEARCH("Sell",E72)))</formula>
    </cfRule>
  </conditionalFormatting>
  <conditionalFormatting sqref="E87:E88">
    <cfRule type="containsText" dxfId="7278" priority="216" operator="containsText" text="Buy">
      <formula>NOT(ISERROR(SEARCH("Buy",E87)))</formula>
    </cfRule>
    <cfRule type="containsText" dxfId="7277" priority="217" operator="containsText" text="Sell">
      <formula>NOT(ISERROR(SEARCH("Sell",E87)))</formula>
    </cfRule>
  </conditionalFormatting>
  <conditionalFormatting sqref="E129">
    <cfRule type="containsText" dxfId="7276" priority="214" operator="containsText" text="Buy">
      <formula>NOT(ISERROR(SEARCH("Buy",E129)))</formula>
    </cfRule>
    <cfRule type="containsText" dxfId="7275" priority="215" operator="containsText" text="Sell">
      <formula>NOT(ISERROR(SEARCH("Sell",E129)))</formula>
    </cfRule>
  </conditionalFormatting>
  <conditionalFormatting sqref="E44:E45">
    <cfRule type="containsText" dxfId="7274" priority="212" operator="containsText" text="Buy">
      <formula>NOT(ISERROR(SEARCH("Buy",E44)))</formula>
    </cfRule>
    <cfRule type="containsText" dxfId="7273" priority="213" operator="containsText" text="Sell">
      <formula>NOT(ISERROR(SEARCH("Sell",E44)))</formula>
    </cfRule>
  </conditionalFormatting>
  <conditionalFormatting sqref="E78:E79">
    <cfRule type="containsText" dxfId="7272" priority="208" operator="containsText" text="Buy">
      <formula>NOT(ISERROR(SEARCH("Buy",E78)))</formula>
    </cfRule>
    <cfRule type="containsText" dxfId="7271" priority="209" operator="containsText" text="Sell">
      <formula>NOT(ISERROR(SEARCH("Sell",E78)))</formula>
    </cfRule>
  </conditionalFormatting>
  <conditionalFormatting sqref="E81:E82">
    <cfRule type="containsText" dxfId="7270" priority="206" operator="containsText" text="Buy">
      <formula>NOT(ISERROR(SEARCH("Buy",E81)))</formula>
    </cfRule>
    <cfRule type="containsText" dxfId="7269" priority="207" operator="containsText" text="Sell">
      <formula>NOT(ISERROR(SEARCH("Sell",E81)))</formula>
    </cfRule>
  </conditionalFormatting>
  <conditionalFormatting sqref="E294">
    <cfRule type="containsText" dxfId="7268" priority="204" operator="containsText" text="Buy">
      <formula>NOT(ISERROR(SEARCH("Buy",E294)))</formula>
    </cfRule>
    <cfRule type="containsText" dxfId="7267" priority="205" operator="containsText" text="Sell">
      <formula>NOT(ISERROR(SEARCH("Sell",E294)))</formula>
    </cfRule>
  </conditionalFormatting>
  <conditionalFormatting sqref="E113">
    <cfRule type="containsText" dxfId="7266" priority="202" operator="containsText" text="Buy">
      <formula>NOT(ISERROR(SEARCH("Buy",E113)))</formula>
    </cfRule>
    <cfRule type="containsText" dxfId="7265" priority="203" operator="containsText" text="Sell">
      <formula>NOT(ISERROR(SEARCH("Sell",E113)))</formula>
    </cfRule>
  </conditionalFormatting>
  <conditionalFormatting sqref="E112">
    <cfRule type="containsText" dxfId="7264" priority="200" operator="containsText" text="Buy">
      <formula>NOT(ISERROR(SEARCH("Buy",E112)))</formula>
    </cfRule>
    <cfRule type="containsText" dxfId="7263" priority="201" operator="containsText" text="Sell">
      <formula>NOT(ISERROR(SEARCH("Sell",E112)))</formula>
    </cfRule>
  </conditionalFormatting>
  <conditionalFormatting sqref="E111">
    <cfRule type="containsText" dxfId="7262" priority="198" operator="containsText" text="Buy">
      <formula>NOT(ISERROR(SEARCH("Buy",E111)))</formula>
    </cfRule>
    <cfRule type="containsText" dxfId="7261" priority="199" operator="containsText" text="Sell">
      <formula>NOT(ISERROR(SEARCH("Sell",E111)))</formula>
    </cfRule>
  </conditionalFormatting>
  <conditionalFormatting sqref="E110">
    <cfRule type="containsText" dxfId="7260" priority="196" operator="containsText" text="Buy">
      <formula>NOT(ISERROR(SEARCH("Buy",E110)))</formula>
    </cfRule>
    <cfRule type="containsText" dxfId="7259" priority="197" operator="containsText" text="Sell">
      <formula>NOT(ISERROR(SEARCH("Sell",E110)))</formula>
    </cfRule>
  </conditionalFormatting>
  <conditionalFormatting sqref="E133:E134">
    <cfRule type="containsText" dxfId="7258" priority="194" operator="containsText" text="Buy">
      <formula>NOT(ISERROR(SEARCH("Buy",E133)))</formula>
    </cfRule>
    <cfRule type="containsText" dxfId="7257" priority="195" operator="containsText" text="Sell">
      <formula>NOT(ISERROR(SEARCH("Sell",E133)))</formula>
    </cfRule>
  </conditionalFormatting>
  <conditionalFormatting sqref="E207:E209">
    <cfRule type="containsText" dxfId="7256" priority="192" operator="containsText" text="Buy">
      <formula>NOT(ISERROR(SEARCH("Buy",E207)))</formula>
    </cfRule>
    <cfRule type="containsText" dxfId="7255" priority="193" operator="containsText" text="Sell">
      <formula>NOT(ISERROR(SEARCH("Sell",E207)))</formula>
    </cfRule>
  </conditionalFormatting>
  <conditionalFormatting sqref="E186">
    <cfRule type="containsText" dxfId="7254" priority="190" operator="containsText" text="Buy">
      <formula>NOT(ISERROR(SEARCH("Buy",E186)))</formula>
    </cfRule>
    <cfRule type="containsText" dxfId="7253" priority="191" operator="containsText" text="Sell">
      <formula>NOT(ISERROR(SEARCH("Sell",E186)))</formula>
    </cfRule>
  </conditionalFormatting>
  <conditionalFormatting sqref="E185">
    <cfRule type="containsText" dxfId="7252" priority="188" operator="containsText" text="Buy">
      <formula>NOT(ISERROR(SEARCH("Buy",E185)))</formula>
    </cfRule>
    <cfRule type="containsText" dxfId="7251" priority="189" operator="containsText" text="Sell">
      <formula>NOT(ISERROR(SEARCH("Sell",E185)))</formula>
    </cfRule>
  </conditionalFormatting>
  <conditionalFormatting sqref="E51">
    <cfRule type="containsText" dxfId="7250" priority="186" operator="containsText" text="Buy">
      <formula>NOT(ISERROR(SEARCH("Buy",E51)))</formula>
    </cfRule>
    <cfRule type="containsText" dxfId="7249" priority="187" operator="containsText" text="Sell">
      <formula>NOT(ISERROR(SEARCH("Sell",E51)))</formula>
    </cfRule>
  </conditionalFormatting>
  <conditionalFormatting sqref="E179">
    <cfRule type="containsText" dxfId="7248" priority="184" operator="containsText" text="Buy">
      <formula>NOT(ISERROR(SEARCH("Buy",E179)))</formula>
    </cfRule>
    <cfRule type="containsText" dxfId="7247" priority="185" operator="containsText" text="Sell">
      <formula>NOT(ISERROR(SEARCH("Sell",E179)))</formula>
    </cfRule>
  </conditionalFormatting>
  <conditionalFormatting sqref="E184">
    <cfRule type="containsText" dxfId="7246" priority="182" operator="containsText" text="Buy">
      <formula>NOT(ISERROR(SEARCH("Buy",E184)))</formula>
    </cfRule>
    <cfRule type="containsText" dxfId="7245" priority="183" operator="containsText" text="Sell">
      <formula>NOT(ISERROR(SEARCH("Sell",E184)))</formula>
    </cfRule>
  </conditionalFormatting>
  <conditionalFormatting sqref="E183">
    <cfRule type="containsText" dxfId="7244" priority="180" operator="containsText" text="Buy">
      <formula>NOT(ISERROR(SEARCH("Buy",E183)))</formula>
    </cfRule>
    <cfRule type="containsText" dxfId="7243" priority="181" operator="containsText" text="Sell">
      <formula>NOT(ISERROR(SEARCH("Sell",E183)))</formula>
    </cfRule>
  </conditionalFormatting>
  <conditionalFormatting sqref="E293">
    <cfRule type="containsText" dxfId="7242" priority="178" operator="containsText" text="Buy">
      <formula>NOT(ISERROR(SEARCH("Buy",E293)))</formula>
    </cfRule>
    <cfRule type="containsText" dxfId="7241" priority="179" operator="containsText" text="Sell">
      <formula>NOT(ISERROR(SEARCH("Sell",E293)))</formula>
    </cfRule>
  </conditionalFormatting>
  <conditionalFormatting sqref="E168:E169">
    <cfRule type="containsText" dxfId="7240" priority="176" operator="containsText" text="Buy">
      <formula>NOT(ISERROR(SEARCH("Buy",E168)))</formula>
    </cfRule>
    <cfRule type="containsText" dxfId="7239" priority="177" operator="containsText" text="Sell">
      <formula>NOT(ISERROR(SEARCH("Sell",E168)))</formula>
    </cfRule>
  </conditionalFormatting>
  <conditionalFormatting sqref="E292">
    <cfRule type="containsText" dxfId="7238" priority="174" operator="containsText" text="Buy">
      <formula>NOT(ISERROR(SEARCH("Buy",E292)))</formula>
    </cfRule>
    <cfRule type="containsText" dxfId="7237" priority="175" operator="containsText" text="Sell">
      <formula>NOT(ISERROR(SEARCH("Sell",E292)))</formula>
    </cfRule>
  </conditionalFormatting>
  <conditionalFormatting sqref="E167">
    <cfRule type="containsText" dxfId="7236" priority="172" operator="containsText" text="Buy">
      <formula>NOT(ISERROR(SEARCH("Buy",E167)))</formula>
    </cfRule>
    <cfRule type="containsText" dxfId="7235" priority="173" operator="containsText" text="Sell">
      <formula>NOT(ISERROR(SEARCH("Sell",E167)))</formula>
    </cfRule>
  </conditionalFormatting>
  <conditionalFormatting sqref="E35">
    <cfRule type="containsText" dxfId="7234" priority="170" operator="containsText" text="Buy">
      <formula>NOT(ISERROR(SEARCH("Buy",E35)))</formula>
    </cfRule>
    <cfRule type="containsText" dxfId="7233" priority="171" operator="containsText" text="Sell">
      <formula>NOT(ISERROR(SEARCH("Sell",E35)))</formula>
    </cfRule>
  </conditionalFormatting>
  <conditionalFormatting sqref="E50">
    <cfRule type="containsText" dxfId="7232" priority="168" operator="containsText" text="Buy">
      <formula>NOT(ISERROR(SEARCH("Buy",E50)))</formula>
    </cfRule>
    <cfRule type="containsText" dxfId="7231" priority="169" operator="containsText" text="Sell">
      <formula>NOT(ISERROR(SEARCH("Sell",E50)))</formula>
    </cfRule>
  </conditionalFormatting>
  <conditionalFormatting sqref="E291">
    <cfRule type="containsText" dxfId="7230" priority="166" operator="containsText" text="Buy">
      <formula>NOT(ISERROR(SEARCH("Buy",E291)))</formula>
    </cfRule>
    <cfRule type="containsText" dxfId="7229" priority="167" operator="containsText" text="Sell">
      <formula>NOT(ISERROR(SEARCH("Sell",E291)))</formula>
    </cfRule>
  </conditionalFormatting>
  <conditionalFormatting sqref="E34">
    <cfRule type="containsText" dxfId="7228" priority="164" operator="containsText" text="Buy">
      <formula>NOT(ISERROR(SEARCH("Buy",E34)))</formula>
    </cfRule>
    <cfRule type="containsText" dxfId="7227" priority="165" operator="containsText" text="Sell">
      <formula>NOT(ISERROR(SEARCH("Sell",E34)))</formula>
    </cfRule>
  </conditionalFormatting>
  <conditionalFormatting sqref="E27">
    <cfRule type="containsText" dxfId="7226" priority="162" operator="containsText" text="Buy">
      <formula>NOT(ISERROR(SEARCH("Buy",E27)))</formula>
    </cfRule>
    <cfRule type="containsText" dxfId="7225" priority="163" operator="containsText" text="Sell">
      <formula>NOT(ISERROR(SEARCH("Sell",E27)))</formula>
    </cfRule>
  </conditionalFormatting>
  <conditionalFormatting sqref="E178">
    <cfRule type="containsText" dxfId="7224" priority="152" operator="containsText" text="Buy">
      <formula>NOT(ISERROR(SEARCH("Buy",E178)))</formula>
    </cfRule>
    <cfRule type="containsText" dxfId="7223" priority="153" operator="containsText" text="Sell">
      <formula>NOT(ISERROR(SEARCH("Sell",E178)))</formula>
    </cfRule>
  </conditionalFormatting>
  <conditionalFormatting sqref="E174">
    <cfRule type="containsText" dxfId="7222" priority="154" operator="containsText" text="Buy">
      <formula>NOT(ISERROR(SEARCH("Buy",E174)))</formula>
    </cfRule>
    <cfRule type="containsText" dxfId="7221" priority="155" operator="containsText" text="Sell">
      <formula>NOT(ISERROR(SEARCH("Sell",E174)))</formula>
    </cfRule>
  </conditionalFormatting>
  <conditionalFormatting sqref="E46">
    <cfRule type="containsText" dxfId="7220" priority="136" operator="containsText" text="Buy">
      <formula>NOT(ISERROR(SEARCH("Buy",E46)))</formula>
    </cfRule>
    <cfRule type="containsText" dxfId="7219" priority="137" operator="containsText" text="Sell">
      <formula>NOT(ISERROR(SEARCH("Sell",E46)))</formula>
    </cfRule>
  </conditionalFormatting>
  <conditionalFormatting sqref="E47">
    <cfRule type="containsText" dxfId="7218" priority="134" operator="containsText" text="Buy">
      <formula>NOT(ISERROR(SEARCH("Buy",E47)))</formula>
    </cfRule>
    <cfRule type="containsText" dxfId="7217" priority="135" operator="containsText" text="Sell">
      <formula>NOT(ISERROR(SEARCH("Sell",E47)))</formula>
    </cfRule>
  </conditionalFormatting>
  <conditionalFormatting sqref="E30">
    <cfRule type="containsText" dxfId="7216" priority="150" operator="containsText" text="Buy">
      <formula>NOT(ISERROR(SEARCH("Buy",E30)))</formula>
    </cfRule>
    <cfRule type="containsText" dxfId="7215" priority="151" operator="containsText" text="Sell">
      <formula>NOT(ISERROR(SEARCH("Sell",E30)))</formula>
    </cfRule>
  </conditionalFormatting>
  <conditionalFormatting sqref="E173">
    <cfRule type="containsText" dxfId="7214" priority="146" operator="containsText" text="Buy">
      <formula>NOT(ISERROR(SEARCH("Buy",E173)))</formula>
    </cfRule>
    <cfRule type="containsText" dxfId="7213" priority="147" operator="containsText" text="Sell">
      <formula>NOT(ISERROR(SEARCH("Sell",E173)))</formula>
    </cfRule>
  </conditionalFormatting>
  <conditionalFormatting sqref="E42">
    <cfRule type="containsText" dxfId="7212" priority="144" operator="containsText" text="Buy">
      <formula>NOT(ISERROR(SEARCH("Buy",E42)))</formula>
    </cfRule>
    <cfRule type="containsText" dxfId="7211" priority="145" operator="containsText" text="Sell">
      <formula>NOT(ISERROR(SEARCH("Sell",E42)))</formula>
    </cfRule>
  </conditionalFormatting>
  <conditionalFormatting sqref="E49">
    <cfRule type="containsText" dxfId="7210" priority="142" operator="containsText" text="Buy">
      <formula>NOT(ISERROR(SEARCH("Buy",E49)))</formula>
    </cfRule>
    <cfRule type="containsText" dxfId="7209" priority="143" operator="containsText" text="Sell">
      <formula>NOT(ISERROR(SEARCH("Sell",E49)))</formula>
    </cfRule>
  </conditionalFormatting>
  <conditionalFormatting sqref="R4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{26EFE880-3A98-44CC-96FC-877669D84007}</x14:id>
        </ext>
      </extLst>
    </cfRule>
  </conditionalFormatting>
  <conditionalFormatting sqref="S4:W4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{4F9F1281-3C11-4E33-B682-A3FBC001473D}</x14:id>
        </ext>
      </extLst>
    </cfRule>
  </conditionalFormatting>
  <conditionalFormatting sqref="R4:W4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{068CC503-8A6C-4A7E-A4BA-A2802311A37D}</x14:id>
        </ext>
      </extLst>
    </cfRule>
  </conditionalFormatting>
  <conditionalFormatting sqref="R4:W4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{ABD220BF-743B-4613-9293-F435D6E75289}</x14:id>
        </ext>
      </extLst>
    </cfRule>
  </conditionalFormatting>
  <conditionalFormatting sqref="X4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{1B4C06EB-8A90-44E2-84F9-A2128E8D6348}</x14:id>
        </ext>
      </extLst>
    </cfRule>
  </conditionalFormatting>
  <conditionalFormatting sqref="X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{5E0947CC-8AF0-42A1-8CFB-C9E5123C5908}</x14:id>
        </ext>
      </extLst>
    </cfRule>
  </conditionalFormatting>
  <conditionalFormatting sqref="X4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{553EEDDF-E517-4551-A618-3C4C98CC8E38}</x14:id>
        </ext>
      </extLst>
    </cfRule>
  </conditionalFormatting>
  <conditionalFormatting sqref="R4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{C4E74C0B-28BB-4748-8BAF-59EC86EC6ECA}</x14:id>
        </ext>
      </extLst>
    </cfRule>
  </conditionalFormatting>
  <conditionalFormatting sqref="S4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{9DB01A46-BBB0-46FD-B327-03C552911652}</x14:id>
        </ext>
      </extLst>
    </cfRule>
  </conditionalFormatting>
  <conditionalFormatting sqref="T4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{F2855F45-399B-4FCC-B547-B37AC45A3879}</x14:id>
        </ext>
      </extLst>
    </cfRule>
  </conditionalFormatting>
  <conditionalFormatting sqref="U4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{7028866B-CD80-4F14-964E-226339AEEC97}</x14:id>
        </ext>
      </extLst>
    </cfRule>
  </conditionalFormatting>
  <conditionalFormatting sqref="V4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{6EFBB7EE-1E91-4924-94EF-E1B50D70F4E7}</x14:id>
        </ext>
      </extLst>
    </cfRule>
  </conditionalFormatting>
  <conditionalFormatting sqref="W4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{DE68D1E5-0704-4206-AD28-080A928ED446}</x14:id>
        </ext>
      </extLst>
    </cfRule>
  </conditionalFormatting>
  <conditionalFormatting sqref="X4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{46BCC7BB-CA37-4AF5-AFE9-ED041974F170}</x14:id>
        </ext>
      </extLst>
    </cfRule>
  </conditionalFormatting>
  <conditionalFormatting sqref="Y4 Y7">
    <cfRule type="dataBar" priority="5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{905B8ED5-D799-4704-A93F-317BCCE17434}</x14:id>
        </ext>
      </extLst>
    </cfRule>
  </conditionalFormatting>
  <conditionalFormatting sqref="R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{98042EAB-7BA2-4C6B-9809-988CBEC9EA7D}</x14:id>
        </ext>
      </extLst>
    </cfRule>
  </conditionalFormatting>
  <conditionalFormatting sqref="S7:W7">
    <cfRule type="dataBar" priority="5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{16D738B7-77DA-4C9D-9C2C-B06E2E5DBF59}</x14:id>
        </ext>
      </extLst>
    </cfRule>
  </conditionalFormatting>
  <conditionalFormatting sqref="R7:W7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{ECCE64C1-94D2-4FED-9CBD-C69D8A4149FA}</x14:id>
        </ext>
      </extLst>
    </cfRule>
  </conditionalFormatting>
  <conditionalFormatting sqref="X7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{EEB122C1-9618-4A22-9485-FE82A442C85A}</x14:id>
        </ext>
      </extLst>
    </cfRule>
  </conditionalFormatting>
  <conditionalFormatting sqref="S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{85CF35AE-1E6D-49B2-98CD-380DF15BAD42}</x14:id>
        </ext>
      </extLst>
    </cfRule>
  </conditionalFormatting>
  <conditionalFormatting sqref="T7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{EDA66B70-9084-4CE1-A6FF-4BD1A8C8B601}</x14:id>
        </ext>
      </extLst>
    </cfRule>
  </conditionalFormatting>
  <conditionalFormatting sqref="U7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{1AD9DBE7-00F7-4B0E-B37D-DBADC2448F4E}</x14:id>
        </ext>
      </extLst>
    </cfRule>
  </conditionalFormatting>
  <conditionalFormatting sqref="V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{C3C86AB4-E77B-4300-8716-0CEC074D4617}</x14:id>
        </ext>
      </extLst>
    </cfRule>
  </conditionalFormatting>
  <conditionalFormatting sqref="W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{7F5276F4-8DFA-4A1B-B942-8D2F224A50FD}</x14:id>
        </ext>
      </extLst>
    </cfRule>
  </conditionalFormatting>
  <conditionalFormatting sqref="R7:X7 R4:X4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{9CC4FC28-2EFE-4037-A0FC-ED383DE6451D}</x14:id>
        </ext>
      </extLst>
    </cfRule>
  </conditionalFormatting>
  <conditionalFormatting sqref="E23">
    <cfRule type="containsText" dxfId="7208" priority="93" operator="containsText" text="Buy">
      <formula>NOT(ISERROR(SEARCH("Buy",E23)))</formula>
    </cfRule>
    <cfRule type="containsText" dxfId="7207" priority="94" operator="containsText" text="Sell">
      <formula>NOT(ISERROR(SEARCH("Sell",E23)))</formula>
    </cfRule>
  </conditionalFormatting>
  <conditionalFormatting sqref="E22">
    <cfRule type="containsText" dxfId="7206" priority="91" operator="containsText" text="Buy">
      <formula>NOT(ISERROR(SEARCH("Buy",E22)))</formula>
    </cfRule>
    <cfRule type="containsText" dxfId="7205" priority="92" operator="containsText" text="Sell">
      <formula>NOT(ISERROR(SEARCH("Sell",E22)))</formula>
    </cfRule>
  </conditionalFormatting>
  <conditionalFormatting sqref="E21">
    <cfRule type="containsText" dxfId="7204" priority="71" operator="containsText" text="Buy">
      <formula>NOT(ISERROR(SEARCH("Buy",E21)))</formula>
    </cfRule>
    <cfRule type="containsText" dxfId="7203" priority="72" operator="containsText" text="Sell">
      <formula>NOT(ISERROR(SEARCH("Sell",E21)))</formula>
    </cfRule>
  </conditionalFormatting>
  <conditionalFormatting sqref="E26">
    <cfRule type="containsText" dxfId="7202" priority="69" operator="containsText" text="Buy">
      <formula>NOT(ISERROR(SEARCH("Buy",E26)))</formula>
    </cfRule>
    <cfRule type="containsText" dxfId="7201" priority="70" operator="containsText" text="Sell">
      <formula>NOT(ISERROR(SEARCH("Sell",E26)))</formula>
    </cfRule>
  </conditionalFormatting>
  <conditionalFormatting sqref="E25">
    <cfRule type="containsText" dxfId="7200" priority="65" operator="containsText" text="Buy">
      <formula>NOT(ISERROR(SEARCH("Buy",E25)))</formula>
    </cfRule>
    <cfRule type="containsText" dxfId="7199" priority="66" operator="containsText" text="Sell">
      <formula>NOT(ISERROR(SEARCH("Sell",E25)))</formula>
    </cfRule>
  </conditionalFormatting>
  <conditionalFormatting sqref="E29">
    <cfRule type="containsText" dxfId="7198" priority="63" operator="containsText" text="Buy">
      <formula>NOT(ISERROR(SEARCH("Buy",E29)))</formula>
    </cfRule>
    <cfRule type="containsText" dxfId="7197" priority="64" operator="containsText" text="Sell">
      <formula>NOT(ISERROR(SEARCH("Sell",E29)))</formula>
    </cfRule>
  </conditionalFormatting>
  <conditionalFormatting sqref="E32">
    <cfRule type="containsText" dxfId="7196" priority="45" operator="containsText" text="Buy">
      <formula>NOT(ISERROR(SEARCH("Buy",E32)))</formula>
    </cfRule>
    <cfRule type="containsText" dxfId="7195" priority="46" operator="containsText" text="Sell">
      <formula>NOT(ISERROR(SEARCH("Sell",E32)))</formula>
    </cfRule>
  </conditionalFormatting>
  <conditionalFormatting sqref="E28">
    <cfRule type="containsText" dxfId="7194" priority="59" operator="containsText" text="Buy">
      <formula>NOT(ISERROR(SEARCH("Buy",E28)))</formula>
    </cfRule>
    <cfRule type="containsText" dxfId="7193" priority="60" operator="containsText" text="Sell">
      <formula>NOT(ISERROR(SEARCH("Sell",E28)))</formula>
    </cfRule>
  </conditionalFormatting>
  <conditionalFormatting sqref="I7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{739E8454-5C2B-4DE6-8400-D292D5BC58AF}</x14:id>
        </ext>
      </extLst>
    </cfRule>
  </conditionalFormatting>
  <conditionalFormatting sqref="J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{51A72EA6-FB19-4EB6-B233-71118BFEB230}</x14:id>
        </ext>
      </extLst>
    </cfRule>
  </conditionalFormatting>
  <conditionalFormatting sqref="I7:J7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{4695AE77-160A-4223-9B38-404389DAA475}</x14:id>
        </ext>
      </extLst>
    </cfRule>
  </conditionalFormatting>
  <conditionalFormatting sqref="I7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{BCD096D3-25CA-4EBA-8055-49949A0F95A5}</x14:id>
        </ext>
      </extLst>
    </cfRule>
  </conditionalFormatting>
  <conditionalFormatting sqref="J7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{15C07CF7-4D0C-4935-A47E-31B2F33E3B0C}</x14:id>
        </ext>
      </extLst>
    </cfRule>
  </conditionalFormatting>
  <conditionalFormatting sqref="I7:J7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{C0DACECD-7E0F-47F6-B4E7-C102D4E62C05}</x14:id>
        </ext>
      </extLst>
    </cfRule>
  </conditionalFormatting>
  <conditionalFormatting sqref="E31">
    <cfRule type="containsText" dxfId="7192" priority="43" operator="containsText" text="Buy">
      <formula>NOT(ISERROR(SEARCH("Buy",E31)))</formula>
    </cfRule>
    <cfRule type="containsText" dxfId="7191" priority="44" operator="containsText" text="Sell">
      <formula>NOT(ISERROR(SEARCH("Sell",E31)))</formula>
    </cfRule>
  </conditionalFormatting>
  <conditionalFormatting sqref="R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{25A19BAB-1D91-4231-A0A1-F53CC9D73F47}</x14:id>
        </ext>
      </extLst>
    </cfRule>
  </conditionalFormatting>
  <conditionalFormatting sqref="I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{0474E4B4-E9F2-4ED7-9185-2D2A01CE31AA}</x14:id>
        </ext>
      </extLst>
    </cfRule>
  </conditionalFormatting>
  <conditionalFormatting sqref="J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{7FAD11C8-E57C-457A-B13A-641471AC6914}</x14:id>
        </ext>
      </extLst>
    </cfRule>
  </conditionalFormatting>
  <conditionalFormatting sqref="R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{13EEFEC9-6B93-4724-9901-103F365AAD78}</x14:id>
        </ext>
      </extLst>
    </cfRule>
  </conditionalFormatting>
  <conditionalFormatting sqref="S6: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{071DFD42-A1D4-4A1E-BC19-514528196C9E}</x14:id>
        </ext>
      </extLst>
    </cfRule>
  </conditionalFormatting>
  <conditionalFormatting sqref="R6:W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{01642C0B-06DD-4B1C-AF72-BC0869A001B5}</x14:id>
        </ext>
      </extLst>
    </cfRule>
  </conditionalFormatting>
  <conditionalFormatting sqref="X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{E4AD310B-F495-4297-A8D1-B2CD6FF584DF}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{D614A025-CA4B-4421-80A1-AB888654F1D4}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{40E096D5-FC71-48D4-B4CF-F9C6192C2991}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{3411C47E-1F3B-42DA-BA72-61E4386A88D0}</x14:id>
        </ext>
      </extLst>
    </cfRule>
  </conditionalFormatting>
  <conditionalFormatting sqref="S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{BF6B5FFE-84FE-4CE8-8160-A31C6CDA2824}</x14:id>
        </ext>
      </extLst>
    </cfRule>
  </conditionalFormatting>
  <conditionalFormatting sqref="T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{34FC820D-5249-4C91-B4EA-8566D03E0234}</x14:id>
        </ext>
      </extLst>
    </cfRule>
  </conditionalFormatting>
  <conditionalFormatting sqref="U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{A8574FF2-9DC8-4FAF-AB3C-5E2FB97778D7}</x14:id>
        </ext>
      </extLst>
    </cfRule>
  </conditionalFormatting>
  <conditionalFormatting sqref="V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{418BEEB5-8AA8-4FEA-8BAC-42AC3C98E49D}</x14:id>
        </ext>
      </extLst>
    </cfRule>
  </conditionalFormatting>
  <conditionalFormatting sqref="W6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{430703E0-9F80-47D9-B1CC-1D3C9B9F03B7}</x14:id>
        </ext>
      </extLst>
    </cfRule>
  </conditionalFormatting>
  <conditionalFormatting sqref="R6:X6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{393BE418-7D09-47E8-93CD-D0F24F96CA44}</x14:id>
        </ext>
      </extLst>
    </cfRule>
  </conditionalFormatting>
  <conditionalFormatting sqref="Y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{770C5273-B65B-42A1-A51E-DD3FBF027F84}</x14:id>
        </ext>
      </extLst>
    </cfRule>
  </conditionalFormatting>
  <conditionalFormatting sqref="I6:J6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{48B3053D-18A9-40E5-83C2-91B2DE6C5EBF}</x14:id>
        </ext>
      </extLst>
    </cfRule>
  </conditionalFormatting>
  <conditionalFormatting sqref="R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{916F9B51-D910-466E-9ED9-A9C367DADE21}</x14:id>
        </ext>
      </extLst>
    </cfRule>
  </conditionalFormatting>
  <conditionalFormatting sqref="R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{D39569E6-9CF6-4EFF-90B8-7C185EC26524}</x14:id>
        </ext>
      </extLst>
    </cfRule>
  </conditionalFormatting>
  <conditionalFormatting sqref="S5:W5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{3943AC73-EF5A-4F4F-A59C-B9EC47740B3B}</x14:id>
        </ext>
      </extLst>
    </cfRule>
  </conditionalFormatting>
  <conditionalFormatting sqref="R5:W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{976450AF-1A90-4FEA-A50D-F95FCC9C7B70}</x14:id>
        </ext>
      </extLst>
    </cfRule>
  </conditionalFormatting>
  <conditionalFormatting sqref="X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{B3077176-22C3-44E3-A2A8-656EFD0D1E07}</x14:id>
        </ext>
      </extLst>
    </cfRule>
  </conditionalFormatting>
  <conditionalFormatting sqref="S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{6A629710-2352-492F-819D-19394813A01C}</x14:id>
        </ext>
      </extLst>
    </cfRule>
  </conditionalFormatting>
  <conditionalFormatting sqref="T5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{41CCCDE6-9198-486D-9E98-17C4A8BCA3C5}</x14:id>
        </ext>
      </extLst>
    </cfRule>
  </conditionalFormatting>
  <conditionalFormatting sqref="U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{4D396261-B221-4E17-B339-9949AF7FA9F0}</x14:id>
        </ext>
      </extLst>
    </cfRule>
  </conditionalFormatting>
  <conditionalFormatting sqref="V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{930E768A-1766-4907-ABEA-9AC6A1F01E5B}</x14:id>
        </ext>
      </extLst>
    </cfRule>
  </conditionalFormatting>
  <conditionalFormatting sqref="W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{1FD6EB7C-41B9-4254-ADAE-A225B62F0579}</x14:id>
        </ext>
      </extLst>
    </cfRule>
  </conditionalFormatting>
  <conditionalFormatting sqref="R5:X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{62F63686-FA44-4764-AE0F-049A47E93E5F}</x14:id>
        </ext>
      </extLst>
    </cfRule>
  </conditionalFormatting>
  <conditionalFormatting sqref="Y5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{577519F9-B059-45AA-B953-F8501DBE7C8A}</x14:id>
        </ext>
      </extLst>
    </cfRule>
  </conditionalFormatting>
  <conditionalFormatting sqref="I5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{1B090377-3C55-4B61-B715-DABC2F49AF79}</x14:id>
        </ext>
      </extLst>
    </cfRule>
  </conditionalFormatting>
  <conditionalFormatting sqref="J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{106356C0-69FC-44F2-A4CE-14084D30E749}</x14:id>
        </ext>
      </extLst>
    </cfRule>
  </conditionalFormatting>
  <conditionalFormatting sqref="I5:J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{6C6BE056-2D36-43E2-870E-1692922B5BD8}</x14:id>
        </ext>
      </extLst>
    </cfRule>
  </conditionalFormatting>
  <conditionalFormatting sqref="I5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{4850F73F-0288-4562-A18B-FD73B838BE9C}</x14:id>
        </ext>
      </extLst>
    </cfRule>
  </conditionalFormatting>
  <conditionalFormatting sqref="J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{06A9EB57-89C8-4DE4-A38E-E3A3455AB62F}</x14:id>
        </ext>
      </extLst>
    </cfRule>
  </conditionalFormatting>
  <conditionalFormatting sqref="I5:J5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{EDB15C72-E4FD-4BA1-A9CD-4BE09C73093B}</x14:id>
        </ext>
      </extLst>
    </cfRule>
  </conditionalFormatting>
  <conditionalFormatting sqref="I4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{ADCF790F-35E4-4E9C-9BED-97D55916E718}</x14:id>
        </ext>
      </extLst>
    </cfRule>
  </conditionalFormatting>
  <conditionalFormatting sqref="J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{DE9581EA-34DB-4AE6-9102-83E3C95CB8FD}</x14:id>
        </ext>
      </extLst>
    </cfRule>
  </conditionalFormatting>
  <conditionalFormatting sqref="I4:J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{9A17B97D-6C4D-4483-84C5-7116A67077B1}</x14:id>
        </ext>
      </extLst>
    </cfRule>
  </conditionalFormatting>
  <conditionalFormatting sqref="I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{15B76F94-2966-4BF8-A98B-9F6DA1962554}</x14:id>
        </ext>
      </extLst>
    </cfRule>
  </conditionalFormatting>
  <conditionalFormatting sqref="J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{58454F50-3C32-4A9A-80C5-6C69DE9B2383}</x14:id>
        </ext>
      </extLst>
    </cfRule>
  </conditionalFormatting>
  <conditionalFormatting sqref="I4:J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{2DA9D362-3AA7-4428-A1CA-1E7448D618A5}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EFE880-3A98-44CC-96FC-877669D840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4F9F1281-3C11-4E33-B682-A3FBC0014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68CC503-8A6C-4A7E-A4BA-A2802311A3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ABD220BF-743B-4613-9293-F435D6E752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B4C06EB-8A90-44E2-84F9-A2128E8D6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E0947CC-8AF0-42A1-8CFB-C9E5123C59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53EEDDF-E517-4551-A618-3C4C98CC8E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4E74C0B-28BB-4748-8BAF-59EC86EC6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9DB01A46-BBB0-46FD-B327-03C5529116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F2855F45-399B-4FCC-B547-B37AC45A3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7028866B-CD80-4F14-964E-226339AEEC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EFBB7EE-1E91-4924-94EF-E1B50D70F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E68D1E5-0704-4206-AD28-080A928ED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46BCC7BB-CA37-4AF5-AFE9-ED041974F1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05B8ED5-D799-4704-A93F-317BCCE174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 Y7</xm:sqref>
        </x14:conditionalFormatting>
        <x14:conditionalFormatting xmlns:xm="http://schemas.microsoft.com/office/excel/2006/main">
          <x14:cfRule type="dataBar" id="{98042EAB-7BA2-4C6B-9809-988CBEC9EA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16D738B7-77DA-4C9D-9C2C-B06E2E5DB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ECCE64C1-94D2-4FED-9CBD-C69D8A414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R7:W7</xm:sqref>
        </x14:conditionalFormatting>
        <x14:conditionalFormatting xmlns:xm="http://schemas.microsoft.com/office/excel/2006/main">
          <x14:cfRule type="dataBar" id="{EEB122C1-9618-4A22-9485-FE82A442C8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5CF35AE-1E6D-49B2-98CD-380DF15BA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EDA66B70-9084-4CE1-A6FF-4BD1A8C8B6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1AD9DBE7-00F7-4B0E-B37D-DBADC2448F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C3C86AB4-E77B-4300-8716-0CEC074D46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F5276F4-8DFA-4A1B-B942-8D2F224A50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CC4FC28-2EFE-4037-A0FC-ED383DE645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R7:X7 R4:X4</xm:sqref>
        </x14:conditionalFormatting>
        <x14:conditionalFormatting xmlns:xm="http://schemas.microsoft.com/office/excel/2006/main">
          <x14:cfRule type="dataBar" id="{739E8454-5C2B-4DE6-8400-D292D5BC5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51A72EA6-FB19-4EB6-B233-71118BFEB2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4695AE77-160A-4223-9B38-404389DAA4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BCD096D3-25CA-4EBA-8055-49949A0F95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15C07CF7-4D0C-4935-A47E-31B2F33E3B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C0DACECD-7E0F-47F6-B4E7-C102D4E62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25A19BAB-1D91-4231-A0A1-F53CC9D73F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474E4B4-E9F2-4ED7-9185-2D2A01CE3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7FAD11C8-E57C-457A-B13A-641471AC6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13EEFEC9-6B93-4724-9901-103F365AAD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71DFD42-A1D4-4A1E-BC19-514528196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01642C0B-06DD-4B1C-AF72-BC0869A00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E4AD310B-F495-4297-A8D1-B2CD6FF584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614A025-CA4B-4421-80A1-AB888654F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0E096D5-FC71-48D4-B4CF-F9C6192C2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3411C47E-1F3B-42DA-BA72-61E4386A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BF6B5FFE-84FE-4CE8-8160-A31C6CDA28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4FC820D-5249-4C91-B4EA-8566D03E0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8574FF2-9DC8-4FAF-AB3C-5E2FB9777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18BEEB5-8AA8-4FEA-8BAC-42AC3C98E4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0703E0-9F80-47D9-B1CC-1D3C9B9F03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393BE418-7D09-47E8-93CD-D0F24F96C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770C5273-B65B-42A1-A51E-DD3FBF027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48B3053D-18A9-40E5-83C2-91B2DE6C5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916F9B51-D910-466E-9ED9-A9C367DADE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D39569E6-9CF6-4EFF-90B8-7C185EC265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943AC73-EF5A-4F4F-A59C-B9EC47740B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976450AF-1A90-4FEA-A50D-F95FCC9C7B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B3077176-22C3-44E3-A2A8-656EFD0D1E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629710-2352-492F-819D-19394813A0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41CCCDE6-9198-486D-9E98-17C4A8BCA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D396261-B221-4E17-B339-9949AF7FA9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30E768A-1766-4907-ABEA-9AC6A1F01E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FD6EB7C-41B9-4254-ADAE-A225B62F0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62F63686-FA44-4764-AE0F-049A47E93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77519F9-B059-45AA-B953-F8501DBE7C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1B090377-3C55-4B61-B715-DABC2F49AF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06356C0-69FC-44F2-A4CE-14084D30E7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6C6BE056-2D36-43E2-870E-1692922B5B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4850F73F-0288-4562-A18B-FD73B838BE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6A9EB57-89C8-4DE4-A38E-E3A3455AB6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DB15C72-E4FD-4BA1-A9CD-4BE09C730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ADCF790F-35E4-4E9C-9BED-97D55916E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E9581EA-34DB-4AE6-9102-83E3C95CB8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9A17B97D-6C4D-4483-84C5-7116A6707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15B76F94-2966-4BF8-A98B-9F6DA19625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454F50-3C32-4A9A-80C5-6C69DE9B23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2DA9D362-3AA7-4428-A1CA-1E7448D61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  <pageSetUpPr fitToPage="1"/>
  </sheetPr>
  <dimension ref="A1:AI412"/>
  <sheetViews>
    <sheetView workbookViewId="0">
      <pane xSplit="2" topLeftCell="C1" activePane="topRight" state="frozen"/>
      <selection pane="topRight" activeCell="C13" sqref="C13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7109375" style="32" customWidth="1"/>
    <col min="4" max="4" width="10.140625" style="32" customWidth="1"/>
    <col min="5" max="5" width="9.5703125" style="49" customWidth="1"/>
    <col min="6" max="6" width="9" style="49" customWidth="1"/>
    <col min="7" max="7" width="9" style="32" customWidth="1"/>
    <col min="8" max="8" width="8" style="32" customWidth="1"/>
    <col min="9" max="9" width="11.42578125" style="32" customWidth="1"/>
    <col min="10" max="10" width="11.2851562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2.42578125" style="32" customWidth="1"/>
    <col min="20" max="20" width="11.42578125" style="32" hidden="1" customWidth="1"/>
    <col min="21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35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3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35" ht="63.75" x14ac:dyDescent="0.2">
      <c r="B3" s="395" t="s">
        <v>105</v>
      </c>
      <c r="C3" s="396" t="s">
        <v>104</v>
      </c>
      <c r="D3" s="396" t="s">
        <v>120</v>
      </c>
      <c r="E3" s="396" t="s">
        <v>119</v>
      </c>
      <c r="F3" s="396" t="s">
        <v>100</v>
      </c>
      <c r="G3" s="396" t="s">
        <v>118</v>
      </c>
      <c r="H3" s="396" t="s">
        <v>97</v>
      </c>
      <c r="I3" s="396" t="s">
        <v>401</v>
      </c>
      <c r="J3" s="396" t="s">
        <v>138</v>
      </c>
      <c r="K3" s="396" t="s">
        <v>407</v>
      </c>
      <c r="L3" s="396" t="s">
        <v>127</v>
      </c>
      <c r="M3" s="396" t="s">
        <v>115</v>
      </c>
      <c r="N3" s="396" t="s">
        <v>114</v>
      </c>
      <c r="O3" s="396" t="s">
        <v>111</v>
      </c>
      <c r="P3" s="396" t="s">
        <v>112</v>
      </c>
      <c r="Q3" s="396" t="s">
        <v>713</v>
      </c>
      <c r="R3" s="394" t="s">
        <v>712</v>
      </c>
      <c r="S3" s="394" t="s">
        <v>714</v>
      </c>
      <c r="T3" s="394" t="s">
        <v>716</v>
      </c>
      <c r="U3" s="394" t="s">
        <v>110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394" t="s">
        <v>406</v>
      </c>
      <c r="AC3" s="394" t="s">
        <v>405</v>
      </c>
      <c r="AD3" s="394" t="s">
        <v>404</v>
      </c>
      <c r="AE3" s="394" t="s">
        <v>403</v>
      </c>
      <c r="AI3" s="32" t="s">
        <v>715</v>
      </c>
    </row>
    <row r="4" spans="1:35" s="189" customFormat="1" x14ac:dyDescent="0.2">
      <c r="A4" s="103" t="s">
        <v>663</v>
      </c>
      <c r="B4" s="116" t="e">
        <f ca="1">_xll.BDP(C4,"SECURITY_NAME")</f>
        <v>#NAME?</v>
      </c>
      <c r="C4" s="118" t="s">
        <v>709</v>
      </c>
      <c r="D4" s="119" t="e">
        <f t="shared" ref="D4:D10" ca="1" si="0">N4/$N$11</f>
        <v>#NAME?</v>
      </c>
      <c r="E4" s="120">
        <v>700000</v>
      </c>
      <c r="F4" s="186">
        <v>98.1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I9" ca="1" si="1">M4/K4-1</f>
        <v>#NAME?</v>
      </c>
      <c r="J4" s="119" t="e">
        <f t="shared" ref="J4:J9" ca="1" si="2">G4/F4-1</f>
        <v>#NAME?</v>
      </c>
      <c r="K4" s="120" t="e">
        <f ca="1">$K$48</f>
        <v>#NAME?</v>
      </c>
      <c r="L4" s="120">
        <f t="shared" ref="L4:L9" si="3">E4*F4/100</f>
        <v>686700</v>
      </c>
      <c r="M4" s="120" t="e">
        <f t="shared" ref="M4:M9" ca="1" si="4">N4*$I$1</f>
        <v>#NAME?</v>
      </c>
      <c r="N4" s="120" t="e">
        <f t="shared" ref="N4:N9" ca="1" si="5">E4*G4/100</f>
        <v>#NAME?</v>
      </c>
      <c r="O4" s="123" t="e">
        <f t="shared" ref="O4:P9" ca="1" si="6">M4-K4</f>
        <v>#NAME?</v>
      </c>
      <c r="P4" s="123" t="e">
        <f t="shared" ca="1" si="6"/>
        <v>#NAME?</v>
      </c>
      <c r="Q4" s="268" t="e">
        <f ca="1">_xll.BDP($C4 &amp; " Corp", "YLD_YTM_ASK")</f>
        <v>#NAME?</v>
      </c>
      <c r="R4" s="406" t="e">
        <f ca="1">_xll.BDP($C4 &amp; " Corp", "RUSSIAN_CB_LOMBARD")</f>
        <v>#NAME?</v>
      </c>
      <c r="S4" s="125" t="e">
        <f ca="1">_xll.BDP($C4 &amp; " Corp", "PAYMENT_RANK")</f>
        <v>#NAME?</v>
      </c>
      <c r="T4" s="82" t="e">
        <f t="shared" ref="T4:T9" ca="1" si="7">IF(R4="Y",1.65+$AI$4,IF(S4="Subordinated",3.4+$AI$4,2.15+$AI$4))</f>
        <v>#NAME?</v>
      </c>
      <c r="U4" s="82" t="e">
        <f ca="1">_xll.BDP($C4,"CHG_PCT_1D")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I4" s="189">
        <v>0</v>
      </c>
    </row>
    <row r="5" spans="1:35" s="103" customFormat="1" x14ac:dyDescent="0.2">
      <c r="A5" s="103" t="s">
        <v>663</v>
      </c>
      <c r="B5" s="116" t="e">
        <f ca="1">_xll.BDP(C5,"SECURITY_NAME")</f>
        <v>#NAME?</v>
      </c>
      <c r="C5" s="118" t="s">
        <v>449</v>
      </c>
      <c r="D5" s="119" t="e">
        <f t="shared" ca="1" si="0"/>
        <v>#NAME?</v>
      </c>
      <c r="E5" s="120">
        <v>500000</v>
      </c>
      <c r="F5" s="186">
        <v>98.5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1"/>
        <v>#NAME?</v>
      </c>
      <c r="J5" s="119" t="e">
        <f t="shared" ca="1" si="2"/>
        <v>#NAME?</v>
      </c>
      <c r="K5" s="120" t="e">
        <f ca="1">$K$51</f>
        <v>#NAME?</v>
      </c>
      <c r="L5" s="120">
        <f t="shared" si="3"/>
        <v>492500</v>
      </c>
      <c r="M5" s="120" t="e">
        <f t="shared" ca="1" si="4"/>
        <v>#NAME?</v>
      </c>
      <c r="N5" s="120" t="e">
        <f t="shared" ca="1" si="5"/>
        <v>#NAME?</v>
      </c>
      <c r="O5" s="123" t="e">
        <f t="shared" ca="1" si="6"/>
        <v>#NAME?</v>
      </c>
      <c r="P5" s="123" t="e">
        <f t="shared" ca="1" si="6"/>
        <v>#NAME?</v>
      </c>
      <c r="Q5" s="268" t="e">
        <f ca="1">_xll.BDP($C5 &amp; " Corp", "YLD_YTM_ASK")</f>
        <v>#NAME?</v>
      </c>
      <c r="R5" s="406" t="e">
        <f ca="1">_xll.BDP($C5 &amp; " Corp", "RUSSIAN_CB_LOMBARD")</f>
        <v>#NAME?</v>
      </c>
      <c r="S5" s="125" t="e">
        <f ca="1">_xll.BDP($C5 &amp; " Corp", "PAYMENT_RANK")</f>
        <v>#NAME?</v>
      </c>
      <c r="T5" s="351" t="e">
        <f t="shared" ca="1" si="7"/>
        <v>#NAME?</v>
      </c>
      <c r="U5" s="82" t="e">
        <f ca="1">_xll.BDP($C5,"CHG_PCT_1D")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</row>
    <row r="6" spans="1:35" s="103" customFormat="1" x14ac:dyDescent="0.2">
      <c r="A6" s="103" t="s">
        <v>663</v>
      </c>
      <c r="B6" s="116" t="e">
        <f ca="1">_xll.BDP(C6,"SECURITY_NAME")</f>
        <v>#NAME?</v>
      </c>
      <c r="C6" s="118" t="s">
        <v>376</v>
      </c>
      <c r="D6" s="119" t="e">
        <f t="shared" ca="1" si="0"/>
        <v>#NAME?</v>
      </c>
      <c r="E6" s="120">
        <v>1000000</v>
      </c>
      <c r="F6" s="186">
        <v>98.25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1"/>
        <v>#NAME?</v>
      </c>
      <c r="J6" s="119" t="e">
        <f t="shared" ca="1" si="2"/>
        <v>#NAME?</v>
      </c>
      <c r="K6" s="120" t="e">
        <f ca="1">$K$43</f>
        <v>#NAME?</v>
      </c>
      <c r="L6" s="120">
        <f t="shared" si="3"/>
        <v>982500</v>
      </c>
      <c r="M6" s="120" t="e">
        <f t="shared" ca="1" si="4"/>
        <v>#NAME?</v>
      </c>
      <c r="N6" s="120" t="e">
        <f t="shared" ca="1" si="5"/>
        <v>#NAME?</v>
      </c>
      <c r="O6" s="123" t="e">
        <f t="shared" ca="1" si="6"/>
        <v>#NAME?</v>
      </c>
      <c r="P6" s="123" t="e">
        <f t="shared" ca="1" si="6"/>
        <v>#NAME?</v>
      </c>
      <c r="Q6" s="268" t="e">
        <f ca="1">_xll.BDP($C6 &amp; " Corp", "YLD_YTM_ASK")</f>
        <v>#NAME?</v>
      </c>
      <c r="R6" s="406" t="e">
        <f ca="1">_xll.BDP($C6 &amp; " Corp", "RUSSIAN_CB_LOMBARD")</f>
        <v>#NAME?</v>
      </c>
      <c r="S6" s="125" t="e">
        <f ca="1">_xll.BDP($C6 &amp; " Corp", "PAYMENT_RANK")</f>
        <v>#NAME?</v>
      </c>
      <c r="T6" s="82" t="e">
        <f t="shared" ca="1" si="7"/>
        <v>#NAME?</v>
      </c>
      <c r="U6" s="82" t="e">
        <f ca="1">_xll.BDP($C6,"CHG_PCT_1D")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</row>
    <row r="7" spans="1:35" s="103" customFormat="1" x14ac:dyDescent="0.2">
      <c r="A7" s="103" t="s">
        <v>663</v>
      </c>
      <c r="B7" s="116" t="e">
        <f ca="1">_xll.BDP(C7,"SECURITY_NAME")</f>
        <v>#NAME?</v>
      </c>
      <c r="C7" s="118" t="s">
        <v>378</v>
      </c>
      <c r="D7" s="119" t="e">
        <f t="shared" ca="1" si="0"/>
        <v>#NAME?</v>
      </c>
      <c r="E7" s="120">
        <v>1000000</v>
      </c>
      <c r="F7" s="186">
        <v>89.25</v>
      </c>
      <c r="G7" s="181" t="e">
        <f ca="1">_xll.BDP(C7,"PX LAST")</f>
        <v>#NAME?</v>
      </c>
      <c r="H7" s="182" t="e">
        <f ca="1">_xll.BDP($C7,"CRNCY")</f>
        <v>#NAME?</v>
      </c>
      <c r="I7" s="119" t="e">
        <f t="shared" ca="1" si="1"/>
        <v>#NAME?</v>
      </c>
      <c r="J7" s="119" t="e">
        <f t="shared" ca="1" si="2"/>
        <v>#NAME?</v>
      </c>
      <c r="K7" s="120" t="e">
        <f ca="1">$K$40</f>
        <v>#NAME?</v>
      </c>
      <c r="L7" s="120">
        <f t="shared" si="3"/>
        <v>892500</v>
      </c>
      <c r="M7" s="120" t="e">
        <f t="shared" ca="1" si="4"/>
        <v>#NAME?</v>
      </c>
      <c r="N7" s="120" t="e">
        <f t="shared" ca="1" si="5"/>
        <v>#NAME?</v>
      </c>
      <c r="O7" s="123" t="e">
        <f t="shared" ca="1" si="6"/>
        <v>#NAME?</v>
      </c>
      <c r="P7" s="123" t="e">
        <f t="shared" ca="1" si="6"/>
        <v>#NAME?</v>
      </c>
      <c r="Q7" s="268" t="e">
        <f ca="1">_xll.BDP($C7 &amp; " Corp", "YLD_YTM_ASK")</f>
        <v>#NAME?</v>
      </c>
      <c r="R7" s="406" t="e">
        <f ca="1">_xll.BDP($C7 &amp; " Corp", "RUSSIAN_CB_LOMBARD")</f>
        <v>#NAME?</v>
      </c>
      <c r="S7" s="125" t="e">
        <f ca="1">_xll.BDP($C7 &amp; " Corp", "PAYMENT_RANK")</f>
        <v>#NAME?</v>
      </c>
      <c r="T7" s="82" t="e">
        <f t="shared" ca="1" si="7"/>
        <v>#NAME?</v>
      </c>
      <c r="U7" s="82" t="e">
        <f ca="1">_xll.BDP($C7,"CHG_PCT_1D")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</row>
    <row r="8" spans="1:35" s="103" customFormat="1" x14ac:dyDescent="0.2">
      <c r="A8" s="103" t="s">
        <v>663</v>
      </c>
      <c r="B8" s="116" t="e">
        <f ca="1">_xll.BDP(C8,"SECURITY_NAME")</f>
        <v>#NAME?</v>
      </c>
      <c r="C8" s="118" t="s">
        <v>225</v>
      </c>
      <c r="D8" s="119" t="e">
        <f t="shared" ca="1" si="0"/>
        <v>#NAME?</v>
      </c>
      <c r="E8" s="120">
        <v>910000</v>
      </c>
      <c r="F8" s="186">
        <v>92.5</v>
      </c>
      <c r="G8" s="181" t="e">
        <f ca="1">_xll.BDP(C8,"PX LAST")</f>
        <v>#NAME?</v>
      </c>
      <c r="H8" s="182" t="e">
        <f ca="1">_xll.BDP($C8,"CRNCY")</f>
        <v>#NAME?</v>
      </c>
      <c r="I8" s="119" t="e">
        <f t="shared" ca="1" si="1"/>
        <v>#NAME?</v>
      </c>
      <c r="J8" s="119" t="e">
        <f t="shared" ca="1" si="2"/>
        <v>#NAME?</v>
      </c>
      <c r="K8" s="120" t="e">
        <f ca="1">$K$57</f>
        <v>#NAME?</v>
      </c>
      <c r="L8" s="120">
        <f t="shared" si="3"/>
        <v>841750</v>
      </c>
      <c r="M8" s="120" t="e">
        <f t="shared" ca="1" si="4"/>
        <v>#NAME?</v>
      </c>
      <c r="N8" s="120" t="e">
        <f t="shared" ca="1" si="5"/>
        <v>#NAME?</v>
      </c>
      <c r="O8" s="123" t="e">
        <f t="shared" ca="1" si="6"/>
        <v>#NAME?</v>
      </c>
      <c r="P8" s="123" t="e">
        <f t="shared" ca="1" si="6"/>
        <v>#NAME?</v>
      </c>
      <c r="Q8" s="268" t="e">
        <f ca="1">_xll.BDP($C8 &amp; " Corp", "YLD_YTM_ASK")</f>
        <v>#NAME?</v>
      </c>
      <c r="R8" s="406" t="e">
        <f ca="1">_xll.BDP($C8 &amp; " Corp", "RUSSIAN_CB_LOMBARD")</f>
        <v>#NAME?</v>
      </c>
      <c r="S8" s="125" t="e">
        <f ca="1">_xll.BDP($C8 &amp; " Corp", "PAYMENT_RANK")</f>
        <v>#NAME?</v>
      </c>
      <c r="T8" s="82" t="e">
        <f t="shared" ca="1" si="7"/>
        <v>#NAME?</v>
      </c>
      <c r="U8" s="82" t="e">
        <f ca="1">_xll.BDP($C8,"CHG_PCT_1D")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</row>
    <row r="9" spans="1:35" s="103" customFormat="1" x14ac:dyDescent="0.2">
      <c r="A9" s="103" t="s">
        <v>663</v>
      </c>
      <c r="B9" s="116" t="e">
        <f ca="1">_xll.BDP(C9,"SECURITY_NAME")</f>
        <v>#NAME?</v>
      </c>
      <c r="C9" s="118" t="s">
        <v>710</v>
      </c>
      <c r="D9" s="119" t="e">
        <f t="shared" ca="1" si="0"/>
        <v>#NAME?</v>
      </c>
      <c r="E9" s="120">
        <v>1000000</v>
      </c>
      <c r="F9" s="186">
        <v>97.4</v>
      </c>
      <c r="G9" s="181" t="e">
        <f ca="1">_xll.BDP(C9,"PX LAST")</f>
        <v>#NAME?</v>
      </c>
      <c r="H9" s="182" t="e">
        <f ca="1">_xll.BDP($C9,"CRNCY")</f>
        <v>#NAME?</v>
      </c>
      <c r="I9" s="119" t="e">
        <f t="shared" ca="1" si="1"/>
        <v>#NAME?</v>
      </c>
      <c r="J9" s="119" t="e">
        <f t="shared" ca="1" si="2"/>
        <v>#NAME?</v>
      </c>
      <c r="K9" s="120" t="e">
        <f ca="1">$K$54</f>
        <v>#NAME?</v>
      </c>
      <c r="L9" s="120">
        <f t="shared" si="3"/>
        <v>974000</v>
      </c>
      <c r="M9" s="120" t="e">
        <f t="shared" ca="1" si="4"/>
        <v>#NAME?</v>
      </c>
      <c r="N9" s="120" t="e">
        <f t="shared" ca="1" si="5"/>
        <v>#NAME?</v>
      </c>
      <c r="O9" s="123" t="e">
        <f t="shared" ca="1" si="6"/>
        <v>#NAME?</v>
      </c>
      <c r="P9" s="123" t="e">
        <f t="shared" ca="1" si="6"/>
        <v>#NAME?</v>
      </c>
      <c r="Q9" s="268" t="e">
        <f ca="1">_xll.BDP($C9 &amp; " Corp", "YLD_YTM_ASK")</f>
        <v>#NAME?</v>
      </c>
      <c r="R9" s="406" t="e">
        <f ca="1">_xll.BDP($C9 &amp; " Corp", "RUSSIAN_CB_LOMBARD")</f>
        <v>#NAME?</v>
      </c>
      <c r="S9" s="125" t="e">
        <f ca="1">_xll.BDP($C9 &amp; " Corp", "PAYMENT_RANK")</f>
        <v>#NAME?</v>
      </c>
      <c r="T9" s="82" t="e">
        <f t="shared" ca="1" si="7"/>
        <v>#NAME?</v>
      </c>
      <c r="U9" s="82" t="e">
        <f ca="1">_xll.BDP($C9,"CHG_PCT_1D")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</row>
    <row r="10" spans="1:35" x14ac:dyDescent="0.2">
      <c r="B10" s="68" t="s">
        <v>106</v>
      </c>
      <c r="C10" s="68" t="s">
        <v>106</v>
      </c>
      <c r="D10" s="101" t="e">
        <f t="shared" ca="1" si="0"/>
        <v>#NAME?</v>
      </c>
      <c r="E10" s="101"/>
      <c r="F10" s="101"/>
      <c r="G10" s="66"/>
      <c r="H10" s="177"/>
      <c r="I10" s="179"/>
      <c r="J10" s="179"/>
      <c r="K10" s="178"/>
      <c r="L10" s="177"/>
      <c r="M10" s="178"/>
      <c r="N10" s="64">
        <v>34751</v>
      </c>
      <c r="O10" s="62"/>
      <c r="P10" s="62"/>
      <c r="Q10" s="62"/>
      <c r="R10" s="177"/>
      <c r="S10" s="177"/>
      <c r="T10" s="177"/>
      <c r="U10" s="177"/>
      <c r="V10" s="177"/>
      <c r="W10" s="177"/>
      <c r="X10" s="177"/>
      <c r="Y10" s="177"/>
      <c r="Z10" s="177"/>
    </row>
    <row r="11" spans="1:35" ht="13.5" customHeight="1" thickBot="1" x14ac:dyDescent="0.25">
      <c r="B11" s="175"/>
      <c r="C11" s="175"/>
      <c r="D11" s="59" t="e">
        <f ca="1">SUM(D4:D10)</f>
        <v>#NAME?</v>
      </c>
      <c r="E11" s="176"/>
      <c r="F11" s="176"/>
      <c r="G11" s="175"/>
      <c r="H11" s="55"/>
      <c r="I11" s="175"/>
      <c r="J11" s="175"/>
      <c r="K11" s="184" t="e">
        <f t="shared" ref="K11:P11" ca="1" si="8">SUM(K4:K10)</f>
        <v>#NAME?</v>
      </c>
      <c r="L11" s="184">
        <f t="shared" si="8"/>
        <v>4869950</v>
      </c>
      <c r="M11" s="184" t="e">
        <f t="shared" ca="1" si="8"/>
        <v>#NAME?</v>
      </c>
      <c r="N11" s="184" t="e">
        <f t="shared" ca="1" si="8"/>
        <v>#NAME?</v>
      </c>
      <c r="O11" s="184" t="e">
        <f t="shared" ca="1" si="8"/>
        <v>#NAME?</v>
      </c>
      <c r="P11" s="184" t="e">
        <f t="shared" ca="1" si="8"/>
        <v>#NAME?</v>
      </c>
      <c r="Q11" s="397" t="e">
        <f ca="1">SUMPRODUCT(D4:D9,Q4:Q9)</f>
        <v>#NAME?</v>
      </c>
      <c r="R11" s="55"/>
      <c r="S11" s="55"/>
      <c r="T11" s="55"/>
      <c r="U11" s="55"/>
      <c r="V11" s="55"/>
      <c r="W11" s="55"/>
      <c r="X11" s="55"/>
      <c r="Y11" s="55"/>
      <c r="Z11" s="55"/>
    </row>
    <row r="12" spans="1:35" ht="13.5" customHeight="1" x14ac:dyDescent="0.2">
      <c r="B12" s="35"/>
      <c r="C12" s="35"/>
      <c r="D12" s="54"/>
      <c r="E12" s="46"/>
      <c r="F12" s="46"/>
      <c r="G12" s="35"/>
      <c r="H12" s="35"/>
      <c r="I12" s="40"/>
      <c r="J12" s="40"/>
      <c r="K12" s="40"/>
      <c r="L12" s="130"/>
      <c r="M12" s="52"/>
      <c r="N12" s="53"/>
      <c r="O12" s="98" t="e">
        <f ca="1">$M$11/K11-1</f>
        <v>#NAME?</v>
      </c>
      <c r="P12" s="98" t="e">
        <f ca="1">$N$11/L11-1</f>
        <v>#NAME?</v>
      </c>
    </row>
    <row r="13" spans="1:35" x14ac:dyDescent="0.2">
      <c r="E13" s="155"/>
      <c r="K13" s="30"/>
      <c r="L13" s="148"/>
      <c r="M13" s="35"/>
      <c r="N13" s="34"/>
      <c r="O13" s="34"/>
      <c r="P13" s="30"/>
    </row>
    <row r="14" spans="1:35" x14ac:dyDescent="0.2">
      <c r="B14" s="32" t="s">
        <v>717</v>
      </c>
      <c r="E14" s="155"/>
      <c r="M14" s="35"/>
      <c r="N14" s="34"/>
      <c r="O14" s="34"/>
      <c r="P14" s="30"/>
    </row>
    <row r="15" spans="1:35" x14ac:dyDescent="0.2">
      <c r="E15" s="155"/>
      <c r="M15" s="35"/>
      <c r="N15" s="34"/>
      <c r="O15" s="34"/>
      <c r="P15" s="30"/>
    </row>
    <row r="16" spans="1:35" ht="63.75" x14ac:dyDescent="0.2">
      <c r="B16" s="395" t="s">
        <v>105</v>
      </c>
      <c r="C16" s="396" t="s">
        <v>104</v>
      </c>
      <c r="D16" s="396" t="s">
        <v>120</v>
      </c>
      <c r="E16" s="396" t="s">
        <v>119</v>
      </c>
      <c r="F16" s="396" t="s">
        <v>100</v>
      </c>
      <c r="G16" s="396" t="s">
        <v>118</v>
      </c>
      <c r="H16" s="396" t="s">
        <v>97</v>
      </c>
      <c r="I16" s="396" t="s">
        <v>401</v>
      </c>
      <c r="J16" s="396" t="s">
        <v>138</v>
      </c>
      <c r="K16" s="396" t="s">
        <v>407</v>
      </c>
      <c r="L16" s="396" t="s">
        <v>127</v>
      </c>
      <c r="M16" s="396" t="s">
        <v>115</v>
      </c>
      <c r="N16" s="396" t="s">
        <v>114</v>
      </c>
      <c r="O16" s="396" t="s">
        <v>111</v>
      </c>
      <c r="P16" s="396" t="s">
        <v>112</v>
      </c>
      <c r="Q16" s="396" t="s">
        <v>713</v>
      </c>
      <c r="R16" s="394" t="s">
        <v>712</v>
      </c>
      <c r="S16" s="394" t="s">
        <v>714</v>
      </c>
      <c r="T16" s="394" t="s">
        <v>716</v>
      </c>
      <c r="U16" s="394" t="s">
        <v>110</v>
      </c>
      <c r="V16" s="394" t="s">
        <v>128</v>
      </c>
      <c r="W16" s="394" t="s">
        <v>129</v>
      </c>
      <c r="X16" s="394" t="s">
        <v>130</v>
      </c>
      <c r="Y16" s="394" t="s">
        <v>131</v>
      </c>
      <c r="Z16" s="394" t="s">
        <v>132</v>
      </c>
      <c r="AA16" s="394" t="s">
        <v>233</v>
      </c>
      <c r="AB16" s="394" t="s">
        <v>406</v>
      </c>
      <c r="AC16" s="394" t="s">
        <v>405</v>
      </c>
      <c r="AD16" s="394" t="s">
        <v>404</v>
      </c>
      <c r="AE16" s="394" t="s">
        <v>403</v>
      </c>
    </row>
    <row r="17" spans="2:31" x14ac:dyDescent="0.2">
      <c r="B17" s="46" t="e">
        <f ca="1">_xll.BDP(C17,"SECURITY_NAME")</f>
        <v>#NAME?</v>
      </c>
      <c r="C17" s="103" t="s">
        <v>709</v>
      </c>
      <c r="D17" s="44" t="e">
        <f t="shared" ref="D17:D23" ca="1" si="9">N17/$N$11</f>
        <v>#NAME?</v>
      </c>
      <c r="E17" s="43">
        <v>700000</v>
      </c>
      <c r="F17" s="188">
        <v>98.1</v>
      </c>
      <c r="G17" s="38" t="e">
        <f ca="1">_xll.BDP(C17,"PX LAST")</f>
        <v>#NAME?</v>
      </c>
      <c r="H17" s="106" t="e">
        <f ca="1">_xll.BDP($C17,"CRNCY")</f>
        <v>#NAME?</v>
      </c>
      <c r="I17" s="44" t="e">
        <f t="shared" ref="I17:I22" ca="1" si="10">M17/K17-1</f>
        <v>#NAME?</v>
      </c>
      <c r="J17" s="44" t="e">
        <f t="shared" ref="J17:J22" ca="1" si="11">G17/F17-1</f>
        <v>#NAME?</v>
      </c>
      <c r="K17" s="43" t="e">
        <f ca="1">$K$48</f>
        <v>#NAME?</v>
      </c>
      <c r="L17" s="43">
        <f t="shared" ref="L17:L22" si="12">E17*F17/100</f>
        <v>686700</v>
      </c>
      <c r="M17" s="43" t="e">
        <f t="shared" ref="M17:M22" ca="1" si="13">N17*$I$1</f>
        <v>#NAME?</v>
      </c>
      <c r="N17" s="43" t="e">
        <f t="shared" ref="N17:N22" ca="1" si="14">E17*G17/100</f>
        <v>#NAME?</v>
      </c>
      <c r="O17" s="142" t="e">
        <f t="shared" ref="O17:O22" ca="1" si="15">M17-K17</f>
        <v>#NAME?</v>
      </c>
      <c r="P17" s="142" t="e">
        <f t="shared" ref="P17:P22" ca="1" si="16">N17-L17</f>
        <v>#NAME?</v>
      </c>
      <c r="Q17" s="392" t="e">
        <f ca="1">(_xll.BDP($C17 &amp; " Corp", "YLD_YTM_ASK"))</f>
        <v>#NAME?</v>
      </c>
      <c r="R17" s="393" t="e">
        <f ca="1">_xll.BDP($C17 &amp; " Corp", "RUSSIAN_CB_LOMBARD")</f>
        <v>#NAME?</v>
      </c>
      <c r="S17" s="82" t="e">
        <f ca="1">_xll.BDP($C17 &amp; " Corp", "PAYMENT_RANK")</f>
        <v>#NAME?</v>
      </c>
      <c r="T17" s="82" t="e">
        <f t="shared" ref="T17:T22" ca="1" si="17">IF(R17="Y",1.65+$AI$4,IF(S17="Subordinated",3.4+$AI$4,2.15+$AI$4))</f>
        <v>#NAME?</v>
      </c>
      <c r="U17" s="82" t="e">
        <f ca="1">_xll.BDP($C17,"CHG_PCT_1D")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189"/>
      <c r="AC17" s="189"/>
      <c r="AD17" s="189"/>
      <c r="AE17" s="189"/>
    </row>
    <row r="18" spans="2:31" x14ac:dyDescent="0.2">
      <c r="B18" s="46" t="e">
        <f ca="1">_xll.BDP(C18,"SECURITY_NAME")</f>
        <v>#NAME?</v>
      </c>
      <c r="C18" s="103" t="s">
        <v>449</v>
      </c>
      <c r="D18" s="44" t="e">
        <f t="shared" ca="1" si="9"/>
        <v>#NAME?</v>
      </c>
      <c r="E18" s="43">
        <v>500000</v>
      </c>
      <c r="F18" s="188">
        <v>98.5</v>
      </c>
      <c r="G18" s="38" t="e">
        <f ca="1">_xll.BDP(C18,"PX LAST")</f>
        <v>#NAME?</v>
      </c>
      <c r="H18" s="106" t="e">
        <f ca="1">_xll.BDP($C18,"CRNCY")</f>
        <v>#NAME?</v>
      </c>
      <c r="I18" s="44" t="e">
        <f t="shared" ca="1" si="10"/>
        <v>#NAME?</v>
      </c>
      <c r="J18" s="44" t="e">
        <f t="shared" ca="1" si="11"/>
        <v>#NAME?</v>
      </c>
      <c r="K18" s="43" t="e">
        <f ca="1">$K$51</f>
        <v>#NAME?</v>
      </c>
      <c r="L18" s="43">
        <f t="shared" si="12"/>
        <v>492500</v>
      </c>
      <c r="M18" s="43" t="e">
        <f t="shared" ca="1" si="13"/>
        <v>#NAME?</v>
      </c>
      <c r="N18" s="43" t="e">
        <f t="shared" ca="1" si="14"/>
        <v>#NAME?</v>
      </c>
      <c r="O18" s="142" t="e">
        <f t="shared" ca="1" si="15"/>
        <v>#NAME?</v>
      </c>
      <c r="P18" s="142" t="e">
        <f t="shared" ca="1" si="16"/>
        <v>#NAME?</v>
      </c>
      <c r="Q18" s="391" t="e">
        <f ca="1">(_xll.BDP($C18 &amp; " Corp", "YLD_YTM_ASK"))*1.7-T18*0.7</f>
        <v>#NAME?</v>
      </c>
      <c r="R18" s="393" t="e">
        <f ca="1">_xll.BDP($C18 &amp; " Corp", "RUSSIAN_CB_LOMBARD")</f>
        <v>#NAME?</v>
      </c>
      <c r="S18" s="82" t="e">
        <f ca="1">_xll.BDP($C18 &amp; " Corp", "PAYMENT_RANK")</f>
        <v>#NAME?</v>
      </c>
      <c r="T18" s="82" t="e">
        <f t="shared" ca="1" si="17"/>
        <v>#NAME?</v>
      </c>
      <c r="U18" s="82" t="e">
        <f ca="1">_xll.BDP($C18,"CHG_PCT_1D")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103"/>
      <c r="AC18" s="103"/>
      <c r="AD18" s="103"/>
      <c r="AE18" s="103"/>
    </row>
    <row r="19" spans="2:31" x14ac:dyDescent="0.2">
      <c r="B19" s="46" t="e">
        <f ca="1">_xll.BDP(C19,"SECURITY_NAME")</f>
        <v>#NAME?</v>
      </c>
      <c r="C19" s="103" t="s">
        <v>376</v>
      </c>
      <c r="D19" s="44" t="e">
        <f t="shared" ca="1" si="9"/>
        <v>#NAME?</v>
      </c>
      <c r="E19" s="43">
        <v>1000000</v>
      </c>
      <c r="F19" s="188">
        <v>98.25</v>
      </c>
      <c r="G19" s="38" t="e">
        <f ca="1">_xll.BDP(C19,"PX LAST")</f>
        <v>#NAME?</v>
      </c>
      <c r="H19" s="106" t="e">
        <f ca="1">_xll.BDP($C19,"CRNCY")</f>
        <v>#NAME?</v>
      </c>
      <c r="I19" s="44" t="e">
        <f t="shared" ca="1" si="10"/>
        <v>#NAME?</v>
      </c>
      <c r="J19" s="44" t="e">
        <f t="shared" ca="1" si="11"/>
        <v>#NAME?</v>
      </c>
      <c r="K19" s="43" t="e">
        <f ca="1">$K$43</f>
        <v>#NAME?</v>
      </c>
      <c r="L19" s="43">
        <f t="shared" si="12"/>
        <v>982500</v>
      </c>
      <c r="M19" s="43" t="e">
        <f t="shared" ca="1" si="13"/>
        <v>#NAME?</v>
      </c>
      <c r="N19" s="43" t="e">
        <f t="shared" ca="1" si="14"/>
        <v>#NAME?</v>
      </c>
      <c r="O19" s="142" t="e">
        <f t="shared" ca="1" si="15"/>
        <v>#NAME?</v>
      </c>
      <c r="P19" s="142" t="e">
        <f t="shared" ca="1" si="16"/>
        <v>#NAME?</v>
      </c>
      <c r="Q19" s="391" t="e">
        <f ca="1">(_xll.BDP($C19 &amp; " Corp", "YLD_YTM_ASK"))*1.7-T19*0.7</f>
        <v>#NAME?</v>
      </c>
      <c r="R19" s="393" t="e">
        <f ca="1">_xll.BDP($C19 &amp; " Corp", "RUSSIAN_CB_LOMBARD")</f>
        <v>#NAME?</v>
      </c>
      <c r="S19" s="82" t="e">
        <f ca="1">_xll.BDP($C19 &amp; " Corp", "PAYMENT_RANK")</f>
        <v>#NAME?</v>
      </c>
      <c r="T19" s="82" t="e">
        <f t="shared" ca="1" si="17"/>
        <v>#NAME?</v>
      </c>
      <c r="U19" s="82" t="e">
        <f ca="1">_xll.BDP($C19,"CHG_PCT_1D")</f>
        <v>#NAME?</v>
      </c>
      <c r="V19" s="82" t="e">
        <f ca="1">_xll.BDP($C19,"CHG_PCT_YTD")</f>
        <v>#NAME?</v>
      </c>
      <c r="W19" s="82" t="e">
        <f ca="1">_xll.BDP($C19,"CHG_PCT_1YR")</f>
        <v>#NAME?</v>
      </c>
      <c r="X19" s="82" t="e">
        <f ca="1">_xll.BDP($C19,"CHG_PCT_6M")</f>
        <v>#NAME?</v>
      </c>
      <c r="Y19" s="82" t="e">
        <f ca="1">_xll.BDP($C19,"CHG_PCT_3M")</f>
        <v>#NAME?</v>
      </c>
      <c r="Z19" s="82" t="e">
        <f ca="1">_xll.BDP($C19,"CHG_PCT_1M")</f>
        <v>#NAME?</v>
      </c>
      <c r="AA19" s="82" t="e">
        <f ca="1">_xll.BDP($C19,"CHG_PCT_5D")</f>
        <v>#NAME?</v>
      </c>
      <c r="AB19" s="103"/>
      <c r="AC19" s="103"/>
      <c r="AD19" s="103"/>
      <c r="AE19" s="103"/>
    </row>
    <row r="20" spans="2:31" x14ac:dyDescent="0.2">
      <c r="B20" s="46" t="e">
        <f ca="1">_xll.BDP(C20,"SECURITY_NAME")</f>
        <v>#NAME?</v>
      </c>
      <c r="C20" s="103" t="s">
        <v>378</v>
      </c>
      <c r="D20" s="44" t="e">
        <f t="shared" ca="1" si="9"/>
        <v>#NAME?</v>
      </c>
      <c r="E20" s="43">
        <v>1000000</v>
      </c>
      <c r="F20" s="188">
        <v>89.25</v>
      </c>
      <c r="G20" s="38" t="e">
        <f ca="1">_xll.BDP(C20,"PX LAST")</f>
        <v>#NAME?</v>
      </c>
      <c r="H20" s="106" t="e">
        <f ca="1">_xll.BDP($C20,"CRNCY")</f>
        <v>#NAME?</v>
      </c>
      <c r="I20" s="44" t="e">
        <f t="shared" ca="1" si="10"/>
        <v>#NAME?</v>
      </c>
      <c r="J20" s="44" t="e">
        <f t="shared" ca="1" si="11"/>
        <v>#NAME?</v>
      </c>
      <c r="K20" s="43" t="e">
        <f ca="1">$K$40</f>
        <v>#NAME?</v>
      </c>
      <c r="L20" s="43">
        <f t="shared" si="12"/>
        <v>892500</v>
      </c>
      <c r="M20" s="43" t="e">
        <f t="shared" ca="1" si="13"/>
        <v>#NAME?</v>
      </c>
      <c r="N20" s="43" t="e">
        <f t="shared" ca="1" si="14"/>
        <v>#NAME?</v>
      </c>
      <c r="O20" s="142" t="e">
        <f t="shared" ca="1" si="15"/>
        <v>#NAME?</v>
      </c>
      <c r="P20" s="142" t="e">
        <f t="shared" ca="1" si="16"/>
        <v>#NAME?</v>
      </c>
      <c r="Q20" s="391" t="e">
        <f ca="1">(_xll.BDP($C20 &amp; " Corp", "YLD_YTM_ASK"))*1.7-T20*0.7</f>
        <v>#NAME?</v>
      </c>
      <c r="R20" s="393" t="e">
        <f ca="1">_xll.BDP($C20 &amp; " Corp", "RUSSIAN_CB_LOMBARD")</f>
        <v>#NAME?</v>
      </c>
      <c r="S20" s="82" t="e">
        <f ca="1">_xll.BDP($C20 &amp; " Corp", "PAYMENT_RANK")</f>
        <v>#NAME?</v>
      </c>
      <c r="T20" s="82" t="e">
        <f t="shared" ca="1" si="17"/>
        <v>#NAME?</v>
      </c>
      <c r="U20" s="82" t="e">
        <f ca="1">_xll.BDP($C20,"CHG_PCT_1D")</f>
        <v>#NAME?</v>
      </c>
      <c r="V20" s="82" t="e">
        <f ca="1">_xll.BDP($C20,"CHG_PCT_YTD")</f>
        <v>#NAME?</v>
      </c>
      <c r="W20" s="82" t="e">
        <f ca="1">_xll.BDP($C20,"CHG_PCT_1YR")</f>
        <v>#NAME?</v>
      </c>
      <c r="X20" s="82" t="e">
        <f ca="1">_xll.BDP($C20,"CHG_PCT_6M")</f>
        <v>#NAME?</v>
      </c>
      <c r="Y20" s="82" t="e">
        <f ca="1">_xll.BDP($C20,"CHG_PCT_3M")</f>
        <v>#NAME?</v>
      </c>
      <c r="Z20" s="82" t="e">
        <f ca="1">_xll.BDP($C20,"CHG_PCT_1M")</f>
        <v>#NAME?</v>
      </c>
      <c r="AA20" s="82" t="e">
        <f ca="1">_xll.BDP($C20,"CHG_PCT_5D")</f>
        <v>#NAME?</v>
      </c>
      <c r="AB20" s="103"/>
      <c r="AC20" s="103"/>
      <c r="AD20" s="103"/>
      <c r="AE20" s="103"/>
    </row>
    <row r="21" spans="2:31" x14ac:dyDescent="0.2">
      <c r="B21" s="46" t="e">
        <f ca="1">_xll.BDP(C21,"SECURITY_NAME")</f>
        <v>#NAME?</v>
      </c>
      <c r="C21" s="103" t="s">
        <v>225</v>
      </c>
      <c r="D21" s="44" t="e">
        <f t="shared" ca="1" si="9"/>
        <v>#NAME?</v>
      </c>
      <c r="E21" s="43">
        <v>910000</v>
      </c>
      <c r="F21" s="188">
        <v>92.5</v>
      </c>
      <c r="G21" s="38" t="e">
        <f ca="1">_xll.BDP(C21,"PX LAST")</f>
        <v>#NAME?</v>
      </c>
      <c r="H21" s="106" t="e">
        <f ca="1">_xll.BDP($C21,"CRNCY")</f>
        <v>#NAME?</v>
      </c>
      <c r="I21" s="44" t="e">
        <f t="shared" ca="1" si="10"/>
        <v>#NAME?</v>
      </c>
      <c r="J21" s="44" t="e">
        <f t="shared" ca="1" si="11"/>
        <v>#NAME?</v>
      </c>
      <c r="K21" s="43" t="e">
        <f ca="1">$K$57</f>
        <v>#NAME?</v>
      </c>
      <c r="L21" s="43">
        <f t="shared" si="12"/>
        <v>841750</v>
      </c>
      <c r="M21" s="43" t="e">
        <f t="shared" ca="1" si="13"/>
        <v>#NAME?</v>
      </c>
      <c r="N21" s="43" t="e">
        <f t="shared" ca="1" si="14"/>
        <v>#NAME?</v>
      </c>
      <c r="O21" s="142" t="e">
        <f t="shared" ca="1" si="15"/>
        <v>#NAME?</v>
      </c>
      <c r="P21" s="142" t="e">
        <f t="shared" ca="1" si="16"/>
        <v>#NAME?</v>
      </c>
      <c r="Q21" s="391" t="e">
        <f ca="1">(_xll.BDP($C21 &amp; " Corp", "YLD_YTM_ASK"))*1.7-T21*0.7</f>
        <v>#NAME?</v>
      </c>
      <c r="R21" s="393" t="e">
        <f ca="1">_xll.BDP($C21 &amp; " Corp", "RUSSIAN_CB_LOMBARD")</f>
        <v>#NAME?</v>
      </c>
      <c r="S21" s="82" t="e">
        <f ca="1">_xll.BDP($C21 &amp; " Corp", "PAYMENT_RANK")</f>
        <v>#NAME?</v>
      </c>
      <c r="T21" s="82" t="e">
        <f t="shared" ca="1" si="17"/>
        <v>#NAME?</v>
      </c>
      <c r="U21" s="82" t="e">
        <f ca="1">_xll.BDP($C21,"CHG_PCT_1D")</f>
        <v>#NAME?</v>
      </c>
      <c r="V21" s="82" t="e">
        <f ca="1">_xll.BDP($C21,"CHG_PCT_YTD")</f>
        <v>#NAME?</v>
      </c>
      <c r="W21" s="82" t="e">
        <f ca="1">_xll.BDP($C21,"CHG_PCT_1YR")</f>
        <v>#NAME?</v>
      </c>
      <c r="X21" s="82" t="e">
        <f ca="1">_xll.BDP($C21,"CHG_PCT_6M")</f>
        <v>#NAME?</v>
      </c>
      <c r="Y21" s="82" t="e">
        <f ca="1">_xll.BDP($C21,"CHG_PCT_3M")</f>
        <v>#NAME?</v>
      </c>
      <c r="Z21" s="82" t="e">
        <f ca="1">_xll.BDP($C21,"CHG_PCT_1M")</f>
        <v>#NAME?</v>
      </c>
      <c r="AA21" s="82" t="e">
        <f ca="1">_xll.BDP($C21,"CHG_PCT_5D")</f>
        <v>#NAME?</v>
      </c>
      <c r="AB21" s="103"/>
      <c r="AC21" s="103"/>
      <c r="AD21" s="103"/>
      <c r="AE21" s="103"/>
    </row>
    <row r="22" spans="2:31" x14ac:dyDescent="0.2">
      <c r="B22" s="46" t="e">
        <f ca="1">_xll.BDP(C22,"SECURITY_NAME")</f>
        <v>#NAME?</v>
      </c>
      <c r="C22" s="41" t="s">
        <v>710</v>
      </c>
      <c r="D22" s="44" t="e">
        <f t="shared" ca="1" si="9"/>
        <v>#NAME?</v>
      </c>
      <c r="E22" s="43">
        <v>1000000</v>
      </c>
      <c r="F22" s="188">
        <v>97.4</v>
      </c>
      <c r="G22" s="38" t="e">
        <f ca="1">_xll.BDP(C22,"PX LAST")</f>
        <v>#NAME?</v>
      </c>
      <c r="H22" s="106" t="e">
        <f ca="1">_xll.BDP($C22,"CRNCY")</f>
        <v>#NAME?</v>
      </c>
      <c r="I22" s="44" t="e">
        <f t="shared" ca="1" si="10"/>
        <v>#NAME?</v>
      </c>
      <c r="J22" s="44" t="e">
        <f t="shared" ca="1" si="11"/>
        <v>#NAME?</v>
      </c>
      <c r="K22" s="43" t="e">
        <f ca="1">$K$54</f>
        <v>#NAME?</v>
      </c>
      <c r="L22" s="43">
        <f t="shared" si="12"/>
        <v>974000</v>
      </c>
      <c r="M22" s="43" t="e">
        <f t="shared" ca="1" si="13"/>
        <v>#NAME?</v>
      </c>
      <c r="N22" s="43" t="e">
        <f t="shared" ca="1" si="14"/>
        <v>#NAME?</v>
      </c>
      <c r="O22" s="142" t="e">
        <f t="shared" ca="1" si="15"/>
        <v>#NAME?</v>
      </c>
      <c r="P22" s="142" t="e">
        <f t="shared" ca="1" si="16"/>
        <v>#NAME?</v>
      </c>
      <c r="Q22" s="392" t="e">
        <f ca="1">(_xll.BDP($C22 &amp; " Corp", "YLD_YTM_ASK"))</f>
        <v>#NAME?</v>
      </c>
      <c r="R22" s="393" t="e">
        <f ca="1">_xll.BDP($C22 &amp; " Corp", "RUSSIAN_CB_LOMBARD")</f>
        <v>#NAME?</v>
      </c>
      <c r="S22" s="82" t="e">
        <f ca="1">_xll.BDP($C22 &amp; " Corp", "PAYMENT_RANK")</f>
        <v>#NAME?</v>
      </c>
      <c r="T22" s="82" t="e">
        <f t="shared" ca="1" si="17"/>
        <v>#NAME?</v>
      </c>
      <c r="U22" s="82" t="e">
        <f ca="1">_xll.BDP($C22,"CHG_PCT_1D")</f>
        <v>#NAME?</v>
      </c>
      <c r="V22" s="82" t="e">
        <f ca="1">_xll.BDP($C22,"CHG_PCT_YTD")</f>
        <v>#NAME?</v>
      </c>
      <c r="W22" s="82" t="e">
        <f ca="1">_xll.BDP($C22,"CHG_PCT_1YR")</f>
        <v>#NAME?</v>
      </c>
      <c r="X22" s="82" t="e">
        <f ca="1">_xll.BDP($C22,"CHG_PCT_6M")</f>
        <v>#NAME?</v>
      </c>
      <c r="Y22" s="82" t="e">
        <f ca="1">_xll.BDP($C22,"CHG_PCT_3M")</f>
        <v>#NAME?</v>
      </c>
      <c r="Z22" s="82" t="e">
        <f ca="1">_xll.BDP($C22,"CHG_PCT_1M")</f>
        <v>#NAME?</v>
      </c>
      <c r="AA22" s="82" t="e">
        <f ca="1">_xll.BDP($C22,"CHG_PCT_5D")</f>
        <v>#NAME?</v>
      </c>
      <c r="AB22" s="103"/>
      <c r="AC22" s="103"/>
      <c r="AD22" s="103"/>
      <c r="AE22" s="103"/>
    </row>
    <row r="23" spans="2:31" x14ac:dyDescent="0.2">
      <c r="B23" s="68" t="s">
        <v>106</v>
      </c>
      <c r="C23" s="68" t="s">
        <v>106</v>
      </c>
      <c r="D23" s="101" t="e">
        <f t="shared" ca="1" si="9"/>
        <v>#NAME?</v>
      </c>
      <c r="E23" s="101"/>
      <c r="F23" s="101"/>
      <c r="G23" s="66"/>
      <c r="H23" s="177"/>
      <c r="I23" s="179"/>
      <c r="J23" s="179"/>
      <c r="K23" s="178"/>
      <c r="L23" s="177"/>
      <c r="M23" s="178"/>
      <c r="N23" s="64">
        <v>34751</v>
      </c>
      <c r="O23" s="62"/>
      <c r="P23" s="62"/>
      <c r="Q23" s="62"/>
      <c r="R23" s="177"/>
      <c r="S23" s="177"/>
      <c r="T23" s="177"/>
      <c r="U23" s="177"/>
      <c r="V23" s="177"/>
      <c r="W23" s="177"/>
      <c r="X23" s="177"/>
      <c r="Y23" s="177"/>
      <c r="Z23" s="177"/>
    </row>
    <row r="24" spans="2:31" ht="13.5" thickBot="1" x14ac:dyDescent="0.25">
      <c r="B24" s="175"/>
      <c r="C24" s="175"/>
      <c r="D24" s="59" t="e">
        <f ca="1">SUM(D17:D23)</f>
        <v>#NAME?</v>
      </c>
      <c r="E24" s="176"/>
      <c r="F24" s="176"/>
      <c r="G24" s="175"/>
      <c r="H24" s="55"/>
      <c r="I24" s="175"/>
      <c r="J24" s="175"/>
      <c r="K24" s="184" t="e">
        <f t="shared" ref="K24:P24" ca="1" si="18">SUM(K17:K23)</f>
        <v>#NAME?</v>
      </c>
      <c r="L24" s="184">
        <f t="shared" si="18"/>
        <v>4869950</v>
      </c>
      <c r="M24" s="184" t="e">
        <f t="shared" ca="1" si="18"/>
        <v>#NAME?</v>
      </c>
      <c r="N24" s="184" t="e">
        <f t="shared" ca="1" si="18"/>
        <v>#NAME?</v>
      </c>
      <c r="O24" s="184" t="e">
        <f t="shared" ca="1" si="18"/>
        <v>#NAME?</v>
      </c>
      <c r="P24" s="184" t="e">
        <f t="shared" ca="1" si="18"/>
        <v>#NAME?</v>
      </c>
      <c r="Q24" s="397" t="e">
        <f ca="1">SUMPRODUCT(D17:D22,Q17:Q22)</f>
        <v>#NAME?</v>
      </c>
      <c r="R24" s="55"/>
      <c r="S24" s="55"/>
      <c r="T24" s="55"/>
      <c r="U24" s="55"/>
      <c r="V24" s="55"/>
      <c r="W24" s="55"/>
      <c r="X24" s="55"/>
      <c r="Y24" s="55"/>
      <c r="Z24" s="55"/>
    </row>
    <row r="25" spans="2:31" x14ac:dyDescent="0.2">
      <c r="B25" s="35"/>
      <c r="C25" s="35"/>
      <c r="D25" s="54"/>
      <c r="E25" s="46"/>
      <c r="F25" s="46"/>
      <c r="G25" s="35"/>
      <c r="H25" s="35"/>
      <c r="I25" s="40"/>
      <c r="J25" s="40"/>
      <c r="K25" s="40"/>
      <c r="L25" s="130"/>
      <c r="M25" s="52"/>
      <c r="N25" s="53"/>
      <c r="O25" s="98" t="e">
        <f ca="1">$M$11/K24-1</f>
        <v>#NAME?</v>
      </c>
      <c r="P25" s="98" t="e">
        <f ca="1">$N$11/L24-1</f>
        <v>#NAME?</v>
      </c>
    </row>
    <row r="26" spans="2:31" x14ac:dyDescent="0.2">
      <c r="E26" s="155"/>
      <c r="M26" s="35"/>
      <c r="N26" s="34"/>
      <c r="O26" s="34"/>
      <c r="P26" s="30"/>
    </row>
    <row r="27" spans="2:31" x14ac:dyDescent="0.2">
      <c r="E27" s="155"/>
      <c r="M27" s="35"/>
      <c r="N27" s="34"/>
      <c r="O27" s="34"/>
      <c r="P27" s="30"/>
    </row>
    <row r="28" spans="2:31" x14ac:dyDescent="0.2">
      <c r="E28" s="155"/>
      <c r="M28" s="35"/>
      <c r="N28" s="34"/>
      <c r="O28" s="34"/>
      <c r="P28" s="30"/>
    </row>
    <row r="29" spans="2:31" x14ac:dyDescent="0.2">
      <c r="M29" s="35"/>
      <c r="N29" s="34"/>
      <c r="O29" s="34"/>
      <c r="P29" s="30"/>
    </row>
    <row r="30" spans="2:31" ht="40.5" customHeight="1" x14ac:dyDescent="0.2">
      <c r="B30" s="51" t="s">
        <v>105</v>
      </c>
      <c r="C30" s="50" t="s">
        <v>104</v>
      </c>
      <c r="D30" s="50" t="s">
        <v>174</v>
      </c>
      <c r="E30" s="50" t="s">
        <v>173</v>
      </c>
      <c r="F30" s="50" t="s">
        <v>175</v>
      </c>
      <c r="G30" s="50" t="s">
        <v>172</v>
      </c>
      <c r="H30" s="50" t="s">
        <v>103</v>
      </c>
      <c r="I30" s="50" t="s">
        <v>102</v>
      </c>
      <c r="J30" s="50" t="s">
        <v>101</v>
      </c>
      <c r="K30" s="50" t="s">
        <v>100</v>
      </c>
      <c r="L30" s="50" t="s">
        <v>99</v>
      </c>
      <c r="M30" s="50" t="s">
        <v>98</v>
      </c>
      <c r="N30" s="50" t="s">
        <v>280</v>
      </c>
      <c r="O30" s="50" t="s">
        <v>97</v>
      </c>
      <c r="P30" s="50" t="s">
        <v>279</v>
      </c>
      <c r="Q30" s="50" t="s">
        <v>277</v>
      </c>
      <c r="R30" s="50" t="s">
        <v>278</v>
      </c>
    </row>
    <row r="31" spans="2:31" x14ac:dyDescent="0.2">
      <c r="B31" s="41" t="e">
        <f ca="1">_xll.BDP(C31,"SECURITY_NAME")</f>
        <v>#NAME?</v>
      </c>
      <c r="C31" s="41" t="s">
        <v>346</v>
      </c>
      <c r="D31" s="42" t="s">
        <v>51</v>
      </c>
      <c r="E31" s="48" t="e">
        <f ca="1">F31*_xll.BDP(C31,"PX_LAST")/100</f>
        <v>#NAME?</v>
      </c>
      <c r="F31" s="48">
        <v>55000</v>
      </c>
      <c r="G31" s="41">
        <v>55000</v>
      </c>
      <c r="H31" s="147">
        <f>G31/F31</f>
        <v>1</v>
      </c>
      <c r="I31" s="41">
        <f>G31*K31/100*0.655</f>
        <v>38798.925000000003</v>
      </c>
      <c r="J31" s="41">
        <f>G31*L31/100*0.655</f>
        <v>42149.25</v>
      </c>
      <c r="K31" s="41">
        <v>107.7</v>
      </c>
      <c r="L31" s="103">
        <v>117</v>
      </c>
      <c r="M31" s="12">
        <f>L31/K31-1</f>
        <v>8.6350974930362145E-2</v>
      </c>
      <c r="N31" s="126">
        <f>(J31-I31)</f>
        <v>3350.3249999999971</v>
      </c>
      <c r="O31" s="106" t="e">
        <f ca="1">_xll.BDP($C31,"CRNCY")</f>
        <v>#NAME?</v>
      </c>
      <c r="P31" s="42">
        <f>N31</f>
        <v>3350.3249999999971</v>
      </c>
      <c r="Q31" s="33">
        <v>42144</v>
      </c>
      <c r="R31" s="33" t="e">
        <f ca="1">_xll.BDH("RUB curncy","PX_LAST",$Q31)</f>
        <v>#NAME?</v>
      </c>
    </row>
    <row r="32" spans="2:31" x14ac:dyDescent="0.2">
      <c r="J32" s="105"/>
      <c r="K32" s="70"/>
      <c r="L32" s="155"/>
      <c r="M32" s="35"/>
      <c r="N32" s="30"/>
      <c r="O32" s="30"/>
      <c r="P32" s="34"/>
      <c r="R32" s="35"/>
    </row>
    <row r="33" spans="2:17" x14ac:dyDescent="0.2">
      <c r="H33" s="105"/>
      <c r="I33" s="70"/>
      <c r="J33" s="151"/>
      <c r="K33" s="35"/>
      <c r="L33" s="148"/>
      <c r="M33" s="34"/>
    </row>
    <row r="34" spans="2:17" x14ac:dyDescent="0.2">
      <c r="B34" s="32" t="s">
        <v>93</v>
      </c>
      <c r="C34" s="151"/>
      <c r="D34" s="105"/>
      <c r="H34" s="105"/>
      <c r="I34" s="151"/>
      <c r="J34" s="151"/>
      <c r="K34" s="30"/>
    </row>
    <row r="35" spans="2:17" ht="13.5" thickBot="1" x14ac:dyDescent="0.25">
      <c r="C35" s="30"/>
      <c r="D35" s="30"/>
      <c r="G35" s="30"/>
      <c r="H35" s="151"/>
      <c r="I35" s="30"/>
      <c r="J35" s="151"/>
      <c r="K35" s="30"/>
    </row>
    <row r="36" spans="2:17" ht="15" x14ac:dyDescent="0.35">
      <c r="B36" s="26"/>
      <c r="C36" s="26"/>
      <c r="D36" s="26"/>
      <c r="E36" s="26"/>
      <c r="F36" s="26"/>
      <c r="G36" s="26"/>
      <c r="H36" s="28" t="s">
        <v>92</v>
      </c>
      <c r="I36" s="27" t="s">
        <v>91</v>
      </c>
      <c r="J36" s="27" t="s">
        <v>90</v>
      </c>
      <c r="K36" s="27"/>
      <c r="L36" s="27"/>
      <c r="M36" s="26"/>
      <c r="N36" s="26"/>
      <c r="Q36" s="174"/>
    </row>
    <row r="37" spans="2:17" ht="15" x14ac:dyDescent="0.35">
      <c r="B37" s="23" t="s">
        <v>89</v>
      </c>
      <c r="C37" s="23" t="s">
        <v>88</v>
      </c>
      <c r="D37" s="23" t="s">
        <v>87</v>
      </c>
      <c r="E37" s="23" t="s">
        <v>86</v>
      </c>
      <c r="F37" s="23" t="s">
        <v>85</v>
      </c>
      <c r="G37" s="23" t="s">
        <v>84</v>
      </c>
      <c r="H37" s="25" t="s">
        <v>83</v>
      </c>
      <c r="I37" s="24" t="s">
        <v>83</v>
      </c>
      <c r="J37" s="24" t="s">
        <v>75</v>
      </c>
      <c r="K37" s="24" t="s">
        <v>73</v>
      </c>
      <c r="L37" s="24" t="s">
        <v>82</v>
      </c>
      <c r="M37" s="23" t="s">
        <v>81</v>
      </c>
      <c r="N37" s="23" t="s">
        <v>80</v>
      </c>
    </row>
    <row r="39" spans="2:17" x14ac:dyDescent="0.2">
      <c r="B39" s="287" t="s">
        <v>711</v>
      </c>
      <c r="C39" s="287" t="s">
        <v>378</v>
      </c>
      <c r="D39" s="284" t="e">
        <f ca="1">_xll.BDP(C39,"SECURITY_NAME")</f>
        <v>#NAME?</v>
      </c>
      <c r="E39" s="284" t="s">
        <v>50</v>
      </c>
      <c r="F39" s="285">
        <v>1000000</v>
      </c>
      <c r="G39" s="284" t="e">
        <f ca="1">_xll.BDP(C39,"CRNCY")</f>
        <v>#NAME?</v>
      </c>
      <c r="H39" s="281">
        <v>89.25</v>
      </c>
      <c r="I39" s="282">
        <f>F39*H39/100</f>
        <v>892500</v>
      </c>
      <c r="J39" s="283">
        <f>I39</f>
        <v>892500</v>
      </c>
      <c r="K39" s="282" t="e">
        <f ca="1">J39*L39</f>
        <v>#NAME?</v>
      </c>
      <c r="L39" s="281" t="e">
        <f ca="1">_xll.BDH("RUB curncy","PX_LAST",$N39)</f>
        <v>#NAME?</v>
      </c>
      <c r="M39" s="280" t="e">
        <f ca="1">1/_xll.BDH("RUB curncy","PX_LAST",$N39)</f>
        <v>#NAME?</v>
      </c>
      <c r="N39" s="274">
        <v>42453</v>
      </c>
      <c r="O39" s="33"/>
    </row>
    <row r="40" spans="2:17" x14ac:dyDescent="0.2">
      <c r="B40" s="279"/>
      <c r="C40" s="279"/>
      <c r="D40" s="278"/>
      <c r="E40" s="278"/>
      <c r="F40" s="277">
        <f>SUM(F39)</f>
        <v>1000000</v>
      </c>
      <c r="G40" s="278"/>
      <c r="H40" s="276">
        <f>J40/F40*100</f>
        <v>89.25</v>
      </c>
      <c r="I40" s="277">
        <f>SUM(I39)</f>
        <v>892500</v>
      </c>
      <c r="J40" s="277">
        <f>SUM(J39)</f>
        <v>892500</v>
      </c>
      <c r="K40" s="277" t="e">
        <f ca="1">SUM(K39)</f>
        <v>#NAME?</v>
      </c>
      <c r="L40" s="276"/>
      <c r="M40" s="275"/>
      <c r="N40" s="274"/>
      <c r="O40" s="33"/>
    </row>
    <row r="41" spans="2:17" x14ac:dyDescent="0.2">
      <c r="B41" s="71"/>
      <c r="C41" s="33"/>
      <c r="D41" s="73"/>
      <c r="E41" s="73"/>
      <c r="F41" s="74"/>
      <c r="G41" s="73"/>
      <c r="H41" s="75"/>
      <c r="I41" s="74"/>
      <c r="J41" s="74"/>
      <c r="K41" s="74"/>
      <c r="L41" s="139"/>
      <c r="M41" s="86"/>
      <c r="N41" s="14"/>
      <c r="O41" s="33"/>
    </row>
    <row r="42" spans="2:17" x14ac:dyDescent="0.2">
      <c r="B42" s="287" t="s">
        <v>711</v>
      </c>
      <c r="C42" s="287" t="s">
        <v>376</v>
      </c>
      <c r="D42" s="284" t="e">
        <f ca="1">_xll.BDP(C42,"SECURITY_NAME")</f>
        <v>#NAME?</v>
      </c>
      <c r="E42" s="284" t="s">
        <v>50</v>
      </c>
      <c r="F42" s="285">
        <v>1000000</v>
      </c>
      <c r="G42" s="284" t="e">
        <f ca="1">_xll.BDP(C42,"CRNCY")</f>
        <v>#NAME?</v>
      </c>
      <c r="H42" s="281">
        <v>98.25</v>
      </c>
      <c r="I42" s="282">
        <f>F42*H42/100</f>
        <v>982500</v>
      </c>
      <c r="J42" s="283">
        <f>I42</f>
        <v>982500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42453</v>
      </c>
    </row>
    <row r="43" spans="2:17" x14ac:dyDescent="0.2">
      <c r="B43" s="279"/>
      <c r="C43" s="279"/>
      <c r="D43" s="278"/>
      <c r="E43" s="278"/>
      <c r="F43" s="277">
        <f>SUM(F42)</f>
        <v>1000000</v>
      </c>
      <c r="G43" s="278"/>
      <c r="H43" s="276">
        <f>J43/F43*100</f>
        <v>98.25</v>
      </c>
      <c r="I43" s="277">
        <f>SUM(I42)</f>
        <v>982500</v>
      </c>
      <c r="J43" s="277">
        <f>SUM(J42)</f>
        <v>982500</v>
      </c>
      <c r="K43" s="277" t="e">
        <f ca="1">SUM(K42)</f>
        <v>#NAME?</v>
      </c>
      <c r="L43" s="276"/>
      <c r="M43" s="275"/>
      <c r="N43" s="274"/>
    </row>
    <row r="44" spans="2:17" x14ac:dyDescent="0.2">
      <c r="B44" s="71"/>
      <c r="C44" s="33"/>
      <c r="D44" s="73"/>
      <c r="E44" s="73"/>
      <c r="F44" s="74"/>
      <c r="G44" s="73"/>
      <c r="H44" s="75"/>
      <c r="I44" s="74"/>
      <c r="J44" s="74"/>
      <c r="K44" s="74"/>
      <c r="L44" s="139"/>
      <c r="M44" s="86"/>
      <c r="N44" s="14"/>
    </row>
    <row r="45" spans="2:17" x14ac:dyDescent="0.2">
      <c r="B45" s="287" t="s">
        <v>711</v>
      </c>
      <c r="C45" s="287" t="s">
        <v>709</v>
      </c>
      <c r="D45" s="284" t="e">
        <f ca="1">_xll.BDP(C45,"SECURITY_NAME")</f>
        <v>#NAME?</v>
      </c>
      <c r="E45" s="284" t="s">
        <v>50</v>
      </c>
      <c r="F45" s="285">
        <v>200000</v>
      </c>
      <c r="G45" s="284" t="e">
        <f ca="1">_xll.BDP(C45,"CRNCY")</f>
        <v>#NAME?</v>
      </c>
      <c r="H45" s="281">
        <v>98.1</v>
      </c>
      <c r="I45" s="282">
        <f>F45*H45/100</f>
        <v>196200</v>
      </c>
      <c r="J45" s="283">
        <f>I45</f>
        <v>196200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42453</v>
      </c>
    </row>
    <row r="46" spans="2:17" x14ac:dyDescent="0.2">
      <c r="B46" s="287" t="s">
        <v>711</v>
      </c>
      <c r="C46" s="287" t="s">
        <v>709</v>
      </c>
      <c r="D46" s="284" t="e">
        <f ca="1">_xll.BDP(C46,"SECURITY_NAME")</f>
        <v>#NAME?</v>
      </c>
      <c r="E46" s="284" t="s">
        <v>50</v>
      </c>
      <c r="F46" s="285">
        <v>200000</v>
      </c>
      <c r="G46" s="284" t="e">
        <f ca="1">_xll.BDP(C46,"CRNCY")</f>
        <v>#NAME?</v>
      </c>
      <c r="H46" s="281">
        <v>98.1</v>
      </c>
      <c r="I46" s="282">
        <f>F46*H46/100</f>
        <v>196200</v>
      </c>
      <c r="J46" s="283">
        <f>I46</f>
        <v>196200</v>
      </c>
      <c r="K46" s="282" t="e">
        <f ca="1">J46*L46</f>
        <v>#NAME?</v>
      </c>
      <c r="L46" s="281" t="e">
        <f ca="1">_xll.BDH("RUB curncy","PX_LAST",$N46)</f>
        <v>#NAME?</v>
      </c>
      <c r="M46" s="280" t="e">
        <f ca="1">1/_xll.BDH("RUB curncy","PX_LAST",$N46)</f>
        <v>#NAME?</v>
      </c>
      <c r="N46" s="274">
        <v>42457</v>
      </c>
    </row>
    <row r="47" spans="2:17" x14ac:dyDescent="0.2">
      <c r="B47" s="287" t="s">
        <v>711</v>
      </c>
      <c r="C47" s="287" t="s">
        <v>709</v>
      </c>
      <c r="D47" s="284" t="e">
        <f ca="1">_xll.BDP(C47,"SECURITY_NAME")</f>
        <v>#NAME?</v>
      </c>
      <c r="E47" s="284" t="s">
        <v>50</v>
      </c>
      <c r="F47" s="285">
        <v>300000</v>
      </c>
      <c r="G47" s="284" t="e">
        <f ca="1">_xll.BDP(C47,"CRNCY")</f>
        <v>#NAME?</v>
      </c>
      <c r="H47" s="281">
        <v>98.1</v>
      </c>
      <c r="I47" s="282">
        <f>F47*H47/100</f>
        <v>294300</v>
      </c>
      <c r="J47" s="283">
        <f>I47</f>
        <v>294300</v>
      </c>
      <c r="K47" s="282" t="e">
        <f ca="1">J47*L47</f>
        <v>#NAME?</v>
      </c>
      <c r="L47" s="281" t="e">
        <f ca="1">_xll.BDH("RUB curncy","PX_LAST",$N47)</f>
        <v>#NAME?</v>
      </c>
      <c r="M47" s="280" t="e">
        <f ca="1">1/_xll.BDH("RUB curncy","PX_LAST",$N47)</f>
        <v>#NAME?</v>
      </c>
      <c r="N47" s="274">
        <v>42464</v>
      </c>
    </row>
    <row r="48" spans="2:17" x14ac:dyDescent="0.2">
      <c r="B48" s="279"/>
      <c r="C48" s="279"/>
      <c r="D48" s="278"/>
      <c r="E48" s="278"/>
      <c r="F48" s="277">
        <f>SUM(F45:F47)</f>
        <v>700000</v>
      </c>
      <c r="G48" s="278"/>
      <c r="H48" s="276">
        <f>J48/F48*100</f>
        <v>98.1</v>
      </c>
      <c r="I48" s="277">
        <f>SUM(I45:I47)</f>
        <v>686700</v>
      </c>
      <c r="J48" s="277">
        <f>SUM(J45:J47)</f>
        <v>686700</v>
      </c>
      <c r="K48" s="277" t="e">
        <f ca="1">SUM(K45:K47)</f>
        <v>#NAME?</v>
      </c>
      <c r="L48" s="276"/>
      <c r="M48" s="275"/>
      <c r="N48" s="274"/>
    </row>
    <row r="49" spans="2:14" x14ac:dyDescent="0.2">
      <c r="B49" s="71"/>
      <c r="C49" s="33"/>
      <c r="D49" s="73"/>
      <c r="E49" s="73"/>
      <c r="F49" s="74"/>
      <c r="G49" s="73"/>
      <c r="H49" s="75"/>
      <c r="I49" s="74"/>
      <c r="J49" s="74"/>
      <c r="K49" s="74"/>
      <c r="L49" s="139"/>
      <c r="M49" s="86"/>
      <c r="N49" s="14"/>
    </row>
    <row r="50" spans="2:14" x14ac:dyDescent="0.2">
      <c r="B50" s="287" t="s">
        <v>711</v>
      </c>
      <c r="C50" s="287" t="s">
        <v>449</v>
      </c>
      <c r="D50" s="284" t="e">
        <f ca="1">_xll.BDP(C50,"SECURITY_NAME")</f>
        <v>#NAME?</v>
      </c>
      <c r="E50" s="284" t="s">
        <v>50</v>
      </c>
      <c r="F50" s="285">
        <v>500000</v>
      </c>
      <c r="G50" s="284" t="e">
        <f ca="1">_xll.BDP(C50,"CRNCY")</f>
        <v>#NAME?</v>
      </c>
      <c r="H50" s="281">
        <v>98.5</v>
      </c>
      <c r="I50" s="282">
        <f>F50*H50/100</f>
        <v>492500</v>
      </c>
      <c r="J50" s="283">
        <f>I50</f>
        <v>492500</v>
      </c>
      <c r="K50" s="282" t="e">
        <f ca="1">J50*L50</f>
        <v>#NAME?</v>
      </c>
      <c r="L50" s="281" t="e">
        <f ca="1">_xll.BDH("RUB curncy","PX_LAST",$N50)</f>
        <v>#NAME?</v>
      </c>
      <c r="M50" s="280" t="e">
        <f ca="1">1/_xll.BDH("RUB curncy","PX_LAST",$N50)</f>
        <v>#NAME?</v>
      </c>
      <c r="N50" s="274">
        <v>42457</v>
      </c>
    </row>
    <row r="51" spans="2:14" x14ac:dyDescent="0.2">
      <c r="B51" s="279"/>
      <c r="C51" s="279"/>
      <c r="D51" s="278"/>
      <c r="E51" s="278"/>
      <c r="F51" s="277">
        <f>SUM(F50)</f>
        <v>500000</v>
      </c>
      <c r="G51" s="278"/>
      <c r="H51" s="276">
        <f>J51/F51*100</f>
        <v>98.5</v>
      </c>
      <c r="I51" s="277">
        <f>SUM(I50)</f>
        <v>492500</v>
      </c>
      <c r="J51" s="277">
        <f>SUM(J50)</f>
        <v>492500</v>
      </c>
      <c r="K51" s="277" t="e">
        <f ca="1">SUM(K50)</f>
        <v>#NAME?</v>
      </c>
      <c r="L51" s="276"/>
      <c r="M51" s="275"/>
      <c r="N51" s="274"/>
    </row>
    <row r="52" spans="2:14" x14ac:dyDescent="0.2">
      <c r="B52" s="71"/>
      <c r="C52" s="33"/>
      <c r="D52" s="73"/>
      <c r="E52" s="73"/>
      <c r="F52" s="74"/>
      <c r="G52" s="73"/>
      <c r="H52" s="75"/>
      <c r="I52" s="74"/>
      <c r="J52" s="74"/>
      <c r="K52" s="74"/>
      <c r="L52" s="139"/>
      <c r="M52" s="86"/>
      <c r="N52" s="14"/>
    </row>
    <row r="53" spans="2:14" x14ac:dyDescent="0.2">
      <c r="B53" s="287" t="s">
        <v>711</v>
      </c>
      <c r="C53" s="287" t="s">
        <v>710</v>
      </c>
      <c r="D53" s="284" t="e">
        <f ca="1">_xll.BDP(C53,"SECURITY_NAME")</f>
        <v>#NAME?</v>
      </c>
      <c r="E53" s="284" t="s">
        <v>50</v>
      </c>
      <c r="F53" s="285">
        <v>1000000</v>
      </c>
      <c r="G53" s="284" t="e">
        <f ca="1">_xll.BDP(C53,"CRNCY")</f>
        <v>#NAME?</v>
      </c>
      <c r="H53" s="281">
        <v>97.4</v>
      </c>
      <c r="I53" s="282">
        <f>F53*H53/100</f>
        <v>974000</v>
      </c>
      <c r="J53" s="283">
        <f>I53</f>
        <v>974000</v>
      </c>
      <c r="K53" s="282" t="e">
        <f ca="1">J53*L53</f>
        <v>#NAME?</v>
      </c>
      <c r="L53" s="281" t="e">
        <f ca="1">_xll.BDH("RUB curncy","PX_LAST",$N53)</f>
        <v>#NAME?</v>
      </c>
      <c r="M53" s="280" t="e">
        <f ca="1">1/_xll.BDH("RUB curncy","PX_LAST",$N53)</f>
        <v>#NAME?</v>
      </c>
      <c r="N53" s="274">
        <v>42460</v>
      </c>
    </row>
    <row r="54" spans="2:14" x14ac:dyDescent="0.2">
      <c r="B54" s="279"/>
      <c r="C54" s="279"/>
      <c r="D54" s="278"/>
      <c r="E54" s="278"/>
      <c r="F54" s="277">
        <f>SUM(F53)</f>
        <v>1000000</v>
      </c>
      <c r="G54" s="278"/>
      <c r="H54" s="276">
        <f>J54/F54*100</f>
        <v>97.399999999999991</v>
      </c>
      <c r="I54" s="277">
        <f>SUM(I53)</f>
        <v>974000</v>
      </c>
      <c r="J54" s="277">
        <f>SUM(J53)</f>
        <v>974000</v>
      </c>
      <c r="K54" s="277" t="e">
        <f ca="1">SUM(K53)</f>
        <v>#NAME?</v>
      </c>
      <c r="L54" s="276"/>
      <c r="M54" s="275"/>
      <c r="N54" s="274"/>
    </row>
    <row r="55" spans="2:14" x14ac:dyDescent="0.2">
      <c r="B55" s="71"/>
      <c r="C55" s="33"/>
      <c r="D55" s="73"/>
      <c r="E55" s="73"/>
      <c r="F55" s="74"/>
      <c r="G55" s="73"/>
      <c r="H55" s="75"/>
      <c r="I55" s="74"/>
      <c r="J55" s="74"/>
      <c r="K55" s="74"/>
      <c r="L55" s="139"/>
      <c r="M55" s="86"/>
      <c r="N55" s="14"/>
    </row>
    <row r="56" spans="2:14" x14ac:dyDescent="0.2">
      <c r="B56" s="287" t="s">
        <v>711</v>
      </c>
      <c r="C56" s="303" t="s">
        <v>225</v>
      </c>
      <c r="D56" s="284" t="e">
        <f ca="1">_xll.BDP(C56,"SECURITY_NAME")</f>
        <v>#NAME?</v>
      </c>
      <c r="E56" s="284" t="s">
        <v>50</v>
      </c>
      <c r="F56" s="285">
        <v>910000</v>
      </c>
      <c r="G56" s="284" t="e">
        <f ca="1">_xll.BDP(C56,"CRNCY")</f>
        <v>#NAME?</v>
      </c>
      <c r="H56" s="281">
        <v>92.5</v>
      </c>
      <c r="I56" s="282">
        <f>F56*H56/100</f>
        <v>841750</v>
      </c>
      <c r="J56" s="283">
        <f>I56</f>
        <v>841750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42465</v>
      </c>
    </row>
    <row r="57" spans="2:14" x14ac:dyDescent="0.2">
      <c r="B57" s="279"/>
      <c r="C57" s="279"/>
      <c r="D57" s="278"/>
      <c r="E57" s="278"/>
      <c r="F57" s="277">
        <f>SUM(F56)</f>
        <v>910000</v>
      </c>
      <c r="G57" s="278"/>
      <c r="H57" s="276">
        <f>J57/F57*100</f>
        <v>92.5</v>
      </c>
      <c r="I57" s="277">
        <f>SUM(I56)</f>
        <v>841750</v>
      </c>
      <c r="J57" s="277">
        <f>SUM(J56)</f>
        <v>841750</v>
      </c>
      <c r="K57" s="277" t="e">
        <f ca="1">SUM(K56)</f>
        <v>#NAME?</v>
      </c>
      <c r="L57" s="276"/>
      <c r="M57" s="275"/>
      <c r="N57" s="274"/>
    </row>
    <row r="58" spans="2:14" x14ac:dyDescent="0.2">
      <c r="B58" s="160"/>
      <c r="D58" s="87"/>
      <c r="E58" s="87"/>
      <c r="F58" s="79"/>
      <c r="G58" s="87"/>
      <c r="H58" s="80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0"/>
      <c r="D61" s="87"/>
      <c r="E61" s="87"/>
      <c r="F61" s="79"/>
      <c r="G61" s="87"/>
      <c r="H61" s="80"/>
      <c r="I61" s="79"/>
      <c r="J61" s="79"/>
      <c r="K61" s="79"/>
      <c r="L61" s="88"/>
      <c r="M61" s="158"/>
      <c r="N61" s="157"/>
    </row>
    <row r="62" spans="2:14" x14ac:dyDescent="0.2">
      <c r="B62" s="160"/>
      <c r="D62" s="87"/>
      <c r="E62" s="87"/>
      <c r="F62" s="79"/>
      <c r="G62" s="87"/>
      <c r="H62" s="80"/>
      <c r="I62" s="79"/>
      <c r="J62" s="79"/>
      <c r="K62" s="79"/>
      <c r="L62" s="88"/>
      <c r="M62" s="158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0"/>
      <c r="C68" s="159"/>
      <c r="D68" s="87"/>
      <c r="E68" s="87"/>
      <c r="F68" s="79"/>
      <c r="G68" s="87"/>
      <c r="H68" s="99"/>
      <c r="I68" s="79"/>
      <c r="J68" s="79"/>
      <c r="K68" s="79"/>
      <c r="L68" s="88"/>
      <c r="M68" s="158"/>
      <c r="N68" s="157"/>
    </row>
    <row r="70" spans="2:14" x14ac:dyDescent="0.2">
      <c r="B70" s="167"/>
      <c r="C70" s="166"/>
      <c r="D70" s="165"/>
      <c r="E70" s="165"/>
      <c r="F70" s="96"/>
      <c r="G70" s="165"/>
      <c r="H70" s="97"/>
      <c r="I70" s="163"/>
      <c r="J70" s="164"/>
      <c r="K70" s="163"/>
      <c r="L70" s="162"/>
      <c r="M70" s="161"/>
      <c r="N70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0"/>
      <c r="C76" s="159"/>
      <c r="D76" s="87"/>
      <c r="E76" s="87"/>
      <c r="F76" s="79"/>
      <c r="G76" s="87"/>
      <c r="H76" s="99"/>
      <c r="I76" s="79"/>
      <c r="J76" s="79"/>
      <c r="K76" s="79"/>
      <c r="L76" s="88"/>
      <c r="M76" s="158"/>
      <c r="N76" s="157"/>
    </row>
    <row r="77" spans="2:14" x14ac:dyDescent="0.2">
      <c r="B77" s="160"/>
      <c r="C77" s="159"/>
      <c r="D77" s="87"/>
      <c r="E77" s="87"/>
      <c r="F77" s="79"/>
      <c r="G77" s="87"/>
      <c r="H77" s="99"/>
      <c r="I77" s="79"/>
      <c r="J77" s="79"/>
      <c r="K77" s="79"/>
      <c r="L77" s="88"/>
      <c r="M77" s="158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0"/>
      <c r="C79" s="159"/>
      <c r="D79" s="87"/>
      <c r="E79" s="87"/>
      <c r="F79" s="79"/>
      <c r="G79" s="87"/>
      <c r="H79" s="99"/>
      <c r="I79" s="79"/>
      <c r="J79" s="79"/>
      <c r="K79" s="79"/>
      <c r="L79" s="88"/>
      <c r="M79" s="158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1" spans="2:14" x14ac:dyDescent="0.2">
      <c r="B81" s="167"/>
      <c r="C81" s="166"/>
      <c r="D81" s="165"/>
      <c r="E81" s="165"/>
      <c r="F81" s="96"/>
      <c r="G81" s="165"/>
      <c r="H81" s="97"/>
      <c r="I81" s="163"/>
      <c r="J81" s="164"/>
      <c r="K81" s="163"/>
      <c r="L81" s="162"/>
      <c r="M81" s="161"/>
      <c r="N81" s="157"/>
    </row>
    <row r="82" spans="2:14" x14ac:dyDescent="0.2">
      <c r="B82" s="160"/>
      <c r="C82" s="159"/>
      <c r="D82" s="87"/>
      <c r="E82" s="87"/>
      <c r="F82" s="79"/>
      <c r="G82" s="87"/>
      <c r="H82" s="99"/>
      <c r="I82" s="79"/>
      <c r="J82" s="79"/>
      <c r="K82" s="79"/>
      <c r="L82" s="88"/>
      <c r="M82" s="158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0"/>
      <c r="C85" s="159"/>
      <c r="D85" s="87"/>
      <c r="E85" s="87"/>
      <c r="F85" s="79"/>
      <c r="G85" s="87"/>
      <c r="H85" s="99"/>
      <c r="I85" s="79"/>
      <c r="J85" s="79"/>
      <c r="K85" s="79"/>
      <c r="L85" s="88"/>
      <c r="M85" s="158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0"/>
      <c r="C88" s="159"/>
      <c r="D88" s="87"/>
      <c r="E88" s="87"/>
      <c r="F88" s="79"/>
      <c r="G88" s="87"/>
      <c r="H88" s="99"/>
      <c r="I88" s="79"/>
      <c r="J88" s="79"/>
      <c r="K88" s="79"/>
      <c r="L88" s="88"/>
      <c r="M88" s="158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0" spans="2:14" x14ac:dyDescent="0.2">
      <c r="B90" s="167"/>
      <c r="C90" s="166"/>
      <c r="D90" s="165"/>
      <c r="E90" s="165"/>
      <c r="F90" s="96"/>
      <c r="G90" s="165"/>
      <c r="H90" s="97"/>
      <c r="I90" s="163"/>
      <c r="J90" s="164"/>
      <c r="K90" s="163"/>
      <c r="L90" s="162"/>
      <c r="M90" s="161"/>
      <c r="N90" s="157"/>
    </row>
    <row r="91" spans="2:14" x14ac:dyDescent="0.2">
      <c r="B91" s="160"/>
      <c r="C91" s="159"/>
      <c r="D91" s="87"/>
      <c r="E91" s="87"/>
      <c r="F91" s="79"/>
      <c r="G91" s="87"/>
      <c r="H91" s="99"/>
      <c r="I91" s="79"/>
      <c r="J91" s="79"/>
      <c r="K91" s="79"/>
      <c r="L91" s="88"/>
      <c r="M91" s="158"/>
      <c r="N91" s="157"/>
    </row>
    <row r="92" spans="2:14" x14ac:dyDescent="0.2">
      <c r="B92" s="160"/>
      <c r="C92" s="159"/>
      <c r="D92" s="87"/>
      <c r="E92" s="87"/>
      <c r="F92" s="79"/>
      <c r="G92" s="87"/>
      <c r="H92" s="99"/>
      <c r="I92" s="79"/>
      <c r="J92" s="79"/>
      <c r="K92" s="79"/>
      <c r="L92" s="88"/>
      <c r="M92" s="158"/>
      <c r="N92" s="157"/>
    </row>
    <row r="93" spans="2:14" x14ac:dyDescent="0.2">
      <c r="B93" s="167"/>
      <c r="C93" s="166"/>
      <c r="D93" s="165"/>
      <c r="E93" s="165"/>
      <c r="F93" s="96"/>
      <c r="G93" s="165"/>
      <c r="H93" s="97"/>
      <c r="I93" s="163"/>
      <c r="J93" s="164"/>
      <c r="K93" s="163"/>
      <c r="L93" s="162"/>
      <c r="M93" s="161"/>
      <c r="N93" s="157"/>
    </row>
    <row r="94" spans="2:14" x14ac:dyDescent="0.2">
      <c r="B94" s="160"/>
      <c r="C94" s="159"/>
      <c r="D94" s="87"/>
      <c r="E94" s="87"/>
      <c r="F94" s="79"/>
      <c r="G94" s="87"/>
      <c r="H94" s="99"/>
      <c r="I94" s="79"/>
      <c r="J94" s="79"/>
      <c r="K94" s="79"/>
      <c r="L94" s="88"/>
      <c r="M94" s="158"/>
      <c r="N94" s="157"/>
    </row>
    <row r="95" spans="2:14" x14ac:dyDescent="0.2">
      <c r="B95" s="160"/>
      <c r="C95" s="159"/>
      <c r="D95" s="87"/>
      <c r="E95" s="87"/>
      <c r="F95" s="79"/>
      <c r="G95" s="87"/>
      <c r="H95" s="99"/>
      <c r="I95" s="79"/>
      <c r="J95" s="79"/>
      <c r="K95" s="79"/>
      <c r="L95" s="88"/>
      <c r="M95" s="158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0"/>
      <c r="C97" s="159"/>
      <c r="D97" s="87"/>
      <c r="E97" s="87"/>
      <c r="F97" s="79"/>
      <c r="G97" s="87"/>
      <c r="H97" s="99"/>
      <c r="I97" s="79"/>
      <c r="J97" s="79"/>
      <c r="K97" s="79"/>
      <c r="L97" s="88"/>
      <c r="M97" s="158"/>
      <c r="N97" s="157"/>
    </row>
    <row r="98" spans="2:14" x14ac:dyDescent="0.2">
      <c r="B98" s="160"/>
      <c r="C98" s="159"/>
      <c r="D98" s="87"/>
      <c r="E98" s="87"/>
      <c r="F98" s="79"/>
      <c r="G98" s="87"/>
      <c r="H98" s="99"/>
      <c r="I98" s="79"/>
      <c r="J98" s="79"/>
      <c r="K98" s="79"/>
      <c r="L98" s="88"/>
      <c r="M98" s="158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0"/>
      <c r="C100" s="159"/>
      <c r="D100" s="87"/>
      <c r="E100" s="87"/>
      <c r="F100" s="79"/>
      <c r="G100" s="87"/>
      <c r="H100" s="99"/>
      <c r="I100" s="79"/>
      <c r="J100" s="79"/>
      <c r="K100" s="79"/>
      <c r="L100" s="88"/>
      <c r="M100" s="158"/>
      <c r="N100" s="157"/>
    </row>
    <row r="101" spans="2:14" x14ac:dyDescent="0.2">
      <c r="B101" s="160"/>
      <c r="C101" s="159"/>
      <c r="D101" s="87"/>
      <c r="E101" s="87"/>
      <c r="F101" s="79"/>
      <c r="G101" s="87"/>
      <c r="H101" s="99"/>
      <c r="I101" s="79"/>
      <c r="J101" s="79"/>
      <c r="K101" s="79"/>
      <c r="L101" s="88"/>
      <c r="M101" s="158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C103" s="159"/>
      <c r="D103" s="87"/>
      <c r="E103" s="87"/>
      <c r="F103" s="79"/>
      <c r="G103" s="87"/>
      <c r="H103" s="99"/>
      <c r="I103" s="79"/>
      <c r="J103" s="79"/>
      <c r="K103" s="79"/>
      <c r="L103" s="88"/>
      <c r="M103" s="158"/>
      <c r="N103" s="157"/>
    </row>
    <row r="104" spans="2:14" x14ac:dyDescent="0.2">
      <c r="B104" s="160"/>
      <c r="C104" s="159"/>
      <c r="D104" s="87"/>
      <c r="E104" s="87"/>
      <c r="F104" s="79"/>
      <c r="G104" s="87"/>
      <c r="H104" s="99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C106" s="159"/>
      <c r="D106" s="87"/>
      <c r="E106" s="87"/>
      <c r="F106" s="79"/>
      <c r="G106" s="87"/>
      <c r="H106" s="99"/>
      <c r="I106" s="79"/>
      <c r="J106" s="79"/>
      <c r="K106" s="79"/>
      <c r="L106" s="88"/>
      <c r="M106" s="158"/>
      <c r="N106" s="157"/>
    </row>
    <row r="107" spans="2:14" x14ac:dyDescent="0.2">
      <c r="B107" s="160"/>
      <c r="C107" s="159"/>
      <c r="D107" s="87"/>
      <c r="E107" s="87"/>
      <c r="F107" s="79"/>
      <c r="G107" s="87"/>
      <c r="H107" s="99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0"/>
      <c r="C109" s="159"/>
      <c r="D109" s="87"/>
      <c r="E109" s="87"/>
      <c r="F109" s="79"/>
      <c r="G109" s="87"/>
      <c r="H109" s="99"/>
      <c r="I109" s="79"/>
      <c r="J109" s="79"/>
      <c r="K109" s="79"/>
      <c r="L109" s="88"/>
      <c r="M109" s="158"/>
      <c r="N109" s="157"/>
    </row>
    <row r="110" spans="2:14" x14ac:dyDescent="0.2">
      <c r="B110" s="160"/>
      <c r="C110" s="159"/>
      <c r="D110" s="87"/>
      <c r="E110" s="87"/>
      <c r="F110" s="79"/>
      <c r="G110" s="87"/>
      <c r="H110" s="99"/>
      <c r="I110" s="79"/>
      <c r="J110" s="79"/>
      <c r="K110" s="79"/>
      <c r="L110" s="88"/>
      <c r="M110" s="158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0"/>
      <c r="C112" s="159"/>
      <c r="D112" s="87"/>
      <c r="E112" s="87"/>
      <c r="F112" s="79"/>
      <c r="G112" s="87"/>
      <c r="H112" s="99"/>
      <c r="I112" s="79"/>
      <c r="J112" s="79"/>
      <c r="K112" s="79"/>
      <c r="L112" s="88"/>
      <c r="M112" s="158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99"/>
      <c r="I113" s="79"/>
      <c r="J113" s="79"/>
      <c r="K113" s="79"/>
      <c r="L113" s="88"/>
      <c r="M113" s="158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0"/>
      <c r="C115" s="159"/>
      <c r="D115" s="87"/>
      <c r="E115" s="87"/>
      <c r="F115" s="79"/>
      <c r="G115" s="87"/>
      <c r="H115" s="99"/>
      <c r="I115" s="79"/>
      <c r="J115" s="79"/>
      <c r="K115" s="79"/>
      <c r="L115" s="88"/>
      <c r="M115" s="158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99"/>
      <c r="I116" s="79"/>
      <c r="J116" s="79"/>
      <c r="K116" s="79"/>
      <c r="L116" s="88"/>
      <c r="M116" s="158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0"/>
      <c r="C118" s="159"/>
      <c r="D118" s="87"/>
      <c r="E118" s="87"/>
      <c r="F118" s="79"/>
      <c r="G118" s="87"/>
      <c r="H118" s="99"/>
      <c r="I118" s="79"/>
      <c r="J118" s="79"/>
      <c r="K118" s="79"/>
      <c r="L118" s="88"/>
      <c r="M118" s="158"/>
      <c r="N118" s="157"/>
    </row>
    <row r="119" spans="2:14" x14ac:dyDescent="0.2">
      <c r="B119" s="160"/>
      <c r="C119" s="159"/>
      <c r="D119" s="87"/>
      <c r="E119" s="87"/>
      <c r="F119" s="79"/>
      <c r="G119" s="87"/>
      <c r="H119" s="99"/>
      <c r="I119" s="79"/>
      <c r="J119" s="79"/>
      <c r="K119" s="79"/>
      <c r="L119" s="88"/>
      <c r="M119" s="158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0"/>
      <c r="C142" s="159"/>
      <c r="D142" s="87"/>
      <c r="E142" s="87"/>
      <c r="F142" s="79"/>
      <c r="G142" s="87"/>
      <c r="H142" s="99"/>
      <c r="I142" s="79"/>
      <c r="J142" s="79"/>
      <c r="K142" s="79"/>
      <c r="L142" s="88"/>
      <c r="M142" s="158"/>
      <c r="N142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0"/>
      <c r="C145" s="159"/>
      <c r="D145" s="87"/>
      <c r="E145" s="87"/>
      <c r="F145" s="79"/>
      <c r="G145" s="87"/>
      <c r="H145" s="99"/>
      <c r="I145" s="79"/>
      <c r="J145" s="79"/>
      <c r="K145" s="79"/>
      <c r="L145" s="88"/>
      <c r="M145" s="158"/>
      <c r="N145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100"/>
      <c r="I148" s="79"/>
      <c r="J148" s="79"/>
      <c r="K148" s="79"/>
      <c r="L148" s="88"/>
      <c r="M148" s="158"/>
      <c r="N148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F159" s="79"/>
      <c r="H159" s="80"/>
      <c r="I159" s="79"/>
      <c r="J159" s="79"/>
      <c r="K159" s="79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3" spans="2:14" x14ac:dyDescent="0.2">
      <c r="B163" s="160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F178" s="79"/>
      <c r="G178" s="79"/>
      <c r="H178" s="80"/>
      <c r="I178" s="79"/>
      <c r="J178" s="79"/>
      <c r="K178" s="79"/>
    </row>
    <row r="179" spans="2:14" x14ac:dyDescent="0.2">
      <c r="G179" s="79"/>
      <c r="H179" s="80"/>
      <c r="I179" s="79"/>
      <c r="J179" s="79"/>
      <c r="K179" s="79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7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8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80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79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79"/>
      <c r="J203" s="79"/>
      <c r="K203" s="79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58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79"/>
      <c r="J226" s="79"/>
      <c r="K226" s="79"/>
      <c r="L226" s="88"/>
      <c r="M226" s="158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80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F239" s="79"/>
      <c r="H239" s="88"/>
      <c r="I239" s="79"/>
      <c r="J239" s="79"/>
      <c r="K239" s="79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8"/>
      <c r="I246" s="79"/>
      <c r="J246" s="79"/>
      <c r="K246" s="79"/>
      <c r="L246" s="88"/>
      <c r="M246" s="173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73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79"/>
      <c r="J261" s="79"/>
      <c r="K261" s="79"/>
      <c r="L261" s="88"/>
      <c r="M261" s="158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168"/>
      <c r="J262" s="169"/>
      <c r="K262" s="168"/>
      <c r="L262" s="88"/>
      <c r="M262" s="158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73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168"/>
      <c r="J278" s="169"/>
      <c r="K278" s="168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73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0"/>
      <c r="C287" s="159"/>
      <c r="D287" s="87"/>
      <c r="E287" s="87"/>
      <c r="F287" s="79"/>
      <c r="G287" s="87"/>
      <c r="H287" s="80"/>
      <c r="I287" s="79"/>
      <c r="J287" s="79"/>
      <c r="K287" s="79"/>
      <c r="L287" s="88"/>
      <c r="M287" s="173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73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73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0"/>
      <c r="C296" s="159"/>
      <c r="D296" s="87"/>
      <c r="E296" s="87"/>
      <c r="F296" s="79"/>
      <c r="G296" s="87"/>
      <c r="H296" s="80"/>
      <c r="I296" s="168"/>
      <c r="J296" s="169"/>
      <c r="K296" s="168"/>
      <c r="L296" s="88"/>
      <c r="M296" s="173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91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1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2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3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1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92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2"/>
      <c r="I307" s="79"/>
      <c r="J307" s="79"/>
      <c r="K307" s="79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170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170"/>
      <c r="I309" s="163"/>
      <c r="J309" s="164"/>
      <c r="K309" s="163"/>
      <c r="L309" s="162"/>
      <c r="M309" s="161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95"/>
      <c r="I310" s="79"/>
      <c r="J310" s="79"/>
      <c r="K310" s="79"/>
      <c r="L310" s="88"/>
      <c r="M310" s="158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168"/>
      <c r="J311" s="169"/>
      <c r="K311" s="168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96"/>
      <c r="J333" s="96"/>
      <c r="K333" s="96"/>
      <c r="L333" s="162"/>
      <c r="M333" s="161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96"/>
      <c r="J334" s="96"/>
      <c r="K334" s="96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80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80"/>
      <c r="I340" s="79"/>
      <c r="J340" s="79"/>
      <c r="K340" s="79"/>
      <c r="L340" s="88"/>
      <c r="M340" s="158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80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80"/>
      <c r="I345" s="79"/>
      <c r="J345" s="79"/>
      <c r="K345" s="79"/>
      <c r="L345" s="88"/>
      <c r="M345" s="158"/>
      <c r="N345" s="157"/>
    </row>
    <row r="346" spans="2:14" x14ac:dyDescent="0.2">
      <c r="B346" s="160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66"/>
      <c r="D347" s="165"/>
      <c r="E347" s="165"/>
      <c r="F347" s="96"/>
      <c r="G347" s="165"/>
      <c r="H347" s="97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80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0"/>
      <c r="C360" s="159"/>
      <c r="D360" s="87"/>
      <c r="E360" s="87"/>
      <c r="F360" s="79"/>
      <c r="G360" s="87"/>
      <c r="H360" s="80"/>
      <c r="I360" s="79"/>
      <c r="J360" s="79"/>
      <c r="K360" s="79"/>
      <c r="L360" s="88"/>
      <c r="M360" s="158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168"/>
      <c r="J377" s="169"/>
      <c r="K377" s="168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168"/>
      <c r="J383" s="169"/>
      <c r="K383" s="168"/>
      <c r="L383" s="88"/>
      <c r="M383" s="158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168"/>
      <c r="J391" s="169"/>
      <c r="K391" s="168"/>
      <c r="L391" s="88"/>
      <c r="M391" s="158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0"/>
      <c r="C393" s="159"/>
      <c r="D393" s="87"/>
      <c r="E393" s="87"/>
      <c r="F393" s="79"/>
      <c r="G393" s="87"/>
      <c r="H393" s="80"/>
      <c r="I393" s="79"/>
      <c r="J393" s="79"/>
      <c r="K393" s="79"/>
      <c r="L393" s="88"/>
      <c r="M393" s="158"/>
      <c r="N393" s="157"/>
    </row>
    <row r="394" spans="2:14" x14ac:dyDescent="0.2">
      <c r="B394" s="156"/>
      <c r="C394" s="156"/>
      <c r="D394" s="156"/>
      <c r="E394" s="102"/>
      <c r="F394" s="102"/>
      <c r="G394" s="156"/>
      <c r="H394" s="156"/>
      <c r="I394" s="156"/>
      <c r="J394" s="156"/>
      <c r="K394" s="156"/>
      <c r="L394" s="102"/>
      <c r="M394" s="156"/>
      <c r="N394" s="156"/>
    </row>
    <row r="395" spans="2:14" x14ac:dyDescent="0.2">
      <c r="H395" s="151"/>
    </row>
    <row r="396" spans="2:14" x14ac:dyDescent="0.2">
      <c r="H396" s="151"/>
    </row>
    <row r="398" spans="2:14" x14ac:dyDescent="0.2">
      <c r="H398" s="151"/>
    </row>
    <row r="399" spans="2:14" x14ac:dyDescent="0.2">
      <c r="H399" s="151"/>
    </row>
    <row r="400" spans="2:14" x14ac:dyDescent="0.2">
      <c r="L400" s="155"/>
    </row>
    <row r="401" spans="5:12" x14ac:dyDescent="0.2">
      <c r="L401" s="155"/>
    </row>
    <row r="402" spans="5:12" x14ac:dyDescent="0.2">
      <c r="E402" s="32"/>
      <c r="F402" s="32"/>
      <c r="L402" s="154"/>
    </row>
    <row r="404" spans="5:12" x14ac:dyDescent="0.2">
      <c r="E404" s="32"/>
      <c r="F404" s="32"/>
      <c r="L404" s="153"/>
    </row>
    <row r="408" spans="5:12" x14ac:dyDescent="0.2">
      <c r="E408" s="32"/>
      <c r="F408" s="32"/>
      <c r="G408" s="151"/>
    </row>
    <row r="409" spans="5:12" x14ac:dyDescent="0.2">
      <c r="E409" s="32"/>
      <c r="F409" s="32"/>
      <c r="G409" s="152"/>
    </row>
    <row r="412" spans="5:12" x14ac:dyDescent="0.2">
      <c r="E412" s="32"/>
      <c r="F412" s="32"/>
      <c r="G412" s="151"/>
    </row>
  </sheetData>
  <conditionalFormatting sqref="E243:E244 E291:E292 E284 E274:E275 E246:E247 E287:E288 E75 E122 E104 E295:E297">
    <cfRule type="containsText" dxfId="7190" priority="1271" operator="containsText" text="Buy">
      <formula>NOT(ISERROR(SEARCH("Buy",E75)))</formula>
    </cfRule>
    <cfRule type="containsText" dxfId="7189" priority="1272" operator="containsText" text="Sell">
      <formula>NOT(ISERROR(SEARCH("Sell",E75)))</formula>
    </cfRule>
  </conditionalFormatting>
  <conditionalFormatting sqref="E316:E317 E306:E307 E311">
    <cfRule type="containsText" dxfId="7188" priority="1269" operator="containsText" text="Buy">
      <formula>NOT(ISERROR(SEARCH("Buy",E306)))</formula>
    </cfRule>
    <cfRule type="containsText" dxfId="7187" priority="1270" operator="containsText" text="Sell">
      <formula>NOT(ISERROR(SEARCH("Sell",E306)))</formula>
    </cfRule>
  </conditionalFormatting>
  <conditionalFormatting sqref="E332:E334 E391 E388 E383 E377 E374 E371 E368 E361 E357 E351 E341">
    <cfRule type="containsText" dxfId="7186" priority="1267" operator="containsText" text="Buy">
      <formula>NOT(ISERROR(SEARCH("Buy",E332)))</formula>
    </cfRule>
    <cfRule type="containsText" dxfId="7185" priority="1268" operator="containsText" text="Sell">
      <formula>NOT(ISERROR(SEARCH("Sell",E332)))</formula>
    </cfRule>
  </conditionalFormatting>
  <conditionalFormatting sqref="E331">
    <cfRule type="containsText" dxfId="7184" priority="1265" operator="containsText" text="Buy">
      <formula>NOT(ISERROR(SEARCH("Buy",E331)))</formula>
    </cfRule>
    <cfRule type="containsText" dxfId="7183" priority="1266" operator="containsText" text="Sell">
      <formula>NOT(ISERROR(SEARCH("Sell",E331)))</formula>
    </cfRule>
  </conditionalFormatting>
  <conditionalFormatting sqref="E330">
    <cfRule type="containsText" dxfId="7182" priority="1263" operator="containsText" text="Buy">
      <formula>NOT(ISERROR(SEARCH("Buy",E330)))</formula>
    </cfRule>
    <cfRule type="containsText" dxfId="7181" priority="1264" operator="containsText" text="Sell">
      <formula>NOT(ISERROR(SEARCH("Sell",E330)))</formula>
    </cfRule>
  </conditionalFormatting>
  <conditionalFormatting sqref="E329">
    <cfRule type="containsText" dxfId="7180" priority="1261" operator="containsText" text="Buy">
      <formula>NOT(ISERROR(SEARCH("Buy",E329)))</formula>
    </cfRule>
    <cfRule type="containsText" dxfId="7179" priority="1262" operator="containsText" text="Sell">
      <formula>NOT(ISERROR(SEARCH("Sell",E329)))</formula>
    </cfRule>
  </conditionalFormatting>
  <conditionalFormatting sqref="E242">
    <cfRule type="containsText" dxfId="7178" priority="1259" operator="containsText" text="Buy">
      <formula>NOT(ISERROR(SEARCH("Buy",E242)))</formula>
    </cfRule>
    <cfRule type="containsText" dxfId="7177" priority="1260" operator="containsText" text="Sell">
      <formula>NOT(ISERROR(SEARCH("Sell",E242)))</formula>
    </cfRule>
  </conditionalFormatting>
  <conditionalFormatting sqref="E241">
    <cfRule type="containsText" dxfId="7176" priority="1257" operator="containsText" text="Buy">
      <formula>NOT(ISERROR(SEARCH("Buy",E241)))</formula>
    </cfRule>
    <cfRule type="containsText" dxfId="7175" priority="1258" operator="containsText" text="Sell">
      <formula>NOT(ISERROR(SEARCH("Sell",E241)))</formula>
    </cfRule>
  </conditionalFormatting>
  <conditionalFormatting sqref="E290">
    <cfRule type="containsText" dxfId="7174" priority="1255" operator="containsText" text="Buy">
      <formula>NOT(ISERROR(SEARCH("Buy",E290)))</formula>
    </cfRule>
    <cfRule type="containsText" dxfId="7173" priority="1256" operator="containsText" text="Sell">
      <formula>NOT(ISERROR(SEARCH("Sell",E290)))</formula>
    </cfRule>
  </conditionalFormatting>
  <conditionalFormatting sqref="E289">
    <cfRule type="containsText" dxfId="7172" priority="1253" operator="containsText" text="Buy">
      <formula>NOT(ISERROR(SEARCH("Buy",E289)))</formula>
    </cfRule>
    <cfRule type="containsText" dxfId="7171" priority="1254" operator="containsText" text="Sell">
      <formula>NOT(ISERROR(SEARCH("Sell",E289)))</formula>
    </cfRule>
  </conditionalFormatting>
  <conditionalFormatting sqref="E276:E278">
    <cfRule type="containsText" dxfId="7170" priority="1251" operator="containsText" text="Buy">
      <formula>NOT(ISERROR(SEARCH("Buy",E276)))</formula>
    </cfRule>
    <cfRule type="containsText" dxfId="7169" priority="1252" operator="containsText" text="Sell">
      <formula>NOT(ISERROR(SEARCH("Sell",E276)))</formula>
    </cfRule>
  </conditionalFormatting>
  <conditionalFormatting sqref="E273">
    <cfRule type="containsText" dxfId="7168" priority="1249" operator="containsText" text="Buy">
      <formula>NOT(ISERROR(SEARCH("Buy",E273)))</formula>
    </cfRule>
    <cfRule type="containsText" dxfId="7167" priority="1250" operator="containsText" text="Sell">
      <formula>NOT(ISERROR(SEARCH("Sell",E273)))</formula>
    </cfRule>
  </conditionalFormatting>
  <conditionalFormatting sqref="E272">
    <cfRule type="containsText" dxfId="7166" priority="1247" operator="containsText" text="Buy">
      <formula>NOT(ISERROR(SEARCH("Buy",E272)))</formula>
    </cfRule>
    <cfRule type="containsText" dxfId="7165" priority="1248" operator="containsText" text="Sell">
      <formula>NOT(ISERROR(SEARCH("Sell",E272)))</formula>
    </cfRule>
  </conditionalFormatting>
  <conditionalFormatting sqref="E271">
    <cfRule type="containsText" dxfId="7164" priority="1245" operator="containsText" text="Buy">
      <formula>NOT(ISERROR(SEARCH("Buy",E271)))</formula>
    </cfRule>
    <cfRule type="containsText" dxfId="7163" priority="1246" operator="containsText" text="Sell">
      <formula>NOT(ISERROR(SEARCH("Sell",E271)))</formula>
    </cfRule>
  </conditionalFormatting>
  <conditionalFormatting sqref="E270">
    <cfRule type="containsText" dxfId="7162" priority="1243" operator="containsText" text="Buy">
      <formula>NOT(ISERROR(SEARCH("Buy",E270)))</formula>
    </cfRule>
    <cfRule type="containsText" dxfId="7161" priority="1244" operator="containsText" text="Sell">
      <formula>NOT(ISERROR(SEARCH("Sell",E270)))</formula>
    </cfRule>
  </conditionalFormatting>
  <conditionalFormatting sqref="E269">
    <cfRule type="containsText" dxfId="7160" priority="1241" operator="containsText" text="Buy">
      <formula>NOT(ISERROR(SEARCH("Buy",E269)))</formula>
    </cfRule>
    <cfRule type="containsText" dxfId="7159" priority="1242" operator="containsText" text="Sell">
      <formula>NOT(ISERROR(SEARCH("Sell",E269)))</formula>
    </cfRule>
  </conditionalFormatting>
  <conditionalFormatting sqref="E268">
    <cfRule type="containsText" dxfId="7158" priority="1239" operator="containsText" text="Buy">
      <formula>NOT(ISERROR(SEARCH("Buy",E268)))</formula>
    </cfRule>
    <cfRule type="containsText" dxfId="7157" priority="1240" operator="containsText" text="Sell">
      <formula>NOT(ISERROR(SEARCH("Sell",E268)))</formula>
    </cfRule>
  </conditionalFormatting>
  <conditionalFormatting sqref="E267">
    <cfRule type="containsText" dxfId="7156" priority="1237" operator="containsText" text="Buy">
      <formula>NOT(ISERROR(SEARCH("Buy",E267)))</formula>
    </cfRule>
    <cfRule type="containsText" dxfId="7155" priority="1238" operator="containsText" text="Sell">
      <formula>NOT(ISERROR(SEARCH("Sell",E267)))</formula>
    </cfRule>
  </conditionalFormatting>
  <conditionalFormatting sqref="E260:E262">
    <cfRule type="containsText" dxfId="7154" priority="1235" operator="containsText" text="Buy">
      <formula>NOT(ISERROR(SEARCH("Buy",E260)))</formula>
    </cfRule>
    <cfRule type="containsText" dxfId="7153" priority="1236" operator="containsText" text="Sell">
      <formula>NOT(ISERROR(SEARCH("Sell",E260)))</formula>
    </cfRule>
  </conditionalFormatting>
  <conditionalFormatting sqref="E259">
    <cfRule type="containsText" dxfId="7152" priority="1233" operator="containsText" text="Buy">
      <formula>NOT(ISERROR(SEARCH("Buy",E259)))</formula>
    </cfRule>
    <cfRule type="containsText" dxfId="7151" priority="1234" operator="containsText" text="Sell">
      <formula>NOT(ISERROR(SEARCH("Sell",E259)))</formula>
    </cfRule>
  </conditionalFormatting>
  <conditionalFormatting sqref="E258">
    <cfRule type="containsText" dxfId="7150" priority="1231" operator="containsText" text="Buy">
      <formula>NOT(ISERROR(SEARCH("Buy",E258)))</formula>
    </cfRule>
    <cfRule type="containsText" dxfId="7149" priority="1232" operator="containsText" text="Sell">
      <formula>NOT(ISERROR(SEARCH("Sell",E258)))</formula>
    </cfRule>
  </conditionalFormatting>
  <conditionalFormatting sqref="E257">
    <cfRule type="containsText" dxfId="7148" priority="1229" operator="containsText" text="Buy">
      <formula>NOT(ISERROR(SEARCH("Buy",E257)))</formula>
    </cfRule>
    <cfRule type="containsText" dxfId="7147" priority="1230" operator="containsText" text="Sell">
      <formula>NOT(ISERROR(SEARCH("Sell",E257)))</formula>
    </cfRule>
  </conditionalFormatting>
  <conditionalFormatting sqref="E256">
    <cfRule type="containsText" dxfId="7146" priority="1227" operator="containsText" text="Buy">
      <formula>NOT(ISERROR(SEARCH("Buy",E256)))</formula>
    </cfRule>
    <cfRule type="containsText" dxfId="7145" priority="1228" operator="containsText" text="Sell">
      <formula>NOT(ISERROR(SEARCH("Sell",E256)))</formula>
    </cfRule>
  </conditionalFormatting>
  <conditionalFormatting sqref="E255">
    <cfRule type="containsText" dxfId="7144" priority="1225" operator="containsText" text="Buy">
      <formula>NOT(ISERROR(SEARCH("Buy",E255)))</formula>
    </cfRule>
    <cfRule type="containsText" dxfId="7143" priority="1226" operator="containsText" text="Sell">
      <formula>NOT(ISERROR(SEARCH("Sell",E255)))</formula>
    </cfRule>
  </conditionalFormatting>
  <conditionalFormatting sqref="E254">
    <cfRule type="containsText" dxfId="7142" priority="1223" operator="containsText" text="Buy">
      <formula>NOT(ISERROR(SEARCH("Buy",E254)))</formula>
    </cfRule>
    <cfRule type="containsText" dxfId="7141" priority="1224" operator="containsText" text="Sell">
      <formula>NOT(ISERROR(SEARCH("Sell",E254)))</formula>
    </cfRule>
  </conditionalFormatting>
  <conditionalFormatting sqref="E253">
    <cfRule type="containsText" dxfId="7140" priority="1221" operator="containsText" text="Buy">
      <formula>NOT(ISERROR(SEARCH("Buy",E253)))</formula>
    </cfRule>
    <cfRule type="containsText" dxfId="7139" priority="1222" operator="containsText" text="Sell">
      <formula>NOT(ISERROR(SEARCH("Sell",E253)))</formula>
    </cfRule>
  </conditionalFormatting>
  <conditionalFormatting sqref="E252">
    <cfRule type="containsText" dxfId="7138" priority="1219" operator="containsText" text="Buy">
      <formula>NOT(ISERROR(SEARCH("Buy",E252)))</formula>
    </cfRule>
    <cfRule type="containsText" dxfId="7137" priority="1220" operator="containsText" text="Sell">
      <formula>NOT(ISERROR(SEARCH("Sell",E252)))</formula>
    </cfRule>
  </conditionalFormatting>
  <conditionalFormatting sqref="E251">
    <cfRule type="containsText" dxfId="7136" priority="1217" operator="containsText" text="Buy">
      <formula>NOT(ISERROR(SEARCH("Buy",E251)))</formula>
    </cfRule>
    <cfRule type="containsText" dxfId="7135" priority="1218" operator="containsText" text="Sell">
      <formula>NOT(ISERROR(SEARCH("Sell",E251)))</formula>
    </cfRule>
  </conditionalFormatting>
  <conditionalFormatting sqref="E250">
    <cfRule type="containsText" dxfId="7134" priority="1215" operator="containsText" text="Buy">
      <formula>NOT(ISERROR(SEARCH("Buy",E250)))</formula>
    </cfRule>
    <cfRule type="containsText" dxfId="7133" priority="1216" operator="containsText" text="Sell">
      <formula>NOT(ISERROR(SEARCH("Sell",E250)))</formula>
    </cfRule>
  </conditionalFormatting>
  <conditionalFormatting sqref="E249">
    <cfRule type="containsText" dxfId="7132" priority="1213" operator="containsText" text="Buy">
      <formula>NOT(ISERROR(SEARCH("Buy",E249)))</formula>
    </cfRule>
    <cfRule type="containsText" dxfId="7131" priority="1214" operator="containsText" text="Sell">
      <formula>NOT(ISERROR(SEARCH("Sell",E249)))</formula>
    </cfRule>
  </conditionalFormatting>
  <conditionalFormatting sqref="E245">
    <cfRule type="containsText" dxfId="7130" priority="1211" operator="containsText" text="Buy">
      <formula>NOT(ISERROR(SEARCH("Buy",E245)))</formula>
    </cfRule>
    <cfRule type="containsText" dxfId="7129" priority="1212" operator="containsText" text="Sell">
      <formula>NOT(ISERROR(SEARCH("Sell",E245)))</formula>
    </cfRule>
  </conditionalFormatting>
  <conditionalFormatting sqref="E305">
    <cfRule type="containsText" dxfId="7128" priority="1209" operator="containsText" text="Buy">
      <formula>NOT(ISERROR(SEARCH("Buy",E305)))</formula>
    </cfRule>
    <cfRule type="containsText" dxfId="7127" priority="1210" operator="containsText" text="Sell">
      <formula>NOT(ISERROR(SEARCH("Sell",E305)))</formula>
    </cfRule>
  </conditionalFormatting>
  <conditionalFormatting sqref="E304 E301">
    <cfRule type="containsText" dxfId="7126" priority="1207" operator="containsText" text="Buy">
      <formula>NOT(ISERROR(SEARCH("Buy",E301)))</formula>
    </cfRule>
    <cfRule type="containsText" dxfId="7125" priority="1208" operator="containsText" text="Sell">
      <formula>NOT(ISERROR(SEARCH("Sell",E301)))</formula>
    </cfRule>
  </conditionalFormatting>
  <conditionalFormatting sqref="E310">
    <cfRule type="containsText" dxfId="7124" priority="1205" operator="containsText" text="Buy">
      <formula>NOT(ISERROR(SEARCH("Buy",E310)))</formula>
    </cfRule>
    <cfRule type="containsText" dxfId="7123" priority="1206" operator="containsText" text="Sell">
      <formula>NOT(ISERROR(SEARCH("Sell",E310)))</formula>
    </cfRule>
  </conditionalFormatting>
  <conditionalFormatting sqref="E392:E393">
    <cfRule type="containsText" dxfId="7122" priority="1203" operator="containsText" text="Buy">
      <formula>NOT(ISERROR(SEARCH("Buy",E392)))</formula>
    </cfRule>
    <cfRule type="containsText" dxfId="7121" priority="1204" operator="containsText" text="Sell">
      <formula>NOT(ISERROR(SEARCH("Sell",E392)))</formula>
    </cfRule>
  </conditionalFormatting>
  <conditionalFormatting sqref="E303">
    <cfRule type="containsText" dxfId="7120" priority="1201" operator="containsText" text="Buy">
      <formula>NOT(ISERROR(SEARCH("Buy",E303)))</formula>
    </cfRule>
    <cfRule type="containsText" dxfId="7119" priority="1202" operator="containsText" text="Sell">
      <formula>NOT(ISERROR(SEARCH("Sell",E303)))</formula>
    </cfRule>
  </conditionalFormatting>
  <conditionalFormatting sqref="E300">
    <cfRule type="containsText" dxfId="7118" priority="1199" operator="containsText" text="Buy">
      <formula>NOT(ISERROR(SEARCH("Buy",E300)))</formula>
    </cfRule>
    <cfRule type="containsText" dxfId="7117" priority="1200" operator="containsText" text="Sell">
      <formula>NOT(ISERROR(SEARCH("Sell",E300)))</formula>
    </cfRule>
  </conditionalFormatting>
  <conditionalFormatting sqref="E299">
    <cfRule type="containsText" dxfId="7116" priority="1197" operator="containsText" text="Buy">
      <formula>NOT(ISERROR(SEARCH("Buy",E299)))</formula>
    </cfRule>
    <cfRule type="containsText" dxfId="7115" priority="1198" operator="containsText" text="Sell">
      <formula>NOT(ISERROR(SEARCH("Sell",E299)))</formula>
    </cfRule>
  </conditionalFormatting>
  <conditionalFormatting sqref="E286">
    <cfRule type="containsText" dxfId="7114" priority="1195" operator="containsText" text="Buy">
      <formula>NOT(ISERROR(SEARCH("Buy",E286)))</formula>
    </cfRule>
    <cfRule type="containsText" dxfId="7113" priority="1196" operator="containsText" text="Sell">
      <formula>NOT(ISERROR(SEARCH("Sell",E286)))</formula>
    </cfRule>
  </conditionalFormatting>
  <conditionalFormatting sqref="E223:E226 E236 E233:E234">
    <cfRule type="containsText" dxfId="7112" priority="1193" operator="containsText" text="Buy">
      <formula>NOT(ISERROR(SEARCH("Buy",E223)))</formula>
    </cfRule>
    <cfRule type="containsText" dxfId="7111" priority="1194" operator="containsText" text="Sell">
      <formula>NOT(ISERROR(SEARCH("Sell",E223)))</formula>
    </cfRule>
  </conditionalFormatting>
  <conditionalFormatting sqref="E389:E390">
    <cfRule type="containsText" dxfId="7110" priority="1191" operator="containsText" text="Buy">
      <formula>NOT(ISERROR(SEARCH("Buy",E389)))</formula>
    </cfRule>
    <cfRule type="containsText" dxfId="7109" priority="1192" operator="containsText" text="Sell">
      <formula>NOT(ISERROR(SEARCH("Sell",E389)))</formula>
    </cfRule>
  </conditionalFormatting>
  <conditionalFormatting sqref="E386:E387">
    <cfRule type="containsText" dxfId="7108" priority="1189" operator="containsText" text="Buy">
      <formula>NOT(ISERROR(SEARCH("Buy",E386)))</formula>
    </cfRule>
    <cfRule type="containsText" dxfId="7107" priority="1190" operator="containsText" text="Sell">
      <formula>NOT(ISERROR(SEARCH("Sell",E386)))</formula>
    </cfRule>
  </conditionalFormatting>
  <conditionalFormatting sqref="E384:E385">
    <cfRule type="containsText" dxfId="7106" priority="1187" operator="containsText" text="Buy">
      <formula>NOT(ISERROR(SEARCH("Buy",E384)))</formula>
    </cfRule>
    <cfRule type="containsText" dxfId="7105" priority="1188" operator="containsText" text="Sell">
      <formula>NOT(ISERROR(SEARCH("Sell",E384)))</formula>
    </cfRule>
  </conditionalFormatting>
  <conditionalFormatting sqref="E381:E382">
    <cfRule type="containsText" dxfId="7104" priority="1185" operator="containsText" text="Buy">
      <formula>NOT(ISERROR(SEARCH("Buy",E381)))</formula>
    </cfRule>
    <cfRule type="containsText" dxfId="7103" priority="1186" operator="containsText" text="Sell">
      <formula>NOT(ISERROR(SEARCH("Sell",E381)))</formula>
    </cfRule>
  </conditionalFormatting>
  <conditionalFormatting sqref="E378:E380">
    <cfRule type="containsText" dxfId="7102" priority="1183" operator="containsText" text="Buy">
      <formula>NOT(ISERROR(SEARCH("Buy",E378)))</formula>
    </cfRule>
    <cfRule type="containsText" dxfId="7101" priority="1184" operator="containsText" text="Sell">
      <formula>NOT(ISERROR(SEARCH("Sell",E378)))</formula>
    </cfRule>
  </conditionalFormatting>
  <conditionalFormatting sqref="E375:E376">
    <cfRule type="containsText" dxfId="7100" priority="1181" operator="containsText" text="Buy">
      <formula>NOT(ISERROR(SEARCH("Buy",E375)))</formula>
    </cfRule>
    <cfRule type="containsText" dxfId="7099" priority="1182" operator="containsText" text="Sell">
      <formula>NOT(ISERROR(SEARCH("Sell",E375)))</formula>
    </cfRule>
  </conditionalFormatting>
  <conditionalFormatting sqref="E372:E373">
    <cfRule type="containsText" dxfId="7098" priority="1179" operator="containsText" text="Buy">
      <formula>NOT(ISERROR(SEARCH("Buy",E372)))</formula>
    </cfRule>
    <cfRule type="containsText" dxfId="7097" priority="1180" operator="containsText" text="Sell">
      <formula>NOT(ISERROR(SEARCH("Sell",E372)))</formula>
    </cfRule>
  </conditionalFormatting>
  <conditionalFormatting sqref="E369:E370">
    <cfRule type="containsText" dxfId="7096" priority="1177" operator="containsText" text="Buy">
      <formula>NOT(ISERROR(SEARCH("Buy",E369)))</formula>
    </cfRule>
    <cfRule type="containsText" dxfId="7095" priority="1178" operator="containsText" text="Sell">
      <formula>NOT(ISERROR(SEARCH("Sell",E369)))</formula>
    </cfRule>
  </conditionalFormatting>
  <conditionalFormatting sqref="E365">
    <cfRule type="containsText" dxfId="7094" priority="1173" operator="containsText" text="Buy">
      <formula>NOT(ISERROR(SEARCH("Buy",E365)))</formula>
    </cfRule>
    <cfRule type="containsText" dxfId="7093" priority="1174" operator="containsText" text="Sell">
      <formula>NOT(ISERROR(SEARCH("Sell",E365)))</formula>
    </cfRule>
  </conditionalFormatting>
  <conditionalFormatting sqref="E366:E367">
    <cfRule type="containsText" dxfId="7092" priority="1175" operator="containsText" text="Buy">
      <formula>NOT(ISERROR(SEARCH("Buy",E366)))</formula>
    </cfRule>
    <cfRule type="containsText" dxfId="7091" priority="1176" operator="containsText" text="Sell">
      <formula>NOT(ISERROR(SEARCH("Sell",E366)))</formula>
    </cfRule>
  </conditionalFormatting>
  <conditionalFormatting sqref="E359:E360">
    <cfRule type="containsText" dxfId="7090" priority="1171" operator="containsText" text="Buy">
      <formula>NOT(ISERROR(SEARCH("Buy",E359)))</formula>
    </cfRule>
    <cfRule type="containsText" dxfId="7089" priority="1172" operator="containsText" text="Sell">
      <formula>NOT(ISERROR(SEARCH("Sell",E359)))</formula>
    </cfRule>
  </conditionalFormatting>
  <conditionalFormatting sqref="E355:E356">
    <cfRule type="containsText" dxfId="7088" priority="1169" operator="containsText" text="Buy">
      <formula>NOT(ISERROR(SEARCH("Buy",E355)))</formula>
    </cfRule>
    <cfRule type="containsText" dxfId="7087" priority="1170" operator="containsText" text="Sell">
      <formula>NOT(ISERROR(SEARCH("Sell",E355)))</formula>
    </cfRule>
  </conditionalFormatting>
  <conditionalFormatting sqref="E220:E221">
    <cfRule type="containsText" dxfId="7086" priority="1167" operator="containsText" text="Buy">
      <formula>NOT(ISERROR(SEARCH("Buy",E220)))</formula>
    </cfRule>
    <cfRule type="containsText" dxfId="7085" priority="1168" operator="containsText" text="Sell">
      <formula>NOT(ISERROR(SEARCH("Sell",E220)))</formula>
    </cfRule>
  </conditionalFormatting>
  <conditionalFormatting sqref="E215:E216">
    <cfRule type="containsText" dxfId="7084" priority="1165" operator="containsText" text="Buy">
      <formula>NOT(ISERROR(SEARCH("Buy",E215)))</formula>
    </cfRule>
    <cfRule type="containsText" dxfId="7083" priority="1166" operator="containsText" text="Sell">
      <formula>NOT(ISERROR(SEARCH("Sell",E215)))</formula>
    </cfRule>
  </conditionalFormatting>
  <conditionalFormatting sqref="E232">
    <cfRule type="containsText" dxfId="7082" priority="1163" operator="containsText" text="Buy">
      <formula>NOT(ISERROR(SEARCH("Buy",E232)))</formula>
    </cfRule>
    <cfRule type="containsText" dxfId="7081" priority="1164" operator="containsText" text="Sell">
      <formula>NOT(ISERROR(SEARCH("Sell",E232)))</formula>
    </cfRule>
  </conditionalFormatting>
  <conditionalFormatting sqref="E231">
    <cfRule type="containsText" dxfId="7080" priority="1161" operator="containsText" text="Buy">
      <formula>NOT(ISERROR(SEARCH("Buy",E231)))</formula>
    </cfRule>
    <cfRule type="containsText" dxfId="7079" priority="1162" operator="containsText" text="Sell">
      <formula>NOT(ISERROR(SEARCH("Sell",E231)))</formula>
    </cfRule>
  </conditionalFormatting>
  <conditionalFormatting sqref="E227">
    <cfRule type="containsText" dxfId="7078" priority="1159" operator="containsText" text="Buy">
      <formula>NOT(ISERROR(SEARCH("Buy",E227)))</formula>
    </cfRule>
    <cfRule type="containsText" dxfId="7077" priority="1160" operator="containsText" text="Sell">
      <formula>NOT(ISERROR(SEARCH("Sell",E227)))</formula>
    </cfRule>
  </conditionalFormatting>
  <conditionalFormatting sqref="E352:E354">
    <cfRule type="containsText" dxfId="7076" priority="1157" operator="containsText" text="Buy">
      <formula>NOT(ISERROR(SEARCH("Buy",E352)))</formula>
    </cfRule>
    <cfRule type="containsText" dxfId="7075" priority="1158" operator="containsText" text="Sell">
      <formula>NOT(ISERROR(SEARCH("Sell",E352)))</formula>
    </cfRule>
  </conditionalFormatting>
  <conditionalFormatting sqref="E349:E350">
    <cfRule type="containsText" dxfId="7074" priority="1155" operator="containsText" text="Buy">
      <formula>NOT(ISERROR(SEARCH("Buy",E349)))</formula>
    </cfRule>
    <cfRule type="containsText" dxfId="7073" priority="1156" operator="containsText" text="Sell">
      <formula>NOT(ISERROR(SEARCH("Sell",E349)))</formula>
    </cfRule>
  </conditionalFormatting>
  <conditionalFormatting sqref="E343:E345">
    <cfRule type="containsText" dxfId="7072" priority="1153" operator="containsText" text="Buy">
      <formula>NOT(ISERROR(SEARCH("Buy",E343)))</formula>
    </cfRule>
    <cfRule type="containsText" dxfId="7071" priority="1154" operator="containsText" text="Sell">
      <formula>NOT(ISERROR(SEARCH("Sell",E343)))</formula>
    </cfRule>
  </conditionalFormatting>
  <conditionalFormatting sqref="E339:E340">
    <cfRule type="containsText" dxfId="7070" priority="1151" operator="containsText" text="Buy">
      <formula>NOT(ISERROR(SEARCH("Buy",E339)))</formula>
    </cfRule>
    <cfRule type="containsText" dxfId="7069" priority="1152" operator="containsText" text="Sell">
      <formula>NOT(ISERROR(SEARCH("Sell",E339)))</formula>
    </cfRule>
  </conditionalFormatting>
  <conditionalFormatting sqref="E348">
    <cfRule type="containsText" dxfId="7068" priority="1149" operator="containsText" text="Buy">
      <formula>NOT(ISERROR(SEARCH("Buy",E348)))</formula>
    </cfRule>
    <cfRule type="containsText" dxfId="7067" priority="1150" operator="containsText" text="Sell">
      <formula>NOT(ISERROR(SEARCH("Sell",E348)))</formula>
    </cfRule>
  </conditionalFormatting>
  <conditionalFormatting sqref="E328">
    <cfRule type="containsText" dxfId="7066" priority="1147" operator="containsText" text="Buy">
      <formula>NOT(ISERROR(SEARCH("Buy",E328)))</formula>
    </cfRule>
    <cfRule type="containsText" dxfId="7065" priority="1148" operator="containsText" text="Sell">
      <formula>NOT(ISERROR(SEARCH("Sell",E328)))</formula>
    </cfRule>
  </conditionalFormatting>
  <conditionalFormatting sqref="E327">
    <cfRule type="containsText" dxfId="7064" priority="1145" operator="containsText" text="Buy">
      <formula>NOT(ISERROR(SEARCH("Buy",E327)))</formula>
    </cfRule>
    <cfRule type="containsText" dxfId="7063" priority="1146" operator="containsText" text="Sell">
      <formula>NOT(ISERROR(SEARCH("Sell",E327)))</formula>
    </cfRule>
  </conditionalFormatting>
  <conditionalFormatting sqref="E326">
    <cfRule type="containsText" dxfId="7062" priority="1143" operator="containsText" text="Buy">
      <formula>NOT(ISERROR(SEARCH("Buy",E326)))</formula>
    </cfRule>
    <cfRule type="containsText" dxfId="7061" priority="1144" operator="containsText" text="Sell">
      <formula>NOT(ISERROR(SEARCH("Sell",E326)))</formula>
    </cfRule>
  </conditionalFormatting>
  <conditionalFormatting sqref="E283">
    <cfRule type="containsText" dxfId="7060" priority="1141" operator="containsText" text="Buy">
      <formula>NOT(ISERROR(SEARCH("Buy",E283)))</formula>
    </cfRule>
    <cfRule type="containsText" dxfId="7059" priority="1142" operator="containsText" text="Sell">
      <formula>NOT(ISERROR(SEARCH("Sell",E283)))</formula>
    </cfRule>
  </conditionalFormatting>
  <conditionalFormatting sqref="E302">
    <cfRule type="containsText" dxfId="7058" priority="1139" operator="containsText" text="Buy">
      <formula>NOT(ISERROR(SEARCH("Buy",E302)))</formula>
    </cfRule>
    <cfRule type="containsText" dxfId="7057" priority="1140" operator="containsText" text="Sell">
      <formula>NOT(ISERROR(SEARCH("Sell",E302)))</formula>
    </cfRule>
  </conditionalFormatting>
  <conditionalFormatting sqref="E196:E197">
    <cfRule type="containsText" dxfId="7056" priority="1137" operator="containsText" text="Buy">
      <formula>NOT(ISERROR(SEARCH("Buy",E196)))</formula>
    </cfRule>
    <cfRule type="containsText" dxfId="7055" priority="1138" operator="containsText" text="Sell">
      <formula>NOT(ISERROR(SEARCH("Sell",E196)))</formula>
    </cfRule>
  </conditionalFormatting>
  <conditionalFormatting sqref="E325">
    <cfRule type="containsText" dxfId="7054" priority="1133" operator="containsText" text="Buy">
      <formula>NOT(ISERROR(SEARCH("Buy",E325)))</formula>
    </cfRule>
    <cfRule type="containsText" dxfId="7053" priority="1134" operator="containsText" text="Sell">
      <formula>NOT(ISERROR(SEARCH("Sell",E325)))</formula>
    </cfRule>
  </conditionalFormatting>
  <conditionalFormatting sqref="E235">
    <cfRule type="containsText" dxfId="7052" priority="1135" operator="containsText" text="Buy">
      <formula>NOT(ISERROR(SEARCH("Buy",E235)))</formula>
    </cfRule>
    <cfRule type="containsText" dxfId="7051" priority="1136" operator="containsText" text="Sell">
      <formula>NOT(ISERROR(SEARCH("Sell",E235)))</formula>
    </cfRule>
  </conditionalFormatting>
  <conditionalFormatting sqref="E324">
    <cfRule type="containsText" dxfId="7050" priority="1131" operator="containsText" text="Buy">
      <formula>NOT(ISERROR(SEARCH("Buy",E324)))</formula>
    </cfRule>
    <cfRule type="containsText" dxfId="7049" priority="1132" operator="containsText" text="Sell">
      <formula>NOT(ISERROR(SEARCH("Sell",E324)))</formula>
    </cfRule>
  </conditionalFormatting>
  <conditionalFormatting sqref="E323">
    <cfRule type="containsText" dxfId="7048" priority="1129" operator="containsText" text="Buy">
      <formula>NOT(ISERROR(SEARCH("Buy",E323)))</formula>
    </cfRule>
    <cfRule type="containsText" dxfId="7047" priority="1130" operator="containsText" text="Sell">
      <formula>NOT(ISERROR(SEARCH("Sell",E323)))</formula>
    </cfRule>
  </conditionalFormatting>
  <conditionalFormatting sqref="E322">
    <cfRule type="containsText" dxfId="7046" priority="1127" operator="containsText" text="Buy">
      <formula>NOT(ISERROR(SEARCH("Buy",E322)))</formula>
    </cfRule>
    <cfRule type="containsText" dxfId="7045" priority="1128" operator="containsText" text="Sell">
      <formula>NOT(ISERROR(SEARCH("Sell",E322)))</formula>
    </cfRule>
  </conditionalFormatting>
  <conditionalFormatting sqref="E321">
    <cfRule type="containsText" dxfId="7044" priority="1125" operator="containsText" text="Buy">
      <formula>NOT(ISERROR(SEARCH("Buy",E321)))</formula>
    </cfRule>
    <cfRule type="containsText" dxfId="7043" priority="1126" operator="containsText" text="Sell">
      <formula>NOT(ISERROR(SEARCH("Sell",E321)))</formula>
    </cfRule>
  </conditionalFormatting>
  <conditionalFormatting sqref="E201:E203 E214">
    <cfRule type="containsText" dxfId="7042" priority="1123" operator="containsText" text="Buy">
      <formula>NOT(ISERROR(SEARCH("Buy",E201)))</formula>
    </cfRule>
    <cfRule type="containsText" dxfId="7041" priority="1124" operator="containsText" text="Sell">
      <formula>NOT(ISERROR(SEARCH("Sell",E201)))</formula>
    </cfRule>
  </conditionalFormatting>
  <conditionalFormatting sqref="E191:E192">
    <cfRule type="containsText" dxfId="7040" priority="1121" operator="containsText" text="Buy">
      <formula>NOT(ISERROR(SEARCH("Buy",E191)))</formula>
    </cfRule>
    <cfRule type="containsText" dxfId="7039" priority="1122" operator="containsText" text="Sell">
      <formula>NOT(ISERROR(SEARCH("Sell",E191)))</formula>
    </cfRule>
  </conditionalFormatting>
  <conditionalFormatting sqref="E185:E186">
    <cfRule type="containsText" dxfId="7038" priority="1119" operator="containsText" text="Buy">
      <formula>NOT(ISERROR(SEARCH("Buy",E185)))</formula>
    </cfRule>
    <cfRule type="containsText" dxfId="7037" priority="1120" operator="containsText" text="Sell">
      <formula>NOT(ISERROR(SEARCH("Sell",E185)))</formula>
    </cfRule>
  </conditionalFormatting>
  <conditionalFormatting sqref="E212:E213">
    <cfRule type="containsText" dxfId="7036" priority="1117" operator="containsText" text="Buy">
      <formula>NOT(ISERROR(SEARCH("Buy",E212)))</formula>
    </cfRule>
    <cfRule type="containsText" dxfId="7035" priority="1118" operator="containsText" text="Sell">
      <formula>NOT(ISERROR(SEARCH("Sell",E212)))</formula>
    </cfRule>
  </conditionalFormatting>
  <conditionalFormatting sqref="E211">
    <cfRule type="containsText" dxfId="7034" priority="1115" operator="containsText" text="Buy">
      <formula>NOT(ISERROR(SEARCH("Buy",E211)))</formula>
    </cfRule>
    <cfRule type="containsText" dxfId="7033" priority="1116" operator="containsText" text="Sell">
      <formula>NOT(ISERROR(SEARCH("Sell",E211)))</formula>
    </cfRule>
  </conditionalFormatting>
  <conditionalFormatting sqref="E294">
    <cfRule type="containsText" dxfId="7032" priority="1113" operator="containsText" text="Buy">
      <formula>NOT(ISERROR(SEARCH("Buy",E294)))</formula>
    </cfRule>
    <cfRule type="containsText" dxfId="7031" priority="1114" operator="containsText" text="Sell">
      <formula>NOT(ISERROR(SEARCH("Sell",E294)))</formula>
    </cfRule>
  </conditionalFormatting>
  <conditionalFormatting sqref="E293">
    <cfRule type="containsText" dxfId="7030" priority="1111" operator="containsText" text="Buy">
      <formula>NOT(ISERROR(SEARCH("Buy",E293)))</formula>
    </cfRule>
    <cfRule type="containsText" dxfId="7029" priority="1112" operator="containsText" text="Sell">
      <formula>NOT(ISERROR(SEARCH("Sell",E293)))</formula>
    </cfRule>
  </conditionalFormatting>
  <conditionalFormatting sqref="E182:E183">
    <cfRule type="containsText" dxfId="7028" priority="1109" operator="containsText" text="Buy">
      <formula>NOT(ISERROR(SEARCH("Buy",E182)))</formula>
    </cfRule>
    <cfRule type="containsText" dxfId="7027" priority="1110" operator="containsText" text="Sell">
      <formula>NOT(ISERROR(SEARCH("Sell",E182)))</formula>
    </cfRule>
  </conditionalFormatting>
  <conditionalFormatting sqref="E181">
    <cfRule type="containsText" dxfId="7026" priority="1107" operator="containsText" text="Buy">
      <formula>NOT(ISERROR(SEARCH("Buy",E181)))</formula>
    </cfRule>
    <cfRule type="containsText" dxfId="7025" priority="1108" operator="containsText" text="Sell">
      <formula>NOT(ISERROR(SEARCH("Sell",E181)))</formula>
    </cfRule>
  </conditionalFormatting>
  <conditionalFormatting sqref="E180">
    <cfRule type="containsText" dxfId="7024" priority="1105" operator="containsText" text="Buy">
      <formula>NOT(ISERROR(SEARCH("Buy",E180)))</formula>
    </cfRule>
    <cfRule type="containsText" dxfId="7023" priority="1106" operator="containsText" text="Sell">
      <formula>NOT(ISERROR(SEARCH("Sell",E180)))</formula>
    </cfRule>
  </conditionalFormatting>
  <conditionalFormatting sqref="E177">
    <cfRule type="containsText" dxfId="7022" priority="1103" operator="containsText" text="Buy">
      <formula>NOT(ISERROR(SEARCH("Buy",E177)))</formula>
    </cfRule>
    <cfRule type="containsText" dxfId="7021" priority="1104" operator="containsText" text="Sell">
      <formula>NOT(ISERROR(SEARCH("Sell",E177)))</formula>
    </cfRule>
  </conditionalFormatting>
  <conditionalFormatting sqref="E176">
    <cfRule type="containsText" dxfId="7020" priority="1101" operator="containsText" text="Buy">
      <formula>NOT(ISERROR(SEARCH("Buy",E176)))</formula>
    </cfRule>
    <cfRule type="containsText" dxfId="7019" priority="1102" operator="containsText" text="Sell">
      <formula>NOT(ISERROR(SEARCH("Sell",E176)))</formula>
    </cfRule>
  </conditionalFormatting>
  <conditionalFormatting sqref="E173">
    <cfRule type="containsText" dxfId="7018" priority="1099" operator="containsText" text="Buy">
      <formula>NOT(ISERROR(SEARCH("Buy",E173)))</formula>
    </cfRule>
    <cfRule type="containsText" dxfId="7017" priority="1100" operator="containsText" text="Sell">
      <formula>NOT(ISERROR(SEARCH("Sell",E173)))</formula>
    </cfRule>
  </conditionalFormatting>
  <conditionalFormatting sqref="E172">
    <cfRule type="containsText" dxfId="7016" priority="1097" operator="containsText" text="Buy">
      <formula>NOT(ISERROR(SEARCH("Buy",E172)))</formula>
    </cfRule>
    <cfRule type="containsText" dxfId="7015" priority="1098" operator="containsText" text="Sell">
      <formula>NOT(ISERROR(SEARCH("Sell",E172)))</formula>
    </cfRule>
  </conditionalFormatting>
  <conditionalFormatting sqref="E171">
    <cfRule type="containsText" dxfId="7014" priority="1095" operator="containsText" text="Buy">
      <formula>NOT(ISERROR(SEARCH("Buy",E171)))</formula>
    </cfRule>
    <cfRule type="containsText" dxfId="7013" priority="1096" operator="containsText" text="Sell">
      <formula>NOT(ISERROR(SEARCH("Sell",E171)))</formula>
    </cfRule>
  </conditionalFormatting>
  <conditionalFormatting sqref="E169:E170">
    <cfRule type="containsText" dxfId="7012" priority="1093" operator="containsText" text="Buy">
      <formula>NOT(ISERROR(SEARCH("Buy",E169)))</formula>
    </cfRule>
    <cfRule type="containsText" dxfId="7011" priority="1094" operator="containsText" text="Sell">
      <formula>NOT(ISERROR(SEARCH("Sell",E169)))</formula>
    </cfRule>
  </conditionalFormatting>
  <conditionalFormatting sqref="E166 E162:E163">
    <cfRule type="containsText" dxfId="7010" priority="1091" operator="containsText" text="Buy">
      <formula>NOT(ISERROR(SEARCH("Buy",E162)))</formula>
    </cfRule>
    <cfRule type="containsText" dxfId="7009" priority="1092" operator="containsText" text="Sell">
      <formula>NOT(ISERROR(SEARCH("Sell",E162)))</formula>
    </cfRule>
  </conditionalFormatting>
  <conditionalFormatting sqref="E158">
    <cfRule type="containsText" dxfId="7008" priority="1089" operator="containsText" text="Buy">
      <formula>NOT(ISERROR(SEARCH("Buy",E158)))</formula>
    </cfRule>
    <cfRule type="containsText" dxfId="7007" priority="1090" operator="containsText" text="Sell">
      <formula>NOT(ISERROR(SEARCH("Sell",E158)))</formula>
    </cfRule>
  </conditionalFormatting>
  <conditionalFormatting sqref="E157">
    <cfRule type="containsText" dxfId="7006" priority="1087" operator="containsText" text="Buy">
      <formula>NOT(ISERROR(SEARCH("Buy",E157)))</formula>
    </cfRule>
    <cfRule type="containsText" dxfId="7005" priority="1088" operator="containsText" text="Sell">
      <formula>NOT(ISERROR(SEARCH("Sell",E157)))</formula>
    </cfRule>
  </conditionalFormatting>
  <conditionalFormatting sqref="E165">
    <cfRule type="containsText" dxfId="7004" priority="1085" operator="containsText" text="Buy">
      <formula>NOT(ISERROR(SEARCH("Buy",E165)))</formula>
    </cfRule>
    <cfRule type="containsText" dxfId="7003" priority="1086" operator="containsText" text="Sell">
      <formula>NOT(ISERROR(SEARCH("Sell",E165)))</formula>
    </cfRule>
  </conditionalFormatting>
  <conditionalFormatting sqref="E164">
    <cfRule type="containsText" dxfId="7002" priority="1083" operator="containsText" text="Buy">
      <formula>NOT(ISERROR(SEARCH("Buy",E164)))</formula>
    </cfRule>
    <cfRule type="containsText" dxfId="7001" priority="1084" operator="containsText" text="Sell">
      <formula>NOT(ISERROR(SEARCH("Sell",E164)))</formula>
    </cfRule>
  </conditionalFormatting>
  <conditionalFormatting sqref="E298">
    <cfRule type="containsText" dxfId="7000" priority="1081" operator="containsText" text="Buy">
      <formula>NOT(ISERROR(SEARCH("Buy",E298)))</formula>
    </cfRule>
    <cfRule type="containsText" dxfId="6999" priority="1082" operator="containsText" text="Sell">
      <formula>NOT(ISERROR(SEARCH("Sell",E298)))</formula>
    </cfRule>
  </conditionalFormatting>
  <conditionalFormatting sqref="E219">
    <cfRule type="containsText" dxfId="6998" priority="1079" operator="containsText" text="Buy">
      <formula>NOT(ISERROR(SEARCH("Buy",E219)))</formula>
    </cfRule>
    <cfRule type="containsText" dxfId="6997" priority="1080" operator="containsText" text="Sell">
      <formula>NOT(ISERROR(SEARCH("Sell",E219)))</formula>
    </cfRule>
  </conditionalFormatting>
  <conditionalFormatting sqref="E266">
    <cfRule type="containsText" dxfId="6996" priority="1077" operator="containsText" text="Buy">
      <formula>NOT(ISERROR(SEARCH("Buy",E266)))</formula>
    </cfRule>
    <cfRule type="containsText" dxfId="6995" priority="1078" operator="containsText" text="Sell">
      <formula>NOT(ISERROR(SEARCH("Sell",E266)))</formula>
    </cfRule>
  </conditionalFormatting>
  <conditionalFormatting sqref="E161">
    <cfRule type="containsText" dxfId="6994" priority="1075" operator="containsText" text="Buy">
      <formula>NOT(ISERROR(SEARCH("Buy",E161)))</formula>
    </cfRule>
    <cfRule type="containsText" dxfId="6993" priority="1076" operator="containsText" text="Sell">
      <formula>NOT(ISERROR(SEARCH("Sell",E161)))</formula>
    </cfRule>
  </conditionalFormatting>
  <conditionalFormatting sqref="E151">
    <cfRule type="containsText" dxfId="6992" priority="1073" operator="containsText" text="Buy">
      <formula>NOT(ISERROR(SEARCH("Buy",E151)))</formula>
    </cfRule>
    <cfRule type="containsText" dxfId="6991" priority="1074" operator="containsText" text="Sell">
      <formula>NOT(ISERROR(SEARCH("Sell",E151)))</formula>
    </cfRule>
  </conditionalFormatting>
  <conditionalFormatting sqref="E265">
    <cfRule type="containsText" dxfId="6990" priority="1071" operator="containsText" text="Buy">
      <formula>NOT(ISERROR(SEARCH("Buy",E265)))</formula>
    </cfRule>
    <cfRule type="containsText" dxfId="6989" priority="1072" operator="containsText" text="Sell">
      <formula>NOT(ISERROR(SEARCH("Sell",E265)))</formula>
    </cfRule>
  </conditionalFormatting>
  <conditionalFormatting sqref="E264">
    <cfRule type="containsText" dxfId="6988" priority="1069" operator="containsText" text="Buy">
      <formula>NOT(ISERROR(SEARCH("Buy",E264)))</formula>
    </cfRule>
    <cfRule type="containsText" dxfId="6987" priority="1070" operator="containsText" text="Sell">
      <formula>NOT(ISERROR(SEARCH("Sell",E264)))</formula>
    </cfRule>
  </conditionalFormatting>
  <conditionalFormatting sqref="E335:E337">
    <cfRule type="containsText" dxfId="6986" priority="1067" operator="containsText" text="Buy">
      <formula>NOT(ISERROR(SEARCH("Buy",E335)))</formula>
    </cfRule>
    <cfRule type="containsText" dxfId="6985" priority="1068" operator="containsText" text="Sell">
      <formula>NOT(ISERROR(SEARCH("Sell",E335)))</formula>
    </cfRule>
  </conditionalFormatting>
  <conditionalFormatting sqref="E320">
    <cfRule type="containsText" dxfId="6984" priority="1065" operator="containsText" text="Buy">
      <formula>NOT(ISERROR(SEARCH("Buy",E320)))</formula>
    </cfRule>
    <cfRule type="containsText" dxfId="6983" priority="1066" operator="containsText" text="Sell">
      <formula>NOT(ISERROR(SEARCH("Sell",E320)))</formula>
    </cfRule>
  </conditionalFormatting>
  <conditionalFormatting sqref="E319">
    <cfRule type="containsText" dxfId="6982" priority="1063" operator="containsText" text="Buy">
      <formula>NOT(ISERROR(SEARCH("Buy",E319)))</formula>
    </cfRule>
    <cfRule type="containsText" dxfId="6981" priority="1064" operator="containsText" text="Sell">
      <formula>NOT(ISERROR(SEARCH("Sell",E319)))</formula>
    </cfRule>
  </conditionalFormatting>
  <conditionalFormatting sqref="E156">
    <cfRule type="containsText" dxfId="6980" priority="1061" operator="containsText" text="Buy">
      <formula>NOT(ISERROR(SEARCH("Buy",E156)))</formula>
    </cfRule>
    <cfRule type="containsText" dxfId="6979" priority="1062" operator="containsText" text="Sell">
      <formula>NOT(ISERROR(SEARCH("Sell",E156)))</formula>
    </cfRule>
  </conditionalFormatting>
  <conditionalFormatting sqref="E285">
    <cfRule type="containsText" dxfId="6978" priority="1059" operator="containsText" text="Buy">
      <formula>NOT(ISERROR(SEARCH("Buy",E285)))</formula>
    </cfRule>
    <cfRule type="containsText" dxfId="6977" priority="1060" operator="containsText" text="Sell">
      <formula>NOT(ISERROR(SEARCH("Sell",E285)))</formula>
    </cfRule>
  </conditionalFormatting>
  <conditionalFormatting sqref="E282">
    <cfRule type="containsText" dxfId="6976" priority="1057" operator="containsText" text="Buy">
      <formula>NOT(ISERROR(SEARCH("Buy",E282)))</formula>
    </cfRule>
    <cfRule type="containsText" dxfId="6975" priority="1058" operator="containsText" text="Sell">
      <formula>NOT(ISERROR(SEARCH("Sell",E282)))</formula>
    </cfRule>
  </conditionalFormatting>
  <conditionalFormatting sqref="E147:E148">
    <cfRule type="containsText" dxfId="6974" priority="1055" operator="containsText" text="Buy">
      <formula>NOT(ISERROR(SEARCH("Buy",E147)))</formula>
    </cfRule>
    <cfRule type="containsText" dxfId="6973" priority="1056" operator="containsText" text="Sell">
      <formula>NOT(ISERROR(SEARCH("Sell",E147)))</formula>
    </cfRule>
  </conditionalFormatting>
  <conditionalFormatting sqref="E144:E145">
    <cfRule type="containsText" dxfId="6972" priority="1053" operator="containsText" text="Buy">
      <formula>NOT(ISERROR(SEARCH("Buy",E144)))</formula>
    </cfRule>
    <cfRule type="containsText" dxfId="6971" priority="1054" operator="containsText" text="Sell">
      <formula>NOT(ISERROR(SEARCH("Sell",E144)))</formula>
    </cfRule>
  </conditionalFormatting>
  <conditionalFormatting sqref="E318">
    <cfRule type="containsText" dxfId="6970" priority="1051" operator="containsText" text="Buy">
      <formula>NOT(ISERROR(SEARCH("Buy",E318)))</formula>
    </cfRule>
    <cfRule type="containsText" dxfId="6969" priority="1052" operator="containsText" text="Sell">
      <formula>NOT(ISERROR(SEARCH("Sell",E318)))</formula>
    </cfRule>
  </conditionalFormatting>
  <conditionalFormatting sqref="E141:E142">
    <cfRule type="containsText" dxfId="6968" priority="1049" operator="containsText" text="Buy">
      <formula>NOT(ISERROR(SEARCH("Buy",E141)))</formula>
    </cfRule>
    <cfRule type="containsText" dxfId="6967" priority="1050" operator="containsText" text="Sell">
      <formula>NOT(ISERROR(SEARCH("Sell",E141)))</formula>
    </cfRule>
  </conditionalFormatting>
  <conditionalFormatting sqref="E138:E139">
    <cfRule type="containsText" dxfId="6966" priority="1047" operator="containsText" text="Buy">
      <formula>NOT(ISERROR(SEARCH("Buy",E138)))</formula>
    </cfRule>
    <cfRule type="containsText" dxfId="6965" priority="1048" operator="containsText" text="Sell">
      <formula>NOT(ISERROR(SEARCH("Sell",E138)))</formula>
    </cfRule>
  </conditionalFormatting>
  <conditionalFormatting sqref="E210">
    <cfRule type="containsText" dxfId="6964" priority="1045" operator="containsText" text="Buy">
      <formula>NOT(ISERROR(SEARCH("Buy",E210)))</formula>
    </cfRule>
    <cfRule type="containsText" dxfId="6963" priority="1046" operator="containsText" text="Sell">
      <formula>NOT(ISERROR(SEARCH("Sell",E210)))</formula>
    </cfRule>
  </conditionalFormatting>
  <conditionalFormatting sqref="E136">
    <cfRule type="containsText" dxfId="6962" priority="1043" operator="containsText" text="Buy">
      <formula>NOT(ISERROR(SEARCH("Buy",E136)))</formula>
    </cfRule>
    <cfRule type="containsText" dxfId="6961" priority="1044" operator="containsText" text="Sell">
      <formula>NOT(ISERROR(SEARCH("Sell",E136)))</formula>
    </cfRule>
  </conditionalFormatting>
  <conditionalFormatting sqref="E135">
    <cfRule type="containsText" dxfId="6960" priority="1041" operator="containsText" text="Buy">
      <formula>NOT(ISERROR(SEARCH("Buy",E135)))</formula>
    </cfRule>
    <cfRule type="containsText" dxfId="6959" priority="1042" operator="containsText" text="Sell">
      <formula>NOT(ISERROR(SEARCH("Sell",E135)))</formula>
    </cfRule>
  </conditionalFormatting>
  <conditionalFormatting sqref="E347">
    <cfRule type="containsText" dxfId="6958" priority="1039" operator="containsText" text="Buy">
      <formula>NOT(ISERROR(SEARCH("Buy",E347)))</formula>
    </cfRule>
    <cfRule type="containsText" dxfId="6957" priority="1040" operator="containsText" text="Sell">
      <formula>NOT(ISERROR(SEARCH("Sell",E347)))</formula>
    </cfRule>
  </conditionalFormatting>
  <conditionalFormatting sqref="E364">
    <cfRule type="containsText" dxfId="6956" priority="1037" operator="containsText" text="Buy">
      <formula>NOT(ISERROR(SEARCH("Buy",E364)))</formula>
    </cfRule>
    <cfRule type="containsText" dxfId="6955" priority="1038" operator="containsText" text="Sell">
      <formula>NOT(ISERROR(SEARCH("Sell",E364)))</formula>
    </cfRule>
  </conditionalFormatting>
  <conditionalFormatting sqref="E127:E128">
    <cfRule type="containsText" dxfId="6954" priority="1035" operator="containsText" text="Buy">
      <formula>NOT(ISERROR(SEARCH("Buy",E127)))</formula>
    </cfRule>
    <cfRule type="containsText" dxfId="6953" priority="1036" operator="containsText" text="Sell">
      <formula>NOT(ISERROR(SEARCH("Sell",E127)))</formula>
    </cfRule>
  </conditionalFormatting>
  <conditionalFormatting sqref="E342">
    <cfRule type="containsText" dxfId="6952" priority="1033" operator="containsText" text="Buy">
      <formula>NOT(ISERROR(SEARCH("Buy",E342)))</formula>
    </cfRule>
    <cfRule type="containsText" dxfId="6951" priority="1034" operator="containsText" text="Sell">
      <formula>NOT(ISERROR(SEARCH("Sell",E342)))</formula>
    </cfRule>
  </conditionalFormatting>
  <conditionalFormatting sqref="E338">
    <cfRule type="containsText" dxfId="6950" priority="1031" operator="containsText" text="Buy">
      <formula>NOT(ISERROR(SEARCH("Buy",E338)))</formula>
    </cfRule>
    <cfRule type="containsText" dxfId="6949" priority="1032" operator="containsText" text="Sell">
      <formula>NOT(ISERROR(SEARCH("Sell",E338)))</formula>
    </cfRule>
  </conditionalFormatting>
  <conditionalFormatting sqref="E76:E77 E119 E116 E113 E110 E101 E80 E95">
    <cfRule type="containsText" dxfId="6948" priority="1029" operator="containsText" text="Buy">
      <formula>NOT(ISERROR(SEARCH("Buy",E76)))</formula>
    </cfRule>
    <cfRule type="containsText" dxfId="6947" priority="1030" operator="containsText" text="Sell">
      <formula>NOT(ISERROR(SEARCH("Sell",E76)))</formula>
    </cfRule>
  </conditionalFormatting>
  <conditionalFormatting sqref="E209">
    <cfRule type="containsText" dxfId="6946" priority="1027" operator="containsText" text="Buy">
      <formula>NOT(ISERROR(SEARCH("Buy",E209)))</formula>
    </cfRule>
    <cfRule type="containsText" dxfId="6945" priority="1028" operator="containsText" text="Sell">
      <formula>NOT(ISERROR(SEARCH("Sell",E209)))</formula>
    </cfRule>
  </conditionalFormatting>
  <conditionalFormatting sqref="E263">
    <cfRule type="containsText" dxfId="6944" priority="1025" operator="containsText" text="Buy">
      <formula>NOT(ISERROR(SEARCH("Buy",E263)))</formula>
    </cfRule>
    <cfRule type="containsText" dxfId="6943" priority="1026" operator="containsText" text="Sell">
      <formula>NOT(ISERROR(SEARCH("Sell",E263)))</formula>
    </cfRule>
  </conditionalFormatting>
  <conditionalFormatting sqref="E218">
    <cfRule type="containsText" dxfId="6942" priority="1023" operator="containsText" text="Buy">
      <formula>NOT(ISERROR(SEARCH("Buy",E218)))</formula>
    </cfRule>
    <cfRule type="containsText" dxfId="6941" priority="1024" operator="containsText" text="Sell">
      <formula>NOT(ISERROR(SEARCH("Sell",E218)))</formula>
    </cfRule>
  </conditionalFormatting>
  <conditionalFormatting sqref="E153">
    <cfRule type="containsText" dxfId="6940" priority="1021" operator="containsText" text="Buy">
      <formula>NOT(ISERROR(SEARCH("Buy",E153)))</formula>
    </cfRule>
    <cfRule type="containsText" dxfId="6939" priority="1022" operator="containsText" text="Sell">
      <formula>NOT(ISERROR(SEARCH("Sell",E153)))</formula>
    </cfRule>
  </conditionalFormatting>
  <conditionalFormatting sqref="E61:E62">
    <cfRule type="containsText" dxfId="6938" priority="1019" operator="containsText" text="Buy">
      <formula>NOT(ISERROR(SEARCH("Buy",E61)))</formula>
    </cfRule>
    <cfRule type="containsText" dxfId="6937" priority="1020" operator="containsText" text="Sell">
      <formula>NOT(ISERROR(SEARCH("Sell",E61)))</formula>
    </cfRule>
  </conditionalFormatting>
  <conditionalFormatting sqref="E60">
    <cfRule type="containsText" dxfId="6936" priority="1017" operator="containsText" text="Buy">
      <formula>NOT(ISERROR(SEARCH("Buy",E60)))</formula>
    </cfRule>
    <cfRule type="containsText" dxfId="6935" priority="1018" operator="containsText" text="Sell">
      <formula>NOT(ISERROR(SEARCH("Sell",E60)))</formula>
    </cfRule>
  </conditionalFormatting>
  <conditionalFormatting sqref="E309">
    <cfRule type="containsText" dxfId="6934" priority="1015" operator="containsText" text="Buy">
      <formula>NOT(ISERROR(SEARCH("Buy",E309)))</formula>
    </cfRule>
    <cfRule type="containsText" dxfId="6933" priority="1016" operator="containsText" text="Sell">
      <formula>NOT(ISERROR(SEARCH("Sell",E309)))</formula>
    </cfRule>
  </conditionalFormatting>
  <conditionalFormatting sqref="E74">
    <cfRule type="containsText" dxfId="6932" priority="1013" operator="containsText" text="Buy">
      <formula>NOT(ISERROR(SEARCH("Buy",E74)))</formula>
    </cfRule>
    <cfRule type="containsText" dxfId="6931" priority="1014" operator="containsText" text="Sell">
      <formula>NOT(ISERROR(SEARCH("Sell",E74)))</formula>
    </cfRule>
  </conditionalFormatting>
  <conditionalFormatting sqref="E363">
    <cfRule type="containsText" dxfId="6930" priority="1011" operator="containsText" text="Buy">
      <formula>NOT(ISERROR(SEARCH("Buy",E363)))</formula>
    </cfRule>
    <cfRule type="containsText" dxfId="6929" priority="1012" operator="containsText" text="Sell">
      <formula>NOT(ISERROR(SEARCH("Sell",E363)))</formula>
    </cfRule>
  </conditionalFormatting>
  <conditionalFormatting sqref="E124:E125">
    <cfRule type="containsText" dxfId="6928" priority="1009" operator="containsText" text="Buy">
      <formula>NOT(ISERROR(SEARCH("Buy",E124)))</formula>
    </cfRule>
    <cfRule type="containsText" dxfId="6927" priority="1010" operator="containsText" text="Sell">
      <formula>NOT(ISERROR(SEARCH("Sell",E124)))</formula>
    </cfRule>
  </conditionalFormatting>
  <conditionalFormatting sqref="E208">
    <cfRule type="containsText" dxfId="6926" priority="1007" operator="containsText" text="Buy">
      <formula>NOT(ISERROR(SEARCH("Buy",E208)))</formula>
    </cfRule>
    <cfRule type="containsText" dxfId="6925" priority="1008" operator="containsText" text="Sell">
      <formula>NOT(ISERROR(SEARCH("Sell",E208)))</formula>
    </cfRule>
  </conditionalFormatting>
  <conditionalFormatting sqref="E73">
    <cfRule type="containsText" dxfId="6924" priority="1005" operator="containsText" text="Buy">
      <formula>NOT(ISERROR(SEARCH("Buy",E73)))</formula>
    </cfRule>
    <cfRule type="containsText" dxfId="6923" priority="1006" operator="containsText" text="Sell">
      <formula>NOT(ISERROR(SEARCH("Sell",E73)))</formula>
    </cfRule>
  </conditionalFormatting>
  <conditionalFormatting sqref="E281">
    <cfRule type="containsText" dxfId="6922" priority="1003" operator="containsText" text="Buy">
      <formula>NOT(ISERROR(SEARCH("Buy",E281)))</formula>
    </cfRule>
    <cfRule type="containsText" dxfId="6921" priority="1004" operator="containsText" text="Sell">
      <formula>NOT(ISERROR(SEARCH("Sell",E281)))</formula>
    </cfRule>
  </conditionalFormatting>
  <conditionalFormatting sqref="E120:E121">
    <cfRule type="containsText" dxfId="6920" priority="1001" operator="containsText" text="Buy">
      <formula>NOT(ISERROR(SEARCH("Buy",E120)))</formula>
    </cfRule>
    <cfRule type="containsText" dxfId="6919" priority="1002" operator="containsText" text="Sell">
      <formula>NOT(ISERROR(SEARCH("Sell",E120)))</formula>
    </cfRule>
  </conditionalFormatting>
  <conditionalFormatting sqref="E358">
    <cfRule type="containsText" dxfId="6918" priority="999" operator="containsText" text="Buy">
      <formula>NOT(ISERROR(SEARCH("Buy",E358)))</formula>
    </cfRule>
    <cfRule type="containsText" dxfId="6917" priority="1000" operator="containsText" text="Sell">
      <formula>NOT(ISERROR(SEARCH("Sell",E358)))</formula>
    </cfRule>
  </conditionalFormatting>
  <conditionalFormatting sqref="E117:E118">
    <cfRule type="containsText" dxfId="6916" priority="997" operator="containsText" text="Buy">
      <formula>NOT(ISERROR(SEARCH("Buy",E117)))</formula>
    </cfRule>
    <cfRule type="containsText" dxfId="6915" priority="998" operator="containsText" text="Sell">
      <formula>NOT(ISERROR(SEARCH("Sell",E117)))</formula>
    </cfRule>
  </conditionalFormatting>
  <conditionalFormatting sqref="E114:E115">
    <cfRule type="containsText" dxfId="6914" priority="995" operator="containsText" text="Buy">
      <formula>NOT(ISERROR(SEARCH("Buy",E114)))</formula>
    </cfRule>
    <cfRule type="containsText" dxfId="6913" priority="996" operator="containsText" text="Sell">
      <formula>NOT(ISERROR(SEARCH("Sell",E114)))</formula>
    </cfRule>
  </conditionalFormatting>
  <conditionalFormatting sqref="E248">
    <cfRule type="containsText" dxfId="6912" priority="993" operator="containsText" text="Buy">
      <formula>NOT(ISERROR(SEARCH("Buy",E248)))</formula>
    </cfRule>
    <cfRule type="containsText" dxfId="6911" priority="994" operator="containsText" text="Sell">
      <formula>NOT(ISERROR(SEARCH("Sell",E248)))</formula>
    </cfRule>
  </conditionalFormatting>
  <conditionalFormatting sqref="E362">
    <cfRule type="containsText" dxfId="6910" priority="991" operator="containsText" text="Buy">
      <formula>NOT(ISERROR(SEARCH("Buy",E362)))</formula>
    </cfRule>
    <cfRule type="containsText" dxfId="6909" priority="992" operator="containsText" text="Sell">
      <formula>NOT(ISERROR(SEARCH("Sell",E362)))</formula>
    </cfRule>
  </conditionalFormatting>
  <conditionalFormatting sqref="E346">
    <cfRule type="containsText" dxfId="6908" priority="989" operator="containsText" text="Buy">
      <formula>NOT(ISERROR(SEARCH("Buy",E346)))</formula>
    </cfRule>
    <cfRule type="containsText" dxfId="6907" priority="990" operator="containsText" text="Sell">
      <formula>NOT(ISERROR(SEARCH("Sell",E346)))</formula>
    </cfRule>
  </conditionalFormatting>
  <conditionalFormatting sqref="E123">
    <cfRule type="containsText" dxfId="6906" priority="987" operator="containsText" text="Buy">
      <formula>NOT(ISERROR(SEARCH("Buy",E123)))</formula>
    </cfRule>
    <cfRule type="containsText" dxfId="6905" priority="988" operator="containsText" text="Sell">
      <formula>NOT(ISERROR(SEARCH("Sell",E123)))</formula>
    </cfRule>
  </conditionalFormatting>
  <conditionalFormatting sqref="E111:E112">
    <cfRule type="containsText" dxfId="6904" priority="985" operator="containsText" text="Buy">
      <formula>NOT(ISERROR(SEARCH("Buy",E111)))</formula>
    </cfRule>
    <cfRule type="containsText" dxfId="6903" priority="986" operator="containsText" text="Sell">
      <formula>NOT(ISERROR(SEARCH("Sell",E111)))</formula>
    </cfRule>
  </conditionalFormatting>
  <conditionalFormatting sqref="E105:E107">
    <cfRule type="containsText" dxfId="6902" priority="983" operator="containsText" text="Buy">
      <formula>NOT(ISERROR(SEARCH("Buy",E105)))</formula>
    </cfRule>
    <cfRule type="containsText" dxfId="6901" priority="984" operator="containsText" text="Sell">
      <formula>NOT(ISERROR(SEARCH("Sell",E105)))</formula>
    </cfRule>
  </conditionalFormatting>
  <conditionalFormatting sqref="E130">
    <cfRule type="containsText" dxfId="6900" priority="981" operator="containsText" text="Buy">
      <formula>NOT(ISERROR(SEARCH("Buy",E130)))</formula>
    </cfRule>
    <cfRule type="containsText" dxfId="6899" priority="982" operator="containsText" text="Sell">
      <formula>NOT(ISERROR(SEARCH("Sell",E130)))</formula>
    </cfRule>
  </conditionalFormatting>
  <conditionalFormatting sqref="E308">
    <cfRule type="containsText" dxfId="6898" priority="979" operator="containsText" text="Buy">
      <formula>NOT(ISERROR(SEARCH("Buy",E308)))</formula>
    </cfRule>
    <cfRule type="containsText" dxfId="6897" priority="980" operator="containsText" text="Sell">
      <formula>NOT(ISERROR(SEARCH("Sell",E308)))</formula>
    </cfRule>
  </conditionalFormatting>
  <conditionalFormatting sqref="E279">
    <cfRule type="containsText" dxfId="6896" priority="975" operator="containsText" text="Buy">
      <formula>NOT(ISERROR(SEARCH("Buy",E279)))</formula>
    </cfRule>
    <cfRule type="containsText" dxfId="6895" priority="976" operator="containsText" text="Sell">
      <formula>NOT(ISERROR(SEARCH("Sell",E279)))</formula>
    </cfRule>
  </conditionalFormatting>
  <conditionalFormatting sqref="E238">
    <cfRule type="containsText" dxfId="6894" priority="973" operator="containsText" text="Buy">
      <formula>NOT(ISERROR(SEARCH("Buy",E238)))</formula>
    </cfRule>
    <cfRule type="containsText" dxfId="6893" priority="974" operator="containsText" text="Sell">
      <formula>NOT(ISERROR(SEARCH("Sell",E238)))</formula>
    </cfRule>
  </conditionalFormatting>
  <conditionalFormatting sqref="E280">
    <cfRule type="containsText" dxfId="6892" priority="977" operator="containsText" text="Buy">
      <formula>NOT(ISERROR(SEARCH("Buy",E280)))</formula>
    </cfRule>
    <cfRule type="containsText" dxfId="6891" priority="978" operator="containsText" text="Sell">
      <formula>NOT(ISERROR(SEARCH("Sell",E280)))</formula>
    </cfRule>
  </conditionalFormatting>
  <conditionalFormatting sqref="E58">
    <cfRule type="containsText" dxfId="6890" priority="971" operator="containsText" text="Buy">
      <formula>NOT(ISERROR(SEARCH("Buy",E58)))</formula>
    </cfRule>
    <cfRule type="containsText" dxfId="6889" priority="972" operator="containsText" text="Sell">
      <formula>NOT(ISERROR(SEARCH("Sell",E58)))</formula>
    </cfRule>
  </conditionalFormatting>
  <conditionalFormatting sqref="E168">
    <cfRule type="containsText" dxfId="6888" priority="967" operator="containsText" text="Buy">
      <formula>NOT(ISERROR(SEARCH("Buy",E168)))</formula>
    </cfRule>
    <cfRule type="containsText" dxfId="6887" priority="968" operator="containsText" text="Sell">
      <formula>NOT(ISERROR(SEARCH("Sell",E168)))</formula>
    </cfRule>
  </conditionalFormatting>
  <conditionalFormatting sqref="E78:E79">
    <cfRule type="containsText" dxfId="6886" priority="961" operator="containsText" text="Buy">
      <formula>NOT(ISERROR(SEARCH("Buy",E78)))</formula>
    </cfRule>
    <cfRule type="containsText" dxfId="6885" priority="962" operator="containsText" text="Sell">
      <formula>NOT(ISERROR(SEARCH("Sell",E78)))</formula>
    </cfRule>
  </conditionalFormatting>
  <conditionalFormatting sqref="E41">
    <cfRule type="containsText" dxfId="6884" priority="965" operator="containsText" text="Buy">
      <formula>NOT(ISERROR(SEARCH("Buy",E41)))</formula>
    </cfRule>
    <cfRule type="containsText" dxfId="6883" priority="966" operator="containsText" text="Sell">
      <formula>NOT(ISERROR(SEARCH("Sell",E41)))</formula>
    </cfRule>
  </conditionalFormatting>
  <conditionalFormatting sqref="E96:E98">
    <cfRule type="containsText" dxfId="6882" priority="963" operator="containsText" text="Buy">
      <formula>NOT(ISERROR(SEARCH("Buy",E96)))</formula>
    </cfRule>
    <cfRule type="containsText" dxfId="6881" priority="964" operator="containsText" text="Sell">
      <formula>NOT(ISERROR(SEARCH("Sell",E96)))</formula>
    </cfRule>
  </conditionalFormatting>
  <conditionalFormatting sqref="E64">
    <cfRule type="containsText" dxfId="6880" priority="943" operator="containsText" text="Buy">
      <formula>NOT(ISERROR(SEARCH("Buy",E64)))</formula>
    </cfRule>
    <cfRule type="containsText" dxfId="6879" priority="944" operator="containsText" text="Sell">
      <formula>NOT(ISERROR(SEARCH("Sell",E64)))</formula>
    </cfRule>
  </conditionalFormatting>
  <conditionalFormatting sqref="E81:E83">
    <cfRule type="containsText" dxfId="6878" priority="959" operator="containsText" text="Buy">
      <formula>NOT(ISERROR(SEARCH("Buy",E81)))</formula>
    </cfRule>
    <cfRule type="containsText" dxfId="6877" priority="960" operator="containsText" text="Sell">
      <formula>NOT(ISERROR(SEARCH("Sell",E81)))</formula>
    </cfRule>
  </conditionalFormatting>
  <conditionalFormatting sqref="E84:E86">
    <cfRule type="containsText" dxfId="6876" priority="957" operator="containsText" text="Buy">
      <formula>NOT(ISERROR(SEARCH("Buy",E84)))</formula>
    </cfRule>
    <cfRule type="containsText" dxfId="6875" priority="958" operator="containsText" text="Sell">
      <formula>NOT(ISERROR(SEARCH("Sell",E84)))</formula>
    </cfRule>
  </conditionalFormatting>
  <conditionalFormatting sqref="E87:E89">
    <cfRule type="containsText" dxfId="6874" priority="955" operator="containsText" text="Buy">
      <formula>NOT(ISERROR(SEARCH("Buy",E87)))</formula>
    </cfRule>
    <cfRule type="containsText" dxfId="6873" priority="956" operator="containsText" text="Sell">
      <formula>NOT(ISERROR(SEARCH("Sell",E87)))</formula>
    </cfRule>
  </conditionalFormatting>
  <conditionalFormatting sqref="E90:E92">
    <cfRule type="containsText" dxfId="6872" priority="953" operator="containsText" text="Buy">
      <formula>NOT(ISERROR(SEARCH("Buy",E90)))</formula>
    </cfRule>
    <cfRule type="containsText" dxfId="6871" priority="954" operator="containsText" text="Sell">
      <formula>NOT(ISERROR(SEARCH("Sell",E90)))</formula>
    </cfRule>
  </conditionalFormatting>
  <conditionalFormatting sqref="E93:E94">
    <cfRule type="containsText" dxfId="6870" priority="951" operator="containsText" text="Buy">
      <formula>NOT(ISERROR(SEARCH("Buy",E93)))</formula>
    </cfRule>
    <cfRule type="containsText" dxfId="6869" priority="952" operator="containsText" text="Sell">
      <formula>NOT(ISERROR(SEARCH("Sell",E93)))</formula>
    </cfRule>
  </conditionalFormatting>
  <conditionalFormatting sqref="E108:E109">
    <cfRule type="containsText" dxfId="6868" priority="949" operator="containsText" text="Buy">
      <formula>NOT(ISERROR(SEARCH("Buy",E108)))</formula>
    </cfRule>
    <cfRule type="containsText" dxfId="6867" priority="950" operator="containsText" text="Sell">
      <formula>NOT(ISERROR(SEARCH("Sell",E108)))</formula>
    </cfRule>
  </conditionalFormatting>
  <conditionalFormatting sqref="E150">
    <cfRule type="containsText" dxfId="6866" priority="947" operator="containsText" text="Buy">
      <formula>NOT(ISERROR(SEARCH("Buy",E150)))</formula>
    </cfRule>
    <cfRule type="containsText" dxfId="6865" priority="948" operator="containsText" text="Sell">
      <formula>NOT(ISERROR(SEARCH("Sell",E150)))</formula>
    </cfRule>
  </conditionalFormatting>
  <conditionalFormatting sqref="E65:E66">
    <cfRule type="containsText" dxfId="6864" priority="945" operator="containsText" text="Buy">
      <formula>NOT(ISERROR(SEARCH("Buy",E65)))</formula>
    </cfRule>
    <cfRule type="containsText" dxfId="6863" priority="946" operator="containsText" text="Sell">
      <formula>NOT(ISERROR(SEARCH("Sell",E65)))</formula>
    </cfRule>
  </conditionalFormatting>
  <conditionalFormatting sqref="E99:E100">
    <cfRule type="containsText" dxfId="6862" priority="941" operator="containsText" text="Buy">
      <formula>NOT(ISERROR(SEARCH("Buy",E99)))</formula>
    </cfRule>
    <cfRule type="containsText" dxfId="6861" priority="942" operator="containsText" text="Sell">
      <formula>NOT(ISERROR(SEARCH("Sell",E99)))</formula>
    </cfRule>
  </conditionalFormatting>
  <conditionalFormatting sqref="E102:E103">
    <cfRule type="containsText" dxfId="6860" priority="939" operator="containsText" text="Buy">
      <formula>NOT(ISERROR(SEARCH("Buy",E102)))</formula>
    </cfRule>
    <cfRule type="containsText" dxfId="6859" priority="940" operator="containsText" text="Sell">
      <formula>NOT(ISERROR(SEARCH("Sell",E102)))</formula>
    </cfRule>
  </conditionalFormatting>
  <conditionalFormatting sqref="E315">
    <cfRule type="containsText" dxfId="6858" priority="937" operator="containsText" text="Buy">
      <formula>NOT(ISERROR(SEARCH("Buy",E315)))</formula>
    </cfRule>
    <cfRule type="containsText" dxfId="6857" priority="938" operator="containsText" text="Sell">
      <formula>NOT(ISERROR(SEARCH("Sell",E315)))</formula>
    </cfRule>
  </conditionalFormatting>
  <conditionalFormatting sqref="E134">
    <cfRule type="containsText" dxfId="6856" priority="935" operator="containsText" text="Buy">
      <formula>NOT(ISERROR(SEARCH("Buy",E134)))</formula>
    </cfRule>
    <cfRule type="containsText" dxfId="6855" priority="936" operator="containsText" text="Sell">
      <formula>NOT(ISERROR(SEARCH("Sell",E134)))</formula>
    </cfRule>
  </conditionalFormatting>
  <conditionalFormatting sqref="E133">
    <cfRule type="containsText" dxfId="6854" priority="933" operator="containsText" text="Buy">
      <formula>NOT(ISERROR(SEARCH("Buy",E133)))</formula>
    </cfRule>
    <cfRule type="containsText" dxfId="6853" priority="934" operator="containsText" text="Sell">
      <formula>NOT(ISERROR(SEARCH("Sell",E133)))</formula>
    </cfRule>
  </conditionalFormatting>
  <conditionalFormatting sqref="E132">
    <cfRule type="containsText" dxfId="6852" priority="931" operator="containsText" text="Buy">
      <formula>NOT(ISERROR(SEARCH("Buy",E132)))</formula>
    </cfRule>
    <cfRule type="containsText" dxfId="6851" priority="932" operator="containsText" text="Sell">
      <formula>NOT(ISERROR(SEARCH("Sell",E132)))</formula>
    </cfRule>
  </conditionalFormatting>
  <conditionalFormatting sqref="E131">
    <cfRule type="containsText" dxfId="6850" priority="929" operator="containsText" text="Buy">
      <formula>NOT(ISERROR(SEARCH("Buy",E131)))</formula>
    </cfRule>
    <cfRule type="containsText" dxfId="6849" priority="930" operator="containsText" text="Sell">
      <formula>NOT(ISERROR(SEARCH("Sell",E131)))</formula>
    </cfRule>
  </conditionalFormatting>
  <conditionalFormatting sqref="E154:E155">
    <cfRule type="containsText" dxfId="6848" priority="927" operator="containsText" text="Buy">
      <formula>NOT(ISERROR(SEARCH("Buy",E154)))</formula>
    </cfRule>
    <cfRule type="containsText" dxfId="6847" priority="928" operator="containsText" text="Sell">
      <formula>NOT(ISERROR(SEARCH("Sell",E154)))</formula>
    </cfRule>
  </conditionalFormatting>
  <conditionalFormatting sqref="E228:E230">
    <cfRule type="containsText" dxfId="6846" priority="925" operator="containsText" text="Buy">
      <formula>NOT(ISERROR(SEARCH("Buy",E228)))</formula>
    </cfRule>
    <cfRule type="containsText" dxfId="6845" priority="926" operator="containsText" text="Sell">
      <formula>NOT(ISERROR(SEARCH("Sell",E228)))</formula>
    </cfRule>
  </conditionalFormatting>
  <conditionalFormatting sqref="E207">
    <cfRule type="containsText" dxfId="6844" priority="923" operator="containsText" text="Buy">
      <formula>NOT(ISERROR(SEARCH("Buy",E207)))</formula>
    </cfRule>
    <cfRule type="containsText" dxfId="6843" priority="924" operator="containsText" text="Sell">
      <formula>NOT(ISERROR(SEARCH("Sell",E207)))</formula>
    </cfRule>
  </conditionalFormatting>
  <conditionalFormatting sqref="E206">
    <cfRule type="containsText" dxfId="6842" priority="921" operator="containsText" text="Buy">
      <formula>NOT(ISERROR(SEARCH("Buy",E206)))</formula>
    </cfRule>
    <cfRule type="containsText" dxfId="6841" priority="922" operator="containsText" text="Sell">
      <formula>NOT(ISERROR(SEARCH("Sell",E206)))</formula>
    </cfRule>
  </conditionalFormatting>
  <conditionalFormatting sqref="E72">
    <cfRule type="containsText" dxfId="6840" priority="919" operator="containsText" text="Buy">
      <formula>NOT(ISERROR(SEARCH("Buy",E72)))</formula>
    </cfRule>
    <cfRule type="containsText" dxfId="6839" priority="920" operator="containsText" text="Sell">
      <formula>NOT(ISERROR(SEARCH("Sell",E72)))</formula>
    </cfRule>
  </conditionalFormatting>
  <conditionalFormatting sqref="E200">
    <cfRule type="containsText" dxfId="6838" priority="917" operator="containsText" text="Buy">
      <formula>NOT(ISERROR(SEARCH("Buy",E200)))</formula>
    </cfRule>
    <cfRule type="containsText" dxfId="6837" priority="918" operator="containsText" text="Sell">
      <formula>NOT(ISERROR(SEARCH("Sell",E200)))</formula>
    </cfRule>
  </conditionalFormatting>
  <conditionalFormatting sqref="E205">
    <cfRule type="containsText" dxfId="6836" priority="915" operator="containsText" text="Buy">
      <formula>NOT(ISERROR(SEARCH("Buy",E205)))</formula>
    </cfRule>
    <cfRule type="containsText" dxfId="6835" priority="916" operator="containsText" text="Sell">
      <formula>NOT(ISERROR(SEARCH("Sell",E205)))</formula>
    </cfRule>
  </conditionalFormatting>
  <conditionalFormatting sqref="E204">
    <cfRule type="containsText" dxfId="6834" priority="913" operator="containsText" text="Buy">
      <formula>NOT(ISERROR(SEARCH("Buy",E204)))</formula>
    </cfRule>
    <cfRule type="containsText" dxfId="6833" priority="914" operator="containsText" text="Sell">
      <formula>NOT(ISERROR(SEARCH("Sell",E204)))</formula>
    </cfRule>
  </conditionalFormatting>
  <conditionalFormatting sqref="E314">
    <cfRule type="containsText" dxfId="6832" priority="911" operator="containsText" text="Buy">
      <formula>NOT(ISERROR(SEARCH("Buy",E314)))</formula>
    </cfRule>
    <cfRule type="containsText" dxfId="6831" priority="912" operator="containsText" text="Sell">
      <formula>NOT(ISERROR(SEARCH("Sell",E314)))</formula>
    </cfRule>
  </conditionalFormatting>
  <conditionalFormatting sqref="E189:E190">
    <cfRule type="containsText" dxfId="6830" priority="909" operator="containsText" text="Buy">
      <formula>NOT(ISERROR(SEARCH("Buy",E189)))</formula>
    </cfRule>
    <cfRule type="containsText" dxfId="6829" priority="910" operator="containsText" text="Sell">
      <formula>NOT(ISERROR(SEARCH("Sell",E189)))</formula>
    </cfRule>
  </conditionalFormatting>
  <conditionalFormatting sqref="E313">
    <cfRule type="containsText" dxfId="6828" priority="907" operator="containsText" text="Buy">
      <formula>NOT(ISERROR(SEARCH("Buy",E313)))</formula>
    </cfRule>
    <cfRule type="containsText" dxfId="6827" priority="908" operator="containsText" text="Sell">
      <formula>NOT(ISERROR(SEARCH("Sell",E313)))</formula>
    </cfRule>
  </conditionalFormatting>
  <conditionalFormatting sqref="E188">
    <cfRule type="containsText" dxfId="6826" priority="905" operator="containsText" text="Buy">
      <formula>NOT(ISERROR(SEARCH("Buy",E188)))</formula>
    </cfRule>
    <cfRule type="containsText" dxfId="6825" priority="906" operator="containsText" text="Sell">
      <formula>NOT(ISERROR(SEARCH("Sell",E188)))</formula>
    </cfRule>
  </conditionalFormatting>
  <conditionalFormatting sqref="E71">
    <cfRule type="containsText" dxfId="6824" priority="901" operator="containsText" text="Buy">
      <formula>NOT(ISERROR(SEARCH("Buy",E71)))</formula>
    </cfRule>
    <cfRule type="containsText" dxfId="6823" priority="902" operator="containsText" text="Sell">
      <formula>NOT(ISERROR(SEARCH("Sell",E71)))</formula>
    </cfRule>
  </conditionalFormatting>
  <conditionalFormatting sqref="E312">
    <cfRule type="containsText" dxfId="6822" priority="899" operator="containsText" text="Buy">
      <formula>NOT(ISERROR(SEARCH("Buy",E312)))</formula>
    </cfRule>
    <cfRule type="containsText" dxfId="6821" priority="900" operator="containsText" text="Sell">
      <formula>NOT(ISERROR(SEARCH("Sell",E312)))</formula>
    </cfRule>
  </conditionalFormatting>
  <conditionalFormatting sqref="E195">
    <cfRule type="containsText" dxfId="6820" priority="887" operator="containsText" text="Buy">
      <formula>NOT(ISERROR(SEARCH("Buy",E195)))</formula>
    </cfRule>
    <cfRule type="containsText" dxfId="6819" priority="888" operator="containsText" text="Sell">
      <formula>NOT(ISERROR(SEARCH("Sell",E195)))</formula>
    </cfRule>
  </conditionalFormatting>
  <conditionalFormatting sqref="E199">
    <cfRule type="containsText" dxfId="6818" priority="885" operator="containsText" text="Buy">
      <formula>NOT(ISERROR(SEARCH("Buy",E199)))</formula>
    </cfRule>
    <cfRule type="containsText" dxfId="6817" priority="886" operator="containsText" text="Sell">
      <formula>NOT(ISERROR(SEARCH("Sell",E199)))</formula>
    </cfRule>
  </conditionalFormatting>
  <conditionalFormatting sqref="E67">
    <cfRule type="containsText" dxfId="6816" priority="869" operator="containsText" text="Buy">
      <formula>NOT(ISERROR(SEARCH("Buy",E67)))</formula>
    </cfRule>
    <cfRule type="containsText" dxfId="6815" priority="870" operator="containsText" text="Sell">
      <formula>NOT(ISERROR(SEARCH("Sell",E67)))</formula>
    </cfRule>
  </conditionalFormatting>
  <conditionalFormatting sqref="E194">
    <cfRule type="containsText" dxfId="6814" priority="879" operator="containsText" text="Buy">
      <formula>NOT(ISERROR(SEARCH("Buy",E194)))</formula>
    </cfRule>
    <cfRule type="containsText" dxfId="6813" priority="880" operator="containsText" text="Sell">
      <formula>NOT(ISERROR(SEARCH("Sell",E194)))</formula>
    </cfRule>
  </conditionalFormatting>
  <conditionalFormatting sqref="E63">
    <cfRule type="containsText" dxfId="6812" priority="877" operator="containsText" text="Buy">
      <formula>NOT(ISERROR(SEARCH("Buy",E63)))</formula>
    </cfRule>
    <cfRule type="containsText" dxfId="6811" priority="878" operator="containsText" text="Sell">
      <formula>NOT(ISERROR(SEARCH("Sell",E63)))</formula>
    </cfRule>
  </conditionalFormatting>
  <conditionalFormatting sqref="E70">
    <cfRule type="containsText" dxfId="6810" priority="875" operator="containsText" text="Buy">
      <formula>NOT(ISERROR(SEARCH("Buy",E70)))</formula>
    </cfRule>
    <cfRule type="containsText" dxfId="6809" priority="876" operator="containsText" text="Sell">
      <formula>NOT(ISERROR(SEARCH("Sell",E70)))</formula>
    </cfRule>
  </conditionalFormatting>
  <conditionalFormatting sqref="E40">
    <cfRule type="containsText" dxfId="6808" priority="826" operator="containsText" text="Buy">
      <formula>NOT(ISERROR(SEARCH("Buy",E40)))</formula>
    </cfRule>
    <cfRule type="containsText" dxfId="6807" priority="827" operator="containsText" text="Sell">
      <formula>NOT(ISERROR(SEARCH("Sell",E40)))</formula>
    </cfRule>
  </conditionalFormatting>
  <conditionalFormatting sqref="E68">
    <cfRule type="containsText" dxfId="6806" priority="867" operator="containsText" text="Buy">
      <formula>NOT(ISERROR(SEARCH("Buy",E68)))</formula>
    </cfRule>
    <cfRule type="containsText" dxfId="6805" priority="868" operator="containsText" text="Sell">
      <formula>NOT(ISERROR(SEARCH("Sell",E68)))</formula>
    </cfRule>
  </conditionalFormatting>
  <conditionalFormatting sqref="U5:Z5">
    <cfRule type="dataBar" priority="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{07E7B5D1-C5FE-42D0-BAEB-5F8DA64EBB69}</x14:id>
        </ext>
      </extLst>
    </cfRule>
  </conditionalFormatting>
  <conditionalFormatting sqref="U5:Z5">
    <cfRule type="dataBar" priority="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{37057621-3E6E-49FE-A767-259245B0B3DE}</x14:id>
        </ext>
      </extLst>
    </cfRule>
  </conditionalFormatting>
  <conditionalFormatting sqref="U5:Z5">
    <cfRule type="dataBar" priority="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{35EF8E4F-1ABA-449F-AC93-0CA83E873EC5}</x14:id>
        </ext>
      </extLst>
    </cfRule>
  </conditionalFormatting>
  <conditionalFormatting sqref="X5">
    <cfRule type="dataBar" priority="8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{31AB3393-E4D0-4FC5-BD91-D6A02B58FC76}</x14:id>
        </ext>
      </extLst>
    </cfRule>
  </conditionalFormatting>
  <conditionalFormatting sqref="X5">
    <cfRule type="dataBar" priority="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{F71444A3-BB38-4041-8147-F20CF985F5A2}</x14:id>
        </ext>
      </extLst>
    </cfRule>
  </conditionalFormatting>
  <conditionalFormatting sqref="X5">
    <cfRule type="dataBar" priority="8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{6A1A019A-A898-4AEA-A1CB-FE489A748FE8}</x14:id>
        </ext>
      </extLst>
    </cfRule>
  </conditionalFormatting>
  <conditionalFormatting sqref="I5:J5">
    <cfRule type="dataBar" priority="8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{888D42AE-CF3F-4CA8-ABA5-9BB4AA7BCEA8}</x14:id>
        </ext>
      </extLst>
    </cfRule>
  </conditionalFormatting>
  <conditionalFormatting sqref="I5:J5">
    <cfRule type="dataBar" priority="8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{C6BE2612-75E4-4E91-ADEB-1B56DECFBBAD}</x14:id>
        </ext>
      </extLst>
    </cfRule>
  </conditionalFormatting>
  <conditionalFormatting sqref="R4"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{675892B2-F72A-472F-B1EE-0AAAAA129F44}</x14:id>
        </ext>
      </extLst>
    </cfRule>
  </conditionalFormatting>
  <conditionalFormatting sqref="U4:Z4 S4">
    <cfRule type="dataBar" priority="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{C7E1F1BE-DF75-4ED5-BF55-AB1C1C332865}</x14:id>
        </ext>
      </extLst>
    </cfRule>
  </conditionalFormatting>
  <conditionalFormatting sqref="R4:S4 U4:Z4">
    <cfRule type="dataBar" priority="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{31A2E602-0F35-42E6-839F-B3EA11D83A0E}</x14:id>
        </ext>
      </extLst>
    </cfRule>
  </conditionalFormatting>
  <conditionalFormatting sqref="R4:S4 U4:Z4">
    <cfRule type="dataBar" priority="8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{23F73D89-09FD-4647-A729-1476E9207E0E}</x14:id>
        </ext>
      </extLst>
    </cfRule>
  </conditionalFormatting>
  <conditionalFormatting sqref="X4">
    <cfRule type="dataBar" priority="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{A6D14F1D-FFFB-4E79-9B3B-3CD1C37F0EE8}</x14:id>
        </ext>
      </extLst>
    </cfRule>
  </conditionalFormatting>
  <conditionalFormatting sqref="X4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{8B4CBE88-C78E-4549-8AEB-67078ACBE6C2}</x14:id>
        </ext>
      </extLst>
    </cfRule>
  </conditionalFormatting>
  <conditionalFormatting sqref="X4">
    <cfRule type="dataBar" priority="8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{681B708F-8C81-4A15-AAF5-45029543DBD7}</x14:id>
        </ext>
      </extLst>
    </cfRule>
  </conditionalFormatting>
  <conditionalFormatting sqref="I4:J4">
    <cfRule type="dataBar" priority="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{9E35D6E1-20AD-4943-A1F3-BD676094D65F}</x14:id>
        </ext>
      </extLst>
    </cfRule>
  </conditionalFormatting>
  <conditionalFormatting sqref="I4:J4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{538ABF4D-4125-44F1-993C-326260D72767}</x14:id>
        </ext>
      </extLst>
    </cfRule>
  </conditionalFormatting>
  <conditionalFormatting sqref="U6:Z6">
    <cfRule type="dataBar" priority="8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{EA6CA2B5-4070-4D56-AD6C-E0071436DD15}</x14:id>
        </ext>
      </extLst>
    </cfRule>
  </conditionalFormatting>
  <conditionalFormatting sqref="U6:Z6">
    <cfRule type="dataBar" priority="8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{881D8141-EDE6-4946-B229-EFA6CE2EFFE0}</x14:id>
        </ext>
      </extLst>
    </cfRule>
  </conditionalFormatting>
  <conditionalFormatting sqref="U6:Z6">
    <cfRule type="dataBar" priority="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{747E1432-FCC7-4CE2-9898-943B2A684E22}</x14:id>
        </ext>
      </extLst>
    </cfRule>
  </conditionalFormatting>
  <conditionalFormatting sqref="X6">
    <cfRule type="dataBar" priority="8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{BCA252E8-41A0-4C12-97AC-7A216A19FE74}</x14:id>
        </ext>
      </extLst>
    </cfRule>
  </conditionalFormatting>
  <conditionalFormatting sqref="X6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{D5B84CBA-6FFE-411F-9125-AA90FD257D92}</x14:id>
        </ext>
      </extLst>
    </cfRule>
  </conditionalFormatting>
  <conditionalFormatting sqref="X6">
    <cfRule type="dataBar" priority="8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{D9F2703F-8B8C-4205-A89F-6970338494F5}</x14:id>
        </ext>
      </extLst>
    </cfRule>
  </conditionalFormatting>
  <conditionalFormatting sqref="I6:J6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{FEA4FA20-5DD1-4E94-B140-C7A555961074}</x14:id>
        </ext>
      </extLst>
    </cfRule>
  </conditionalFormatting>
  <conditionalFormatting sqref="I6:J6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{E7D2F64E-AA87-4DC2-B3BC-9CD1CD0DF31F}</x14:id>
        </ext>
      </extLst>
    </cfRule>
  </conditionalFormatting>
  <conditionalFormatting sqref="I6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{A2A89086-6A74-445C-A213-452F4C8B822A}</x14:id>
        </ext>
      </extLst>
    </cfRule>
  </conditionalFormatting>
  <conditionalFormatting sqref="J6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{1B39B4FF-4436-4A6B-99B6-418C2C5B8DD6}</x14:id>
        </ext>
      </extLst>
    </cfRule>
  </conditionalFormatting>
  <conditionalFormatting sqref="U6">
    <cfRule type="dataBar" priority="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{57A3C2EC-8C64-46B4-BE7E-04E2782244EF}</x14:id>
        </ext>
      </extLst>
    </cfRule>
  </conditionalFormatting>
  <conditionalFormatting sqref="V6">
    <cfRule type="dataBar" priority="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{6E6BD4FB-E73A-4599-99F9-7973C465E28F}</x14:id>
        </ext>
      </extLst>
    </cfRule>
  </conditionalFormatting>
  <conditionalFormatting sqref="W6">
    <cfRule type="dataBar" priority="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{594186DB-8EA5-4D9D-A284-1647519356C1}</x14:id>
        </ext>
      </extLst>
    </cfRule>
  </conditionalFormatting>
  <conditionalFormatting sqref="X6">
    <cfRule type="dataBar" priority="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{988A8DC8-FDC6-44FB-B0C5-31BE920F9FAB}</x14:id>
        </ext>
      </extLst>
    </cfRule>
  </conditionalFormatting>
  <conditionalFormatting sqref="I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{C8DBAF7A-6392-4AFF-9251-8CD27FA03768}</x14:id>
        </ext>
      </extLst>
    </cfRule>
  </conditionalFormatting>
  <conditionalFormatting sqref="J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{8A146B50-42DC-439C-B4B7-04CEE1BA98F6}</x14:id>
        </ext>
      </extLst>
    </cfRule>
  </conditionalFormatting>
  <conditionalFormatting sqref="I4:I5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{C505B534-5FD0-46C9-B772-74F3B8672675}</x14:id>
        </ext>
      </extLst>
    </cfRule>
  </conditionalFormatting>
  <conditionalFormatting sqref="J4:J5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{33853D42-1D5C-4B6E-8F4A-84B0EE183D7D}</x14:id>
        </ext>
      </extLst>
    </cfRule>
  </conditionalFormatting>
  <conditionalFormatting sqref="R4">
    <cfRule type="dataBar" priority="1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{8928E934-FD84-4AEE-8A94-AF992565C2F9}</x14:id>
        </ext>
      </extLst>
    </cfRule>
  </conditionalFormatting>
  <conditionalFormatting sqref="S4">
    <cfRule type="dataBar" priority="1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{EA91356A-8E89-45DD-98F9-D9F1E30B4611}</x14:id>
        </ext>
      </extLst>
    </cfRule>
  </conditionalFormatting>
  <conditionalFormatting sqref="U4:U5">
    <cfRule type="dataBar" priority="1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{DE5D245B-A2F1-44A0-8933-EF817BC1B890}</x14:id>
        </ext>
      </extLst>
    </cfRule>
  </conditionalFormatting>
  <conditionalFormatting sqref="V4:V5">
    <cfRule type="dataBar" priority="1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{130E6D33-7600-4E60-805E-8E54E633F099}</x14:id>
        </ext>
      </extLst>
    </cfRule>
  </conditionalFormatting>
  <conditionalFormatting sqref="W4:W5">
    <cfRule type="dataBar" priority="1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{86CFCFAA-E94F-4648-AA35-16E6FB736BB6}</x14:id>
        </ext>
      </extLst>
    </cfRule>
  </conditionalFormatting>
  <conditionalFormatting sqref="X4:X5">
    <cfRule type="dataBar" priority="1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{7E35B583-E264-46C0-8FE1-06265BAD3A40}</x14:id>
        </ext>
      </extLst>
    </cfRule>
  </conditionalFormatting>
  <conditionalFormatting sqref="Y4:Y7">
    <cfRule type="dataBar" priority="1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{E91472F0-57BA-4F34-87C9-1165273BC2EE}</x14:id>
        </ext>
      </extLst>
    </cfRule>
  </conditionalFormatting>
  <conditionalFormatting sqref="U8:Z8">
    <cfRule type="dataBar" priority="1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{11F8FED1-E5A3-4D19-96F1-4209350FC7CE}</x14:id>
        </ext>
      </extLst>
    </cfRule>
  </conditionalFormatting>
  <conditionalFormatting sqref="U8:Z8">
    <cfRule type="dataBar" priority="1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{CBCD3765-1B8C-4013-844C-CDE443ECB9BA}</x14:id>
        </ext>
      </extLst>
    </cfRule>
  </conditionalFormatting>
  <conditionalFormatting sqref="X8">
    <cfRule type="dataBar" priority="1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{4BD9E227-1E14-4954-A6C2-20A644DDBC00}</x14:id>
        </ext>
      </extLst>
    </cfRule>
  </conditionalFormatting>
  <conditionalFormatting sqref="I8:J8">
    <cfRule type="dataBar" priority="12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{119785D2-EBDA-4A35-8228-5FCDE75449B4}</x14:id>
        </ext>
      </extLst>
    </cfRule>
  </conditionalFormatting>
  <conditionalFormatting sqref="I8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{E14B9E87-BA03-4095-8C0A-DD1AC0144B0F}</x14:id>
        </ext>
      </extLst>
    </cfRule>
  </conditionalFormatting>
  <conditionalFormatting sqref="J8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{D15CE2CC-31D2-47A4-BF6E-F6FA4A7ACE55}</x14:id>
        </ext>
      </extLst>
    </cfRule>
  </conditionalFormatting>
  <conditionalFormatting sqref="U8">
    <cfRule type="dataBar" priority="1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{84A9FCE2-3915-447D-96A9-89C16F1A56B4}</x14:id>
        </ext>
      </extLst>
    </cfRule>
  </conditionalFormatting>
  <conditionalFormatting sqref="V8">
    <cfRule type="dataBar" priority="1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{BF2CCABE-A6A5-4741-BDE7-7F6417433A34}</x14:id>
        </ext>
      </extLst>
    </cfRule>
  </conditionalFormatting>
  <conditionalFormatting sqref="W8">
    <cfRule type="dataBar" priority="1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{DABE531E-8C15-4DC4-9B60-31A11B9FEF40}</x14:id>
        </ext>
      </extLst>
    </cfRule>
  </conditionalFormatting>
  <conditionalFormatting sqref="U8:AA8">
    <cfRule type="dataBar" priority="1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{5B5E6066-41B7-44B3-B573-50DC7039E0D0}</x14:id>
        </ext>
      </extLst>
    </cfRule>
  </conditionalFormatting>
  <conditionalFormatting sqref="U7:Z7">
    <cfRule type="dataBar" priority="1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{F50D9362-58A6-465B-AB65-12AF39B1A916}</x14:id>
        </ext>
      </extLst>
    </cfRule>
  </conditionalFormatting>
  <conditionalFormatting sqref="U7:Z7">
    <cfRule type="dataBar" priority="1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{E756477F-C22B-4D1A-B1D9-77394A546B11}</x14:id>
        </ext>
      </extLst>
    </cfRule>
  </conditionalFormatting>
  <conditionalFormatting sqref="X7">
    <cfRule type="dataBar" priority="1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{4D72431B-8403-4E4D-A5C8-F38593CC05A8}</x14:id>
        </ext>
      </extLst>
    </cfRule>
  </conditionalFormatting>
  <conditionalFormatting sqref="I7:J7">
    <cfRule type="dataBar" priority="1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{C69E4A6C-95FF-4C2C-8294-01E65FD6787A}</x14:id>
        </ext>
      </extLst>
    </cfRule>
  </conditionalFormatting>
  <conditionalFormatting sqref="I7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{3350FBCE-D057-4DD9-85A4-90E5A1D16ADE}</x14:id>
        </ext>
      </extLst>
    </cfRule>
  </conditionalFormatting>
  <conditionalFormatting sqref="J7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{AF8E4BE8-B7E0-4BFF-9C7D-BCB84272BCD2}</x14:id>
        </ext>
      </extLst>
    </cfRule>
  </conditionalFormatting>
  <conditionalFormatting sqref="U7">
    <cfRule type="dataBar" priority="1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{5E4C9AD7-EE1C-44B7-8EAA-A5C23749B92D}</x14:id>
        </ext>
      </extLst>
    </cfRule>
  </conditionalFormatting>
  <conditionalFormatting sqref="V7">
    <cfRule type="dataBar" priority="1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{6AB247BE-D7FD-4C4C-A737-ABFC448625B9}</x14:id>
        </ext>
      </extLst>
    </cfRule>
  </conditionalFormatting>
  <conditionalFormatting sqref="W7">
    <cfRule type="dataBar" priority="1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{26E44FA4-AF7D-4F2C-A09B-546A3CBF73A6}</x14:id>
        </ext>
      </extLst>
    </cfRule>
  </conditionalFormatting>
  <conditionalFormatting sqref="I4:I7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{5156ECD0-4AFA-4B69-A1A5-A2246D90D438}</x14:id>
        </ext>
      </extLst>
    </cfRule>
  </conditionalFormatting>
  <conditionalFormatting sqref="J4:J7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{2874F476-B531-4332-9C55-9203CB14D311}</x14:id>
        </ext>
      </extLst>
    </cfRule>
  </conditionalFormatting>
  <conditionalFormatting sqref="R4:S4 U4:AA7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{AC8844DF-F29C-4820-803E-9C9670F4FDDE}</x14:id>
        </ext>
      </extLst>
    </cfRule>
  </conditionalFormatting>
  <conditionalFormatting sqref="Y8">
    <cfRule type="dataBar" priority="1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{F45E6A07-0471-4F2F-AA2F-0678A6FE58FF}</x14:id>
        </ext>
      </extLst>
    </cfRule>
  </conditionalFormatting>
  <conditionalFormatting sqref="I4:J8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{C6D2E204-34AB-4618-82E7-4249203DDC1D}</x14:id>
        </ext>
      </extLst>
    </cfRule>
  </conditionalFormatting>
  <conditionalFormatting sqref="E39">
    <cfRule type="containsText" dxfId="6804" priority="824" operator="containsText" text="Buy">
      <formula>NOT(ISERROR(SEARCH("Buy",E39)))</formula>
    </cfRule>
    <cfRule type="containsText" dxfId="6803" priority="825" operator="containsText" text="Sell">
      <formula>NOT(ISERROR(SEARCH("Sell",E39)))</formula>
    </cfRule>
  </conditionalFormatting>
  <conditionalFormatting sqref="J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{BD906A11-1A20-41B1-82BA-232DFA0ED3E4}</x14:id>
        </ext>
      </extLst>
    </cfRule>
  </conditionalFormatting>
  <conditionalFormatting sqref="U9:Z9">
    <cfRule type="dataBar" priority="8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{ED65119E-B8B1-43AA-AAB6-84AF923DB45C}</x14:id>
        </ext>
      </extLst>
    </cfRule>
  </conditionalFormatting>
  <conditionalFormatting sqref="U9:Z9">
    <cfRule type="dataBar" priority="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{4C4C5120-7906-4A3D-850A-903D6EED316B}</x14:id>
        </ext>
      </extLst>
    </cfRule>
  </conditionalFormatting>
  <conditionalFormatting sqref="X9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{29D62552-DD97-4AA4-8FB0-3C9A520C5092}</x14:id>
        </ext>
      </extLst>
    </cfRule>
  </conditionalFormatting>
  <conditionalFormatting sqref="J9">
    <cfRule type="dataBar" priority="8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{DC9EA6A8-C7E9-43B6-A89B-0EFD9147DA37}</x14:id>
        </ext>
      </extLst>
    </cfRule>
  </conditionalFormatting>
  <conditionalFormatting sqref="J9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{D9A573AA-2B83-450B-920B-349F447728DF}</x14:id>
        </ext>
      </extLst>
    </cfRule>
  </conditionalFormatting>
  <conditionalFormatting sqref="U9">
    <cfRule type="dataBar" priority="8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{506294A5-584B-4B98-97D4-8F8072561A09}</x14:id>
        </ext>
      </extLst>
    </cfRule>
  </conditionalFormatting>
  <conditionalFormatting sqref="V9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{1F7DBEF2-6D9D-42B9-A821-BC62C8135FF9}</x14:id>
        </ext>
      </extLst>
    </cfRule>
  </conditionalFormatting>
  <conditionalFormatting sqref="W9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{F3F4F3D1-92D1-471B-B351-594AD5150FDA}</x14:id>
        </ext>
      </extLst>
    </cfRule>
  </conditionalFormatting>
  <conditionalFormatting sqref="U9:AA9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{11633517-771D-4E55-A38A-32B7F0CA98F8}</x14:id>
        </ext>
      </extLst>
    </cfRule>
  </conditionalFormatting>
  <conditionalFormatting sqref="Y9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{BB069D38-AB9A-455C-B350-8C708E01B206}</x14:id>
        </ext>
      </extLst>
    </cfRule>
  </conditionalFormatting>
  <conditionalFormatting sqref="J9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{E6C42D2A-DC46-41C3-BAC9-D5CF5C018DDE}</x14:id>
        </ext>
      </extLst>
    </cfRule>
  </conditionalFormatting>
  <conditionalFormatting sqref="E43">
    <cfRule type="containsText" dxfId="6802" priority="804" operator="containsText" text="Buy">
      <formula>NOT(ISERROR(SEARCH("Buy",E43)))</formula>
    </cfRule>
    <cfRule type="containsText" dxfId="6801" priority="805" operator="containsText" text="Sell">
      <formula>NOT(ISERROR(SEARCH("Sell",E43)))</formula>
    </cfRule>
  </conditionalFormatting>
  <conditionalFormatting sqref="E42">
    <cfRule type="containsText" dxfId="6800" priority="802" operator="containsText" text="Buy">
      <formula>NOT(ISERROR(SEARCH("Buy",E42)))</formula>
    </cfRule>
    <cfRule type="containsText" dxfId="6799" priority="803" operator="containsText" text="Sell">
      <formula>NOT(ISERROR(SEARCH("Sell",E42)))</formula>
    </cfRule>
  </conditionalFormatting>
  <conditionalFormatting sqref="I6">
    <cfRule type="dataBar" priority="8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{CDEA1E4B-CE60-4148-96DF-DEDD10C2CE18}</x14:id>
        </ext>
      </extLst>
    </cfRule>
  </conditionalFormatting>
  <conditionalFormatting sqref="I6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{E7B1DEEA-5408-4655-8703-ECD2C4B110F0}</x14:id>
        </ext>
      </extLst>
    </cfRule>
  </conditionalFormatting>
  <conditionalFormatting sqref="E45">
    <cfRule type="containsText" dxfId="6798" priority="794" operator="containsText" text="Buy">
      <formula>NOT(ISERROR(SEARCH("Buy",E45)))</formula>
    </cfRule>
    <cfRule type="containsText" dxfId="6797" priority="795" operator="containsText" text="Sell">
      <formula>NOT(ISERROR(SEARCH("Sell",E45)))</formula>
    </cfRule>
  </conditionalFormatting>
  <conditionalFormatting sqref="E44">
    <cfRule type="containsText" dxfId="6796" priority="798" operator="containsText" text="Buy">
      <formula>NOT(ISERROR(SEARCH("Buy",E44)))</formula>
    </cfRule>
    <cfRule type="containsText" dxfId="6795" priority="799" operator="containsText" text="Sell">
      <formula>NOT(ISERROR(SEARCH("Sell",E44)))</formula>
    </cfRule>
  </conditionalFormatting>
  <conditionalFormatting sqref="E48">
    <cfRule type="containsText" dxfId="6794" priority="796" operator="containsText" text="Buy">
      <formula>NOT(ISERROR(SEARCH("Buy",E48)))</formula>
    </cfRule>
    <cfRule type="containsText" dxfId="6793" priority="797" operator="containsText" text="Sell">
      <formula>NOT(ISERROR(SEARCH("Sell",E48)))</formula>
    </cfRule>
  </conditionalFormatting>
  <conditionalFormatting sqref="E46:E47">
    <cfRule type="containsText" dxfId="6792" priority="792" operator="containsText" text="Buy">
      <formula>NOT(ISERROR(SEARCH("Buy",E46)))</formula>
    </cfRule>
    <cfRule type="containsText" dxfId="6791" priority="793" operator="containsText" text="Sell">
      <formula>NOT(ISERROR(SEARCH("Sell",E46)))</formula>
    </cfRule>
  </conditionalFormatting>
  <conditionalFormatting sqref="I4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{48223956-94D6-4693-BDA1-3214DA84A5AD}</x14:id>
        </ext>
      </extLst>
    </cfRule>
  </conditionalFormatting>
  <conditionalFormatting sqref="I4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{37EF1C63-4076-492F-A1F8-F5AD8A8B2BB3}</x14:id>
        </ext>
      </extLst>
    </cfRule>
  </conditionalFormatting>
  <conditionalFormatting sqref="I4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{2A99D478-3563-456B-8393-BEFB33AAD868}</x14:id>
        </ext>
      </extLst>
    </cfRule>
  </conditionalFormatting>
  <conditionalFormatting sqref="I4">
    <cfRule type="dataBar" priority="7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{D8479EA7-70A6-4BA8-B494-F138AAAF3FFE}</x14:id>
        </ext>
      </extLst>
    </cfRule>
  </conditionalFormatting>
  <conditionalFormatting sqref="I4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{75E2C788-AC96-4991-B1C6-9578E6904135}</x14:id>
        </ext>
      </extLst>
    </cfRule>
  </conditionalFormatting>
  <conditionalFormatting sqref="E49">
    <cfRule type="containsText" dxfId="6790" priority="785" operator="containsText" text="Buy">
      <formula>NOT(ISERROR(SEARCH("Buy",E49)))</formula>
    </cfRule>
    <cfRule type="containsText" dxfId="6789" priority="786" operator="containsText" text="Sell">
      <formula>NOT(ISERROR(SEARCH("Sell",E49)))</formula>
    </cfRule>
  </conditionalFormatting>
  <conditionalFormatting sqref="E51">
    <cfRule type="containsText" dxfId="6788" priority="783" operator="containsText" text="Buy">
      <formula>NOT(ISERROR(SEARCH("Buy",E51)))</formula>
    </cfRule>
    <cfRule type="containsText" dxfId="6787" priority="784" operator="containsText" text="Sell">
      <formula>NOT(ISERROR(SEARCH("Sell",E51)))</formula>
    </cfRule>
  </conditionalFormatting>
  <conditionalFormatting sqref="E50">
    <cfRule type="containsText" dxfId="6786" priority="781" operator="containsText" text="Buy">
      <formula>NOT(ISERROR(SEARCH("Buy",E50)))</formula>
    </cfRule>
    <cfRule type="containsText" dxfId="6785" priority="782" operator="containsText" text="Sell">
      <formula>NOT(ISERROR(SEARCH("Sell",E50)))</formula>
    </cfRule>
  </conditionalFormatting>
  <conditionalFormatting sqref="I5">
    <cfRule type="dataBar" priority="7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{7420D2AC-D4A1-4898-AA54-F0090E2918A5}</x14:id>
        </ext>
      </extLst>
    </cfRule>
  </conditionalFormatting>
  <conditionalFormatting sqref="I5">
    <cfRule type="dataBar" priority="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{C8EEA380-76B9-4607-8371-89BC02CE4304}</x14:id>
        </ext>
      </extLst>
    </cfRule>
  </conditionalFormatting>
  <conditionalFormatting sqref="I5">
    <cfRule type="dataBar" priority="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{4C26F5EA-D868-4074-AF14-DB0FD34D0E94}</x14:id>
        </ext>
      </extLst>
    </cfRule>
  </conditionalFormatting>
  <conditionalFormatting sqref="I5">
    <cfRule type="dataBar" priority="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{C6FA85FA-F6FC-4781-BCF2-4729C47BD058}</x14:id>
        </ext>
      </extLst>
    </cfRule>
  </conditionalFormatting>
  <conditionalFormatting sqref="I5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{6A7E9306-29EE-4FFC-9428-538F4299307F}</x14:id>
        </ext>
      </extLst>
    </cfRule>
  </conditionalFormatting>
  <conditionalFormatting sqref="I5">
    <cfRule type="dataBar" priority="7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{1BBAD210-36F2-4E15-BCF0-BEBFE1B50863}</x14:id>
        </ext>
      </extLst>
    </cfRule>
  </conditionalFormatting>
  <conditionalFormatting sqref="I5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{5151D141-9815-4793-8D20-E1AA32DC2786}</x14:id>
        </ext>
      </extLst>
    </cfRule>
  </conditionalFormatting>
  <conditionalFormatting sqref="E52">
    <cfRule type="containsText" dxfId="6784" priority="772" operator="containsText" text="Buy">
      <formula>NOT(ISERROR(SEARCH("Buy",E52)))</formula>
    </cfRule>
    <cfRule type="containsText" dxfId="6783" priority="773" operator="containsText" text="Sell">
      <formula>NOT(ISERROR(SEARCH("Sell",E52)))</formula>
    </cfRule>
  </conditionalFormatting>
  <conditionalFormatting sqref="E54">
    <cfRule type="containsText" dxfId="6782" priority="770" operator="containsText" text="Buy">
      <formula>NOT(ISERROR(SEARCH("Buy",E54)))</formula>
    </cfRule>
    <cfRule type="containsText" dxfId="6781" priority="771" operator="containsText" text="Sell">
      <formula>NOT(ISERROR(SEARCH("Sell",E54)))</formula>
    </cfRule>
  </conditionalFormatting>
  <conditionalFormatting sqref="E53">
    <cfRule type="containsText" dxfId="6780" priority="768" operator="containsText" text="Buy">
      <formula>NOT(ISERROR(SEARCH("Buy",E53)))</formula>
    </cfRule>
    <cfRule type="containsText" dxfId="6779" priority="769" operator="containsText" text="Sell">
      <formula>NOT(ISERROR(SEARCH("Sell",E53)))</formula>
    </cfRule>
  </conditionalFormatting>
  <conditionalFormatting sqref="I9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{5576E1A3-B13B-4E41-9259-2721C9B0FBD4}</x14:id>
        </ext>
      </extLst>
    </cfRule>
  </conditionalFormatting>
  <conditionalFormatting sqref="I9">
    <cfRule type="dataBar" priority="7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{A5398227-31AE-4750-9109-9E0B4FDF2CD6}</x14:id>
        </ext>
      </extLst>
    </cfRule>
  </conditionalFormatting>
  <conditionalFormatting sqref="I9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{1FE104D4-BDEA-4E8F-8038-0BF6D2C76FB5}</x14:id>
        </ext>
      </extLst>
    </cfRule>
  </conditionalFormatting>
  <conditionalFormatting sqref="I9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{FCAB213B-B895-4E2F-AD03-823A3FC0750A}</x14:id>
        </ext>
      </extLst>
    </cfRule>
  </conditionalFormatting>
  <conditionalFormatting sqref="E55">
    <cfRule type="containsText" dxfId="6778" priority="762" operator="containsText" text="Buy">
      <formula>NOT(ISERROR(SEARCH("Buy",E55)))</formula>
    </cfRule>
    <cfRule type="containsText" dxfId="6777" priority="763" operator="containsText" text="Sell">
      <formula>NOT(ISERROR(SEARCH("Sell",E55)))</formula>
    </cfRule>
  </conditionalFormatting>
  <conditionalFormatting sqref="E57">
    <cfRule type="containsText" dxfId="6776" priority="760" operator="containsText" text="Buy">
      <formula>NOT(ISERROR(SEARCH("Buy",E57)))</formula>
    </cfRule>
    <cfRule type="containsText" dxfId="6775" priority="761" operator="containsText" text="Sell">
      <formula>NOT(ISERROR(SEARCH("Sell",E57)))</formula>
    </cfRule>
  </conditionalFormatting>
  <conditionalFormatting sqref="E56">
    <cfRule type="containsText" dxfId="6774" priority="758" operator="containsText" text="Buy">
      <formula>NOT(ISERROR(SEARCH("Buy",E56)))</formula>
    </cfRule>
    <cfRule type="containsText" dxfId="6773" priority="759" operator="containsText" text="Sell">
      <formula>NOT(ISERROR(SEARCH("Sell",E56)))</formula>
    </cfRule>
  </conditionalFormatting>
  <conditionalFormatting sqref="I8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{FA48B724-3CFD-43E4-8627-E51AB3C82DA9}</x14:id>
        </ext>
      </extLst>
    </cfRule>
  </conditionalFormatting>
  <conditionalFormatting sqref="I8">
    <cfRule type="dataBar" priority="7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{6290EF43-54E1-4481-8110-FF7718C4869B}</x14:id>
        </ext>
      </extLst>
    </cfRule>
  </conditionalFormatting>
  <conditionalFormatting sqref="I8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{FCB7AAD6-2661-406A-8CBC-5BEB912BFDC6}</x14:id>
        </ext>
      </extLst>
    </cfRule>
  </conditionalFormatting>
  <conditionalFormatting sqref="U18:Z18">
    <cfRule type="dataBar" priority="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{0F17E7EB-8D4A-4566-9A69-03E18050D22C}</x14:id>
        </ext>
      </extLst>
    </cfRule>
  </conditionalFormatting>
  <conditionalFormatting sqref="U18:Z18">
    <cfRule type="dataBar" priority="7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{39D637BD-7830-46A2-AAB6-19D45A307E1A}</x14:id>
        </ext>
      </extLst>
    </cfRule>
  </conditionalFormatting>
  <conditionalFormatting sqref="U18:Z18">
    <cfRule type="dataBar" priority="7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{D9CF0799-C3A7-48DE-9096-A287BB4AD628}</x14:id>
        </ext>
      </extLst>
    </cfRule>
  </conditionalFormatting>
  <conditionalFormatting sqref="X18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{5A67E755-840D-4E5B-A0C6-09E2201E50EC}</x14:id>
        </ext>
      </extLst>
    </cfRule>
  </conditionalFormatting>
  <conditionalFormatting sqref="X18">
    <cfRule type="dataBar" priority="7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{4DC90F45-2665-4BE9-B816-11851A8780E9}</x14:id>
        </ext>
      </extLst>
    </cfRule>
  </conditionalFormatting>
  <conditionalFormatting sqref="X18">
    <cfRule type="dataBar" priority="7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{DE29ED17-6751-46DA-8C4D-A945CF8E8722}</x14:id>
        </ext>
      </extLst>
    </cfRule>
  </conditionalFormatting>
  <conditionalFormatting sqref="I18:J18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{E6144BDF-1061-4B5E-8F7B-5FC95B72F442}</x14:id>
        </ext>
      </extLst>
    </cfRule>
  </conditionalFormatting>
  <conditionalFormatting sqref="I18:J18">
    <cfRule type="dataBar" priority="7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{8E638D96-6BEC-450A-9E95-F02AF977B904}</x14:id>
        </ext>
      </extLst>
    </cfRule>
  </conditionalFormatting>
  <conditionalFormatting sqref="U17:Z17">
    <cfRule type="dataBar" priority="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{9942B64E-6BFB-4105-9DFF-F55E8CE8FA02}</x14:id>
        </ext>
      </extLst>
    </cfRule>
  </conditionalFormatting>
  <conditionalFormatting sqref="U17:Z17">
    <cfRule type="dataBar" priority="7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{6E92A4F2-EC6D-48FA-821A-084EC5E9E6C4}</x14:id>
        </ext>
      </extLst>
    </cfRule>
  </conditionalFormatting>
  <conditionalFormatting sqref="U17:Z17">
    <cfRule type="dataBar" priority="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{7EEBBFE2-876E-45FC-8955-A69D4FDF5672}</x14:id>
        </ext>
      </extLst>
    </cfRule>
  </conditionalFormatting>
  <conditionalFormatting sqref="X17">
    <cfRule type="dataBar" priority="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{3C4203C9-D9F3-465C-A1EC-CA1F85E8FE08}</x14:id>
        </ext>
      </extLst>
    </cfRule>
  </conditionalFormatting>
  <conditionalFormatting sqref="X17">
    <cfRule type="dataBar" priority="6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{202F81D1-FC47-4430-9385-A82BEF6AAE7C}</x14:id>
        </ext>
      </extLst>
    </cfRule>
  </conditionalFormatting>
  <conditionalFormatting sqref="X17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{73E6B390-3B46-4E0F-AB00-D79F7DB5533B}</x14:id>
        </ext>
      </extLst>
    </cfRule>
  </conditionalFormatting>
  <conditionalFormatting sqref="I17:J17">
    <cfRule type="dataBar" priority="6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{FE375F31-8F65-405B-9192-6710E534BE86}</x14:id>
        </ext>
      </extLst>
    </cfRule>
  </conditionalFormatting>
  <conditionalFormatting sqref="I17:J17">
    <cfRule type="dataBar" priority="6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{B59765EA-696D-4422-9C0E-979E4211D550}</x14:id>
        </ext>
      </extLst>
    </cfRule>
  </conditionalFormatting>
  <conditionalFormatting sqref="U19:Z19">
    <cfRule type="dataBar" priority="6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{DDD1EED8-6D19-42BC-9F12-F46E87F2B756}</x14:id>
        </ext>
      </extLst>
    </cfRule>
  </conditionalFormatting>
  <conditionalFormatting sqref="U19:Z19">
    <cfRule type="dataBar" priority="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{4BBF33D8-4621-40AE-9CBC-B4E9CD8E3249}</x14:id>
        </ext>
      </extLst>
    </cfRule>
  </conditionalFormatting>
  <conditionalFormatting sqref="U19:Z19">
    <cfRule type="dataBar" priority="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{C2C273F7-63CE-48C3-9BBE-D0EC4E3F7935}</x14:id>
        </ext>
      </extLst>
    </cfRule>
  </conditionalFormatting>
  <conditionalFormatting sqref="X19">
    <cfRule type="dataBar" priority="6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{05621205-2C46-4B58-ABA3-C5783642CAF9}</x14:id>
        </ext>
      </extLst>
    </cfRule>
  </conditionalFormatting>
  <conditionalFormatting sqref="X19">
    <cfRule type="dataBar" priority="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{5ED73A3D-E0FC-4C24-ACD7-236D66C5789F}</x14:id>
        </ext>
      </extLst>
    </cfRule>
  </conditionalFormatting>
  <conditionalFormatting sqref="X19">
    <cfRule type="dataBar" priority="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{5D5ACA62-37A7-4A08-87BA-49885F1AE360}</x14:id>
        </ext>
      </extLst>
    </cfRule>
  </conditionalFormatting>
  <conditionalFormatting sqref="I19:J19">
    <cfRule type="dataBar" priority="6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{5CC12C60-42BC-48B5-9342-09A741619729}</x14:id>
        </ext>
      </extLst>
    </cfRule>
  </conditionalFormatting>
  <conditionalFormatting sqref="I19:J19">
    <cfRule type="dataBar" priority="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{380B456A-9BF3-4514-BAF4-D027FC5A9D0D}</x14:id>
        </ext>
      </extLst>
    </cfRule>
  </conditionalFormatting>
  <conditionalFormatting sqref="I19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{92B4E94F-0471-4AB6-9411-0A3A82333261}</x14:id>
        </ext>
      </extLst>
    </cfRule>
  </conditionalFormatting>
  <conditionalFormatting sqref="J19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{A67AD664-223E-4F56-A179-DF1EC145C9F8}</x14:id>
        </ext>
      </extLst>
    </cfRule>
  </conditionalFormatting>
  <conditionalFormatting sqref="U19">
    <cfRule type="dataBar" priority="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{2DF120BE-97DE-488E-92BC-3385D7A43431}</x14:id>
        </ext>
      </extLst>
    </cfRule>
  </conditionalFormatting>
  <conditionalFormatting sqref="V19">
    <cfRule type="dataBar" priority="6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{2B21D702-9AEE-4848-8D7E-A4C58AA4A054}</x14:id>
        </ext>
      </extLst>
    </cfRule>
  </conditionalFormatting>
  <conditionalFormatting sqref="W19">
    <cfRule type="dataBar" priority="6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{EB63942B-0CB6-44FB-9FDF-A9523C2E97D9}</x14:id>
        </ext>
      </extLst>
    </cfRule>
  </conditionalFormatting>
  <conditionalFormatting sqref="X19">
    <cfRule type="dataBar" priority="6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{567808F0-08D6-433B-8A83-3A8CCF706F67}</x14:id>
        </ext>
      </extLst>
    </cfRule>
  </conditionalFormatting>
  <conditionalFormatting sqref="I21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{D0F1A7A0-F08E-4404-AAD0-9228DA4FD78C}</x14:id>
        </ext>
      </extLst>
    </cfRule>
  </conditionalFormatting>
  <conditionalFormatting sqref="J21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{0C0985FE-BB32-4B1A-A04D-5765AFCBD2E2}</x14:id>
        </ext>
      </extLst>
    </cfRule>
  </conditionalFormatting>
  <conditionalFormatting sqref="I17:I18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{27FE0C9A-A88B-4FDD-A4D9-359C8AF4F296}</x14:id>
        </ext>
      </extLst>
    </cfRule>
  </conditionalFormatting>
  <conditionalFormatting sqref="J17:J18">
    <cfRule type="dataBar" priority="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{D826862E-EC73-42CF-B1CA-3A9CBF509AAC}</x14:id>
        </ext>
      </extLst>
    </cfRule>
  </conditionalFormatting>
  <conditionalFormatting sqref="U17:U18">
    <cfRule type="dataBar" priority="7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{BA1402B1-FF43-4DBB-9143-AC7C400611EC}</x14:id>
        </ext>
      </extLst>
    </cfRule>
  </conditionalFormatting>
  <conditionalFormatting sqref="V17:V18">
    <cfRule type="dataBar" priority="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{86E9DFE8-8067-4E98-818F-A1387CEA5F37}</x14:id>
        </ext>
      </extLst>
    </cfRule>
  </conditionalFormatting>
  <conditionalFormatting sqref="W17:W18">
    <cfRule type="dataBar" priority="7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{1C052CFE-5168-46B9-AA26-3BA1A9B965AB}</x14:id>
        </ext>
      </extLst>
    </cfRule>
  </conditionalFormatting>
  <conditionalFormatting sqref="X17:X18">
    <cfRule type="dataBar" priority="7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{525DFC1A-1695-4CA0-8E96-3CF4E7F37090}</x14:id>
        </ext>
      </extLst>
    </cfRule>
  </conditionalFormatting>
  <conditionalFormatting sqref="Y17:Y20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{DC832E5C-31C4-46DA-917A-958A640B1A4C}</x14:id>
        </ext>
      </extLst>
    </cfRule>
  </conditionalFormatting>
  <conditionalFormatting sqref="U21:Z21">
    <cfRule type="dataBar" priority="7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{DB3DD3F0-B093-47D2-9312-62D2E0A8F338}</x14:id>
        </ext>
      </extLst>
    </cfRule>
  </conditionalFormatting>
  <conditionalFormatting sqref="U21:Z21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{AFDBB33A-F7C4-4407-A095-7E5EF49396EC}</x14:id>
        </ext>
      </extLst>
    </cfRule>
  </conditionalFormatting>
  <conditionalFormatting sqref="X21">
    <cfRule type="dataBar" priority="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{B92CEA97-F03E-427E-973F-A43E80030716}</x14:id>
        </ext>
      </extLst>
    </cfRule>
  </conditionalFormatting>
  <conditionalFormatting sqref="I21:J21">
    <cfRule type="dataBar" priority="7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{9617E8BF-B5ED-4937-8795-027A10CDBF10}</x14:id>
        </ext>
      </extLst>
    </cfRule>
  </conditionalFormatting>
  <conditionalFormatting sqref="I21">
    <cfRule type="dataBar" priority="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{86DDBA4F-8CAE-47AC-8F21-E4F4C295260B}</x14:id>
        </ext>
      </extLst>
    </cfRule>
  </conditionalFormatting>
  <conditionalFormatting sqref="J21">
    <cfRule type="dataBar" priority="7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{3B8EEE3A-0ECE-4568-89DD-AE53EE8BC162}</x14:id>
        </ext>
      </extLst>
    </cfRule>
  </conditionalFormatting>
  <conditionalFormatting sqref="U21">
    <cfRule type="dataBar" priority="7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{B20B6506-D46E-44DD-A6F3-8577C59EA04A}</x14:id>
        </ext>
      </extLst>
    </cfRule>
  </conditionalFormatting>
  <conditionalFormatting sqref="V21"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{222807F3-F1B7-47A0-BB75-2A14455C8D43}</x14:id>
        </ext>
      </extLst>
    </cfRule>
  </conditionalFormatting>
  <conditionalFormatting sqref="W21">
    <cfRule type="dataBar" priority="7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{4BB75D47-A594-43F3-B589-F973006BC48B}</x14:id>
        </ext>
      </extLst>
    </cfRule>
  </conditionalFormatting>
  <conditionalFormatting sqref="U21:AA21">
    <cfRule type="dataBar" priority="7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{F863E756-2F19-4248-A158-5549A521551F}</x14:id>
        </ext>
      </extLst>
    </cfRule>
  </conditionalFormatting>
  <conditionalFormatting sqref="U20:Z20">
    <cfRule type="dataBar" priority="7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{F626107C-AADA-448B-8AA3-365D367371E4}</x14:id>
        </ext>
      </extLst>
    </cfRule>
  </conditionalFormatting>
  <conditionalFormatting sqref="U20:Z20">
    <cfRule type="dataBar" priority="7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{1423F7A5-C0E4-4164-8278-0A70FB0D6997}</x14:id>
        </ext>
      </extLst>
    </cfRule>
  </conditionalFormatting>
  <conditionalFormatting sqref="X20">
    <cfRule type="dataBar" priority="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{79FB7AD3-9D87-4BC8-8C91-BDECD5E40B75}</x14:id>
        </ext>
      </extLst>
    </cfRule>
  </conditionalFormatting>
  <conditionalFormatting sqref="I20:J20">
    <cfRule type="dataBar" priority="7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{850E32BD-47CA-4656-8BBD-342210534AF7}</x14:id>
        </ext>
      </extLst>
    </cfRule>
  </conditionalFormatting>
  <conditionalFormatting sqref="I20">
    <cfRule type="dataBar" priority="7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{3DF476C9-52B3-431A-B73A-B76E2B6F376B}</x14:id>
        </ext>
      </extLst>
    </cfRule>
  </conditionalFormatting>
  <conditionalFormatting sqref="J20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{192FFA17-2396-4443-B3CF-C2E61C020410}</x14:id>
        </ext>
      </extLst>
    </cfRule>
  </conditionalFormatting>
  <conditionalFormatting sqref="U20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{785F5894-16BE-48E9-838A-EF2EF91DC1F4}</x14:id>
        </ext>
      </extLst>
    </cfRule>
  </conditionalFormatting>
  <conditionalFormatting sqref="V20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{8E1AB181-06C5-447E-A6E7-1C5CBC823F6F}</x14:id>
        </ext>
      </extLst>
    </cfRule>
  </conditionalFormatting>
  <conditionalFormatting sqref="W20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{7F41DA47-5BB1-4291-9E38-0E0CEAE0CB37}</x14:id>
        </ext>
      </extLst>
    </cfRule>
  </conditionalFormatting>
  <conditionalFormatting sqref="I17:I20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{F4E8CC32-BF1C-46EB-8B99-F2440797A9C8}</x14:id>
        </ext>
      </extLst>
    </cfRule>
  </conditionalFormatting>
  <conditionalFormatting sqref="J17:J20">
    <cfRule type="dataBar" priority="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{333D59E9-B34B-4AF0-A4A0-D5C3C31170A4}</x14:id>
        </ext>
      </extLst>
    </cfRule>
  </conditionalFormatting>
  <conditionalFormatting sqref="U17:AA20">
    <cfRule type="dataBar" priority="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{4DFF8DF4-88FD-4EFF-A075-F98C8E121A6B}</x14:id>
        </ext>
      </extLst>
    </cfRule>
  </conditionalFormatting>
  <conditionalFormatting sqref="Y21">
    <cfRule type="dataBar" priority="7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{49A8951A-D483-4238-A835-825BF89C8F85}</x14:id>
        </ext>
      </extLst>
    </cfRule>
  </conditionalFormatting>
  <conditionalFormatting sqref="I17:J21">
    <cfRule type="dataBar" priority="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{0225B1CF-3434-4379-BD9A-F3702D146F21}</x14:id>
        </ext>
      </extLst>
    </cfRule>
  </conditionalFormatting>
  <conditionalFormatting sqref="J22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{12EBF328-1B82-498B-B9C4-86F8ED5E720F}</x14:id>
        </ext>
      </extLst>
    </cfRule>
  </conditionalFormatting>
  <conditionalFormatting sqref="U22:Z22">
    <cfRule type="dataBar" priority="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{97A08360-EFF2-4F31-9A9F-6F99A7017814}</x14:id>
        </ext>
      </extLst>
    </cfRule>
  </conditionalFormatting>
  <conditionalFormatting sqref="U22:Z22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{29C25B79-A86C-4B20-98B0-A8EF952E065B}</x14:id>
        </ext>
      </extLst>
    </cfRule>
  </conditionalFormatting>
  <conditionalFormatting sqref="X22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{0C9E739A-1F3A-4D70-B1D1-92A8E6EDA949}</x14:id>
        </ext>
      </extLst>
    </cfRule>
  </conditionalFormatting>
  <conditionalFormatting sqref="J22">
    <cfRule type="dataBar" priority="6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{FFF02228-290B-4E96-ABA4-020AD4179E54}</x14:id>
        </ext>
      </extLst>
    </cfRule>
  </conditionalFormatting>
  <conditionalFormatting sqref="J22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{78875EB5-DDC3-4DD3-A55B-80FDDDA2A6B3}</x14:id>
        </ext>
      </extLst>
    </cfRule>
  </conditionalFormatting>
  <conditionalFormatting sqref="U22">
    <cfRule type="dataBar" priority="6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{0F2DD25B-5741-4274-9E6E-E4C10B2491E8}</x14:id>
        </ext>
      </extLst>
    </cfRule>
  </conditionalFormatting>
  <conditionalFormatting sqref="V2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{2661D5AF-5EE0-47C0-84EA-0F2929133321}</x14:id>
        </ext>
      </extLst>
    </cfRule>
  </conditionalFormatting>
  <conditionalFormatting sqref="W22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{00B9EBB0-0801-4706-A7DD-A4E73D88977E}</x14:id>
        </ext>
      </extLst>
    </cfRule>
  </conditionalFormatting>
  <conditionalFormatting sqref="U22:AA22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{BBEED2ED-9C32-48B7-8AFB-280777EEF0C3}</x14:id>
        </ext>
      </extLst>
    </cfRule>
  </conditionalFormatting>
  <conditionalFormatting sqref="Y22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{B29C447E-7014-4E2D-A4CB-ABA382FD2F27}</x14:id>
        </ext>
      </extLst>
    </cfRule>
  </conditionalFormatting>
  <conditionalFormatting sqref="J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{97D81E54-92A3-46A4-B2FF-8C78CC2FF83B}</x14:id>
        </ext>
      </extLst>
    </cfRule>
  </conditionalFormatting>
  <conditionalFormatting sqref="I19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{12DCA5F3-337E-4943-AC41-94798781A54F}</x14:id>
        </ext>
      </extLst>
    </cfRule>
  </conditionalFormatting>
  <conditionalFormatting sqref="I19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{F80F9CD3-F136-4281-B3C2-835771A3D2C7}</x14:id>
        </ext>
      </extLst>
    </cfRule>
  </conditionalFormatting>
  <conditionalFormatting sqref="I17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{0F15BF47-3579-44C3-BABE-1690BEE6537D}</x14:id>
        </ext>
      </extLst>
    </cfRule>
  </conditionalFormatting>
  <conditionalFormatting sqref="I17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{1971AF3C-BC0B-4127-964C-12C778CE4B6C}</x14:id>
        </ext>
      </extLst>
    </cfRule>
  </conditionalFormatting>
  <conditionalFormatting sqref="I17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{C27D58EF-F28E-41DF-A681-5D8DA701F597}</x14:id>
        </ext>
      </extLst>
    </cfRule>
  </conditionalFormatting>
  <conditionalFormatting sqref="I17">
    <cfRule type="dataBar" priority="6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{D6B57C08-555C-4434-AE56-8CDDAD07153E}</x14:id>
        </ext>
      </extLst>
    </cfRule>
  </conditionalFormatting>
  <conditionalFormatting sqref="I17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{89DED0B6-C7A0-4449-8E81-A02877FABB85}</x14:id>
        </ext>
      </extLst>
    </cfRule>
  </conditionalFormatting>
  <conditionalFormatting sqref="I18">
    <cfRule type="dataBar" priority="6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{1FEDA6C1-A59A-4D4B-B80F-6E8BEC77A67F}</x14:id>
        </ext>
      </extLst>
    </cfRule>
  </conditionalFormatting>
  <conditionalFormatting sqref="I18">
    <cfRule type="dataBar" priority="6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{D5FA7B07-9DED-4077-9884-8FE911D034A1}</x14:id>
        </ext>
      </extLst>
    </cfRule>
  </conditionalFormatting>
  <conditionalFormatting sqref="I18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{7D68FB8C-6A23-4552-9B96-C901155F4EA4}</x14:id>
        </ext>
      </extLst>
    </cfRule>
  </conditionalFormatting>
  <conditionalFormatting sqref="I1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{8D58D857-58A6-4D58-AA8C-C7B7E0278CB7}</x14:id>
        </ext>
      </extLst>
    </cfRule>
  </conditionalFormatting>
  <conditionalFormatting sqref="I18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{66BFC181-9979-4C98-AED5-3D0572213C6E}</x14:id>
        </ext>
      </extLst>
    </cfRule>
  </conditionalFormatting>
  <conditionalFormatting sqref="I18">
    <cfRule type="dataBar" priority="6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{BF59FC3E-C32D-4F9E-ADC7-8F23894F015F}</x14:id>
        </ext>
      </extLst>
    </cfRule>
  </conditionalFormatting>
  <conditionalFormatting sqref="I18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{1C3D00A3-922F-4774-B679-4DF693F5AD44}</x14:id>
        </ext>
      </extLst>
    </cfRule>
  </conditionalFormatting>
  <conditionalFormatting sqref="I22">
    <cfRule type="dataBar" priority="6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{A0B25594-DABF-445C-8BEF-A0938EA8DD18}</x14:id>
        </ext>
      </extLst>
    </cfRule>
  </conditionalFormatting>
  <conditionalFormatting sqref="I22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{7FA9DF7B-4814-4AF7-92CA-CEC95B7E8D00}</x14:id>
        </ext>
      </extLst>
    </cfRule>
  </conditionalFormatting>
  <conditionalFormatting sqref="I22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{AD3ED090-24FB-4EE7-8C39-93F99767C22D}</x14:id>
        </ext>
      </extLst>
    </cfRule>
  </conditionalFormatting>
  <conditionalFormatting sqref="I22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{EB815363-12E8-4634-9AEB-792622FCAC75}</x14:id>
        </ext>
      </extLst>
    </cfRule>
  </conditionalFormatting>
  <conditionalFormatting sqref="I21">
    <cfRule type="dataBar" priority="6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{CF141174-3D9C-46B1-BB0B-4CA8CC0377E9}</x14:id>
        </ext>
      </extLst>
    </cfRule>
  </conditionalFormatting>
  <conditionalFormatting sqref="I21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{E4495F9D-92C0-40F5-9A5E-4DBA9CC0DB60}</x14:id>
        </ext>
      </extLst>
    </cfRule>
  </conditionalFormatting>
  <conditionalFormatting sqref="I21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{12B7414E-B90E-415E-A389-0E1E456297A9}</x14:id>
        </ext>
      </extLst>
    </cfRule>
  </conditionalFormatting>
  <conditionalFormatting sqref="Y5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{04AEFBB1-E922-4F48-8A32-522B83B17CED}</x14:id>
        </ext>
      </extLst>
    </cfRule>
  </conditionalFormatting>
  <conditionalFormatting sqref="Y5">
    <cfRule type="dataBar" priority="6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{2504F58B-7610-435D-B82F-96D1FC76D65F}</x14:id>
        </ext>
      </extLst>
    </cfRule>
  </conditionalFormatting>
  <conditionalFormatting sqref="Y5">
    <cfRule type="dataBar" priority="6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{4D2CB2B3-C7C3-415E-B3FF-F5A46D7E21C7}</x14:id>
        </ext>
      </extLst>
    </cfRule>
  </conditionalFormatting>
  <conditionalFormatting sqref="S4"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{4260B4FC-65C6-4934-9E5A-56DCDB0173D5}</x14:id>
        </ext>
      </extLst>
    </cfRule>
  </conditionalFormatting>
  <conditionalFormatting sqref="Y4">
    <cfRule type="dataBar" priority="6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{2D5C90EB-2391-4F22-AFD6-685BECC71472}</x14:id>
        </ext>
      </extLst>
    </cfRule>
  </conditionalFormatting>
  <conditionalFormatting sqref="Y4">
    <cfRule type="dataBar" priority="6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{3907EF42-A017-4D22-9989-D32843A1FCEB}</x14:id>
        </ext>
      </extLst>
    </cfRule>
  </conditionalFormatting>
  <conditionalFormatting sqref="Y4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{AF4E5E13-5E83-4B32-AEE3-FAD0E16C7A6A}</x14:id>
        </ext>
      </extLst>
    </cfRule>
  </conditionalFormatting>
  <conditionalFormatting sqref="Y6">
    <cfRule type="dataBar" priority="6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{481FFE42-4FA2-46F8-A023-34D571973BB6}</x14:id>
        </ext>
      </extLst>
    </cfRule>
  </conditionalFormatting>
  <conditionalFormatting sqref="Y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{8D068F49-8394-4BA8-81A9-A99F26FC5D38}</x14:id>
        </ext>
      </extLst>
    </cfRule>
  </conditionalFormatting>
  <conditionalFormatting sqref="Y6">
    <cfRule type="dataBar" priority="6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{1CA630EF-CAC8-4796-96A2-B49CDD639B7D}</x14:id>
        </ext>
      </extLst>
    </cfRule>
  </conditionalFormatting>
  <conditionalFormatting sqref="U6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{38D7C8AE-1768-43F6-ABC7-85682E7F7BBD}</x14:id>
        </ext>
      </extLst>
    </cfRule>
  </conditionalFormatting>
  <conditionalFormatting sqref="V6">
    <cfRule type="dataBar" priority="6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{B0AE6E7C-EAC0-4CCD-B72C-D92C2690F64C}</x14:id>
        </ext>
      </extLst>
    </cfRule>
  </conditionalFormatting>
  <conditionalFormatting sqref="W6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{BF5D7DE4-019D-4B96-B6E9-8BF6E0AE4E2E}</x14:id>
        </ext>
      </extLst>
    </cfRule>
  </conditionalFormatting>
  <conditionalFormatting sqref="X6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{EA2E946B-BC1A-4F02-B786-2C96A19470CA}</x14:id>
        </ext>
      </extLst>
    </cfRule>
  </conditionalFormatting>
  <conditionalFormatting sqref="Y6">
    <cfRule type="dataBar" priority="6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{D5663E65-84B4-48FC-A6A1-843DF4D78D69}</x14:id>
        </ext>
      </extLst>
    </cfRule>
  </conditionalFormatting>
  <conditionalFormatting sqref="S4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{31FD0DF1-138B-4C39-B0A4-1A5FDECAC72B}</x14:id>
        </ext>
      </extLst>
    </cfRule>
  </conditionalFormatting>
  <conditionalFormatting sqref="U4:U5">
    <cfRule type="dataBar" priority="6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{C773BFD3-9E37-4D68-98FE-9C863A8A8E0B}</x14:id>
        </ext>
      </extLst>
    </cfRule>
  </conditionalFormatting>
  <conditionalFormatting sqref="V4:V5">
    <cfRule type="dataBar" priority="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{3A414B52-A2C9-43AA-98BA-AC668AD8E220}</x14:id>
        </ext>
      </extLst>
    </cfRule>
  </conditionalFormatting>
  <conditionalFormatting sqref="W4:W5">
    <cfRule type="dataBar" priority="6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{13F5D281-4BAD-4D0B-95FF-81CB0983BC68}</x14:id>
        </ext>
      </extLst>
    </cfRule>
  </conditionalFormatting>
  <conditionalFormatting sqref="X4:X5">
    <cfRule type="dataBar" priority="6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{C969F9DD-C04C-4207-9CD3-B871C2C4D001}</x14:id>
        </ext>
      </extLst>
    </cfRule>
  </conditionalFormatting>
  <conditionalFormatting sqref="Y4:Y5">
    <cfRule type="dataBar" priority="6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{0CAE4FAC-14D3-45AA-876D-8A35CFD6D07C}</x14:id>
        </ext>
      </extLst>
    </cfRule>
  </conditionalFormatting>
  <conditionalFormatting sqref="Y8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{841D5CE5-47D9-4034-8FFA-774502CE2E1D}</x14:id>
        </ext>
      </extLst>
    </cfRule>
  </conditionalFormatting>
  <conditionalFormatting sqref="U8">
    <cfRule type="dataBar" priority="6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{B76D24B1-7507-4834-BB37-0F098801A32A}</x14:id>
        </ext>
      </extLst>
    </cfRule>
  </conditionalFormatting>
  <conditionalFormatting sqref="V8">
    <cfRule type="dataBar" priority="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{C0B0C4DB-EB4B-48F0-9E30-80B6A46046A1}</x14:id>
        </ext>
      </extLst>
    </cfRule>
  </conditionalFormatting>
  <conditionalFormatting sqref="W8">
    <cfRule type="dataBar" priority="6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{ABE86C60-1490-434A-937D-247EC828398C}</x14:id>
        </ext>
      </extLst>
    </cfRule>
  </conditionalFormatting>
  <conditionalFormatting sqref="X8">
    <cfRule type="dataBar" priority="6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{EF46177B-8860-46C6-9F1F-7425F9421CF5}</x14:id>
        </ext>
      </extLst>
    </cfRule>
  </conditionalFormatting>
  <conditionalFormatting sqref="Y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{BA998DEF-94F5-483C-8A9A-F5E20BEDE35F}</x14:id>
        </ext>
      </extLst>
    </cfRule>
  </conditionalFormatting>
  <conditionalFormatting sqref="U7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{5350D2B6-3CC7-49BF-8477-DFCC675E1131}</x14:id>
        </ext>
      </extLst>
    </cfRule>
  </conditionalFormatting>
  <conditionalFormatting sqref="V7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{E16F4BF4-8BBE-4D0C-8B84-4F9CA2F202E7}</x14:id>
        </ext>
      </extLst>
    </cfRule>
  </conditionalFormatting>
  <conditionalFormatting sqref="W7">
    <cfRule type="dataBar" priority="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{0AFF6846-6985-4119-B1B6-88B52D2F48D8}</x14:id>
        </ext>
      </extLst>
    </cfRule>
  </conditionalFormatting>
  <conditionalFormatting sqref="X7">
    <cfRule type="dataBar" priority="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{3BD4A816-6ADA-4F37-81C8-5F92F101AA08}</x14:id>
        </ext>
      </extLst>
    </cfRule>
  </conditionalFormatting>
  <conditionalFormatting sqref="Y9">
    <cfRule type="dataBar" priority="5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{4FD20B5C-275E-45B2-8B15-47752B411BA6}</x14:id>
        </ext>
      </extLst>
    </cfRule>
  </conditionalFormatting>
  <conditionalFormatting sqref="U9">
    <cfRule type="dataBar" priority="5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{84867AE0-5A1D-4420-AE79-C4FAEE8F6C16}</x14:id>
        </ext>
      </extLst>
    </cfRule>
  </conditionalFormatting>
  <conditionalFormatting sqref="V9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{4E4F8BB7-0865-45CC-B49B-CB31ADB5A320}</x14:id>
        </ext>
      </extLst>
    </cfRule>
  </conditionalFormatting>
  <conditionalFormatting sqref="W9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{AC93A032-6DFE-4E2C-BFF1-6CE59ACAFA5E}</x14:id>
        </ext>
      </extLst>
    </cfRule>
  </conditionalFormatting>
  <conditionalFormatting sqref="X9">
    <cfRule type="dataBar" priority="5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{F38D8958-4242-459B-9166-5E3467FC462A}</x14:id>
        </ext>
      </extLst>
    </cfRule>
  </conditionalFormatting>
  <conditionalFormatting sqref="Y18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{90C455AF-A062-40F3-A1EB-96B8F8C2347F}</x14:id>
        </ext>
      </extLst>
    </cfRule>
  </conditionalFormatting>
  <conditionalFormatting sqref="Y18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{41150EA9-880C-4482-8995-454BF9DB45ED}</x14:id>
        </ext>
      </extLst>
    </cfRule>
  </conditionalFormatting>
  <conditionalFormatting sqref="Y18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{C98879D1-AC3F-4DD5-9146-8E99BD2474D3}</x14:id>
        </ext>
      </extLst>
    </cfRule>
  </conditionalFormatting>
  <conditionalFormatting sqref="Y17">
    <cfRule type="dataBar" priority="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{53A45F89-301F-46AF-9DD3-D132A53A2510}</x14:id>
        </ext>
      </extLst>
    </cfRule>
  </conditionalFormatting>
  <conditionalFormatting sqref="Y17">
    <cfRule type="dataBar" priority="5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{446690B9-8379-41C8-9AA5-41EAB5C3C6CE}</x14:id>
        </ext>
      </extLst>
    </cfRule>
  </conditionalFormatting>
  <conditionalFormatting sqref="Y17">
    <cfRule type="dataBar" priority="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{06311B06-1313-4BE9-947D-F612E44B6578}</x14:id>
        </ext>
      </extLst>
    </cfRule>
  </conditionalFormatting>
  <conditionalFormatting sqref="Y19">
    <cfRule type="dataBar" priority="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{7C190DE6-C5AA-4FFE-A3F6-61FB664F9C2C}</x14:id>
        </ext>
      </extLst>
    </cfRule>
  </conditionalFormatting>
  <conditionalFormatting sqref="Y19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{41701C52-D56E-44FE-83F9-0D739BED94F6}</x14:id>
        </ext>
      </extLst>
    </cfRule>
  </conditionalFormatting>
  <conditionalFormatting sqref="Y19">
    <cfRule type="dataBar" priority="5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{8A80D29B-62AD-4364-96B7-C3791088AD03}</x14:id>
        </ext>
      </extLst>
    </cfRule>
  </conditionalFormatting>
  <conditionalFormatting sqref="U19">
    <cfRule type="dataBar" priority="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{67298E7F-9325-4F63-A5B6-FBE71B3275D2}</x14:id>
        </ext>
      </extLst>
    </cfRule>
  </conditionalFormatting>
  <conditionalFormatting sqref="V19">
    <cfRule type="dataBar" priority="5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{9D75C7CC-A802-44A9-9490-55FBDD994D25}</x14:id>
        </ext>
      </extLst>
    </cfRule>
  </conditionalFormatting>
  <conditionalFormatting sqref="W19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{1EB38441-CAE8-4F16-867C-2C33E89AA040}</x14:id>
        </ext>
      </extLst>
    </cfRule>
  </conditionalFormatting>
  <conditionalFormatting sqref="X19">
    <cfRule type="dataBar" priority="5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{9AD44DF7-B870-4FDD-B705-4160547D7527}</x14:id>
        </ext>
      </extLst>
    </cfRule>
  </conditionalFormatting>
  <conditionalFormatting sqref="Y19">
    <cfRule type="dataBar" priority="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{6242AD9F-F7CF-4F14-947E-ED8F3BB3E3FF}</x14:id>
        </ext>
      </extLst>
    </cfRule>
  </conditionalFormatting>
  <conditionalFormatting sqref="U17:U18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{286E85C7-0D6A-4235-A17B-9FAA35553505}</x14:id>
        </ext>
      </extLst>
    </cfRule>
  </conditionalFormatting>
  <conditionalFormatting sqref="V17:V18">
    <cfRule type="dataBar" priority="5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{A3BB242D-DD09-497A-A0F4-2809A8636A64}</x14:id>
        </ext>
      </extLst>
    </cfRule>
  </conditionalFormatting>
  <conditionalFormatting sqref="W17:W18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{516CB8CF-77A5-47C6-9269-47C2F5E28EFD}</x14:id>
        </ext>
      </extLst>
    </cfRule>
  </conditionalFormatting>
  <conditionalFormatting sqref="X17:X18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{1BC12CFC-25A4-457F-A2DB-DCB0F1F2FF94}</x14:id>
        </ext>
      </extLst>
    </cfRule>
  </conditionalFormatting>
  <conditionalFormatting sqref="Y17:Y18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{360137BC-A075-4468-9524-074F8734A3B3}</x14:id>
        </ext>
      </extLst>
    </cfRule>
  </conditionalFormatting>
  <conditionalFormatting sqref="Y21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{28B4A9E6-8700-40DF-841F-E547E7DEC083}</x14:id>
        </ext>
      </extLst>
    </cfRule>
  </conditionalFormatting>
  <conditionalFormatting sqref="U21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{3415FD61-9D85-44FA-8E88-5887879454AE}</x14:id>
        </ext>
      </extLst>
    </cfRule>
  </conditionalFormatting>
  <conditionalFormatting sqref="V21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{163A8075-8089-4E24-8A5C-D3F4CED85629}</x14:id>
        </ext>
      </extLst>
    </cfRule>
  </conditionalFormatting>
  <conditionalFormatting sqref="W21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{1F2F4C5B-AAFF-4F6B-B85C-A2D9D71EB4D6}</x14:id>
        </ext>
      </extLst>
    </cfRule>
  </conditionalFormatting>
  <conditionalFormatting sqref="X21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{4D416885-A1CC-467C-B130-4C595AD12520}</x14:id>
        </ext>
      </extLst>
    </cfRule>
  </conditionalFormatting>
  <conditionalFormatting sqref="Y20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{27D4C456-19EB-4F27-AD23-CC3B081D15A3}</x14:id>
        </ext>
      </extLst>
    </cfRule>
  </conditionalFormatting>
  <conditionalFormatting sqref="U20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{C5A0EFAE-889C-414A-AF1E-F34F178C0F19}</x14:id>
        </ext>
      </extLst>
    </cfRule>
  </conditionalFormatting>
  <conditionalFormatting sqref="V20">
    <cfRule type="dataBar" priority="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{C89088F9-FC06-484B-ACD6-C773B7BB1619}</x14:id>
        </ext>
      </extLst>
    </cfRule>
  </conditionalFormatting>
  <conditionalFormatting sqref="W20">
    <cfRule type="dataBar" priority="5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{B006A833-64A9-44B1-8CC6-0210C306A08F}</x14:id>
        </ext>
      </extLst>
    </cfRule>
  </conditionalFormatting>
  <conditionalFormatting sqref="X20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{59990492-4DFA-4C67-BBC8-3EB16525F25C}</x14:id>
        </ext>
      </extLst>
    </cfRule>
  </conditionalFormatting>
  <conditionalFormatting sqref="Y22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{CF73E656-A535-4366-A24A-06D371CAE74F}</x14:id>
        </ext>
      </extLst>
    </cfRule>
  </conditionalFormatting>
  <conditionalFormatting sqref="U22">
    <cfRule type="dataBar" priority="5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{20FD00E5-27E1-46DD-92E3-4721F80F45FE}</x14:id>
        </ext>
      </extLst>
    </cfRule>
  </conditionalFormatting>
  <conditionalFormatting sqref="V22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{AA858AAD-74EE-434C-BB27-45F49EA57933}</x14:id>
        </ext>
      </extLst>
    </cfRule>
  </conditionalFormatting>
  <conditionalFormatting sqref="W22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{4E4120AC-BD82-4E96-93D5-34BE4D985735}</x14:id>
        </ext>
      </extLst>
    </cfRule>
  </conditionalFormatting>
  <conditionalFormatting sqref="X22">
    <cfRule type="dataBar" priority="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{7BDA9DAC-5164-4CEE-B27B-A758ED7AFFB6}</x14:id>
        </ext>
      </extLst>
    </cfRule>
  </conditionalFormatting>
  <conditionalFormatting sqref="R5:R9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{5A5742A1-6A77-4189-93EE-CF5CD773F90F}</x14:id>
        </ext>
      </extLst>
    </cfRule>
  </conditionalFormatting>
  <conditionalFormatting sqref="R5:R9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{577C22C3-2E94-4E95-BE1E-9109F7931BA1}</x14:id>
        </ext>
      </extLst>
    </cfRule>
  </conditionalFormatting>
  <conditionalFormatting sqref="R5:R9"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{944FCA02-839E-4A80-BE1A-55D6F93B527C}</x14:id>
        </ext>
      </extLst>
    </cfRule>
  </conditionalFormatting>
  <conditionalFormatting sqref="R5:R9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{97EF27FD-BD2F-4B41-A685-0796D7EA868A}</x14:id>
        </ext>
      </extLst>
    </cfRule>
  </conditionalFormatting>
  <conditionalFormatting sqref="R5:R9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{E06EDF4A-C7D5-495A-AFD2-1E79A178B0D3}</x14:id>
        </ext>
      </extLst>
    </cfRule>
  </conditionalFormatting>
  <conditionalFormatting sqref="R17:R22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{4CC22959-08C3-4973-BDD6-D42AB0BF8761}</x14:id>
        </ext>
      </extLst>
    </cfRule>
  </conditionalFormatting>
  <conditionalFormatting sqref="R17:R22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{8E91821D-5FDF-4569-AE46-BDF2678DF6C1}</x14:id>
        </ext>
      </extLst>
    </cfRule>
  </conditionalFormatting>
  <conditionalFormatting sqref="R17:R22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{41FDC766-0BD2-4614-B3CA-0DECD1F44DC9}</x14:id>
        </ext>
      </extLst>
    </cfRule>
  </conditionalFormatting>
  <conditionalFormatting sqref="R17:R22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{588B0BDB-5EC9-474A-B22B-9FFB25D39C6B}</x14:id>
        </ext>
      </extLst>
    </cfRule>
  </conditionalFormatting>
  <conditionalFormatting sqref="R17:R22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{5B797694-F01B-4AD7-9561-93F7C5AF0527}</x14:id>
        </ext>
      </extLst>
    </cfRule>
  </conditionalFormatting>
  <conditionalFormatting sqref="Y5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{59F087B5-98F4-4818-BBBC-CE24A32DA508}</x14:id>
        </ext>
      </extLst>
    </cfRule>
  </conditionalFormatting>
  <conditionalFormatting sqref="Y5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{3D20A8F0-20F2-421F-AD46-DDA86B634C55}</x14:id>
        </ext>
      </extLst>
    </cfRule>
  </conditionalFormatting>
  <conditionalFormatting sqref="Y5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{92F012DC-0B1B-4EDE-8F13-BFCE6E6920E0}</x14:id>
        </ext>
      </extLst>
    </cfRule>
  </conditionalFormatting>
  <conditionalFormatting sqref="Y4">
    <cfRule type="dataBar" priority="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{BAAA3977-E712-4AC4-B631-4243614D561D}</x14:id>
        </ext>
      </extLst>
    </cfRule>
  </conditionalFormatting>
  <conditionalFormatting sqref="Y4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{AA242A75-A84C-4BCC-839E-B753AF9248E5}</x14:id>
        </ext>
      </extLst>
    </cfRule>
  </conditionalFormatting>
  <conditionalFormatting sqref="Y4">
    <cfRule type="dataBar" priority="5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{79855179-47B9-4C17-BF41-961E74908A91}</x14:id>
        </ext>
      </extLst>
    </cfRule>
  </conditionalFormatting>
  <conditionalFormatting sqref="Y6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{3923D250-A661-4411-9CFD-D2463DDFCAEB}</x14:id>
        </ext>
      </extLst>
    </cfRule>
  </conditionalFormatting>
  <conditionalFormatting sqref="Y6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{EE476D9D-D0F9-41B0-994D-54D3482FEB28}</x14:id>
        </ext>
      </extLst>
    </cfRule>
  </conditionalFormatting>
  <conditionalFormatting sqref="Y6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{60D395F8-1160-4354-A096-D9DDD494D386}</x14:id>
        </ext>
      </extLst>
    </cfRule>
  </conditionalFormatting>
  <conditionalFormatting sqref="U6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{B794AD5C-97BF-41C2-B1B1-774A2E642FED}</x14:id>
        </ext>
      </extLst>
    </cfRule>
  </conditionalFormatting>
  <conditionalFormatting sqref="V6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{6AFF3E6C-1A9D-429C-9685-982EBCB9589A}</x14:id>
        </ext>
      </extLst>
    </cfRule>
  </conditionalFormatting>
  <conditionalFormatting sqref="W6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{595DDE5A-E0FE-4C3C-A1EB-87A8745D091A}</x14:id>
        </ext>
      </extLst>
    </cfRule>
  </conditionalFormatting>
  <conditionalFormatting sqref="X6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{756546D8-F6A8-4715-90BB-73D0C7BD7AD8}</x14:id>
        </ext>
      </extLst>
    </cfRule>
  </conditionalFormatting>
  <conditionalFormatting sqref="Y6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{0479B1D0-853F-4EAA-8ADB-12EC5ABA77EC}</x14:id>
        </ext>
      </extLst>
    </cfRule>
  </conditionalFormatting>
  <conditionalFormatting sqref="U4:U5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{C93A436F-3731-4811-8655-7B0767DF0EA2}</x14:id>
        </ext>
      </extLst>
    </cfRule>
  </conditionalFormatting>
  <conditionalFormatting sqref="V4:V5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{607883D0-7506-49F3-86E0-AA732B1CED10}</x14:id>
        </ext>
      </extLst>
    </cfRule>
  </conditionalFormatting>
  <conditionalFormatting sqref="W4:W5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{39700423-08B8-4029-AD24-07FEFD3E3D1D}</x14:id>
        </ext>
      </extLst>
    </cfRule>
  </conditionalFormatting>
  <conditionalFormatting sqref="X4:X5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{BB31C948-DCB9-49BE-8DBC-93C4ACF79F8A}</x14:id>
        </ext>
      </extLst>
    </cfRule>
  </conditionalFormatting>
  <conditionalFormatting sqref="Y4:Y5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{607A1D3C-386E-46AE-8348-FF4E4EA5D003}</x14:id>
        </ext>
      </extLst>
    </cfRule>
  </conditionalFormatting>
  <conditionalFormatting sqref="Z4:Z7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{9837D2FA-15B2-48E9-88AD-8D5E5934CBDF}</x14:id>
        </ext>
      </extLst>
    </cfRule>
  </conditionalFormatting>
  <conditionalFormatting sqref="Y8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{7AD9CEC4-0266-4A04-878B-9880501855B8}</x14:id>
        </ext>
      </extLst>
    </cfRule>
  </conditionalFormatting>
  <conditionalFormatting sqref="U8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{D1F9CD6E-5D29-4701-BEDB-5BE216E3D181}</x14:id>
        </ext>
      </extLst>
    </cfRule>
  </conditionalFormatting>
  <conditionalFormatting sqref="V8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{00FC73FB-B5FC-4E0C-9048-96983CED2546}</x14:id>
        </ext>
      </extLst>
    </cfRule>
  </conditionalFormatting>
  <conditionalFormatting sqref="W8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{F25AE52C-98C6-4893-AA76-C66BFFCA557C}</x14:id>
        </ext>
      </extLst>
    </cfRule>
  </conditionalFormatting>
  <conditionalFormatting sqref="X8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{7FB7C34C-34A6-434E-BBB1-0E8950A066CF}</x14:id>
        </ext>
      </extLst>
    </cfRule>
  </conditionalFormatting>
  <conditionalFormatting sqref="Y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{E6309951-440D-4E00-872B-9C602D9676F6}</x14:id>
        </ext>
      </extLst>
    </cfRule>
  </conditionalFormatting>
  <conditionalFormatting sqref="U7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{A5C5F0B5-94C8-4D90-8298-0077FC06C6F5}</x14:id>
        </ext>
      </extLst>
    </cfRule>
  </conditionalFormatting>
  <conditionalFormatting sqref="V7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{D1BF0CF0-7360-4C60-8B95-4162A6F6ABA1}</x14:id>
        </ext>
      </extLst>
    </cfRule>
  </conditionalFormatting>
  <conditionalFormatting sqref="W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{8A01AA04-2275-45F5-8F7E-CD9AE28B40D4}</x14:id>
        </ext>
      </extLst>
    </cfRule>
  </conditionalFormatting>
  <conditionalFormatting sqref="X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{262095ED-D75C-4BAE-8AE1-3F422BD50B6B}</x14:id>
        </ext>
      </extLst>
    </cfRule>
  </conditionalFormatting>
  <conditionalFormatting sqref="Z8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{E93470B0-A586-4FC3-976D-1748B86F48B0}</x14:id>
        </ext>
      </extLst>
    </cfRule>
  </conditionalFormatting>
  <conditionalFormatting sqref="Y9">
    <cfRule type="dataBar" priority="4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{A450920B-8AF0-4F73-9F9B-B37E8D1B0A27}</x14:id>
        </ext>
      </extLst>
    </cfRule>
  </conditionalFormatting>
  <conditionalFormatting sqref="U9">
    <cfRule type="dataBar" priority="4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{B03506C3-1D15-47C7-9779-036CEA789A20}</x14:id>
        </ext>
      </extLst>
    </cfRule>
  </conditionalFormatting>
  <conditionalFormatting sqref="V9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{E9FACAB7-A26E-4285-9507-2A0B5685FA45}</x14:id>
        </ext>
      </extLst>
    </cfRule>
  </conditionalFormatting>
  <conditionalFormatting sqref="W9">
    <cfRule type="dataBar" priority="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{2F8C8927-5D54-4585-BAC7-5CC8F7299752}</x14:id>
        </ext>
      </extLst>
    </cfRule>
  </conditionalFormatting>
  <conditionalFormatting sqref="X9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{FBD6144A-4093-4282-A1FD-3A5F7A8795B9}</x14:id>
        </ext>
      </extLst>
    </cfRule>
  </conditionalFormatting>
  <conditionalFormatting sqref="Z9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{B02D5532-3B50-46BB-B740-69DF2EF5F506}</x14:id>
        </ext>
      </extLst>
    </cfRule>
  </conditionalFormatting>
  <conditionalFormatting sqref="Z5">
    <cfRule type="dataBar" priority="4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{4501168C-D643-41E3-BCED-BFED118087EA}</x14:id>
        </ext>
      </extLst>
    </cfRule>
  </conditionalFormatting>
  <conditionalFormatting sqref="Z5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{DB0443B7-DEF0-492D-867C-0DCD6664462D}</x14:id>
        </ext>
      </extLst>
    </cfRule>
  </conditionalFormatting>
  <conditionalFormatting sqref="Z5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{0EDA4681-BE1F-4424-9F06-86D061FDDFDB}</x14:id>
        </ext>
      </extLst>
    </cfRule>
  </conditionalFormatting>
  <conditionalFormatting sqref="Z4">
    <cfRule type="dataBar" priority="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{9BF475B7-2796-460C-8CB0-275F7292D07F}</x14:id>
        </ext>
      </extLst>
    </cfRule>
  </conditionalFormatting>
  <conditionalFormatting sqref="Z4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{5D3662F5-4C9E-46B4-AB5C-F43A1C042315}</x14:id>
        </ext>
      </extLst>
    </cfRule>
  </conditionalFormatting>
  <conditionalFormatting sqref="Z4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{323F1843-99F0-46BE-A4B6-9FDAF2217F06}</x14:id>
        </ext>
      </extLst>
    </cfRule>
  </conditionalFormatting>
  <conditionalFormatting sqref="Z6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{110A23B7-27CF-4C2F-85D0-2385B9563BC6}</x14:id>
        </ext>
      </extLst>
    </cfRule>
  </conditionalFormatting>
  <conditionalFormatting sqref="Z6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{80649800-E4E1-4286-8C4E-6DC6A2A8EA7E}</x14:id>
        </ext>
      </extLst>
    </cfRule>
  </conditionalFormatting>
  <conditionalFormatting sqref="Z6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{55A84797-806E-4FFD-AC6E-572C49934087}</x14:id>
        </ext>
      </extLst>
    </cfRule>
  </conditionalFormatting>
  <conditionalFormatting sqref="U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{E611EC1B-FD20-4BDF-B922-5DEC2757B789}</x14:id>
        </ext>
      </extLst>
    </cfRule>
  </conditionalFormatting>
  <conditionalFormatting sqref="V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{ECD17BE6-2EB8-48EC-A3E9-96BAD67A4A60}</x14:id>
        </ext>
      </extLst>
    </cfRule>
  </conditionalFormatting>
  <conditionalFormatting sqref="W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{519ED627-C68A-4414-8F7C-EF3B95872B69}</x14:id>
        </ext>
      </extLst>
    </cfRule>
  </conditionalFormatting>
  <conditionalFormatting sqref="X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{ADA38B00-E4FE-4E3F-BC36-FD6308BC6F3C}</x14:id>
        </ext>
      </extLst>
    </cfRule>
  </conditionalFormatting>
  <conditionalFormatting sqref="Y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{5223E0C9-A777-4D53-BAC7-ADB1F6E850C6}</x14:id>
        </ext>
      </extLst>
    </cfRule>
  </conditionalFormatting>
  <conditionalFormatting sqref="Z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{00BBE290-D4D9-43E3-A602-5A3775FA3A66}</x14:id>
        </ext>
      </extLst>
    </cfRule>
  </conditionalFormatting>
  <conditionalFormatting sqref="U4:U5">
    <cfRule type="dataBar" priority="4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{7E88B6DF-2ACE-4330-BD69-21F371C5AC2D}</x14:id>
        </ext>
      </extLst>
    </cfRule>
  </conditionalFormatting>
  <conditionalFormatting sqref="V4:V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{BF8A0D13-949B-4253-9C06-9B01D2046447}</x14:id>
        </ext>
      </extLst>
    </cfRule>
  </conditionalFormatting>
  <conditionalFormatting sqref="W4:W5">
    <cfRule type="dataBar" priority="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{C7DCAADC-3A60-4A69-9867-0750B105CD91}</x14:id>
        </ext>
      </extLst>
    </cfRule>
  </conditionalFormatting>
  <conditionalFormatting sqref="X4:X5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{C5F1176E-5D89-4CC6-B213-4F0B3FE75239}</x14:id>
        </ext>
      </extLst>
    </cfRule>
  </conditionalFormatting>
  <conditionalFormatting sqref="Y4:Y5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{627B5293-8DEC-4419-9981-8933A443AACA}</x14:id>
        </ext>
      </extLst>
    </cfRule>
  </conditionalFormatting>
  <conditionalFormatting sqref="Z4:Z5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{97D74B9F-2B56-4C55-A9D2-93CA58628F88}</x14:id>
        </ext>
      </extLst>
    </cfRule>
  </conditionalFormatting>
  <conditionalFormatting sqref="Z8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{777279C4-5A56-48C1-92BC-1C62E1832A48}</x14:id>
        </ext>
      </extLst>
    </cfRule>
  </conditionalFormatting>
  <conditionalFormatting sqref="U8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{D21F86F9-369A-40AC-AD92-920B9CCAAC81}</x14:id>
        </ext>
      </extLst>
    </cfRule>
  </conditionalFormatting>
  <conditionalFormatting sqref="V8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{CCFE306B-A18D-4739-8E9C-233B4A90468E}</x14:id>
        </ext>
      </extLst>
    </cfRule>
  </conditionalFormatting>
  <conditionalFormatting sqref="W8">
    <cfRule type="dataBar" priority="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{6BFA4D9A-F425-40E5-A9BD-1CB19B815AAB}</x14:id>
        </ext>
      </extLst>
    </cfRule>
  </conditionalFormatting>
  <conditionalFormatting sqref="X8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{780E0AEE-AB58-421F-9B4B-5F6E0B388C7C}</x14:id>
        </ext>
      </extLst>
    </cfRule>
  </conditionalFormatting>
  <conditionalFormatting sqref="Y8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{802950BB-A0B5-428E-AAAE-C343F009CBD8}</x14:id>
        </ext>
      </extLst>
    </cfRule>
  </conditionalFormatting>
  <conditionalFormatting sqref="Z7">
    <cfRule type="dataBar" priority="4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{351E97B3-C9D0-43EE-A68C-172FA71648CB}</x14:id>
        </ext>
      </extLst>
    </cfRule>
  </conditionalFormatting>
  <conditionalFormatting sqref="U7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{25703F48-B800-4326-BE2A-C194AEFD18ED}</x14:id>
        </ext>
      </extLst>
    </cfRule>
  </conditionalFormatting>
  <conditionalFormatting sqref="V7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{5B01065A-B17E-445E-B721-B02A41DE726C}</x14:id>
        </ext>
      </extLst>
    </cfRule>
  </conditionalFormatting>
  <conditionalFormatting sqref="W7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{B724C03B-D650-4F32-B008-660AEB0B50F5}</x14:id>
        </ext>
      </extLst>
    </cfRule>
  </conditionalFormatting>
  <conditionalFormatting sqref="X7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{889AE34E-A9D9-4D7A-A086-3ABC9DFA1B79}</x14:id>
        </ext>
      </extLst>
    </cfRule>
  </conditionalFormatting>
  <conditionalFormatting sqref="Y7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{0A18B4EC-8AE8-47EE-8E24-2101D5AD89D0}</x14:id>
        </ext>
      </extLst>
    </cfRule>
  </conditionalFormatting>
  <conditionalFormatting sqref="Z9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{10683A5C-C0E9-4B35-A548-D99D5BB2213F}</x14:id>
        </ext>
      </extLst>
    </cfRule>
  </conditionalFormatting>
  <conditionalFormatting sqref="U9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{906F7F4C-8D55-4C10-BA59-CEEFFB2E520E}</x14:id>
        </ext>
      </extLst>
    </cfRule>
  </conditionalFormatting>
  <conditionalFormatting sqref="V9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{0AB90819-D651-48B9-BA58-2D422731D127}</x14:id>
        </ext>
      </extLst>
    </cfRule>
  </conditionalFormatting>
  <conditionalFormatting sqref="W9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{533E0DAE-B930-41D2-96DA-29E7F7C7F494}</x14:id>
        </ext>
      </extLst>
    </cfRule>
  </conditionalFormatting>
  <conditionalFormatting sqref="X9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{5544FFFF-7494-42E2-8421-4FD18AFA0251}</x14:id>
        </ext>
      </extLst>
    </cfRule>
  </conditionalFormatting>
  <conditionalFormatting sqref="Y9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{E556557F-D32A-489C-A5BE-5A2BB3BA91C5}</x14:id>
        </ext>
      </extLst>
    </cfRule>
  </conditionalFormatting>
  <conditionalFormatting sqref="Y18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{4F753BF7-7A67-4E54-99B1-8196212CDE35}</x14:id>
        </ext>
      </extLst>
    </cfRule>
  </conditionalFormatting>
  <conditionalFormatting sqref="Y18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{8A4001C4-7C6D-4493-972F-918945A940DA}</x14:id>
        </ext>
      </extLst>
    </cfRule>
  </conditionalFormatting>
  <conditionalFormatting sqref="Y18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{7EA08149-1B6E-45E3-9876-C225F80FA062}</x14:id>
        </ext>
      </extLst>
    </cfRule>
  </conditionalFormatting>
  <conditionalFormatting sqref="Y17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{6D935B02-6952-45FF-B1D1-E44D667BF965}</x14:id>
        </ext>
      </extLst>
    </cfRule>
  </conditionalFormatting>
  <conditionalFormatting sqref="Y17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{F6AD5D93-4949-4F18-85A2-18E3CB4FC456}</x14:id>
        </ext>
      </extLst>
    </cfRule>
  </conditionalFormatting>
  <conditionalFormatting sqref="Y17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{FA87A9B5-EF7E-4B87-BBFB-A3C6B69EF16B}</x14:id>
        </ext>
      </extLst>
    </cfRule>
  </conditionalFormatting>
  <conditionalFormatting sqref="Y1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{495B67BD-D5EC-4B74-970A-C1E49B2FBA7C}</x14:id>
        </ext>
      </extLst>
    </cfRule>
  </conditionalFormatting>
  <conditionalFormatting sqref="Y19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{9DC75C8B-B0AE-4B69-8630-C419E2F2FF60}</x14:id>
        </ext>
      </extLst>
    </cfRule>
  </conditionalFormatting>
  <conditionalFormatting sqref="Y19">
    <cfRule type="dataBar" priority="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{7495982B-C272-4EF5-BE7E-04B25B864F79}</x14:id>
        </ext>
      </extLst>
    </cfRule>
  </conditionalFormatting>
  <conditionalFormatting sqref="U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{34463053-770A-4F5B-9F16-50DEA7FBD4D0}</x14:id>
        </ext>
      </extLst>
    </cfRule>
  </conditionalFormatting>
  <conditionalFormatting sqref="V19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{1A1FEF7E-B8BB-433C-A716-35C56BF8536F}</x14:id>
        </ext>
      </extLst>
    </cfRule>
  </conditionalFormatting>
  <conditionalFormatting sqref="W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{57895587-E867-4DAF-9E12-BC91DB396ED4}</x14:id>
        </ext>
      </extLst>
    </cfRule>
  </conditionalFormatting>
  <conditionalFormatting sqref="X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{A2C8B7F1-354B-47DB-BBA4-E66B03A7FB98}</x14:id>
        </ext>
      </extLst>
    </cfRule>
  </conditionalFormatting>
  <conditionalFormatting sqref="Y19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{E95AFAA2-DF73-4E00-8564-08E753359685}</x14:id>
        </ext>
      </extLst>
    </cfRule>
  </conditionalFormatting>
  <conditionalFormatting sqref="U17:U18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{ABCC61E0-587B-4387-9032-8116242AF0CE}</x14:id>
        </ext>
      </extLst>
    </cfRule>
  </conditionalFormatting>
  <conditionalFormatting sqref="V17:V18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{91327545-D51E-422E-AE69-920BED760D10}</x14:id>
        </ext>
      </extLst>
    </cfRule>
  </conditionalFormatting>
  <conditionalFormatting sqref="W17:W18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{FBC03B81-B29D-4C43-B10B-7D6B877CEEC5}</x14:id>
        </ext>
      </extLst>
    </cfRule>
  </conditionalFormatting>
  <conditionalFormatting sqref="X17:X18">
    <cfRule type="dataBar" priority="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{CD7743EE-C8B7-482D-8A9E-A7850AC4BC05}</x14:id>
        </ext>
      </extLst>
    </cfRule>
  </conditionalFormatting>
  <conditionalFormatting sqref="Y17:Y18"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{F2660763-0E3B-476C-820F-2FEC8CD194A2}</x14:id>
        </ext>
      </extLst>
    </cfRule>
  </conditionalFormatting>
  <conditionalFormatting sqref="Z17:Z20"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{5BE0E55C-EBAD-4F84-A5DA-CF51FE968180}</x14:id>
        </ext>
      </extLst>
    </cfRule>
  </conditionalFormatting>
  <conditionalFormatting sqref="Y21"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{5883AA9A-0010-4FDD-96A8-25CA0B7C2E20}</x14:id>
        </ext>
      </extLst>
    </cfRule>
  </conditionalFormatting>
  <conditionalFormatting sqref="U2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{CA25EC9C-929E-4F37-B932-C565CA666193}</x14:id>
        </ext>
      </extLst>
    </cfRule>
  </conditionalFormatting>
  <conditionalFormatting sqref="V2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{CE63A76F-9963-49F5-B00D-05959068A7AA}</x14:id>
        </ext>
      </extLst>
    </cfRule>
  </conditionalFormatting>
  <conditionalFormatting sqref="W21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{A1F9E06F-0D78-465A-A2AD-1CA89B38BCD4}</x14:id>
        </ext>
      </extLst>
    </cfRule>
  </conditionalFormatting>
  <conditionalFormatting sqref="X21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{6B4FE8A6-E3F7-4544-92B1-B3055F507F2B}</x14:id>
        </ext>
      </extLst>
    </cfRule>
  </conditionalFormatting>
  <conditionalFormatting sqref="Y2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{CD0E5E4B-BEFB-4FD6-8823-CD9A8E0AD35D}</x14:id>
        </ext>
      </extLst>
    </cfRule>
  </conditionalFormatting>
  <conditionalFormatting sqref="U2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{0FDC29D7-C033-46E1-89E5-9F03291957DE}</x14:id>
        </ext>
      </extLst>
    </cfRule>
  </conditionalFormatting>
  <conditionalFormatting sqref="V2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{ABB968E0-0453-466D-807E-23B3866E33C4}</x14:id>
        </ext>
      </extLst>
    </cfRule>
  </conditionalFormatting>
  <conditionalFormatting sqref="W2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{7D39EBF5-5829-4F46-800A-D31967D0223D}</x14:id>
        </ext>
      </extLst>
    </cfRule>
  </conditionalFormatting>
  <conditionalFormatting sqref="X2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{16FA5180-900F-4A80-8EB3-0AAAA6F08D57}</x14:id>
        </ext>
      </extLst>
    </cfRule>
  </conditionalFormatting>
  <conditionalFormatting sqref="Z21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{D5A5808E-B8F2-4C1B-BB6C-D1A7B180BF60}</x14:id>
        </ext>
      </extLst>
    </cfRule>
  </conditionalFormatting>
  <conditionalFormatting sqref="Y22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{E6A0E7A1-D781-4B72-9C57-9E4275AE52B7}</x14:id>
        </ext>
      </extLst>
    </cfRule>
  </conditionalFormatting>
  <conditionalFormatting sqref="U22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{DF8AD408-5DCB-4C13-9ECB-4D2985CE44BC}</x14:id>
        </ext>
      </extLst>
    </cfRule>
  </conditionalFormatting>
  <conditionalFormatting sqref="V22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{1C8AA358-ACBE-48AA-82BC-B85EB4DF7C2D}</x14:id>
        </ext>
      </extLst>
    </cfRule>
  </conditionalFormatting>
  <conditionalFormatting sqref="W22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{59BE79C7-1F9B-4570-A6A2-0CD1446C182D}</x14:id>
        </ext>
      </extLst>
    </cfRule>
  </conditionalFormatting>
  <conditionalFormatting sqref="X22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{73BC4DC3-1606-4D40-9C1C-CCCEC7BA1997}</x14:id>
        </ext>
      </extLst>
    </cfRule>
  </conditionalFormatting>
  <conditionalFormatting sqref="Z22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{E0A29742-6DC0-4276-94FE-3296137233F7}</x14:id>
        </ext>
      </extLst>
    </cfRule>
  </conditionalFormatting>
  <conditionalFormatting sqref="Z18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{3E51BA74-AC23-427C-B187-635EE83C43DC}</x14:id>
        </ext>
      </extLst>
    </cfRule>
  </conditionalFormatting>
  <conditionalFormatting sqref="Z18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{4164F56C-BBD0-470E-A505-69C0DF9B4256}</x14:id>
        </ext>
      </extLst>
    </cfRule>
  </conditionalFormatting>
  <conditionalFormatting sqref="Z1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{E1B852E2-04CA-4D33-8AAE-E740D1136E34}</x14:id>
        </ext>
      </extLst>
    </cfRule>
  </conditionalFormatting>
  <conditionalFormatting sqref="Z17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{56DBD06A-BEE6-42E4-9E90-1D3C96587517}</x14:id>
        </ext>
      </extLst>
    </cfRule>
  </conditionalFormatting>
  <conditionalFormatting sqref="Z17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{7F2AF5AF-986B-4BAD-86E5-27C025FEDEFF}</x14:id>
        </ext>
      </extLst>
    </cfRule>
  </conditionalFormatting>
  <conditionalFormatting sqref="Z17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{0821F148-BF11-4763-A2F8-34CD8256519B}</x14:id>
        </ext>
      </extLst>
    </cfRule>
  </conditionalFormatting>
  <conditionalFormatting sqref="Z19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{A134509C-3539-416F-825E-BB5ED47B8569}</x14:id>
        </ext>
      </extLst>
    </cfRule>
  </conditionalFormatting>
  <conditionalFormatting sqref="Z19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{8FADCFA8-0A7A-4C19-9FD0-CDC6FF0A08E3}</x14:id>
        </ext>
      </extLst>
    </cfRule>
  </conditionalFormatting>
  <conditionalFormatting sqref="Z19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{5CF701A0-0F24-4A5E-BA26-22531982E116}</x14:id>
        </ext>
      </extLst>
    </cfRule>
  </conditionalFormatting>
  <conditionalFormatting sqref="U19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{1C4E8D64-C953-4491-88C7-16BD3C42A3D8}</x14:id>
        </ext>
      </extLst>
    </cfRule>
  </conditionalFormatting>
  <conditionalFormatting sqref="V19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{FF6FE658-DC92-4955-AA4F-DFE828F58E50}</x14:id>
        </ext>
      </extLst>
    </cfRule>
  </conditionalFormatting>
  <conditionalFormatting sqref="W19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{19FE1C08-B804-4E34-A537-3868CA56AA6E}</x14:id>
        </ext>
      </extLst>
    </cfRule>
  </conditionalFormatting>
  <conditionalFormatting sqref="X19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{ABF3BAA5-6235-4DE3-8D68-EF8CD372FF04}</x14:id>
        </ext>
      </extLst>
    </cfRule>
  </conditionalFormatting>
  <conditionalFormatting sqref="Y19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{719AF0CA-F4DD-4244-B5D8-5B0033BD4491}</x14:id>
        </ext>
      </extLst>
    </cfRule>
  </conditionalFormatting>
  <conditionalFormatting sqref="Z19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{8B8AEB84-1C3C-475C-9DC1-AA3BA1EFCE4B}</x14:id>
        </ext>
      </extLst>
    </cfRule>
  </conditionalFormatting>
  <conditionalFormatting sqref="U17:U18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{14010C52-FE62-4766-80BA-60DFA3E67A6B}</x14:id>
        </ext>
      </extLst>
    </cfRule>
  </conditionalFormatting>
  <conditionalFormatting sqref="V17:V18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{9276610A-BE0C-4CE8-A486-8238CDEF93B3}</x14:id>
        </ext>
      </extLst>
    </cfRule>
  </conditionalFormatting>
  <conditionalFormatting sqref="W17:W18">
    <cfRule type="dataBar" priority="3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{ECD9E68E-EC1F-4EB5-B1A4-08816F569268}</x14:id>
        </ext>
      </extLst>
    </cfRule>
  </conditionalFormatting>
  <conditionalFormatting sqref="X17:X1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{12F60434-54E3-451F-923D-C4F31688C95C}</x14:id>
        </ext>
      </extLst>
    </cfRule>
  </conditionalFormatting>
  <conditionalFormatting sqref="Y17:Y1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{3EE56DE4-3C20-459B-AB73-69FF66D54AC7}</x14:id>
        </ext>
      </extLst>
    </cfRule>
  </conditionalFormatting>
  <conditionalFormatting sqref="Z17:Z1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{17F01658-EF53-4199-9A9B-E16AC52EA355}</x14:id>
        </ext>
      </extLst>
    </cfRule>
  </conditionalFormatting>
  <conditionalFormatting sqref="Z21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{B814285C-0925-48EE-9006-AC715AF76583}</x14:id>
        </ext>
      </extLst>
    </cfRule>
  </conditionalFormatting>
  <conditionalFormatting sqref="U21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{02FAD862-6076-4D68-91D5-B740B21BF55A}</x14:id>
        </ext>
      </extLst>
    </cfRule>
  </conditionalFormatting>
  <conditionalFormatting sqref="V21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{0A5AD204-838E-4DA4-872E-733693E91535}</x14:id>
        </ext>
      </extLst>
    </cfRule>
  </conditionalFormatting>
  <conditionalFormatting sqref="W21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{59A6154E-DDF4-4211-BED2-824D0A69AEE6}</x14:id>
        </ext>
      </extLst>
    </cfRule>
  </conditionalFormatting>
  <conditionalFormatting sqref="X21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{0FC29DAD-9EC4-4E8D-BD81-05CA263BD5D5}</x14:id>
        </ext>
      </extLst>
    </cfRule>
  </conditionalFormatting>
  <conditionalFormatting sqref="Y21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{2587EA2A-B397-4E9F-B8B3-77B21EFF9E31}</x14:id>
        </ext>
      </extLst>
    </cfRule>
  </conditionalFormatting>
  <conditionalFormatting sqref="Z20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{83AD22E3-F158-4E79-BD76-6E7CB8D8F3D6}</x14:id>
        </ext>
      </extLst>
    </cfRule>
  </conditionalFormatting>
  <conditionalFormatting sqref="U20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{90BB0D8A-9497-4EDA-85FB-C18BA449541D}</x14:id>
        </ext>
      </extLst>
    </cfRule>
  </conditionalFormatting>
  <conditionalFormatting sqref="V20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{211F5961-43B0-49DD-829A-F6820A854ADB}</x14:id>
        </ext>
      </extLst>
    </cfRule>
  </conditionalFormatting>
  <conditionalFormatting sqref="W2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{4B26B3CA-2E4B-4F84-A5FF-D78B27DD4AA6}</x14:id>
        </ext>
      </extLst>
    </cfRule>
  </conditionalFormatting>
  <conditionalFormatting sqref="X20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{477C65F2-91BF-49D8-B9F2-1017621CF14B}</x14:id>
        </ext>
      </extLst>
    </cfRule>
  </conditionalFormatting>
  <conditionalFormatting sqref="Y20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{74ECD725-DBD1-4DA4-BCC6-6BA0A5D6C5C8}</x14:id>
        </ext>
      </extLst>
    </cfRule>
  </conditionalFormatting>
  <conditionalFormatting sqref="Z22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{5CB7C446-5E05-481E-A3FB-37815E8ECD75}</x14:id>
        </ext>
      </extLst>
    </cfRule>
  </conditionalFormatting>
  <conditionalFormatting sqref="U22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{D434449E-1934-4059-83EE-42F7D8D5BB17}</x14:id>
        </ext>
      </extLst>
    </cfRule>
  </conditionalFormatting>
  <conditionalFormatting sqref="V22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{741335EF-610A-4579-B748-47F54559CA19}</x14:id>
        </ext>
      </extLst>
    </cfRule>
  </conditionalFormatting>
  <conditionalFormatting sqref="W22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{2E72E21B-9487-4C88-A20D-E7A69ACE3BB9}</x14:id>
        </ext>
      </extLst>
    </cfRule>
  </conditionalFormatting>
  <conditionalFormatting sqref="X22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{91FA1224-5207-4A1A-9B19-AC221E212527}</x14:id>
        </ext>
      </extLst>
    </cfRule>
  </conditionalFormatting>
  <conditionalFormatting sqref="Y22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{86D80E7C-8850-40B6-A3A6-FBE6579B8B72}</x14:id>
        </ext>
      </extLst>
    </cfRule>
  </conditionalFormatting>
  <conditionalFormatting sqref="S5:S9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{1D880C41-CE34-438F-A5A0-FC6F532A2634}</x14:id>
        </ext>
      </extLst>
    </cfRule>
  </conditionalFormatting>
  <conditionalFormatting sqref="S5:S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{8A08FC78-B6C5-4234-802A-78CC84E20F08}</x14:id>
        </ext>
      </extLst>
    </cfRule>
  </conditionalFormatting>
  <conditionalFormatting sqref="S5:S9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{0AA15B0D-ADA2-4B38-8964-7A69DE5AC380}</x14:id>
        </ext>
      </extLst>
    </cfRule>
  </conditionalFormatting>
  <conditionalFormatting sqref="S5:S9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{B1093773-0DDB-4F62-9D02-A220C45E0B56}</x14:id>
        </ext>
      </extLst>
    </cfRule>
  </conditionalFormatting>
  <conditionalFormatting sqref="S5:S9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{BFCD4E1B-92AA-4D3A-AA36-8B9F045B30DC}</x14:id>
        </ext>
      </extLst>
    </cfRule>
  </conditionalFormatting>
  <conditionalFormatting sqref="S5:S9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{8FAEE1E2-A6E3-4F62-9BC8-8D0ED8870948}</x14:id>
        </ext>
      </extLst>
    </cfRule>
  </conditionalFormatting>
  <conditionalFormatting sqref="S5:S9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{4576C6BC-2523-4E65-8652-AF1B0298994A}</x14:id>
        </ext>
      </extLst>
    </cfRule>
  </conditionalFormatting>
  <conditionalFormatting sqref="S17:S22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{B49C897C-0184-4C32-B8DB-5BBD43410330}</x14:id>
        </ext>
      </extLst>
    </cfRule>
  </conditionalFormatting>
  <conditionalFormatting sqref="S17:S22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{56B12A13-FAFC-42E5-96B1-E4F32CFD1CA6}</x14:id>
        </ext>
      </extLst>
    </cfRule>
  </conditionalFormatting>
  <conditionalFormatting sqref="S17:S22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{8DDD143C-08B7-4A99-B77D-2B07BAC606C3}</x14:id>
        </ext>
      </extLst>
    </cfRule>
  </conditionalFormatting>
  <conditionalFormatting sqref="S17:S22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{4BB3D2C1-E232-4534-9F89-BBAA07622F30}</x14:id>
        </ext>
      </extLst>
    </cfRule>
  </conditionalFormatting>
  <conditionalFormatting sqref="S17:S22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{4E54B26F-1E7C-4301-AB68-8F1966CFFBA4}</x14:id>
        </ext>
      </extLst>
    </cfRule>
  </conditionalFormatting>
  <conditionalFormatting sqref="S17:S22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{BE9FE3DA-384C-4209-9417-50FFE50FAAA9}</x14:id>
        </ext>
      </extLst>
    </cfRule>
  </conditionalFormatting>
  <conditionalFormatting sqref="S17:S22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{26DC62C2-E96B-4DDF-865E-4A24FD7EB7B3}</x14:id>
        </ext>
      </extLst>
    </cfRule>
  </conditionalFormatting>
  <conditionalFormatting sqref="Y5">
    <cfRule type="dataBar" priority="3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{2FBEC96F-56F6-4203-93B0-50ACF5D13FB4}</x14:id>
        </ext>
      </extLst>
    </cfRule>
  </conditionalFormatting>
  <conditionalFormatting sqref="Y5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{FE161571-0277-4CE3-8974-90013A387AAD}</x14:id>
        </ext>
      </extLst>
    </cfRule>
  </conditionalFormatting>
  <conditionalFormatting sqref="Y5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{9F9618A7-D980-4BA2-AA40-128CDC3EFDF8}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{32117B39-D09B-47F1-99DB-2D24BB937C81}</x14:id>
        </ext>
      </extLst>
    </cfRule>
  </conditionalFormatting>
  <conditionalFormatting sqref="Y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{17041454-43EE-42B4-B866-3C027652A0C3}</x14:id>
        </ext>
      </extLst>
    </cfRule>
  </conditionalFormatting>
  <conditionalFormatting sqref="Y4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{DA3FEFE8-FFEE-45AA-864D-7E4213F6DECA}</x14:id>
        </ext>
      </extLst>
    </cfRule>
  </conditionalFormatting>
  <conditionalFormatting sqref="Y6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{95706907-F1B2-4FB1-8FAB-D034F6D534C0}</x14:id>
        </ext>
      </extLst>
    </cfRule>
  </conditionalFormatting>
  <conditionalFormatting sqref="Y6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{773D76ED-B345-47E9-B931-A7DC81434A91}</x14:id>
        </ext>
      </extLst>
    </cfRule>
  </conditionalFormatting>
  <conditionalFormatting sqref="Y6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{F4EAB788-6864-46A0-81F1-D5C2A3556103}</x14:id>
        </ext>
      </extLst>
    </cfRule>
  </conditionalFormatting>
  <conditionalFormatting sqref="U6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{EF470843-4354-4EF0-9F1D-6947BC09A131}</x14:id>
        </ext>
      </extLst>
    </cfRule>
  </conditionalFormatting>
  <conditionalFormatting sqref="V6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{B8E4E04F-A90F-4776-ACA5-FE78DC84ADB3}</x14:id>
        </ext>
      </extLst>
    </cfRule>
  </conditionalFormatting>
  <conditionalFormatting sqref="W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{CBD54C71-04DB-4B4A-A1F8-02724885B0FA}</x14:id>
        </ext>
      </extLst>
    </cfRule>
  </conditionalFormatting>
  <conditionalFormatting sqref="X6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{121D63B5-975A-4F4D-923A-64B0CED2DEBD}</x14:id>
        </ext>
      </extLst>
    </cfRule>
  </conditionalFormatting>
  <conditionalFormatting sqref="Y6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{ACAF9072-DEDD-43B0-91F9-B3EBE6EF19F7}</x14:id>
        </ext>
      </extLst>
    </cfRule>
  </conditionalFormatting>
  <conditionalFormatting sqref="U4:U5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{ABB31FA1-1326-42C0-AC64-BB80A6BA4AD8}</x14:id>
        </ext>
      </extLst>
    </cfRule>
  </conditionalFormatting>
  <conditionalFormatting sqref="V4:V5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{208C45BE-8A9E-4D52-8D91-651157D81300}</x14:id>
        </ext>
      </extLst>
    </cfRule>
  </conditionalFormatting>
  <conditionalFormatting sqref="W4:W5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{9626F262-2348-4C7D-8B0D-5D23669704B6}</x14:id>
        </ext>
      </extLst>
    </cfRule>
  </conditionalFormatting>
  <conditionalFormatting sqref="X4:X5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{8D46711E-B85F-4DDF-B540-D5DC483355B9}</x14:id>
        </ext>
      </extLst>
    </cfRule>
  </conditionalFormatting>
  <conditionalFormatting sqref="Y4:Y5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{53615178-4933-4A71-9160-300D2D9434B9}</x14:id>
        </ext>
      </extLst>
    </cfRule>
  </conditionalFormatting>
  <conditionalFormatting sqref="Z4:Z7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{82EE4A88-A5D9-4C8F-B621-BA55C742C03F}</x14:id>
        </ext>
      </extLst>
    </cfRule>
  </conditionalFormatting>
  <conditionalFormatting sqref="Y8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{269094D9-7F77-4EA9-8DD0-574A5FE5AFCD}</x14:id>
        </ext>
      </extLst>
    </cfRule>
  </conditionalFormatting>
  <conditionalFormatting sqref="U8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{54C61BD0-30CF-40C0-BE71-168F81740728}</x14:id>
        </ext>
      </extLst>
    </cfRule>
  </conditionalFormatting>
  <conditionalFormatting sqref="V8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{03DA2723-06A2-4A1B-83AC-C511073741CB}</x14:id>
        </ext>
      </extLst>
    </cfRule>
  </conditionalFormatting>
  <conditionalFormatting sqref="W8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{8F3096CA-2E81-4207-8861-F31FBA90E9F9}</x14:id>
        </ext>
      </extLst>
    </cfRule>
  </conditionalFormatting>
  <conditionalFormatting sqref="X8">
    <cfRule type="dataBar" priority="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{574630FC-FFA1-490E-8DED-21F5F051612C}</x14:id>
        </ext>
      </extLst>
    </cfRule>
  </conditionalFormatting>
  <conditionalFormatting sqref="Y7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{14A5E7E4-7C18-43B1-AD8E-FE46A0F8F9BE}</x14:id>
        </ext>
      </extLst>
    </cfRule>
  </conditionalFormatting>
  <conditionalFormatting sqref="U7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{B248CBA1-481D-464D-A20D-5A0EF716C111}</x14:id>
        </ext>
      </extLst>
    </cfRule>
  </conditionalFormatting>
  <conditionalFormatting sqref="V7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{AC18E4FC-2A6A-4D71-BA5F-05B5B2B7ECCF}</x14:id>
        </ext>
      </extLst>
    </cfRule>
  </conditionalFormatting>
  <conditionalFormatting sqref="W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{7D799A27-F5F7-466A-8F65-85A2772F010F}</x14:id>
        </ext>
      </extLst>
    </cfRule>
  </conditionalFormatting>
  <conditionalFormatting sqref="X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{534883F0-88D0-4765-B599-C3D3EE299E77}</x14:id>
        </ext>
      </extLst>
    </cfRule>
  </conditionalFormatting>
  <conditionalFormatting sqref="Z8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{07E7FBDD-00EF-4D03-8BC1-64FDEB967DA3}</x14:id>
        </ext>
      </extLst>
    </cfRule>
  </conditionalFormatting>
  <conditionalFormatting sqref="Y9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{212CDFBC-6F90-410D-AABA-8D9EE99846B6}</x14:id>
        </ext>
      </extLst>
    </cfRule>
  </conditionalFormatting>
  <conditionalFormatting sqref="U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{07472F70-9B79-4D05-A5E5-F53BF00813FC}</x14:id>
        </ext>
      </extLst>
    </cfRule>
  </conditionalFormatting>
  <conditionalFormatting sqref="V9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{9D01E28B-7AFE-4387-ADE4-8D989C189EB3}</x14:id>
        </ext>
      </extLst>
    </cfRule>
  </conditionalFormatting>
  <conditionalFormatting sqref="W9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{C64879C7-2D3C-4920-908B-0A3A814CA385}</x14:id>
        </ext>
      </extLst>
    </cfRule>
  </conditionalFormatting>
  <conditionalFormatting sqref="X9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{E8AEF2CF-B336-4130-B325-983E25D49CBF}</x14:id>
        </ext>
      </extLst>
    </cfRule>
  </conditionalFormatting>
  <conditionalFormatting sqref="Z9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{4496BAC3-FD7C-42D7-8CAD-012B49B9DE91}</x14:id>
        </ext>
      </extLst>
    </cfRule>
  </conditionalFormatting>
  <conditionalFormatting sqref="Z5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{666A202B-D658-4FFA-B6A5-C4872E21612D}</x14:id>
        </ext>
      </extLst>
    </cfRule>
  </conditionalFormatting>
  <conditionalFormatting sqref="Z5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{E975ED33-3204-4AE5-BAAF-2180F83B0192}</x14:id>
        </ext>
      </extLst>
    </cfRule>
  </conditionalFormatting>
  <conditionalFormatting sqref="Z5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{507A7018-9EC1-4334-B9F7-6FD8B9315992}</x14:id>
        </ext>
      </extLst>
    </cfRule>
  </conditionalFormatting>
  <conditionalFormatting sqref="Z4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{963EA961-2F42-4228-9D13-5D0A4C0B20A8}</x14:id>
        </ext>
      </extLst>
    </cfRule>
  </conditionalFormatting>
  <conditionalFormatting sqref="Z4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{29B5CCE4-E054-4306-939B-8ADAB3B9EC1C}</x14:id>
        </ext>
      </extLst>
    </cfRule>
  </conditionalFormatting>
  <conditionalFormatting sqref="Z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{A053E8CE-6BD5-4A75-8DD1-E55167C0D051}</x14:id>
        </ext>
      </extLst>
    </cfRule>
  </conditionalFormatting>
  <conditionalFormatting sqref="Z6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{0D557079-52AB-4774-A508-5A87BD80D69E}</x14:id>
        </ext>
      </extLst>
    </cfRule>
  </conditionalFormatting>
  <conditionalFormatting sqref="Z6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{211C783D-35F9-40F1-9A56-8E1B8C846E35}</x14:id>
        </ext>
      </extLst>
    </cfRule>
  </conditionalFormatting>
  <conditionalFormatting sqref="Z6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{B1914AD0-0099-4AE7-9F34-22ECB5C320EE}</x14:id>
        </ext>
      </extLst>
    </cfRule>
  </conditionalFormatting>
  <conditionalFormatting sqref="U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{20F8780A-FFDE-40AF-B857-24074B9A952D}</x14:id>
        </ext>
      </extLst>
    </cfRule>
  </conditionalFormatting>
  <conditionalFormatting sqref="V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{B0E74C73-30CF-40A6-B35C-1CB1F7D5C862}</x14:id>
        </ext>
      </extLst>
    </cfRule>
  </conditionalFormatting>
  <conditionalFormatting sqref="W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{0DF3DF12-BF4C-414F-8264-B98B8FD9CA13}</x14:id>
        </ext>
      </extLst>
    </cfRule>
  </conditionalFormatting>
  <conditionalFormatting sqref="X6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{231A3404-7F9E-4B44-AAE4-8F216889F3C5}</x14:id>
        </ext>
      </extLst>
    </cfRule>
  </conditionalFormatting>
  <conditionalFormatting sqref="Y6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{8EB4F28E-0C23-4CF8-9EFE-C9AA21C565D8}</x14:id>
        </ext>
      </extLst>
    </cfRule>
  </conditionalFormatting>
  <conditionalFormatting sqref="Z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{751441B4-3EE6-47A6-B38C-CBEF169D635C}</x14:id>
        </ext>
      </extLst>
    </cfRule>
  </conditionalFormatting>
  <conditionalFormatting sqref="U4:U5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{F969CECD-2378-4036-B3CB-98FF63364DB2}</x14:id>
        </ext>
      </extLst>
    </cfRule>
  </conditionalFormatting>
  <conditionalFormatting sqref="V4:V5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{C9FB86CB-CDD5-4AEC-AEA4-E478DA1956B4}</x14:id>
        </ext>
      </extLst>
    </cfRule>
  </conditionalFormatting>
  <conditionalFormatting sqref="W4:W5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{5C9A66B3-1D54-44F2-9A75-AA0206FE3A72}</x14:id>
        </ext>
      </extLst>
    </cfRule>
  </conditionalFormatting>
  <conditionalFormatting sqref="X4:X5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{2B3BEF66-89CC-45E5-8DDF-6C7360F82A58}</x14:id>
        </ext>
      </extLst>
    </cfRule>
  </conditionalFormatting>
  <conditionalFormatting sqref="Y4:Y5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{63201837-D4EB-415A-A4F7-F48A109AB6B1}</x14:id>
        </ext>
      </extLst>
    </cfRule>
  </conditionalFormatting>
  <conditionalFormatting sqref="Z4:Z5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{1B0B8E9A-1280-4810-B68F-B06F006A01A7}</x14:id>
        </ext>
      </extLst>
    </cfRule>
  </conditionalFormatting>
  <conditionalFormatting sqref="Z8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{5C2DF0CC-F6BE-4C11-B52A-030E96E6C744}</x14:id>
        </ext>
      </extLst>
    </cfRule>
  </conditionalFormatting>
  <conditionalFormatting sqref="U8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{FD35AA5B-D8DB-4044-A3E8-8C24B4E93C74}</x14:id>
        </ext>
      </extLst>
    </cfRule>
  </conditionalFormatting>
  <conditionalFormatting sqref="V8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{4B84B03D-21BA-4456-97C6-10EEBC707C66}</x14:id>
        </ext>
      </extLst>
    </cfRule>
  </conditionalFormatting>
  <conditionalFormatting sqref="W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{D398DFFA-549A-40E2-BAB2-D9523A97D131}</x14:id>
        </ext>
      </extLst>
    </cfRule>
  </conditionalFormatting>
  <conditionalFormatting sqref="X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{B6B5D6B4-0F37-4752-B861-E52584D5B0B0}</x14:id>
        </ext>
      </extLst>
    </cfRule>
  </conditionalFormatting>
  <conditionalFormatting sqref="Y8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{EE3DDE9E-E6F6-4D4A-8735-661917FB55AB}</x14:id>
        </ext>
      </extLst>
    </cfRule>
  </conditionalFormatting>
  <conditionalFormatting sqref="Z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{A51677AD-5657-496C-9834-A60A4A3D2207}</x14:id>
        </ext>
      </extLst>
    </cfRule>
  </conditionalFormatting>
  <conditionalFormatting sqref="U7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{2C223763-E0A1-41FB-BD1E-CF28964B16E1}</x14:id>
        </ext>
      </extLst>
    </cfRule>
  </conditionalFormatting>
  <conditionalFormatting sqref="V7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{903DAC7A-DF01-456C-A659-51252189ADB1}</x14:id>
        </ext>
      </extLst>
    </cfRule>
  </conditionalFormatting>
  <conditionalFormatting sqref="W7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{DDA1D784-D29A-4F0F-BDE0-7887139F05F3}</x14:id>
        </ext>
      </extLst>
    </cfRule>
  </conditionalFormatting>
  <conditionalFormatting sqref="X7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{65A804F5-5070-49D2-B07D-1F2CA7123158}</x14:id>
        </ext>
      </extLst>
    </cfRule>
  </conditionalFormatting>
  <conditionalFormatting sqref="Y7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{8176F70E-C3B4-4239-8FF5-DD6EAFEAC186}</x14:id>
        </ext>
      </extLst>
    </cfRule>
  </conditionalFormatting>
  <conditionalFormatting sqref="Z9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{CE19B8CD-E76A-4A30-80AD-89843D3A0A19}</x14:id>
        </ext>
      </extLst>
    </cfRule>
  </conditionalFormatting>
  <conditionalFormatting sqref="U9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{FCC1E20A-F2F9-4A66-A766-C60F2D59631A}</x14:id>
        </ext>
      </extLst>
    </cfRule>
  </conditionalFormatting>
  <conditionalFormatting sqref="V9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{9D481DF5-64D9-4712-9437-9E4B9992B609}</x14:id>
        </ext>
      </extLst>
    </cfRule>
  </conditionalFormatting>
  <conditionalFormatting sqref="W9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{B78C7BD2-4B8A-4101-A16E-8628B0B843B6}</x14:id>
        </ext>
      </extLst>
    </cfRule>
  </conditionalFormatting>
  <conditionalFormatting sqref="X9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{D6CCF0FB-C7F8-444F-AA21-6180E448B7E0}</x14:id>
        </ext>
      </extLst>
    </cfRule>
  </conditionalFormatting>
  <conditionalFormatting sqref="Y9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{3D1E9FBC-98A4-458D-A2A9-A680A6E33FB7}</x14:id>
        </ext>
      </extLst>
    </cfRule>
  </conditionalFormatting>
  <conditionalFormatting sqref="Z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{505D3206-FE75-4B8C-942B-6B5CE98263A2}</x14:id>
        </ext>
      </extLst>
    </cfRule>
  </conditionalFormatting>
  <conditionalFormatting sqref="Z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{688FBB9A-6CF1-49F0-8003-6338E313C763}</x14:id>
        </ext>
      </extLst>
    </cfRule>
  </conditionalFormatting>
  <conditionalFormatting sqref="Z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{F0919C2D-FF03-41DE-944D-BD1F6DA4E055}</x14:id>
        </ext>
      </extLst>
    </cfRule>
  </conditionalFormatting>
  <conditionalFormatting sqref="Z4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{8C03DFA2-59B2-4F0F-8DE4-BC198D53B5B3}</x14:id>
        </ext>
      </extLst>
    </cfRule>
  </conditionalFormatting>
  <conditionalFormatting sqref="Z4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{0A881543-47B6-408D-A867-A94F0DD925F2}</x14:id>
        </ext>
      </extLst>
    </cfRule>
  </conditionalFormatting>
  <conditionalFormatting sqref="Z4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{7B04FE60-7E6F-496B-A725-CAA224A9364E}</x14:id>
        </ext>
      </extLst>
    </cfRule>
  </conditionalFormatting>
  <conditionalFormatting sqref="Z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{2A920AB8-3391-4049-8C79-232F6091DBEE}</x14:id>
        </ext>
      </extLst>
    </cfRule>
  </conditionalFormatting>
  <conditionalFormatting sqref="Z6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{DFB2D7F6-A816-4238-B7C5-42194E820320}</x14:id>
        </ext>
      </extLst>
    </cfRule>
  </conditionalFormatting>
  <conditionalFormatting sqref="Z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{384F43C5-ACA2-4281-AE8E-8498F0500D11}</x14:id>
        </ext>
      </extLst>
    </cfRule>
  </conditionalFormatting>
  <conditionalFormatting sqref="U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{35DB46B1-236D-4141-A5CB-31259F62514D}</x14:id>
        </ext>
      </extLst>
    </cfRule>
  </conditionalFormatting>
  <conditionalFormatting sqref="V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{722E1A20-680D-42E9-8A9E-A79934778010}</x14:id>
        </ext>
      </extLst>
    </cfRule>
  </conditionalFormatting>
  <conditionalFormatting sqref="W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{162AB06D-F0CD-46CF-90A7-8C453D95028F}</x14:id>
        </ext>
      </extLst>
    </cfRule>
  </conditionalFormatting>
  <conditionalFormatting sqref="X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{2FF44FF7-6005-4654-8EE5-1C5BCE053006}</x14:id>
        </ext>
      </extLst>
    </cfRule>
  </conditionalFormatting>
  <conditionalFormatting sqref="Y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{C49173A1-78D2-460C-94E3-27DB0C99CACD}</x14:id>
        </ext>
      </extLst>
    </cfRule>
  </conditionalFormatting>
  <conditionalFormatting sqref="Z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{756205FE-265E-4A5A-A99D-76A63B9C08F0}</x14:id>
        </ext>
      </extLst>
    </cfRule>
  </conditionalFormatting>
  <conditionalFormatting sqref="U4:U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{A3828A81-0D88-46F2-B15D-0B647057830A}</x14:id>
        </ext>
      </extLst>
    </cfRule>
  </conditionalFormatting>
  <conditionalFormatting sqref="V4:V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{CCA2CB99-023D-49BE-B327-95EBB0AB30AC}</x14:id>
        </ext>
      </extLst>
    </cfRule>
  </conditionalFormatting>
  <conditionalFormatting sqref="W4:W5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{AE612F8A-B26F-42C0-A06E-98C6707742FF}</x14:id>
        </ext>
      </extLst>
    </cfRule>
  </conditionalFormatting>
  <conditionalFormatting sqref="X4:X5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{F878C32F-1CB1-4033-83B6-C3032CA561BE}</x14:id>
        </ext>
      </extLst>
    </cfRule>
  </conditionalFormatting>
  <conditionalFormatting sqref="Y4:Y5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{2086C6D4-2059-402B-9F7A-42DCC0C96E33}</x14:id>
        </ext>
      </extLst>
    </cfRule>
  </conditionalFormatting>
  <conditionalFormatting sqref="Z4:Z5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{2CF2AF00-EBA1-482E-BDDC-C64BF422E5C8}</x14:id>
        </ext>
      </extLst>
    </cfRule>
  </conditionalFormatting>
  <conditionalFormatting sqref="AA4:AA7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{7631DD37-56F7-479C-887B-5F6433B209C7}</x14:id>
        </ext>
      </extLst>
    </cfRule>
  </conditionalFormatting>
  <conditionalFormatting sqref="Z8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{3E327903-81FF-41EC-8DA4-445F708F84CC}</x14:id>
        </ext>
      </extLst>
    </cfRule>
  </conditionalFormatting>
  <conditionalFormatting sqref="U8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{4B1A9DE3-100F-4D1E-AA1C-8D55D526D57C}</x14:id>
        </ext>
      </extLst>
    </cfRule>
  </conditionalFormatting>
  <conditionalFormatting sqref="V8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{E9BBA194-B758-4BFC-8E9D-65AF665DA791}</x14:id>
        </ext>
      </extLst>
    </cfRule>
  </conditionalFormatting>
  <conditionalFormatting sqref="W8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{D81A7C7C-339B-4CBC-9D64-6C345EA12A64}</x14:id>
        </ext>
      </extLst>
    </cfRule>
  </conditionalFormatting>
  <conditionalFormatting sqref="X8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{BBE6BD95-4E26-4409-9D9F-27D2F309B7A7}</x14:id>
        </ext>
      </extLst>
    </cfRule>
  </conditionalFormatting>
  <conditionalFormatting sqref="Y8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{79D1ACEB-6082-4B8C-B466-83FE5CCE0FC3}</x14:id>
        </ext>
      </extLst>
    </cfRule>
  </conditionalFormatting>
  <conditionalFormatting sqref="Z7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{DED81AB0-97B9-4396-826E-D5ED1653F9A9}</x14:id>
        </ext>
      </extLst>
    </cfRule>
  </conditionalFormatting>
  <conditionalFormatting sqref="U7">
    <cfRule type="dataBar" priority="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{9FE991E4-978F-47BE-AAF2-2DF0BC611DEA}</x14:id>
        </ext>
      </extLst>
    </cfRule>
  </conditionalFormatting>
  <conditionalFormatting sqref="V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{03C1EFA8-A2D7-4EE5-9483-CEDCAF445009}</x14:id>
        </ext>
      </extLst>
    </cfRule>
  </conditionalFormatting>
  <conditionalFormatting sqref="W7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{12F37EB8-A012-44C3-955D-EAEF03B4C081}</x14:id>
        </ext>
      </extLst>
    </cfRule>
  </conditionalFormatting>
  <conditionalFormatting sqref="X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{8BBC3F69-3415-4DBB-9829-DF76CBF1CF7A}</x14:id>
        </ext>
      </extLst>
    </cfRule>
  </conditionalFormatting>
  <conditionalFormatting sqref="Y7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{82F2F516-4B72-4AD5-B558-E99B3123C335}</x14:id>
        </ext>
      </extLst>
    </cfRule>
  </conditionalFormatting>
  <conditionalFormatting sqref="AA8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{F84A5CC4-2CAD-4A4D-BC95-6064149125B5}</x14:id>
        </ext>
      </extLst>
    </cfRule>
  </conditionalFormatting>
  <conditionalFormatting sqref="Z9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{29363603-1045-48EE-96E7-9FFEF8D74327}</x14:id>
        </ext>
      </extLst>
    </cfRule>
  </conditionalFormatting>
  <conditionalFormatting sqref="U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{5F6D35F9-B66E-4605-AECF-CA65A7CA8268}</x14:id>
        </ext>
      </extLst>
    </cfRule>
  </conditionalFormatting>
  <conditionalFormatting sqref="V9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{7A84BFA8-0C48-462E-B80C-04DB53EBFC7C}</x14:id>
        </ext>
      </extLst>
    </cfRule>
  </conditionalFormatting>
  <conditionalFormatting sqref="W9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{25BD436B-CEE5-4B5D-A0CB-8494EAA95FB7}</x14:id>
        </ext>
      </extLst>
    </cfRule>
  </conditionalFormatting>
  <conditionalFormatting sqref="X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{BED9BD4B-319C-44E8-8FC9-C27778CF744B}</x14:id>
        </ext>
      </extLst>
    </cfRule>
  </conditionalFormatting>
  <conditionalFormatting sqref="Y9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{6275DBB8-A6DB-4509-8004-425EF9C42C13}</x14:id>
        </ext>
      </extLst>
    </cfRule>
  </conditionalFormatting>
  <conditionalFormatting sqref="AA9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{2F75CA27-0C1E-49CF-B2F4-A8CB2906DC5F}</x14:id>
        </ext>
      </extLst>
    </cfRule>
  </conditionalFormatting>
  <conditionalFormatting sqref="U5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{EFC39A18-CBC0-446F-84FA-3CD619F1A467}</x14:id>
        </ext>
      </extLst>
    </cfRule>
  </conditionalFormatting>
  <conditionalFormatting sqref="AA5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{1D33A664-3741-459B-AF50-E252986348BD}</x14:id>
        </ext>
      </extLst>
    </cfRule>
  </conditionalFormatting>
  <conditionalFormatting sqref="AA5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{E306DDC1-D197-490C-91ED-373C3F5DFE6A}</x14:id>
        </ext>
      </extLst>
    </cfRule>
  </conditionalFormatting>
  <conditionalFormatting sqref="AA5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{5B661B87-9064-47D9-8DFE-0F1D3C5EBD30}</x14:id>
        </ext>
      </extLst>
    </cfRule>
  </conditionalFormatting>
  <conditionalFormatting sqref="U4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{0CC415A9-FA93-4DCC-B32B-46E841478BD7}</x14:id>
        </ext>
      </extLst>
    </cfRule>
  </conditionalFormatting>
  <conditionalFormatting sqref="AA4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{891EE4D8-0920-4183-B3BC-77580D426B18}</x14:id>
        </ext>
      </extLst>
    </cfRule>
  </conditionalFormatting>
  <conditionalFormatting sqref="AA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{AFE89766-E829-43AC-A657-586CA17DC40E}</x14:id>
        </ext>
      </extLst>
    </cfRule>
  </conditionalFormatting>
  <conditionalFormatting sqref="AA4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{1D20E878-2184-459B-95C5-4F2DFB6CE575}</x14:id>
        </ext>
      </extLst>
    </cfRule>
  </conditionalFormatting>
  <conditionalFormatting sqref="U6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{C9C1A0A3-09F9-402E-9746-544BF9D3808D}</x14:id>
        </ext>
      </extLst>
    </cfRule>
  </conditionalFormatting>
  <conditionalFormatting sqref="AA6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{1709BF23-FABA-49D6-8C0E-57A0C0C376D7}</x14:id>
        </ext>
      </extLst>
    </cfRule>
  </conditionalFormatting>
  <conditionalFormatting sqref="AA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{1FCD7E1A-448A-4AA8-A358-114CD6D7CE00}</x14:id>
        </ext>
      </extLst>
    </cfRule>
  </conditionalFormatting>
  <conditionalFormatting sqref="AA6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{9FAC0C20-FCF6-4D46-95CF-8F83BB936999}</x14:id>
        </ext>
      </extLst>
    </cfRule>
  </conditionalFormatting>
  <conditionalFormatting sqref="U6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{4370D751-31FC-4F5B-A59F-2705D49632C9}</x14:id>
        </ext>
      </extLst>
    </cfRule>
  </conditionalFormatting>
  <conditionalFormatting sqref="V6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{4B71D70B-F409-4FFF-9C31-C44D0F8F00CF}</x14:id>
        </ext>
      </extLst>
    </cfRule>
  </conditionalFormatting>
  <conditionalFormatting sqref="W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{F77BFB6A-8D93-4B69-8A86-FD2F0C07BF20}</x14:id>
        </ext>
      </extLst>
    </cfRule>
  </conditionalFormatting>
  <conditionalFormatting sqref="X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{547ADC66-5838-479D-BFD7-10D5B713E638}</x14:id>
        </ext>
      </extLst>
    </cfRule>
  </conditionalFormatting>
  <conditionalFormatting sqref="Y6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{15054F75-1836-4CDC-905E-62915974021C}</x14:id>
        </ext>
      </extLst>
    </cfRule>
  </conditionalFormatting>
  <conditionalFormatting sqref="Z6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{DCF5FC92-E5C4-4E4C-85B1-28C31A95E48B}</x14:id>
        </ext>
      </extLst>
    </cfRule>
  </conditionalFormatting>
  <conditionalFormatting sqref="AA6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{D1434B79-B530-4A6B-81AE-35FF3CD480C7}</x14:id>
        </ext>
      </extLst>
    </cfRule>
  </conditionalFormatting>
  <conditionalFormatting sqref="U8">
    <cfRule type="dataBar" priority="1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{2142C22A-51E6-4D04-A3D9-432153ED623B}</x14:id>
        </ext>
      </extLst>
    </cfRule>
  </conditionalFormatting>
  <conditionalFormatting sqref="U4:U5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{8AF43678-61DB-4860-90C4-0CF1C8F3E54E}</x14:id>
        </ext>
      </extLst>
    </cfRule>
  </conditionalFormatting>
  <conditionalFormatting sqref="V4:V5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{6D26FF2B-15D6-4E75-AC94-7080BDEF267D}</x14:id>
        </ext>
      </extLst>
    </cfRule>
  </conditionalFormatting>
  <conditionalFormatting sqref="W4:W5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{ABDD48E9-F567-41CE-99DA-EF3B8C33DA58}</x14:id>
        </ext>
      </extLst>
    </cfRule>
  </conditionalFormatting>
  <conditionalFormatting sqref="X4:X5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{D1DEC144-3048-4653-99DE-9C20702170E2}</x14:id>
        </ext>
      </extLst>
    </cfRule>
  </conditionalFormatting>
  <conditionalFormatting sqref="Y4:Y5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{FBF8AF75-D425-4B34-929A-43F4AAB57DEA}</x14:id>
        </ext>
      </extLst>
    </cfRule>
  </conditionalFormatting>
  <conditionalFormatting sqref="Z4:Z5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{A73725EA-7F62-411A-88F7-641967237B80}</x14:id>
        </ext>
      </extLst>
    </cfRule>
  </conditionalFormatting>
  <conditionalFormatting sqref="AA4:AA5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{AF9C52A9-5D11-4462-893A-4D834B516BBE}</x14:id>
        </ext>
      </extLst>
    </cfRule>
  </conditionalFormatting>
  <conditionalFormatting sqref="U8">
    <cfRule type="dataBar" priority="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{04027D97-7CC4-4879-8D5F-2745D31A7B96}</x14:id>
        </ext>
      </extLst>
    </cfRule>
  </conditionalFormatting>
  <conditionalFormatting sqref="AA8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{23A5FE68-76E5-4782-8CAF-83120F4E6C46}</x14:id>
        </ext>
      </extLst>
    </cfRule>
  </conditionalFormatting>
  <conditionalFormatting sqref="V8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{C49A7DFF-3181-4485-90A1-1DCEDFF46213}</x14:id>
        </ext>
      </extLst>
    </cfRule>
  </conditionalFormatting>
  <conditionalFormatting sqref="W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{F8D5FECA-2B56-4C6D-B890-871267A26366}</x14:id>
        </ext>
      </extLst>
    </cfRule>
  </conditionalFormatting>
  <conditionalFormatting sqref="X8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{0BB94E4A-9F99-4028-9003-6BC50413813C}</x14:id>
        </ext>
      </extLst>
    </cfRule>
  </conditionalFormatting>
  <conditionalFormatting sqref="Y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{BBE10FBB-D13F-49B5-9B07-E8586A144268}</x14:id>
        </ext>
      </extLst>
    </cfRule>
  </conditionalFormatting>
  <conditionalFormatting sqref="Z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{CDFA5481-A49B-4DF9-A939-01BB9CE63F17}</x14:id>
        </ext>
      </extLst>
    </cfRule>
  </conditionalFormatting>
  <conditionalFormatting sqref="U7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{D48094FA-1EFA-4537-AAC7-3C4BAC2FF33E}</x14:id>
        </ext>
      </extLst>
    </cfRule>
  </conditionalFormatting>
  <conditionalFormatting sqref="AA7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{F4FC2934-508E-47B2-93F0-B241C8DC6DFC}</x14:id>
        </ext>
      </extLst>
    </cfRule>
  </conditionalFormatting>
  <conditionalFormatting sqref="V7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{0EE0AA0F-3300-4142-A13D-3B1E4F2AAF1C}</x14:id>
        </ext>
      </extLst>
    </cfRule>
  </conditionalFormatting>
  <conditionalFormatting sqref="W7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{6F919141-EC70-4144-8C39-014516512E5A}</x14:id>
        </ext>
      </extLst>
    </cfRule>
  </conditionalFormatting>
  <conditionalFormatting sqref="X7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{71089E97-F380-4B0D-8D16-21A48E70F5C8}</x14:id>
        </ext>
      </extLst>
    </cfRule>
  </conditionalFormatting>
  <conditionalFormatting sqref="Y7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{EE050D0F-5F09-4E9D-B8B5-DE6012AF677B}</x14:id>
        </ext>
      </extLst>
    </cfRule>
  </conditionalFormatting>
  <conditionalFormatting sqref="Z7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{478B79A0-409F-4E19-8250-46E6210F91B2}</x14:id>
        </ext>
      </extLst>
    </cfRule>
  </conditionalFormatting>
  <conditionalFormatting sqref="U9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{D67ADB41-89F9-43F5-BA86-628D910835DB}</x14:id>
        </ext>
      </extLst>
    </cfRule>
  </conditionalFormatting>
  <conditionalFormatting sqref="U9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{214E80FA-8E76-49AA-A6FB-E21F0F2FB049}</x14:id>
        </ext>
      </extLst>
    </cfRule>
  </conditionalFormatting>
  <conditionalFormatting sqref="AA9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{E03F3604-C311-427B-ABCB-C610811EED00}</x14:id>
        </ext>
      </extLst>
    </cfRule>
  </conditionalFormatting>
  <conditionalFormatting sqref="V9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{9F1D19A0-90AB-44E8-8C83-A032AC67F1FE}</x14:id>
        </ext>
      </extLst>
    </cfRule>
  </conditionalFormatting>
  <conditionalFormatting sqref="W9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{77F96C67-B28B-431F-8922-78FAECF9354A}</x14:id>
        </ext>
      </extLst>
    </cfRule>
  </conditionalFormatting>
  <conditionalFormatting sqref="X9">
    <cfRule type="dataBar" priority="1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{7C513612-A085-4B70-AA65-F5B12BA349AF}</x14:id>
        </ext>
      </extLst>
    </cfRule>
  </conditionalFormatting>
  <conditionalFormatting sqref="Y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{C2F50B71-EF94-4F0F-A8E1-4130B1CAC4B5}</x14:id>
        </ext>
      </extLst>
    </cfRule>
  </conditionalFormatting>
  <conditionalFormatting sqref="Z9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{CE5F47D2-822F-4BAD-87B1-D5B3CB42387C}</x14:id>
        </ext>
      </extLst>
    </cfRule>
  </conditionalFormatting>
  <conditionalFormatting sqref="Y18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{8733A4EA-F453-42A0-8425-A8960B8E4D8A}</x14:id>
        </ext>
      </extLst>
    </cfRule>
  </conditionalFormatting>
  <conditionalFormatting sqref="Y1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{A60237B0-4391-4FEB-B9FA-785089C7E73D}</x14:id>
        </ext>
      </extLst>
    </cfRule>
  </conditionalFormatting>
  <conditionalFormatting sqref="Y18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{3B95ABC0-DAD5-4805-8176-2969D5E0B64A}</x14:id>
        </ext>
      </extLst>
    </cfRule>
  </conditionalFormatting>
  <conditionalFormatting sqref="Y17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{54547ED7-4F97-4E9F-8393-2D9484168B6B}</x14:id>
        </ext>
      </extLst>
    </cfRule>
  </conditionalFormatting>
  <conditionalFormatting sqref="Y17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{EBF59966-D615-4291-BD5A-79A2E91BB865}</x14:id>
        </ext>
      </extLst>
    </cfRule>
  </conditionalFormatting>
  <conditionalFormatting sqref="Y17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{CFB341C0-C343-4DF0-BB9B-1E652B68B1E0}</x14:id>
        </ext>
      </extLst>
    </cfRule>
  </conditionalFormatting>
  <conditionalFormatting sqref="Y1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{8AAFA051-F869-455D-BE3C-1A1B0AEB6AE0}</x14:id>
        </ext>
      </extLst>
    </cfRule>
  </conditionalFormatting>
  <conditionalFormatting sqref="Y1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{D51E6AB3-E2C9-4196-A768-39C23BF99121}</x14:id>
        </ext>
      </extLst>
    </cfRule>
  </conditionalFormatting>
  <conditionalFormatting sqref="Y19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{F6B4F1E4-A1DA-4507-A21E-98F78822883F}</x14:id>
        </ext>
      </extLst>
    </cfRule>
  </conditionalFormatting>
  <conditionalFormatting sqref="U19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{AEFD7405-0DF0-4F6F-B1B9-5BC6DE8A5FCF}</x14:id>
        </ext>
      </extLst>
    </cfRule>
  </conditionalFormatting>
  <conditionalFormatting sqref="V1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{AEA661E5-7559-4719-9615-BCDD15F68435}</x14:id>
        </ext>
      </extLst>
    </cfRule>
  </conditionalFormatting>
  <conditionalFormatting sqref="W1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{A38E1CE3-309C-4A48-B18B-B2CDE6927E04}</x14:id>
        </ext>
      </extLst>
    </cfRule>
  </conditionalFormatting>
  <conditionalFormatting sqref="X19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{E75BC5E8-C802-4821-8DE2-37200A08BB41}</x14:id>
        </ext>
      </extLst>
    </cfRule>
  </conditionalFormatting>
  <conditionalFormatting sqref="Y1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{1308A85D-57D2-4D55-92DE-3E6BEADA895D}</x14:id>
        </ext>
      </extLst>
    </cfRule>
  </conditionalFormatting>
  <conditionalFormatting sqref="U17:U18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{AA7439A2-2612-44CC-81A0-628B6ED47B34}</x14:id>
        </ext>
      </extLst>
    </cfRule>
  </conditionalFormatting>
  <conditionalFormatting sqref="V17:V18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{2E927E1C-68ED-4792-AA36-41A03A6B637E}</x14:id>
        </ext>
      </extLst>
    </cfRule>
  </conditionalFormatting>
  <conditionalFormatting sqref="W17:W1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{D70082D8-604E-45D1-8ACE-50F734901576}</x14:id>
        </ext>
      </extLst>
    </cfRule>
  </conditionalFormatting>
  <conditionalFormatting sqref="X17:X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{981DE88D-BF6D-4304-BE45-DE917315BF4C}</x14:id>
        </ext>
      </extLst>
    </cfRule>
  </conditionalFormatting>
  <conditionalFormatting sqref="Y17:Y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{71A7F798-FAA9-4810-B19A-AFC3FBB1FBB8}</x14:id>
        </ext>
      </extLst>
    </cfRule>
  </conditionalFormatting>
  <conditionalFormatting sqref="Z17:Z20">
    <cfRule type="dataBar" priority="1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{2510F67C-687E-4760-AC67-E26A9A48ED5D}</x14:id>
        </ext>
      </extLst>
    </cfRule>
  </conditionalFormatting>
  <conditionalFormatting sqref="Y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{D2E74219-3F56-4D25-B70A-2EE99B6F5DA2}</x14:id>
        </ext>
      </extLst>
    </cfRule>
  </conditionalFormatting>
  <conditionalFormatting sqref="U21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{D1CFC740-F126-41CB-8607-AE7CD1594BFB}</x14:id>
        </ext>
      </extLst>
    </cfRule>
  </conditionalFormatting>
  <conditionalFormatting sqref="V21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{1FDF3355-B03E-46BE-9A8F-A0043F751D69}</x14:id>
        </ext>
      </extLst>
    </cfRule>
  </conditionalFormatting>
  <conditionalFormatting sqref="W21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{BE50D149-BD5B-4B52-B3D7-0A9870226ED5}</x14:id>
        </ext>
      </extLst>
    </cfRule>
  </conditionalFormatting>
  <conditionalFormatting sqref="X21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{85C72A89-59AB-4E61-B7EE-0ABE0C0311F8}</x14:id>
        </ext>
      </extLst>
    </cfRule>
  </conditionalFormatting>
  <conditionalFormatting sqref="Y20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{436B619D-C244-4A29-9B5A-15CCE9A15177}</x14:id>
        </ext>
      </extLst>
    </cfRule>
  </conditionalFormatting>
  <conditionalFormatting sqref="U20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{ADD67837-275B-4DF0-B2E0-60329D5D45BA}</x14:id>
        </ext>
      </extLst>
    </cfRule>
  </conditionalFormatting>
  <conditionalFormatting sqref="V20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{669BD70D-4557-456A-A15D-CB959BC53111}</x14:id>
        </ext>
      </extLst>
    </cfRule>
  </conditionalFormatting>
  <conditionalFormatting sqref="W20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{0A3BD75F-47C1-445E-9FE8-B998A56A4989}</x14:id>
        </ext>
      </extLst>
    </cfRule>
  </conditionalFormatting>
  <conditionalFormatting sqref="X20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{E0D2BC0A-D678-4CDF-BE0D-021427EC6B2E}</x14:id>
        </ext>
      </extLst>
    </cfRule>
  </conditionalFormatting>
  <conditionalFormatting sqref="Z2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{35446B50-C64F-404A-82D6-88FA5DB46586}</x14:id>
        </ext>
      </extLst>
    </cfRule>
  </conditionalFormatting>
  <conditionalFormatting sqref="Y22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{A23DBE93-283B-4FA2-9AEA-B9F6AB46C87A}</x14:id>
        </ext>
      </extLst>
    </cfRule>
  </conditionalFormatting>
  <conditionalFormatting sqref="U22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{0ED2D17C-5FC7-4152-95DD-05A879644002}</x14:id>
        </ext>
      </extLst>
    </cfRule>
  </conditionalFormatting>
  <conditionalFormatting sqref="V22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{82C96469-13AA-471D-AA9F-3F83F77F17E5}</x14:id>
        </ext>
      </extLst>
    </cfRule>
  </conditionalFormatting>
  <conditionalFormatting sqref="W2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{A279C7CE-8C87-4445-9263-98B983994DD3}</x14:id>
        </ext>
      </extLst>
    </cfRule>
  </conditionalFormatting>
  <conditionalFormatting sqref="X22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{B14FF258-AEC7-4F94-A1F1-B173CF9C74A9}</x14:id>
        </ext>
      </extLst>
    </cfRule>
  </conditionalFormatting>
  <conditionalFormatting sqref="Z22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{2DD7F4DA-1FC2-414D-B202-A3F2D0D5FEF8}</x14:id>
        </ext>
      </extLst>
    </cfRule>
  </conditionalFormatting>
  <conditionalFormatting sqref="Z18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{8D9A3D84-DACE-4A63-B58C-3DCFFF016081}</x14:id>
        </ext>
      </extLst>
    </cfRule>
  </conditionalFormatting>
  <conditionalFormatting sqref="Z1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{749011E7-FFB4-495E-A962-181A603A0B46}</x14:id>
        </ext>
      </extLst>
    </cfRule>
  </conditionalFormatting>
  <conditionalFormatting sqref="Z1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{EC297636-02E9-48C9-A173-007BE95F8ACF}</x14:id>
        </ext>
      </extLst>
    </cfRule>
  </conditionalFormatting>
  <conditionalFormatting sqref="Z17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{98D26190-C94A-452F-8040-D28147AD12E7}</x14:id>
        </ext>
      </extLst>
    </cfRule>
  </conditionalFormatting>
  <conditionalFormatting sqref="Z17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{950EC9CB-2503-4357-B671-54E13925D14D}</x14:id>
        </ext>
      </extLst>
    </cfRule>
  </conditionalFormatting>
  <conditionalFormatting sqref="Z17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{07230F87-17A9-42BC-BA10-CFF2FB3CB800}</x14:id>
        </ext>
      </extLst>
    </cfRule>
  </conditionalFormatting>
  <conditionalFormatting sqref="Z19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{EF20B56C-6402-4946-8964-7148482E2077}</x14:id>
        </ext>
      </extLst>
    </cfRule>
  </conditionalFormatting>
  <conditionalFormatting sqref="Z19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{C5CA3B6C-567C-42D3-A202-5E2A369090CE}</x14:id>
        </ext>
      </extLst>
    </cfRule>
  </conditionalFormatting>
  <conditionalFormatting sqref="Z19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{912E0AED-ED2C-4F0C-B7EA-9D36FA3EB964}</x14:id>
        </ext>
      </extLst>
    </cfRule>
  </conditionalFormatting>
  <conditionalFormatting sqref="U19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{63FBF73E-80D0-4951-BE0B-EEB5924FF72C}</x14:id>
        </ext>
      </extLst>
    </cfRule>
  </conditionalFormatting>
  <conditionalFormatting sqref="V19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{198AAC27-9C23-49E3-B400-D92EFD18DC79}</x14:id>
        </ext>
      </extLst>
    </cfRule>
  </conditionalFormatting>
  <conditionalFormatting sqref="W19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{DFE45B73-9183-4357-8FB8-9B0CC457E4D9}</x14:id>
        </ext>
      </extLst>
    </cfRule>
  </conditionalFormatting>
  <conditionalFormatting sqref="X19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{A0E36644-E63F-415A-BBB2-8DF8A51890EC}</x14:id>
        </ext>
      </extLst>
    </cfRule>
  </conditionalFormatting>
  <conditionalFormatting sqref="Y19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{B9DF6E9F-C78E-474F-BD22-51BB5DD9314C}</x14:id>
        </ext>
      </extLst>
    </cfRule>
  </conditionalFormatting>
  <conditionalFormatting sqref="Z19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{3DF1B718-B04B-4AD7-9760-E652397222B4}</x14:id>
        </ext>
      </extLst>
    </cfRule>
  </conditionalFormatting>
  <conditionalFormatting sqref="U17:U18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{E10B54CB-E79F-44A8-A9CF-5F3F2228CEA3}</x14:id>
        </ext>
      </extLst>
    </cfRule>
  </conditionalFormatting>
  <conditionalFormatting sqref="V17:V18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{0B744D12-0EE0-4F49-94EF-152ABE8FF48F}</x14:id>
        </ext>
      </extLst>
    </cfRule>
  </conditionalFormatting>
  <conditionalFormatting sqref="W17:W18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{8616F4C5-DED1-405B-AD43-4DB56874FA70}</x14:id>
        </ext>
      </extLst>
    </cfRule>
  </conditionalFormatting>
  <conditionalFormatting sqref="X17:X18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{325D1F5B-C91D-4095-B169-E1A83A418C9D}</x14:id>
        </ext>
      </extLst>
    </cfRule>
  </conditionalFormatting>
  <conditionalFormatting sqref="Y17:Y18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{94ACB642-7AA8-4F00-A351-552AC296BA87}</x14:id>
        </ext>
      </extLst>
    </cfRule>
  </conditionalFormatting>
  <conditionalFormatting sqref="Z17:Z18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{CB3B09CF-603F-4C6C-A1B8-5BD79A7E2AA5}</x14:id>
        </ext>
      </extLst>
    </cfRule>
  </conditionalFormatting>
  <conditionalFormatting sqref="Z2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{33015DA6-287E-4E6B-9191-B70F64B89C4E}</x14:id>
        </ext>
      </extLst>
    </cfRule>
  </conditionalFormatting>
  <conditionalFormatting sqref="U21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{A9AC8657-5E8D-46D3-BBFB-4485DB74BFA6}</x14:id>
        </ext>
      </extLst>
    </cfRule>
  </conditionalFormatting>
  <conditionalFormatting sqref="V21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{FEEFA5D1-441C-4E35-A8C4-3D50E3E317E0}</x14:id>
        </ext>
      </extLst>
    </cfRule>
  </conditionalFormatting>
  <conditionalFormatting sqref="W21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{14850080-4BDC-48AA-8985-1ADBAD6DDCE0}</x14:id>
        </ext>
      </extLst>
    </cfRule>
  </conditionalFormatting>
  <conditionalFormatting sqref="X21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{64B2F724-7C28-4EB7-B8C0-B3726D80480C}</x14:id>
        </ext>
      </extLst>
    </cfRule>
  </conditionalFormatting>
  <conditionalFormatting sqref="Y21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{F5559348-B5E2-4233-913C-D5ACA56AFABA}</x14:id>
        </ext>
      </extLst>
    </cfRule>
  </conditionalFormatting>
  <conditionalFormatting sqref="Z2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{193B35D6-A863-4A74-ABC2-1FBA473D1232}</x14:id>
        </ext>
      </extLst>
    </cfRule>
  </conditionalFormatting>
  <conditionalFormatting sqref="U20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{13D9CC70-28B5-4FD6-B007-64217AC2FA2C}</x14:id>
        </ext>
      </extLst>
    </cfRule>
  </conditionalFormatting>
  <conditionalFormatting sqref="V20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{0CB93D32-77F0-4CA6-BAFE-12CBDDF25896}</x14:id>
        </ext>
      </extLst>
    </cfRule>
  </conditionalFormatting>
  <conditionalFormatting sqref="W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{0BBF0F48-E648-4722-A11E-8E8CF6531F41}</x14:id>
        </ext>
      </extLst>
    </cfRule>
  </conditionalFormatting>
  <conditionalFormatting sqref="X20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{A73F8B85-7840-4A03-A922-5597ADF4806D}</x14:id>
        </ext>
      </extLst>
    </cfRule>
  </conditionalFormatting>
  <conditionalFormatting sqref="Y20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{3890CADD-2B2A-4460-B4AE-3AFAE69B6E96}</x14:id>
        </ext>
      </extLst>
    </cfRule>
  </conditionalFormatting>
  <conditionalFormatting sqref="Z22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{6DA81AC2-16FF-4DDF-A6E6-17C02317A0C3}</x14:id>
        </ext>
      </extLst>
    </cfRule>
  </conditionalFormatting>
  <conditionalFormatting sqref="U22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{49426EA5-86CC-479F-ABF5-70B0FCC00985}</x14:id>
        </ext>
      </extLst>
    </cfRule>
  </conditionalFormatting>
  <conditionalFormatting sqref="V22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{07B050E9-D3B1-43A5-8CB9-34D9F9A318C1}</x14:id>
        </ext>
      </extLst>
    </cfRule>
  </conditionalFormatting>
  <conditionalFormatting sqref="W22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{E814BB2E-7AF8-46B6-BDB1-2522E958D5B8}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{7C1A1F27-4D71-429E-85AD-3077BD1EF86E}</x14:id>
        </ext>
      </extLst>
    </cfRule>
  </conditionalFormatting>
  <conditionalFormatting sqref="Y22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{219ACB3B-D3F8-463A-8EC1-82E66EA765DC}</x14:id>
        </ext>
      </extLst>
    </cfRule>
  </conditionalFormatting>
  <conditionalFormatting sqref="Z1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{A73D5706-E196-4DD1-A74C-55F11B6B0317}</x14:id>
        </ext>
      </extLst>
    </cfRule>
  </conditionalFormatting>
  <conditionalFormatting sqref="Z18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{8A9B4FD2-933D-4B1C-BACF-218DD811FF83}</x14:id>
        </ext>
      </extLst>
    </cfRule>
  </conditionalFormatting>
  <conditionalFormatting sqref="Z1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{BAFACEBF-087F-463F-B918-B763B5175437}</x14:id>
        </ext>
      </extLst>
    </cfRule>
  </conditionalFormatting>
  <conditionalFormatting sqref="Z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{35669365-EBFE-4CBC-833C-3D94120A3FD6}</x14:id>
        </ext>
      </extLst>
    </cfRule>
  </conditionalFormatting>
  <conditionalFormatting sqref="Z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{AC7F030D-80ED-4B67-9420-6A4B772FAC63}</x14:id>
        </ext>
      </extLst>
    </cfRule>
  </conditionalFormatting>
  <conditionalFormatting sqref="Z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{E239F215-865F-4A92-B5B4-9DF4B6CFD212}</x14:id>
        </ext>
      </extLst>
    </cfRule>
  </conditionalFormatting>
  <conditionalFormatting sqref="Z19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{15050A0D-C96C-435E-B5D6-265BFE2E2049}</x14:id>
        </ext>
      </extLst>
    </cfRule>
  </conditionalFormatting>
  <conditionalFormatting sqref="Z19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{82847788-FD8F-4DF7-9D08-53B4F8DDF6CF}</x14:id>
        </ext>
      </extLst>
    </cfRule>
  </conditionalFormatting>
  <conditionalFormatting sqref="Z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{BE0788ED-078A-46E0-81A6-28867CFFAE1B}</x14:id>
        </ext>
      </extLst>
    </cfRule>
  </conditionalFormatting>
  <conditionalFormatting sqref="U19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{3D0D1AFB-0D9B-41B9-A888-C4C12F6FE293}</x14:id>
        </ext>
      </extLst>
    </cfRule>
  </conditionalFormatting>
  <conditionalFormatting sqref="V1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{0733DF74-D02B-4F1E-9209-1CEAA395E5DD}</x14:id>
        </ext>
      </extLst>
    </cfRule>
  </conditionalFormatting>
  <conditionalFormatting sqref="W19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{C068CEE4-1FC8-4EEA-9304-0F3A5CAD19C9}</x14:id>
        </ext>
      </extLst>
    </cfRule>
  </conditionalFormatting>
  <conditionalFormatting sqref="X19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{3139E6C8-12D6-4DFE-B7B6-27B8DFD9DE05}</x14:id>
        </ext>
      </extLst>
    </cfRule>
  </conditionalFormatting>
  <conditionalFormatting sqref="Y19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{E500295E-3C37-44D5-89C2-CF2D82A76CD0}</x14:id>
        </ext>
      </extLst>
    </cfRule>
  </conditionalFormatting>
  <conditionalFormatting sqref="Z19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{FDBEECD9-A3C1-4BE6-A894-2C10FF6CF96E}</x14:id>
        </ext>
      </extLst>
    </cfRule>
  </conditionalFormatting>
  <conditionalFormatting sqref="U17:U18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{253702C7-58ED-4E08-BB23-A7105BC54A14}</x14:id>
        </ext>
      </extLst>
    </cfRule>
  </conditionalFormatting>
  <conditionalFormatting sqref="V17:V18">
    <cfRule type="dataBar" priority="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{2D1D2956-426F-4313-815C-25ED8B96645E}</x14:id>
        </ext>
      </extLst>
    </cfRule>
  </conditionalFormatting>
  <conditionalFormatting sqref="W17:W18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{F8CF13F2-2E4E-47CB-A5C2-88EE5BBF81A8}</x14:id>
        </ext>
      </extLst>
    </cfRule>
  </conditionalFormatting>
  <conditionalFormatting sqref="X17:X18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{4A2DA9C0-BCAA-4B56-B663-F76CE97FE9AC}</x14:id>
        </ext>
      </extLst>
    </cfRule>
  </conditionalFormatting>
  <conditionalFormatting sqref="Y17:Y1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{588D2A42-5AD5-429C-B159-32FFB59002EA}</x14:id>
        </ext>
      </extLst>
    </cfRule>
  </conditionalFormatting>
  <conditionalFormatting sqref="Z17:Z1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{098CE756-C66B-45A6-A430-9F7CF721F9DB}</x14:id>
        </ext>
      </extLst>
    </cfRule>
  </conditionalFormatting>
  <conditionalFormatting sqref="AA17:AA2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{4BBD4D0B-CDAE-4CAE-B0EA-46B8069A76C2}</x14:id>
        </ext>
      </extLst>
    </cfRule>
  </conditionalFormatting>
  <conditionalFormatting sqref="Z2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{63C10415-5619-4E19-B7C9-800B3C4453D9}</x14:id>
        </ext>
      </extLst>
    </cfRule>
  </conditionalFormatting>
  <conditionalFormatting sqref="U21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{FC266CEF-E825-4C6B-8BCB-D9A50572FC18}</x14:id>
        </ext>
      </extLst>
    </cfRule>
  </conditionalFormatting>
  <conditionalFormatting sqref="V21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{55EB43F8-160D-49BE-B5AF-A03F713BA153}</x14:id>
        </ext>
      </extLst>
    </cfRule>
  </conditionalFormatting>
  <conditionalFormatting sqref="W21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{5AEE386D-F16B-4D39-B83A-803D6CBA5D48}</x14:id>
        </ext>
      </extLst>
    </cfRule>
  </conditionalFormatting>
  <conditionalFormatting sqref="X2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{18D8D492-A9AF-48D8-8D7E-021C9B627F8A}</x14:id>
        </ext>
      </extLst>
    </cfRule>
  </conditionalFormatting>
  <conditionalFormatting sqref="Y21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{31E2C5A1-7429-4965-ACD7-3F9E8B1ADC12}</x14:id>
        </ext>
      </extLst>
    </cfRule>
  </conditionalFormatting>
  <conditionalFormatting sqref="Z2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{D04493BD-3B71-432C-A0C7-5E89B94AD264}</x14:id>
        </ext>
      </extLst>
    </cfRule>
  </conditionalFormatting>
  <conditionalFormatting sqref="U2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{F2FAAE93-C286-4D08-8576-28B8181C8567}</x14:id>
        </ext>
      </extLst>
    </cfRule>
  </conditionalFormatting>
  <conditionalFormatting sqref="V2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{DD3A16B4-BBA6-420B-A1ED-B292205731D3}</x14:id>
        </ext>
      </extLst>
    </cfRule>
  </conditionalFormatting>
  <conditionalFormatting sqref="W2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{601D6C08-EF63-4224-A76A-17D1B9FEE913}</x14:id>
        </ext>
      </extLst>
    </cfRule>
  </conditionalFormatting>
  <conditionalFormatting sqref="X2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{625EEFD2-F38F-4A89-AC51-C448F56A3EA5}</x14:id>
        </ext>
      </extLst>
    </cfRule>
  </conditionalFormatting>
  <conditionalFormatting sqref="Y20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{FA87EFE5-C53B-4AE2-8A91-49366E7FB2E9}</x14:id>
        </ext>
      </extLst>
    </cfRule>
  </conditionalFormatting>
  <conditionalFormatting sqref="AA21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{22D495EA-3BD4-460E-9FC0-0CB37BBC666A}</x14:id>
        </ext>
      </extLst>
    </cfRule>
  </conditionalFormatting>
  <conditionalFormatting sqref="Z22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{774D7B9D-ACC3-4B1F-985A-0DFADC157EA6}</x14:id>
        </ext>
      </extLst>
    </cfRule>
  </conditionalFormatting>
  <conditionalFormatting sqref="U2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{E5813140-D700-49F3-8478-03F8D1A2222F}</x14:id>
        </ext>
      </extLst>
    </cfRule>
  </conditionalFormatting>
  <conditionalFormatting sqref="V22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{E745366B-E0AA-4A7B-899B-FDBB5A56DB62}</x14:id>
        </ext>
      </extLst>
    </cfRule>
  </conditionalFormatting>
  <conditionalFormatting sqref="W22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{C5C335D3-5CD4-4A5D-9BD6-BCDA6DDE55D0}</x14:id>
        </ext>
      </extLst>
    </cfRule>
  </conditionalFormatting>
  <conditionalFormatting sqref="X22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{BBA5C17D-5630-43CF-A6F8-96DCEB844407}</x14:id>
        </ext>
      </extLst>
    </cfRule>
  </conditionalFormatting>
  <conditionalFormatting sqref="Y2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{4CB6C3F4-2F74-4D91-BF79-D966E6E55BA2}</x14:id>
        </ext>
      </extLst>
    </cfRule>
  </conditionalFormatting>
  <conditionalFormatting sqref="AA22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{D4C2C7CD-381E-4D87-93BB-C2A2E5AF20F7}</x14:id>
        </ext>
      </extLst>
    </cfRule>
  </conditionalFormatting>
  <conditionalFormatting sqref="U18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{1392E6E8-C67A-456D-B04F-FF3F6B07EB18}</x14:id>
        </ext>
      </extLst>
    </cfRule>
  </conditionalFormatting>
  <conditionalFormatting sqref="AA1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{F2FB41D7-70FC-4AFD-8A18-71D5045940A2}</x14:id>
        </ext>
      </extLst>
    </cfRule>
  </conditionalFormatting>
  <conditionalFormatting sqref="AA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{0492B2E4-0C79-4E4A-B252-9229F0408FE4}</x14:id>
        </ext>
      </extLst>
    </cfRule>
  </conditionalFormatting>
  <conditionalFormatting sqref="AA18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{A5B19601-861B-4870-95F7-D357C1295BB4}</x14:id>
        </ext>
      </extLst>
    </cfRule>
  </conditionalFormatting>
  <conditionalFormatting sqref="U1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{160D49BF-1C42-4D5F-ACAD-D0367A33309F}</x14:id>
        </ext>
      </extLst>
    </cfRule>
  </conditionalFormatting>
  <conditionalFormatting sqref="AA1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{69D67857-2FE6-4C93-8BF0-9145CBC9D4FD}</x14:id>
        </ext>
      </extLst>
    </cfRule>
  </conditionalFormatting>
  <conditionalFormatting sqref="AA17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{3FA91F9E-95FC-4E97-9A4A-81D5B92B9594}</x14:id>
        </ext>
      </extLst>
    </cfRule>
  </conditionalFormatting>
  <conditionalFormatting sqref="AA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{911F1311-8D00-4883-BD4E-AB8512F174A7}</x14:id>
        </ext>
      </extLst>
    </cfRule>
  </conditionalFormatting>
  <conditionalFormatting sqref="U19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{BA617C7A-DED2-4552-BF8E-BDECCE47C070}</x14:id>
        </ext>
      </extLst>
    </cfRule>
  </conditionalFormatting>
  <conditionalFormatting sqref="AA19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{52B47E2D-E42B-4E58-9CF0-0CA906E10699}</x14:id>
        </ext>
      </extLst>
    </cfRule>
  </conditionalFormatting>
  <conditionalFormatting sqref="AA19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{A5FE2433-F2E3-48D8-9A7D-5CFF832DC8AC}</x14:id>
        </ext>
      </extLst>
    </cfRule>
  </conditionalFormatting>
  <conditionalFormatting sqref="AA19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{14CEC591-5E27-4716-AD3F-94018B80170A}</x14:id>
        </ext>
      </extLst>
    </cfRule>
  </conditionalFormatting>
  <conditionalFormatting sqref="U19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{C584219B-DBD3-4DF2-894A-D3F31A22F1A7}</x14:id>
        </ext>
      </extLst>
    </cfRule>
  </conditionalFormatting>
  <conditionalFormatting sqref="V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{FF267556-189C-4100-8B3F-77C68890AC7F}</x14:id>
        </ext>
      </extLst>
    </cfRule>
  </conditionalFormatting>
  <conditionalFormatting sqref="W1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{91F53DB3-B21D-4EAC-882D-5BD8A43DFA64}</x14:id>
        </ext>
      </extLst>
    </cfRule>
  </conditionalFormatting>
  <conditionalFormatting sqref="X1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{349A8F47-CC8E-4AD7-92A2-FCD91F057864}</x14:id>
        </ext>
      </extLst>
    </cfRule>
  </conditionalFormatting>
  <conditionalFormatting sqref="Y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{1DEC7DA8-84E4-4756-84D4-5107D65C0B39}</x14:id>
        </ext>
      </extLst>
    </cfRule>
  </conditionalFormatting>
  <conditionalFormatting sqref="Z1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{A408C6C3-8971-4D40-9774-30DF65BE7E64}</x14:id>
        </ext>
      </extLst>
    </cfRule>
  </conditionalFormatting>
  <conditionalFormatting sqref="AA19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{D3F648C0-52E9-4870-8270-3C4E4CBA3BC4}</x14:id>
        </ext>
      </extLst>
    </cfRule>
  </conditionalFormatting>
  <conditionalFormatting sqref="U2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{A6FEA48C-F5F8-48D9-B29D-85A08201B1E2}</x14:id>
        </ext>
      </extLst>
    </cfRule>
  </conditionalFormatting>
  <conditionalFormatting sqref="U17:U1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{D03CDB2A-F06F-458E-8CCF-D316BBA1AB22}</x14:id>
        </ext>
      </extLst>
    </cfRule>
  </conditionalFormatting>
  <conditionalFormatting sqref="V17:V18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{AABB23BC-E21B-4B93-9FA8-4C063C30F72F}</x14:id>
        </ext>
      </extLst>
    </cfRule>
  </conditionalFormatting>
  <conditionalFormatting sqref="W17:W18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{A008689F-8243-4931-9DAD-1872BC31D39E}</x14:id>
        </ext>
      </extLst>
    </cfRule>
  </conditionalFormatting>
  <conditionalFormatting sqref="X17:X18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{60BDB469-1D4C-4E16-A4D9-3F7116ED6BF1}</x14:id>
        </ext>
      </extLst>
    </cfRule>
  </conditionalFormatting>
  <conditionalFormatting sqref="Y17:Y18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{8860EDE0-880A-4057-BDCD-2F8088D55547}</x14:id>
        </ext>
      </extLst>
    </cfRule>
  </conditionalFormatting>
  <conditionalFormatting sqref="Z17:Z18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{D3FEBA7D-68EF-4DFE-B6CA-FFBF8D17167A}</x14:id>
        </ext>
      </extLst>
    </cfRule>
  </conditionalFormatting>
  <conditionalFormatting sqref="AA17:AA18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{CC86B90B-823D-4EAC-AC8E-995DD58C0179}</x14:id>
        </ext>
      </extLst>
    </cfRule>
  </conditionalFormatting>
  <conditionalFormatting sqref="U2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{15C9E00C-241C-44D1-9100-611FEBE60212}</x14:id>
        </ext>
      </extLst>
    </cfRule>
  </conditionalFormatting>
  <conditionalFormatting sqref="AA2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{6B3E8D48-7164-4C1B-854C-07200A027EC1}</x14:id>
        </ext>
      </extLst>
    </cfRule>
  </conditionalFormatting>
  <conditionalFormatting sqref="V2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{EB01E67C-A05C-44D0-89EE-FD9A5C8A67BD}</x14:id>
        </ext>
      </extLst>
    </cfRule>
  </conditionalFormatting>
  <conditionalFormatting sqref="W2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{D4670A80-DEEA-47A3-B640-C7700F2FBAC8}</x14:id>
        </ext>
      </extLst>
    </cfRule>
  </conditionalFormatting>
  <conditionalFormatting sqref="X21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{23D1DDD8-66C2-486C-8D13-CCBFF9FFE806}</x14:id>
        </ext>
      </extLst>
    </cfRule>
  </conditionalFormatting>
  <conditionalFormatting sqref="Y21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{98C3DDEE-06EA-42A4-95E6-D0C6037BD2A3}</x14:id>
        </ext>
      </extLst>
    </cfRule>
  </conditionalFormatting>
  <conditionalFormatting sqref="Z21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{A9E632E8-C4EC-45C1-B6B1-E506B7A6972E}</x14:id>
        </ext>
      </extLst>
    </cfRule>
  </conditionalFormatting>
  <conditionalFormatting sqref="U20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{91BFA8A0-3D28-48F0-882D-51768A295F94}</x14:id>
        </ext>
      </extLst>
    </cfRule>
  </conditionalFormatting>
  <conditionalFormatting sqref="AA20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{19495EBF-F170-44C5-A4F8-89612B92BCA4}</x14:id>
        </ext>
      </extLst>
    </cfRule>
  </conditionalFormatting>
  <conditionalFormatting sqref="V2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{D8CC121E-9EEE-42BD-B6AE-0291961270B1}</x14:id>
        </ext>
      </extLst>
    </cfRule>
  </conditionalFormatting>
  <conditionalFormatting sqref="W20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{850284F6-8CDD-43E5-948D-ECE6CA5E094A}</x14:id>
        </ext>
      </extLst>
    </cfRule>
  </conditionalFormatting>
  <conditionalFormatting sqref="X2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{890EE30B-D8A5-4F22-80FE-DDC579952036}</x14:id>
        </ext>
      </extLst>
    </cfRule>
  </conditionalFormatting>
  <conditionalFormatting sqref="Y2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{734904DF-F826-430F-84E3-22A2193F1C62}</x14:id>
        </ext>
      </extLst>
    </cfRule>
  </conditionalFormatting>
  <conditionalFormatting sqref="Z20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{8678A0AD-C0C4-48A0-A36E-2D46CD4B7F1C}</x14:id>
        </ext>
      </extLst>
    </cfRule>
  </conditionalFormatting>
  <conditionalFormatting sqref="U2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{673063B9-E2D4-4D11-990B-BA5D95BB1B7C}</x14:id>
        </ext>
      </extLst>
    </cfRule>
  </conditionalFormatting>
  <conditionalFormatting sqref="U2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{936D693D-C2AC-446F-8F98-D0FA2734A663}</x14:id>
        </ext>
      </extLst>
    </cfRule>
  </conditionalFormatting>
  <conditionalFormatting sqref="AA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{BFF1F4CF-0815-4C62-A54A-D8638889BA6E}</x14:id>
        </ext>
      </extLst>
    </cfRule>
  </conditionalFormatting>
  <conditionalFormatting sqref="V2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{3C75B465-E967-4256-B3F8-25CC000B3F29}</x14:id>
        </ext>
      </extLst>
    </cfRule>
  </conditionalFormatting>
  <conditionalFormatting sqref="W2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{2354D99D-6375-4F63-8499-0DFB237ADEB1}</x14:id>
        </ext>
      </extLst>
    </cfRule>
  </conditionalFormatting>
  <conditionalFormatting sqref="X2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{BA1F48F7-9A33-4645-84A4-D1642AE1399D}</x14:id>
        </ext>
      </extLst>
    </cfRule>
  </conditionalFormatting>
  <conditionalFormatting sqref="Y2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{FCB3FC67-3C57-42C4-9676-68C82108ADCE}</x14:id>
        </ext>
      </extLst>
    </cfRule>
  </conditionalFormatting>
  <conditionalFormatting sqref="Z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{D4A9889A-4201-4E14-B707-ACFED12FDF04}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E7B5D1-C5FE-42D0-BAEB-5F8DA64EB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7057621-3E6E-49FE-A767-259245B0B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5EF8E4F-1ABA-449F-AC93-0CA83E873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U5:Z5</xm:sqref>
        </x14:conditionalFormatting>
        <x14:conditionalFormatting xmlns:xm="http://schemas.microsoft.com/office/excel/2006/main">
          <x14:cfRule type="dataBar" id="{31AB3393-E4D0-4FC5-BD91-D6A02B58FC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71444A3-BB38-4041-8147-F20CF985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6A1A019A-A898-4AEA-A1CB-FE489A748F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888D42AE-CF3F-4CA8-ABA5-9BB4AA7BC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C6BE2612-75E4-4E91-ADEB-1B56DECFB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675892B2-F72A-472F-B1EE-0AAAAA129F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C7E1F1BE-DF75-4ED5-BF55-AB1C1C332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U4:Z4 S4</xm:sqref>
        </x14:conditionalFormatting>
        <x14:conditionalFormatting xmlns:xm="http://schemas.microsoft.com/office/excel/2006/main">
          <x14:cfRule type="dataBar" id="{31A2E602-0F35-42E6-839F-B3EA11D8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23F73D89-09FD-4647-A729-1476E9207E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 U4:Z4</xm:sqref>
        </x14:conditionalFormatting>
        <x14:conditionalFormatting xmlns:xm="http://schemas.microsoft.com/office/excel/2006/main">
          <x14:cfRule type="dataBar" id="{A6D14F1D-FFFB-4E79-9B3B-3CD1C37F0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8B4CBE88-C78E-4549-8AEB-67078ACB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81B708F-8C81-4A15-AAF5-45029543D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E35D6E1-20AD-4943-A1F3-BD676094D6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538ABF4D-4125-44F1-993C-326260D727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EA6CA2B5-4070-4D56-AD6C-E0071436D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881D8141-EDE6-4946-B229-EFA6CE2EFF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747E1432-FCC7-4CE2-9898-943B2A684E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U6:Z6</xm:sqref>
        </x14:conditionalFormatting>
        <x14:conditionalFormatting xmlns:xm="http://schemas.microsoft.com/office/excel/2006/main">
          <x14:cfRule type="dataBar" id="{BCA252E8-41A0-4C12-97AC-7A216A19FE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B84CBA-6FFE-411F-9125-AA90FD257D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9F2703F-8B8C-4205-A89F-6970338494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FEA4FA20-5DD1-4E94-B140-C7A5559610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E7D2F64E-AA87-4DC2-B3BC-9CD1CD0DF3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A2A89086-6A74-445C-A213-452F4C8B8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B39B4FF-4436-4A6B-99B6-418C2C5B8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57A3C2EC-8C64-46B4-BE7E-04E2782244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E6BD4FB-E73A-4599-99F9-7973C465E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4186DB-8EA5-4D9D-A284-164751935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88A8DC8-FDC6-44FB-B0C5-31BE920F9F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8DBAF7A-6392-4AFF-9251-8CD27FA037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8A146B50-42DC-439C-B4B7-04CEE1BA98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C505B534-5FD0-46C9-B772-74F3B8672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33853D42-1D5C-4B6E-8F4A-84B0EE183D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8928E934-FD84-4AEE-8A94-AF992565C2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EA91356A-8E89-45DD-98F9-D9F1E30B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DE5D245B-A2F1-44A0-8933-EF817BC1B8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130E6D33-7600-4E60-805E-8E54E633F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86CFCFAA-E94F-4648-AA35-16E6FB73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7E35B583-E264-46C0-8FE1-06265BAD3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E91472F0-57BA-4F34-87C9-1165273BC2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Y4:Y7</xm:sqref>
        </x14:conditionalFormatting>
        <x14:conditionalFormatting xmlns:xm="http://schemas.microsoft.com/office/excel/2006/main">
          <x14:cfRule type="dataBar" id="{11F8FED1-E5A3-4D19-96F1-4209350FC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CBCD3765-1B8C-4013-844C-CDE443ECB9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U8:Z8</xm:sqref>
        </x14:conditionalFormatting>
        <x14:conditionalFormatting xmlns:xm="http://schemas.microsoft.com/office/excel/2006/main">
          <x14:cfRule type="dataBar" id="{4BD9E227-1E14-4954-A6C2-20A644DDB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19785D2-EBDA-4A35-8228-5FCDE754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I8:J8</xm:sqref>
        </x14:conditionalFormatting>
        <x14:conditionalFormatting xmlns:xm="http://schemas.microsoft.com/office/excel/2006/main">
          <x14:cfRule type="dataBar" id="{E14B9E87-BA03-4095-8C0A-DD1AC0144B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D15CE2CC-31D2-47A4-BF6E-F6FA4A7ACE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84A9FCE2-3915-447D-96A9-89C16F1A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BF2CCABE-A6A5-4741-BDE7-7F6417433A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ABE531E-8C15-4DC4-9B60-31A11B9FE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B5E6066-41B7-44B3-B573-50DC7039E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F50D9362-58A6-465B-AB65-12AF39B1A9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E756477F-C22B-4D1A-B1D9-77394A546B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U7:Z7</xm:sqref>
        </x14:conditionalFormatting>
        <x14:conditionalFormatting xmlns:xm="http://schemas.microsoft.com/office/excel/2006/main">
          <x14:cfRule type="dataBar" id="{4D72431B-8403-4E4D-A5C8-F38593CC05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C69E4A6C-95FF-4C2C-8294-01E65FD67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I7:J7</xm:sqref>
        </x14:conditionalFormatting>
        <x14:conditionalFormatting xmlns:xm="http://schemas.microsoft.com/office/excel/2006/main">
          <x14:cfRule type="dataBar" id="{3350FBCE-D057-4DD9-85A4-90E5A1D16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8E4BE8-B7E0-4BFF-9C7D-BCB84272B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5E4C9AD7-EE1C-44B7-8EAA-A5C23749B9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AB247BE-D7FD-4C4C-A737-ABFC44862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26E44FA4-AF7D-4F2C-A09B-546A3CBF7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156ECD0-4AFA-4B69-A1A5-A2246D90D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I4:I7</xm:sqref>
        </x14:conditionalFormatting>
        <x14:conditionalFormatting xmlns:xm="http://schemas.microsoft.com/office/excel/2006/main">
          <x14:cfRule type="dataBar" id="{2874F476-B531-4332-9C55-9203CB14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J4:J7</xm:sqref>
        </x14:conditionalFormatting>
        <x14:conditionalFormatting xmlns:xm="http://schemas.microsoft.com/office/excel/2006/main">
          <x14:cfRule type="dataBar" id="{AC8844DF-F29C-4820-803E-9C9670F4F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 U4:AA7</xm:sqref>
        </x14:conditionalFormatting>
        <x14:conditionalFormatting xmlns:xm="http://schemas.microsoft.com/office/excel/2006/main">
          <x14:cfRule type="dataBar" id="{F45E6A07-0471-4F2F-AA2F-0678A6FE58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6D2E204-34AB-4618-82E7-4249203DD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BD906A11-1A20-41B1-82BA-232DFA0ED3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ED65119E-B8B1-43AA-AAB6-84AF923DB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4C4C5120-7906-4A3D-850A-903D6EED3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U9:Z9</xm:sqref>
        </x14:conditionalFormatting>
        <x14:conditionalFormatting xmlns:xm="http://schemas.microsoft.com/office/excel/2006/main">
          <x14:cfRule type="dataBar" id="{29D62552-DD97-4AA4-8FB0-3C9A520C50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DC9EA6A8-C7E9-43B6-A89B-0EFD9147DA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D9A573AA-2B83-450B-920B-349F447728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506294A5-584B-4B98-97D4-8F8072561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F7DBEF2-6D9D-42B9-A821-BC62C8135F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3F4F3D1-92D1-471B-B351-594AD5150F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11633517-771D-4E55-A38A-32B7F0CA9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BB069D38-AB9A-455C-B350-8C708E01B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6C42D2A-DC46-41C3-BAC9-D5CF5C018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CDEA1E4B-CE60-4148-96DF-DEDD10C2CE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7B1DEEA-5408-4655-8703-ECD2C4B110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8223956-94D6-4693-BDA1-3214DA84A5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EF1C63-4076-492F-A1F8-F5AD8A8B2B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2A99D478-3563-456B-8393-BEFB33AAD8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8479EA7-70A6-4BA8-B494-F138AAAF3F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5E2C788-AC96-4991-B1C6-9578E69041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420D2AC-D4A1-4898-AA54-F0090E291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8EEA380-76B9-4607-8371-89BC02CE43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C26F5EA-D868-4074-AF14-DB0FD34D0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6FA85FA-F6FC-4781-BCF2-4729C47BD0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A7E9306-29EE-4FFC-9428-538F42993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BBAD210-36F2-4E15-BCF0-BEBFE1B508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151D141-9815-4793-8D20-E1AA32DC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5576E1A3-B13B-4E41-9259-2721C9B0FB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398227-31AE-4750-9109-9E0B4FDF2C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1FE104D4-BDEA-4E8F-8038-0BF6D2C76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CAB213B-B895-4E2F-AD03-823A3FC075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FA48B724-3CFD-43E4-8627-E51AB3C82D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6290EF43-54E1-4481-8110-FF7718C486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FCB7AAD6-2661-406A-8CBC-5BEB912BFD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0F17E7EB-8D4A-4566-9A69-03E18050D2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39D637BD-7830-46A2-AAB6-19D45A307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D9CF0799-C3A7-48DE-9096-A287BB4AD6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U18:Z18</xm:sqref>
        </x14:conditionalFormatting>
        <x14:conditionalFormatting xmlns:xm="http://schemas.microsoft.com/office/excel/2006/main">
          <x14:cfRule type="dataBar" id="{5A67E755-840D-4E5B-A0C6-09E2201E5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4DC90F45-2665-4BE9-B816-11851A8780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DE29ED17-6751-46DA-8C4D-A945CF8E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E6144BDF-1061-4B5E-8F7B-5FC95B72F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8E638D96-6BEC-450A-9E95-F02AF977B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I18:J18</xm:sqref>
        </x14:conditionalFormatting>
        <x14:conditionalFormatting xmlns:xm="http://schemas.microsoft.com/office/excel/2006/main">
          <x14:cfRule type="dataBar" id="{9942B64E-6BFB-4105-9DFF-F55E8CE8F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6E92A4F2-EC6D-48FA-821A-084EC5E9E6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7EEBBFE2-876E-45FC-8955-A69D4FDF56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U17:Z17</xm:sqref>
        </x14:conditionalFormatting>
        <x14:conditionalFormatting xmlns:xm="http://schemas.microsoft.com/office/excel/2006/main">
          <x14:cfRule type="dataBar" id="{3C4203C9-D9F3-465C-A1EC-CA1F85E8FE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02F81D1-FC47-4430-9385-A82BEF6AAE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73E6B390-3B46-4E0F-AB00-D79F7DB55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FE375F31-8F65-405B-9192-6710E534BE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B59765EA-696D-4422-9C0E-979E4211D5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I17:J17</xm:sqref>
        </x14:conditionalFormatting>
        <x14:conditionalFormatting xmlns:xm="http://schemas.microsoft.com/office/excel/2006/main">
          <x14:cfRule type="dataBar" id="{DDD1EED8-6D19-42BC-9F12-F46E87F2B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4BBF33D8-4621-40AE-9CBC-B4E9CD8E32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C2C273F7-63CE-48C3-9BBE-D0EC4E3F79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U19:Z19</xm:sqref>
        </x14:conditionalFormatting>
        <x14:conditionalFormatting xmlns:xm="http://schemas.microsoft.com/office/excel/2006/main">
          <x14:cfRule type="dataBar" id="{05621205-2C46-4B58-ABA3-C5783642CA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ED73A3D-E0FC-4C24-ACD7-236D66C578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D5ACA62-37A7-4A08-87BA-49885F1AE3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5CC12C60-42BC-48B5-9342-09A741619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380B456A-9BF3-4514-BAF4-D027FC5A9D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I19:J19</xm:sqref>
        </x14:conditionalFormatting>
        <x14:conditionalFormatting xmlns:xm="http://schemas.microsoft.com/office/excel/2006/main">
          <x14:cfRule type="dataBar" id="{92B4E94F-0471-4AB6-9411-0A3A823332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A67AD664-223E-4F56-A179-DF1EC145C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J19</xm:sqref>
        </x14:conditionalFormatting>
        <x14:conditionalFormatting xmlns:xm="http://schemas.microsoft.com/office/excel/2006/main">
          <x14:cfRule type="dataBar" id="{2DF120BE-97DE-488E-92BC-3385D7A43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2B21D702-9AEE-4848-8D7E-A4C58AA4A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63942B-0CB6-44FB-9FDF-A9523C2E97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567808F0-08D6-433B-8A83-3A8CCF706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D0F1A7A0-F08E-4404-AAD0-9228DA4FD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C0985FE-BB32-4B1A-A04D-5765AFCBD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27FE0C9A-A88B-4FDD-A4D9-359C8AF4F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I17:I18</xm:sqref>
        </x14:conditionalFormatting>
        <x14:conditionalFormatting xmlns:xm="http://schemas.microsoft.com/office/excel/2006/main">
          <x14:cfRule type="dataBar" id="{D826862E-EC73-42CF-B1CA-3A9CBF509A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J17:J18</xm:sqref>
        </x14:conditionalFormatting>
        <x14:conditionalFormatting xmlns:xm="http://schemas.microsoft.com/office/excel/2006/main">
          <x14:cfRule type="dataBar" id="{BA1402B1-FF43-4DBB-9143-AC7C400611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86E9DFE8-8067-4E98-818F-A1387CEA5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1C052CFE-5168-46B9-AA26-3BA1A9B96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25DFC1A-1695-4CA0-8E96-3CF4E7F370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DC832E5C-31C4-46DA-917A-958A640B1A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Y17:Y20</xm:sqref>
        </x14:conditionalFormatting>
        <x14:conditionalFormatting xmlns:xm="http://schemas.microsoft.com/office/excel/2006/main">
          <x14:cfRule type="dataBar" id="{DB3DD3F0-B093-47D2-9312-62D2E0A8F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AFDBB33A-F7C4-4407-A095-7E5EF49396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U21:Z21</xm:sqref>
        </x14:conditionalFormatting>
        <x14:conditionalFormatting xmlns:xm="http://schemas.microsoft.com/office/excel/2006/main">
          <x14:cfRule type="dataBar" id="{B92CEA97-F03E-427E-973F-A43E800307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617E8BF-B5ED-4937-8795-027A10CDBF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I21:J21</xm:sqref>
        </x14:conditionalFormatting>
        <x14:conditionalFormatting xmlns:xm="http://schemas.microsoft.com/office/excel/2006/main">
          <x14:cfRule type="dataBar" id="{86DDBA4F-8CAE-47AC-8F21-E4F4C29526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3B8EEE3A-0ECE-4568-89DD-AE53EE8BC1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J21</xm:sqref>
        </x14:conditionalFormatting>
        <x14:conditionalFormatting xmlns:xm="http://schemas.microsoft.com/office/excel/2006/main">
          <x14:cfRule type="dataBar" id="{B20B6506-D46E-44DD-A6F3-8577C59EA0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222807F3-F1B7-47A0-BB75-2A14455C8D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4BB75D47-A594-43F3-B589-F973006B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63E756-2F19-4248-A158-5549A5215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U21:AA21</xm:sqref>
        </x14:conditionalFormatting>
        <x14:conditionalFormatting xmlns:xm="http://schemas.microsoft.com/office/excel/2006/main">
          <x14:cfRule type="dataBar" id="{F626107C-AADA-448B-8AA3-365D3673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1423F7A5-C0E4-4164-8278-0A70FB0D6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U20:Z20</xm:sqref>
        </x14:conditionalFormatting>
        <x14:conditionalFormatting xmlns:xm="http://schemas.microsoft.com/office/excel/2006/main">
          <x14:cfRule type="dataBar" id="{79FB7AD3-9D87-4BC8-8C91-BDECD5E40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850E32BD-47CA-4656-8BBD-342210534A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I20:J20</xm:sqref>
        </x14:conditionalFormatting>
        <x14:conditionalFormatting xmlns:xm="http://schemas.microsoft.com/office/excel/2006/main">
          <x14:cfRule type="dataBar" id="{3DF476C9-52B3-431A-B73A-B76E2B6F37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192FFA17-2396-4443-B3CF-C2E61C0204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785F5894-16BE-48E9-838A-EF2EF91DC1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8E1AB181-06C5-447E-A6E7-1C5CBC823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F41DA47-5BB1-4291-9E38-0E0CEAE0CB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F4E8CC32-BF1C-46EB-8B99-F2440797A9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I17:I20</xm:sqref>
        </x14:conditionalFormatting>
        <x14:conditionalFormatting xmlns:xm="http://schemas.microsoft.com/office/excel/2006/main">
          <x14:cfRule type="dataBar" id="{333D59E9-B34B-4AF0-A4A0-D5C3C3117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J17:J20</xm:sqref>
        </x14:conditionalFormatting>
        <x14:conditionalFormatting xmlns:xm="http://schemas.microsoft.com/office/excel/2006/main">
          <x14:cfRule type="dataBar" id="{4DFF8DF4-88FD-4EFF-A075-F98C8E121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U17:AA20</xm:sqref>
        </x14:conditionalFormatting>
        <x14:conditionalFormatting xmlns:xm="http://schemas.microsoft.com/office/excel/2006/main">
          <x14:cfRule type="dataBar" id="{49A8951A-D483-4238-A835-825BF89C8F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0225B1CF-3434-4379-BD9A-F3702D146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I17:J21</xm:sqref>
        </x14:conditionalFormatting>
        <x14:conditionalFormatting xmlns:xm="http://schemas.microsoft.com/office/excel/2006/main">
          <x14:cfRule type="dataBar" id="{12EBF328-1B82-498B-B9C4-86F8ED5E7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97A08360-EFF2-4F31-9A9F-6F99A70178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29C25B79-A86C-4B20-98B0-A8EF952E0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U22:Z22</xm:sqref>
        </x14:conditionalFormatting>
        <x14:conditionalFormatting xmlns:xm="http://schemas.microsoft.com/office/excel/2006/main">
          <x14:cfRule type="dataBar" id="{0C9E739A-1F3A-4D70-B1D1-92A8E6EDA9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FF02228-290B-4E96-ABA4-020AD4179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78875EB5-DDC3-4DD3-A55B-80FDDDA2A6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0F2DD25B-5741-4274-9E6E-E4C10B2491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2661D5AF-5EE0-47C0-84EA-0F29291333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00B9EBB0-0801-4706-A7DD-A4E73D8897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EED2ED-9C32-48B7-8AFB-280777EEF0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U22:AA22</xm:sqref>
        </x14:conditionalFormatting>
        <x14:conditionalFormatting xmlns:xm="http://schemas.microsoft.com/office/excel/2006/main">
          <x14:cfRule type="dataBar" id="{B29C447E-7014-4E2D-A4CB-ABA382FD2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7D81E54-92A3-46A4-B2FF-8C78CC2FF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J22</xm:sqref>
        </x14:conditionalFormatting>
        <x14:conditionalFormatting xmlns:xm="http://schemas.microsoft.com/office/excel/2006/main">
          <x14:cfRule type="dataBar" id="{12DCA5F3-337E-4943-AC41-94798781A5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80F9CD3-F136-4281-B3C2-835771A3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F15BF47-3579-44C3-BABE-1690BEE653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971AF3C-BC0B-4127-964C-12C778CE4B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C27D58EF-F28E-41DF-A681-5D8DA701F5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D6B57C08-555C-4434-AE56-8CDDAD0715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89DED0B6-C7A0-4449-8E81-A02877FAB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FEDA6C1-A59A-4D4B-B80F-6E8BEC77A6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D5FA7B07-9DED-4077-9884-8FE911D03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7D68FB8C-6A23-4552-9B96-C901155F4E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D58D857-58A6-4D58-AA8C-C7B7E0278C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6BFC181-9979-4C98-AED5-3D0572213C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BF59FC3E-C32D-4F9E-ADC7-8F23894F0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C3D00A3-922F-4774-B679-4DF693F5AD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A0B25594-DABF-445C-8BEF-A0938EA8D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7FA9DF7B-4814-4AF7-92CA-CEC95B7E8D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D3ED090-24FB-4EE7-8C39-93F99767C2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EB815363-12E8-4634-9AEB-792622FCA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CF141174-3D9C-46B1-BB0B-4CA8CC037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E4495F9D-92C0-40F5-9A5E-4DBA9CC0DB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12B7414E-B90E-415E-A389-0E1E456297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04AEFBB1-E922-4F48-8A32-522B83B17C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504F58B-7610-435D-B82F-96D1FC76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D2CB2B3-C7C3-415E-B3FF-F5A46D7E2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260B4FC-65C6-4934-9E5A-56DCDB0173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2D5C90EB-2391-4F22-AFD6-685BECC714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07EF42-A017-4D22-9989-D32843A1FC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F4E5E13-5E83-4B32-AEE3-FAD0E16C7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81FFE42-4FA2-46F8-A023-34D57197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8D068F49-8394-4BA8-81A9-A99F26FC5D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CA630EF-CAC8-4796-96A2-B49CDD639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8D7C8AE-1768-43F6-ABC7-85682E7F7B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AE6E7C-EAC0-4CCD-B72C-D92C2690F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F5D7DE4-019D-4B96-B6E9-8BF6E0AE4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EA2E946B-BC1A-4F02-B786-2C96A1947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5663E65-84B4-48FC-A6A1-843DF4D78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1FD0DF1-138B-4C39-B0A4-1A5FDECAC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C773BFD3-9E37-4D68-98FE-9C863A8A8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3A414B52-A2C9-43AA-98BA-AC668AD8E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13F5D281-4BAD-4D0B-95FF-81CB0983B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969F9DD-C04C-4207-9CD3-B871C2C4D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0CAE4FAC-14D3-45AA-876D-8A35CFD6D0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41D5CE5-47D9-4034-8FFA-774502CE2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B76D24B1-7507-4834-BB37-0F098801A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0B0C4DB-EB4B-48F0-9E30-80B6A46046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ABE86C60-1490-434A-937D-247EC82839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F46177B-8860-46C6-9F1F-7425F9421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A998DEF-94F5-483C-8A9A-F5E20BEDE3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5350D2B6-3CC7-49BF-8477-DFCC675E1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E16F4BF4-8BBE-4D0C-8B84-4F9CA2F20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0AFF6846-6985-4119-B1B6-88B52D2F48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3BD4A816-6ADA-4F37-81C8-5F92F101AA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4FD20B5C-275E-45B2-8B15-47752B411B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84867AE0-5A1D-4420-AE79-C4FAEE8F6C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E4F8BB7-0865-45CC-B49B-CB31ADB5A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C93A032-6DFE-4E2C-BFF1-6CE59ACAFA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38D8958-4242-459B-9166-5E3467FC46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90C455AF-A062-40F3-A1EB-96B8F8C2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41150EA9-880C-4482-8995-454BF9DB45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C98879D1-AC3F-4DD5-9146-8E99BD247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3A45F89-301F-46AF-9DD3-D132A53A2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46690B9-8379-41C8-9AA5-41EAB5C3C6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06311B06-1313-4BE9-947D-F612E44B65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7C190DE6-C5AA-4FFE-A3F6-61FB664F9C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41701C52-D56E-44FE-83F9-0D739BED94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A80D29B-62AD-4364-96B7-C3791088AD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67298E7F-9325-4F63-A5B6-FBE71B3275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9D75C7CC-A802-44A9-9490-55FBDD994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EB38441-CAE8-4F16-867C-2C33E89AA0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9AD44DF7-B870-4FDD-B705-4160547D7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6242AD9F-F7CF-4F14-947E-ED8F3BB3E3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86E85C7-0D6A-4235-A17B-9FAA355535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3BB242D-DD09-497A-A0F4-2809A8636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516CB8CF-77A5-47C6-9269-47C2F5E28E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BC12CFC-25A4-457F-A2DB-DCB0F1F2F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60137BC-A075-4468-9524-074F8734A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8B4A9E6-8700-40DF-841F-E547E7DEC0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3415FD61-9D85-44FA-8E88-588787945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63A8075-8089-4E24-8A5C-D3F4CED856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F2F4C5B-AAFF-4F6B-B85C-A2D9D71EB4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4D416885-A1CC-467C-B130-4C595AD12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7D4C456-19EB-4F27-AD23-CC3B081D15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C5A0EFAE-889C-414A-AF1E-F34F178C0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C89088F9-FC06-484B-ACD6-C773B7BB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006A833-64A9-44B1-8CC6-0210C306A0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9990492-4DFA-4C67-BBC8-3EB16525F2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CF73E656-A535-4366-A24A-06D371CAE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20FD00E5-27E1-46DD-92E3-4721F80F45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AA858AAD-74EE-434C-BB27-45F49EA579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4E4120AC-BD82-4E96-93D5-34BE4D9857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BDA9DAC-5164-4CEE-B27B-A758ED7AF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A5742A1-6A77-4189-93EE-CF5CD773F9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577C22C3-2E94-4E95-BE1E-9109F7931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44FCA02-839E-4A80-BE1A-55D6F93B52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97EF27FD-BD2F-4B41-A685-0796D7EA86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E06EDF4A-C7D5-495A-AFD2-1E79A178B0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R5:R9</xm:sqref>
        </x14:conditionalFormatting>
        <x14:conditionalFormatting xmlns:xm="http://schemas.microsoft.com/office/excel/2006/main">
          <x14:cfRule type="dataBar" id="{4CC22959-08C3-4973-BDD6-D42AB0BF8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8E91821D-5FDF-4569-AE46-BDF2678DF6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41FDC766-0BD2-4614-B3CA-0DECD1F44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88B0BDB-5EC9-474A-B22B-9FFB25D39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B797694-F01B-4AD7-9561-93F7C5AF05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R17:R22</xm:sqref>
        </x14:conditionalFormatting>
        <x14:conditionalFormatting xmlns:xm="http://schemas.microsoft.com/office/excel/2006/main">
          <x14:cfRule type="dataBar" id="{59F087B5-98F4-4818-BBBC-CE24A32DA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D20A8F0-20F2-421F-AD46-DDA86B634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2F012DC-0B1B-4EDE-8F13-BFCE6E6920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BAAA3977-E712-4AC4-B631-4243614D56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AA242A75-A84C-4BCC-839E-B753AF9248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9855179-47B9-4C17-BF41-961E74908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923D250-A661-4411-9CFD-D2463DDFC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E476D9D-D0F9-41B0-994D-54D3482FEB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0D395F8-1160-4354-A096-D9DDD494D3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B794AD5C-97BF-41C2-B1B1-774A2E642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6AFF3E6C-1A9D-429C-9685-982EBCB95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95DDE5A-E0FE-4C3C-A1EB-87A8745D09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56546D8-F6A8-4715-90BB-73D0C7BD7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479B1D0-853F-4EAA-8ADB-12EC5ABA77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C93A436F-3731-4811-8655-7B0767DF0E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07883D0-7506-49F3-86E0-AA732B1CE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39700423-08B8-4029-AD24-07FEFD3E3D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BB31C948-DCB9-49BE-8DBC-93C4ACF79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07A1D3C-386E-46AE-8348-FF4E4EA5D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837D2FA-15B2-48E9-88AD-8D5E5934C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7AD9CEC4-0266-4A04-878B-988050185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1F9CD6E-5D29-4701-BEDB-5BE216E3D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0FC73FB-B5FC-4E0C-9048-96983CED25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25AE52C-98C6-4893-AA76-C66BFFCA5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FB7C34C-34A6-434E-BBB1-0E8950A06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6309951-440D-4E00-872B-9C602D9676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A5C5F0B5-94C8-4D90-8298-0077FC06C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D1BF0CF0-7360-4C60-8B95-4162A6F6A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8A01AA04-2275-45F5-8F7E-CD9AE28B40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262095ED-D75C-4BAE-8AE1-3F422BD50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93470B0-A586-4FC3-976D-1748B86F4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450920B-8AF0-4F73-9F9B-B37E8D1B0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B03506C3-1D15-47C7-9779-036CEA789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9FACAB7-A26E-4285-9507-2A0B5685FA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F8C8927-5D54-4585-BAC7-5CC8F72997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FBD6144A-4093-4282-A1FD-3A5F7A879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B02D5532-3B50-46BB-B740-69DF2EF5F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4501168C-D643-41E3-BCED-BFED118087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DB0443B7-DEF0-492D-867C-0DCD66644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EDA4681-BE1F-4424-9F06-86D061FDDF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BF475B7-2796-460C-8CB0-275F7292D0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5D3662F5-4C9E-46B4-AB5C-F43A1C042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323F1843-99F0-46BE-A4B6-9FDAF2217F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110A23B7-27CF-4C2F-85D0-2385B9563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80649800-E4E1-4286-8C4E-6DC6A2A8EA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55A84797-806E-4FFD-AC6E-572C499340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E611EC1B-FD20-4BDF-B922-5DEC2757B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CD17BE6-2EB8-48EC-A3E9-96BAD67A4A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19ED627-C68A-4414-8F7C-EF3B95872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DA38B00-E4FE-4E3F-BC36-FD6308BC6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5223E0C9-A777-4D53-BAC7-ADB1F6E850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00BBE290-D4D9-43E3-A602-5A3775FA3A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7E88B6DF-2ACE-4330-BD69-21F371C5A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BF8A0D13-949B-4253-9C06-9B01D2046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C7DCAADC-3A60-4A69-9867-0750B105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C5F1176E-5D89-4CC6-B213-4F0B3FE752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27B5293-8DEC-4419-9981-8933A443A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97D74B9F-2B56-4C55-A9D2-93CA58628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77279C4-5A56-48C1-92BC-1C62E1832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21F86F9-369A-40AC-AD92-920B9CCAA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CCFE306B-A18D-4739-8E9C-233B4A904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BFA4D9A-F425-40E5-A9BD-1CB19B815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80E0AEE-AB58-421F-9B4B-5F6E0B38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02950BB-A0B5-428E-AAAE-C343F009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351E97B3-C9D0-43EE-A68C-172FA7164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5703F48-B800-4326-BE2A-C194AEFD1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5B01065A-B17E-445E-B721-B02A41DE7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724C03B-D650-4F32-B008-660AEB0B5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89AE34E-A9D9-4D7A-A086-3ABC9DFA1B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A18B4EC-8AE8-47EE-8E24-2101D5AD89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0683A5C-C0E9-4B35-A548-D99D5BB22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906F7F4C-8D55-4C10-BA59-CEEFFB2E5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0AB90819-D651-48B9-BA58-2D422731D1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33E0DAE-B930-41D2-96DA-29E7F7C7F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544FFFF-7494-42E2-8421-4FD18AFA0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E556557F-D32A-489C-A5BE-5A2BB3BA9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4F753BF7-7A67-4E54-99B1-8196212CD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8A4001C4-7C6D-4493-972F-918945A94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7EA08149-1B6E-45E3-9876-C225F80FA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6D935B02-6952-45FF-B1D1-E44D667BF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6AD5D93-4949-4F18-85A2-18E3CB4FC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FA87A9B5-EF7E-4B87-BBFB-A3C6B69EF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495B67BD-D5EC-4B74-970A-C1E49B2FBA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9DC75C8B-B0AE-4B69-8630-C419E2F2F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7495982B-C272-4EF5-BE7E-04B25B86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4463053-770A-4F5B-9F16-50DEA7FBD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A1FEF7E-B8BB-433C-A716-35C56BF85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57895587-E867-4DAF-9E12-BC91DB396E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2C8B7F1-354B-47DB-BBA4-E66B03A7FB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95AFAA2-DF73-4E00-8564-08E7533596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BCC61E0-587B-4387-9032-8116242AF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1327545-D51E-422E-AE69-920BED760D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BC03B81-B29D-4C43-B10B-7D6B877CEE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CD7743EE-C8B7-482D-8A9E-A7850AC4BC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F2660763-0E3B-476C-820F-2FEC8CD194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5BE0E55C-EBAD-4F84-A5DA-CF51FE968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5883AA9A-0010-4FDD-96A8-25CA0B7C2E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CA25EC9C-929E-4F37-B932-C565CA666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CE63A76F-9963-49F5-B00D-05959068A7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A1F9E06F-0D78-465A-A2AD-1CA89B38BC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B4FE8A6-E3F7-4544-92B1-B3055F507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CD0E5E4B-BEFB-4FD6-8823-CD9A8E0AD3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0FDC29D7-C033-46E1-89E5-9F03291957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ABB968E0-0453-466D-807E-23B3866E3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7D39EBF5-5829-4F46-800A-D31967D02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FA5180-900F-4A80-8EB3-0AAAA6F08D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D5A5808E-B8F2-4C1B-BB6C-D1A7B180BF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E6A0E7A1-D781-4B72-9C57-9E4275AE52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F8AD408-5DCB-4C13-9ECB-4D2985CE44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C8AA358-ACBE-48AA-82BC-B85EB4DF7C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59BE79C7-1F9B-4570-A6A2-0CD1446C18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3BC4DC3-1606-4D40-9C1C-CCCEC7BA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0A29742-6DC0-4276-94FE-3296137233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3E51BA74-AC23-427C-B187-635EE83C43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4164F56C-BBD0-470E-A505-69C0DF9B4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1B852E2-04CA-4D33-8AAE-E740D1136E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56DBD06A-BEE6-42E4-9E90-1D3C965875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7F2AF5AF-986B-4BAD-86E5-27C025FED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821F148-BF11-4763-A2F8-34CD825651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134509C-3539-416F-825E-BB5ED47B8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FADCFA8-0A7A-4C19-9FD0-CDC6FF0A08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5CF701A0-0F24-4A5E-BA26-22531982E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C4E8D64-C953-4491-88C7-16BD3C42A3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6FE658-DC92-4955-AA4F-DFE828F58E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19FE1C08-B804-4E34-A537-3868CA56A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BF3BAA5-6235-4DE3-8D68-EF8CD372F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719AF0CA-F4DD-4244-B5D8-5B0033BD44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8B8AEB84-1C3C-475C-9DC1-AA3BA1EFC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4010C52-FE62-4766-80BA-60DFA3E67A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9276610A-BE0C-4CE8-A486-8238CDEF93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ECD9E68E-EC1F-4EB5-B1A4-08816F56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12F60434-54E3-451F-923D-C4F31688C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3EE56DE4-3C20-459B-AB73-69FF66D54A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17F01658-EF53-4199-9A9B-E16AC52EA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B814285C-0925-48EE-9006-AC715AF76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02FAD862-6076-4D68-91D5-B740B21BF5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0A5AD204-838E-4DA4-872E-733693E915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9A6154E-DDF4-4211-BED2-824D0A69A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FC29DAD-9EC4-4E8D-BD81-05CA263BD5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2587EA2A-B397-4E9F-B8B3-77B21EFF9E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83AD22E3-F158-4E79-BD76-6E7CB8D8F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90BB0D8A-9497-4EDA-85FB-C18BA44954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211F5961-43B0-49DD-829A-F6820A85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4B26B3CA-2E4B-4F84-A5FF-D78B27DD4A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477C65F2-91BF-49D8-B9F2-1017621CF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4ECD725-DBD1-4DA4-BCC6-6BA0A5D6C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5CB7C446-5E05-481E-A3FB-37815E8E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D434449E-1934-4059-83EE-42F7D8D5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741335EF-610A-4579-B748-47F54559C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E72E21B-9487-4C88-A20D-E7A69ACE3B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91FA1224-5207-4A1A-9B19-AC221E2125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86D80E7C-8850-40B6-A3A6-FBE6579B8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1D880C41-CE34-438F-A5A0-FC6F532A2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A08FC78-B6C5-4234-802A-78CC84E20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0AA15B0D-ADA2-4B38-8964-7A69DE5AC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1093773-0DDB-4F62-9D02-A220C45E0B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FCD4E1B-92AA-4D3A-AA36-8B9F045B3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8FAEE1E2-A6E3-4F62-9BC8-8D0ED88709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4576C6BC-2523-4E65-8652-AF1B0298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S5:S9</xm:sqref>
        </x14:conditionalFormatting>
        <x14:conditionalFormatting xmlns:xm="http://schemas.microsoft.com/office/excel/2006/main">
          <x14:cfRule type="dataBar" id="{B49C897C-0184-4C32-B8DB-5BBD43410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56B12A13-FAFC-42E5-96B1-E4F32CFD1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8DDD143C-08B7-4A99-B77D-2B07BAC60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BB3D2C1-E232-4534-9F89-BBAA07622F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4E54B26F-1E7C-4301-AB68-8F1966CFFB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BE9FE3DA-384C-4209-9417-50FFE50FAA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6DC62C2-E96B-4DDF-865E-4A24FD7EB7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S17:S22</xm:sqref>
        </x14:conditionalFormatting>
        <x14:conditionalFormatting xmlns:xm="http://schemas.microsoft.com/office/excel/2006/main">
          <x14:cfRule type="dataBar" id="{2FBEC96F-56F6-4203-93B0-50ACF5D13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E161571-0277-4CE3-8974-90013A387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9F9618A7-D980-4BA2-AA40-128CDC3EF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2117B39-D09B-47F1-99DB-2D24BB937C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17041454-43EE-42B4-B866-3C027652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DA3FEFE8-FFEE-45AA-864D-7E4213F6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95706907-F1B2-4FB1-8FAB-D034F6D534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73D76ED-B345-47E9-B931-A7DC81434A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F4EAB788-6864-46A0-81F1-D5C2A3556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EF470843-4354-4EF0-9F1D-6947BC09A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8E4E04F-A90F-4776-ACA5-FE78DC84AD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CBD54C71-04DB-4B4A-A1F8-02724885B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121D63B5-975A-4F4D-923A-64B0CED2DE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CAF9072-DEDD-43B0-91F9-B3EBE6EF19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BB31FA1-1326-42C0-AC64-BB80A6BA4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208C45BE-8A9E-4D52-8D91-651157D813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9626F262-2348-4C7D-8B0D-5D2366970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8D46711E-B85F-4DDF-B540-D5DC483355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53615178-4933-4A71-9160-300D2D9434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82EE4A88-A5D9-4C8F-B621-BA55C742C0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Z4:Z7</xm:sqref>
        </x14:conditionalFormatting>
        <x14:conditionalFormatting xmlns:xm="http://schemas.microsoft.com/office/excel/2006/main">
          <x14:cfRule type="dataBar" id="{269094D9-7F77-4EA9-8DD0-574A5FE5A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4C61BD0-30CF-40C0-BE71-168F817407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3DA2723-06A2-4A1B-83AC-C511073741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8F3096CA-2E81-4207-8861-F31FBA90E9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574630FC-FFA1-490E-8DED-21F5F0516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4A5E7E4-7C18-43B1-AD8E-FE46A0F8F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B248CBA1-481D-464D-A20D-5A0EF716C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C18E4FC-2A6A-4D71-BA5F-05B5B2B7EC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D799A27-F5F7-466A-8F65-85A2772F01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534883F0-88D0-4765-B599-C3D3EE299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7E7FBDD-00EF-4D03-8BC1-64FDEB967D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212CDFBC-6F90-410D-AABA-8D9EE99846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07472F70-9B79-4D05-A5E5-F53BF00813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01E28B-7AFE-4387-ADE4-8D989C189E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64879C7-2D3C-4920-908B-0A3A814CA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8AEF2CF-B336-4130-B325-983E25D49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4496BAC3-FD7C-42D7-8CAD-012B49B9DE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666A202B-D658-4FFA-B6A5-C4872E2161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E975ED33-3204-4AE5-BAAF-2180F83B01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507A7018-9EC1-4334-B9F7-6FD8B9315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963EA961-2F42-4228-9D13-5D0A4C0B2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9B5CCE4-E054-4306-939B-8ADAB3B9EC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A053E8CE-6BD5-4A75-8DD1-E55167C0D0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D557079-52AB-4774-A508-5A87BD80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11C783D-35F9-40F1-9A56-8E1B8C846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B1914AD0-0099-4AE7-9F34-22ECB5C32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20F8780A-FFDE-40AF-B857-24074B9A95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B0E74C73-30CF-40A6-B35C-1CB1F7D5C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DF3DF12-BF4C-414F-8264-B98B8FD9C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31A3404-7F9E-4B44-AAE4-8F216889F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8EB4F28E-0C23-4CF8-9EFE-C9AA21C565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1441B4-3EE6-47A6-B38C-CBEF169D6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F969CECD-2378-4036-B3CB-98FF63364D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9FB86CB-CDD5-4AEC-AEA4-E478DA1956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5C9A66B3-1D54-44F2-9A75-AA0206FE3A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2B3BEF66-89CC-45E5-8DDF-6C7360F82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63201837-D4EB-415A-A4F7-F48A109AB6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1B0B8E9A-1280-4810-B68F-B06F006A0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5C2DF0CC-F6BE-4C11-B52A-030E96E6C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FD35AA5B-D8DB-4044-A3E8-8C24B4E93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B84B03D-21BA-4456-97C6-10EEBC707C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398DFFA-549A-40E2-BAB2-D9523A97D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6B5D6B4-0F37-4752-B861-E52584D5B0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EE3DDE9E-E6F6-4D4A-8735-661917FB5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1677AD-5657-496C-9834-A60A4A3D22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2C223763-E0A1-41FB-BD1E-CF28964B1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3DAC7A-DF01-456C-A659-51252189AD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DA1D784-D29A-4F0F-BDE0-7887139F0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65A804F5-5070-49D2-B07D-1F2CA71231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176F70E-C3B4-4239-8FF5-DD6EAFEAC1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CE19B8CD-E76A-4A30-80AD-89843D3A0A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FCC1E20A-F2F9-4A66-A766-C60F2D596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9D481DF5-64D9-4712-9437-9E4B9992B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78C7BD2-4B8A-4101-A16E-8628B0B843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6CCF0FB-C7F8-444F-AA21-6180E448B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3D1E9FBC-98A4-458D-A2A9-A680A6E33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505D3206-FE75-4B8C-942B-6B5CE98263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88FBB9A-6CF1-49F0-8003-6338E313C7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F0919C2D-FF03-41DE-944D-BD1F6DA4E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8C03DFA2-59B2-4F0F-8DE4-BC198D53B5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A881543-47B6-408D-A867-A94F0DD92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B04FE60-7E6F-496B-A725-CAA224A936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2A920AB8-3391-4049-8C79-232F6091D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FB2D7F6-A816-4238-B7C5-42194E8203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84F43C5-ACA2-4281-AE8E-8498F0500D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35DB46B1-236D-4141-A5CB-31259F625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22E1A20-680D-42E9-8A9E-A799347780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2AB06D-F0CD-46CF-90A7-8C453D950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2FF44FF7-6005-4654-8EE5-1C5BCE0530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49173A1-78D2-460C-94E3-27DB0C99C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756205FE-265E-4A5A-A99D-76A63B9C08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3828A81-0D88-46F2-B15D-0B6470578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CCA2CB99-023D-49BE-B327-95EBB0AB30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E612F8A-B26F-42C0-A06E-98C670774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F878C32F-1CB1-4033-83B6-C3032CA561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2086C6D4-2059-402B-9F7A-42DCC0C96E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2CF2AF00-EBA1-482E-BDDC-C64BF422E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7631DD37-56F7-479C-887B-5F6433B20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AA4:AA7</xm:sqref>
        </x14:conditionalFormatting>
        <x14:conditionalFormatting xmlns:xm="http://schemas.microsoft.com/office/excel/2006/main">
          <x14:cfRule type="dataBar" id="{3E327903-81FF-41EC-8DA4-445F708F84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4B1A9DE3-100F-4D1E-AA1C-8D55D526D5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E9BBA194-B758-4BFC-8E9D-65AF665DA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81A7C7C-339B-4CBC-9D64-6C345EA12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BE6BD95-4E26-4409-9D9F-27D2F309B7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9D1ACEB-6082-4B8C-B466-83FE5CCE0F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DED81AB0-97B9-4396-826E-D5ED1653F9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9FE991E4-978F-47BE-AAF2-2DF0BC611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3C1EFA8-A2D7-4EE5-9483-CEDCAF4450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12F37EB8-A012-44C3-955D-EAEF03B4C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BBC3F69-3415-4DBB-9829-DF76CBF1CF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82F2F516-4B72-4AD5-B558-E99B3123C3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F84A5CC4-2CAD-4A4D-BC95-6064149125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29363603-1045-48EE-96E7-9FFEF8D743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5F6D35F9-B66E-4605-AECF-CA65A7CA8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A84BFA8-0C48-462E-B80C-04DB53EBF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5BD436B-CEE5-4B5D-A0CB-8494EAA95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BED9BD4B-319C-44E8-8FC9-C27778CF74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6275DBB8-A6DB-4509-8004-425EF9C42C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2F75CA27-0C1E-49CF-B2F4-A8CB2906DC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EFC39A18-CBC0-446F-84FA-3CD619F1A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D33A664-3741-459B-AF50-E252986348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E306DDC1-D197-490C-91ED-373C3F5DFE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5B661B87-9064-47D9-8DFE-0F1D3C5EBD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C415A9-FA93-4DCC-B32B-46E841478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891EE4D8-0920-4183-B3BC-77580D426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FE89766-E829-43AC-A657-586CA17DC4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1D20E878-2184-459B-95C5-4F2DFB6CE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C9C1A0A3-09F9-402E-9746-544BF9D38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709BF23-FABA-49D6-8C0E-57A0C0C3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1FCD7E1A-448A-4AA8-A358-114CD6D7CE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9FAC0C20-FCF6-4D46-95CF-8F83BB9369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4370D751-31FC-4F5B-A59F-2705D4963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B71D70B-F409-4FFF-9C31-C44D0F8F0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77BFB6A-8D93-4B69-8A86-FD2F0C07BF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547ADC66-5838-479D-BFD7-10D5B713E6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15054F75-1836-4CDC-905E-629159740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CF5FC92-E5C4-4E4C-85B1-28C31A95E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D1434B79-B530-4A6B-81AE-35FF3CD480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2142C22A-51E6-4D04-A3D9-432153ED6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AF43678-61DB-4860-90C4-0CF1C8F3E5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</xm:sqref>
        </x14:conditionalFormatting>
        <x14:conditionalFormatting xmlns:xm="http://schemas.microsoft.com/office/excel/2006/main">
          <x14:cfRule type="dataBar" id="{6D26FF2B-15D6-4E75-AC94-7080BDEF26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ABDD48E9-F567-41CE-99DA-EF3B8C33DA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</xm:sqref>
        </x14:conditionalFormatting>
        <x14:conditionalFormatting xmlns:xm="http://schemas.microsoft.com/office/excel/2006/main">
          <x14:cfRule type="dataBar" id="{D1DEC144-3048-4653-99DE-9C20702170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</xm:sqref>
        </x14:conditionalFormatting>
        <x14:conditionalFormatting xmlns:xm="http://schemas.microsoft.com/office/excel/2006/main">
          <x14:cfRule type="dataBar" id="{FBF8AF75-D425-4B34-929A-43F4AAB5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</xm:sqref>
        </x14:conditionalFormatting>
        <x14:conditionalFormatting xmlns:xm="http://schemas.microsoft.com/office/excel/2006/main">
          <x14:cfRule type="dataBar" id="{A73725EA-7F62-411A-88F7-641967237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Z4:Z5</xm:sqref>
        </x14:conditionalFormatting>
        <x14:conditionalFormatting xmlns:xm="http://schemas.microsoft.com/office/excel/2006/main">
          <x14:cfRule type="dataBar" id="{AF9C52A9-5D11-4462-893A-4D834B516B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AA4:AA5</xm:sqref>
        </x14:conditionalFormatting>
        <x14:conditionalFormatting xmlns:xm="http://schemas.microsoft.com/office/excel/2006/main">
          <x14:cfRule type="dataBar" id="{04027D97-7CC4-4879-8D5F-2745D31A7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3A5FE68-76E5-4782-8CAF-83120F4E6C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C49A7DFF-3181-4485-90A1-1DCEDFF462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8D5FECA-2B56-4C6D-B890-871267A26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BB94E4A-9F99-4028-9003-6BC5041381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BBE10FBB-D13F-49B5-9B07-E8586A144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DFA5481-A49B-4DF9-A939-01BB9CE63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D48094FA-1EFA-4537-AAC7-3C4BAC2FF3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F4FC2934-508E-47B2-93F0-B241C8DC6D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0EE0AA0F-3300-4142-A13D-3B1E4F2AA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F919141-EC70-4144-8C39-014516512E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71089E97-F380-4B0D-8D16-21A48E70F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E050D0F-5F09-4E9D-B8B5-DE6012AF67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478B79A0-409F-4E19-8250-46E6210F9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67ADB41-89F9-43F5-BA86-628D91083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214E80FA-8E76-49AA-A6FB-E21F0F2FB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E03F3604-C311-427B-ABCB-C610811EED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9F1D19A0-90AB-44E8-8C83-A032AC67F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7F96C67-B28B-431F-8922-78FAECF93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C513612-A085-4B70-AA65-F5B12BA34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C2F50B71-EF94-4F0F-A8E1-4130B1CAC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CE5F47D2-822F-4BAD-87B1-D5B3CB4238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8733A4EA-F453-42A0-8425-A8960B8E4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A60237B0-4391-4FEB-B9FA-785089C7E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3B95ABC0-DAD5-4805-8176-2969D5E0B6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547ED7-4F97-4E9F-8393-2D9484168B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EBF59966-D615-4291-BD5A-79A2E91BB8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CFB341C0-C343-4DF0-BB9B-1E652B68B1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8AAFA051-F869-455D-BE3C-1A1B0AEB6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D51E6AB3-E2C9-4196-A768-39C23BF991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6B4F1E4-A1DA-4507-A21E-98F788228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EFD7405-0DF0-4F6F-B1B9-5BC6DE8A5F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AEA661E5-7559-4719-9615-BCDD15F684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38E1CE3-309C-4A48-B18B-B2CDE6927E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E75BC5E8-C802-4821-8DE2-37200A08BB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308A85D-57D2-4D55-92DE-3E6BEADA89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A7439A2-2612-44CC-81A0-628B6ED47B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E927E1C-68ED-4792-AA36-41A03A6B63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D70082D8-604E-45D1-8ACE-50F7349015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981DE88D-BF6D-4304-BE45-DE917315BF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71A7F798-FAA9-4810-B19A-AFC3FBB1FB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2510F67C-687E-4760-AC67-E26A9A48ED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Z17:Z20</xm:sqref>
        </x14:conditionalFormatting>
        <x14:conditionalFormatting xmlns:xm="http://schemas.microsoft.com/office/excel/2006/main">
          <x14:cfRule type="dataBar" id="{D2E74219-3F56-4D25-B70A-2EE99B6F5D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1CFC740-F126-41CB-8607-AE7CD1594B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1FDF3355-B03E-46BE-9A8F-A0043F751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E50D149-BD5B-4B52-B3D7-0A9870226E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5C72A89-59AB-4E61-B7EE-0ABE0C03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36B619D-C244-4A29-9B5A-15CCE9A151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DD67837-275B-4DF0-B2E0-60329D5D45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669BD70D-4557-456A-A15D-CB959BC531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A3BD75F-47C1-445E-9FE8-B998A56A49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E0D2BC0A-D678-4CDF-BE0D-021427EC6B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5446B50-C64F-404A-82D6-88FA5DB465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23DBE93-283B-4FA2-9AEA-B9F6AB46C8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0ED2D17C-5FC7-4152-95DD-05A8796440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82C96469-13AA-471D-AA9F-3F83F77F17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A279C7CE-8C87-4445-9263-98B983994D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14FF258-AEC7-4F94-A1F1-B173CF9C74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DD7F4DA-1FC2-414D-B202-A3F2D0D5F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8D9A3D84-DACE-4A63-B58C-3DCFFF0160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749011E7-FFB4-495E-A962-181A603A0B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C297636-02E9-48C9-A173-007BE95F8A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98D26190-C94A-452F-8040-D28147AD12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950EC9CB-2503-4357-B671-54E13925D1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07230F87-17A9-42BC-BA10-CFF2FB3CB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F20B56C-6402-4946-8964-7148482E20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C5CA3B6C-567C-42D3-A202-5E2A369090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912E0AED-ED2C-4F0C-B7EA-9D36FA3EB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63FBF73E-80D0-4951-BE0B-EEB5924FF7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198AAC27-9C23-49E3-B400-D92EFD18D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FE45B73-9183-4357-8FB8-9B0CC457E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A0E36644-E63F-415A-BBB2-8DF8A5189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9DF6E9F-C78E-474F-BD22-51BB5DD931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DF1B718-B04B-4AD7-9760-E652397222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E10B54CB-E79F-44A8-A9CF-5F3F2228CE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0B744D12-0EE0-4F49-94EF-152ABE8FF4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8616F4C5-DED1-405B-AD43-4DB56874F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325D1F5B-C91D-4095-B169-E1A83A418C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94ACB642-7AA8-4F00-A351-552AC296BA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CB3B09CF-603F-4C6C-A1B8-5BD79A7E2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33015DA6-287E-4E6B-9191-B70F64B89C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A9AC8657-5E8D-46D3-BBFB-4485DB74B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EEFA5D1-441C-4E35-A8C4-3D50E3E317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14850080-4BDC-48AA-8985-1ADBAD6DDC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64B2F724-7C28-4EB7-B8C0-B3726D804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F5559348-B5E2-4233-913C-D5ACA56AFA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193B35D6-A863-4A74-ABC2-1FBA473D1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13D9CC70-28B5-4FD6-B007-64217AC2FA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0CB93D32-77F0-4CA6-BAFE-12CBDDF258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0BBF0F48-E648-4722-A11E-8E8CF6531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A73F8B85-7840-4A03-A922-5597ADF480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3890CADD-2B2A-4460-B4AE-3AFAE69B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6DA81AC2-16FF-4DDF-A6E6-17C02317A0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49426EA5-86CC-479F-ABF5-70B0FCC009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07B050E9-D3B1-43A5-8CB9-34D9F9A31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E814BB2E-7AF8-46B6-BDB1-2522E958D5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7C1A1F27-4D71-429E-85AD-3077BD1EF8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219ACB3B-D3F8-463A-8EC1-82E66EA765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A73D5706-E196-4DD1-A74C-55F11B6B03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8A9B4FD2-933D-4B1C-BACF-218DD811FF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BAFACEBF-087F-463F-B918-B763B51754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35669365-EBFE-4CBC-833C-3D94120A3F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AC7F030D-80ED-4B67-9420-6A4B772FA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239F215-865F-4A92-B5B4-9DF4B6CFD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15050A0D-C96C-435E-B5D6-265BFE2E20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82847788-FD8F-4DF7-9D08-53B4F8DDF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BE0788ED-078A-46E0-81A6-28867CFFAE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3D0D1AFB-0D9B-41B9-A888-C4C12F6FE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0733DF74-D02B-4F1E-9209-1CEAA395E5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068CEE4-1FC8-4EEA-9304-0F3A5CAD1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139E6C8-12D6-4DFE-B7B6-27B8DFD9DE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E500295E-3C37-44D5-89C2-CF2D82A76C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FDBEECD9-A3C1-4BE6-A894-2C10FF6CF9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253702C7-58ED-4E08-BB23-A7105BC54A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2D1D2956-426F-4313-815C-25ED8B9664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F8CF13F2-2E4E-47CB-A5C2-88EE5BBF8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4A2DA9C0-BCAA-4B56-B663-F76CE97FE9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588D2A42-5AD5-429C-B159-32FFB5900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098CE756-C66B-45A6-A430-9F7CF721F9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4BBD4D0B-CDAE-4CAE-B0EA-46B8069A7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AA17:AA20</xm:sqref>
        </x14:conditionalFormatting>
        <x14:conditionalFormatting xmlns:xm="http://schemas.microsoft.com/office/excel/2006/main">
          <x14:cfRule type="dataBar" id="{63C10415-5619-4E19-B7C9-800B3C4453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FC266CEF-E825-4C6B-8BCB-D9A50572FC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55EB43F8-160D-49BE-B5AF-A03F713BA1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AEE386D-F16B-4D39-B83A-803D6CBA5D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8D8D492-A9AF-48D8-8D7E-021C9B627F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31E2C5A1-7429-4965-ACD7-3F9E8B1AD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D04493BD-3B71-432C-A0C7-5E89B94AD2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F2FAAE93-C286-4D08-8576-28B8181C85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DD3A16B4-BBA6-420B-A1ED-B292205731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01D6C08-EF63-4224-A76A-17D1B9FEE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25EEFD2-F38F-4A89-AC51-C448F56A3E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FA87EFE5-C53B-4AE2-8A91-49366E7FB2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22D495EA-3BD4-460E-9FC0-0CB37BBC6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774D7B9D-ACC3-4B1F-985A-0DFADC157E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E5813140-D700-49F3-8478-03F8D1A222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E745366B-E0AA-4A7B-899B-FDBB5A56DB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5C335D3-5CD4-4A5D-9BD6-BCDA6DDE55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BA5C17D-5630-43CF-A6F8-96DCEB844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CB6C3F4-2F74-4D91-BF79-D966E6E55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C2C7CD-381E-4D87-93BB-C2A2E5AF20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1392E6E8-C67A-456D-B04F-FF3F6B07E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F2FB41D7-70FC-4AFD-8A18-71D5045940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0492B2E4-0C79-4E4A-B252-9229F0408F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A5B19601-861B-4870-95F7-D357C1295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160D49BF-1C42-4D5F-ACAD-D0367A3330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69D67857-2FE6-4C93-8BF0-9145CBC9D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3FA91F9E-95FC-4E97-9A4A-81D5B92B95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911F1311-8D00-4883-BD4E-AB8512F174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BA617C7A-DED2-4552-BF8E-BDECCE47C0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2B47E2D-E42B-4E58-9CF0-0CA906E10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5FE2433-F2E3-48D8-9A7D-5CFF832DC8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14CEC591-5E27-4716-AD3F-94018B8017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C584219B-DBD3-4DF2-894A-D3F31A22F1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FF267556-189C-4100-8B3F-77C68890AC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91F53DB3-B21D-4EAC-882D-5BD8A43DFA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349A8F47-CC8E-4AD7-92A2-FCD91F057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1DEC7DA8-84E4-4756-84D4-5107D65C0B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A408C6C3-8971-4D40-9774-30DF65BE7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D3F648C0-52E9-4870-8270-3C4E4CBA3B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A6FEA48C-F5F8-48D9-B29D-85A08201B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D03CDB2A-F06F-458E-8CCF-D316BBA1A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AABB23BC-E21B-4B93-9FA8-4C063C30F7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A008689F-8243-4931-9DAD-1872BC31D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60BDB469-1D4C-4E16-A4D9-3F7116ED6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X17:X18</xm:sqref>
        </x14:conditionalFormatting>
        <x14:conditionalFormatting xmlns:xm="http://schemas.microsoft.com/office/excel/2006/main">
          <x14:cfRule type="dataBar" id="{8860EDE0-880A-4057-BDCD-2F8088D555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Y17:Y18</xm:sqref>
        </x14:conditionalFormatting>
        <x14:conditionalFormatting xmlns:xm="http://schemas.microsoft.com/office/excel/2006/main">
          <x14:cfRule type="dataBar" id="{D3FEBA7D-68EF-4DFE-B6CA-FFBF8D1716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Z17:Z18</xm:sqref>
        </x14:conditionalFormatting>
        <x14:conditionalFormatting xmlns:xm="http://schemas.microsoft.com/office/excel/2006/main">
          <x14:cfRule type="dataBar" id="{CC86B90B-823D-4EAC-AC8E-995DD58C0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AA17:AA18</xm:sqref>
        </x14:conditionalFormatting>
        <x14:conditionalFormatting xmlns:xm="http://schemas.microsoft.com/office/excel/2006/main">
          <x14:cfRule type="dataBar" id="{15C9E00C-241C-44D1-9100-611FEBE602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B3E8D48-7164-4C1B-854C-07200A027E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B01E67C-A05C-44D0-89EE-FD9A5C8A6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D4670A80-DEEA-47A3-B640-C7700F2FBA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23D1DDD8-66C2-486C-8D13-CCBFF9FFE8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98C3DDEE-06EA-42A4-95E6-D0C6037BD2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A9E632E8-C4EC-45C1-B6B1-E506B7A697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91BFA8A0-3D28-48F0-882D-51768A295F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19495EBF-F170-44C5-A4F8-89612B92BC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D8CC121E-9EEE-42BD-B6AE-0291961270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850284F6-8CDD-43E5-948D-ECE6CA5E0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890EE30B-D8A5-4F22-80FE-DDC5799520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734904DF-F826-430F-84E3-22A2193F1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8678A0AD-C0C4-48A0-A36E-2D46CD4B7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673063B9-E2D4-4D11-990B-BA5D95BB1B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36D693D-C2AC-446F-8F98-D0FA2734A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BFF1F4CF-0815-4C62-A54A-D8638889BA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3C75B465-E967-4256-B3F8-25CC000B3F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2354D99D-6375-4F63-8499-0DFB237ADE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A1F48F7-9A33-4645-84A4-D1642AE139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FCB3FC67-3C57-42C4-9676-68C82108AD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D4A9889A-4201-4E14-B707-ACFED12FDF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  <pageSetUpPr fitToPage="1"/>
  </sheetPr>
  <dimension ref="A1:Y104"/>
  <sheetViews>
    <sheetView showGridLines="0" zoomScale="90" zoomScaleNormal="90" workbookViewId="0">
      <pane xSplit="2" topLeftCell="C1" activePane="topRight" state="frozen"/>
      <selection pane="topRight" activeCell="A9" sqref="A9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9.140625" style="9" customWidth="1"/>
    <col min="4" max="4" width="20.7109375" style="9" customWidth="1"/>
    <col min="5" max="5" width="9.85546875" style="9" customWidth="1"/>
    <col min="6" max="6" width="12.85546875" style="9" customWidth="1"/>
    <col min="7" max="7" width="12.42578125" style="9" customWidth="1"/>
    <col min="8" max="8" width="11.85546875" style="9" customWidth="1"/>
    <col min="9" max="9" width="12.140625" style="9" customWidth="1"/>
    <col min="10" max="10" width="10.28515625" style="9" customWidth="1"/>
    <col min="11" max="11" width="14.42578125" style="9" customWidth="1"/>
    <col min="12" max="12" width="12.5703125" style="9" customWidth="1"/>
    <col min="13" max="13" width="16.140625" style="9" customWidth="1"/>
    <col min="14" max="14" width="14" style="9" customWidth="1"/>
    <col min="15" max="15" width="12.5703125" style="9" customWidth="1"/>
    <col min="16" max="16" width="12.140625" style="9" customWidth="1"/>
    <col min="17" max="17" width="12.5703125" style="9" customWidth="1"/>
    <col min="18" max="18" width="13.5703125" style="9" customWidth="1"/>
    <col min="19" max="19" width="12.42578125" style="9" customWidth="1"/>
    <col min="20" max="20" width="13.42578125" style="9" customWidth="1"/>
    <col min="21" max="21" width="18.5703125" style="9" customWidth="1"/>
    <col min="22" max="22" width="11.140625" style="9" customWidth="1"/>
    <col min="23" max="23" width="20.85546875" style="9" customWidth="1"/>
    <col min="24" max="24" width="17.85546875" style="9" customWidth="1"/>
    <col min="25" max="25" width="10.85546875" style="9" customWidth="1"/>
    <col min="26" max="16384" width="9.140625" style="9"/>
  </cols>
  <sheetData>
    <row r="1" spans="1:25" x14ac:dyDescent="0.2">
      <c r="A1" s="308"/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76.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394" t="s">
        <v>128</v>
      </c>
      <c r="W3" s="394" t="s">
        <v>129</v>
      </c>
      <c r="X3" s="619" t="s">
        <v>778</v>
      </c>
      <c r="Y3" s="619" t="s">
        <v>779</v>
      </c>
    </row>
    <row r="4" spans="1:25" s="409" customFormat="1" ht="15" x14ac:dyDescent="0.25">
      <c r="A4" s="409" t="s">
        <v>452</v>
      </c>
      <c r="B4" s="116" t="s">
        <v>205</v>
      </c>
      <c r="C4" s="118" t="s">
        <v>204</v>
      </c>
      <c r="D4" s="119" t="e">
        <f t="shared" ref="D4:D19" ca="1" si="0">Q4/$Q$20</f>
        <v>#NAME?</v>
      </c>
      <c r="E4" s="120">
        <f>$F$101</f>
        <v>22222</v>
      </c>
      <c r="F4" s="181">
        <f>$H$101</f>
        <v>4.4957209999999996</v>
      </c>
      <c r="G4" s="181" t="e">
        <f ca="1">_xll.BDP($C4,"PX_LAST")</f>
        <v>#NAME?</v>
      </c>
      <c r="H4" s="612" t="e">
        <f ca="1">_xll.BDP($C4,"BEST_TARGET_PRICE")</f>
        <v>#NAME?</v>
      </c>
      <c r="I4" s="611" t="e">
        <f t="shared" ref="I4:I14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$P4/$N4-1</f>
        <v>#NAME?</v>
      </c>
      <c r="M4" s="119" t="e">
        <f ca="1">G4/F4-1</f>
        <v>#NAME?</v>
      </c>
      <c r="N4" s="120" t="e">
        <f ca="1">$K$101</f>
        <v>#NAME?</v>
      </c>
      <c r="O4" s="120">
        <f>$E4*$F4</f>
        <v>99903.912061999989</v>
      </c>
      <c r="P4" s="120" t="e">
        <f ca="1">E4*G4*$I$1</f>
        <v>#NAME?</v>
      </c>
      <c r="Q4" s="203" t="e">
        <f t="shared" ref="Q4:Q14" ca="1" si="2">P4/$I$1</f>
        <v>#NAME?</v>
      </c>
      <c r="R4" s="123" t="e">
        <f t="shared" ref="R4:R14" ca="1" si="3">P4-N4</f>
        <v>#NAME?</v>
      </c>
      <c r="S4" s="123" t="e">
        <f t="shared" ref="S4:S14" ca="1" si="4">Q4-O4</f>
        <v>#NAME?</v>
      </c>
      <c r="T4" s="7" t="e">
        <f ca="1">_xll.BDP($C4,"EQY_DVD_YLD_EST")</f>
        <v>#NAME?</v>
      </c>
      <c r="U4" s="438" t="e">
        <f t="shared" ref="U4:U14" ca="1" si="5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406" t="e">
        <f ca="1">_xll.BDP($C4,"DVD_EX_DT")</f>
        <v>#NAME?</v>
      </c>
      <c r="Y4" s="406" t="e">
        <f ca="1">_xll.BDP($C4,"BDVD_NEXT_EST_DECL_DT")</f>
        <v>#NAME?</v>
      </c>
    </row>
    <row r="5" spans="1:25" s="409" customFormat="1" ht="15" x14ac:dyDescent="0.25">
      <c r="A5" s="409" t="s">
        <v>452</v>
      </c>
      <c r="B5" s="116" t="s">
        <v>96</v>
      </c>
      <c r="C5" s="118" t="s">
        <v>184</v>
      </c>
      <c r="D5" s="119" t="e">
        <f t="shared" ca="1" si="0"/>
        <v>#NAME?</v>
      </c>
      <c r="E5" s="120">
        <f>$F$69</f>
        <v>3920</v>
      </c>
      <c r="F5" s="181">
        <f>$H$69</f>
        <v>800</v>
      </c>
      <c r="G5" s="18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$G5/$F5-1</f>
        <v>#NAME?</v>
      </c>
      <c r="M5" s="119" t="e">
        <f ca="1">Q5/O5-1</f>
        <v>#NAME?</v>
      </c>
      <c r="N5" s="120">
        <f>$E5*$F5</f>
        <v>3136000</v>
      </c>
      <c r="O5" s="120" t="e">
        <f ca="1">$J$69</f>
        <v>#NAME?</v>
      </c>
      <c r="P5" s="120" t="e">
        <f ca="1">E5*G5</f>
        <v>#NAME?</v>
      </c>
      <c r="Q5" s="203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7" t="e">
        <f ca="1">_xll.BDP($C5,"EQY_DVD_YLD_EST")</f>
        <v>#NAME?</v>
      </c>
      <c r="U5" s="438" t="e">
        <f t="shared" ca="1" si="5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406" t="e">
        <f ca="1">_xll.BDP($C5,"DVD_EX_DT")</f>
        <v>#NAME?</v>
      </c>
      <c r="Y5" s="406" t="e">
        <f ca="1">_xll.BDP($C5,"BDVD_NEXT_EST_DECL_DT")</f>
        <v>#NAME?</v>
      </c>
    </row>
    <row r="6" spans="1:25" s="409" customFormat="1" ht="15" x14ac:dyDescent="0.25">
      <c r="A6" s="409" t="s">
        <v>452</v>
      </c>
      <c r="B6" s="116" t="s">
        <v>366</v>
      </c>
      <c r="C6" s="118" t="s">
        <v>360</v>
      </c>
      <c r="D6" s="119" t="e">
        <f t="shared" ca="1" si="0"/>
        <v>#NAME?</v>
      </c>
      <c r="E6" s="120">
        <f>$F$90</f>
        <v>6000</v>
      </c>
      <c r="F6" s="181">
        <f>$H$90</f>
        <v>14.314957999999999</v>
      </c>
      <c r="G6" s="18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$P6/$N6-1</f>
        <v>#NAME?</v>
      </c>
      <c r="M6" s="119" t="e">
        <f ca="1">G6/F6-1</f>
        <v>#NAME?</v>
      </c>
      <c r="N6" s="120" t="e">
        <f ca="1">$K$90</f>
        <v>#NAME?</v>
      </c>
      <c r="O6" s="120">
        <f>$E6*$F6</f>
        <v>85889.747999999992</v>
      </c>
      <c r="P6" s="120" t="e">
        <f ca="1">E6*G6*$I$1</f>
        <v>#NAME?</v>
      </c>
      <c r="Q6" s="203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7" t="e">
        <f ca="1">_xll.BDP($C6,"EQY_DVD_YLD_EST")</f>
        <v>#NAME?</v>
      </c>
      <c r="U6" s="438" t="e">
        <f t="shared" ca="1" si="5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406" t="e">
        <f ca="1">_xll.BDP($C6,"DVD_EX_DT")</f>
        <v>#NAME?</v>
      </c>
      <c r="Y6" s="406" t="e">
        <f ca="1">_xll.BDP($C6,"BDVD_NEXT_EST_DECL_DT")</f>
        <v>#NAME?</v>
      </c>
    </row>
    <row r="7" spans="1:25" s="409" customFormat="1" ht="15" x14ac:dyDescent="0.25">
      <c r="A7" s="409" t="s">
        <v>452</v>
      </c>
      <c r="B7" s="116" t="s">
        <v>227</v>
      </c>
      <c r="C7" s="118" t="s">
        <v>226</v>
      </c>
      <c r="D7" s="119" t="e">
        <f t="shared" ca="1" si="0"/>
        <v>#NAME?</v>
      </c>
      <c r="E7" s="120">
        <f>$F$104</f>
        <v>2800</v>
      </c>
      <c r="F7" s="181">
        <f>$H$104</f>
        <v>17.949821</v>
      </c>
      <c r="G7" s="181" t="e">
        <f ca="1">_xll.BDP($C7,"PX_LAST")</f>
        <v>#NAME?</v>
      </c>
      <c r="H7" s="612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$P7/$N7-1</f>
        <v>#NAME?</v>
      </c>
      <c r="M7" s="119" t="e">
        <f ca="1">G7/F7-1</f>
        <v>#NAME?</v>
      </c>
      <c r="N7" s="120" t="e">
        <f ca="1">$K$104</f>
        <v>#NAME?</v>
      </c>
      <c r="O7" s="120">
        <f>$E7*$F7</f>
        <v>50259.498800000001</v>
      </c>
      <c r="P7" s="120" t="e">
        <f ca="1">E7*G7*$I$1</f>
        <v>#NAME?</v>
      </c>
      <c r="Q7" s="203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7" t="e">
        <f ca="1">_xll.BDP($C7,"EQY_DVD_YLD_EST")</f>
        <v>#NAME?</v>
      </c>
      <c r="U7" s="438" t="e">
        <f t="shared" ca="1" si="5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406" t="e">
        <f ca="1">_xll.BDP($C7,"DVD_EX_DT")</f>
        <v>#NAME?</v>
      </c>
      <c r="Y7" s="406" t="e">
        <f ca="1">_xll.BDP($C7,"BDVD_NEXT_EST_DECL_DT")</f>
        <v>#NAME?</v>
      </c>
    </row>
    <row r="8" spans="1:25" s="409" customFormat="1" ht="15" x14ac:dyDescent="0.25">
      <c r="A8" s="409" t="s">
        <v>452</v>
      </c>
      <c r="B8" s="116" t="s">
        <v>96</v>
      </c>
      <c r="C8" s="118" t="s">
        <v>77</v>
      </c>
      <c r="D8" s="119" t="e">
        <f t="shared" ca="1" si="0"/>
        <v>#NAME?</v>
      </c>
      <c r="E8" s="120">
        <f>$F$72</f>
        <v>4000</v>
      </c>
      <c r="F8" s="181">
        <f>$H$72</f>
        <v>12.5</v>
      </c>
      <c r="G8" s="1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$K$72</f>
        <v>#NAME?</v>
      </c>
      <c r="O8" s="120">
        <f>$E8*$F8</f>
        <v>50000</v>
      </c>
      <c r="P8" s="120" t="e">
        <f ca="1">E8*G8*$I$1</f>
        <v>#NAME?</v>
      </c>
      <c r="Q8" s="203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7" t="e">
        <f ca="1">_xll.BDP($C8,"EQY_DVD_YLD_EST")</f>
        <v>#NAME?</v>
      </c>
      <c r="U8" s="438" t="e">
        <f t="shared" ca="1" si="5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406" t="e">
        <f ca="1">_xll.BDP($C8,"DVD_EX_DT")</f>
        <v>#NAME?</v>
      </c>
      <c r="Y8" s="406" t="e">
        <f ca="1">_xll.BDP($C8,"BDVD_NEXT_EST_DECL_DT")</f>
        <v>#NAME?</v>
      </c>
    </row>
    <row r="9" spans="1:25" s="409" customFormat="1" ht="15" x14ac:dyDescent="0.25">
      <c r="A9" s="409" t="s">
        <v>452</v>
      </c>
      <c r="B9" s="116" t="s">
        <v>170</v>
      </c>
      <c r="C9" s="118" t="s">
        <v>169</v>
      </c>
      <c r="D9" s="119" t="e">
        <f t="shared" ca="1" si="0"/>
        <v>#NAME?</v>
      </c>
      <c r="E9" s="120">
        <f>$F$83</f>
        <v>26000</v>
      </c>
      <c r="F9" s="194">
        <f>$H$83</f>
        <v>1.915</v>
      </c>
      <c r="G9" s="18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$P9/$N9-1</f>
        <v>#NAME?</v>
      </c>
      <c r="M9" s="119" t="e">
        <f ca="1">G9/F9-1</f>
        <v>#NAME?</v>
      </c>
      <c r="N9" s="120" t="e">
        <f ca="1">$K$83</f>
        <v>#NAME?</v>
      </c>
      <c r="O9" s="120">
        <f>$E9*$F9</f>
        <v>49790</v>
      </c>
      <c r="P9" s="120" t="e">
        <f ca="1">E9*G9*$I$1</f>
        <v>#NAME?</v>
      </c>
      <c r="Q9" s="203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7" t="e">
        <f ca="1">_xll.BDP($C9,"EQY_DVD_YLD_EST")</f>
        <v>#NAME?</v>
      </c>
      <c r="U9" s="438" t="e">
        <f t="shared" ca="1" si="5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406" t="e">
        <f ca="1">_xll.BDP($C9,"DVD_EX_DT")</f>
        <v>#NAME?</v>
      </c>
      <c r="Y9" s="406" t="e">
        <f ca="1">_xll.BDP($C9,"BDVD_NEXT_EST_DECL_DT")</f>
        <v>#NAME?</v>
      </c>
    </row>
    <row r="10" spans="1:25" s="409" customFormat="1" ht="15" x14ac:dyDescent="0.25">
      <c r="A10" s="409" t="s">
        <v>452</v>
      </c>
      <c r="B10" s="116" t="s">
        <v>196</v>
      </c>
      <c r="C10" s="118" t="s">
        <v>197</v>
      </c>
      <c r="D10" s="119" t="e">
        <f t="shared" ca="1" si="0"/>
        <v>#NAME?</v>
      </c>
      <c r="E10" s="120">
        <f>$F$52</f>
        <v>4800</v>
      </c>
      <c r="F10" s="181">
        <f>$H$52</f>
        <v>8.5094999999999992</v>
      </c>
      <c r="G10" s="181" t="e">
        <f ca="1">_xll.BDP($C10,"PX_LAST")/100</f>
        <v>#NAME?</v>
      </c>
      <c r="H10" s="612" t="e">
        <f ca="1">_xll.BDP($C10,"BEST_TARGET_PRICE")/100</f>
        <v>#NAME?</v>
      </c>
      <c r="I10" s="611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Q10/O10-1</f>
        <v>#NAME?</v>
      </c>
      <c r="N10" s="120" t="e">
        <f ca="1">$K$52</f>
        <v>#NAME?</v>
      </c>
      <c r="O10" s="120" t="e">
        <f ca="1">$J$52</f>
        <v>#NAME?</v>
      </c>
      <c r="P10" s="120" t="e">
        <f ca="1">E10*G10*$I$1*$K$1</f>
        <v>#NAME?</v>
      </c>
      <c r="Q10" s="203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7" t="e">
        <f ca="1">_xll.BDP($C10,"EQY_DVD_YLD_EST")</f>
        <v>#NAME?</v>
      </c>
      <c r="U10" s="438" t="e">
        <f t="shared" ca="1" si="5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406" t="e">
        <f ca="1">_xll.BDP($C10,"DVD_EX_DT")</f>
        <v>#NAME?</v>
      </c>
      <c r="Y10" s="406" t="e">
        <f ca="1">_xll.BDP($C10,"BDVD_NEXT_EST_DECL_DT")</f>
        <v>#NAME?</v>
      </c>
    </row>
    <row r="11" spans="1:25" s="409" customFormat="1" ht="15" x14ac:dyDescent="0.25">
      <c r="A11" s="409" t="s">
        <v>452</v>
      </c>
      <c r="B11" s="116" t="s">
        <v>333</v>
      </c>
      <c r="C11" s="118" t="s">
        <v>332</v>
      </c>
      <c r="D11" s="119" t="e">
        <f t="shared" ca="1" si="0"/>
        <v>#NAME?</v>
      </c>
      <c r="E11" s="120">
        <f>$F$76</f>
        <v>27350</v>
      </c>
      <c r="F11" s="181">
        <f>$H$76</f>
        <v>233.3601462522852</v>
      </c>
      <c r="G11" s="181" t="e">
        <f ca="1">_xll.BDP($C11,"PX_LAST")</f>
        <v>#NAME?</v>
      </c>
      <c r="H11" s="612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$G11/$F11-1</f>
        <v>#NAME?</v>
      </c>
      <c r="M11" s="119" t="e">
        <f ca="1">Q11/O11-1</f>
        <v>#NAME?</v>
      </c>
      <c r="N11" s="120">
        <f>$E11*$F11</f>
        <v>6382400</v>
      </c>
      <c r="O11" s="120" t="e">
        <f ca="1">$J$76</f>
        <v>#NAME?</v>
      </c>
      <c r="P11" s="120" t="e">
        <f ca="1">E11*G11</f>
        <v>#NAME?</v>
      </c>
      <c r="Q11" s="203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7" t="e">
        <f ca="1">_xll.BDP($C11,"EQY_DVD_YLD_EST")</f>
        <v>#NAME?</v>
      </c>
      <c r="U11" s="438" t="e">
        <f t="shared" ca="1" si="5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406" t="e">
        <f ca="1">_xll.BDP($C11,"DVD_EX_DT")</f>
        <v>#NAME?</v>
      </c>
      <c r="Y11" s="406" t="e">
        <f ca="1">_xll.BDP($C11,"BDVD_NEXT_EST_DECL_DT")</f>
        <v>#NAME?</v>
      </c>
    </row>
    <row r="12" spans="1:25" s="409" customFormat="1" ht="15" x14ac:dyDescent="0.25">
      <c r="A12" s="409" t="s">
        <v>452</v>
      </c>
      <c r="B12" s="116" t="s">
        <v>358</v>
      </c>
      <c r="C12" s="118" t="s">
        <v>357</v>
      </c>
      <c r="D12" s="119" t="e">
        <f t="shared" ca="1" si="0"/>
        <v>#NAME?</v>
      </c>
      <c r="E12" s="120">
        <f>$F$86</f>
        <v>3364</v>
      </c>
      <c r="F12" s="181">
        <f>$H$86</f>
        <v>14.875</v>
      </c>
      <c r="G12" s="181" t="e">
        <f ca="1">_xll.BDP($C12,"PX_LAST")</f>
        <v>#NAME?</v>
      </c>
      <c r="H12" s="612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$P12/$N12-1</f>
        <v>#NAME?</v>
      </c>
      <c r="M12" s="119" t="e">
        <f ca="1">G12/F12-1</f>
        <v>#NAME?</v>
      </c>
      <c r="N12" s="120" t="e">
        <f ca="1">$K$86</f>
        <v>#NAME?</v>
      </c>
      <c r="O12" s="120">
        <f>$E12*$F12</f>
        <v>50039.5</v>
      </c>
      <c r="P12" s="120" t="e">
        <f ca="1">E12*G12*$I$1</f>
        <v>#NAME?</v>
      </c>
      <c r="Q12" s="203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7" t="e">
        <f ca="1">_xll.BDP($C12,"EQY_DVD_YLD_EST")</f>
        <v>#NAME?</v>
      </c>
      <c r="U12" s="438" t="e">
        <f t="shared" ca="1" si="5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406" t="e">
        <f ca="1">_xll.BDP($C12,"DVD_EX_DT")</f>
        <v>#NAME?</v>
      </c>
      <c r="Y12" s="406" t="e">
        <f ca="1">_xll.BDP($C12,"BDVD_NEXT_EST_DECL_DT")</f>
        <v>#NAME?</v>
      </c>
    </row>
    <row r="13" spans="1:25" s="409" customFormat="1" ht="15" x14ac:dyDescent="0.25">
      <c r="A13" s="409" t="s">
        <v>452</v>
      </c>
      <c r="B13" s="116" t="s">
        <v>153</v>
      </c>
      <c r="C13" s="118" t="s">
        <v>351</v>
      </c>
      <c r="D13" s="119" t="e">
        <f t="shared" ca="1" si="0"/>
        <v>#NAME?</v>
      </c>
      <c r="E13" s="120">
        <f>$F$56</f>
        <v>22890</v>
      </c>
      <c r="F13" s="181">
        <f>$H$56</f>
        <v>4.3684696570554831</v>
      </c>
      <c r="G13" s="181" t="e">
        <f ca="1">_xll.BDP($C13,"PX_LAST")</f>
        <v>#NAME?</v>
      </c>
      <c r="H13" s="612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$P13/$N13-1</f>
        <v>#NAME?</v>
      </c>
      <c r="M13" s="119" t="e">
        <f ca="1">G13/F13-1</f>
        <v>#NAME?</v>
      </c>
      <c r="N13" s="120" t="e">
        <f ca="1">$K$56</f>
        <v>#NAME?</v>
      </c>
      <c r="O13" s="120">
        <f>$E13*$F13</f>
        <v>99994.270450000011</v>
      </c>
      <c r="P13" s="120" t="e">
        <f ca="1">E13*G13*$I$1</f>
        <v>#NAME?</v>
      </c>
      <c r="Q13" s="203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7" t="e">
        <f ca="1">_xll.BDP($C13,"EQY_DVD_YLD_EST")</f>
        <v>#NAME?</v>
      </c>
      <c r="U13" s="438" t="e">
        <f t="shared" ca="1" si="5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406" t="e">
        <f ca="1">_xll.BDP($C13,"DVD_EX_DT")</f>
        <v>#NAME?</v>
      </c>
      <c r="Y13" s="406" t="e">
        <f ca="1">_xll.BDP($C13,"BDVD_NEXT_EST_DECL_DT")</f>
        <v>#NAME?</v>
      </c>
    </row>
    <row r="14" spans="1:25" s="409" customFormat="1" ht="15" x14ac:dyDescent="0.25">
      <c r="A14" s="409" t="s">
        <v>452</v>
      </c>
      <c r="B14" s="116" t="s">
        <v>293</v>
      </c>
      <c r="C14" s="118" t="s">
        <v>341</v>
      </c>
      <c r="D14" s="119" t="e">
        <f t="shared" ca="1" si="0"/>
        <v>#NAME?</v>
      </c>
      <c r="E14" s="120">
        <f>$F$80</f>
        <v>7304</v>
      </c>
      <c r="F14" s="181">
        <f>$H$80</f>
        <v>11.36987951807229</v>
      </c>
      <c r="G14" s="181" t="e">
        <f ca="1">_xll.BDP($C14,"PX_LAST")</f>
        <v>#NAME?</v>
      </c>
      <c r="H14" s="612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$P14/$N14-1</f>
        <v>#NAME?</v>
      </c>
      <c r="M14" s="119" t="e">
        <f ca="1">G14/F14-1</f>
        <v>#NAME?</v>
      </c>
      <c r="N14" s="120" t="e">
        <f ca="1">$K$80</f>
        <v>#NAME?</v>
      </c>
      <c r="O14" s="120">
        <f>$E14*$F14</f>
        <v>83045.600000000006</v>
      </c>
      <c r="P14" s="120" t="e">
        <f ca="1">E14*G14*$I$1</f>
        <v>#NAME?</v>
      </c>
      <c r="Q14" s="203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7" t="e">
        <f ca="1">_xll.BDP($C14,"EQY_DVD_YLD_EST")</f>
        <v>#NAME?</v>
      </c>
      <c r="U14" s="438" t="e">
        <f t="shared" ca="1" si="5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406" t="e">
        <f ca="1">_xll.BDP($C14,"DVD_EX_DT")</f>
        <v>#NAME?</v>
      </c>
      <c r="Y14" s="406" t="e">
        <f ca="1">_xll.BDP($C14,"BDVD_NEXT_EST_DECL_DT")</f>
        <v>#NAME?</v>
      </c>
    </row>
    <row r="15" spans="1:25" s="440" customFormat="1" x14ac:dyDescent="0.2">
      <c r="A15" s="460" t="s">
        <v>452</v>
      </c>
      <c r="B15" s="467" t="e">
        <f ca="1">_xll.BDP(C15,"SECURITY_NAME")</f>
        <v>#NAME?</v>
      </c>
      <c r="C15" s="440" t="s">
        <v>453</v>
      </c>
      <c r="D15" s="442" t="e">
        <f t="shared" ca="1" si="0"/>
        <v>#NAME?</v>
      </c>
      <c r="E15" s="443">
        <v>800000</v>
      </c>
      <c r="F15" s="468">
        <f>$H$66</f>
        <v>95.75</v>
      </c>
      <c r="G15" s="444" t="e">
        <f ca="1">_xll.BDP(C15,"PX_MID")</f>
        <v>#NAME?</v>
      </c>
      <c r="K15" s="445" t="e">
        <f ca="1">_xll.BDP($C15,"CRNCY")</f>
        <v>#NAME?</v>
      </c>
      <c r="L15" s="442" t="e">
        <f ca="1">P15/N15-1</f>
        <v>#NAME?</v>
      </c>
      <c r="M15" s="442" t="e">
        <f t="shared" ref="M15:M18" ca="1" si="6">G15/F15-1</f>
        <v>#NAME?</v>
      </c>
      <c r="N15" s="443" t="e">
        <f ca="1">$K$66</f>
        <v>#NAME?</v>
      </c>
      <c r="O15" s="443">
        <f>E15*F15/100</f>
        <v>766000</v>
      </c>
      <c r="P15" s="443" t="e">
        <f ca="1">E15*G15/100*$I$1</f>
        <v>#NAME?</v>
      </c>
      <c r="Q15" s="443" t="e">
        <f t="shared" ref="Q15:Q18" ca="1" si="7">P15/$I$1</f>
        <v>#NAME?</v>
      </c>
      <c r="R15" s="446" t="e">
        <f t="shared" ref="R15:S18" ca="1" si="8">P15-N15</f>
        <v>#NAME?</v>
      </c>
      <c r="S15" s="446" t="e">
        <f t="shared" ca="1" si="8"/>
        <v>#NAME?</v>
      </c>
      <c r="T15" s="501" t="e">
        <f ca="1">_xll.BDP(C15,"YLD_YTM_BID")</f>
        <v>#NAME?</v>
      </c>
      <c r="U15" s="451" t="e">
        <f ca="1">E15*_xll.BDP(C15,"PX_GROSS_BID")/100</f>
        <v>#NAME?</v>
      </c>
      <c r="V15" s="448" t="e">
        <f ca="1">_xll.BDP($C15,"CHG_PCT_YTD")</f>
        <v>#NAME?</v>
      </c>
      <c r="W15" s="448" t="e">
        <f ca="1">_xll.BDP($C15,"CHG_PCT_1YR")</f>
        <v>#NAME?</v>
      </c>
      <c r="X15" s="448"/>
      <c r="Y15" s="448"/>
    </row>
    <row r="16" spans="1:25" s="440" customFormat="1" x14ac:dyDescent="0.2">
      <c r="A16" s="460" t="s">
        <v>452</v>
      </c>
      <c r="B16" s="467" t="e">
        <f ca="1">_xll.BDP(C16,"SECURITY_NAME")</f>
        <v>#NAME?</v>
      </c>
      <c r="C16" s="440" t="s">
        <v>166</v>
      </c>
      <c r="D16" s="442" t="e">
        <f t="shared" ca="1" si="0"/>
        <v>#NAME?</v>
      </c>
      <c r="E16" s="443">
        <f>$F$94</f>
        <v>1000000</v>
      </c>
      <c r="F16" s="468">
        <f>$H$94</f>
        <v>97.224999999999994</v>
      </c>
      <c r="G16" s="444" t="e">
        <f ca="1">_xll.BDP(C16,"PX_BID")</f>
        <v>#NAME?</v>
      </c>
      <c r="K16" s="445" t="e">
        <f ca="1">_xll.BDP($C16,"CRNCY")</f>
        <v>#NAME?</v>
      </c>
      <c r="L16" s="442" t="e">
        <f ca="1">P16/N16-1</f>
        <v>#NAME?</v>
      </c>
      <c r="M16" s="442" t="e">
        <f t="shared" ca="1" si="6"/>
        <v>#NAME?</v>
      </c>
      <c r="N16" s="443" t="e">
        <f ca="1">$K$94</f>
        <v>#NAME?</v>
      </c>
      <c r="O16" s="443">
        <f>E16*F16/100</f>
        <v>972250</v>
      </c>
      <c r="P16" s="443" t="e">
        <f ca="1">E16*G16/100*$I$1</f>
        <v>#NAME?</v>
      </c>
      <c r="Q16" s="443" t="e">
        <f t="shared" ca="1" si="7"/>
        <v>#NAME?</v>
      </c>
      <c r="R16" s="446" t="e">
        <f t="shared" ca="1" si="8"/>
        <v>#NAME?</v>
      </c>
      <c r="S16" s="446" t="e">
        <f t="shared" ca="1" si="8"/>
        <v>#NAME?</v>
      </c>
      <c r="T16" s="501" t="e">
        <f ca="1">_xll.BDP(C16,"YLD_YTM_BID")</f>
        <v>#NAME?</v>
      </c>
      <c r="U16" s="451" t="e">
        <f ca="1">E16*_xll.BDP(C16,"PX_GROSS_BID")/100</f>
        <v>#NAME?</v>
      </c>
      <c r="V16" s="448" t="e">
        <f ca="1">_xll.BDP($C16,"CHG_PCT_YTD")</f>
        <v>#NAME?</v>
      </c>
      <c r="W16" s="448" t="e">
        <f ca="1">_xll.BDP($C16,"CHG_PCT_1YR")</f>
        <v>#NAME?</v>
      </c>
      <c r="X16" s="448"/>
      <c r="Y16" s="448"/>
    </row>
    <row r="17" spans="1:25" s="440" customFormat="1" x14ac:dyDescent="0.2">
      <c r="A17" s="460" t="s">
        <v>452</v>
      </c>
      <c r="B17" s="467" t="e">
        <f ca="1">_xll.BDP(C17,"SECURITY_NAME")</f>
        <v>#NAME?</v>
      </c>
      <c r="C17" s="440" t="s">
        <v>60</v>
      </c>
      <c r="D17" s="442" t="e">
        <f t="shared" ca="1" si="0"/>
        <v>#NAME?</v>
      </c>
      <c r="E17" s="443">
        <f>$F$98</f>
        <v>1000000</v>
      </c>
      <c r="F17" s="468">
        <f>$H$98</f>
        <v>106.515</v>
      </c>
      <c r="G17" s="444" t="e">
        <f ca="1">_xll.BDP(C17,"PX_BID")</f>
        <v>#NAME?</v>
      </c>
      <c r="K17" s="445" t="e">
        <f ca="1">_xll.BDP($C17,"CRNCY")</f>
        <v>#NAME?</v>
      </c>
      <c r="L17" s="442" t="e">
        <f ca="1">P17/N17-1</f>
        <v>#NAME?</v>
      </c>
      <c r="M17" s="442" t="e">
        <f t="shared" ca="1" si="6"/>
        <v>#NAME?</v>
      </c>
      <c r="N17" s="443" t="e">
        <f ca="1">$K$98</f>
        <v>#NAME?</v>
      </c>
      <c r="O17" s="443">
        <f>E17*F17/100</f>
        <v>1065150</v>
      </c>
      <c r="P17" s="443" t="e">
        <f ca="1">E17*G17/100*$I$1</f>
        <v>#NAME?</v>
      </c>
      <c r="Q17" s="443" t="e">
        <f t="shared" ca="1" si="7"/>
        <v>#NAME?</v>
      </c>
      <c r="R17" s="446" t="e">
        <f t="shared" ca="1" si="8"/>
        <v>#NAME?</v>
      </c>
      <c r="S17" s="446" t="e">
        <f t="shared" ca="1" si="8"/>
        <v>#NAME?</v>
      </c>
      <c r="T17" s="501" t="e">
        <f ca="1">_xll.BDP(C17,"YLD_YTM_BID")</f>
        <v>#NAME?</v>
      </c>
      <c r="U17" s="451" t="e">
        <f ca="1">E17*_xll.BDP(C17,"PX_GROSS_BID")/100</f>
        <v>#NAME?</v>
      </c>
      <c r="V17" s="448" t="e">
        <f ca="1">_xll.BDP($C17,"CHG_PCT_YTD")</f>
        <v>#NAME?</v>
      </c>
      <c r="W17" s="448" t="e">
        <f ca="1">_xll.BDP($C17,"CHG_PCT_1YR")</f>
        <v>#NAME?</v>
      </c>
      <c r="X17" s="448"/>
      <c r="Y17" s="448"/>
    </row>
    <row r="18" spans="1:25" s="440" customFormat="1" x14ac:dyDescent="0.2">
      <c r="A18" s="460" t="s">
        <v>452</v>
      </c>
      <c r="B18" s="467" t="e">
        <f ca="1">_xll.BDP(C18,"SECURITY_NAME")</f>
        <v>#NAME?</v>
      </c>
      <c r="C18" s="440" t="s">
        <v>373</v>
      </c>
      <c r="D18" s="442" t="e">
        <f t="shared" ca="1" si="0"/>
        <v>#NAME?</v>
      </c>
      <c r="E18" s="443">
        <f>$F$62</f>
        <v>500000</v>
      </c>
      <c r="F18" s="468">
        <f>$H$62</f>
        <v>99.625</v>
      </c>
      <c r="G18" s="444" t="e">
        <f ca="1">_xll.BDP(C18,"PX_BID")</f>
        <v>#NAME?</v>
      </c>
      <c r="K18" s="445" t="e">
        <f ca="1">_xll.BDP($C18,"CRNCY")</f>
        <v>#NAME?</v>
      </c>
      <c r="L18" s="442" t="e">
        <f ca="1">P18/N18-1</f>
        <v>#NAME?</v>
      </c>
      <c r="M18" s="442" t="e">
        <f t="shared" ca="1" si="6"/>
        <v>#NAME?</v>
      </c>
      <c r="N18" s="443" t="e">
        <f ca="1">$K$62</f>
        <v>#NAME?</v>
      </c>
      <c r="O18" s="443">
        <f>E18*F18/100</f>
        <v>498125</v>
      </c>
      <c r="P18" s="443" t="e">
        <f ca="1">E18*G18/100*$I$1</f>
        <v>#NAME?</v>
      </c>
      <c r="Q18" s="443" t="e">
        <f t="shared" ca="1" si="7"/>
        <v>#NAME?</v>
      </c>
      <c r="R18" s="446" t="e">
        <f t="shared" ca="1" si="8"/>
        <v>#NAME?</v>
      </c>
      <c r="S18" s="446" t="e">
        <f t="shared" ca="1" si="8"/>
        <v>#NAME?</v>
      </c>
      <c r="T18" s="501" t="e">
        <f ca="1">_xll.BDP(C18,"YLD_YTM_BID")</f>
        <v>#NAME?</v>
      </c>
      <c r="U18" s="451" t="e">
        <f ca="1">E18*_xll.BDP(C18,"PX_GROSS_BID")/100</f>
        <v>#NAME?</v>
      </c>
      <c r="V18" s="448" t="e">
        <f ca="1">_xll.BDP($C18,"CHG_PCT_YTD")</f>
        <v>#NAME?</v>
      </c>
      <c r="W18" s="448" t="e">
        <f ca="1">_xll.BDP($C18,"CHG_PCT_1YR")</f>
        <v>#NAME?</v>
      </c>
      <c r="X18" s="448"/>
      <c r="Y18" s="448"/>
    </row>
    <row r="19" spans="1:25" x14ac:dyDescent="0.2">
      <c r="B19" s="68" t="s">
        <v>106</v>
      </c>
      <c r="C19" s="68" t="s">
        <v>106</v>
      </c>
      <c r="D19" s="101" t="e">
        <f t="shared" ca="1" si="0"/>
        <v>#NAME?</v>
      </c>
      <c r="E19" s="64"/>
      <c r="F19" s="67"/>
      <c r="G19" s="66"/>
      <c r="H19" s="66"/>
      <c r="I19" s="66"/>
      <c r="J19" s="60"/>
      <c r="K19" s="60"/>
      <c r="L19" s="65"/>
      <c r="M19" s="65"/>
      <c r="N19" s="64" t="e">
        <f ca="1">P19</f>
        <v>#NAME?</v>
      </c>
      <c r="O19" s="64" t="e">
        <f ca="1">O20-SUM(O4:O18)</f>
        <v>#NAME?</v>
      </c>
      <c r="P19" s="271" t="e">
        <f ca="1">Q19*$I$1</f>
        <v>#NAME?</v>
      </c>
      <c r="Q19" s="272">
        <f>6133000+15937+525937</f>
        <v>6674874</v>
      </c>
      <c r="R19" s="62"/>
      <c r="S19" s="61"/>
      <c r="T19" s="60"/>
      <c r="U19" s="437">
        <f>Q19</f>
        <v>6674874</v>
      </c>
      <c r="V19" s="60"/>
      <c r="W19" s="60"/>
      <c r="X19" s="60"/>
      <c r="Y19" s="60"/>
    </row>
    <row r="20" spans="1:25" ht="13.5" customHeight="1" thickBot="1" x14ac:dyDescent="0.25">
      <c r="B20" s="58"/>
      <c r="C20" s="58"/>
      <c r="D20" s="59" t="e">
        <f ca="1">SUM(D4:D19)</f>
        <v>#NAME?</v>
      </c>
      <c r="E20" s="58"/>
      <c r="F20" s="58"/>
      <c r="G20" s="58"/>
      <c r="H20" s="58"/>
      <c r="I20" s="624" t="e">
        <f ca="1">SUMPRODUCT(D4:D14,I4:I14)</f>
        <v>#NAME?</v>
      </c>
      <c r="J20" s="5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6" t="e">
        <f ca="1">SUM(N4:N19)</f>
        <v>#NAME?</v>
      </c>
      <c r="O20" s="312">
        <v>10000000</v>
      </c>
      <c r="P20" s="136" t="e">
        <f ca="1">SUM(P4:P19)</f>
        <v>#NAME?</v>
      </c>
      <c r="Q20" s="312" t="e">
        <f ca="1">SUM(Q4:Q19)</f>
        <v>#NAME?</v>
      </c>
      <c r="R20" s="136" t="e">
        <f ca="1">SUM(R4:R18)</f>
        <v>#NAME?</v>
      </c>
      <c r="S20" s="136" t="e">
        <f ca="1">SUM(S4:S18)</f>
        <v>#NAME?</v>
      </c>
      <c r="T20" s="55"/>
      <c r="U20" s="439" t="e">
        <f ca="1">SUM(U4:U19)</f>
        <v>#NAME?</v>
      </c>
      <c r="V20" s="55"/>
      <c r="W20" s="55"/>
      <c r="X20" s="55"/>
      <c r="Y20" s="55"/>
    </row>
    <row r="21" spans="1:25" ht="13.5" customHeight="1" x14ac:dyDescent="0.2">
      <c r="B21" s="41"/>
      <c r="C21" s="41"/>
      <c r="D21" s="54"/>
      <c r="E21" s="41"/>
      <c r="F21" s="41"/>
      <c r="G21" s="41"/>
      <c r="I21" s="838" t="s">
        <v>808</v>
      </c>
      <c r="J21" s="838"/>
      <c r="K21" s="622"/>
      <c r="L21" s="40"/>
      <c r="N21" s="43"/>
      <c r="O21" s="265"/>
      <c r="P21" s="48"/>
      <c r="Q21" s="48"/>
      <c r="R21" s="313"/>
      <c r="S21" s="206" t="e">
        <f ca="1">Q20/O20-1</f>
        <v>#NAME?</v>
      </c>
      <c r="T21" s="612" t="e">
        <f ca="1">SUMPRODUCT(D4:D18,T4:T18)</f>
        <v>#NAME?</v>
      </c>
      <c r="U21" s="206" t="e">
        <f ca="1">U20/O20-1</f>
        <v>#NAME?</v>
      </c>
    </row>
    <row r="22" spans="1:25" ht="38.25" x14ac:dyDescent="0.2">
      <c r="E22" s="10"/>
      <c r="I22" s="839"/>
      <c r="J22" s="839"/>
      <c r="K22" s="623"/>
      <c r="N22" s="29"/>
      <c r="O22" s="29"/>
      <c r="P22" s="39"/>
      <c r="Q22" s="34"/>
      <c r="R22" s="34"/>
      <c r="S22" s="625" t="s">
        <v>788</v>
      </c>
      <c r="T22" s="623" t="s">
        <v>776</v>
      </c>
      <c r="U22" s="625" t="s">
        <v>789</v>
      </c>
    </row>
    <row r="23" spans="1:25" x14ac:dyDescent="0.2">
      <c r="B23" s="32" t="s">
        <v>276</v>
      </c>
      <c r="E23" s="10"/>
      <c r="O23" s="39"/>
      <c r="P23" s="34"/>
      <c r="Q23" s="34"/>
      <c r="R23" s="30"/>
    </row>
    <row r="24" spans="1:25" x14ac:dyDescent="0.2">
      <c r="B24" s="379">
        <v>2016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41"/>
      <c r="N24" s="34"/>
      <c r="O24" s="34"/>
      <c r="P24" s="30"/>
    </row>
    <row r="25" spans="1:25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5" x14ac:dyDescent="0.2">
      <c r="B26" s="103" t="s">
        <v>147</v>
      </c>
      <c r="C26" s="41" t="s">
        <v>135</v>
      </c>
      <c r="D26" s="73" t="s">
        <v>51</v>
      </c>
      <c r="E26" s="43" t="e">
        <f ca="1">F26*_xll.BDP(C26,"PX_LAST")</f>
        <v>#NAME?</v>
      </c>
      <c r="F26" s="43">
        <v>1360</v>
      </c>
      <c r="G26" s="104">
        <v>1360</v>
      </c>
      <c r="H26" s="47">
        <f t="shared" ref="H26:H37" si="9">G26/F26</f>
        <v>1</v>
      </c>
      <c r="I26" s="43">
        <f>G26*K26</f>
        <v>50184</v>
      </c>
      <c r="J26" s="45">
        <f>G26*L26</f>
        <v>54604</v>
      </c>
      <c r="K26" s="38">
        <v>36.9</v>
      </c>
      <c r="L26" s="38">
        <v>40.15</v>
      </c>
      <c r="M26" s="119">
        <f t="shared" ref="M26:M37" si="10">L26/K26-1</f>
        <v>8.8075880758807568E-2</v>
      </c>
      <c r="N26" s="43">
        <f>J26-I26</f>
        <v>4420</v>
      </c>
      <c r="O26" s="106" t="e">
        <f ca="1">_xll.BDP($C26,"CRNCY")</f>
        <v>#NAME?</v>
      </c>
      <c r="P26" s="43">
        <f>N26</f>
        <v>4420</v>
      </c>
      <c r="Q26" s="14">
        <v>42446</v>
      </c>
      <c r="R26" s="22" t="e">
        <f ca="1">_xll.BDH("RUB curncy","PX_LAST",$Q26)</f>
        <v>#NAME?</v>
      </c>
    </row>
    <row r="27" spans="1:25" x14ac:dyDescent="0.2">
      <c r="B27" s="103" t="s">
        <v>205</v>
      </c>
      <c r="C27" s="41" t="s">
        <v>204</v>
      </c>
      <c r="D27" s="73" t="s">
        <v>51</v>
      </c>
      <c r="E27" s="43" t="e">
        <f ca="1">F27*_xll.BDP(C27,"PX_LAST")</f>
        <v>#NAME?</v>
      </c>
      <c r="F27" s="43">
        <v>13500</v>
      </c>
      <c r="G27" s="104">
        <v>13500</v>
      </c>
      <c r="H27" s="47">
        <f t="shared" si="9"/>
        <v>1</v>
      </c>
      <c r="I27" s="43">
        <f>G27*K27</f>
        <v>49815</v>
      </c>
      <c r="J27" s="45">
        <f>G27*L27</f>
        <v>54145.503000000004</v>
      </c>
      <c r="K27" s="38">
        <v>3.69</v>
      </c>
      <c r="L27" s="38">
        <v>4.0107780000000002</v>
      </c>
      <c r="M27" s="119">
        <f t="shared" si="10"/>
        <v>8.6931707317073226E-2</v>
      </c>
      <c r="N27" s="43">
        <f>J27-I27</f>
        <v>4330.5030000000042</v>
      </c>
      <c r="O27" s="106" t="e">
        <f ca="1">_xll.BDP($C27,"CRNCY")</f>
        <v>#NAME?</v>
      </c>
      <c r="P27" s="43">
        <f>N27</f>
        <v>4330.5030000000042</v>
      </c>
      <c r="Q27" s="14">
        <v>42446</v>
      </c>
      <c r="R27" s="22" t="e">
        <f ca="1">_xll.BDH("RUB curncy","PX_LAST",$Q27)</f>
        <v>#NAME?</v>
      </c>
    </row>
    <row r="28" spans="1:25" x14ac:dyDescent="0.2">
      <c r="B28" s="103" t="s">
        <v>227</v>
      </c>
      <c r="C28" s="41" t="s">
        <v>226</v>
      </c>
      <c r="D28" s="73" t="s">
        <v>51</v>
      </c>
      <c r="E28" s="43" t="e">
        <f ca="1">F28*_xll.BDP(C28,"PX_LAST")</f>
        <v>#NAME?</v>
      </c>
      <c r="F28" s="43">
        <v>3730</v>
      </c>
      <c r="G28" s="104">
        <v>3730</v>
      </c>
      <c r="H28" s="47">
        <f t="shared" si="9"/>
        <v>1</v>
      </c>
      <c r="I28" s="43">
        <f>G28*K28</f>
        <v>50110.999998499996</v>
      </c>
      <c r="J28" s="45">
        <f>G28*L28</f>
        <v>55950</v>
      </c>
      <c r="K28" s="38">
        <v>13.434584449999999</v>
      </c>
      <c r="L28" s="38">
        <v>15</v>
      </c>
      <c r="M28" s="119">
        <f t="shared" si="10"/>
        <v>0.11652132269710824</v>
      </c>
      <c r="N28" s="43">
        <f>J28-I28</f>
        <v>5839.0000015000041</v>
      </c>
      <c r="O28" s="106" t="e">
        <f ca="1">_xll.BDP($C28,"CRNCY")</f>
        <v>#NAME?</v>
      </c>
      <c r="P28" s="43">
        <f>N28</f>
        <v>5839.0000015000041</v>
      </c>
      <c r="Q28" s="14">
        <v>42446</v>
      </c>
      <c r="R28" s="22" t="e">
        <f ca="1">_xll.BDH("RUB curncy","PX_LAST",$Q28)</f>
        <v>#NAME?</v>
      </c>
    </row>
    <row r="29" spans="1:25" x14ac:dyDescent="0.2">
      <c r="B29" s="103" t="s">
        <v>201</v>
      </c>
      <c r="C29" s="41" t="s">
        <v>202</v>
      </c>
      <c r="D29" s="73" t="s">
        <v>51</v>
      </c>
      <c r="E29" s="43" t="e">
        <f ca="1">F29*_xll.BDP(C29,"PX_LAST")</f>
        <v>#NAME?</v>
      </c>
      <c r="F29" s="43">
        <v>870</v>
      </c>
      <c r="G29" s="104">
        <v>870</v>
      </c>
      <c r="H29" s="47">
        <f t="shared" si="9"/>
        <v>1</v>
      </c>
      <c r="I29" s="43">
        <f>G29*K29</f>
        <v>1566000</v>
      </c>
      <c r="J29" s="45">
        <f>G29*L29</f>
        <v>2262000</v>
      </c>
      <c r="K29" s="38">
        <v>1800</v>
      </c>
      <c r="L29" s="38">
        <v>2600</v>
      </c>
      <c r="M29" s="119">
        <f t="shared" si="10"/>
        <v>0.44444444444444442</v>
      </c>
      <c r="N29" s="43">
        <f>J29-I29</f>
        <v>696000</v>
      </c>
      <c r="O29" s="106" t="e">
        <f ca="1">_xll.BDP($C29,"CRNCY")</f>
        <v>#NAME?</v>
      </c>
      <c r="P29" s="43" t="e">
        <f ca="1">N29/R29</f>
        <v>#NAME?</v>
      </c>
      <c r="Q29" s="14">
        <v>42446</v>
      </c>
      <c r="R29" s="22" t="e">
        <f ca="1">_xll.BDH("RUB curncy","PX_LAST",$Q29)</f>
        <v>#NAME?</v>
      </c>
    </row>
    <row r="30" spans="1:25" x14ac:dyDescent="0.2">
      <c r="B30" s="103" t="s">
        <v>188</v>
      </c>
      <c r="C30" s="41" t="s">
        <v>463</v>
      </c>
      <c r="D30" s="73" t="s">
        <v>51</v>
      </c>
      <c r="E30" s="43" t="e">
        <f ca="1">F30*_xll.BDP(C30,"PX_LAST")</f>
        <v>#NAME?</v>
      </c>
      <c r="F30" s="43">
        <v>4500</v>
      </c>
      <c r="G30" s="104">
        <v>4500</v>
      </c>
      <c r="H30" s="47">
        <f t="shared" si="9"/>
        <v>1</v>
      </c>
      <c r="I30" s="43">
        <f>G30*K30</f>
        <v>50400</v>
      </c>
      <c r="J30" s="45">
        <f>G30*L30</f>
        <v>54675</v>
      </c>
      <c r="K30" s="38">
        <v>11.2</v>
      </c>
      <c r="L30" s="38">
        <v>12.15</v>
      </c>
      <c r="M30" s="119">
        <f t="shared" si="10"/>
        <v>8.4821428571428603E-2</v>
      </c>
      <c r="N30" s="43">
        <f>J30-I30</f>
        <v>4275</v>
      </c>
      <c r="O30" s="106" t="e">
        <f ca="1">_xll.BDP($C30,"CRNCY")</f>
        <v>#NAME?</v>
      </c>
      <c r="P30" s="43">
        <f>N30</f>
        <v>4275</v>
      </c>
      <c r="Q30" s="14">
        <v>42452</v>
      </c>
      <c r="R30" s="22" t="e">
        <f ca="1">_xll.BDH("RUB curncy","PX_LAST",$Q30)</f>
        <v>#NAME?</v>
      </c>
    </row>
    <row r="31" spans="1:25" x14ac:dyDescent="0.2">
      <c r="B31" s="103" t="e">
        <f ca="1">_xll.BDP(C31,"SECURITY_NAME")</f>
        <v>#NAME?</v>
      </c>
      <c r="C31" s="118" t="s">
        <v>656</v>
      </c>
      <c r="D31" s="73" t="s">
        <v>51</v>
      </c>
      <c r="E31" s="43" t="e">
        <f ca="1">F31*_xll.BDP(C31,"PX_LAST")/100</f>
        <v>#NAME?</v>
      </c>
      <c r="F31" s="43">
        <v>500000</v>
      </c>
      <c r="G31" s="43">
        <v>240000</v>
      </c>
      <c r="H31" s="47">
        <f t="shared" si="9"/>
        <v>0.48</v>
      </c>
      <c r="I31" s="43">
        <f>G31*K31/100</f>
        <v>239472</v>
      </c>
      <c r="J31" s="45">
        <f>G31*L31/100</f>
        <v>250800</v>
      </c>
      <c r="K31" s="38">
        <v>99.78</v>
      </c>
      <c r="L31" s="38">
        <v>104.5</v>
      </c>
      <c r="M31" s="119">
        <f t="shared" si="10"/>
        <v>4.7304068951693701E-2</v>
      </c>
      <c r="N31" s="43">
        <f>(J31-I31)</f>
        <v>11328</v>
      </c>
      <c r="O31" s="106" t="e">
        <f ca="1">_xll.BDP($C31,"CRNCY")</f>
        <v>#NAME?</v>
      </c>
      <c r="P31" s="43">
        <f>N31</f>
        <v>11328</v>
      </c>
      <c r="Q31" s="14">
        <v>42452</v>
      </c>
      <c r="R31" s="22" t="e">
        <f ca="1">_xll.BDH("RUB curncy","PX_LAST",$Q31)</f>
        <v>#NAME?</v>
      </c>
    </row>
    <row r="32" spans="1:25" x14ac:dyDescent="0.2">
      <c r="B32" s="103" t="e">
        <f ca="1">_xll.BDP(C32,"SECURITY_NAME")</f>
        <v>#NAME?</v>
      </c>
      <c r="C32" s="118" t="s">
        <v>656</v>
      </c>
      <c r="D32" s="73" t="s">
        <v>51</v>
      </c>
      <c r="E32" s="43" t="e">
        <f ca="1">F32*_xll.BDP(C32,"PX_LAST")/100</f>
        <v>#NAME?</v>
      </c>
      <c r="F32" s="43">
        <v>500000</v>
      </c>
      <c r="G32" s="43">
        <v>260000</v>
      </c>
      <c r="H32" s="47">
        <f t="shared" si="9"/>
        <v>0.52</v>
      </c>
      <c r="I32" s="43">
        <f>G32*K32/100</f>
        <v>259428</v>
      </c>
      <c r="J32" s="45">
        <f>G32*L32/100</f>
        <v>272402</v>
      </c>
      <c r="K32" s="38">
        <v>99.78</v>
      </c>
      <c r="L32" s="38">
        <v>104.77</v>
      </c>
      <c r="M32" s="119">
        <f t="shared" si="10"/>
        <v>5.0010022048506686E-2</v>
      </c>
      <c r="N32" s="43">
        <f>(J32-I32)</f>
        <v>12974</v>
      </c>
      <c r="O32" s="106" t="e">
        <f ca="1">_xll.BDP($C32,"CRNCY")</f>
        <v>#NAME?</v>
      </c>
      <c r="P32" s="43">
        <f>N32</f>
        <v>12974</v>
      </c>
      <c r="Q32" s="14">
        <v>42461</v>
      </c>
      <c r="R32" s="22" t="e">
        <f ca="1">_xll.BDH("RUB curncy","PX_LAST",$Q32)</f>
        <v>#NAME?</v>
      </c>
    </row>
    <row r="33" spans="2:24" x14ac:dyDescent="0.2">
      <c r="B33" s="103" t="s">
        <v>95</v>
      </c>
      <c r="C33" s="41" t="s">
        <v>78</v>
      </c>
      <c r="D33" s="73" t="s">
        <v>51</v>
      </c>
      <c r="E33" s="43" t="e">
        <f ca="1">F33*_xll.BDP(C33,"PX_LAST")</f>
        <v>#NAME?</v>
      </c>
      <c r="F33" s="43">
        <v>15150</v>
      </c>
      <c r="G33" s="104">
        <v>15150</v>
      </c>
      <c r="H33" s="47">
        <f t="shared" si="9"/>
        <v>1</v>
      </c>
      <c r="I33" s="43">
        <f>G33*K33</f>
        <v>3203922</v>
      </c>
      <c r="J33" s="45">
        <f>G33*L33</f>
        <v>3848870.99865</v>
      </c>
      <c r="K33" s="38">
        <v>211.48</v>
      </c>
      <c r="L33" s="38">
        <v>254.05089100000001</v>
      </c>
      <c r="M33" s="119">
        <f t="shared" si="10"/>
        <v>0.20129984395687539</v>
      </c>
      <c r="N33" s="43">
        <f>J33-I33</f>
        <v>644948.99864999996</v>
      </c>
      <c r="O33" s="106" t="e">
        <f ca="1">_xll.BDP($C33,"CRNCY")</f>
        <v>#NAME?</v>
      </c>
      <c r="P33" s="43" t="e">
        <f ca="1">N33/R33</f>
        <v>#NAME?</v>
      </c>
      <c r="Q33" s="14">
        <v>42473</v>
      </c>
      <c r="R33" s="22" t="e">
        <f ca="1">_xll.BDH("RUB curncy","PX_LAST",$Q33)</f>
        <v>#NAME?</v>
      </c>
      <c r="V33" s="9">
        <v>1570</v>
      </c>
      <c r="W33" s="9">
        <v>800</v>
      </c>
      <c r="X33" s="9">
        <f>V33*W33</f>
        <v>1256000</v>
      </c>
    </row>
    <row r="34" spans="2:24" x14ac:dyDescent="0.2">
      <c r="B34" s="103" t="s">
        <v>317</v>
      </c>
      <c r="C34" s="41" t="s">
        <v>294</v>
      </c>
      <c r="D34" s="73" t="s">
        <v>51</v>
      </c>
      <c r="E34" s="43" t="e">
        <f ca="1">F34*_xll.BDP(C34,"PX_LAST")</f>
        <v>#NAME?</v>
      </c>
      <c r="F34" s="43">
        <v>20400</v>
      </c>
      <c r="G34" s="104">
        <v>20400</v>
      </c>
      <c r="H34" s="47">
        <f t="shared" si="9"/>
        <v>1</v>
      </c>
      <c r="I34" s="43">
        <f>G34*K34</f>
        <v>3174240</v>
      </c>
      <c r="J34" s="45">
        <f>G34*L34</f>
        <v>3350565.9923999999</v>
      </c>
      <c r="K34" s="38">
        <v>155.6</v>
      </c>
      <c r="L34" s="38">
        <v>164.24343099999999</v>
      </c>
      <c r="M34" s="119">
        <f t="shared" si="10"/>
        <v>5.5549042416452421E-2</v>
      </c>
      <c r="N34" s="43">
        <f>J34-I34</f>
        <v>176325.99239999987</v>
      </c>
      <c r="O34" s="106" t="e">
        <f ca="1">_xll.BDP($C34,"CRNCY")</f>
        <v>#NAME?</v>
      </c>
      <c r="P34" s="43" t="e">
        <f ca="1">N34/R34</f>
        <v>#NAME?</v>
      </c>
      <c r="Q34" s="14">
        <v>42473</v>
      </c>
      <c r="R34" s="22" t="e">
        <f ca="1">_xll.BDH("RUB curncy","PX_LAST",$Q34)</f>
        <v>#NAME?</v>
      </c>
      <c r="V34" s="9">
        <v>530</v>
      </c>
      <c r="W34" s="9">
        <v>787</v>
      </c>
      <c r="X34" s="9">
        <f>V34*W34</f>
        <v>417110</v>
      </c>
    </row>
    <row r="35" spans="2:24" x14ac:dyDescent="0.2">
      <c r="B35" s="103" t="e">
        <f ca="1">_xll.BDP(C35,"SECURITY_NAME")</f>
        <v>#NAME?</v>
      </c>
      <c r="C35" s="118" t="s">
        <v>453</v>
      </c>
      <c r="D35" s="73" t="s">
        <v>51</v>
      </c>
      <c r="E35" s="43" t="e">
        <f ca="1">F35*_xll.BDP(C35,"PX_LAST")/100</f>
        <v>#NAME?</v>
      </c>
      <c r="F35" s="43">
        <v>1000000</v>
      </c>
      <c r="G35" s="43">
        <v>200000</v>
      </c>
      <c r="H35" s="47">
        <f t="shared" si="9"/>
        <v>0.2</v>
      </c>
      <c r="I35" s="43">
        <f t="shared" ref="I35:I40" si="11">G35*K35/100</f>
        <v>191500</v>
      </c>
      <c r="J35" s="45">
        <f t="shared" ref="J35:J40" si="12">G35*L35/100</f>
        <v>198600</v>
      </c>
      <c r="K35" s="38">
        <v>95.75</v>
      </c>
      <c r="L35" s="38">
        <v>99.3</v>
      </c>
      <c r="M35" s="119">
        <f t="shared" si="10"/>
        <v>3.7075718015665782E-2</v>
      </c>
      <c r="N35" s="43">
        <f t="shared" ref="N35:N40" si="13">(J35-I35)</f>
        <v>7100</v>
      </c>
      <c r="O35" s="106" t="e">
        <f ca="1">_xll.BDP($C35,"CRNCY")</f>
        <v>#NAME?</v>
      </c>
      <c r="P35" s="43">
        <f t="shared" ref="P35:P40" si="14">N35</f>
        <v>7100</v>
      </c>
      <c r="Q35" s="14">
        <v>42482</v>
      </c>
      <c r="R35" s="22" t="e">
        <f ca="1">_xll.BDH("RUB curncy","PX_LAST",$Q35)</f>
        <v>#NAME?</v>
      </c>
      <c r="V35" s="9">
        <f>SUM(V33:V34)</f>
        <v>2100</v>
      </c>
      <c r="W35" s="9">
        <f>X35/V35</f>
        <v>796.71904761904761</v>
      </c>
      <c r="X35" s="9">
        <f>SUM(X33:X34)</f>
        <v>1673110</v>
      </c>
    </row>
    <row r="36" spans="2:24" x14ac:dyDescent="0.2">
      <c r="B36" s="103" t="e">
        <f ca="1">_xll.BDP(C36,"SECURITY_NAME")</f>
        <v>#NAME?</v>
      </c>
      <c r="C36" s="118" t="s">
        <v>159</v>
      </c>
      <c r="D36" s="73" t="s">
        <v>51</v>
      </c>
      <c r="E36" s="43" t="e">
        <f ca="1">F36*_xll.BDP(C36,"PX_LAST")/100</f>
        <v>#NAME?</v>
      </c>
      <c r="F36" s="43">
        <v>500000</v>
      </c>
      <c r="G36" s="43">
        <v>500000</v>
      </c>
      <c r="H36" s="47">
        <f t="shared" si="9"/>
        <v>1</v>
      </c>
      <c r="I36" s="43">
        <f t="shared" si="11"/>
        <v>468300</v>
      </c>
      <c r="J36" s="45">
        <f t="shared" si="12"/>
        <v>491400</v>
      </c>
      <c r="K36" s="38">
        <v>93.66</v>
      </c>
      <c r="L36" s="38">
        <v>98.28</v>
      </c>
      <c r="M36" s="119">
        <f t="shared" si="10"/>
        <v>4.9327354260089828E-2</v>
      </c>
      <c r="N36" s="43">
        <f t="shared" si="13"/>
        <v>23100</v>
      </c>
      <c r="O36" s="106" t="e">
        <f ca="1">_xll.BDP($C36,"CRNCY")</f>
        <v>#NAME?</v>
      </c>
      <c r="P36" s="43">
        <f t="shared" si="14"/>
        <v>23100</v>
      </c>
      <c r="Q36" s="14">
        <v>42489</v>
      </c>
      <c r="R36" s="22" t="e">
        <f ca="1">_xll.BDH("RUB curncy","PX_LAST",$Q36)</f>
        <v>#NAME?</v>
      </c>
    </row>
    <row r="37" spans="2:24" x14ac:dyDescent="0.2">
      <c r="B37" s="103" t="e">
        <f ca="1">_xll.BDP(C37,"SECURITY_NAME")</f>
        <v>#NAME?</v>
      </c>
      <c r="C37" s="41" t="s">
        <v>221</v>
      </c>
      <c r="D37" s="73" t="s">
        <v>51</v>
      </c>
      <c r="E37" s="43" t="e">
        <f ca="1">F37*_xll.BDP(C37,"PX_LAST")/100</f>
        <v>#NAME?</v>
      </c>
      <c r="F37" s="43">
        <v>400000</v>
      </c>
      <c r="G37" s="43">
        <v>400000</v>
      </c>
      <c r="H37" s="47">
        <f t="shared" si="9"/>
        <v>1</v>
      </c>
      <c r="I37" s="43">
        <f t="shared" si="11"/>
        <v>391000</v>
      </c>
      <c r="J37" s="45">
        <f t="shared" si="12"/>
        <v>401000</v>
      </c>
      <c r="K37" s="38">
        <v>97.75</v>
      </c>
      <c r="L37" s="38">
        <v>100.25</v>
      </c>
      <c r="M37" s="119">
        <f t="shared" si="10"/>
        <v>2.5575447570332477E-2</v>
      </c>
      <c r="N37" s="43">
        <f t="shared" si="13"/>
        <v>10000</v>
      </c>
      <c r="O37" s="106" t="e">
        <f ca="1">_xll.BDP($C37,"CRNCY")</f>
        <v>#NAME?</v>
      </c>
      <c r="P37" s="43">
        <f t="shared" si="14"/>
        <v>10000</v>
      </c>
      <c r="Q37" s="14">
        <v>42502</v>
      </c>
      <c r="R37" s="22" t="e">
        <f ca="1">_xll.BDH("RUB curncy","PX_LAST",$Q37)</f>
        <v>#NAME?</v>
      </c>
    </row>
    <row r="38" spans="2:24" x14ac:dyDescent="0.2">
      <c r="B38" s="103" t="e">
        <f ca="1">_xll.BDP(C38,"SECURITY_NAME")</f>
        <v>#NAME?</v>
      </c>
      <c r="C38" s="118" t="s">
        <v>429</v>
      </c>
      <c r="D38" s="73" t="s">
        <v>51</v>
      </c>
      <c r="E38" s="43" t="e">
        <f ca="1">F38*_xll.BDP(C38,"PX_LAST")/100</f>
        <v>#NAME?</v>
      </c>
      <c r="F38" s="43">
        <v>500000</v>
      </c>
      <c r="G38" s="43">
        <v>500000</v>
      </c>
      <c r="H38" s="47">
        <f t="shared" ref="H38:H43" si="15">G38/F38</f>
        <v>1</v>
      </c>
      <c r="I38" s="43">
        <f t="shared" si="11"/>
        <v>481400</v>
      </c>
      <c r="J38" s="45">
        <f t="shared" si="12"/>
        <v>511250</v>
      </c>
      <c r="K38" s="38">
        <v>96.28</v>
      </c>
      <c r="L38" s="38">
        <v>102.25</v>
      </c>
      <c r="M38" s="119">
        <f t="shared" ref="M38:M43" si="16">L38/K38-1</f>
        <v>6.2006647278770144E-2</v>
      </c>
      <c r="N38" s="120">
        <f t="shared" si="13"/>
        <v>29850</v>
      </c>
      <c r="O38" s="106" t="e">
        <f ca="1">_xll.BDP($C38,"CRNCY")</f>
        <v>#NAME?</v>
      </c>
      <c r="P38" s="43">
        <f t="shared" si="14"/>
        <v>29850</v>
      </c>
      <c r="Q38" s="14">
        <v>42507</v>
      </c>
      <c r="R38" s="22" t="e">
        <f ca="1">_xll.BDH("RUB curncy","PX_LAST",$Q38)</f>
        <v>#NAME?</v>
      </c>
    </row>
    <row r="39" spans="2:24" x14ac:dyDescent="0.2">
      <c r="B39" s="103" t="e">
        <f ca="1">_xll.BDP(C39,"SECURITY_NAME")</f>
        <v>#NAME?</v>
      </c>
      <c r="C39" s="118" t="s">
        <v>653</v>
      </c>
      <c r="D39" s="73" t="s">
        <v>51</v>
      </c>
      <c r="E39" s="43" t="e">
        <f ca="1">F39*_xll.BDP(C39,"PX_LAST")/100</f>
        <v>#NAME?</v>
      </c>
      <c r="F39" s="43">
        <v>1000000</v>
      </c>
      <c r="G39" s="43">
        <v>1000000</v>
      </c>
      <c r="H39" s="47">
        <f t="shared" si="15"/>
        <v>1</v>
      </c>
      <c r="I39" s="43">
        <f t="shared" si="11"/>
        <v>935000</v>
      </c>
      <c r="J39" s="45">
        <f t="shared" si="12"/>
        <v>1000000</v>
      </c>
      <c r="K39" s="38">
        <v>93.5</v>
      </c>
      <c r="L39" s="38">
        <v>100</v>
      </c>
      <c r="M39" s="119">
        <f t="shared" si="16"/>
        <v>6.9518716577540163E-2</v>
      </c>
      <c r="N39" s="120">
        <f t="shared" si="13"/>
        <v>65000</v>
      </c>
      <c r="O39" s="106" t="e">
        <f ca="1">_xll.BDP($C39,"CRNCY")</f>
        <v>#NAME?</v>
      </c>
      <c r="P39" s="43">
        <f t="shared" si="14"/>
        <v>65000</v>
      </c>
      <c r="Q39" s="14">
        <v>42507</v>
      </c>
      <c r="R39" s="22" t="e">
        <f ca="1">_xll.BDH("RUB curncy","PX_LAST",$Q39)</f>
        <v>#NAME?</v>
      </c>
    </row>
    <row r="40" spans="2:24" x14ac:dyDescent="0.2">
      <c r="B40" s="103" t="e">
        <f ca="1">_xll.BDP(C40,"SECURITY_NAME")</f>
        <v>#NAME?</v>
      </c>
      <c r="C40" s="118" t="s">
        <v>648</v>
      </c>
      <c r="D40" s="73" t="s">
        <v>51</v>
      </c>
      <c r="E40" s="43" t="e">
        <f ca="1">F40*_xll.BDP(C40,"PX_LAST")/100</f>
        <v>#NAME?</v>
      </c>
      <c r="F40" s="43">
        <v>1000000</v>
      </c>
      <c r="G40" s="43">
        <v>1000000</v>
      </c>
      <c r="H40" s="47">
        <f t="shared" si="15"/>
        <v>1</v>
      </c>
      <c r="I40" s="43">
        <f t="shared" si="11"/>
        <v>1020000</v>
      </c>
      <c r="J40" s="45">
        <f t="shared" si="12"/>
        <v>1077500</v>
      </c>
      <c r="K40" s="38">
        <v>102</v>
      </c>
      <c r="L40" s="38">
        <v>107.75</v>
      </c>
      <c r="M40" s="119">
        <f t="shared" si="16"/>
        <v>5.6372549019607865E-2</v>
      </c>
      <c r="N40" s="120">
        <f t="shared" si="13"/>
        <v>57500</v>
      </c>
      <c r="O40" s="106" t="e">
        <f ca="1">_xll.BDP($C40,"CRNCY")</f>
        <v>#NAME?</v>
      </c>
      <c r="P40" s="43">
        <f t="shared" si="14"/>
        <v>57500</v>
      </c>
      <c r="Q40" s="14">
        <v>42510</v>
      </c>
      <c r="R40" s="22" t="e">
        <f ca="1">_xll.BDH("RUB curncy","PX_LAST",$Q40)</f>
        <v>#NAME?</v>
      </c>
    </row>
    <row r="41" spans="2:24" x14ac:dyDescent="0.2">
      <c r="B41" s="103" t="e">
        <f ca="1">_xll.BDP(C41,"SECURITY_NAME")</f>
        <v>#NAME?</v>
      </c>
      <c r="C41" s="118" t="s">
        <v>321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 t="shared" si="15"/>
        <v>1</v>
      </c>
      <c r="I41" s="43">
        <f>G41*K41/100</f>
        <v>443150</v>
      </c>
      <c r="J41" s="45">
        <f>G41*L41/100</f>
        <v>507500</v>
      </c>
      <c r="K41" s="38">
        <v>88.63</v>
      </c>
      <c r="L41" s="38">
        <v>101.5</v>
      </c>
      <c r="M41" s="119">
        <f t="shared" si="16"/>
        <v>0.14521042536387241</v>
      </c>
      <c r="N41" s="120">
        <f>(J41-I41)</f>
        <v>64350</v>
      </c>
      <c r="O41" s="106" t="e">
        <f ca="1">_xll.BDP($C41,"CRNCY")</f>
        <v>#NAME?</v>
      </c>
      <c r="P41" s="43">
        <f>N41</f>
        <v>64350</v>
      </c>
      <c r="Q41" s="14">
        <v>42563</v>
      </c>
      <c r="R41" s="22" t="e">
        <f ca="1">_xll.BDH("RUB curncy","PX_LAST",$Q41)</f>
        <v>#NAME?</v>
      </c>
    </row>
    <row r="42" spans="2:24" x14ac:dyDescent="0.2">
      <c r="B42" s="103" t="e">
        <f ca="1">_xll.BDP(C42,"SECURITY_NAME")</f>
        <v>#NAME?</v>
      </c>
      <c r="C42" s="118" t="s">
        <v>217</v>
      </c>
      <c r="D42" s="73" t="s">
        <v>51</v>
      </c>
      <c r="E42" s="43" t="e">
        <f ca="1">F42*_xll.BDP(C42,"PX_LAST")/100</f>
        <v>#NAME?</v>
      </c>
      <c r="F42" s="43">
        <v>500000</v>
      </c>
      <c r="G42" s="43">
        <v>500000</v>
      </c>
      <c r="H42" s="47">
        <f t="shared" si="15"/>
        <v>1</v>
      </c>
      <c r="I42" s="43">
        <f>G42*K42/100</f>
        <v>477000</v>
      </c>
      <c r="J42" s="45">
        <f>G42*L42/100</f>
        <v>526750</v>
      </c>
      <c r="K42" s="38">
        <v>95.4</v>
      </c>
      <c r="L42" s="38">
        <v>105.35</v>
      </c>
      <c r="M42" s="119">
        <f t="shared" si="16"/>
        <v>0.10429769392033528</v>
      </c>
      <c r="N42" s="120">
        <f>(J42-I42)</f>
        <v>49750</v>
      </c>
      <c r="O42" s="106" t="e">
        <f ca="1">_xll.BDP($C42,"CRNCY")</f>
        <v>#NAME?</v>
      </c>
      <c r="P42" s="43">
        <f>N42</f>
        <v>49750</v>
      </c>
      <c r="Q42" s="14">
        <v>42572</v>
      </c>
      <c r="R42" s="22" t="e">
        <f ca="1">_xll.BDH("RUB curncy","PX_LAST",$Q42)</f>
        <v>#NAME?</v>
      </c>
    </row>
    <row r="43" spans="2:24" x14ac:dyDescent="0.2">
      <c r="B43" s="103" t="e">
        <f ca="1">_xll.BDP(C43,"SECURITY_NAME")</f>
        <v>#NAME?</v>
      </c>
      <c r="C43" s="118" t="s">
        <v>657</v>
      </c>
      <c r="D43" s="73" t="s">
        <v>51</v>
      </c>
      <c r="E43" s="43" t="e">
        <f ca="1">F43*_xll.BDP(C43,"PX_LAST")/100</f>
        <v>#NAME?</v>
      </c>
      <c r="F43" s="43">
        <v>510000</v>
      </c>
      <c r="G43" s="43">
        <v>510000</v>
      </c>
      <c r="H43" s="47">
        <f t="shared" si="15"/>
        <v>1</v>
      </c>
      <c r="I43" s="43">
        <f>G43*K43/100</f>
        <v>466140</v>
      </c>
      <c r="J43" s="45">
        <f>G43*L43/100</f>
        <v>525937.5</v>
      </c>
      <c r="K43" s="38">
        <v>91.4</v>
      </c>
      <c r="L43" s="38">
        <v>103.125</v>
      </c>
      <c r="M43" s="119">
        <f t="shared" si="16"/>
        <v>0.12828227571115969</v>
      </c>
      <c r="N43" s="120">
        <f>(J43-I43)</f>
        <v>59797.5</v>
      </c>
      <c r="O43" s="106" t="e">
        <f ca="1">_xll.BDP($C43,"CRNCY")</f>
        <v>#NAME?</v>
      </c>
      <c r="P43" s="43">
        <f>N43</f>
        <v>59797.5</v>
      </c>
      <c r="Q43" s="14">
        <v>42725</v>
      </c>
      <c r="R43" s="22" t="e">
        <f ca="1">_xll.BDH("RUB curncy","PX_LAST",$Q43)</f>
        <v>#NAME?</v>
      </c>
    </row>
    <row r="44" spans="2:24" x14ac:dyDescent="0.2">
      <c r="B44" s="41"/>
      <c r="C44" s="41"/>
      <c r="D44" s="42"/>
      <c r="G44" s="41"/>
      <c r="H44" s="41"/>
      <c r="I44" s="41"/>
      <c r="J44" s="41"/>
      <c r="K44" s="41"/>
      <c r="L44" s="41"/>
      <c r="N44" s="35" t="s">
        <v>94</v>
      </c>
      <c r="O44" s="34" t="s">
        <v>75</v>
      </c>
      <c r="P44" s="40" t="e">
        <f ca="1">SUM(P26:P43)</f>
        <v>#NAME?</v>
      </c>
    </row>
    <row r="45" spans="2:24" x14ac:dyDescent="0.2">
      <c r="B45" s="33"/>
      <c r="C45" s="33"/>
      <c r="D45" s="33"/>
      <c r="G45" s="33"/>
      <c r="H45" s="33"/>
      <c r="I45" s="33"/>
      <c r="J45" s="38"/>
      <c r="K45" s="37"/>
      <c r="L45" s="36"/>
      <c r="M45" s="35"/>
      <c r="N45" s="30"/>
      <c r="O45" s="30"/>
      <c r="P45" s="34"/>
      <c r="R45" s="39"/>
    </row>
    <row r="46" spans="2:24" x14ac:dyDescent="0.2">
      <c r="B46" s="33"/>
      <c r="C46" s="33"/>
      <c r="D46" s="33"/>
      <c r="E46" s="33"/>
      <c r="F46" s="33"/>
      <c r="G46" s="33"/>
      <c r="H46" s="38"/>
      <c r="I46" s="37"/>
      <c r="J46" s="36"/>
      <c r="K46" s="35"/>
      <c r="L46" s="30"/>
      <c r="M46" s="34"/>
      <c r="N46" s="33"/>
    </row>
    <row r="47" spans="2:24" x14ac:dyDescent="0.2">
      <c r="B47" s="32" t="s">
        <v>93</v>
      </c>
      <c r="C47" s="10"/>
      <c r="D47" s="31"/>
      <c r="H47" s="31"/>
      <c r="I47" s="10"/>
      <c r="J47" s="10"/>
      <c r="K47" s="29"/>
    </row>
    <row r="48" spans="2:24" ht="13.5" thickBot="1" x14ac:dyDescent="0.25">
      <c r="C48" s="29"/>
      <c r="D48" s="29"/>
      <c r="G48" s="29"/>
      <c r="H48" s="10"/>
      <c r="I48" s="30"/>
      <c r="J48" s="10"/>
      <c r="K48" s="29"/>
    </row>
    <row r="49" spans="2:14" ht="15" x14ac:dyDescent="0.35">
      <c r="B49" s="26"/>
      <c r="C49" s="26"/>
      <c r="D49" s="26"/>
      <c r="E49" s="26"/>
      <c r="F49" s="26"/>
      <c r="G49" s="26"/>
      <c r="H49" s="28" t="s">
        <v>92</v>
      </c>
      <c r="I49" s="27" t="s">
        <v>91</v>
      </c>
      <c r="J49" s="27" t="s">
        <v>90</v>
      </c>
      <c r="K49" s="27"/>
      <c r="L49" s="26"/>
      <c r="M49" s="26"/>
      <c r="N49" s="26"/>
    </row>
    <row r="50" spans="2:14" ht="15" x14ac:dyDescent="0.35">
      <c r="B50" s="23" t="s">
        <v>89</v>
      </c>
      <c r="C50" s="23" t="s">
        <v>88</v>
      </c>
      <c r="D50" s="23" t="s">
        <v>87</v>
      </c>
      <c r="E50" s="23" t="s">
        <v>86</v>
      </c>
      <c r="F50" s="23" t="s">
        <v>85</v>
      </c>
      <c r="G50" s="23" t="s">
        <v>84</v>
      </c>
      <c r="H50" s="25" t="s">
        <v>83</v>
      </c>
      <c r="I50" s="24" t="s">
        <v>83</v>
      </c>
      <c r="J50" s="24" t="s">
        <v>75</v>
      </c>
      <c r="K50" s="24" t="s">
        <v>73</v>
      </c>
      <c r="L50" s="23" t="s">
        <v>82</v>
      </c>
      <c r="M50" s="23" t="s">
        <v>81</v>
      </c>
      <c r="N50" s="23" t="s">
        <v>80</v>
      </c>
    </row>
    <row r="51" spans="2:14" x14ac:dyDescent="0.2">
      <c r="B51" s="21" t="s">
        <v>452</v>
      </c>
      <c r="C51" s="20" t="s">
        <v>71</v>
      </c>
      <c r="D51" s="18" t="e">
        <f ca="1">_xll.BDP(C51,"SECURITY_NAME")</f>
        <v>#NAME?</v>
      </c>
      <c r="E51" s="18" t="s">
        <v>50</v>
      </c>
      <c r="F51" s="19">
        <v>4800</v>
      </c>
      <c r="G51" s="18" t="e">
        <f ca="1">_xll.BDP(C51,"CRNCY")</f>
        <v>#NAME?</v>
      </c>
      <c r="H51" s="22">
        <v>8.5094999999999992</v>
      </c>
      <c r="I51" s="15">
        <f>F51*H51</f>
        <v>40845.599999999999</v>
      </c>
      <c r="J51" s="16" t="e">
        <f ca="1">I51*L51</f>
        <v>#NAME?</v>
      </c>
      <c r="K51" s="15" t="e">
        <f ca="1">J51/M51</f>
        <v>#NAME?</v>
      </c>
      <c r="L51" s="22" t="e">
        <f ca="1">_xll.BDH("GBP curncy","PX_LAST",$N51)</f>
        <v>#NAME?</v>
      </c>
      <c r="M51" s="85" t="e">
        <f ca="1">1/_xll.BDH("RUB curncy","PX_LAST",$N51)</f>
        <v>#NAME?</v>
      </c>
      <c r="N51" s="14">
        <v>42656</v>
      </c>
    </row>
    <row r="52" spans="2:14" x14ac:dyDescent="0.2">
      <c r="B52" s="71"/>
      <c r="C52" s="33"/>
      <c r="D52" s="73"/>
      <c r="E52" s="73"/>
      <c r="F52" s="79">
        <f>SUM(F51:F51)</f>
        <v>4800</v>
      </c>
      <c r="G52" s="73"/>
      <c r="H52" s="80">
        <f>I52/F52</f>
        <v>8.5094999999999992</v>
      </c>
      <c r="I52" s="79">
        <f>SUM(I51:I51)</f>
        <v>40845.599999999999</v>
      </c>
      <c r="J52" s="79" t="e">
        <f ca="1">SUM(J51:J51)</f>
        <v>#NAME?</v>
      </c>
      <c r="K52" s="79" t="e">
        <f ca="1">SUM(K51:K51)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452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11630</v>
      </c>
      <c r="G54" s="18" t="e">
        <f ca="1">_xll.BDP(C54,"CRNCY")</f>
        <v>#NAME?</v>
      </c>
      <c r="H54" s="22">
        <v>4.2992150000000002</v>
      </c>
      <c r="I54" s="15">
        <f>F54*H54</f>
        <v>49999.870450000002</v>
      </c>
      <c r="J54" s="16">
        <f>I54</f>
        <v>49999.870450000002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42305</v>
      </c>
    </row>
    <row r="55" spans="2:14" x14ac:dyDescent="0.2">
      <c r="B55" s="21" t="s">
        <v>452</v>
      </c>
      <c r="C55" s="20" t="s">
        <v>62</v>
      </c>
      <c r="D55" s="18" t="e">
        <f ca="1">_xll.BDP(C55,"SECURITY_NAME")</f>
        <v>#NAME?</v>
      </c>
      <c r="E55" s="18" t="s">
        <v>50</v>
      </c>
      <c r="F55" s="19">
        <v>11260</v>
      </c>
      <c r="G55" s="18" t="e">
        <f ca="1">_xll.BDP(C55,"CRNCY")</f>
        <v>#NAME?</v>
      </c>
      <c r="H55" s="22">
        <v>4.4400000000000004</v>
      </c>
      <c r="I55" s="15">
        <f>F55*H55</f>
        <v>49994.400000000001</v>
      </c>
      <c r="J55" s="16">
        <f>I55</f>
        <v>49994.400000000001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42303</v>
      </c>
    </row>
    <row r="56" spans="2:14" x14ac:dyDescent="0.2">
      <c r="B56" s="71"/>
      <c r="C56" s="33"/>
      <c r="D56" s="73"/>
      <c r="E56" s="73"/>
      <c r="F56" s="79">
        <f>SUM(F54:F55)</f>
        <v>22890</v>
      </c>
      <c r="G56" s="73"/>
      <c r="H56" s="80">
        <f>I56/F56</f>
        <v>4.3684696570554831</v>
      </c>
      <c r="I56" s="79">
        <f>SUM(I54:I55)</f>
        <v>99994.270450000011</v>
      </c>
      <c r="J56" s="79">
        <f>SUM(J54:J55)</f>
        <v>99994.270450000011</v>
      </c>
      <c r="K56" s="79" t="e">
        <f ca="1">SUM(K54:K55)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71" t="s">
        <v>452</v>
      </c>
      <c r="C58" s="382" t="s">
        <v>657</v>
      </c>
      <c r="D58" s="320" t="e">
        <f ca="1">_xll.BDP(C58,"SECURITY_NAME")</f>
        <v>#NAME?</v>
      </c>
      <c r="E58" s="18" t="s">
        <v>50</v>
      </c>
      <c r="F58" s="19">
        <v>510000</v>
      </c>
      <c r="G58" s="18" t="e">
        <f ca="1">_xll.BDP(C58,"CRNCY")</f>
        <v>#NAME?</v>
      </c>
      <c r="H58" s="140">
        <v>91.4</v>
      </c>
      <c r="I58" s="315">
        <f>F58*H58/100</f>
        <v>466140</v>
      </c>
      <c r="J58" s="316">
        <f>I58</f>
        <v>466140</v>
      </c>
      <c r="K58" s="315" t="e">
        <f ca="1">J58*L58</f>
        <v>#NAME?</v>
      </c>
      <c r="L58" s="140" t="e">
        <f ca="1">_xll.BDH("RUB curncy","PX_LAST",$N58)</f>
        <v>#NAME?</v>
      </c>
      <c r="M58" s="317" t="e">
        <f ca="1">1/_xll.BDH("RUB curncy","PX_LAST",$N58)</f>
        <v>#NAME?</v>
      </c>
      <c r="N58" s="14">
        <v>42388</v>
      </c>
    </row>
    <row r="59" spans="2:14" x14ac:dyDescent="0.2">
      <c r="B59" s="318"/>
      <c r="C59" s="160"/>
      <c r="D59" s="87"/>
      <c r="E59" s="87"/>
      <c r="F59" s="79">
        <f>SUM(F58)</f>
        <v>510000</v>
      </c>
      <c r="G59" s="87"/>
      <c r="H59" s="88">
        <f>J59/F59*100</f>
        <v>91.4</v>
      </c>
      <c r="I59" s="79">
        <f>SUM(I58)</f>
        <v>466140</v>
      </c>
      <c r="J59" s="79">
        <f>SUM(J58)</f>
        <v>466140</v>
      </c>
      <c r="K59" s="79" t="e">
        <f ca="1">SUM(K58)</f>
        <v>#NAME?</v>
      </c>
      <c r="L59" s="88"/>
      <c r="M59" s="319"/>
      <c r="N59" s="14"/>
    </row>
    <row r="60" spans="2:14" x14ac:dyDescent="0.2">
      <c r="B60" s="71"/>
      <c r="C60" s="383"/>
      <c r="D60" s="73"/>
      <c r="E60" s="73"/>
      <c r="F60" s="79"/>
      <c r="G60" s="73"/>
      <c r="H60" s="80"/>
      <c r="I60" s="79"/>
      <c r="J60" s="79"/>
      <c r="K60" s="79"/>
      <c r="L60" s="75"/>
      <c r="M60" s="86"/>
      <c r="N60" s="14"/>
    </row>
    <row r="61" spans="2:14" x14ac:dyDescent="0.2">
      <c r="B61" s="71" t="s">
        <v>452</v>
      </c>
      <c r="C61" s="382" t="s">
        <v>373</v>
      </c>
      <c r="D61" s="320" t="e">
        <f ca="1">_xll.BDP(C61,"SECURITY_NAME")</f>
        <v>#NAME?</v>
      </c>
      <c r="E61" s="18" t="s">
        <v>50</v>
      </c>
      <c r="F61" s="19">
        <v>500000</v>
      </c>
      <c r="G61" s="18" t="e">
        <f ca="1">_xll.BDP(C61,"CRNCY")</f>
        <v>#NAME?</v>
      </c>
      <c r="H61" s="140">
        <v>99.625</v>
      </c>
      <c r="I61" s="315">
        <f>F61*H61/100</f>
        <v>498125</v>
      </c>
      <c r="J61" s="316">
        <f>I61</f>
        <v>498125</v>
      </c>
      <c r="K61" s="315" t="e">
        <f ca="1">J61*L61</f>
        <v>#NAME?</v>
      </c>
      <c r="L61" s="140" t="e">
        <f ca="1">_xll.BDH("RUB curncy","PX_LAST",$N61)</f>
        <v>#NAME?</v>
      </c>
      <c r="M61" s="317" t="e">
        <f ca="1">1/_xll.BDH("RUB curncy","PX_LAST",$N61)</f>
        <v>#NAME?</v>
      </c>
      <c r="N61" s="14">
        <v>42353</v>
      </c>
    </row>
    <row r="62" spans="2:14" x14ac:dyDescent="0.2">
      <c r="B62" s="318"/>
      <c r="C62" s="160"/>
      <c r="D62" s="87"/>
      <c r="E62" s="87"/>
      <c r="F62" s="79">
        <f>SUM(F61)</f>
        <v>500000</v>
      </c>
      <c r="G62" s="87"/>
      <c r="H62" s="88">
        <f>J62/F62*100</f>
        <v>99.625</v>
      </c>
      <c r="I62" s="79">
        <f>SUM(I61)</f>
        <v>498125</v>
      </c>
      <c r="J62" s="79">
        <f>SUM(J61)</f>
        <v>498125</v>
      </c>
      <c r="K62" s="79" t="e">
        <f ca="1">SUM(K61)</f>
        <v>#NAME?</v>
      </c>
      <c r="L62" s="88"/>
      <c r="M62" s="319"/>
      <c r="N62" s="14"/>
    </row>
    <row r="63" spans="2:14" x14ac:dyDescent="0.2">
      <c r="B63" s="71"/>
      <c r="C63" s="383"/>
      <c r="D63" s="73"/>
      <c r="E63" s="73"/>
      <c r="F63" s="79"/>
      <c r="G63" s="73"/>
      <c r="H63" s="80"/>
      <c r="I63" s="79"/>
      <c r="J63" s="79"/>
      <c r="K63" s="79"/>
      <c r="L63" s="75"/>
      <c r="M63" s="86"/>
      <c r="N63" s="14"/>
    </row>
    <row r="64" spans="2:14" x14ac:dyDescent="0.2">
      <c r="B64" s="21" t="s">
        <v>452</v>
      </c>
      <c r="C64" s="382" t="s">
        <v>453</v>
      </c>
      <c r="D64" s="18" t="e">
        <f ca="1">_xll.BDP(C64,"SECURITY_NAME")</f>
        <v>#NAME?</v>
      </c>
      <c r="E64" s="18" t="s">
        <v>50</v>
      </c>
      <c r="F64" s="19">
        <v>500000</v>
      </c>
      <c r="G64" s="18" t="e">
        <f ca="1">_xll.BDP(C64,"CRNCY")</f>
        <v>#NAME?</v>
      </c>
      <c r="H64" s="140">
        <v>94.25</v>
      </c>
      <c r="I64" s="315">
        <f>F64*H64/100</f>
        <v>471250</v>
      </c>
      <c r="J64" s="316">
        <f>I64</f>
        <v>471250</v>
      </c>
      <c r="K64" s="315" t="e">
        <f ca="1">J64*L64</f>
        <v>#NAME?</v>
      </c>
      <c r="L64" s="140" t="e">
        <f ca="1">_xll.BDH("RUB curncy","PX_LAST",$N64)</f>
        <v>#NAME?</v>
      </c>
      <c r="M64" s="317" t="e">
        <f ca="1">1/_xll.BDH("RUB curncy","PX_LAST",$N64)</f>
        <v>#NAME?</v>
      </c>
      <c r="N64" s="14">
        <v>42430</v>
      </c>
    </row>
    <row r="65" spans="2:14" x14ac:dyDescent="0.2">
      <c r="B65" s="21" t="s">
        <v>452</v>
      </c>
      <c r="C65" s="382" t="s">
        <v>453</v>
      </c>
      <c r="D65" s="18" t="e">
        <f ca="1">_xll.BDP(C65,"SECURITY_NAME")</f>
        <v>#NAME?</v>
      </c>
      <c r="E65" s="18" t="s">
        <v>50</v>
      </c>
      <c r="F65" s="19">
        <v>500000</v>
      </c>
      <c r="G65" s="18" t="e">
        <f ca="1">_xll.BDP(C65,"CRNCY")</f>
        <v>#NAME?</v>
      </c>
      <c r="H65" s="140">
        <v>97.25</v>
      </c>
      <c r="I65" s="315">
        <f>F65*H65/100</f>
        <v>486250</v>
      </c>
      <c r="J65" s="316">
        <f>I65</f>
        <v>486250</v>
      </c>
      <c r="K65" s="315" t="e">
        <f ca="1">J65*L65</f>
        <v>#NAME?</v>
      </c>
      <c r="L65" s="140" t="e">
        <f ca="1">_xll.BDH("RUB curncy","PX_LAST",$N65)</f>
        <v>#NAME?</v>
      </c>
      <c r="M65" s="317" t="e">
        <f ca="1">1/_xll.BDH("RUB curncy","PX_LAST",$N65)</f>
        <v>#NAME?</v>
      </c>
      <c r="N65" s="14">
        <v>42304</v>
      </c>
    </row>
    <row r="66" spans="2:14" x14ac:dyDescent="0.2">
      <c r="B66" s="318"/>
      <c r="C66" s="160"/>
      <c r="D66" s="87"/>
      <c r="E66" s="87">
        <v>0.8</v>
      </c>
      <c r="F66" s="79">
        <f>SUM(F64:F65)</f>
        <v>1000000</v>
      </c>
      <c r="G66" s="87"/>
      <c r="H66" s="88">
        <f>J66/F66*100</f>
        <v>95.75</v>
      </c>
      <c r="I66" s="79">
        <f>SUM(I64:I65)</f>
        <v>957500</v>
      </c>
      <c r="J66" s="79">
        <f>SUM(J64:J65)</f>
        <v>957500</v>
      </c>
      <c r="K66" s="79" t="e">
        <f ca="1">SUM(K64:K65)*E66</f>
        <v>#NAME?</v>
      </c>
      <c r="L66" s="88"/>
      <c r="M66" s="319"/>
      <c r="N66" s="14"/>
    </row>
    <row r="67" spans="2:14" x14ac:dyDescent="0.2">
      <c r="C67" s="383"/>
    </row>
    <row r="68" spans="2:14" x14ac:dyDescent="0.2">
      <c r="B68" s="21" t="s">
        <v>452</v>
      </c>
      <c r="C68" s="20" t="s">
        <v>2</v>
      </c>
      <c r="D68" s="18" t="e">
        <f ca="1">_xll.BDP(C68,"SECURITY_NAME")</f>
        <v>#NAME?</v>
      </c>
      <c r="E68" s="18" t="s">
        <v>50</v>
      </c>
      <c r="F68" s="19">
        <v>3920</v>
      </c>
      <c r="G68" s="18" t="e">
        <f ca="1">_xll.BDP(C68,"CRNCY")</f>
        <v>#NAME?</v>
      </c>
      <c r="H68" s="22">
        <v>800</v>
      </c>
      <c r="I68" s="15">
        <f>F68*H68</f>
        <v>3136000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42304</v>
      </c>
    </row>
    <row r="69" spans="2:14" x14ac:dyDescent="0.2">
      <c r="B69" s="71"/>
      <c r="C69" s="33"/>
      <c r="D69" s="73"/>
      <c r="E69" s="73"/>
      <c r="F69" s="79">
        <f>SUM(F68:F68)</f>
        <v>3920</v>
      </c>
      <c r="G69" s="73"/>
      <c r="H69" s="80">
        <f>I69/F69</f>
        <v>800</v>
      </c>
      <c r="I69" s="79">
        <f>SUM(I68:I68)</f>
        <v>3136000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0" spans="2:14" x14ac:dyDescent="0.2">
      <c r="B70" s="71"/>
      <c r="C70" s="33"/>
      <c r="D70" s="73"/>
      <c r="E70" s="73"/>
      <c r="F70" s="79"/>
      <c r="G70" s="73"/>
      <c r="H70" s="80"/>
      <c r="I70" s="79"/>
      <c r="J70" s="79"/>
      <c r="K70" s="79"/>
      <c r="L70" s="75"/>
      <c r="M70" s="86"/>
      <c r="N70" s="14"/>
    </row>
    <row r="71" spans="2:14" x14ac:dyDescent="0.2">
      <c r="B71" s="21" t="s">
        <v>452</v>
      </c>
      <c r="C71" s="20" t="s">
        <v>432</v>
      </c>
      <c r="D71" s="18" t="e">
        <f ca="1">_xll.BDP(C71,"SECURITY_NAME")</f>
        <v>#NAME?</v>
      </c>
      <c r="E71" s="18" t="s">
        <v>50</v>
      </c>
      <c r="F71" s="19">
        <v>4000</v>
      </c>
      <c r="G71" s="18" t="e">
        <f ca="1">_xll.BDP(C71,"CRNCY")</f>
        <v>#NAME?</v>
      </c>
      <c r="H71" s="22">
        <v>12.5</v>
      </c>
      <c r="I71" s="15">
        <f>F71*H71</f>
        <v>50000</v>
      </c>
      <c r="J71" s="16">
        <f>I71</f>
        <v>50000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42305</v>
      </c>
    </row>
    <row r="72" spans="2:14" x14ac:dyDescent="0.2">
      <c r="B72" s="71"/>
      <c r="C72" s="33"/>
      <c r="D72" s="73"/>
      <c r="E72" s="73"/>
      <c r="F72" s="79">
        <f>SUM(F71:F71)</f>
        <v>4000</v>
      </c>
      <c r="G72" s="73"/>
      <c r="H72" s="80">
        <f>I72/F72</f>
        <v>12.5</v>
      </c>
      <c r="I72" s="79">
        <f>SUM(I71:I71)</f>
        <v>50000</v>
      </c>
      <c r="J72" s="79">
        <f>SUM(J71:J71)</f>
        <v>50000</v>
      </c>
      <c r="K72" s="79" t="e">
        <f ca="1">SUM(K71:K71)</f>
        <v>#NAME?</v>
      </c>
      <c r="L72" s="75"/>
      <c r="M72" s="86"/>
      <c r="N72" s="14"/>
    </row>
    <row r="74" spans="2:14" x14ac:dyDescent="0.2">
      <c r="B74" s="21" t="s">
        <v>452</v>
      </c>
      <c r="C74" s="20" t="s">
        <v>334</v>
      </c>
      <c r="D74" s="18" t="e">
        <f ca="1">_xll.BDP(C74,"SECURITY_NAME")</f>
        <v>#NAME?</v>
      </c>
      <c r="E74" s="18" t="s">
        <v>50</v>
      </c>
      <c r="F74" s="19">
        <v>15000</v>
      </c>
      <c r="G74" s="18" t="e">
        <f ca="1">_xll.BDP(C74,"CRNCY")</f>
        <v>#NAME?</v>
      </c>
      <c r="H74" s="22">
        <v>212.25</v>
      </c>
      <c r="I74" s="15">
        <f>F74*H74</f>
        <v>3183750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42563</v>
      </c>
    </row>
    <row r="75" spans="2:14" x14ac:dyDescent="0.2">
      <c r="B75" s="21" t="s">
        <v>452</v>
      </c>
      <c r="C75" s="20" t="s">
        <v>334</v>
      </c>
      <c r="D75" s="18" t="e">
        <f ca="1">_xll.BDP(C75,"SECURITY_NAME")</f>
        <v>#NAME?</v>
      </c>
      <c r="E75" s="18" t="s">
        <v>50</v>
      </c>
      <c r="F75" s="19">
        <v>12350</v>
      </c>
      <c r="G75" s="18" t="e">
        <f ca="1">_xll.BDP(C75,"CRNCY")</f>
        <v>#NAME?</v>
      </c>
      <c r="H75" s="22">
        <v>259</v>
      </c>
      <c r="I75" s="15">
        <f>F75*H75</f>
        <v>3198650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42304</v>
      </c>
    </row>
    <row r="76" spans="2:14" x14ac:dyDescent="0.2">
      <c r="B76" s="71"/>
      <c r="C76" s="33"/>
      <c r="D76" s="73"/>
      <c r="E76" s="73"/>
      <c r="F76" s="79">
        <f>SUM(F74:F75)</f>
        <v>27350</v>
      </c>
      <c r="G76" s="73"/>
      <c r="H76" s="80">
        <f>I76/F76</f>
        <v>233.3601462522852</v>
      </c>
      <c r="I76" s="79">
        <f>SUM(I74:I75)</f>
        <v>6382400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8" spans="2:14" x14ac:dyDescent="0.2">
      <c r="B78" s="21" t="s">
        <v>452</v>
      </c>
      <c r="C78" s="20" t="s">
        <v>342</v>
      </c>
      <c r="D78" s="18" t="e">
        <f ca="1">_xll.BDP(C78,"SECURITY_NAME")</f>
        <v>#NAME?</v>
      </c>
      <c r="E78" s="18" t="s">
        <v>50</v>
      </c>
      <c r="F78" s="19">
        <v>2904</v>
      </c>
      <c r="G78" s="18" t="e">
        <f ca="1">_xll.BDP(C78,"CRNCY")</f>
        <v>#NAME?</v>
      </c>
      <c r="H78" s="22">
        <v>11.4</v>
      </c>
      <c r="I78" s="15">
        <f>F78*H78</f>
        <v>33105.599999999999</v>
      </c>
      <c r="J78" s="16">
        <f>I78</f>
        <v>33105.599999999999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42328</v>
      </c>
    </row>
    <row r="79" spans="2:14" x14ac:dyDescent="0.2">
      <c r="B79" s="21" t="s">
        <v>452</v>
      </c>
      <c r="C79" s="20" t="s">
        <v>342</v>
      </c>
      <c r="D79" s="18" t="e">
        <f ca="1">_xll.BDP(C79,"SECURITY_NAME")</f>
        <v>#NAME?</v>
      </c>
      <c r="E79" s="18" t="s">
        <v>50</v>
      </c>
      <c r="F79" s="19">
        <v>4400</v>
      </c>
      <c r="G79" s="18" t="e">
        <f ca="1">_xll.BDP(C79,"CRNCY")</f>
        <v>#NAME?</v>
      </c>
      <c r="H79" s="22">
        <v>11.35</v>
      </c>
      <c r="I79" s="15">
        <f>F79*H79</f>
        <v>49940</v>
      </c>
      <c r="J79" s="16">
        <f>I79</f>
        <v>49940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42305</v>
      </c>
    </row>
    <row r="80" spans="2:14" x14ac:dyDescent="0.2">
      <c r="B80" s="71"/>
      <c r="C80" s="33"/>
      <c r="D80" s="73"/>
      <c r="E80" s="73"/>
      <c r="F80" s="79">
        <f>SUM(F78:F79)</f>
        <v>7304</v>
      </c>
      <c r="G80" s="73"/>
      <c r="H80" s="80">
        <f>I80/F80</f>
        <v>11.36987951807229</v>
      </c>
      <c r="I80" s="79">
        <f>SUM(I78:I79)</f>
        <v>83045.600000000006</v>
      </c>
      <c r="J80" s="79">
        <f>SUM(J78:J79)</f>
        <v>83045.600000000006</v>
      </c>
      <c r="K80" s="79" t="e">
        <f ca="1">SUM(K78:K79)</f>
        <v>#NAME?</v>
      </c>
      <c r="L80" s="75"/>
      <c r="M80" s="86"/>
      <c r="N80" s="14"/>
    </row>
    <row r="82" spans="2:14" x14ac:dyDescent="0.2">
      <c r="B82" s="21" t="s">
        <v>452</v>
      </c>
      <c r="C82" s="20" t="s">
        <v>4</v>
      </c>
      <c r="D82" s="18" t="e">
        <f ca="1">_xll.BDP(C82,"SECURITY_NAME")</f>
        <v>#NAME?</v>
      </c>
      <c r="E82" s="18" t="s">
        <v>50</v>
      </c>
      <c r="F82" s="19">
        <v>26000</v>
      </c>
      <c r="G82" s="18" t="e">
        <f ca="1">_xll.BDP(C82,"CRNCY")</f>
        <v>#NAME?</v>
      </c>
      <c r="H82" s="22">
        <v>1.915</v>
      </c>
      <c r="I82" s="15">
        <f>F82*H82</f>
        <v>49790</v>
      </c>
      <c r="J82" s="16">
        <f>I82</f>
        <v>49790</v>
      </c>
      <c r="K82" s="15" t="e">
        <f ca="1">J82*L82</f>
        <v>#NAME?</v>
      </c>
      <c r="L82" s="22" t="e">
        <f ca="1">_xll.BDH("RUB curncy","PX_LAST",$N82)</f>
        <v>#NAME?</v>
      </c>
      <c r="M82" s="85" t="e">
        <f ca="1">1/_xll.BDH("RUB curncy","PX_LAST",$N82)</f>
        <v>#NAME?</v>
      </c>
      <c r="N82" s="14">
        <v>42305</v>
      </c>
    </row>
    <row r="83" spans="2:14" x14ac:dyDescent="0.2">
      <c r="B83" s="71"/>
      <c r="C83" s="33"/>
      <c r="D83" s="73"/>
      <c r="E83" s="73"/>
      <c r="F83" s="79">
        <f>SUM(F82:F82)</f>
        <v>26000</v>
      </c>
      <c r="G83" s="73"/>
      <c r="H83" s="80">
        <f>I83/F83</f>
        <v>1.915</v>
      </c>
      <c r="I83" s="79">
        <f>SUM(I82:I82)</f>
        <v>49790</v>
      </c>
      <c r="J83" s="79">
        <f>SUM(J82:J82)</f>
        <v>49790</v>
      </c>
      <c r="K83" s="79" t="e">
        <f ca="1">SUM(K82:K82)</f>
        <v>#NAME?</v>
      </c>
      <c r="L83" s="75"/>
      <c r="M83" s="86"/>
      <c r="N83" s="14"/>
    </row>
    <row r="85" spans="2:14" x14ac:dyDescent="0.2">
      <c r="B85" s="21" t="s">
        <v>452</v>
      </c>
      <c r="C85" s="20" t="s">
        <v>359</v>
      </c>
      <c r="D85" s="18" t="e">
        <f ca="1">_xll.BDP(C85,"SECURITY_NAME")</f>
        <v>#NAME?</v>
      </c>
      <c r="E85" s="18" t="s">
        <v>50</v>
      </c>
      <c r="F85" s="19">
        <v>3364</v>
      </c>
      <c r="G85" s="18" t="e">
        <f ca="1">_xll.BDP(C85,"CRNCY")</f>
        <v>#NAME?</v>
      </c>
      <c r="H85" s="22">
        <v>14.875</v>
      </c>
      <c r="I85" s="15">
        <f>F85*H85</f>
        <v>50039.5</v>
      </c>
      <c r="J85" s="16">
        <f>I85</f>
        <v>50039.5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42306</v>
      </c>
    </row>
    <row r="86" spans="2:14" x14ac:dyDescent="0.2">
      <c r="B86" s="71"/>
      <c r="C86" s="33"/>
      <c r="D86" s="73"/>
      <c r="E86" s="73"/>
      <c r="F86" s="79">
        <f>SUM(F85:F85)</f>
        <v>3364</v>
      </c>
      <c r="G86" s="73"/>
      <c r="H86" s="80">
        <f>I86/F86</f>
        <v>14.875</v>
      </c>
      <c r="I86" s="79">
        <f>SUM(I85:I85)</f>
        <v>50039.5</v>
      </c>
      <c r="J86" s="79">
        <f>SUM(J85:J85)</f>
        <v>50039.5</v>
      </c>
      <c r="K86" s="79" t="e">
        <f ca="1">SUM(K85:K85)</f>
        <v>#NAME?</v>
      </c>
      <c r="L86" s="75"/>
      <c r="M86" s="86"/>
      <c r="N86" s="14"/>
    </row>
    <row r="88" spans="2:14" x14ac:dyDescent="0.2">
      <c r="B88" s="21" t="s">
        <v>452</v>
      </c>
      <c r="C88" s="20" t="s">
        <v>12</v>
      </c>
      <c r="D88" s="18" t="e">
        <f ca="1">_xll.BDP(C88,"SECURITY_NAME")</f>
        <v>#NAME?</v>
      </c>
      <c r="E88" s="18" t="s">
        <v>50</v>
      </c>
      <c r="F88" s="19">
        <v>3000</v>
      </c>
      <c r="G88" s="18" t="e">
        <f ca="1">_xll.BDP(C88,"CRNCY")</f>
        <v>#NAME?</v>
      </c>
      <c r="H88" s="22">
        <v>11.7</v>
      </c>
      <c r="I88" s="15">
        <f>F88*H88</f>
        <v>35100</v>
      </c>
      <c r="J88" s="16">
        <f>I88</f>
        <v>35100</v>
      </c>
      <c r="K88" s="15" t="e">
        <f ca="1">J88*L88</f>
        <v>#NAME?</v>
      </c>
      <c r="L88" s="22" t="e">
        <f ca="1">_xll.BDH("RUB curncy","PX_LAST",$N88)</f>
        <v>#NAME?</v>
      </c>
      <c r="M88" s="85" t="e">
        <f ca="1">1/_xll.BDH("RUB curncy","PX_LAST",$N88)</f>
        <v>#NAME?</v>
      </c>
      <c r="N88" s="14">
        <v>42509</v>
      </c>
    </row>
    <row r="89" spans="2:14" x14ac:dyDescent="0.2">
      <c r="B89" s="21" t="s">
        <v>452</v>
      </c>
      <c r="C89" s="20" t="s">
        <v>12</v>
      </c>
      <c r="D89" s="18" t="e">
        <f ca="1">_xll.BDP(C89,"SECURITY_NAME")</f>
        <v>#NAME?</v>
      </c>
      <c r="E89" s="18" t="s">
        <v>50</v>
      </c>
      <c r="F89" s="19">
        <v>3000</v>
      </c>
      <c r="G89" s="18" t="e">
        <f ca="1">_xll.BDP(C89,"CRNCY")</f>
        <v>#NAME?</v>
      </c>
      <c r="H89" s="22">
        <v>16.929915999999999</v>
      </c>
      <c r="I89" s="15">
        <f>F89*H89</f>
        <v>50789.747999999992</v>
      </c>
      <c r="J89" s="16">
        <f>I89</f>
        <v>50789.747999999992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42307</v>
      </c>
    </row>
    <row r="90" spans="2:14" x14ac:dyDescent="0.2">
      <c r="B90" s="71"/>
      <c r="C90" s="33"/>
      <c r="D90" s="73"/>
      <c r="E90" s="73"/>
      <c r="F90" s="79">
        <f>SUM(F88:F89)</f>
        <v>6000</v>
      </c>
      <c r="G90" s="73"/>
      <c r="H90" s="80">
        <f>I90/F90</f>
        <v>14.314957999999999</v>
      </c>
      <c r="I90" s="79">
        <f>SUM(I88:I89)</f>
        <v>85889.747999999992</v>
      </c>
      <c r="J90" s="79">
        <f>SUM(J88:J89)</f>
        <v>85889.747999999992</v>
      </c>
      <c r="K90" s="79" t="e">
        <f ca="1">SUM(K88:K89)</f>
        <v>#NAME?</v>
      </c>
      <c r="L90" s="75"/>
      <c r="M90" s="86"/>
      <c r="N90" s="14"/>
    </row>
    <row r="91" spans="2:14" x14ac:dyDescent="0.2">
      <c r="B91" s="71"/>
      <c r="C91" s="33"/>
      <c r="D91" s="73"/>
      <c r="E91" s="73"/>
      <c r="F91" s="79"/>
      <c r="G91" s="73"/>
      <c r="H91" s="80"/>
      <c r="I91" s="79"/>
      <c r="J91" s="79"/>
      <c r="K91" s="79"/>
      <c r="L91" s="75"/>
      <c r="M91" s="86"/>
      <c r="N91" s="14"/>
    </row>
    <row r="92" spans="2:14" x14ac:dyDescent="0.2">
      <c r="B92" s="21" t="s">
        <v>452</v>
      </c>
      <c r="C92" s="118" t="s">
        <v>166</v>
      </c>
      <c r="D92" s="18" t="e">
        <f ca="1">_xll.BDP(C92,"SECURITY_NAME")</f>
        <v>#NAME?</v>
      </c>
      <c r="E92" s="18" t="s">
        <v>50</v>
      </c>
      <c r="F92" s="19">
        <v>500000</v>
      </c>
      <c r="G92" s="18" t="e">
        <f ca="1">_xll.BDP(C92,"CRNCY")</f>
        <v>#NAME?</v>
      </c>
      <c r="H92" s="140">
        <v>96.2</v>
      </c>
      <c r="I92" s="315">
        <f>F92*H92/100</f>
        <v>481000</v>
      </c>
      <c r="J92" s="316">
        <f>I92</f>
        <v>481000</v>
      </c>
      <c r="K92" s="315" t="e">
        <f ca="1">J92*L92</f>
        <v>#NAME?</v>
      </c>
      <c r="L92" s="140" t="e">
        <f ca="1">_xll.BDH("RUB curncy","PX_LAST",$N92)</f>
        <v>#NAME?</v>
      </c>
      <c r="M92" s="317" t="e">
        <f ca="1">1/_xll.BDH("RUB curncy","PX_LAST",$N92)</f>
        <v>#NAME?</v>
      </c>
      <c r="N92" s="14">
        <v>42355</v>
      </c>
    </row>
    <row r="93" spans="2:14" x14ac:dyDescent="0.2">
      <c r="B93" s="21" t="s">
        <v>452</v>
      </c>
      <c r="C93" s="118" t="s">
        <v>166</v>
      </c>
      <c r="D93" s="18" t="e">
        <f ca="1">_xll.BDP(C93,"SECURITY_NAME")</f>
        <v>#NAME?</v>
      </c>
      <c r="E93" s="18" t="s">
        <v>50</v>
      </c>
      <c r="F93" s="19">
        <v>500000</v>
      </c>
      <c r="G93" s="18" t="e">
        <f ca="1">_xll.BDP(C93,"CRNCY")</f>
        <v>#NAME?</v>
      </c>
      <c r="H93" s="140">
        <v>98.25</v>
      </c>
      <c r="I93" s="315">
        <f>F93*H93/100</f>
        <v>491250</v>
      </c>
      <c r="J93" s="316">
        <f>I93</f>
        <v>491250</v>
      </c>
      <c r="K93" s="315" t="e">
        <f ca="1">J93*L93</f>
        <v>#NAME?</v>
      </c>
      <c r="L93" s="140" t="e">
        <f ca="1">_xll.BDH("RUB curncy","PX_LAST",$N93)</f>
        <v>#NAME?</v>
      </c>
      <c r="M93" s="317" t="e">
        <f ca="1">1/_xll.BDH("RUB curncy","PX_LAST",$N93)</f>
        <v>#NAME?</v>
      </c>
      <c r="N93" s="14">
        <v>42314</v>
      </c>
    </row>
    <row r="94" spans="2:14" x14ac:dyDescent="0.2">
      <c r="B94" s="318"/>
      <c r="C94" s="160"/>
      <c r="D94" s="87"/>
      <c r="E94" s="87"/>
      <c r="F94" s="79">
        <f>SUM(F92:F93)</f>
        <v>1000000</v>
      </c>
      <c r="G94" s="87"/>
      <c r="H94" s="88">
        <f>J94/F94*100</f>
        <v>97.224999999999994</v>
      </c>
      <c r="I94" s="79">
        <f>SUM(I92:I93)</f>
        <v>972250</v>
      </c>
      <c r="J94" s="79">
        <f>SUM(J92:J93)</f>
        <v>972250</v>
      </c>
      <c r="K94" s="79" t="e">
        <f ca="1">SUM(K92:K93)</f>
        <v>#NAME?</v>
      </c>
      <c r="L94" s="88"/>
      <c r="M94" s="319"/>
      <c r="N94" s="14"/>
    </row>
    <row r="95" spans="2:14" x14ac:dyDescent="0.2">
      <c r="B95" s="318"/>
      <c r="C95" s="160"/>
      <c r="D95" s="87"/>
      <c r="E95" s="87"/>
      <c r="F95" s="79"/>
      <c r="G95" s="87"/>
      <c r="H95" s="88"/>
      <c r="I95" s="79"/>
      <c r="J95" s="79"/>
      <c r="K95" s="79"/>
      <c r="L95" s="88"/>
      <c r="M95" s="319"/>
      <c r="N95" s="14"/>
    </row>
    <row r="96" spans="2:14" x14ac:dyDescent="0.2">
      <c r="B96" s="21" t="s">
        <v>452</v>
      </c>
      <c r="C96" s="118" t="s">
        <v>60</v>
      </c>
      <c r="D96" s="18" t="e">
        <f ca="1">_xll.BDP(C96,"SECURITY_NAME")</f>
        <v>#NAME?</v>
      </c>
      <c r="E96" s="18" t="s">
        <v>50</v>
      </c>
      <c r="F96" s="19">
        <v>500000</v>
      </c>
      <c r="G96" s="18" t="e">
        <f ca="1">_xll.BDP(C96,"CRNCY")</f>
        <v>#NAME?</v>
      </c>
      <c r="H96" s="140">
        <v>105.78</v>
      </c>
      <c r="I96" s="315">
        <f>F96*H96/100</f>
        <v>528900</v>
      </c>
      <c r="J96" s="316">
        <f>I96</f>
        <v>528900</v>
      </c>
      <c r="K96" s="315" t="e">
        <f ca="1">J96*L96</f>
        <v>#NAME?</v>
      </c>
      <c r="L96" s="140" t="e">
        <f ca="1">_xll.BDH("RUB curncy","PX_LAST",$N96)</f>
        <v>#NAME?</v>
      </c>
      <c r="M96" s="317" t="e">
        <f ca="1">1/_xll.BDH("RUB curncy","PX_LAST",$N96)</f>
        <v>#NAME?</v>
      </c>
      <c r="N96" s="14">
        <v>42355</v>
      </c>
    </row>
    <row r="97" spans="2:14" x14ac:dyDescent="0.2">
      <c r="B97" s="21" t="s">
        <v>452</v>
      </c>
      <c r="C97" s="118" t="s">
        <v>60</v>
      </c>
      <c r="D97" s="18" t="e">
        <f ca="1">_xll.BDP(C97,"SECURITY_NAME")</f>
        <v>#NAME?</v>
      </c>
      <c r="E97" s="18" t="s">
        <v>50</v>
      </c>
      <c r="F97" s="19">
        <v>500000</v>
      </c>
      <c r="G97" s="18" t="e">
        <f ca="1">_xll.BDP(C97,"CRNCY")</f>
        <v>#NAME?</v>
      </c>
      <c r="H97" s="140">
        <v>107.25</v>
      </c>
      <c r="I97" s="315">
        <f>F97*H97/100</f>
        <v>536250</v>
      </c>
      <c r="J97" s="316">
        <f>I97</f>
        <v>536250</v>
      </c>
      <c r="K97" s="315" t="e">
        <f ca="1">J97*L97</f>
        <v>#NAME?</v>
      </c>
      <c r="L97" s="140" t="e">
        <f ca="1">_xll.BDH("RUB curncy","PX_LAST",$N97)</f>
        <v>#NAME?</v>
      </c>
      <c r="M97" s="317" t="e">
        <f ca="1">1/_xll.BDH("RUB curncy","PX_LAST",$N97)</f>
        <v>#NAME?</v>
      </c>
      <c r="N97" s="14">
        <v>42314</v>
      </c>
    </row>
    <row r="98" spans="2:14" x14ac:dyDescent="0.2">
      <c r="B98" s="318"/>
      <c r="C98" s="160"/>
      <c r="D98" s="87"/>
      <c r="E98" s="87"/>
      <c r="F98" s="79">
        <f>SUM(F96:F97)</f>
        <v>1000000</v>
      </c>
      <c r="G98" s="87"/>
      <c r="H98" s="88">
        <f>J98/F98*100</f>
        <v>106.515</v>
      </c>
      <c r="I98" s="79">
        <f>SUM(I96:I97)</f>
        <v>1065150</v>
      </c>
      <c r="J98" s="79">
        <f>SUM(J96:J97)</f>
        <v>1065150</v>
      </c>
      <c r="K98" s="79" t="e">
        <f ca="1">SUM(K96:K97)</f>
        <v>#NAME?</v>
      </c>
      <c r="L98" s="88"/>
      <c r="M98" s="319"/>
      <c r="N98" s="14"/>
    </row>
    <row r="100" spans="2:14" x14ac:dyDescent="0.2">
      <c r="B100" s="21" t="s">
        <v>452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22222</v>
      </c>
      <c r="G100" s="18" t="e">
        <f ca="1">_xll.BDP(C100,"CRNCY")</f>
        <v>#NAME?</v>
      </c>
      <c r="H100" s="22">
        <v>4.4957209999999996</v>
      </c>
      <c r="I100" s="15">
        <f>F100*H100</f>
        <v>99903.912061999989</v>
      </c>
      <c r="J100" s="16">
        <f>I100</f>
        <v>99903.912061999989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42594</v>
      </c>
    </row>
    <row r="101" spans="2:14" x14ac:dyDescent="0.2">
      <c r="B101" s="71"/>
      <c r="C101" s="33"/>
      <c r="D101" s="73"/>
      <c r="E101" s="73"/>
      <c r="F101" s="79">
        <f>SUM(F100:F100)</f>
        <v>22222</v>
      </c>
      <c r="G101" s="73"/>
      <c r="H101" s="80">
        <f>I101/F101</f>
        <v>4.4957209999999996</v>
      </c>
      <c r="I101" s="79">
        <f>SUM(I100:I100)</f>
        <v>99903.912061999989</v>
      </c>
      <c r="J101" s="79">
        <f>SUM(J100:J100)</f>
        <v>99903.912061999989</v>
      </c>
      <c r="K101" s="79" t="e">
        <f ca="1">SUM(K100:K100)</f>
        <v>#NAME?</v>
      </c>
      <c r="L101" s="75"/>
      <c r="M101" s="86"/>
      <c r="N101" s="14"/>
    </row>
    <row r="103" spans="2:14" x14ac:dyDescent="0.2">
      <c r="B103" s="21" t="s">
        <v>452</v>
      </c>
      <c r="C103" s="20" t="s">
        <v>10</v>
      </c>
      <c r="D103" s="18" t="e">
        <f ca="1">_xll.BDP(C103,"SECURITY_NAME")</f>
        <v>#NAME?</v>
      </c>
      <c r="E103" s="18" t="s">
        <v>50</v>
      </c>
      <c r="F103" s="19">
        <v>2800</v>
      </c>
      <c r="G103" s="18" t="e">
        <f ca="1">_xll.BDP(C103,"CRNCY")</f>
        <v>#NAME?</v>
      </c>
      <c r="H103" s="22">
        <v>17.949821</v>
      </c>
      <c r="I103" s="15">
        <f>F103*H103</f>
        <v>50259.498800000001</v>
      </c>
      <c r="J103" s="16">
        <f>I103</f>
        <v>50259.498800000001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42690</v>
      </c>
    </row>
    <row r="104" spans="2:14" x14ac:dyDescent="0.2">
      <c r="B104" s="71"/>
      <c r="C104" s="33"/>
      <c r="D104" s="73"/>
      <c r="E104" s="73"/>
      <c r="F104" s="79">
        <f>SUM(F103:F103)</f>
        <v>2800</v>
      </c>
      <c r="G104" s="73"/>
      <c r="H104" s="80">
        <f>I104/F104</f>
        <v>17.949821</v>
      </c>
      <c r="I104" s="79">
        <f>SUM(I103:I103)</f>
        <v>50259.498800000001</v>
      </c>
      <c r="J104" s="79">
        <f>SUM(J103:J103)</f>
        <v>50259.498800000001</v>
      </c>
      <c r="K104" s="79" t="e">
        <f ca="1">SUM(K103:K103)</f>
        <v>#NAME?</v>
      </c>
      <c r="L104" s="75"/>
      <c r="M104" s="86"/>
      <c r="N104" s="14"/>
    </row>
  </sheetData>
  <sortState ref="A4:Y14">
    <sortCondition descending="1" ref="I4:I14"/>
  </sortState>
  <mergeCells count="1">
    <mergeCell ref="I21:J22"/>
  </mergeCells>
  <conditionalFormatting sqref="H26">
    <cfRule type="dataBar" priority="1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{8BE2E413-419F-424F-AC85-88F813B6ED47}</x14:id>
        </ext>
      </extLst>
    </cfRule>
    <cfRule type="cellIs" dxfId="6772" priority="1464" operator="equal">
      <formula>1</formula>
    </cfRule>
  </conditionalFormatting>
  <conditionalFormatting sqref="D26 E91">
    <cfRule type="containsText" dxfId="6771" priority="1462" operator="containsText" text="Buy">
      <formula>NOT(ISERROR(SEARCH("Buy",D26)))</formula>
    </cfRule>
    <cfRule type="containsText" dxfId="6770" priority="1463" operator="containsText" text="Sell">
      <formula>NOT(ISERROR(SEARCH("Sell",D26)))</formula>
    </cfRule>
  </conditionalFormatting>
  <conditionalFormatting sqref="L7">
    <cfRule type="dataBar" priority="14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{D9761547-5364-43C5-9533-768432AEDA11}</x14:id>
        </ext>
      </extLst>
    </cfRule>
  </conditionalFormatting>
  <conditionalFormatting sqref="L7">
    <cfRule type="dataBar" priority="1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{EBD19BC9-3CED-4A5E-AD63-48588818BE47}</x14:id>
        </ext>
      </extLst>
    </cfRule>
  </conditionalFormatting>
  <conditionalFormatting sqref="L7">
    <cfRule type="dataBar" priority="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{B438B324-D609-4759-AB6B-8BB49894AE85}</x14:id>
        </ext>
      </extLst>
    </cfRule>
  </conditionalFormatting>
  <conditionalFormatting sqref="L7">
    <cfRule type="dataBar" priority="1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{329A88E9-71CB-48ED-9719-1D138209EB9E}</x14:id>
        </ext>
      </extLst>
    </cfRule>
  </conditionalFormatting>
  <conditionalFormatting sqref="L7">
    <cfRule type="dataBar" priority="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{7A84E33B-97E5-4F9E-A450-65EC71590B33}</x14:id>
        </ext>
      </extLst>
    </cfRule>
  </conditionalFormatting>
  <conditionalFormatting sqref="E53">
    <cfRule type="containsText" dxfId="6769" priority="1359" operator="containsText" text="Buy">
      <formula>NOT(ISERROR(SEARCH("Buy",E53)))</formula>
    </cfRule>
    <cfRule type="containsText" dxfId="6768" priority="1360" operator="containsText" text="Sell">
      <formula>NOT(ISERROR(SEARCH("Sell",E53)))</formula>
    </cfRule>
  </conditionalFormatting>
  <conditionalFormatting sqref="E56:E57 E63 E60">
    <cfRule type="containsText" dxfId="6767" priority="1345" operator="containsText" text="Buy">
      <formula>NOT(ISERROR(SEARCH("Buy",E56)))</formula>
    </cfRule>
    <cfRule type="containsText" dxfId="6766" priority="1346" operator="containsText" text="Sell">
      <formula>NOT(ISERROR(SEARCH("Sell",E56)))</formula>
    </cfRule>
  </conditionalFormatting>
  <conditionalFormatting sqref="E55">
    <cfRule type="containsText" dxfId="6765" priority="1343" operator="containsText" text="Buy">
      <formula>NOT(ISERROR(SEARCH("Buy",E55)))</formula>
    </cfRule>
    <cfRule type="containsText" dxfId="6764" priority="1344" operator="containsText" text="Sell">
      <formula>NOT(ISERROR(SEARCH("Sell",E55)))</formula>
    </cfRule>
  </conditionalFormatting>
  <conditionalFormatting sqref="M7">
    <cfRule type="dataBar" priority="11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{A17EAABD-3D1B-423D-894B-A0863AA0C1F8}</x14:id>
        </ext>
      </extLst>
    </cfRule>
  </conditionalFormatting>
  <conditionalFormatting sqref="M7">
    <cfRule type="dataBar" priority="1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{910DAD87-FA3D-420F-A590-D2D9E20DDBA9}</x14:id>
        </ext>
      </extLst>
    </cfRule>
  </conditionalFormatting>
  <conditionalFormatting sqref="M7">
    <cfRule type="dataBar" priority="11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{083D8749-E3CB-45FA-B79E-8FEFD42B336C}</x14:id>
        </ext>
      </extLst>
    </cfRule>
  </conditionalFormatting>
  <conditionalFormatting sqref="L7:M7">
    <cfRule type="dataBar" priority="11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{1438011D-875B-4917-A8E9-060E7AB62469}</x14:id>
        </ext>
      </extLst>
    </cfRule>
  </conditionalFormatting>
  <conditionalFormatting sqref="E52">
    <cfRule type="containsText" dxfId="6763" priority="929" operator="containsText" text="Buy">
      <formula>NOT(ISERROR(SEARCH("Buy",E52)))</formula>
    </cfRule>
    <cfRule type="containsText" dxfId="6762" priority="930" operator="containsText" text="Sell">
      <formula>NOT(ISERROR(SEARCH("Sell",E52)))</formula>
    </cfRule>
  </conditionalFormatting>
  <conditionalFormatting sqref="E51">
    <cfRule type="containsText" dxfId="6761" priority="927" operator="containsText" text="Buy">
      <formula>NOT(ISERROR(SEARCH("Buy",E51)))</formula>
    </cfRule>
    <cfRule type="containsText" dxfId="6760" priority="928" operator="containsText" text="Sell">
      <formula>NOT(ISERROR(SEARCH("Sell",E51)))</formula>
    </cfRule>
  </conditionalFormatting>
  <conditionalFormatting sqref="L15:M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{A3111FD9-93A0-424B-B6A4-83E52EB4B3E1}</x14:id>
        </ext>
      </extLst>
    </cfRule>
  </conditionalFormatting>
  <conditionalFormatting sqref="L15:M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{F85C27B4-B3F1-4EE7-8F08-F82D05B7464B}</x14:id>
        </ext>
      </extLst>
    </cfRule>
  </conditionalFormatting>
  <conditionalFormatting sqref="L1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{78663FE4-6B2B-4FD0-8CC2-7FE5577FC0E5}</x14:id>
        </ext>
      </extLst>
    </cfRule>
  </conditionalFormatting>
  <conditionalFormatting sqref="M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{16A8EB75-01FA-4172-B707-809E3DB3E15D}</x14:id>
        </ext>
      </extLst>
    </cfRule>
  </conditionalFormatting>
  <conditionalFormatting sqref="L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{0C1BA537-2381-4F8E-AEA2-14EF833954E7}</x14:id>
        </ext>
      </extLst>
    </cfRule>
  </conditionalFormatting>
  <conditionalFormatting sqref="M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{2F3ED7FF-A07D-4B90-BC6F-8362DB023991}</x14:id>
        </ext>
      </extLst>
    </cfRule>
  </conditionalFormatting>
  <conditionalFormatting sqref="L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{155CA1DC-5559-485A-AD00-2D952449A070}</x14:id>
        </ext>
      </extLst>
    </cfRule>
  </conditionalFormatting>
  <conditionalFormatting sqref="M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{246E5C5F-8472-4A11-899D-87638275554A}</x14:id>
        </ext>
      </extLst>
    </cfRule>
  </conditionalFormatting>
  <conditionalFormatting sqref="V15">
    <cfRule type="dataBar" priority="9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{12FE7714-F7D9-4FB8-ABFD-04696DA50913}</x14:id>
        </ext>
      </extLst>
    </cfRule>
  </conditionalFormatting>
  <conditionalFormatting sqref="W15">
    <cfRule type="dataBar" priority="9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{EB1113D8-1DE6-4E7D-BDC9-8434A7699225}</x14:id>
        </ext>
      </extLst>
    </cfRule>
  </conditionalFormatting>
  <conditionalFormatting sqref="L15:M15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{9C2B8135-DCEC-4D7E-B5FA-E08810BCF5EA}</x14:id>
        </ext>
      </extLst>
    </cfRule>
  </conditionalFormatting>
  <conditionalFormatting sqref="L15:M15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{AEEF0D9A-81FC-4C09-BB49-C7C2A17D7C87}</x14:id>
        </ext>
      </extLst>
    </cfRule>
  </conditionalFormatting>
  <conditionalFormatting sqref="E66">
    <cfRule type="containsText" dxfId="6759" priority="897" operator="containsText" text="Buy">
      <formula>NOT(ISERROR(SEARCH("Buy",E66)))</formula>
    </cfRule>
    <cfRule type="containsText" dxfId="6758" priority="898" operator="containsText" text="Sell">
      <formula>NOT(ISERROR(SEARCH("Sell",E66)))</formula>
    </cfRule>
  </conditionalFormatting>
  <conditionalFormatting sqref="E65">
    <cfRule type="containsText" dxfId="6757" priority="899" operator="containsText" text="Buy">
      <formula>NOT(ISERROR(SEARCH("Buy",E65)))</formula>
    </cfRule>
    <cfRule type="containsText" dxfId="6756" priority="900" operator="containsText" text="Sell">
      <formula>NOT(ISERROR(SEARCH("Sell",E65)))</formula>
    </cfRule>
  </conditionalFormatting>
  <conditionalFormatting sqref="L11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{A494A4CA-F79C-4E8D-BF13-079E7009D598}</x14:id>
        </ext>
      </extLst>
    </cfRule>
  </conditionalFormatting>
  <conditionalFormatting sqref="L11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{2DE221AA-2CAB-40AC-94A0-22DC6ADED49A}</x14:id>
        </ext>
      </extLst>
    </cfRule>
  </conditionalFormatting>
  <conditionalFormatting sqref="L11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{19DB63C9-8BD6-4967-A13E-1EB499585C4B}</x14:id>
        </ext>
      </extLst>
    </cfRule>
  </conditionalFormatting>
  <conditionalFormatting sqref="L11">
    <cfRule type="dataBar" priority="8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{36E003DC-BCAC-46E7-A79A-9B46731943DB}</x14:id>
        </ext>
      </extLst>
    </cfRule>
  </conditionalFormatting>
  <conditionalFormatting sqref="L11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{C7DF716F-AB65-4766-B8C2-6C192911A742}</x14:id>
        </ext>
      </extLst>
    </cfRule>
  </conditionalFormatting>
  <conditionalFormatting sqref="M11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{8F39B090-036D-4114-A092-1CD4CEEBD6E9}</x14:id>
        </ext>
      </extLst>
    </cfRule>
  </conditionalFormatting>
  <conditionalFormatting sqref="M11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{969ED023-9675-487F-A467-E7935DC717DF}</x14:id>
        </ext>
      </extLst>
    </cfRule>
  </conditionalFormatting>
  <conditionalFormatting sqref="M11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{46D62046-8976-4D4B-9093-69038DCED12A}</x14:id>
        </ext>
      </extLst>
    </cfRule>
  </conditionalFormatting>
  <conditionalFormatting sqref="L11">
    <cfRule type="dataBar" priority="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{07DF89A3-725E-4DEA-915F-863063A94023}</x14:id>
        </ext>
      </extLst>
    </cfRule>
  </conditionalFormatting>
  <conditionalFormatting sqref="L11:M11">
    <cfRule type="dataBar" priority="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{53149953-1578-4863-AF8B-5F941F92B7F3}</x14:id>
        </ext>
      </extLst>
    </cfRule>
  </conditionalFormatting>
  <conditionalFormatting sqref="E69:E70">
    <cfRule type="containsText" dxfId="6755" priority="809" operator="containsText" text="Buy">
      <formula>NOT(ISERROR(SEARCH("Buy",E69)))</formula>
    </cfRule>
    <cfRule type="containsText" dxfId="6754" priority="810" operator="containsText" text="Sell">
      <formula>NOT(ISERROR(SEARCH("Sell",E69)))</formula>
    </cfRule>
  </conditionalFormatting>
  <conditionalFormatting sqref="E68">
    <cfRule type="containsText" dxfId="6753" priority="807" operator="containsText" text="Buy">
      <formula>NOT(ISERROR(SEARCH("Buy",E68)))</formula>
    </cfRule>
    <cfRule type="containsText" dxfId="6752" priority="808" operator="containsText" text="Sell">
      <formula>NOT(ISERROR(SEARCH("Sell",E68)))</formula>
    </cfRule>
  </conditionalFormatting>
  <conditionalFormatting sqref="L9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{3C59E23D-93F4-4E29-AB7F-1B31792D0EA9}</x14:id>
        </ext>
      </extLst>
    </cfRule>
  </conditionalFormatting>
  <conditionalFormatting sqref="L9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{05CA8C4A-8A7F-4ACE-8D7E-F7E538FDEAA5}</x14:id>
        </ext>
      </extLst>
    </cfRule>
  </conditionalFormatting>
  <conditionalFormatting sqref="L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{B9E9E81D-C477-4478-8A1D-B8C8E393E663}</x14:id>
        </ext>
      </extLst>
    </cfRule>
  </conditionalFormatting>
  <conditionalFormatting sqref="L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{8FDC811F-A0E8-44CF-97BE-BA09275D9960}</x14:id>
        </ext>
      </extLst>
    </cfRule>
  </conditionalFormatting>
  <conditionalFormatting sqref="L9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{EFA313AB-FBB7-44E6-91ED-4B1FED930E5F}</x14:id>
        </ext>
      </extLst>
    </cfRule>
  </conditionalFormatting>
  <conditionalFormatting sqref="M9">
    <cfRule type="dataBar" priority="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{9CB6E35C-C7E5-4B4C-BF97-44640B0F156F}</x14:id>
        </ext>
      </extLst>
    </cfRule>
  </conditionalFormatting>
  <conditionalFormatting sqref="M9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{78EA76C5-5DBB-4694-8577-30CD4788602B}</x14:id>
        </ext>
      </extLst>
    </cfRule>
  </conditionalFormatting>
  <conditionalFormatting sqref="M9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{4F77C638-0BB1-4E42-AA5A-1DCC8EFF993B}</x14:id>
        </ext>
      </extLst>
    </cfRule>
  </conditionalFormatting>
  <conditionalFormatting sqref="L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{C2F22DDB-A8ED-48C2-9EF4-E69DA7D98200}</x14:id>
        </ext>
      </extLst>
    </cfRule>
  </conditionalFormatting>
  <conditionalFormatting sqref="L9:M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{2C7E1AA8-218E-4397-AA07-0E56954B18A9}</x14:id>
        </ext>
      </extLst>
    </cfRule>
  </conditionalFormatting>
  <conditionalFormatting sqref="E76">
    <cfRule type="containsText" dxfId="6751" priority="779" operator="containsText" text="Buy">
      <formula>NOT(ISERROR(SEARCH("Buy",E76)))</formula>
    </cfRule>
    <cfRule type="containsText" dxfId="6750" priority="780" operator="containsText" text="Sell">
      <formula>NOT(ISERROR(SEARCH("Sell",E76)))</formula>
    </cfRule>
  </conditionalFormatting>
  <conditionalFormatting sqref="E75">
    <cfRule type="containsText" dxfId="6749" priority="777" operator="containsText" text="Buy">
      <formula>NOT(ISERROR(SEARCH("Buy",E75)))</formula>
    </cfRule>
    <cfRule type="containsText" dxfId="6748" priority="778" operator="containsText" text="Sell">
      <formula>NOT(ISERROR(SEARCH("Sell",E75)))</formula>
    </cfRule>
  </conditionalFormatting>
  <conditionalFormatting sqref="L12">
    <cfRule type="dataBar" priority="7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{A336DB4B-124F-44F4-BA12-B8530305762C}</x14:id>
        </ext>
      </extLst>
    </cfRule>
  </conditionalFormatting>
  <conditionalFormatting sqref="L12">
    <cfRule type="dataBar" priority="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{08EFBC84-ACDD-468C-B4FF-5636FAB748E5}</x14:id>
        </ext>
      </extLst>
    </cfRule>
  </conditionalFormatting>
  <conditionalFormatting sqref="L12">
    <cfRule type="dataBar" priority="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{2A278F26-B02C-40B2-A794-FB080B1C7FE9}</x14:id>
        </ext>
      </extLst>
    </cfRule>
  </conditionalFormatting>
  <conditionalFormatting sqref="L12">
    <cfRule type="dataBar" priority="7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{B7CE452C-1FD3-430B-BAF4-31326DF333E9}</x14:id>
        </ext>
      </extLst>
    </cfRule>
  </conditionalFormatting>
  <conditionalFormatting sqref="L12">
    <cfRule type="dataBar" priority="7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{0E90F318-3F28-4D04-80A1-2486D9EB3D76}</x14:id>
        </ext>
      </extLst>
    </cfRule>
  </conditionalFormatting>
  <conditionalFormatting sqref="L12">
    <cfRule type="dataBar" priority="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{942EE2F2-984C-4241-8C15-31B0566EE7BB}</x14:id>
        </ext>
      </extLst>
    </cfRule>
  </conditionalFormatting>
  <conditionalFormatting sqref="M12">
    <cfRule type="dataBar" priority="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{4F27212F-9C98-4F91-8F6F-19EFD6740D76}</x14:id>
        </ext>
      </extLst>
    </cfRule>
  </conditionalFormatting>
  <conditionalFormatting sqref="M12">
    <cfRule type="dataBar" priority="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{D81031DD-35D2-4EAC-8608-76DC23B034AB}</x14:id>
        </ext>
      </extLst>
    </cfRule>
  </conditionalFormatting>
  <conditionalFormatting sqref="M12">
    <cfRule type="dataBar" priority="7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{6ED98342-209A-428B-9A0D-407486E94B5F}</x14:id>
        </ext>
      </extLst>
    </cfRule>
  </conditionalFormatting>
  <conditionalFormatting sqref="L12:M12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{E042B8EE-BCF0-4C1A-95CB-81D034D62BE8}</x14:id>
        </ext>
      </extLst>
    </cfRule>
  </conditionalFormatting>
  <conditionalFormatting sqref="E72">
    <cfRule type="containsText" dxfId="6747" priority="719" operator="containsText" text="Buy">
      <formula>NOT(ISERROR(SEARCH("Buy",E72)))</formula>
    </cfRule>
    <cfRule type="containsText" dxfId="6746" priority="720" operator="containsText" text="Sell">
      <formula>NOT(ISERROR(SEARCH("Sell",E72)))</formula>
    </cfRule>
  </conditionalFormatting>
  <conditionalFormatting sqref="E71">
    <cfRule type="containsText" dxfId="6745" priority="717" operator="containsText" text="Buy">
      <formula>NOT(ISERROR(SEARCH("Buy",E71)))</formula>
    </cfRule>
    <cfRule type="containsText" dxfId="6744" priority="718" operator="containsText" text="Sell">
      <formula>NOT(ISERROR(SEARCH("Sell",E71)))</formula>
    </cfRule>
  </conditionalFormatting>
  <conditionalFormatting sqref="E80">
    <cfRule type="containsText" dxfId="6743" priority="690" operator="containsText" text="Buy">
      <formula>NOT(ISERROR(SEARCH("Buy",E80)))</formula>
    </cfRule>
    <cfRule type="containsText" dxfId="6742" priority="691" operator="containsText" text="Sell">
      <formula>NOT(ISERROR(SEARCH("Sell",E80)))</formula>
    </cfRule>
  </conditionalFormatting>
  <conditionalFormatting sqref="E79">
    <cfRule type="containsText" dxfId="6741" priority="688" operator="containsText" text="Buy">
      <formula>NOT(ISERROR(SEARCH("Buy",E79)))</formula>
    </cfRule>
    <cfRule type="containsText" dxfId="6740" priority="689" operator="containsText" text="Sell">
      <formula>NOT(ISERROR(SEARCH("Sell",E79)))</formula>
    </cfRule>
  </conditionalFormatting>
  <conditionalFormatting sqref="E54">
    <cfRule type="containsText" dxfId="6739" priority="682" operator="containsText" text="Buy">
      <formula>NOT(ISERROR(SEARCH("Buy",E54)))</formula>
    </cfRule>
    <cfRule type="containsText" dxfId="6738" priority="683" operator="containsText" text="Sell">
      <formula>NOT(ISERROR(SEARCH("Sell",E54)))</formula>
    </cfRule>
  </conditionalFormatting>
  <conditionalFormatting sqref="L10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{5ED894F4-D894-46B3-B8E6-302CC92A531A}</x14:id>
        </ext>
      </extLst>
    </cfRule>
  </conditionalFormatting>
  <conditionalFormatting sqref="L10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{87F0EA39-7B1C-4962-AFE6-F9287031D184}</x14:id>
        </ext>
      </extLst>
    </cfRule>
  </conditionalFormatting>
  <conditionalFormatting sqref="L10">
    <cfRule type="dataBar" priority="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{7D5BFF8E-2667-4F70-B9F4-5BCF1FF36E85}</x14:id>
        </ext>
      </extLst>
    </cfRule>
  </conditionalFormatting>
  <conditionalFormatting sqref="L10">
    <cfRule type="dataBar" priority="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{C481747E-B861-4C10-9360-E3740095E7A7}</x14:id>
        </ext>
      </extLst>
    </cfRule>
  </conditionalFormatting>
  <conditionalFormatting sqref="L10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{77116990-83E3-44DC-A4D7-51510ED6B9C1}</x14:id>
        </ext>
      </extLst>
    </cfRule>
  </conditionalFormatting>
  <conditionalFormatting sqref="M10">
    <cfRule type="dataBar" priority="6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{D53F6DFC-B02C-4A72-B485-BD9731ECC45F}</x14:id>
        </ext>
      </extLst>
    </cfRule>
  </conditionalFormatting>
  <conditionalFormatting sqref="M10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{48C724C8-6342-4352-9C47-528595C2B047}</x14:id>
        </ext>
      </extLst>
    </cfRule>
  </conditionalFormatting>
  <conditionalFormatting sqref="M10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{A99D49BE-FE0B-4A10-A56F-0F22C602F48B}</x14:id>
        </ext>
      </extLst>
    </cfRule>
  </conditionalFormatting>
  <conditionalFormatting sqref="L10:M10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{4A68002B-26BA-41B7-A60B-A3200492C182}</x14:id>
        </ext>
      </extLst>
    </cfRule>
  </conditionalFormatting>
  <conditionalFormatting sqref="E83">
    <cfRule type="containsText" dxfId="6737" priority="655" operator="containsText" text="Buy">
      <formula>NOT(ISERROR(SEARCH("Buy",E83)))</formula>
    </cfRule>
    <cfRule type="containsText" dxfId="6736" priority="656" operator="containsText" text="Sell">
      <formula>NOT(ISERROR(SEARCH("Sell",E83)))</formula>
    </cfRule>
  </conditionalFormatting>
  <conditionalFormatting sqref="E82">
    <cfRule type="containsText" dxfId="6735" priority="653" operator="containsText" text="Buy">
      <formula>NOT(ISERROR(SEARCH("Buy",E82)))</formula>
    </cfRule>
    <cfRule type="containsText" dxfId="6734" priority="654" operator="containsText" text="Sell">
      <formula>NOT(ISERROR(SEARCH("Sell",E82)))</formula>
    </cfRule>
  </conditionalFormatting>
  <conditionalFormatting sqref="L8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{EFEB925B-C48F-46F1-993F-1E9D47E0B4C9}</x14:id>
        </ext>
      </extLst>
    </cfRule>
  </conditionalFormatting>
  <conditionalFormatting sqref="L8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{ADB88780-4C8F-4A55-8A74-3DD545DBA555}</x14:id>
        </ext>
      </extLst>
    </cfRule>
  </conditionalFormatting>
  <conditionalFormatting sqref="L8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{F25331B6-4121-4550-906E-1223FE845131}</x14:id>
        </ext>
      </extLst>
    </cfRule>
  </conditionalFormatting>
  <conditionalFormatting sqref="L8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{040186DC-1918-4732-B67D-996B04020FED}</x14:id>
        </ext>
      </extLst>
    </cfRule>
  </conditionalFormatting>
  <conditionalFormatting sqref="L8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{0AA4CA2A-3E4E-4545-8766-9399C5FE4736}</x14:id>
        </ext>
      </extLst>
    </cfRule>
  </conditionalFormatting>
  <conditionalFormatting sqref="M8">
    <cfRule type="dataBar" priority="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{FC0D51C0-4F7E-4F23-9D60-9D7FC5C22EDA}</x14:id>
        </ext>
      </extLst>
    </cfRule>
  </conditionalFormatting>
  <conditionalFormatting sqref="M8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{BCE9B254-B4E1-4F0C-8020-ED7D0247EAC2}</x14:id>
        </ext>
      </extLst>
    </cfRule>
  </conditionalFormatting>
  <conditionalFormatting sqref="M8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{81FA8A04-9A4E-461B-AB2D-654B9C61D311}</x14:id>
        </ext>
      </extLst>
    </cfRule>
  </conditionalFormatting>
  <conditionalFormatting sqref="L8:M8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{3B0F8672-BC57-4776-B189-D07F188D159D}</x14:id>
        </ext>
      </extLst>
    </cfRule>
  </conditionalFormatting>
  <conditionalFormatting sqref="E86">
    <cfRule type="containsText" dxfId="6733" priority="626" operator="containsText" text="Buy">
      <formula>NOT(ISERROR(SEARCH("Buy",E86)))</formula>
    </cfRule>
    <cfRule type="containsText" dxfId="6732" priority="627" operator="containsText" text="Sell">
      <formula>NOT(ISERROR(SEARCH("Sell",E86)))</formula>
    </cfRule>
  </conditionalFormatting>
  <conditionalFormatting sqref="E85">
    <cfRule type="containsText" dxfId="6731" priority="624" operator="containsText" text="Buy">
      <formula>NOT(ISERROR(SEARCH("Buy",E85)))</formula>
    </cfRule>
    <cfRule type="containsText" dxfId="6730" priority="625" operator="containsText" text="Sell">
      <formula>NOT(ISERROR(SEARCH("Sell",E85)))</formula>
    </cfRule>
  </conditionalFormatting>
  <conditionalFormatting sqref="L14">
    <cfRule type="dataBar" priority="5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{9DF3F918-8172-4F34-813B-4DECE90E6145}</x14:id>
        </ext>
      </extLst>
    </cfRule>
  </conditionalFormatting>
  <conditionalFormatting sqref="L14">
    <cfRule type="dataBar" priority="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{C040D245-EFF9-49FF-A38F-B51F2A49D71F}</x14:id>
        </ext>
      </extLst>
    </cfRule>
  </conditionalFormatting>
  <conditionalFormatting sqref="L14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{167183D9-B0EE-4AB7-A43C-1FE6044C7D74}</x14:id>
        </ext>
      </extLst>
    </cfRule>
  </conditionalFormatting>
  <conditionalFormatting sqref="L14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{B9167F84-ACC8-4BFD-9C5B-B05666E1CB18}</x14:id>
        </ext>
      </extLst>
    </cfRule>
  </conditionalFormatting>
  <conditionalFormatting sqref="L14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{E6EA690B-D8B0-4338-ABCE-A0BD36396091}</x14:id>
        </ext>
      </extLst>
    </cfRule>
  </conditionalFormatting>
  <conditionalFormatting sqref="L14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{0DD899B7-A15C-4295-9D84-698D8F29DCCC}</x14:id>
        </ext>
      </extLst>
    </cfRule>
  </conditionalFormatting>
  <conditionalFormatting sqref="M14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{C5714EE6-20D4-421E-9C76-C637D9538D27}</x14:id>
        </ext>
      </extLst>
    </cfRule>
  </conditionalFormatting>
  <conditionalFormatting sqref="M14">
    <cfRule type="dataBar" priority="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{CE0433BE-889B-44AA-A8B0-A6A905F0BB19}</x14:id>
        </ext>
      </extLst>
    </cfRule>
  </conditionalFormatting>
  <conditionalFormatting sqref="M14">
    <cfRule type="dataBar" priority="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{5BF4543C-5406-4D4D-9A30-C35B993DE735}</x14:id>
        </ext>
      </extLst>
    </cfRule>
  </conditionalFormatting>
  <conditionalFormatting sqref="L14:M14">
    <cfRule type="dataBar" priority="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{600F76B1-BFBA-45B5-B51D-6BB4656FDC37}</x14:id>
        </ext>
      </extLst>
    </cfRule>
  </conditionalFormatting>
  <conditionalFormatting sqref="E90">
    <cfRule type="containsText" dxfId="6729" priority="596" operator="containsText" text="Buy">
      <formula>NOT(ISERROR(SEARCH("Buy",E90)))</formula>
    </cfRule>
    <cfRule type="containsText" dxfId="6728" priority="597" operator="containsText" text="Sell">
      <formula>NOT(ISERROR(SEARCH("Sell",E90)))</formula>
    </cfRule>
  </conditionalFormatting>
  <conditionalFormatting sqref="E89">
    <cfRule type="containsText" dxfId="6727" priority="594" operator="containsText" text="Buy">
      <formula>NOT(ISERROR(SEARCH("Buy",E89)))</formula>
    </cfRule>
    <cfRule type="containsText" dxfId="6726" priority="595" operator="containsText" text="Sell">
      <formula>NOT(ISERROR(SEARCH("Sell",E89)))</formula>
    </cfRule>
  </conditionalFormatting>
  <conditionalFormatting sqref="L16:M16">
    <cfRule type="dataBar" priority="5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{2F789855-C5DA-4C00-8F2C-277AC2823545}</x14:id>
        </ext>
      </extLst>
    </cfRule>
  </conditionalFormatting>
  <conditionalFormatting sqref="L16:M16">
    <cfRule type="dataBar" priority="5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{0A25B916-D28D-42AA-AB60-862FD1A4D119}</x14:id>
        </ext>
      </extLst>
    </cfRule>
  </conditionalFormatting>
  <conditionalFormatting sqref="L16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{1F3D48D5-627F-4895-A14D-AE72A071524B}</x14:id>
        </ext>
      </extLst>
    </cfRule>
  </conditionalFormatting>
  <conditionalFormatting sqref="M16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{74C4BCAD-41CB-431A-98F7-C071DD95C065}</x14:id>
        </ext>
      </extLst>
    </cfRule>
  </conditionalFormatting>
  <conditionalFormatting sqref="L16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{88C3C245-BCCF-4C8F-94EB-57708C23BC13}</x14:id>
        </ext>
      </extLst>
    </cfRule>
  </conditionalFormatting>
  <conditionalFormatting sqref="M16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{EC29438C-CFE5-4DF9-9993-8EEB3DD57FEB}</x14:id>
        </ext>
      </extLst>
    </cfRule>
  </conditionalFormatting>
  <conditionalFormatting sqref="L16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{93B413DE-A15F-4C38-AD6E-A1903C088833}</x14:id>
        </ext>
      </extLst>
    </cfRule>
  </conditionalFormatting>
  <conditionalFormatting sqref="M16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{F7B9DB8D-6A9C-4EC5-A22F-B5E9AE9EED0D}</x14:id>
        </ext>
      </extLst>
    </cfRule>
  </conditionalFormatting>
  <conditionalFormatting sqref="V16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{CA584885-829B-4E18-9181-CCA541D014E9}</x14:id>
        </ext>
      </extLst>
    </cfRule>
  </conditionalFormatting>
  <conditionalFormatting sqref="W16">
    <cfRule type="dataBar" priority="5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{C2C05246-A3FD-4B06-B53B-DAA83B7D147B}</x14:id>
        </ext>
      </extLst>
    </cfRule>
  </conditionalFormatting>
  <conditionalFormatting sqref="L16:M16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{714C74BA-DB5E-425C-9365-F7F389BEE534}</x14:id>
        </ext>
      </extLst>
    </cfRule>
  </conditionalFormatting>
  <conditionalFormatting sqref="L16:M16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{AE41B76B-F97D-4479-986A-C96FB51AE195}</x14:id>
        </ext>
      </extLst>
    </cfRule>
  </conditionalFormatting>
  <conditionalFormatting sqref="E94:E95">
    <cfRule type="containsText" dxfId="6725" priority="534" operator="containsText" text="Buy">
      <formula>NOT(ISERROR(SEARCH("Buy",E94)))</formula>
    </cfRule>
    <cfRule type="containsText" dxfId="6724" priority="535" operator="containsText" text="Sell">
      <formula>NOT(ISERROR(SEARCH("Sell",E94)))</formula>
    </cfRule>
  </conditionalFormatting>
  <conditionalFormatting sqref="E93">
    <cfRule type="containsText" dxfId="6723" priority="536" operator="containsText" text="Buy">
      <formula>NOT(ISERROR(SEARCH("Buy",E93)))</formula>
    </cfRule>
    <cfRule type="containsText" dxfId="6722" priority="537" operator="containsText" text="Sell">
      <formula>NOT(ISERROR(SEARCH("Sell",E93)))</formula>
    </cfRule>
  </conditionalFormatting>
  <conditionalFormatting sqref="L17:M17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{7B5214F8-960F-4826-9CBB-6C7281C04070}</x14:id>
        </ext>
      </extLst>
    </cfRule>
  </conditionalFormatting>
  <conditionalFormatting sqref="L17:M1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{3BD809FE-B3A6-4547-83A4-2E727BD56E8C}</x14:id>
        </ext>
      </extLst>
    </cfRule>
  </conditionalFormatting>
  <conditionalFormatting sqref="L1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{80813097-C78C-4F07-AB83-D7E9E217C995}</x14:id>
        </ext>
      </extLst>
    </cfRule>
  </conditionalFormatting>
  <conditionalFormatting sqref="M1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{6D0A3AF9-E6BB-4D4C-9675-9A600D15AF45}</x14:id>
        </ext>
      </extLst>
    </cfRule>
  </conditionalFormatting>
  <conditionalFormatting sqref="L17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{4FB66739-3585-46C5-8225-7D413556A77F}</x14:id>
        </ext>
      </extLst>
    </cfRule>
  </conditionalFormatting>
  <conditionalFormatting sqref="M17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{D9B4B8DE-2289-4B58-BD0B-E80D41AB90AC}</x14:id>
        </ext>
      </extLst>
    </cfRule>
  </conditionalFormatting>
  <conditionalFormatting sqref="L17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{AA0B1A3C-F9C0-4B25-A2DF-90F10CD14821}</x14:id>
        </ext>
      </extLst>
    </cfRule>
  </conditionalFormatting>
  <conditionalFormatting sqref="M17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{B7434B49-E172-4018-8CE9-7A60C1E1D56A}</x14:id>
        </ext>
      </extLst>
    </cfRule>
  </conditionalFormatting>
  <conditionalFormatting sqref="V17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{0D72E1FB-361B-48CE-8E0F-BE07214225EE}</x14:id>
        </ext>
      </extLst>
    </cfRule>
  </conditionalFormatting>
  <conditionalFormatting sqref="W17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{BD86339B-617D-4590-8DA9-67B5A53C71C5}</x14:id>
        </ext>
      </extLst>
    </cfRule>
  </conditionalFormatting>
  <conditionalFormatting sqref="L17:M17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{499318AB-147F-4EEE-A6E5-81416576EAFE}</x14:id>
        </ext>
      </extLst>
    </cfRule>
  </conditionalFormatting>
  <conditionalFormatting sqref="L17:M17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{21FBE912-E062-4D3D-A4BB-5DE103D66D51}</x14:id>
        </ext>
      </extLst>
    </cfRule>
  </conditionalFormatting>
  <conditionalFormatting sqref="E98">
    <cfRule type="containsText" dxfId="6721" priority="504" operator="containsText" text="Buy">
      <formula>NOT(ISERROR(SEARCH("Buy",E98)))</formula>
    </cfRule>
    <cfRule type="containsText" dxfId="6720" priority="505" operator="containsText" text="Sell">
      <formula>NOT(ISERROR(SEARCH("Sell",E98)))</formula>
    </cfRule>
  </conditionalFormatting>
  <conditionalFormatting sqref="E97">
    <cfRule type="containsText" dxfId="6719" priority="506" operator="containsText" text="Buy">
      <formula>NOT(ISERROR(SEARCH("Buy",E97)))</formula>
    </cfRule>
    <cfRule type="containsText" dxfId="6718" priority="507" operator="containsText" text="Sell">
      <formula>NOT(ISERROR(SEARCH("Sell",E97)))</formula>
    </cfRule>
  </conditionalFormatting>
  <conditionalFormatting sqref="E78">
    <cfRule type="containsText" dxfId="6717" priority="443" operator="containsText" text="Buy">
      <formula>NOT(ISERROR(SEARCH("Buy",E78)))</formula>
    </cfRule>
    <cfRule type="containsText" dxfId="6716" priority="444" operator="containsText" text="Sell">
      <formula>NOT(ISERROR(SEARCH("Sell",E78)))</formula>
    </cfRule>
  </conditionalFormatting>
  <conditionalFormatting sqref="E92">
    <cfRule type="containsText" dxfId="6715" priority="441" operator="containsText" text="Buy">
      <formula>NOT(ISERROR(SEARCH("Buy",E92)))</formula>
    </cfRule>
    <cfRule type="containsText" dxfId="6714" priority="442" operator="containsText" text="Sell">
      <formula>NOT(ISERROR(SEARCH("Sell",E92)))</formula>
    </cfRule>
  </conditionalFormatting>
  <conditionalFormatting sqref="E96">
    <cfRule type="containsText" dxfId="6713" priority="439" operator="containsText" text="Buy">
      <formula>NOT(ISERROR(SEARCH("Buy",E96)))</formula>
    </cfRule>
    <cfRule type="containsText" dxfId="6712" priority="440" operator="containsText" text="Sell">
      <formula>NOT(ISERROR(SEARCH("Sell",E96)))</formula>
    </cfRule>
  </conditionalFormatting>
  <conditionalFormatting sqref="L18:M18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{DB7DC57D-A425-4BA2-8F90-5E868B2D619E}</x14:id>
        </ext>
      </extLst>
    </cfRule>
  </conditionalFormatting>
  <conditionalFormatting sqref="L18:M18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{1CBEF191-A9F9-482F-A466-23B5367224AD}</x14:id>
        </ext>
      </extLst>
    </cfRule>
  </conditionalFormatting>
  <conditionalFormatting sqref="L18">
    <cfRule type="dataBar" priority="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{4BDA4408-A249-4399-8404-9F0304AEBB93}</x14:id>
        </ext>
      </extLst>
    </cfRule>
  </conditionalFormatting>
  <conditionalFormatting sqref="M18">
    <cfRule type="dataBar" priority="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{26305039-94D6-4531-9697-14C9DAA6E351}</x14:id>
        </ext>
      </extLst>
    </cfRule>
  </conditionalFormatting>
  <conditionalFormatting sqref="L18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{C6B3C2D3-C0E8-42ED-9809-49F6C393FA03}</x14:id>
        </ext>
      </extLst>
    </cfRule>
  </conditionalFormatting>
  <conditionalFormatting sqref="M18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{BC0BD2D1-3946-4A52-9CD5-68E80EA4A00B}</x14:id>
        </ext>
      </extLst>
    </cfRule>
  </conditionalFormatting>
  <conditionalFormatting sqref="L18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{50063EF4-A738-4F95-8AFE-D903F59875A4}</x14:id>
        </ext>
      </extLst>
    </cfRule>
  </conditionalFormatting>
  <conditionalFormatting sqref="M18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{5D59DD66-C6CC-424C-BF3E-0FF6173E8E78}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{9B0F0078-B53F-4AD4-98D9-3B8F0A3D73F9}</x14:id>
        </ext>
      </extLst>
    </cfRule>
  </conditionalFormatting>
  <conditionalFormatting sqref="W18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{4019ADB7-3570-4601-BBB7-043849CDE5A2}</x14:id>
        </ext>
      </extLst>
    </cfRule>
  </conditionalFormatting>
  <conditionalFormatting sqref="L18:M1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{F6E36DB1-FDA9-4DAC-B4A9-AC199E55E76F}</x14:id>
        </ext>
      </extLst>
    </cfRule>
  </conditionalFormatting>
  <conditionalFormatting sqref="L18:M18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{C73E91D4-B42F-4EA5-8147-2C6910B05434}</x14:id>
        </ext>
      </extLst>
    </cfRule>
  </conditionalFormatting>
  <conditionalFormatting sqref="E62">
    <cfRule type="containsText" dxfId="6711" priority="319" operator="containsText" text="Buy">
      <formula>NOT(ISERROR(SEARCH("Buy",E62)))</formula>
    </cfRule>
    <cfRule type="containsText" dxfId="6710" priority="320" operator="containsText" text="Sell">
      <formula>NOT(ISERROR(SEARCH("Sell",E62)))</formula>
    </cfRule>
  </conditionalFormatting>
  <conditionalFormatting sqref="E61">
    <cfRule type="containsText" dxfId="6709" priority="321" operator="containsText" text="Buy">
      <formula>NOT(ISERROR(SEARCH("Buy",E61)))</formula>
    </cfRule>
    <cfRule type="containsText" dxfId="6708" priority="322" operator="containsText" text="Sell">
      <formula>NOT(ISERROR(SEARCH("Sell",E61)))</formula>
    </cfRule>
  </conditionalFormatting>
  <conditionalFormatting sqref="E59">
    <cfRule type="containsText" dxfId="6707" priority="259" operator="containsText" text="Buy">
      <formula>NOT(ISERROR(SEARCH("Buy",E59)))</formula>
    </cfRule>
    <cfRule type="containsText" dxfId="6706" priority="260" operator="containsText" text="Sell">
      <formula>NOT(ISERROR(SEARCH("Sell",E59)))</formula>
    </cfRule>
  </conditionalFormatting>
  <conditionalFormatting sqref="E58">
    <cfRule type="containsText" dxfId="6705" priority="261" operator="containsText" text="Buy">
      <formula>NOT(ISERROR(SEARCH("Buy",E58)))</formula>
    </cfRule>
    <cfRule type="containsText" dxfId="6704" priority="262" operator="containsText" text="Sell">
      <formula>NOT(ISERROR(SEARCH("Sell",E58)))</formula>
    </cfRule>
  </conditionalFormatting>
  <conditionalFormatting sqref="E64">
    <cfRule type="containsText" dxfId="6703" priority="254" operator="containsText" text="Buy">
      <formula>NOT(ISERROR(SEARCH("Buy",E64)))</formula>
    </cfRule>
    <cfRule type="containsText" dxfId="6702" priority="255" operator="containsText" text="Sell">
      <formula>NOT(ISERROR(SEARCH("Sell",E64)))</formula>
    </cfRule>
  </conditionalFormatting>
  <conditionalFormatting sqref="E101">
    <cfRule type="containsText" dxfId="6701" priority="196" operator="containsText" text="Buy">
      <formula>NOT(ISERROR(SEARCH("Buy",E101)))</formula>
    </cfRule>
    <cfRule type="containsText" dxfId="6700" priority="197" operator="containsText" text="Sell">
      <formula>NOT(ISERROR(SEARCH("Sell",E101)))</formula>
    </cfRule>
  </conditionalFormatting>
  <conditionalFormatting sqref="E100">
    <cfRule type="containsText" dxfId="6699" priority="194" operator="containsText" text="Buy">
      <formula>NOT(ISERROR(SEARCH("Buy",E100)))</formula>
    </cfRule>
    <cfRule type="containsText" dxfId="6698" priority="195" operator="containsText" text="Sell">
      <formula>NOT(ISERROR(SEARCH("Sell",E100)))</formula>
    </cfRule>
  </conditionalFormatting>
  <conditionalFormatting sqref="V7:V14 V4">
    <cfRule type="dataBar" priority="142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{16D2A686-1D1B-49E5-89BB-DE243D31BC3E}</x14:id>
        </ext>
      </extLst>
    </cfRule>
  </conditionalFormatting>
  <conditionalFormatting sqref="W7:W14 W4">
    <cfRule type="dataBar" priority="14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{4275F335-AE05-46BE-85FF-9E030F5CBF67}</x14:id>
        </ext>
      </extLst>
    </cfRule>
  </conditionalFormatting>
  <conditionalFormatting sqref="X7:X14 X4">
    <cfRule type="dataBar" priority="14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{0CF5D72F-EF0C-4FF7-BD4E-78DBA21FD60F}</x14:id>
        </ext>
      </extLst>
    </cfRule>
  </conditionalFormatting>
  <conditionalFormatting sqref="L4">
    <cfRule type="dataBar" priority="14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{44653351-A4BC-4627-824B-C6C4DCFE9214}</x14:id>
        </ext>
      </extLst>
    </cfRule>
  </conditionalFormatting>
  <conditionalFormatting sqref="L4">
    <cfRule type="dataBar" priority="14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{2FCA3675-DA93-4898-9179-8C22152FB560}</x14:id>
        </ext>
      </extLst>
    </cfRule>
  </conditionalFormatting>
  <conditionalFormatting sqref="Y7:Y14 Y4">
    <cfRule type="dataBar" priority="14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{318CE788-1D7F-4FC1-9234-411BE5543AAB}</x14:id>
        </ext>
      </extLst>
    </cfRule>
  </conditionalFormatting>
  <conditionalFormatting sqref="M4">
    <cfRule type="dataBar" priority="14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{37A8C211-58E1-426F-B7DE-9EAC8661E4DC}</x14:id>
        </ext>
      </extLst>
    </cfRule>
  </conditionalFormatting>
  <conditionalFormatting sqref="M4">
    <cfRule type="dataBar" priority="14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{039E9E13-1C80-4F31-B6D6-CEEF2A74FE36}</x14:id>
        </ext>
      </extLst>
    </cfRule>
  </conditionalFormatting>
  <conditionalFormatting sqref="L4:M4">
    <cfRule type="dataBar" priority="14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{5921B2E6-5794-4AA5-93AA-BD351D8D20A5}</x14:id>
        </ext>
      </extLst>
    </cfRule>
  </conditionalFormatting>
  <conditionalFormatting sqref="H27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{D95375B3-F9DB-4EE0-9004-A7DFF9CE9B64}</x14:id>
        </ext>
      </extLst>
    </cfRule>
    <cfRule type="cellIs" dxfId="6697" priority="193" operator="equal">
      <formula>1</formula>
    </cfRule>
  </conditionalFormatting>
  <conditionalFormatting sqref="D27">
    <cfRule type="containsText" dxfId="6696" priority="191" operator="containsText" text="Buy">
      <formula>NOT(ISERROR(SEARCH("Buy",D27)))</formula>
    </cfRule>
    <cfRule type="containsText" dxfId="6695" priority="192" operator="containsText" text="Sell">
      <formula>NOT(ISERROR(SEARCH("Sell",D27)))</formula>
    </cfRule>
  </conditionalFormatting>
  <conditionalFormatting sqref="H28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{02EECB05-6CC7-4E87-B774-8825B62D63DA}</x14:id>
        </ext>
      </extLst>
    </cfRule>
    <cfRule type="cellIs" dxfId="6694" priority="189" operator="equal">
      <formula>1</formula>
    </cfRule>
  </conditionalFormatting>
  <conditionalFormatting sqref="D28">
    <cfRule type="containsText" dxfId="6693" priority="187" operator="containsText" text="Buy">
      <formula>NOT(ISERROR(SEARCH("Buy",D28)))</formula>
    </cfRule>
    <cfRule type="containsText" dxfId="6692" priority="188" operator="containsText" text="Sell">
      <formula>NOT(ISERROR(SEARCH("Sell",D28)))</formula>
    </cfRule>
  </conditionalFormatting>
  <conditionalFormatting sqref="H29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{800169D3-0C67-4ADC-9E44-3CF2CB3FC88C}</x14:id>
        </ext>
      </extLst>
    </cfRule>
    <cfRule type="cellIs" dxfId="6691" priority="185" operator="equal">
      <formula>1</formula>
    </cfRule>
  </conditionalFormatting>
  <conditionalFormatting sqref="D29">
    <cfRule type="containsText" dxfId="6690" priority="183" operator="containsText" text="Buy">
      <formula>NOT(ISERROR(SEARCH("Buy",D29)))</formula>
    </cfRule>
    <cfRule type="containsText" dxfId="6689" priority="184" operator="containsText" text="Sell">
      <formula>NOT(ISERROR(SEARCH("Sell",D29)))</formula>
    </cfRule>
  </conditionalFormatting>
  <conditionalFormatting sqref="H30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{37E5ADE5-F2C3-4851-90E5-709EB90C4EE8}</x14:id>
        </ext>
      </extLst>
    </cfRule>
    <cfRule type="cellIs" dxfId="6688" priority="181" operator="equal">
      <formula>1</formula>
    </cfRule>
  </conditionalFormatting>
  <conditionalFormatting sqref="D30">
    <cfRule type="containsText" dxfId="6687" priority="179" operator="containsText" text="Buy">
      <formula>NOT(ISERROR(SEARCH("Buy",D30)))</formula>
    </cfRule>
    <cfRule type="containsText" dxfId="6686" priority="180" operator="containsText" text="Sell">
      <formula>NOT(ISERROR(SEARCH("Sell",D30)))</formula>
    </cfRule>
  </conditionalFormatting>
  <conditionalFormatting sqref="D31">
    <cfRule type="containsText" dxfId="6685" priority="175" operator="containsText" text="Buy">
      <formula>NOT(ISERROR(SEARCH("Buy",D31)))</formula>
    </cfRule>
    <cfRule type="containsText" dxfId="6684" priority="176" operator="containsText" text="Sell">
      <formula>NOT(ISERROR(SEARCH("Sell",D31)))</formula>
    </cfRule>
  </conditionalFormatting>
  <conditionalFormatting sqref="H3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{54881A59-0FA6-4130-B445-B15FD549B764}</x14:id>
        </ext>
      </extLst>
    </cfRule>
    <cfRule type="cellIs" dxfId="6683" priority="177" operator="equal">
      <formula>1</formula>
    </cfRule>
  </conditionalFormatting>
  <conditionalFormatting sqref="D32">
    <cfRule type="containsText" dxfId="6682" priority="171" operator="containsText" text="Buy">
      <formula>NOT(ISERROR(SEARCH("Buy",D32)))</formula>
    </cfRule>
    <cfRule type="containsText" dxfId="6681" priority="172" operator="containsText" text="Sell">
      <formula>NOT(ISERROR(SEARCH("Sell",D32)))</formula>
    </cfRule>
  </conditionalFormatting>
  <conditionalFormatting sqref="H32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{FB007E4E-CC69-46EA-98EC-3977819E3446}</x14:id>
        </ext>
      </extLst>
    </cfRule>
    <cfRule type="cellIs" dxfId="6680" priority="173" operator="equal">
      <formula>1</formula>
    </cfRule>
  </conditionalFormatting>
  <conditionalFormatting sqref="H33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{A010CC2C-F871-4E17-B099-D0ED9CA77048}</x14:id>
        </ext>
      </extLst>
    </cfRule>
    <cfRule type="cellIs" dxfId="6679" priority="168" operator="equal">
      <formula>1</formula>
    </cfRule>
  </conditionalFormatting>
  <conditionalFormatting sqref="D33">
    <cfRule type="containsText" dxfId="6678" priority="166" operator="containsText" text="Buy">
      <formula>NOT(ISERROR(SEARCH("Buy",D33)))</formula>
    </cfRule>
    <cfRule type="containsText" dxfId="6677" priority="167" operator="containsText" text="Sell">
      <formula>NOT(ISERROR(SEARCH("Sell",D33)))</formula>
    </cfRule>
  </conditionalFormatting>
  <conditionalFormatting sqref="H34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{72DBFB1E-C21F-4088-AD41-AF189E01A0EE}</x14:id>
        </ext>
      </extLst>
    </cfRule>
    <cfRule type="cellIs" dxfId="6676" priority="164" operator="equal">
      <formula>1</formula>
    </cfRule>
  </conditionalFormatting>
  <conditionalFormatting sqref="D34">
    <cfRule type="containsText" dxfId="6675" priority="162" operator="containsText" text="Buy">
      <formula>NOT(ISERROR(SEARCH("Buy",D34)))</formula>
    </cfRule>
    <cfRule type="containsText" dxfId="6674" priority="163" operator="containsText" text="Sell">
      <formula>NOT(ISERROR(SEARCH("Sell",D34)))</formula>
    </cfRule>
  </conditionalFormatting>
  <conditionalFormatting sqref="D35">
    <cfRule type="containsText" dxfId="6673" priority="158" operator="containsText" text="Buy">
      <formula>NOT(ISERROR(SEARCH("Buy",D35)))</formula>
    </cfRule>
    <cfRule type="containsText" dxfId="6672" priority="159" operator="containsText" text="Sell">
      <formula>NOT(ISERROR(SEARCH("Sell",D35)))</formula>
    </cfRule>
  </conditionalFormatting>
  <conditionalFormatting sqref="H35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{4F9DF332-4AE3-4379-B597-C3325831B9B3}</x14:id>
        </ext>
      </extLst>
    </cfRule>
    <cfRule type="cellIs" dxfId="6671" priority="160" operator="equal">
      <formula>1</formula>
    </cfRule>
  </conditionalFormatting>
  <conditionalFormatting sqref="D36">
    <cfRule type="containsText" dxfId="6670" priority="154" operator="containsText" text="Buy">
      <formula>NOT(ISERROR(SEARCH("Buy",D36)))</formula>
    </cfRule>
    <cfRule type="containsText" dxfId="6669" priority="155" operator="containsText" text="Sell">
      <formula>NOT(ISERROR(SEARCH("Sell",D36)))</formula>
    </cfRule>
  </conditionalFormatting>
  <conditionalFormatting sqref="H36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{E08054FF-1257-4078-B002-BAD3D71233A6}</x14:id>
        </ext>
      </extLst>
    </cfRule>
    <cfRule type="cellIs" dxfId="6668" priority="156" operator="equal">
      <formula>1</formula>
    </cfRule>
  </conditionalFormatting>
  <conditionalFormatting sqref="D37">
    <cfRule type="containsText" dxfId="6667" priority="150" operator="containsText" text="Buy">
      <formula>NOT(ISERROR(SEARCH("Buy",D37)))</formula>
    </cfRule>
    <cfRule type="containsText" dxfId="6666" priority="151" operator="containsText" text="Sell">
      <formula>NOT(ISERROR(SEARCH("Sell",D37)))</formula>
    </cfRule>
  </conditionalFormatting>
  <conditionalFormatting sqref="H37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{77C2B82B-7BEA-4F06-A370-6ABB165BB1E1}</x14:id>
        </ext>
      </extLst>
    </cfRule>
    <cfRule type="cellIs" dxfId="6665" priority="152" operator="equal">
      <formula>1</formula>
    </cfRule>
  </conditionalFormatting>
  <conditionalFormatting sqref="D38">
    <cfRule type="containsText" dxfId="6664" priority="146" operator="containsText" text="Buy">
      <formula>NOT(ISERROR(SEARCH("Buy",D38)))</formula>
    </cfRule>
    <cfRule type="containsText" dxfId="6663" priority="147" operator="containsText" text="Sell">
      <formula>NOT(ISERROR(SEARCH("Sell",D38)))</formula>
    </cfRule>
  </conditionalFormatting>
  <conditionalFormatting sqref="H38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{DF9E459E-1289-4DBE-BD63-61D892B75AC9}</x14:id>
        </ext>
      </extLst>
    </cfRule>
    <cfRule type="cellIs" dxfId="6662" priority="148" operator="equal">
      <formula>1</formula>
    </cfRule>
  </conditionalFormatting>
  <conditionalFormatting sqref="D39">
    <cfRule type="containsText" dxfId="6661" priority="142" operator="containsText" text="Buy">
      <formula>NOT(ISERROR(SEARCH("Buy",D39)))</formula>
    </cfRule>
    <cfRule type="containsText" dxfId="6660" priority="143" operator="containsText" text="Sell">
      <formula>NOT(ISERROR(SEARCH("Sell",D39)))</formula>
    </cfRule>
  </conditionalFormatting>
  <conditionalFormatting sqref="H39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{B2566A63-1AE4-4C9E-9F2D-2EA235A0C1E9}</x14:id>
        </ext>
      </extLst>
    </cfRule>
    <cfRule type="cellIs" dxfId="6659" priority="144" operator="equal">
      <formula>1</formula>
    </cfRule>
  </conditionalFormatting>
  <conditionalFormatting sqref="E88">
    <cfRule type="containsText" dxfId="6658" priority="139" operator="containsText" text="Buy">
      <formula>NOT(ISERROR(SEARCH("Buy",E88)))</formula>
    </cfRule>
    <cfRule type="containsText" dxfId="6657" priority="140" operator="containsText" text="Sell">
      <formula>NOT(ISERROR(SEARCH("Sell",E88)))</formula>
    </cfRule>
  </conditionalFormatting>
  <conditionalFormatting sqref="D40">
    <cfRule type="containsText" dxfId="6656" priority="136" operator="containsText" text="Buy">
      <formula>NOT(ISERROR(SEARCH("Buy",D40)))</formula>
    </cfRule>
    <cfRule type="containsText" dxfId="6655" priority="137" operator="containsText" text="Sell">
      <formula>NOT(ISERROR(SEARCH("Sell",D40)))</formula>
    </cfRule>
  </conditionalFormatting>
  <conditionalFormatting sqref="H40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{CD6107DB-A655-4388-A38C-79732E324F38}</x14:id>
        </ext>
      </extLst>
    </cfRule>
    <cfRule type="cellIs" dxfId="6654" priority="138" operator="equal">
      <formula>1</formula>
    </cfRule>
  </conditionalFormatting>
  <conditionalFormatting sqref="E74">
    <cfRule type="containsText" dxfId="6653" priority="133" operator="containsText" text="Buy">
      <formula>NOT(ISERROR(SEARCH("Buy",E74)))</formula>
    </cfRule>
    <cfRule type="containsText" dxfId="6652" priority="134" operator="containsText" text="Sell">
      <formula>NOT(ISERROR(SEARCH("Sell",E74)))</formula>
    </cfRule>
  </conditionalFormatting>
  <conditionalFormatting sqref="D41">
    <cfRule type="containsText" dxfId="6651" priority="130" operator="containsText" text="Buy">
      <formula>NOT(ISERROR(SEARCH("Buy",D41)))</formula>
    </cfRule>
    <cfRule type="containsText" dxfId="6650" priority="131" operator="containsText" text="Sell">
      <formula>NOT(ISERROR(SEARCH("Sell",D41)))</formula>
    </cfRule>
  </conditionalFormatting>
  <conditionalFormatting sqref="H4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{01E9C6C1-1AB3-4677-A652-1909DBB50043}</x14:id>
        </ext>
      </extLst>
    </cfRule>
    <cfRule type="cellIs" dxfId="6649" priority="132" operator="equal">
      <formula>1</formula>
    </cfRule>
  </conditionalFormatting>
  <conditionalFormatting sqref="D43">
    <cfRule type="containsText" dxfId="6648" priority="126" operator="containsText" text="Buy">
      <formula>NOT(ISERROR(SEARCH("Buy",D43)))</formula>
    </cfRule>
    <cfRule type="containsText" dxfId="6647" priority="127" operator="containsText" text="Sell">
      <formula>NOT(ISERROR(SEARCH("Sell",D43)))</formula>
    </cfRule>
  </conditionalFormatting>
  <conditionalFormatting sqref="H43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{ED385F08-CB78-47FC-B081-DD3B2D842299}</x14:id>
        </ext>
      </extLst>
    </cfRule>
    <cfRule type="cellIs" dxfId="6646" priority="128" operator="equal">
      <formula>1</formula>
    </cfRule>
  </conditionalFormatting>
  <conditionalFormatting sqref="L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{BFD961DB-4C3D-40EA-B7A1-C75DE757D0C4}</x14:id>
        </ext>
      </extLst>
    </cfRule>
  </conditionalFormatting>
  <conditionalFormatting sqref="L13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{3F03E3FF-E944-4884-A5C4-63413D1D44A1}</x14:id>
        </ext>
      </extLst>
    </cfRule>
  </conditionalFormatting>
  <conditionalFormatting sqref="L13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{EDF3DECF-AE62-462D-806A-1E70167656C8}</x14:id>
        </ext>
      </extLst>
    </cfRule>
  </conditionalFormatting>
  <conditionalFormatting sqref="L13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{270D84C3-E71A-4462-B0D9-34B27CE4E12D}</x14:id>
        </ext>
      </extLst>
    </cfRule>
  </conditionalFormatting>
  <conditionalFormatting sqref="L1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{C9F61173-3012-4FA4-945F-F9E8A9DDC422}</x14:id>
        </ext>
      </extLst>
    </cfRule>
  </conditionalFormatting>
  <conditionalFormatting sqref="L13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{FC8FCA4E-42E7-416A-A13B-224A23E51D92}</x14:id>
        </ext>
      </extLst>
    </cfRule>
  </conditionalFormatting>
  <conditionalFormatting sqref="M1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{9A37BCFC-FCB7-4407-AACA-38D97CC60897}</x14:id>
        </ext>
      </extLst>
    </cfRule>
  </conditionalFormatting>
  <conditionalFormatting sqref="M13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{14E72E6F-45C9-4EAE-9C06-82230BD343C1}</x14:id>
        </ext>
      </extLst>
    </cfRule>
  </conditionalFormatting>
  <conditionalFormatting sqref="M13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{4C4F7857-28CE-4722-B2A2-A4A199003EB2}</x14:id>
        </ext>
      </extLst>
    </cfRule>
  </conditionalFormatting>
  <conditionalFormatting sqref="L13:M13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{10A736DF-A346-4695-B31B-F268CA37EA60}</x14:id>
        </ext>
      </extLst>
    </cfRule>
  </conditionalFormatting>
  <conditionalFormatting sqref="M13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{BC98B76A-0BDA-4939-BBF0-1E3E3C872057}</x14:id>
        </ext>
      </extLst>
    </cfRule>
  </conditionalFormatting>
  <conditionalFormatting sqref="L13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{33B1166B-9CF8-459F-AEC2-B06F65ED8C91}</x14:id>
        </ext>
      </extLst>
    </cfRule>
  </conditionalFormatting>
  <conditionalFormatting sqref="L13:M13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{00A4EF28-9A07-4E41-92E9-E1915A4C6B92}</x14:id>
        </ext>
      </extLst>
    </cfRule>
  </conditionalFormatting>
  <conditionalFormatting sqref="T7:T14 T4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{8FD75777-F1C3-4BD3-AE75-FAAB8FF45D73}</x14:id>
        </ext>
      </extLst>
    </cfRule>
  </conditionalFormatting>
  <conditionalFormatting sqref="T7:T14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{9657CE9D-D05B-42CA-BC22-C406C5441C33}</x14:id>
        </ext>
      </extLst>
    </cfRule>
  </conditionalFormatting>
  <conditionalFormatting sqref="T7:T14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{FF30549B-2DB7-49B3-8929-27A8ACB474D7}</x14:id>
        </ext>
      </extLst>
    </cfRule>
  </conditionalFormatting>
  <conditionalFormatting sqref="T7:T14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{0C4C644B-6F7F-4DDC-A52A-B77EC42FEE29}</x14:id>
        </ext>
      </extLst>
    </cfRule>
  </conditionalFormatting>
  <conditionalFormatting sqref="T7:T14 T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{B7EB7BA8-AA8A-4DB0-8DDE-81C9A4026123}</x14:id>
        </ext>
      </extLst>
    </cfRule>
  </conditionalFormatting>
  <conditionalFormatting sqref="T2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{42BB637F-189E-4A6A-8788-D687B3F6A17C}</x14:id>
        </ext>
      </extLst>
    </cfRule>
  </conditionalFormatting>
  <conditionalFormatting sqref="V15:W15">
    <cfRule type="dataBar" priority="30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{A6E250CC-F26D-4944-89CF-A47C236FDDB7}</x14:id>
        </ext>
      </extLst>
    </cfRule>
  </conditionalFormatting>
  <conditionalFormatting sqref="V15:W15">
    <cfRule type="dataBar" priority="30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{84FA992B-2018-467A-A9CB-03F7BF671CFE}</x14:id>
        </ext>
      </extLst>
    </cfRule>
  </conditionalFormatting>
  <conditionalFormatting sqref="V16:W16">
    <cfRule type="dataBar" priority="310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{7853CE11-D429-4BEC-AB90-DC18D3CB9272}</x14:id>
        </ext>
      </extLst>
    </cfRule>
  </conditionalFormatting>
  <conditionalFormatting sqref="V16:W16">
    <cfRule type="dataBar" priority="3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{76EC13AB-7BAE-49CF-B75A-9E4150386174}</x14:id>
        </ext>
      </extLst>
    </cfRule>
  </conditionalFormatting>
  <conditionalFormatting sqref="V17:W17">
    <cfRule type="dataBar" priority="310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{789854F5-91F6-4423-B0AB-43B735A92456}</x14:id>
        </ext>
      </extLst>
    </cfRule>
  </conditionalFormatting>
  <conditionalFormatting sqref="V17:W17">
    <cfRule type="dataBar" priority="3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{E2BD49FA-AEE5-46DF-AAE6-FF5B13AC3DD9}</x14:id>
        </ext>
      </extLst>
    </cfRule>
  </conditionalFormatting>
  <conditionalFormatting sqref="V18:W18">
    <cfRule type="dataBar" priority="310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{AB3BD612-B387-4C8A-A7B1-162B23BC338F}</x14:id>
        </ext>
      </extLst>
    </cfRule>
  </conditionalFormatting>
  <conditionalFormatting sqref="V18:W18">
    <cfRule type="dataBar" priority="3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{E82F4226-3565-4203-9F0B-2A5EB65BA113}</x14:id>
        </ext>
      </extLst>
    </cfRule>
  </conditionalFormatting>
  <conditionalFormatting sqref="V4:W4 V7:W14">
    <cfRule type="dataBar" priority="310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{5E0A7CFB-1651-460D-B6B7-25307B2A1311}</x14:id>
        </ext>
      </extLst>
    </cfRule>
  </conditionalFormatting>
  <conditionalFormatting sqref="V4:W4 V7:W14">
    <cfRule type="dataBar" priority="3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{0DB51167-DC2A-4A93-B5E5-2ABD778D563E}</x14:id>
        </ext>
      </extLst>
    </cfRule>
  </conditionalFormatting>
  <conditionalFormatting sqref="L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{9345457F-AEA8-4F3E-B81C-287F3B741C40}</x14:id>
        </ext>
      </extLst>
    </cfRule>
  </conditionalFormatting>
  <conditionalFormatting sqref="L6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{11F295F3-DE65-43FE-878D-185B91ED3472}</x14:id>
        </ext>
      </extLst>
    </cfRule>
  </conditionalFormatting>
  <conditionalFormatting sqref="L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{6CF59169-104A-4265-AF3D-7F1EB1C723D2}</x14:id>
        </ext>
      </extLst>
    </cfRule>
  </conditionalFormatting>
  <conditionalFormatting sqref="L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{A844C92B-7515-4974-B47F-C7F8A4724F09}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{C1904F84-6084-4143-8CDA-6BE19B8F0C96}</x14:id>
        </ext>
      </extLst>
    </cfRule>
  </conditionalFormatting>
  <conditionalFormatting sqref="M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{955A25DB-45F0-4C8C-9516-0E939E56CB89}</x14:id>
        </ext>
      </extLst>
    </cfRule>
  </conditionalFormatting>
  <conditionalFormatting sqref="M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{B8C0ED7B-DEAD-4551-BD2A-A87FF6C3396F}</x14:id>
        </ext>
      </extLst>
    </cfRule>
  </conditionalFormatting>
  <conditionalFormatting sqref="M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{2419EAA3-6503-4D78-9676-B4186D612160}</x14:id>
        </ext>
      </extLst>
    </cfRule>
  </conditionalFormatting>
  <conditionalFormatting sqref="L6:M6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{5BD19332-FFC1-444C-903D-5FD5CB244697}</x14:id>
        </ext>
      </extLst>
    </cfRule>
  </conditionalFormatting>
  <conditionalFormatting sqref="V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{AF439C1A-FD49-41DE-BACF-D349271E5014}</x14:id>
        </ext>
      </extLst>
    </cfRule>
  </conditionalFormatting>
  <conditionalFormatting sqref="W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{43E09BAC-0F88-44F1-8806-00D5CD77A8A1}</x14:id>
        </ext>
      </extLst>
    </cfRule>
  </conditionalFormatting>
  <conditionalFormatting sqref="X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{7E88C832-7087-4565-8034-F3B626659846}</x14:id>
        </ext>
      </extLst>
    </cfRule>
  </conditionalFormatting>
  <conditionalFormatting sqref="Y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{C54925DE-02D6-494A-BB84-67668A8D2C62}</x14:id>
        </ext>
      </extLst>
    </cfRule>
  </conditionalFormatting>
  <conditionalFormatting sqref="M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{D38E2BEE-9C47-4D23-89E3-D6A0EF8618AB}</x14:id>
        </ext>
      </extLst>
    </cfRule>
  </conditionalFormatting>
  <conditionalFormatting sqref="L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{79F39622-0F4D-43E0-8CE0-60CCEBB48549}</x14:id>
        </ext>
      </extLst>
    </cfRule>
  </conditionalFormatting>
  <conditionalFormatting sqref="L6:M6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{908124EC-2429-4AC4-B3C3-23D93D408C8C}</x14:id>
        </ext>
      </extLst>
    </cfRule>
  </conditionalFormatting>
  <conditionalFormatting sqref="T6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{1109C314-32EE-47EF-8EED-F6CA1EA5ACAC}</x14:id>
        </ext>
      </extLst>
    </cfRule>
  </conditionalFormatting>
  <conditionalFormatting sqref="T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{E186E6DC-28A4-42F9-9EFA-79BF0AA9F1EA}</x14:id>
        </ext>
      </extLst>
    </cfRule>
  </conditionalFormatting>
  <conditionalFormatting sqref="T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{BBEAD6BF-A758-4AB3-9C75-F18D72F9B415}</x14:id>
        </ext>
      </extLst>
    </cfRule>
  </conditionalFormatting>
  <conditionalFormatting sqref="T6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{61238067-8204-4A91-B123-80ECED4B67BC}</x14:id>
        </ext>
      </extLst>
    </cfRule>
  </conditionalFormatting>
  <conditionalFormatting sqref="T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{11F53892-6E9E-4142-BED4-4A5D09A0B354}</x14:id>
        </ext>
      </extLst>
    </cfRule>
  </conditionalFormatting>
  <conditionalFormatting sqref="L6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{12D3561C-CADA-4E47-AD2E-E822C81DB5C6}</x14:id>
        </ext>
      </extLst>
    </cfRule>
  </conditionalFormatting>
  <conditionalFormatting sqref="M6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{BDBD86A7-BA13-4F71-8F0A-594E046572AD}</x14:id>
        </ext>
      </extLst>
    </cfRule>
  </conditionalFormatting>
  <conditionalFormatting sqref="T6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{8E1F2B5C-F6DB-4C18-9FAD-4A57F206EC9C}</x14:id>
        </ext>
      </extLst>
    </cfRule>
  </conditionalFormatting>
  <conditionalFormatting sqref="V6:W6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{15596387-AA6D-42A9-A7D0-7328008B373E}</x14:id>
        </ext>
      </extLst>
    </cfRule>
  </conditionalFormatting>
  <conditionalFormatting sqref="V6:W6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{B63D7CC9-CD6A-4C05-A28C-8E182D91B71F}</x14:id>
        </ext>
      </extLst>
    </cfRule>
  </conditionalFormatting>
  <conditionalFormatting sqref="I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{C6BC020A-EFC4-4DC6-9986-D67D11308354}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{13183346-1AEF-47CD-B592-A022F888CDD0}</x14:id>
        </ext>
      </extLst>
    </cfRule>
  </conditionalFormatting>
  <conditionalFormatting sqref="V6:W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{8E4F35CC-D04F-45F8-8E95-1D0051188CAA}</x14:id>
        </ext>
      </extLst>
    </cfRule>
  </conditionalFormatting>
  <conditionalFormatting sqref="L6:M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{F96D77CF-69AD-4BE3-A201-D5CF29519ECB}</x14:id>
        </ext>
      </extLst>
    </cfRule>
  </conditionalFormatting>
  <conditionalFormatting sqref="L5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{97DB1D7F-CF95-4FC1-A88F-F0E6E010D87A}</x14:id>
        </ext>
      </extLst>
    </cfRule>
  </conditionalFormatting>
  <conditionalFormatting sqref="L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{0E415561-798F-4CDC-AC5A-E5166C6B70BE}</x14:id>
        </ext>
      </extLst>
    </cfRule>
  </conditionalFormatting>
  <conditionalFormatting sqref="L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{79C2D2D7-5C76-4322-A52A-D482EDEE519C}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{068F53F6-D0F0-43C9-9502-F88FB564FD16}</x14:id>
        </ext>
      </extLst>
    </cfRule>
  </conditionalFormatting>
  <conditionalFormatting sqref="L5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{3AB04579-D0E6-4505-98B7-CE1D48108819}</x14:id>
        </ext>
      </extLst>
    </cfRule>
  </conditionalFormatting>
  <conditionalFormatting sqref="M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{EF5AA907-EE8E-4C62-B74F-C371B65A6F16}</x14:id>
        </ext>
      </extLst>
    </cfRule>
  </conditionalFormatting>
  <conditionalFormatting sqref="M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{AE2EB17B-2A6E-4ED2-8352-023C793D227A}</x14:id>
        </ext>
      </extLst>
    </cfRule>
  </conditionalFormatting>
  <conditionalFormatting sqref="M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{976D0263-DEDE-43EE-9993-0E45220D1045}</x14:id>
        </ext>
      </extLst>
    </cfRule>
  </conditionalFormatting>
  <conditionalFormatting sqref="L5:M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{4EA38E3E-F729-41BD-B049-58657604A8DD}</x14:id>
        </ext>
      </extLst>
    </cfRule>
  </conditionalFormatting>
  <conditionalFormatting sqref="V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{039B2E74-B42C-4F7F-A12F-28FF049BFDE0}</x14:id>
        </ext>
      </extLst>
    </cfRule>
  </conditionalFormatting>
  <conditionalFormatting sqref="W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{7251AD55-1CB2-4CDF-AC07-935768CF9755}</x14:id>
        </ext>
      </extLst>
    </cfRule>
  </conditionalFormatting>
  <conditionalFormatting sqref="X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{1061E937-E2AA-4D49-8A1C-54E95D8035E7}</x14:id>
        </ext>
      </extLst>
    </cfRule>
  </conditionalFormatting>
  <conditionalFormatting sqref="Y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{FD76A350-98CA-41A6-8B89-6C06EAFDDF5E}</x14:id>
        </ext>
      </extLst>
    </cfRule>
  </conditionalFormatting>
  <conditionalFormatting sqref="M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{F333DC7B-6052-497D-88B8-26B0F95E80DD}</x14:id>
        </ext>
      </extLst>
    </cfRule>
  </conditionalFormatting>
  <conditionalFormatting sqref="L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{EEB584B0-15B9-4D9C-A609-F7FB400AE1D9}</x14:id>
        </ext>
      </extLst>
    </cfRule>
  </conditionalFormatting>
  <conditionalFormatting sqref="L5:M5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{F38E3504-28E3-48A8-8154-DD7EF99A0381}</x14:id>
        </ext>
      </extLst>
    </cfRule>
  </conditionalFormatting>
  <conditionalFormatting sqref="T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{1CC2B244-80C4-468E-8574-6A55BDD9FB8F}</x14:id>
        </ext>
      </extLst>
    </cfRule>
  </conditionalFormatting>
  <conditionalFormatting sqref="T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{317226A2-F2DD-45C1-971F-57B76C4FD381}</x14:id>
        </ext>
      </extLst>
    </cfRule>
  </conditionalFormatting>
  <conditionalFormatting sqref="T5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{B351B6F7-D36D-4D2E-B61F-6490112A7D74}</x14:id>
        </ext>
      </extLst>
    </cfRule>
  </conditionalFormatting>
  <conditionalFormatting sqref="T5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{D4949E4C-FE37-4C00-94C0-F218BA644431}</x14:id>
        </ext>
      </extLst>
    </cfRule>
  </conditionalFormatting>
  <conditionalFormatting sqref="T5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{B4EA863D-9E25-48EF-97A0-449235440806}</x14:id>
        </ext>
      </extLst>
    </cfRule>
  </conditionalFormatting>
  <conditionalFormatting sqref="L5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{FDCB8A9A-0F7C-4FB4-BC3D-CE15E6F53163}</x14:id>
        </ext>
      </extLst>
    </cfRule>
  </conditionalFormatting>
  <conditionalFormatting sqref="M5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{1F4604C6-BDAC-45B6-9BE8-ABB1F666AAFA}</x14:id>
        </ext>
      </extLst>
    </cfRule>
  </conditionalFormatting>
  <conditionalFormatting sqref="T5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{A8F43824-93FC-4F02-B4E3-49E68FCE76F4}</x14:id>
        </ext>
      </extLst>
    </cfRule>
  </conditionalFormatting>
  <conditionalFormatting sqref="V5:W5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{9BAD852D-FC32-4277-9693-9D760DBC680D}</x14:id>
        </ext>
      </extLst>
    </cfRule>
  </conditionalFormatting>
  <conditionalFormatting sqref="V5:W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{CFD5D2EF-EA59-4B7B-9FA5-F37D6BDEF3EF}</x14:id>
        </ext>
      </extLst>
    </cfRule>
  </conditionalFormatting>
  <conditionalFormatting sqref="I5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{79D5B35A-2B04-48DD-AEDB-D57E7D2B8AC0}</x14:id>
        </ext>
      </extLst>
    </cfRule>
  </conditionalFormatting>
  <conditionalFormatting sqref="T5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{AB054160-0087-48A2-BDFF-0A44EDDE2558}</x14:id>
        </ext>
      </extLst>
    </cfRule>
  </conditionalFormatting>
  <conditionalFormatting sqref="V5:W5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{33DABD06-9096-4F12-BEBB-709C42E9A4A7}</x14:id>
        </ext>
      </extLst>
    </cfRule>
  </conditionalFormatting>
  <conditionalFormatting sqref="L5:M5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{10262C7B-6F0A-4E63-AA02-369F98D2D2B8}</x14:id>
        </ext>
      </extLst>
    </cfRule>
  </conditionalFormatting>
  <conditionalFormatting sqref="L5:M5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{57B319C1-AA40-41A6-8F78-3D2BB1214A61}</x14:id>
        </ext>
      </extLst>
    </cfRule>
  </conditionalFormatting>
  <conditionalFormatting sqref="E104">
    <cfRule type="containsText" dxfId="6645" priority="10" operator="containsText" text="Buy">
      <formula>NOT(ISERROR(SEARCH("Buy",E104)))</formula>
    </cfRule>
    <cfRule type="containsText" dxfId="6644" priority="11" operator="containsText" text="Sell">
      <formula>NOT(ISERROR(SEARCH("Sell",E104)))</formula>
    </cfRule>
  </conditionalFormatting>
  <conditionalFormatting sqref="E103">
    <cfRule type="containsText" dxfId="6643" priority="8" operator="containsText" text="Buy">
      <formula>NOT(ISERROR(SEARCH("Buy",E103)))</formula>
    </cfRule>
    <cfRule type="containsText" dxfId="6642" priority="9" operator="containsText" text="Sell">
      <formula>NOT(ISERROR(SEARCH("Sell",E103)))</formula>
    </cfRule>
  </conditionalFormatting>
  <conditionalFormatting sqref="D42">
    <cfRule type="containsText" dxfId="6641" priority="3" operator="containsText" text="Buy">
      <formula>NOT(ISERROR(SEARCH("Buy",D42)))</formula>
    </cfRule>
    <cfRule type="containsText" dxfId="6640" priority="4" operator="containsText" text="Sell">
      <formula>NOT(ISERROR(SEARCH("Sell",D42)))</formula>
    </cfRule>
  </conditionalFormatting>
  <conditionalFormatting sqref="H4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{BA4EA4A2-49BF-4B26-88C1-DF0D564DA5FD}</x14:id>
        </ext>
      </extLst>
    </cfRule>
    <cfRule type="cellIs" dxfId="6639" priority="5" operator="equal">
      <formula>1</formula>
    </cfRule>
  </conditionalFormatting>
  <conditionalFormatting sqref="M14:M18 M4 M7:M12">
    <cfRule type="dataBar" priority="337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{8DA9951D-C5B9-49CA-A84F-DF4C7DA747E2}</x14:id>
        </ext>
      </extLst>
    </cfRule>
  </conditionalFormatting>
  <conditionalFormatting sqref="L14:L18 L4 L7:L12">
    <cfRule type="dataBar" priority="33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{D5C7BE23-A6C5-47A4-928F-0107E2F90EB2}</x14:id>
        </ext>
      </extLst>
    </cfRule>
  </conditionalFormatting>
  <conditionalFormatting sqref="L4:M4 L14:M18 L7:M12">
    <cfRule type="dataBar" priority="33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{DEF4517F-CF0A-4D53-9936-05B58783FEFB}</x14:id>
        </ext>
      </extLst>
    </cfRule>
  </conditionalFormatting>
  <conditionalFormatting sqref="T15:T18">
    <cfRule type="dataBar" priority="33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{F782D7FF-7C67-415E-85B8-061616ACA5E8}</x14:id>
        </ext>
      </extLst>
    </cfRule>
  </conditionalFormatting>
  <conditionalFormatting sqref="L7:L18 L4">
    <cfRule type="dataBar" priority="33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{A53BD55A-7B3E-495F-9A6C-52D28DC43340}</x14:id>
        </ext>
      </extLst>
    </cfRule>
  </conditionalFormatting>
  <conditionalFormatting sqref="M7:M18 M4">
    <cfRule type="dataBar" priority="338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{4A0E23FC-A730-42F0-8238-290B8D3E5F1B}</x14:id>
        </ext>
      </extLst>
    </cfRule>
  </conditionalFormatting>
  <conditionalFormatting sqref="T7:T18 T4">
    <cfRule type="dataBar" priority="33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{997362D2-F979-4FF4-9957-EEE815B8FB45}</x14:id>
        </ext>
      </extLst>
    </cfRule>
  </conditionalFormatting>
  <conditionalFormatting sqref="I7:I20 I4">
    <cfRule type="dataBar" priority="338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{BE9DAB39-BEA6-4BEB-A899-A5312C793FF1}</x14:id>
        </ext>
      </extLst>
    </cfRule>
  </conditionalFormatting>
  <conditionalFormatting sqref="T7:T21 T4">
    <cfRule type="dataBar" priority="33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{9A77AA4E-2114-497C-8DD8-019A5A2A151F}</x14:id>
        </ext>
      </extLst>
    </cfRule>
  </conditionalFormatting>
  <conditionalFormatting sqref="V4:W4 V7:W18">
    <cfRule type="dataBar" priority="33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{02681E94-0C78-4192-BB62-3EC9044A0404}</x14:id>
        </ext>
      </extLst>
    </cfRule>
  </conditionalFormatting>
  <conditionalFormatting sqref="L4:M4 L7:M18">
    <cfRule type="dataBar" priority="33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{3F278B21-3D47-4AC0-98D6-995316661897}</x14:id>
        </ext>
      </extLst>
    </cfRule>
  </conditionalFormatting>
  <conditionalFormatting sqref="L4:M4 L6:M18">
    <cfRule type="dataBar" priority="338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{D8BC393C-655B-4CC7-81FB-90D13F2C2505}</x14:id>
        </ext>
      </extLst>
    </cfRule>
  </conditionalFormatting>
  <conditionalFormatting sqref="I4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{4111BCA5-D343-4C72-A7BC-F7C8A4C0F314}</x14:id>
        </ext>
      </extLst>
    </cfRule>
  </conditionalFormatting>
  <pageMargins left="0.25" right="0.25" top="0.75" bottom="0.75" header="0.3" footer="0.3"/>
  <pageSetup paperSize="9" scale="3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E2E413-419F-424F-AC85-88F813B6ED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D9761547-5364-43C5-9533-768432AEDA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BD19BC9-3CED-4A5E-AD63-48588818B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B438B324-D609-4759-AB6B-8BB49894A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9A88E9-71CB-48ED-9719-1D138209EB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A84E33B-97E5-4F9E-A450-65EC71590B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17EAABD-3D1B-423D-894B-A0863AA0C1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10DAD87-FA3D-420F-A590-D2D9E20DD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83D8749-E3CB-45FA-B79E-8FEFD42B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1438011D-875B-4917-A8E9-060E7AB624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A3111FD9-93A0-424B-B6A4-83E52EB4B3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F85C27B4-B3F1-4EE7-8F08-F82D05B746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78663FE4-6B2B-4FD0-8CC2-7FE5577FC0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6A8EB75-01FA-4172-B707-809E3DB3E1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C1BA537-2381-4F8E-AEA2-14EF833954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F3ED7FF-A07D-4B90-BC6F-8362DB0239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55CA1DC-5559-485A-AD00-2D952449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246E5C5F-8472-4A11-899D-8763827555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12FE7714-F7D9-4FB8-ABFD-04696DA50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B1113D8-1DE6-4E7D-BDC9-8434A76992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C2B8135-DCEC-4D7E-B5FA-E08810BCF5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EEF0D9A-81FC-4C09-BB49-C7C2A17D7C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A494A4CA-F79C-4E8D-BF13-079E7009D5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DE221AA-2CAB-40AC-94A0-22DC6ADED4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9DB63C9-8BD6-4967-A13E-1EB499585C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6E003DC-BCAC-46E7-A79A-9B4673194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C7DF716F-AB65-4766-B8C2-6C192911A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F39B090-036D-4114-A092-1CD4CEEBD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69ED023-9675-487F-A467-E7935DC7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6D62046-8976-4D4B-9093-69038DCED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07DF89A3-725E-4DEA-915F-863063A940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3149953-1578-4863-AF8B-5F941F92B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C59E23D-93F4-4E29-AB7F-1B31792D0E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5CA8C4A-8A7F-4ACE-8D7E-F7E538FDEA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9E9E81D-C477-4478-8A1D-B8C8E393E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8FDC811F-A0E8-44CF-97BE-BA09275D99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FA313AB-FBB7-44E6-91ED-4B1FED930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CB6E35C-C7E5-4B4C-BF97-44640B0F15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8EA76C5-5DBB-4694-8577-30CD47886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4F77C638-0BB1-4E42-AA5A-1DCC8EFF99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C2F22DDB-A8ED-48C2-9EF4-E69DA7D982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C7E1AA8-218E-4397-AA07-0E56954B18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336DB4B-124F-44F4-BA12-B853030576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8EFBC84-ACDD-468C-B4FF-5636FAB748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A278F26-B02C-40B2-A794-FB080B1C7F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7CE452C-1FD3-430B-BAF4-31326DF33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E90F318-3F28-4D04-80A1-2486D9EB3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942EE2F2-984C-4241-8C15-31B0566EE7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4F27212F-9C98-4F91-8F6F-19EFD6740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81031DD-35D2-4EAC-8608-76DC23B034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ED98342-209A-428B-9A0D-407486E9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E042B8EE-BCF0-4C1A-95CB-81D034D62B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ED894F4-D894-46B3-B8E6-302CC92A53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7F0EA39-7B1C-4962-AFE6-F9287031D1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D5BFF8E-2667-4F70-B9F4-5BCF1FF36E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481747E-B861-4C10-9360-E3740095E7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7116990-83E3-44DC-A4D7-51510ED6B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53F6DFC-B02C-4A72-B485-BD9731ECC4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8C724C8-6342-4352-9C47-528595C2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99D49BE-FE0B-4A10-A56F-0F22C602F4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4A68002B-26BA-41B7-A60B-A3200492C1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FEB925B-C48F-46F1-993F-1E9D47E0B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DB88780-4C8F-4A55-8A74-3DD545DBA5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25331B6-4121-4550-906E-1223FE845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40186DC-1918-4732-B67D-996B04020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AA4CA2A-3E4E-4545-8766-9399C5FE4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C0D51C0-4F7E-4F23-9D60-9D7FC5C22E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CE9B254-B4E1-4F0C-8020-ED7D0247EA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81FA8A04-9A4E-461B-AB2D-654B9C61D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3B0F8672-BC57-4776-B189-D07F188D1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DF3F918-8172-4F34-813B-4DECE90E61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040D245-EFF9-49FF-A38F-B51F2A49D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167183D9-B0EE-4AB7-A43C-1FE6044C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9167F84-ACC8-4BFD-9C5B-B05666E1CB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6EA690B-D8B0-4338-ABCE-A0BD363960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0DD899B7-A15C-4295-9D84-698D8F29DC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C5714EE6-20D4-421E-9C76-C637D9538D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E0433BE-889B-44AA-A8B0-A6A905F0B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5BF4543C-5406-4D4D-9A30-C35B993DE7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600F76B1-BFBA-45B5-B51D-6BB4656FDC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2F789855-C5DA-4C00-8F2C-277AC28235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A25B916-D28D-42AA-AB60-862FD1A4D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1F3D48D5-627F-4895-A14D-AE72A07152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74C4BCAD-41CB-431A-98F7-C071DD95C0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8C3C245-BCCF-4C8F-94EB-57708C23BC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EC29438C-CFE5-4DF9-9993-8EEB3DD57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3B413DE-A15F-4C38-AD6E-A1903C0888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B9DB8D-6A9C-4EC5-A22F-B5E9AE9EE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A584885-829B-4E18-9181-CCA541D014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C2C05246-A3FD-4B06-B53B-DAA83B7D14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714C74BA-DB5E-425C-9365-F7F389BEE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AE41B76B-F97D-4479-986A-C96FB51AE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7B5214F8-960F-4826-9CBB-6C7281C040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BD809FE-B3A6-4547-83A4-2E727BD56E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0813097-C78C-4F07-AB83-D7E9E217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D0A3AF9-E6BB-4D4C-9675-9A600D15AF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4FB66739-3585-46C5-8225-7D413556A7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9B4B8DE-2289-4B58-BD0B-E80D41AB90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AA0B1A3C-F9C0-4B25-A2DF-90F10CD14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B7434B49-E172-4018-8CE9-7A60C1E1D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D72E1FB-361B-48CE-8E0F-BE07214225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D86339B-617D-4590-8DA9-67B5A53C71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499318AB-147F-4EEE-A6E5-81416576E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21FBE912-E062-4D3D-A4BB-5DE103D66D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DB7DC57D-A425-4BA2-8F90-5E868B2D6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CBEF191-A9F9-482F-A466-23B5367224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BDA4408-A249-4399-8404-9F0304AEBB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26305039-94D6-4531-9697-14C9DAA6E3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C6B3C2D3-C0E8-42ED-9809-49F6C393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BC0BD2D1-3946-4A52-9CD5-68E80EA4A0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50063EF4-A738-4F95-8AFE-D903F59875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5D59DD66-C6CC-424C-BF3E-0FF6173E8E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9B0F0078-B53F-4AD4-98D9-3B8F0A3D73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19ADB7-3570-4601-BBB7-043849CDE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6E36DB1-FDA9-4DAC-B4A9-AC199E55E7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C73E91D4-B42F-4EA5-8147-2C6910B05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16D2A686-1D1B-49E5-89BB-DE243D31B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V7:V14 V4</xm:sqref>
        </x14:conditionalFormatting>
        <x14:conditionalFormatting xmlns:xm="http://schemas.microsoft.com/office/excel/2006/main">
          <x14:cfRule type="dataBar" id="{4275F335-AE05-46BE-85FF-9E030F5CB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W7:W14 W4</xm:sqref>
        </x14:conditionalFormatting>
        <x14:conditionalFormatting xmlns:xm="http://schemas.microsoft.com/office/excel/2006/main">
          <x14:cfRule type="dataBar" id="{0CF5D72F-EF0C-4FF7-BD4E-78DBA21FD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X7:X14 X4</xm:sqref>
        </x14:conditionalFormatting>
        <x14:conditionalFormatting xmlns:xm="http://schemas.microsoft.com/office/excel/2006/main">
          <x14:cfRule type="dataBar" id="{44653351-A4BC-4627-824B-C6C4DCFE9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FCA3675-DA93-4898-9179-8C22152FB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18CE788-1D7F-4FC1-9234-411BE5543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Y7:Y14 Y4</xm:sqref>
        </x14:conditionalFormatting>
        <x14:conditionalFormatting xmlns:xm="http://schemas.microsoft.com/office/excel/2006/main">
          <x14:cfRule type="dataBar" id="{37A8C211-58E1-426F-B7DE-9EAC8661E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39E9E13-1C80-4F31-B6D6-CEEF2A74F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921B2E6-5794-4AA5-93AA-BD351D8D2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95375B3-F9DB-4EE0-9004-A7DFF9CE9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02EECB05-6CC7-4E87-B774-8825B62D63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800169D3-0C67-4ADC-9E44-3CF2CB3FC8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37E5ADE5-F2C3-4851-90E5-709EB90C4E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4881A59-0FA6-4130-B445-B15FD549B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FB007E4E-CC69-46EA-98EC-3977819E34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A010CC2C-F871-4E17-B099-D0ED9CA770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72DBFB1E-C21F-4088-AD41-AF189E01A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F9DF332-4AE3-4379-B597-C3325831B9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E08054FF-1257-4078-B002-BAD3D7123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77C2B82B-7BEA-4F06-A370-6ABB165BB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DF9E459E-1289-4DBE-BD63-61D892B75A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2566A63-1AE4-4C9E-9F2D-2EA235A0C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CD6107DB-A655-4388-A38C-79732E324F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01E9C6C1-1AB3-4677-A652-1909DBB500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ED385F08-CB78-47FC-B081-DD3B2D8422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BFD961DB-4C3D-40EA-B7A1-C75DE757D0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F03E3FF-E944-4884-A5C4-63413D1D4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F3DECF-AE62-462D-806A-1E7016765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0D84C3-E71A-4462-B0D9-34B27CE4E1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C9F61173-3012-4FA4-945F-F9E8A9DDC4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FC8FCA4E-42E7-416A-A13B-224A23E51D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A37BCFC-FCB7-4407-AACA-38D97CC60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4E72E6F-45C9-4EAE-9C06-82230BD34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C4F7857-28CE-4722-B2A2-A4A199003E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10A736DF-A346-4695-B31B-F268CA37E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BC98B76A-0BDA-4939-BBF0-1E3E3C8720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3B1166B-9CF8-459F-AEC2-B06F65ED8C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0A4EF28-9A07-4E41-92E9-E1915A4C6B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8FD75777-F1C3-4BD3-AE75-FAAB8FF45D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9657CE9D-D05B-42CA-BC22-C406C5441C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FF30549B-2DB7-49B3-8929-27A8ACB47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0C4C644B-6F7F-4DDC-A52A-B77EC42FEE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T7:T14</xm:sqref>
        </x14:conditionalFormatting>
        <x14:conditionalFormatting xmlns:xm="http://schemas.microsoft.com/office/excel/2006/main">
          <x14:cfRule type="dataBar" id="{B7EB7BA8-AA8A-4DB0-8DDE-81C9A40261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T7:T14 T4</xm:sqref>
        </x14:conditionalFormatting>
        <x14:conditionalFormatting xmlns:xm="http://schemas.microsoft.com/office/excel/2006/main">
          <x14:cfRule type="dataBar" id="{42BB637F-189E-4A6A-8788-D687B3F6A1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A6E250CC-F26D-4944-89CF-A47C236FD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4FA992B-2018-467A-A9CB-03F7BF671C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7853CE11-D429-4BEC-AB90-DC18D3CB92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6EC13AB-7BAE-49CF-B75A-9E41503861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789854F5-91F6-4423-B0AB-43B735A92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E2BD49FA-AEE5-46DF-AAE6-FF5B13AC3D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AB3BD612-B387-4C8A-A7B1-162B23BC33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E82F4226-3565-4203-9F0B-2A5EB65BA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5E0A7CFB-1651-460D-B6B7-25307B2A13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0DB51167-DC2A-4A93-B5E5-2ABD778D56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V7:W14</xm:sqref>
        </x14:conditionalFormatting>
        <x14:conditionalFormatting xmlns:xm="http://schemas.microsoft.com/office/excel/2006/main">
          <x14:cfRule type="dataBar" id="{9345457F-AEA8-4F3E-B81C-287F3B741C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1F295F3-DE65-43FE-878D-185B91ED34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CF59169-104A-4265-AF3D-7F1EB1C723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A844C92B-7515-4974-B47F-C7F8A4724F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1904F84-6084-4143-8CDA-6BE19B8F0C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55A25DB-45F0-4C8C-9516-0E939E56CB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B8C0ED7B-DEAD-4551-BD2A-A87FF6C339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2419EAA3-6503-4D78-9676-B4186D6121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5BD19332-FFC1-444C-903D-5FD5CB244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F439C1A-FD49-41DE-BACF-D349271E50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3E09BAC-0F88-44F1-8806-00D5CD77A8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E88C832-7087-4565-8034-F3B6266598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C54925DE-02D6-494A-BB84-67668A8D2C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D38E2BEE-9C47-4D23-89E3-D6A0EF8618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79F39622-0F4D-43E0-8CE0-60CCEBB485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908124EC-2429-4AC4-B3C3-23D93D408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109C314-32EE-47EF-8EED-F6CA1EA5A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186E6DC-28A4-42F9-9EFA-79BF0AA9F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BBEAD6BF-A758-4AB3-9C75-F18D72F9B4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61238067-8204-4A91-B123-80ECED4B6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1F53892-6E9E-4142-BED4-4A5D09A0B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2D3561C-CADA-4E47-AD2E-E822C81DB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DBD86A7-BA13-4F71-8F0A-594E04657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8E1F2B5C-F6DB-4C18-9FAD-4A57F206E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5596387-AA6D-42A9-A7D0-7328008B3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B63D7CC9-CD6A-4C05-A28C-8E182D91B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C6BC020A-EFC4-4DC6-9986-D67D113083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3183346-1AEF-47CD-B592-A022F888C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E4F35CC-D04F-45F8-8E95-1D0051188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F96D77CF-69AD-4BE3-A201-D5CF29519E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7DB1D7F-CF95-4FC1-A88F-F0E6E010D8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E415561-798F-4CDC-AC5A-E5166C6B7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9C2D2D7-5C76-4322-A52A-D482EDEE51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68F53F6-D0F0-43C9-9502-F88FB564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3AB04579-D0E6-4505-98B7-CE1D481088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F5AA907-EE8E-4C62-B74F-C371B65A6F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E2EB17B-2A6E-4ED2-8352-023C793D22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6D0263-DEDE-43EE-9993-0E45220D10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EA38E3E-F729-41BD-B049-58657604A8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039B2E74-B42C-4F7F-A12F-28FF049BFD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7251AD55-1CB2-4CDF-AC07-935768CF9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061E937-E2AA-4D49-8A1C-54E95D8035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FD76A350-98CA-41A6-8B89-6C06EAFDDF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333DC7B-6052-497D-88B8-26B0F95E80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EEB584B0-15B9-4D9C-A609-F7FB400AE1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F38E3504-28E3-48A8-8154-DD7EF99A0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1CC2B244-80C4-468E-8574-6A55BDD9F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17226A2-F2DD-45C1-971F-57B76C4FD3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351B6F7-D36D-4D2E-B61F-6490112A7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4949E4C-FE37-4C00-94C0-F218BA64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4EA863D-9E25-48EF-97A0-4492354408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DCB8A9A-0F7C-4FB4-BC3D-CE15E6F53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604C6-BDAC-45B6-9BE8-ABB1F666A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8F43824-93FC-4F02-B4E3-49E68FCE7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BAD852D-FC32-4277-9693-9D760DBC6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CFD5D2EF-EA59-4B7B-9FA5-F37D6BDEF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79D5B35A-2B04-48DD-AEDB-D57E7D2B8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B054160-0087-48A2-BDFF-0A44EDDE2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33DABD06-9096-4F12-BEBB-709C42E9A4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0262C7B-6F0A-4E63-AA02-369F98D2D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7B319C1-AA40-41A6-8F78-3D2BB1214A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A4EA4A2-49BF-4B26-88C1-DF0D564DA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8DA9951D-C5B9-49CA-A84F-DF4C7DA74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M14:M18 M4 M7:M12</xm:sqref>
        </x14:conditionalFormatting>
        <x14:conditionalFormatting xmlns:xm="http://schemas.microsoft.com/office/excel/2006/main">
          <x14:cfRule type="dataBar" id="{D5C7BE23-A6C5-47A4-928F-0107E2F90E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L14:L18 L4 L7:L12</xm:sqref>
        </x14:conditionalFormatting>
        <x14:conditionalFormatting xmlns:xm="http://schemas.microsoft.com/office/excel/2006/main">
          <x14:cfRule type="dataBar" id="{DEF4517F-CF0A-4D53-9936-05B58783F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L14:M18 L7:M12</xm:sqref>
        </x14:conditionalFormatting>
        <x14:conditionalFormatting xmlns:xm="http://schemas.microsoft.com/office/excel/2006/main">
          <x14:cfRule type="dataBar" id="{F782D7FF-7C67-415E-85B8-061616ACA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T15:T18</xm:sqref>
        </x14:conditionalFormatting>
        <x14:conditionalFormatting xmlns:xm="http://schemas.microsoft.com/office/excel/2006/main">
          <x14:cfRule type="dataBar" id="{A53BD55A-7B3E-495F-9A6C-52D28DC433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L7:L18 L4</xm:sqref>
        </x14:conditionalFormatting>
        <x14:conditionalFormatting xmlns:xm="http://schemas.microsoft.com/office/excel/2006/main">
          <x14:cfRule type="dataBar" id="{4A0E23FC-A730-42F0-8238-290B8D3E5F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M7:M18 M4</xm:sqref>
        </x14:conditionalFormatting>
        <x14:conditionalFormatting xmlns:xm="http://schemas.microsoft.com/office/excel/2006/main">
          <x14:cfRule type="dataBar" id="{997362D2-F979-4FF4-9957-EEE815B8FB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T7:T18 T4</xm:sqref>
        </x14:conditionalFormatting>
        <x14:conditionalFormatting xmlns:xm="http://schemas.microsoft.com/office/excel/2006/main">
          <x14:cfRule type="dataBar" id="{BE9DAB39-BEA6-4BEB-A899-A5312C793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I7:I20 I4</xm:sqref>
        </x14:conditionalFormatting>
        <x14:conditionalFormatting xmlns:xm="http://schemas.microsoft.com/office/excel/2006/main">
          <x14:cfRule type="dataBar" id="{9A77AA4E-2114-497C-8DD8-019A5A2A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T7:T21 T4</xm:sqref>
        </x14:conditionalFormatting>
        <x14:conditionalFormatting xmlns:xm="http://schemas.microsoft.com/office/excel/2006/main">
          <x14:cfRule type="dataBar" id="{02681E94-0C78-4192-BB62-3EC9044A04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 V7:W18</xm:sqref>
        </x14:conditionalFormatting>
        <x14:conditionalFormatting xmlns:xm="http://schemas.microsoft.com/office/excel/2006/main">
          <x14:cfRule type="dataBar" id="{3F278B21-3D47-4AC0-98D6-9953166618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L7:M18</xm:sqref>
        </x14:conditionalFormatting>
        <x14:conditionalFormatting xmlns:xm="http://schemas.microsoft.com/office/excel/2006/main">
          <x14:cfRule type="dataBar" id="{D8BC393C-655B-4CC7-81FB-90D13F2C2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L6:M18</xm:sqref>
        </x14:conditionalFormatting>
        <x14:conditionalFormatting xmlns:xm="http://schemas.microsoft.com/office/excel/2006/main">
          <x14:cfRule type="dataBar" id="{4111BCA5-D343-4C72-A7BC-F7C8A4C0F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76" id="{4C9B2856-5B33-4E47-BEFE-35E084839B7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 J7:J14</xm:sqref>
        </x14:conditionalFormatting>
        <x14:conditionalFormatting xmlns:xm="http://schemas.microsoft.com/office/excel/2006/main">
          <x14:cfRule type="iconSet" priority="45" id="{5A41431F-32C1-4349-90AD-F35417678E7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13" id="{968EDD13-B67D-458D-B3D5-89AC8B7770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A1:Y215"/>
  <sheetViews>
    <sheetView showGridLines="0" topLeftCell="A42" zoomScale="90" zoomScaleNormal="90" workbookViewId="0">
      <pane xSplit="2" topLeftCell="C1" activePane="topRight" state="frozen"/>
      <selection pane="topRight" activeCell="N51" sqref="N51"/>
    </sheetView>
  </sheetViews>
  <sheetFormatPr defaultRowHeight="12.75" x14ac:dyDescent="0.2"/>
  <cols>
    <col min="1" max="1" width="4.5703125" style="9" customWidth="1"/>
    <col min="2" max="2" width="22" style="9" customWidth="1"/>
    <col min="3" max="3" width="16.28515625" style="9" hidden="1" customWidth="1"/>
    <col min="4" max="4" width="11.42578125" style="9" customWidth="1"/>
    <col min="5" max="5" width="12" style="9" bestFit="1" customWidth="1"/>
    <col min="6" max="6" width="13.7109375" style="9" customWidth="1"/>
    <col min="7" max="7" width="10.5703125" style="9" customWidth="1"/>
    <col min="8" max="8" width="11.42578125" style="9" customWidth="1"/>
    <col min="9" max="9" width="13" style="9" customWidth="1"/>
    <col min="10" max="10" width="11.28515625" style="9" customWidth="1"/>
    <col min="11" max="11" width="13.28515625" style="9" customWidth="1"/>
    <col min="12" max="12" width="11.85546875" style="9" customWidth="1"/>
    <col min="13" max="13" width="12" style="9" customWidth="1"/>
    <col min="14" max="14" width="13.5703125" style="9" customWidth="1"/>
    <col min="15" max="15" width="12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5.5703125" style="9" customWidth="1"/>
    <col min="21" max="21" width="11.42578125" style="9" customWidth="1"/>
    <col min="22" max="22" width="11.28515625" style="9" customWidth="1"/>
    <col min="23" max="23" width="11.140625" style="9" customWidth="1"/>
    <col min="24" max="24" width="12" style="9" customWidth="1"/>
    <col min="25" max="25" width="11.42578125" style="9" customWidth="1"/>
    <col min="26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0" customFormat="1" ht="89.25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362</v>
      </c>
      <c r="M3" s="619" t="s">
        <v>138</v>
      </c>
      <c r="N3" s="619" t="s">
        <v>117</v>
      </c>
      <c r="O3" s="619" t="s">
        <v>127</v>
      </c>
      <c r="P3" s="619" t="s">
        <v>116</v>
      </c>
      <c r="Q3" s="619" t="s">
        <v>114</v>
      </c>
      <c r="R3" s="619" t="s">
        <v>111</v>
      </c>
      <c r="S3" s="619" t="s">
        <v>112</v>
      </c>
      <c r="T3" s="619" t="s">
        <v>813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409" customFormat="1" x14ac:dyDescent="0.2">
      <c r="A4" s="181" t="s">
        <v>354</v>
      </c>
      <c r="B4" s="116" t="s">
        <v>206</v>
      </c>
      <c r="C4" s="118" t="s">
        <v>207</v>
      </c>
      <c r="D4" s="119" t="e">
        <f t="shared" ref="D4:D27" ca="1" si="0">$P4/$P$33</f>
        <v>#NAME?</v>
      </c>
      <c r="E4" s="120">
        <f>$F$203</f>
        <v>2240</v>
      </c>
      <c r="F4" s="181">
        <f>$H$203</f>
        <v>1405.90625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7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G4/F4-1</f>
        <v>#NAME?</v>
      </c>
      <c r="M4" s="119" t="e">
        <f ca="1">Q4/O4-1</f>
        <v>#NAME?</v>
      </c>
      <c r="N4" s="120">
        <f>E4*F4</f>
        <v>3149230</v>
      </c>
      <c r="O4" s="120" t="e">
        <f ca="1">$J$203</f>
        <v>#NAME?</v>
      </c>
      <c r="P4" s="120" t="e">
        <f ca="1">E4*G4</f>
        <v>#NAME?</v>
      </c>
      <c r="Q4" s="203" t="e">
        <f ca="1">P4/$I$1</f>
        <v>#NAME?</v>
      </c>
      <c r="R4" s="123" t="e">
        <f t="shared" ref="R4:R27" ca="1" si="2">P4-N4</f>
        <v>#NAME?</v>
      </c>
      <c r="S4" s="123" t="e">
        <f t="shared" ref="S4:S27" ca="1" si="3">Q4-O4</f>
        <v>#NAME?</v>
      </c>
      <c r="T4" s="123" t="e">
        <f ca="1">_xll.BDP($C4,"EQY_DVD_YLD_EST")</f>
        <v>#NAME?</v>
      </c>
      <c r="U4" s="200" t="e">
        <f t="shared" ref="U4:U27" ca="1" si="4">Q4</f>
        <v>#NAME?</v>
      </c>
      <c r="V4" s="125" t="e">
        <f ca="1">_xll.BDP($C4,"CHG_PCT_YTD")</f>
        <v>#NAME?</v>
      </c>
      <c r="W4" s="125" t="e">
        <f ca="1">_xll.BDP($C4,"CHG_PCT_1YR")</f>
        <v>#NAME?</v>
      </c>
      <c r="X4" s="125" t="e">
        <f ca="1">_xll.BDP($C4,"DVD_EX_DT")</f>
        <v>#NAME?</v>
      </c>
      <c r="Y4" s="125" t="e">
        <f ca="1">_xll.BDP($C4,"BDVD_NEXT_EST_DECL_DT")</f>
        <v>#NAME?</v>
      </c>
    </row>
    <row r="5" spans="1:25" s="409" customFormat="1" x14ac:dyDescent="0.2">
      <c r="A5" s="181" t="s">
        <v>354</v>
      </c>
      <c r="B5" s="116" t="s">
        <v>356</v>
      </c>
      <c r="C5" s="118" t="s">
        <v>331</v>
      </c>
      <c r="D5" s="119" t="e">
        <f t="shared" ca="1" si="0"/>
        <v>#NAME?</v>
      </c>
      <c r="E5" s="120">
        <f>$F$143</f>
        <v>2000</v>
      </c>
      <c r="F5" s="181">
        <f>$H$143</f>
        <v>8.4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$P5/$N5-1</f>
        <v>#NAME?</v>
      </c>
      <c r="M5" s="119" t="e">
        <f ca="1">$G5/$F5-1</f>
        <v>#NAME?</v>
      </c>
      <c r="N5" s="120" t="e">
        <f ca="1">$K$143</f>
        <v>#NAME?</v>
      </c>
      <c r="O5" s="120">
        <f>$E5*$F5</f>
        <v>16800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200" t="e">
        <f t="shared" ca="1" si="4"/>
        <v>#NAME?</v>
      </c>
      <c r="V5" s="125" t="e">
        <f ca="1">_xll.BDP($C5,"CHG_PCT_YTD")</f>
        <v>#NAME?</v>
      </c>
      <c r="W5" s="125" t="e">
        <f ca="1">_xll.BDP($C5,"CHG_PCT_1YR")</f>
        <v>#NAME?</v>
      </c>
      <c r="X5" s="125" t="e">
        <f ca="1">_xll.BDP($C5,"DVD_EX_DT")</f>
        <v>#NAME?</v>
      </c>
      <c r="Y5" s="125" t="e">
        <f ca="1">_xll.BDP($C5,"BDVD_NEXT_EST_DECL_DT")</f>
        <v>#NAME?</v>
      </c>
    </row>
    <row r="6" spans="1:25" s="409" customFormat="1" x14ac:dyDescent="0.2">
      <c r="A6" s="181" t="s">
        <v>354</v>
      </c>
      <c r="B6" s="116" t="s">
        <v>358</v>
      </c>
      <c r="C6" s="118" t="s">
        <v>55</v>
      </c>
      <c r="D6" s="119" t="e">
        <f t="shared" ca="1" si="0"/>
        <v>#NAME?</v>
      </c>
      <c r="E6" s="120">
        <f>$F$165</f>
        <v>847</v>
      </c>
      <c r="F6" s="181">
        <f>$H$165</f>
        <v>8342.4118617473432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E6*F6</f>
        <v>7066022.8468999993</v>
      </c>
      <c r="O6" s="120" t="e">
        <f ca="1">$J$165</f>
        <v>#NAME?</v>
      </c>
      <c r="P6" s="120" t="e">
        <f ca="1">E6*G6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200" t="e">
        <f t="shared" ca="1" si="4"/>
        <v>#NAME?</v>
      </c>
      <c r="V6" s="125" t="e">
        <f ca="1">_xll.BDP($C6,"CHG_PCT_YTD")</f>
        <v>#NAME?</v>
      </c>
      <c r="W6" s="125" t="e">
        <f ca="1">_xll.BDP($C6,"CHG_PCT_1YR")</f>
        <v>#NAME?</v>
      </c>
      <c r="X6" s="125" t="e">
        <f ca="1">_xll.BDP($C6,"DVD_EX_DT")</f>
        <v>#NAME?</v>
      </c>
      <c r="Y6" s="125" t="e">
        <f ca="1">_xll.BDP($C6,"BDVD_NEXT_EST_DECL_DT")</f>
        <v>#NAME?</v>
      </c>
    </row>
    <row r="7" spans="1:25" s="409" customFormat="1" x14ac:dyDescent="0.2">
      <c r="A7" s="181" t="s">
        <v>354</v>
      </c>
      <c r="B7" s="116" t="s">
        <v>211</v>
      </c>
      <c r="C7" s="118" t="s">
        <v>212</v>
      </c>
      <c r="D7" s="119" t="e">
        <f t="shared" ca="1" si="0"/>
        <v>#NAME?</v>
      </c>
      <c r="E7" s="120">
        <f>$F$199</f>
        <v>15000</v>
      </c>
      <c r="F7" s="181">
        <f>$H$199</f>
        <v>37.981250000000003</v>
      </c>
      <c r="G7" s="181" t="e">
        <f ca="1">_xll.BDP($C7,"PX_LAST")</f>
        <v>#NAME?</v>
      </c>
      <c r="H7" s="181">
        <v>60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G7/F7-1</f>
        <v>#NAME?</v>
      </c>
      <c r="M7" s="119" t="e">
        <f ca="1">Q7/O7-1</f>
        <v>#NAME?</v>
      </c>
      <c r="N7" s="120">
        <f>E7*F7</f>
        <v>569718.75</v>
      </c>
      <c r="O7" s="120" t="e">
        <f ca="1">$J$199</f>
        <v>#NAME?</v>
      </c>
      <c r="P7" s="120" t="e">
        <f ca="1">E7*G7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200" t="e">
        <f t="shared" ca="1" si="4"/>
        <v>#NAME?</v>
      </c>
      <c r="V7" s="125" t="e">
        <f ca="1">_xll.BDP($C7,"CHG_PCT_YTD")</f>
        <v>#NAME?</v>
      </c>
      <c r="W7" s="125" t="e">
        <f ca="1">_xll.BDP($C7,"CHG_PCT_1YR")</f>
        <v>#NAME?</v>
      </c>
      <c r="X7" s="125" t="e">
        <f ca="1">_xll.BDP($C7,"DVD_EX_DT")</f>
        <v>#NAME?</v>
      </c>
      <c r="Y7" s="125" t="e">
        <f ca="1">_xll.BDP($C7,"BDVD_NEXT_EST_DECL_DT")</f>
        <v>#NAME?</v>
      </c>
    </row>
    <row r="8" spans="1:25" s="409" customFormat="1" x14ac:dyDescent="0.2">
      <c r="A8" s="181" t="s">
        <v>354</v>
      </c>
      <c r="B8" s="116" t="s">
        <v>725</v>
      </c>
      <c r="C8" s="118" t="s">
        <v>745</v>
      </c>
      <c r="D8" s="119" t="e">
        <f t="shared" ca="1" si="0"/>
        <v>#NAME?</v>
      </c>
      <c r="E8" s="120">
        <f>$F$215</f>
        <v>1510</v>
      </c>
      <c r="F8" s="181">
        <f>$H$215</f>
        <v>50.979337999999998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$P8/$N8-1</f>
        <v>#NAME?</v>
      </c>
      <c r="M8" s="119" t="e">
        <f ca="1">G8/F8-1</f>
        <v>#NAME?</v>
      </c>
      <c r="N8" s="120" t="e">
        <f ca="1">$K$215</f>
        <v>#NAME?</v>
      </c>
      <c r="O8" s="120">
        <f>$E8*$F8</f>
        <v>76978.800380000001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200" t="e">
        <f t="shared" ca="1" si="4"/>
        <v>#NAME?</v>
      </c>
      <c r="V8" s="125" t="e">
        <f ca="1">_xll.BDP($C8,"CHG_PCT_YTD")</f>
        <v>#NAME?</v>
      </c>
      <c r="W8" s="125" t="e">
        <f ca="1">_xll.BDP($C8,"CHG_PCT_1YR")</f>
        <v>#NAME?</v>
      </c>
      <c r="X8" s="125" t="e">
        <f ca="1">_xll.BDP($C8,"DVD_EX_DT")</f>
        <v>#NAME?</v>
      </c>
      <c r="Y8" s="125" t="e">
        <f ca="1">_xll.BDP($C8,"BDVD_NEXT_EST_DECL_DT")</f>
        <v>#NAME?</v>
      </c>
    </row>
    <row r="9" spans="1:25" s="409" customFormat="1" x14ac:dyDescent="0.2">
      <c r="A9" s="181" t="s">
        <v>354</v>
      </c>
      <c r="B9" s="116" t="s">
        <v>223</v>
      </c>
      <c r="C9" s="118" t="s">
        <v>222</v>
      </c>
      <c r="D9" s="119" t="e">
        <f t="shared" ca="1" si="0"/>
        <v>#NAME?</v>
      </c>
      <c r="E9" s="120">
        <f>$F$152</f>
        <v>88600</v>
      </c>
      <c r="F9" s="181">
        <f>$H$152</f>
        <v>45.63504514672686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4043265</v>
      </c>
      <c r="O9" s="120" t="e">
        <f ca="1">$J$152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200" t="e">
        <f t="shared" ca="1" si="4"/>
        <v>#NAME?</v>
      </c>
      <c r="V9" s="125" t="e">
        <f ca="1">_xll.BDP($C9,"CHG_PCT_YTD")</f>
        <v>#NAME?</v>
      </c>
      <c r="W9" s="125" t="e">
        <f ca="1">_xll.BDP($C9,"CHG_PCT_1YR")</f>
        <v>#NAME?</v>
      </c>
      <c r="X9" s="125" t="e">
        <f ca="1">_xll.BDP($C9,"DVD_EX_DT")</f>
        <v>#NAME?</v>
      </c>
      <c r="Y9" s="125" t="e">
        <f ca="1">_xll.BDP($C9,"BDVD_NEXT_EST_DECL_DT")</f>
        <v>#NAME?</v>
      </c>
    </row>
    <row r="10" spans="1:25" s="409" customFormat="1" x14ac:dyDescent="0.2">
      <c r="A10" s="181" t="s">
        <v>354</v>
      </c>
      <c r="B10" s="116" t="s">
        <v>361</v>
      </c>
      <c r="C10" s="118" t="s">
        <v>360</v>
      </c>
      <c r="D10" s="119" t="e">
        <f t="shared" ca="1" si="0"/>
        <v>#NAME?</v>
      </c>
      <c r="E10" s="120">
        <f>$F$109</f>
        <v>4100</v>
      </c>
      <c r="F10" s="181">
        <f>$H$109</f>
        <v>14.581951219512195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$P10/$N10-1</f>
        <v>#NAME?</v>
      </c>
      <c r="M10" s="119" t="e">
        <f ca="1">G10/F10-1</f>
        <v>#NAME?</v>
      </c>
      <c r="N10" s="120" t="e">
        <f ca="1">$K$109</f>
        <v>#NAME?</v>
      </c>
      <c r="O10" s="120">
        <f>$E10*$F10</f>
        <v>59786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200" t="e">
        <f t="shared" ca="1" si="4"/>
        <v>#NAME?</v>
      </c>
      <c r="V10" s="125" t="e">
        <f ca="1">_xll.BDP($C10,"CHG_PCT_YTD")</f>
        <v>#NAME?</v>
      </c>
      <c r="W10" s="125" t="e">
        <f ca="1">_xll.BDP($C10,"CHG_PCT_1YR")</f>
        <v>#NAME?</v>
      </c>
      <c r="X10" s="125" t="e">
        <f ca="1">_xll.BDP($C10,"DVD_EX_DT")</f>
        <v>#NAME?</v>
      </c>
      <c r="Y10" s="125" t="e">
        <f ca="1">_xll.BDP($C10,"BDVD_NEXT_EST_DECL_DT")</f>
        <v>#NAME?</v>
      </c>
    </row>
    <row r="11" spans="1:25" s="409" customFormat="1" x14ac:dyDescent="0.2">
      <c r="A11" s="181" t="s">
        <v>354</v>
      </c>
      <c r="B11" s="116" t="s">
        <v>205</v>
      </c>
      <c r="C11" s="118" t="s">
        <v>204</v>
      </c>
      <c r="D11" s="119" t="e">
        <f t="shared" ca="1" si="0"/>
        <v>#NAME?</v>
      </c>
      <c r="E11" s="120">
        <f>$F$104</f>
        <v>40224</v>
      </c>
      <c r="F11" s="181">
        <f>$H$104</f>
        <v>3.6976481702466186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$P11/$N11-1</f>
        <v>#NAME?</v>
      </c>
      <c r="M11" s="119" t="e">
        <f ca="1">G11/F11-1</f>
        <v>#NAME?</v>
      </c>
      <c r="N11" s="120" t="e">
        <f ca="1">$K$104</f>
        <v>#NAME?</v>
      </c>
      <c r="O11" s="120">
        <f>$E11*$F11</f>
        <v>148734.19999999998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200" t="e">
        <f t="shared" ca="1" si="4"/>
        <v>#NAME?</v>
      </c>
      <c r="V11" s="125" t="e">
        <f ca="1">_xll.BDP($C11,"CHG_PCT_YTD")</f>
        <v>#NAME?</v>
      </c>
      <c r="W11" s="125" t="e">
        <f ca="1">_xll.BDP($C11,"CHG_PCT_1YR")</f>
        <v>#NAME?</v>
      </c>
      <c r="X11" s="125" t="e">
        <f ca="1">_xll.BDP($C11,"DVD_EX_DT")</f>
        <v>#NAME?</v>
      </c>
      <c r="Y11" s="125" t="e">
        <f ca="1">_xll.BDP($C11,"BDVD_NEXT_EST_DECL_DT")</f>
        <v>#NAME?</v>
      </c>
    </row>
    <row r="12" spans="1:25" s="409" customFormat="1" x14ac:dyDescent="0.2">
      <c r="A12" s="181" t="s">
        <v>354</v>
      </c>
      <c r="B12" s="116" t="s">
        <v>96</v>
      </c>
      <c r="C12" s="118" t="s">
        <v>184</v>
      </c>
      <c r="D12" s="119" t="e">
        <f t="shared" ca="1" si="0"/>
        <v>#NAME?</v>
      </c>
      <c r="E12" s="120">
        <f>$F$189</f>
        <v>8000</v>
      </c>
      <c r="F12" s="181">
        <f>$H$189</f>
        <v>742.67843887499998</v>
      </c>
      <c r="G12" s="181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t="shared" ref="L12:L21" ca="1" si="5">G12/F12-1</f>
        <v>#NAME?</v>
      </c>
      <c r="M12" s="119" t="e">
        <f t="shared" ref="M12:M21" ca="1" si="6">Q12/O12-1</f>
        <v>#NAME?</v>
      </c>
      <c r="N12" s="120">
        <f t="shared" ref="N12:N21" si="7">E12*F12</f>
        <v>5941427.5109999999</v>
      </c>
      <c r="O12" s="120" t="e">
        <f ca="1">$J$189</f>
        <v>#NAME?</v>
      </c>
      <c r="P12" s="120" t="e">
        <f t="shared" ref="P12:P21" ca="1" si="8">E12*G12</f>
        <v>#NAME?</v>
      </c>
      <c r="Q12" s="203" t="e">
        <f t="shared" ref="Q12:Q21" ca="1" si="9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200" t="e">
        <f t="shared" ca="1" si="4"/>
        <v>#NAME?</v>
      </c>
      <c r="V12" s="125" t="e">
        <f ca="1">_xll.BDP($C12,"CHG_PCT_YTD")</f>
        <v>#NAME?</v>
      </c>
      <c r="W12" s="125" t="e">
        <f ca="1">_xll.BDP($C12,"CHG_PCT_1YR")</f>
        <v>#NAME?</v>
      </c>
      <c r="X12" s="125" t="e">
        <f ca="1">_xll.BDP($C12,"DVD_EX_DT")</f>
        <v>#NAME?</v>
      </c>
      <c r="Y12" s="125" t="e">
        <f ca="1">_xll.BDP($C12,"BDVD_NEXT_EST_DECL_DT")</f>
        <v>#NAME?</v>
      </c>
    </row>
    <row r="13" spans="1:25" s="409" customFormat="1" x14ac:dyDescent="0.2">
      <c r="A13" s="181" t="s">
        <v>354</v>
      </c>
      <c r="B13" s="116" t="s">
        <v>261</v>
      </c>
      <c r="C13" s="118" t="s">
        <v>260</v>
      </c>
      <c r="D13" s="119" t="e">
        <f t="shared" ca="1" si="0"/>
        <v>#NAME?</v>
      </c>
      <c r="E13" s="120">
        <f>$F$169</f>
        <v>4600</v>
      </c>
      <c r="F13" s="181">
        <f>$H$169</f>
        <v>329</v>
      </c>
      <c r="G13" s="181" t="e">
        <f ca="1">_xll.BDP($C13,"PX_LAST")</f>
        <v>#NAME?</v>
      </c>
      <c r="H13" s="181" t="e">
        <f ca="1">_xll.BDP($C13,"BEST_TARGET_PRICE")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t="shared" ca="1" si="5"/>
        <v>#NAME?</v>
      </c>
      <c r="M13" s="119" t="e">
        <f t="shared" ca="1" si="6"/>
        <v>#NAME?</v>
      </c>
      <c r="N13" s="120">
        <f t="shared" si="7"/>
        <v>1513400</v>
      </c>
      <c r="O13" s="120" t="e">
        <f ca="1">$J$169</f>
        <v>#NAME?</v>
      </c>
      <c r="P13" s="120" t="e">
        <f t="shared" ca="1" si="8"/>
        <v>#NAME?</v>
      </c>
      <c r="Q13" s="203" t="e">
        <f t="shared" ca="1" si="9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200" t="e">
        <f t="shared" ca="1" si="4"/>
        <v>#NAME?</v>
      </c>
      <c r="V13" s="125" t="e">
        <f ca="1">_xll.BDP($C13,"CHG_PCT_YTD")</f>
        <v>#NAME?</v>
      </c>
      <c r="W13" s="125" t="e">
        <f ca="1">_xll.BDP($C13,"CHG_PCT_1YR")</f>
        <v>#NAME?</v>
      </c>
      <c r="X13" s="125" t="e">
        <f ca="1">_xll.BDP($C13,"DVD_EX_DT")</f>
        <v>#NAME?</v>
      </c>
      <c r="Y13" s="125" t="e">
        <f ca="1">_xll.BDP($C13,"BDVD_NEXT_EST_DECL_DT")</f>
        <v>#NAME?</v>
      </c>
    </row>
    <row r="14" spans="1:25" s="409" customFormat="1" x14ac:dyDescent="0.2">
      <c r="A14" s="181" t="s">
        <v>354</v>
      </c>
      <c r="B14" s="116" t="s">
        <v>150</v>
      </c>
      <c r="C14" s="118" t="s">
        <v>728</v>
      </c>
      <c r="D14" s="119" t="e">
        <f t="shared" ca="1" si="0"/>
        <v>#NAME?</v>
      </c>
      <c r="E14" s="120">
        <f>$F$88</f>
        <v>2083000</v>
      </c>
      <c r="F14" s="181">
        <f>$H$88</f>
        <v>2.4</v>
      </c>
      <c r="G14" s="181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t="shared" ca="1" si="5"/>
        <v>#NAME?</v>
      </c>
      <c r="M14" s="119" t="e">
        <f t="shared" ca="1" si="6"/>
        <v>#NAME?</v>
      </c>
      <c r="N14" s="120">
        <f t="shared" si="7"/>
        <v>4999200</v>
      </c>
      <c r="O14" s="120" t="e">
        <f ca="1">$J$88</f>
        <v>#NAME?</v>
      </c>
      <c r="P14" s="120" t="e">
        <f t="shared" ca="1" si="8"/>
        <v>#NAME?</v>
      </c>
      <c r="Q14" s="203" t="e">
        <f t="shared" ca="1" si="9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200" t="e">
        <f t="shared" ca="1" si="4"/>
        <v>#NAME?</v>
      </c>
      <c r="V14" s="125" t="e">
        <f ca="1">_xll.BDP($C14,"CHG_PCT_YTD")</f>
        <v>#NAME?</v>
      </c>
      <c r="W14" s="125" t="e">
        <f ca="1">_xll.BDP($C14,"CHG_PCT_1YR")</f>
        <v>#NAME?</v>
      </c>
      <c r="X14" s="125" t="e">
        <f ca="1">_xll.BDP($C14,"DVD_EX_DT")</f>
        <v>#NAME?</v>
      </c>
      <c r="Y14" s="125" t="e">
        <f ca="1">_xll.BDP($C14,"BDVD_NEXT_EST_DECL_DT")</f>
        <v>#NAME?</v>
      </c>
    </row>
    <row r="15" spans="1:25" s="409" customFormat="1" x14ac:dyDescent="0.2">
      <c r="A15" s="181" t="s">
        <v>354</v>
      </c>
      <c r="B15" s="116" t="s">
        <v>183</v>
      </c>
      <c r="C15" s="118" t="s">
        <v>182</v>
      </c>
      <c r="D15" s="119" t="e">
        <f t="shared" ca="1" si="0"/>
        <v>#NAME?</v>
      </c>
      <c r="E15" s="120">
        <f>$F$95</f>
        <v>141200</v>
      </c>
      <c r="F15" s="181">
        <f>$H$95</f>
        <v>41.180453257790369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t="shared" ca="1" si="5"/>
        <v>#NAME?</v>
      </c>
      <c r="M15" s="119" t="e">
        <f t="shared" ca="1" si="6"/>
        <v>#NAME?</v>
      </c>
      <c r="N15" s="120">
        <f t="shared" si="7"/>
        <v>5814680</v>
      </c>
      <c r="O15" s="120" t="e">
        <f ca="1">$J$95</f>
        <v>#NAME?</v>
      </c>
      <c r="P15" s="120" t="e">
        <f t="shared" ca="1" si="8"/>
        <v>#NAME?</v>
      </c>
      <c r="Q15" s="203" t="e">
        <f t="shared" ca="1" si="9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200" t="e">
        <f t="shared" ca="1" si="4"/>
        <v>#NAME?</v>
      </c>
      <c r="V15" s="125" t="e">
        <f ca="1">_xll.BDP($C15,"CHG_PCT_YTD")</f>
        <v>#NAME?</v>
      </c>
      <c r="W15" s="125" t="e">
        <f ca="1">_xll.BDP($C15,"CHG_PCT_1YR")</f>
        <v>#NAME?</v>
      </c>
      <c r="X15" s="125" t="e">
        <f ca="1">_xll.BDP($C15,"DVD_EX_DT")</f>
        <v>#NAME?</v>
      </c>
      <c r="Y15" s="125" t="e">
        <f ca="1">_xll.BDP($C15,"BDVD_NEXT_EST_DECL_DT")</f>
        <v>#NAME?</v>
      </c>
    </row>
    <row r="16" spans="1:25" s="409" customFormat="1" x14ac:dyDescent="0.2">
      <c r="A16" s="181" t="s">
        <v>354</v>
      </c>
      <c r="B16" s="116" t="s">
        <v>147</v>
      </c>
      <c r="C16" s="118" t="s">
        <v>53</v>
      </c>
      <c r="D16" s="119" t="e">
        <f t="shared" ca="1" si="0"/>
        <v>#NAME?</v>
      </c>
      <c r="E16" s="120">
        <f>$F$130-1100</f>
        <v>2597</v>
      </c>
      <c r="F16" s="181">
        <f>$H$130</f>
        <v>2182.403675818231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t="shared" ca="1" si="5"/>
        <v>#NAME?</v>
      </c>
      <c r="M16" s="119" t="e">
        <f t="shared" ca="1" si="6"/>
        <v>#NAME?</v>
      </c>
      <c r="N16" s="120">
        <f t="shared" si="7"/>
        <v>5667702.3460999457</v>
      </c>
      <c r="O16" s="120" t="e">
        <f ca="1">$J$130</f>
        <v>#NAME?</v>
      </c>
      <c r="P16" s="120" t="e">
        <f t="shared" ca="1" si="8"/>
        <v>#NAME?</v>
      </c>
      <c r="Q16" s="203" t="e">
        <f t="shared" ca="1" si="9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200" t="e">
        <f t="shared" ca="1" si="4"/>
        <v>#NAME?</v>
      </c>
      <c r="V16" s="125" t="e">
        <f ca="1">_xll.BDP($C16,"CHG_PCT_YTD")</f>
        <v>#NAME?</v>
      </c>
      <c r="W16" s="125" t="e">
        <f ca="1">_xll.BDP($C16,"CHG_PCT_1YR")</f>
        <v>#NAME?</v>
      </c>
      <c r="X16" s="125" t="e">
        <f ca="1">_xll.BDP($C16,"DVD_EX_DT")</f>
        <v>#NAME?</v>
      </c>
      <c r="Y16" s="125" t="e">
        <f ca="1">_xll.BDP($C16,"BDVD_NEXT_EST_DECL_DT")</f>
        <v>#NAME?</v>
      </c>
    </row>
    <row r="17" spans="1:25" s="409" customFormat="1" x14ac:dyDescent="0.2">
      <c r="A17" s="181" t="s">
        <v>354</v>
      </c>
      <c r="B17" s="116" t="s">
        <v>145</v>
      </c>
      <c r="C17" s="118" t="s">
        <v>146</v>
      </c>
      <c r="D17" s="119" t="e">
        <f t="shared" ca="1" si="0"/>
        <v>#NAME?</v>
      </c>
      <c r="E17" s="120">
        <f>$F$174</f>
        <v>10100</v>
      </c>
      <c r="F17" s="181">
        <f>$H$174</f>
        <v>190.90307821782179</v>
      </c>
      <c r="G17" s="181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t="shared" ca="1" si="5"/>
        <v>#NAME?</v>
      </c>
      <c r="M17" s="119" t="e">
        <f t="shared" ca="1" si="6"/>
        <v>#NAME?</v>
      </c>
      <c r="N17" s="120">
        <f t="shared" si="7"/>
        <v>1928121.09</v>
      </c>
      <c r="O17" s="120" t="e">
        <f ca="1">$J$174</f>
        <v>#NAME?</v>
      </c>
      <c r="P17" s="120" t="e">
        <f t="shared" ca="1" si="8"/>
        <v>#NAME?</v>
      </c>
      <c r="Q17" s="203" t="e">
        <f t="shared" ca="1" si="9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200" t="e">
        <f t="shared" ca="1" si="4"/>
        <v>#NAME?</v>
      </c>
      <c r="V17" s="125" t="e">
        <f ca="1">_xll.BDP($C17,"CHG_PCT_YTD")</f>
        <v>#NAME?</v>
      </c>
      <c r="W17" s="125" t="e">
        <f ca="1">_xll.BDP($C17,"CHG_PCT_1YR")</f>
        <v>#NAME?</v>
      </c>
      <c r="X17" s="125" t="e">
        <f ca="1">_xll.BDP($C17,"DVD_EX_DT")</f>
        <v>#NAME?</v>
      </c>
      <c r="Y17" s="125" t="e">
        <f ca="1">_xll.BDP($C17,"BDVD_NEXT_EST_DECL_DT")</f>
        <v>#NAME?</v>
      </c>
    </row>
    <row r="18" spans="1:25" s="409" customFormat="1" x14ac:dyDescent="0.2">
      <c r="A18" s="181" t="s">
        <v>354</v>
      </c>
      <c r="B18" s="116" t="s">
        <v>153</v>
      </c>
      <c r="C18" s="118" t="s">
        <v>54</v>
      </c>
      <c r="D18" s="119" t="e">
        <f t="shared" ca="1" si="0"/>
        <v>#NAME?</v>
      </c>
      <c r="E18" s="120">
        <f>$F$125</f>
        <v>5200</v>
      </c>
      <c r="F18" s="181">
        <f>$H$125</f>
        <v>143.97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t="shared" ca="1" si="5"/>
        <v>#NAME?</v>
      </c>
      <c r="M18" s="119" t="e">
        <f t="shared" ca="1" si="6"/>
        <v>#NAME?</v>
      </c>
      <c r="N18" s="120">
        <f t="shared" si="7"/>
        <v>748644</v>
      </c>
      <c r="O18" s="120" t="e">
        <f ca="1">$J$125</f>
        <v>#NAME?</v>
      </c>
      <c r="P18" s="120" t="e">
        <f t="shared" ca="1" si="8"/>
        <v>#NAME?</v>
      </c>
      <c r="Q18" s="203" t="e">
        <f t="shared" ca="1" si="9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200" t="e">
        <f t="shared" ca="1" si="4"/>
        <v>#NAME?</v>
      </c>
      <c r="V18" s="125" t="e">
        <f ca="1">_xll.BDP($C18,"CHG_PCT_YTD")</f>
        <v>#NAME?</v>
      </c>
      <c r="W18" s="125" t="e">
        <f ca="1">_xll.BDP($C18,"CHG_PCT_1YR")</f>
        <v>#NAME?</v>
      </c>
      <c r="X18" s="125" t="e">
        <f ca="1">_xll.BDP($C18,"DVD_EX_DT")</f>
        <v>#NAME?</v>
      </c>
      <c r="Y18" s="125" t="e">
        <f ca="1">_xll.BDP($C18,"BDVD_NEXT_EST_DECL_DT")</f>
        <v>#NAME?</v>
      </c>
    </row>
    <row r="19" spans="1:25" s="409" customFormat="1" x14ac:dyDescent="0.2">
      <c r="A19" s="181" t="s">
        <v>354</v>
      </c>
      <c r="B19" s="116" t="s">
        <v>196</v>
      </c>
      <c r="C19" s="118" t="s">
        <v>335</v>
      </c>
      <c r="D19" s="119" t="e">
        <f t="shared" ca="1" si="0"/>
        <v>#NAME?</v>
      </c>
      <c r="E19" s="120">
        <f>$F$117</f>
        <v>16994</v>
      </c>
      <c r="F19" s="181" t="e">
        <f ca="1">$H$117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t="shared" ca="1" si="5"/>
        <v>#NAME?</v>
      </c>
      <c r="M19" s="119" t="e">
        <f t="shared" ca="1" si="6"/>
        <v>#NAME?</v>
      </c>
      <c r="N19" s="120" t="e">
        <f t="shared" ca="1" si="7"/>
        <v>#NAME?</v>
      </c>
      <c r="O19" s="120" t="e">
        <f ca="1">$J$117</f>
        <v>#NAME?</v>
      </c>
      <c r="P19" s="120" t="e">
        <f t="shared" ca="1" si="8"/>
        <v>#NAME?</v>
      </c>
      <c r="Q19" s="203" t="e">
        <f t="shared" ca="1" si="9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200" t="e">
        <f t="shared" ca="1" si="4"/>
        <v>#NAME?</v>
      </c>
      <c r="V19" s="125" t="e">
        <f ca="1">_xll.BDP($C19,"CHG_PCT_YTD")</f>
        <v>#NAME?</v>
      </c>
      <c r="W19" s="125" t="e">
        <f ca="1">_xll.BDP($C19,"CHG_PCT_1YR")</f>
        <v>#NAME?</v>
      </c>
      <c r="X19" s="125" t="e">
        <f ca="1">_xll.BDP($C19,"DVD_EX_DT")</f>
        <v>#NAME?</v>
      </c>
      <c r="Y19" s="125" t="e">
        <f ca="1">_xll.BDP($C19,"BDVD_NEXT_EST_DECL_DT")</f>
        <v>#NAME?</v>
      </c>
    </row>
    <row r="20" spans="1:25" s="409" customFormat="1" x14ac:dyDescent="0.2">
      <c r="A20" s="181" t="s">
        <v>354</v>
      </c>
      <c r="B20" s="116" t="s">
        <v>171</v>
      </c>
      <c r="C20" s="118" t="s">
        <v>186</v>
      </c>
      <c r="D20" s="119" t="e">
        <f t="shared" ca="1" si="0"/>
        <v>#NAME?</v>
      </c>
      <c r="E20" s="120">
        <f>$F$85</f>
        <v>8400</v>
      </c>
      <c r="F20" s="181">
        <f>$H$85</f>
        <v>594.9819</v>
      </c>
      <c r="G20" s="181" t="e">
        <f ca="1">_xll.BDP($C20,"PX_LAST")</f>
        <v>#NAME?</v>
      </c>
      <c r="H20" s="181" t="e">
        <f ca="1">_xll.BDP("LSRG LI EQUITY","BEST_TARGET_PRICE")*5*$I$1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t="shared" ca="1" si="5"/>
        <v>#NAME?</v>
      </c>
      <c r="M20" s="119" t="e">
        <f t="shared" ca="1" si="6"/>
        <v>#NAME?</v>
      </c>
      <c r="N20" s="120">
        <f t="shared" si="7"/>
        <v>4997847.96</v>
      </c>
      <c r="O20" s="120" t="e">
        <f ca="1">$J$85</f>
        <v>#NAME?</v>
      </c>
      <c r="P20" s="120" t="e">
        <f t="shared" ca="1" si="8"/>
        <v>#NAME?</v>
      </c>
      <c r="Q20" s="203" t="e">
        <f t="shared" ca="1" si="9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200" t="e">
        <f t="shared" ca="1" si="4"/>
        <v>#NAME?</v>
      </c>
      <c r="V20" s="125" t="e">
        <f ca="1">_xll.BDP($C20,"CHG_PCT_YTD")</f>
        <v>#NAME?</v>
      </c>
      <c r="W20" s="125" t="e">
        <f ca="1">_xll.BDP($C20,"CHG_PCT_1YR")</f>
        <v>#NAME?</v>
      </c>
      <c r="X20" s="125" t="e">
        <f ca="1">_xll.BDP($C20,"DVD_EX_DT")</f>
        <v>#NAME?</v>
      </c>
      <c r="Y20" s="125" t="e">
        <f ca="1">_xll.BDP($C20,"BDVD_NEXT_EST_DECL_DT")</f>
        <v>#NAME?</v>
      </c>
    </row>
    <row r="21" spans="1:25" s="409" customFormat="1" x14ac:dyDescent="0.2">
      <c r="A21" s="181" t="s">
        <v>354</v>
      </c>
      <c r="B21" s="116" t="s">
        <v>293</v>
      </c>
      <c r="C21" s="118" t="s">
        <v>58</v>
      </c>
      <c r="D21" s="119" t="e">
        <f t="shared" ca="1" si="0"/>
        <v>#NAME?</v>
      </c>
      <c r="E21" s="120">
        <f>$F$134</f>
        <v>40520</v>
      </c>
      <c r="F21" s="181">
        <f>$H$134</f>
        <v>144.61046396841067</v>
      </c>
      <c r="G21" s="181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t="shared" ca="1" si="5"/>
        <v>#NAME?</v>
      </c>
      <c r="M21" s="119" t="e">
        <f t="shared" ca="1" si="6"/>
        <v>#NAME?</v>
      </c>
      <c r="N21" s="120">
        <f t="shared" si="7"/>
        <v>5859616</v>
      </c>
      <c r="O21" s="120" t="e">
        <f ca="1">$J$134</f>
        <v>#NAME?</v>
      </c>
      <c r="P21" s="120" t="e">
        <f t="shared" ca="1" si="8"/>
        <v>#NAME?</v>
      </c>
      <c r="Q21" s="203" t="e">
        <f t="shared" ca="1" si="9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200" t="e">
        <f t="shared" ca="1" si="4"/>
        <v>#NAME?</v>
      </c>
      <c r="V21" s="125" t="e">
        <f ca="1">_xll.BDP($C21,"CHG_PCT_YTD")</f>
        <v>#NAME?</v>
      </c>
      <c r="W21" s="125" t="e">
        <f ca="1">_xll.BDP($C21,"CHG_PCT_1YR")</f>
        <v>#NAME?</v>
      </c>
      <c r="X21" s="125" t="e">
        <f ca="1">_xll.BDP($C21,"DVD_EX_DT")</f>
        <v>#NAME?</v>
      </c>
      <c r="Y21" s="125" t="e">
        <f ca="1">_xll.BDP($C21,"BDVD_NEXT_EST_DECL_DT")</f>
        <v>#NAME?</v>
      </c>
    </row>
    <row r="22" spans="1:25" s="409" customFormat="1" x14ac:dyDescent="0.2">
      <c r="A22" s="181" t="s">
        <v>354</v>
      </c>
      <c r="B22" s="116" t="s">
        <v>170</v>
      </c>
      <c r="C22" s="118" t="s">
        <v>169</v>
      </c>
      <c r="D22" s="119" t="e">
        <f t="shared" ca="1" si="0"/>
        <v>#NAME?</v>
      </c>
      <c r="E22" s="120">
        <f>$F$183</f>
        <v>53170</v>
      </c>
      <c r="F22" s="181">
        <f>$H$183</f>
        <v>1.7552341545984578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$P22/$N22-1</f>
        <v>#NAME?</v>
      </c>
      <c r="M22" s="119" t="e">
        <f ca="1">$G22/$F22-1</f>
        <v>#NAME?</v>
      </c>
      <c r="N22" s="120" t="e">
        <f ca="1">$K$183</f>
        <v>#NAME?</v>
      </c>
      <c r="O22" s="120">
        <f>$E22*$F22</f>
        <v>93325.8</v>
      </c>
      <c r="P22" s="120" t="e">
        <f ca="1">E22*G22*$I$1</f>
        <v>#NAME?</v>
      </c>
      <c r="Q22" s="203" t="e">
        <f ca="1">E22*G22</f>
        <v>#NAME?</v>
      </c>
      <c r="R22" s="123" t="e">
        <f t="shared" ca="1" si="2"/>
        <v>#NAME?</v>
      </c>
      <c r="S22" s="123" t="e">
        <f t="shared" ca="1" si="3"/>
        <v>#NAME?</v>
      </c>
      <c r="T22" s="123" t="e">
        <f ca="1">_xll.BDP($C22,"EQY_DVD_YLD_EST")</f>
        <v>#NAME?</v>
      </c>
      <c r="U22" s="200" t="e">
        <f t="shared" ca="1" si="4"/>
        <v>#NAME?</v>
      </c>
      <c r="V22" s="125" t="e">
        <f ca="1">_xll.BDP($C22,"CHG_PCT_YTD")</f>
        <v>#NAME?</v>
      </c>
      <c r="W22" s="125" t="e">
        <f ca="1">_xll.BDP($C22,"CHG_PCT_1YR")</f>
        <v>#NAME?</v>
      </c>
      <c r="X22" s="125" t="e">
        <f ca="1">_xll.BDP($C22,"DVD_EX_DT")</f>
        <v>#NAME?</v>
      </c>
      <c r="Y22" s="125" t="e">
        <f ca="1">_xll.BDP($C22,"BDVD_NEXT_EST_DECL_DT")</f>
        <v>#NAME?</v>
      </c>
    </row>
    <row r="23" spans="1:25" s="409" customFormat="1" x14ac:dyDescent="0.2">
      <c r="A23" s="181" t="s">
        <v>354</v>
      </c>
      <c r="B23" s="116" t="s">
        <v>95</v>
      </c>
      <c r="C23" s="118" t="s">
        <v>78</v>
      </c>
      <c r="D23" s="119" t="e">
        <f t="shared" ca="1" si="0"/>
        <v>#NAME?</v>
      </c>
      <c r="E23" s="120">
        <f>$F$193</f>
        <v>6500</v>
      </c>
      <c r="F23" s="181">
        <f>$H$193</f>
        <v>230.99384615384616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ca="1">G23/F23-1</f>
        <v>#NAME?</v>
      </c>
      <c r="M23" s="119" t="e">
        <f ca="1">Q23/O23-1</f>
        <v>#NAME?</v>
      </c>
      <c r="N23" s="120">
        <f>E23*F23</f>
        <v>1501460</v>
      </c>
      <c r="O23" s="120" t="e">
        <f ca="1">$J$193</f>
        <v>#NAME?</v>
      </c>
      <c r="P23" s="120" t="e">
        <f ca="1">E23*G23</f>
        <v>#NAME?</v>
      </c>
      <c r="Q23" s="203" t="e">
        <f ca="1">P23/$I$1</f>
        <v>#NAME?</v>
      </c>
      <c r="R23" s="123" t="e">
        <f t="shared" ca="1" si="2"/>
        <v>#NAME?</v>
      </c>
      <c r="S23" s="123" t="e">
        <f t="shared" ca="1" si="3"/>
        <v>#NAME?</v>
      </c>
      <c r="T23" s="123" t="e">
        <f ca="1">_xll.BDP($C23,"EQY_DVD_YLD_EST")</f>
        <v>#NAME?</v>
      </c>
      <c r="U23" s="200" t="e">
        <f t="shared" ca="1" si="4"/>
        <v>#NAME?</v>
      </c>
      <c r="V23" s="125" t="e">
        <f ca="1">_xll.BDP($C23,"CHG_PCT_YTD")</f>
        <v>#NAME?</v>
      </c>
      <c r="W23" s="125" t="e">
        <f ca="1">_xll.BDP($C23,"CHG_PCT_1YR")</f>
        <v>#NAME?</v>
      </c>
      <c r="X23" s="125" t="e">
        <f ca="1">_xll.BDP($C23,"DVD_EX_DT")</f>
        <v>#NAME?</v>
      </c>
      <c r="Y23" s="125" t="e">
        <f ca="1">_xll.BDP($C23,"BDVD_NEXT_EST_DECL_DT")</f>
        <v>#NAME?</v>
      </c>
    </row>
    <row r="24" spans="1:25" s="409" customFormat="1" x14ac:dyDescent="0.2">
      <c r="A24" s="181" t="s">
        <v>354</v>
      </c>
      <c r="B24" s="116" t="s">
        <v>297</v>
      </c>
      <c r="C24" s="118" t="s">
        <v>194</v>
      </c>
      <c r="D24" s="119" t="e">
        <f t="shared" ca="1" si="0"/>
        <v>#NAME?</v>
      </c>
      <c r="E24" s="120">
        <f>$F$122</f>
        <v>106900</v>
      </c>
      <c r="F24" s="181">
        <f>$H$122</f>
        <v>0.55512119363891488</v>
      </c>
      <c r="G24" s="181" t="e">
        <f ca="1">_xll.BDP($C24,"PX_LAST")/100</f>
        <v>#NAME?</v>
      </c>
      <c r="H24" s="181" t="e">
        <f ca="1">_xll.BDP($C24,"BEST_TARGET_PRICE")/100</f>
        <v>#NAME?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ca="1">$P24/$N24-1</f>
        <v>#NAME?</v>
      </c>
      <c r="M24" s="119" t="e">
        <f ca="1">Q24/O24-1</f>
        <v>#NAME?</v>
      </c>
      <c r="N24" s="120" t="e">
        <f ca="1">$K$122</f>
        <v>#NAME?</v>
      </c>
      <c r="O24" s="120" t="e">
        <f ca="1">$J$122</f>
        <v>#NAME?</v>
      </c>
      <c r="P24" s="120" t="e">
        <f ca="1">E24*G24*$K$1*$I$1</f>
        <v>#NAME?</v>
      </c>
      <c r="Q24" s="203" t="e">
        <f ca="1">P24/$I$1</f>
        <v>#NAME?</v>
      </c>
      <c r="R24" s="123" t="e">
        <f t="shared" ca="1" si="2"/>
        <v>#NAME?</v>
      </c>
      <c r="S24" s="123" t="e">
        <f t="shared" ca="1" si="3"/>
        <v>#NAME?</v>
      </c>
      <c r="T24" s="123" t="e">
        <f ca="1">_xll.BDP($C24,"EQY_DVD_YLD_EST")</f>
        <v>#NAME?</v>
      </c>
      <c r="U24" s="200" t="e">
        <f t="shared" ca="1" si="4"/>
        <v>#NAME?</v>
      </c>
      <c r="V24" s="125" t="e">
        <f ca="1">_xll.BDP($C24,"CHG_PCT_YTD")</f>
        <v>#NAME?</v>
      </c>
      <c r="W24" s="125" t="e">
        <f ca="1">_xll.BDP($C24,"CHG_PCT_1YR")</f>
        <v>#NAME?</v>
      </c>
      <c r="X24" s="125" t="e">
        <f ca="1">_xll.BDP($C24,"DVD_EX_DT")</f>
        <v>#NAME?</v>
      </c>
      <c r="Y24" s="125" t="e">
        <f ca="1">_xll.BDP($C24,"BDVD_NEXT_EST_DECL_DT")</f>
        <v>#NAME?</v>
      </c>
    </row>
    <row r="25" spans="1:25" s="409" customFormat="1" x14ac:dyDescent="0.2">
      <c r="A25" s="181" t="s">
        <v>354</v>
      </c>
      <c r="B25" s="116" t="s">
        <v>201</v>
      </c>
      <c r="C25" s="118" t="s">
        <v>202</v>
      </c>
      <c r="D25" s="119" t="e">
        <f t="shared" ca="1" si="0"/>
        <v>#NAME?</v>
      </c>
      <c r="E25" s="120">
        <f>$F$148</f>
        <v>13415</v>
      </c>
      <c r="F25" s="181">
        <f>$H$148</f>
        <v>3541.8365635482669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ca="1">G25/F25-1</f>
        <v>#NAME?</v>
      </c>
      <c r="M25" s="119" t="e">
        <f ca="1">Q25/O25-1</f>
        <v>#NAME?</v>
      </c>
      <c r="N25" s="120">
        <f>E25*F25</f>
        <v>47513737.5</v>
      </c>
      <c r="O25" s="120" t="e">
        <f ca="1">$J$148</f>
        <v>#NAME?</v>
      </c>
      <c r="P25" s="120" t="e">
        <f ca="1">E25*G25</f>
        <v>#NAME?</v>
      </c>
      <c r="Q25" s="203" t="e">
        <f ca="1">P25/$I$1</f>
        <v>#NAME?</v>
      </c>
      <c r="R25" s="123" t="e">
        <f t="shared" ca="1" si="2"/>
        <v>#NAME?</v>
      </c>
      <c r="S25" s="123" t="e">
        <f t="shared" ca="1" si="3"/>
        <v>#NAME?</v>
      </c>
      <c r="T25" s="123" t="e">
        <f ca="1">_xll.BDP($C25,"EQY_DVD_YLD_EST")</f>
        <v>#NAME?</v>
      </c>
      <c r="U25" s="200" t="e">
        <f t="shared" ca="1" si="4"/>
        <v>#NAME?</v>
      </c>
      <c r="V25" s="125" t="e">
        <f ca="1">_xll.BDP($C25,"CHG_PCT_YTD")</f>
        <v>#NAME?</v>
      </c>
      <c r="W25" s="125" t="e">
        <f ca="1">_xll.BDP($C25,"CHG_PCT_1YR")</f>
        <v>#NAME?</v>
      </c>
      <c r="X25" s="125" t="e">
        <f ca="1">_xll.BDP($C25,"DVD_EX_DT")</f>
        <v>#NAME?</v>
      </c>
      <c r="Y25" s="125" t="e">
        <f ca="1">_xll.BDP($C25,"BDVD_NEXT_EST_DECL_DT")</f>
        <v>#NAME?</v>
      </c>
    </row>
    <row r="26" spans="1:25" s="409" customFormat="1" x14ac:dyDescent="0.2">
      <c r="A26" s="181" t="s">
        <v>354</v>
      </c>
      <c r="B26" s="116" t="s">
        <v>259</v>
      </c>
      <c r="C26" s="118" t="s">
        <v>258</v>
      </c>
      <c r="D26" s="119" t="e">
        <f t="shared" ca="1" si="0"/>
        <v>#NAME?</v>
      </c>
      <c r="E26" s="120">
        <f>$F$98</f>
        <v>593000</v>
      </c>
      <c r="F26" s="181">
        <f>$H$98</f>
        <v>4.9498300000000004</v>
      </c>
      <c r="G26" s="181" t="e">
        <f ca="1">_xll.BDP($C26,"PX_LAST")</f>
        <v>#NAME?</v>
      </c>
      <c r="H26" s="181" t="e">
        <f ca="1">_xll.BDP("NCSP LI EQUITY","BEST_TARGET_PRICE")*$I$1/75</f>
        <v>#NAME?</v>
      </c>
      <c r="I26" s="616" t="e">
        <f t="shared" ca="1" si="1"/>
        <v>#NAME?</v>
      </c>
      <c r="J26" s="181" t="e">
        <f ca="1">_xll.BDP("NCSP LI EQUITY","EQY_REC_CONS")</f>
        <v>#NAME?</v>
      </c>
      <c r="K26" s="122" t="e">
        <f ca="1">_xll.BDP($C26,"CRNCY")</f>
        <v>#NAME?</v>
      </c>
      <c r="L26" s="119" t="e">
        <f ca="1">G26/F26-1</f>
        <v>#NAME?</v>
      </c>
      <c r="M26" s="119" t="e">
        <f ca="1">Q26/O26-1</f>
        <v>#NAME?</v>
      </c>
      <c r="N26" s="120">
        <f>E26*F26</f>
        <v>2935249.1900000004</v>
      </c>
      <c r="O26" s="120" t="e">
        <f ca="1">$J$98</f>
        <v>#NAME?</v>
      </c>
      <c r="P26" s="120" t="e">
        <f ca="1">E26*G26</f>
        <v>#NAME?</v>
      </c>
      <c r="Q26" s="203" t="e">
        <f ca="1">P26/$I$1</f>
        <v>#NAME?</v>
      </c>
      <c r="R26" s="123" t="e">
        <f t="shared" ca="1" si="2"/>
        <v>#NAME?</v>
      </c>
      <c r="S26" s="123" t="e">
        <f t="shared" ca="1" si="3"/>
        <v>#NAME?</v>
      </c>
      <c r="T26" s="123" t="e">
        <f ca="1">_xll.BDP($C26,"EQY_DVD_YLD_EST")</f>
        <v>#NAME?</v>
      </c>
      <c r="U26" s="200" t="e">
        <f t="shared" ca="1" si="4"/>
        <v>#NAME?</v>
      </c>
      <c r="V26" s="125" t="e">
        <f ca="1">_xll.BDP($C26,"CHG_PCT_YTD")</f>
        <v>#NAME?</v>
      </c>
      <c r="W26" s="125" t="e">
        <f ca="1">_xll.BDP($C26,"CHG_PCT_1YR")</f>
        <v>#NAME?</v>
      </c>
      <c r="X26" s="125" t="e">
        <f ca="1">_xll.BDP($C26,"DVD_EX_DT")</f>
        <v>#NAME?</v>
      </c>
      <c r="Y26" s="125" t="e">
        <f ca="1">_xll.BDP($C26,"BDVD_NEXT_EST_DECL_DT")</f>
        <v>#NAME?</v>
      </c>
    </row>
    <row r="27" spans="1:25" s="409" customFormat="1" x14ac:dyDescent="0.2">
      <c r="A27" s="181" t="s">
        <v>354</v>
      </c>
      <c r="B27" s="116" t="s">
        <v>333</v>
      </c>
      <c r="C27" s="118" t="s">
        <v>332</v>
      </c>
      <c r="D27" s="119" t="e">
        <f t="shared" ca="1" si="0"/>
        <v>#NAME?</v>
      </c>
      <c r="E27" s="120">
        <f>$F$161</f>
        <v>31130</v>
      </c>
      <c r="F27" s="181">
        <f>$H$161</f>
        <v>245.29425165435271</v>
      </c>
      <c r="G27" s="181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ca="1">G27/F27-1</f>
        <v>#NAME?</v>
      </c>
      <c r="M27" s="119" t="e">
        <f ca="1">Q27/O27-1</f>
        <v>#NAME?</v>
      </c>
      <c r="N27" s="120">
        <f>E27*F27</f>
        <v>7636010.0539999995</v>
      </c>
      <c r="O27" s="120" t="e">
        <f ca="1">$J$161</f>
        <v>#NAME?</v>
      </c>
      <c r="P27" s="120" t="e">
        <f ca="1">E27*G27</f>
        <v>#NAME?</v>
      </c>
      <c r="Q27" s="203" t="e">
        <f ca="1">P27/$I$1</f>
        <v>#NAME?</v>
      </c>
      <c r="R27" s="123" t="e">
        <f t="shared" ca="1" si="2"/>
        <v>#NAME?</v>
      </c>
      <c r="S27" s="123" t="e">
        <f t="shared" ca="1" si="3"/>
        <v>#NAME?</v>
      </c>
      <c r="T27" s="123">
        <v>5</v>
      </c>
      <c r="U27" s="200" t="e">
        <f t="shared" ca="1" si="4"/>
        <v>#NAME?</v>
      </c>
      <c r="V27" s="125" t="e">
        <f ca="1">_xll.BDP($C27,"CHG_PCT_YTD")</f>
        <v>#NAME?</v>
      </c>
      <c r="W27" s="125" t="e">
        <f ca="1">_xll.BDP($C27,"CHG_PCT_1YR")</f>
        <v>#NAME?</v>
      </c>
      <c r="X27" s="125" t="e">
        <f ca="1">_xll.BDP($C27,"DVD_EX_DT")</f>
        <v>#NAME?</v>
      </c>
      <c r="Y27" s="125" t="e">
        <f ca="1">_xll.BDP($C27,"BDVD_NEXT_EST_DECL_DT")</f>
        <v>#NAME?</v>
      </c>
    </row>
    <row r="28" spans="1:25" s="460" customFormat="1" x14ac:dyDescent="0.2">
      <c r="A28" s="444" t="s">
        <v>354</v>
      </c>
      <c r="B28" s="441" t="e">
        <f ca="1">_xll.BDP(C28,"SECURITY_NAME")</f>
        <v>#NAME?</v>
      </c>
      <c r="C28" s="440" t="s">
        <v>697</v>
      </c>
      <c r="D28" s="442" t="e">
        <f t="shared" ref="D28:D31" ca="1" si="10">$P28/$P$33</f>
        <v>#NAME?</v>
      </c>
      <c r="E28" s="443">
        <f>$F$73</f>
        <v>200000</v>
      </c>
      <c r="F28" s="501">
        <f>$H$73</f>
        <v>91.5</v>
      </c>
      <c r="G28" s="444" t="e">
        <f ca="1">_xll.BDP(C28,"PX_ASK")</f>
        <v>#NAME?</v>
      </c>
      <c r="H28" s="444"/>
      <c r="I28" s="444"/>
      <c r="K28" s="461" t="e">
        <f ca="1">_xll.BDP($C28,"CRNCY")</f>
        <v>#NAME?</v>
      </c>
      <c r="L28" s="442" t="e">
        <f ca="1">P28/N28-1</f>
        <v>#NAME?</v>
      </c>
      <c r="M28" s="442" t="e">
        <f ca="1">G28/F28-1</f>
        <v>#NAME?</v>
      </c>
      <c r="N28" s="443" t="e">
        <f ca="1">$K$73</f>
        <v>#NAME?</v>
      </c>
      <c r="O28" s="443">
        <f>E28*F28/100</f>
        <v>183000</v>
      </c>
      <c r="P28" s="443" t="e">
        <f ca="1">E28*G28/100*$I$1</f>
        <v>#NAME?</v>
      </c>
      <c r="Q28" s="462" t="e">
        <f t="shared" ref="Q28:Q31" ca="1" si="11">P28/$I$1</f>
        <v>#NAME?</v>
      </c>
      <c r="R28" s="446" t="e">
        <f t="shared" ref="R28:R31" ca="1" si="12">P28-N28</f>
        <v>#NAME?</v>
      </c>
      <c r="S28" s="446" t="e">
        <f t="shared" ref="S28:S31" ca="1" si="13">Q28-O28</f>
        <v>#NAME?</v>
      </c>
      <c r="T28" s="448" t="e">
        <f ca="1">_xll.BDP(C28,"YLD_YTM_BID")</f>
        <v>#NAME?</v>
      </c>
      <c r="U28" s="463" t="e">
        <f ca="1">E28*_xll.BDP(C28,"PX_GROSS_MID")/100</f>
        <v>#NAME?</v>
      </c>
      <c r="V28" s="448" t="e">
        <f ca="1">_xll.BDP($C28,"CHG_PCT_1YR")</f>
        <v>#NAME?</v>
      </c>
      <c r="W28" s="448" t="e">
        <f ca="1">_xll.BDP($C28,"CHG_PCT_6M")</f>
        <v>#NAME?</v>
      </c>
      <c r="Y28" s="448"/>
    </row>
    <row r="29" spans="1:25" s="460" customFormat="1" x14ac:dyDescent="0.2">
      <c r="A29" s="444" t="s">
        <v>354</v>
      </c>
      <c r="B29" s="441" t="e">
        <f ca="1">_xll.BDP(C29,"SECURITY_NAME")</f>
        <v>#NAME?</v>
      </c>
      <c r="C29" s="440" t="s">
        <v>156</v>
      </c>
      <c r="D29" s="442" t="e">
        <f t="shared" ca="1" si="10"/>
        <v>#NAME?</v>
      </c>
      <c r="E29" s="443">
        <f>$F$77</f>
        <v>400000</v>
      </c>
      <c r="F29" s="501">
        <f>$H$77</f>
        <v>103.25</v>
      </c>
      <c r="G29" s="444" t="e">
        <f ca="1">_xll.BDP(C29,"PX_ASK")</f>
        <v>#NAME?</v>
      </c>
      <c r="H29" s="444"/>
      <c r="I29" s="444"/>
      <c r="K29" s="461" t="e">
        <f ca="1">_xll.BDP($C29,"CRNCY")</f>
        <v>#NAME?</v>
      </c>
      <c r="L29" s="442" t="e">
        <f ca="1">P29/N29-1</f>
        <v>#NAME?</v>
      </c>
      <c r="M29" s="442" t="e">
        <f ca="1">G29/F29-1</f>
        <v>#NAME?</v>
      </c>
      <c r="N29" s="443" t="e">
        <f ca="1">$K$77</f>
        <v>#NAME?</v>
      </c>
      <c r="O29" s="443">
        <f>E29*F29/100</f>
        <v>413000</v>
      </c>
      <c r="P29" s="443" t="e">
        <f ca="1">E29*G29/100*$I$1</f>
        <v>#NAME?</v>
      </c>
      <c r="Q29" s="462" t="e">
        <f t="shared" ca="1" si="11"/>
        <v>#NAME?</v>
      </c>
      <c r="R29" s="446" t="e">
        <f t="shared" ca="1" si="12"/>
        <v>#NAME?</v>
      </c>
      <c r="S29" s="446" t="e">
        <f t="shared" ca="1" si="13"/>
        <v>#NAME?</v>
      </c>
      <c r="T29" s="448" t="e">
        <f ca="1">_xll.BDP(C29,"YLD_YTM_BID")</f>
        <v>#NAME?</v>
      </c>
      <c r="U29" s="463" t="e">
        <f ca="1">E29*_xll.BDP(C29,"PX_GROSS_MID")/100</f>
        <v>#NAME?</v>
      </c>
      <c r="V29" s="448" t="e">
        <f ca="1">_xll.BDP($C29,"CHG_PCT_1YR")</f>
        <v>#NAME?</v>
      </c>
      <c r="W29" s="448" t="e">
        <f ca="1">_xll.BDP($C29,"CHG_PCT_6M")</f>
        <v>#NAME?</v>
      </c>
      <c r="Y29" s="448"/>
    </row>
    <row r="30" spans="1:25" s="460" customFormat="1" x14ac:dyDescent="0.2">
      <c r="A30" s="444" t="s">
        <v>354</v>
      </c>
      <c r="B30" s="441" t="e">
        <f ca="1">_xll.BDP(C30,"SECURITY_NAME")</f>
        <v>#NAME?</v>
      </c>
      <c r="C30" s="440" t="s">
        <v>453</v>
      </c>
      <c r="D30" s="442" t="e">
        <f t="shared" ca="1" si="10"/>
        <v>#NAME?</v>
      </c>
      <c r="E30" s="443">
        <f>$F$212</f>
        <v>200000</v>
      </c>
      <c r="F30" s="501">
        <f>$H$212</f>
        <v>92.9</v>
      </c>
      <c r="G30" s="444" t="e">
        <f ca="1">_xll.BDP(C30,"PX_ASK")</f>
        <v>#NAME?</v>
      </c>
      <c r="H30" s="444"/>
      <c r="I30" s="444"/>
      <c r="K30" s="461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>
        <f>$K$212</f>
        <v>14157960</v>
      </c>
      <c r="O30" s="443">
        <f>E30*F30/100</f>
        <v>185800</v>
      </c>
      <c r="P30" s="443" t="e">
        <f ca="1">E30*G30/100*$I$1</f>
        <v>#NAME?</v>
      </c>
      <c r="Q30" s="462" t="e">
        <f t="shared" ca="1" si="11"/>
        <v>#NAME?</v>
      </c>
      <c r="R30" s="446" t="e">
        <f t="shared" ca="1" si="12"/>
        <v>#NAME?</v>
      </c>
      <c r="S30" s="446" t="e">
        <f t="shared" ca="1" si="13"/>
        <v>#NAME?</v>
      </c>
      <c r="T30" s="448" t="e">
        <f ca="1">_xll.BDP(C30,"YLD_YTM_BID")</f>
        <v>#NAME?</v>
      </c>
      <c r="U30" s="463" t="e">
        <f ca="1">E30*_xll.BDP(C30,"PX_GROSS_MID")/100</f>
        <v>#NAME?</v>
      </c>
      <c r="V30" s="448" t="e">
        <f ca="1">_xll.BDP($C30,"CHG_PCT_1YR")</f>
        <v>#NAME?</v>
      </c>
      <c r="W30" s="448" t="e">
        <f ca="1">_xll.BDP($C30,"CHG_PCT_6M")</f>
        <v>#NAME?</v>
      </c>
      <c r="Y30" s="448"/>
    </row>
    <row r="31" spans="1:25" s="460" customFormat="1" x14ac:dyDescent="0.2">
      <c r="A31" s="444" t="s">
        <v>354</v>
      </c>
      <c r="B31" s="441" t="e">
        <f ca="1">_xll.BDP(C31,"SECURITY_NAME")</f>
        <v>#NAME?</v>
      </c>
      <c r="C31" s="440" t="s">
        <v>166</v>
      </c>
      <c r="D31" s="442" t="e">
        <f t="shared" ca="1" si="10"/>
        <v>#NAME?</v>
      </c>
      <c r="E31" s="443">
        <f>$F$70</f>
        <v>200000</v>
      </c>
      <c r="F31" s="501">
        <f>$H$70</f>
        <v>98.8</v>
      </c>
      <c r="G31" s="444" t="e">
        <f ca="1">_xll.BDP(C31,"PX_ASK")</f>
        <v>#NAME?</v>
      </c>
      <c r="H31" s="444"/>
      <c r="I31" s="444"/>
      <c r="K31" s="461" t="e">
        <f ca="1">_xll.BDP($C31,"CRNCY")</f>
        <v>#NAME?</v>
      </c>
      <c r="L31" s="442" t="e">
        <f ca="1">P31/N31-1</f>
        <v>#NAME?</v>
      </c>
      <c r="M31" s="442" t="e">
        <f ca="1">G31/F31-1</f>
        <v>#NAME?</v>
      </c>
      <c r="N31" s="443" t="e">
        <f ca="1">$K$70</f>
        <v>#NAME?</v>
      </c>
      <c r="O31" s="443">
        <f>E31*F31/100</f>
        <v>197600</v>
      </c>
      <c r="P31" s="443" t="e">
        <f ca="1">E31*G31/100*$I$1</f>
        <v>#NAME?</v>
      </c>
      <c r="Q31" s="462" t="e">
        <f t="shared" ca="1" si="11"/>
        <v>#NAME?</v>
      </c>
      <c r="R31" s="446" t="e">
        <f t="shared" ca="1" si="12"/>
        <v>#NAME?</v>
      </c>
      <c r="S31" s="446" t="e">
        <f t="shared" ca="1" si="13"/>
        <v>#NAME?</v>
      </c>
      <c r="T31" s="448" t="e">
        <f ca="1">_xll.BDP(C31,"YLD_YTM_BID")</f>
        <v>#NAME?</v>
      </c>
      <c r="U31" s="463" t="e">
        <f ca="1">E31*_xll.BDP(C31,"PX_GROSS_MID")/100</f>
        <v>#NAME?</v>
      </c>
      <c r="V31" s="448" t="e">
        <f ca="1">_xll.BDP($C31,"CHG_PCT_1YR")</f>
        <v>#NAME?</v>
      </c>
      <c r="W31" s="448" t="e">
        <f ca="1">_xll.BDP($C31,"CHG_PCT_6M")</f>
        <v>#NAME?</v>
      </c>
      <c r="Y31" s="448"/>
    </row>
    <row r="32" spans="1:25" x14ac:dyDescent="0.2">
      <c r="A32" s="181" t="s">
        <v>354</v>
      </c>
      <c r="B32" s="68" t="s">
        <v>106</v>
      </c>
      <c r="C32" s="68" t="s">
        <v>106</v>
      </c>
      <c r="D32" s="101" t="e">
        <f ca="1">P32/$P$33</f>
        <v>#NAME?</v>
      </c>
      <c r="E32" s="64"/>
      <c r="F32" s="67"/>
      <c r="G32" s="66"/>
      <c r="H32" s="66"/>
      <c r="I32" s="66"/>
      <c r="J32" s="60"/>
      <c r="K32" s="60"/>
      <c r="L32" s="65"/>
      <c r="M32" s="65"/>
      <c r="N32" s="64"/>
      <c r="O32" s="64"/>
      <c r="P32" s="64" t="e">
        <f ca="1">(1476100+250149+10539)*$I$1</f>
        <v>#NAME?</v>
      </c>
      <c r="Q32" s="63" t="e">
        <f t="shared" ref="Q32" ca="1" si="14">P32/$I$1</f>
        <v>#NAME?</v>
      </c>
      <c r="R32" s="62"/>
      <c r="S32" s="61"/>
      <c r="T32" s="61"/>
      <c r="U32" s="60"/>
      <c r="V32" s="60"/>
      <c r="W32" s="60"/>
      <c r="X32" s="60"/>
      <c r="Y32" s="60"/>
    </row>
    <row r="33" spans="2:25" ht="13.5" customHeight="1" thickBot="1" x14ac:dyDescent="0.25">
      <c r="B33" s="58"/>
      <c r="C33" s="58"/>
      <c r="D33" s="59" t="e">
        <f ca="1">SUM(D4:D32)</f>
        <v>#NAME?</v>
      </c>
      <c r="E33" s="58"/>
      <c r="F33" s="58"/>
      <c r="G33" s="58"/>
      <c r="H33" s="58"/>
      <c r="I33" s="570" t="e">
        <f ca="1">SUMPRODUCT(D4:D27,I4:I27)</f>
        <v>#NAME?</v>
      </c>
      <c r="J33" s="55"/>
      <c r="K33" s="55"/>
      <c r="L33" s="570" t="e">
        <f ca="1">SUMPRODUCT($D$4:$D$31,L4:L31)</f>
        <v>#NAME?</v>
      </c>
      <c r="M33" s="570" t="e">
        <f ca="1">SUMPRODUCT($D$4:$D$31,M4:M31)</f>
        <v>#NAME?</v>
      </c>
      <c r="N33" s="424">
        <f>62622230+100000000-4118000</f>
        <v>158504230</v>
      </c>
      <c r="O33" s="424" t="e">
        <f ca="1">SUM(O4:O31)</f>
        <v>#NAME?</v>
      </c>
      <c r="P33" s="424" t="e">
        <f ca="1">SUM(P4:P32)</f>
        <v>#NAME?</v>
      </c>
      <c r="Q33" s="424" t="e">
        <f ca="1">SUM(Q4:Q32)</f>
        <v>#NAME?</v>
      </c>
      <c r="R33" s="270" t="e">
        <f ca="1">SUM(R4:R31)</f>
        <v>#NAME?</v>
      </c>
      <c r="S33" s="138" t="e">
        <f ca="1">SUM(S4:S31)</f>
        <v>#NAME?</v>
      </c>
      <c r="T33" s="545" t="e">
        <f ca="1">SUMPRODUCT(D4:D31,T4:T31)</f>
        <v>#NAME?</v>
      </c>
      <c r="U33" s="55" t="e">
        <f ca="1">SUM(U4:U32)</f>
        <v>#NAME?</v>
      </c>
      <c r="V33" s="55"/>
      <c r="W33" s="55"/>
      <c r="X33" s="55"/>
      <c r="Y33" s="55"/>
    </row>
    <row r="34" spans="2:25" ht="13.5" customHeight="1" x14ac:dyDescent="0.2">
      <c r="B34" s="41"/>
      <c r="C34" s="41"/>
      <c r="D34" s="54"/>
      <c r="E34" s="41"/>
      <c r="F34" s="41"/>
      <c r="G34" s="41"/>
      <c r="I34" s="12" t="s">
        <v>796</v>
      </c>
      <c r="K34" s="41"/>
      <c r="L34" s="40"/>
      <c r="M34" s="40"/>
      <c r="N34" s="40"/>
      <c r="O34" s="40"/>
      <c r="P34" s="52"/>
      <c r="Q34" s="53"/>
      <c r="S34" s="132"/>
      <c r="T34" s="828" t="s">
        <v>795</v>
      </c>
      <c r="U34" s="828"/>
    </row>
    <row r="35" spans="2:25" x14ac:dyDescent="0.2">
      <c r="E35" s="10"/>
      <c r="K35" s="29"/>
      <c r="L35" s="29"/>
      <c r="M35" s="29"/>
      <c r="N35" s="39"/>
      <c r="O35" s="34"/>
      <c r="P35" s="34"/>
      <c r="Q35" s="30"/>
      <c r="T35" s="829"/>
      <c r="U35" s="829"/>
    </row>
    <row r="36" spans="2:25" x14ac:dyDescent="0.2">
      <c r="B36" s="32" t="s">
        <v>276</v>
      </c>
      <c r="D36" s="49"/>
      <c r="E36" s="775"/>
      <c r="F36" s="180"/>
      <c r="G36" s="180"/>
      <c r="M36" s="39"/>
      <c r="N36" s="34"/>
      <c r="O36" s="34"/>
      <c r="P36" s="30"/>
    </row>
    <row r="37" spans="2:25" x14ac:dyDescent="0.2">
      <c r="B37" s="379">
        <v>2015</v>
      </c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41"/>
      <c r="N37" s="34"/>
      <c r="O37" s="34"/>
      <c r="P37" s="30"/>
    </row>
    <row r="38" spans="2:25" ht="40.5" customHeight="1" x14ac:dyDescent="0.2">
      <c r="B38" s="51" t="s">
        <v>329</v>
      </c>
      <c r="C38" s="50" t="s">
        <v>104</v>
      </c>
      <c r="D38" s="50" t="s">
        <v>174</v>
      </c>
      <c r="E38" s="50" t="s">
        <v>173</v>
      </c>
      <c r="F38" s="50" t="s">
        <v>175</v>
      </c>
      <c r="G38" s="50" t="s">
        <v>172</v>
      </c>
      <c r="H38" s="50" t="s">
        <v>103</v>
      </c>
      <c r="I38" s="50" t="s">
        <v>102</v>
      </c>
      <c r="J38" s="50" t="s">
        <v>101</v>
      </c>
      <c r="K38" s="50" t="s">
        <v>100</v>
      </c>
      <c r="L38" s="50" t="s">
        <v>99</v>
      </c>
      <c r="M38" s="50" t="s">
        <v>98</v>
      </c>
      <c r="N38" s="50" t="s">
        <v>280</v>
      </c>
      <c r="O38" s="50" t="s">
        <v>97</v>
      </c>
      <c r="P38" s="50" t="s">
        <v>279</v>
      </c>
      <c r="Q38" s="50" t="s">
        <v>277</v>
      </c>
      <c r="R38" s="50" t="s">
        <v>278</v>
      </c>
    </row>
    <row r="39" spans="2:25" x14ac:dyDescent="0.2">
      <c r="B39" s="46" t="s">
        <v>187</v>
      </c>
      <c r="C39" s="41" t="s">
        <v>56</v>
      </c>
      <c r="D39" s="73" t="s">
        <v>51</v>
      </c>
      <c r="E39" s="43" t="e">
        <f ca="1">F39*_xll.BDP(C39,"PX_LAST")</f>
        <v>#NAME?</v>
      </c>
      <c r="F39" s="43">
        <v>51000</v>
      </c>
      <c r="G39" s="104">
        <v>51000</v>
      </c>
      <c r="H39" s="47">
        <f t="shared" ref="H39:H45" si="15">G39/F39</f>
        <v>1</v>
      </c>
      <c r="I39" s="43">
        <f>G39*K39</f>
        <v>750720</v>
      </c>
      <c r="J39" s="45">
        <f>G39*L39</f>
        <v>995045.7</v>
      </c>
      <c r="K39" s="105">
        <v>14.72</v>
      </c>
      <c r="L39" s="105">
        <v>19.5107</v>
      </c>
      <c r="M39" s="44">
        <f t="shared" ref="M39:M45" si="16">L39/K39-1</f>
        <v>0.3254551630434781</v>
      </c>
      <c r="N39" s="43">
        <f>J39-I39</f>
        <v>244325.69999999995</v>
      </c>
      <c r="O39" s="106" t="e">
        <f ca="1">_xll.BDP($C39,"CRNCY")</f>
        <v>#NAME?</v>
      </c>
      <c r="P39" s="43" t="e">
        <f t="shared" ref="P39:P45" ca="1" si="17">N39/R39</f>
        <v>#NAME?</v>
      </c>
      <c r="Q39" s="14">
        <v>42205</v>
      </c>
      <c r="R39" s="22" t="e">
        <f ca="1">_xll.BDH("RUB curncy","PX_LAST",$Q39)</f>
        <v>#NAME?</v>
      </c>
    </row>
    <row r="40" spans="2:25" x14ac:dyDescent="0.2">
      <c r="B40" s="46" t="e">
        <f ca="1">_xll.BDP(C40,"SECURITY_NAME")</f>
        <v>#NAME?</v>
      </c>
      <c r="C40" s="41" t="s">
        <v>29</v>
      </c>
      <c r="D40" s="73" t="s">
        <v>51</v>
      </c>
      <c r="E40" s="43" t="e">
        <f ca="1">F40*_xll.BDP(C40,"PX_LAST")/100</f>
        <v>#NAME?</v>
      </c>
      <c r="F40" s="43">
        <v>14800000</v>
      </c>
      <c r="G40" s="43">
        <v>12300000</v>
      </c>
      <c r="H40" s="47">
        <f t="shared" si="15"/>
        <v>0.83108108108108103</v>
      </c>
      <c r="I40" s="43">
        <f>G40*K40/100</f>
        <v>12164700</v>
      </c>
      <c r="J40" s="45">
        <f>G40*L40/100</f>
        <v>12226200</v>
      </c>
      <c r="K40" s="105">
        <v>98.9</v>
      </c>
      <c r="L40" s="105">
        <v>99.4</v>
      </c>
      <c r="M40" s="44">
        <f t="shared" si="16"/>
        <v>5.0556117290192493E-3</v>
      </c>
      <c r="N40" s="43">
        <f>(J40-I40)</f>
        <v>61500</v>
      </c>
      <c r="O40" s="106" t="e">
        <f ca="1">_xll.BDP($C40,"CRNCY")</f>
        <v>#NAME?</v>
      </c>
      <c r="P40" s="43" t="e">
        <f t="shared" ca="1" si="17"/>
        <v>#NAME?</v>
      </c>
      <c r="Q40" s="14">
        <v>42249</v>
      </c>
      <c r="R40" s="22" t="e">
        <f ca="1">_xll.BDH("RUB curncy","PX_LAST",$Q40)</f>
        <v>#NAME?</v>
      </c>
    </row>
    <row r="41" spans="2:25" x14ac:dyDescent="0.2">
      <c r="B41" s="46" t="s">
        <v>355</v>
      </c>
      <c r="C41" s="41" t="s">
        <v>108</v>
      </c>
      <c r="D41" s="73" t="s">
        <v>51</v>
      </c>
      <c r="E41" s="43" t="e">
        <f ca="1">F41*_xll.BDP(C41,"PX_LAST")</f>
        <v>#NAME?</v>
      </c>
      <c r="F41" s="43">
        <v>10900</v>
      </c>
      <c r="G41" s="104">
        <v>10900</v>
      </c>
      <c r="H41" s="47">
        <f t="shared" si="15"/>
        <v>1</v>
      </c>
      <c r="I41" s="43">
        <f t="shared" ref="I41:I48" si="18">G41*K41</f>
        <v>752100</v>
      </c>
      <c r="J41" s="45">
        <f t="shared" ref="J41:J48" si="19">G41*L41</f>
        <v>1025099.2962999999</v>
      </c>
      <c r="K41" s="105">
        <v>69</v>
      </c>
      <c r="L41" s="105">
        <v>94.045806999999996</v>
      </c>
      <c r="M41" s="44">
        <f t="shared" si="16"/>
        <v>0.36298271014492745</v>
      </c>
      <c r="N41" s="43">
        <f t="shared" ref="N41:N47" si="20">J41-I41</f>
        <v>272999.29629999993</v>
      </c>
      <c r="O41" s="106" t="e">
        <f ca="1">_xll.BDP($C41,"CRNCY")</f>
        <v>#NAME?</v>
      </c>
      <c r="P41" s="43" t="e">
        <f t="shared" ca="1" si="17"/>
        <v>#NAME?</v>
      </c>
      <c r="Q41" s="14">
        <v>42303</v>
      </c>
      <c r="R41" s="22" t="e">
        <f ca="1">_xll.BDH("RUB curncy","PX_LAST",$Q41)</f>
        <v>#NAME?</v>
      </c>
    </row>
    <row r="42" spans="2:25" x14ac:dyDescent="0.2">
      <c r="B42" s="46" t="s">
        <v>259</v>
      </c>
      <c r="C42" s="41" t="s">
        <v>258</v>
      </c>
      <c r="D42" s="73" t="s">
        <v>51</v>
      </c>
      <c r="E42" s="43" t="e">
        <f ca="1">F42*_xll.BDP(C42,"PX_LAST")</f>
        <v>#NAME?</v>
      </c>
      <c r="F42" s="43">
        <v>385000</v>
      </c>
      <c r="G42" s="104">
        <v>385000</v>
      </c>
      <c r="H42" s="47">
        <f t="shared" si="15"/>
        <v>1</v>
      </c>
      <c r="I42" s="43">
        <f t="shared" si="18"/>
        <v>746900</v>
      </c>
      <c r="J42" s="45">
        <f t="shared" si="19"/>
        <v>1193500</v>
      </c>
      <c r="K42" s="105">
        <v>1.94</v>
      </c>
      <c r="L42" s="105">
        <v>3.1</v>
      </c>
      <c r="M42" s="44">
        <f t="shared" si="16"/>
        <v>0.597938144329897</v>
      </c>
      <c r="N42" s="43">
        <f t="shared" si="20"/>
        <v>446600</v>
      </c>
      <c r="O42" s="106" t="e">
        <f ca="1">_xll.BDP($C42,"CRNCY")</f>
        <v>#NAME?</v>
      </c>
      <c r="P42" s="43" t="e">
        <f t="shared" ca="1" si="17"/>
        <v>#NAME?</v>
      </c>
      <c r="Q42" s="14">
        <v>42305</v>
      </c>
      <c r="R42" s="22" t="e">
        <f ca="1">_xll.BDH("RUB curncy","PX_LAST",$Q42)</f>
        <v>#NAME?</v>
      </c>
    </row>
    <row r="43" spans="2:25" x14ac:dyDescent="0.2">
      <c r="B43" s="46" t="s">
        <v>152</v>
      </c>
      <c r="C43" s="41" t="s">
        <v>52</v>
      </c>
      <c r="D43" s="73" t="s">
        <v>51</v>
      </c>
      <c r="E43" s="43" t="e">
        <f ca="1">F43*_xll.BDP(C43,"PX_LAST")</f>
        <v>#NAME?</v>
      </c>
      <c r="F43" s="43">
        <v>30000</v>
      </c>
      <c r="G43" s="104">
        <v>15000</v>
      </c>
      <c r="H43" s="47">
        <f t="shared" si="15"/>
        <v>0.5</v>
      </c>
      <c r="I43" s="43">
        <f t="shared" si="18"/>
        <v>1102500</v>
      </c>
      <c r="J43" s="45">
        <f t="shared" si="19"/>
        <v>1435618.5</v>
      </c>
      <c r="K43" s="105">
        <v>73.5</v>
      </c>
      <c r="L43" s="105">
        <v>95.707899999999995</v>
      </c>
      <c r="M43" s="44">
        <f t="shared" si="16"/>
        <v>0.30214829931972775</v>
      </c>
      <c r="N43" s="43">
        <f t="shared" si="20"/>
        <v>333118.5</v>
      </c>
      <c r="O43" s="106" t="e">
        <f ca="1">_xll.BDP($C43,"CRNCY")</f>
        <v>#NAME?</v>
      </c>
      <c r="P43" s="43" t="e">
        <f t="shared" ca="1" si="17"/>
        <v>#NAME?</v>
      </c>
      <c r="Q43" s="14">
        <v>42313</v>
      </c>
      <c r="R43" s="22" t="e">
        <f ca="1">_xll.BDH("RUB curncy","PX_LAST",$Q43)</f>
        <v>#NAME?</v>
      </c>
    </row>
    <row r="44" spans="2:25" x14ac:dyDescent="0.2">
      <c r="B44" s="46" t="s">
        <v>185</v>
      </c>
      <c r="C44" s="41" t="s">
        <v>151</v>
      </c>
      <c r="D44" s="73" t="s">
        <v>51</v>
      </c>
      <c r="E44" s="43" t="e">
        <f ca="1">F44*_xll.BDP(C44,"PX_LAST")</f>
        <v>#NAME?</v>
      </c>
      <c r="F44" s="43">
        <v>49000</v>
      </c>
      <c r="G44" s="104">
        <v>24500</v>
      </c>
      <c r="H44" s="47">
        <f t="shared" si="15"/>
        <v>0.5</v>
      </c>
      <c r="I44" s="43">
        <f t="shared" si="18"/>
        <v>1256115</v>
      </c>
      <c r="J44" s="45">
        <f t="shared" si="19"/>
        <v>1722362.25</v>
      </c>
      <c r="K44" s="105">
        <v>51.27</v>
      </c>
      <c r="L44" s="105">
        <v>70.3005</v>
      </c>
      <c r="M44" s="44">
        <f t="shared" si="16"/>
        <v>0.37118197776477468</v>
      </c>
      <c r="N44" s="43">
        <f t="shared" si="20"/>
        <v>466247.25</v>
      </c>
      <c r="O44" s="106" t="e">
        <f ca="1">_xll.BDP($C44,"CRNCY")</f>
        <v>#NAME?</v>
      </c>
      <c r="P44" s="43" t="e">
        <f t="shared" ca="1" si="17"/>
        <v>#NAME?</v>
      </c>
      <c r="Q44" s="14">
        <v>42313</v>
      </c>
      <c r="R44" s="22" t="e">
        <f ca="1">_xll.BDH("RUB curncy","PX_LAST",$Q44)</f>
        <v>#NAME?</v>
      </c>
    </row>
    <row r="45" spans="2:25" x14ac:dyDescent="0.2">
      <c r="B45" s="46" t="s">
        <v>176</v>
      </c>
      <c r="C45" s="41" t="s">
        <v>200</v>
      </c>
      <c r="D45" s="73" t="s">
        <v>51</v>
      </c>
      <c r="E45" s="43" t="e">
        <f ca="1">F45*_xll.BDP(C45,"PX_LAST")</f>
        <v>#NAME?</v>
      </c>
      <c r="F45" s="43">
        <v>70000</v>
      </c>
      <c r="G45" s="104">
        <v>35000</v>
      </c>
      <c r="H45" s="47">
        <f t="shared" si="15"/>
        <v>0.5</v>
      </c>
      <c r="I45" s="43">
        <f t="shared" si="18"/>
        <v>1452500</v>
      </c>
      <c r="J45" s="45">
        <f t="shared" si="19"/>
        <v>1820000</v>
      </c>
      <c r="K45" s="105">
        <v>41.5</v>
      </c>
      <c r="L45" s="105">
        <v>52</v>
      </c>
      <c r="M45" s="44">
        <f t="shared" si="16"/>
        <v>0.25301204819277112</v>
      </c>
      <c r="N45" s="43">
        <f t="shared" si="20"/>
        <v>367500</v>
      </c>
      <c r="O45" s="106" t="e">
        <f ca="1">_xll.BDP($C45,"CRNCY")</f>
        <v>#NAME?</v>
      </c>
      <c r="P45" s="43" t="e">
        <f t="shared" ca="1" si="17"/>
        <v>#NAME?</v>
      </c>
      <c r="Q45" s="14">
        <v>42313</v>
      </c>
      <c r="R45" s="22" t="e">
        <f ca="1">_xll.BDH("RUB curncy","PX_LAST",$Q45)</f>
        <v>#NAME?</v>
      </c>
    </row>
    <row r="46" spans="2:25" x14ac:dyDescent="0.2">
      <c r="B46" s="46" t="s">
        <v>152</v>
      </c>
      <c r="C46" s="41" t="s">
        <v>52</v>
      </c>
      <c r="D46" s="73" t="s">
        <v>51</v>
      </c>
      <c r="E46" s="43" t="e">
        <f ca="1">F46*_xll.BDP(C46,"PX_LAST")</f>
        <v>#NAME?</v>
      </c>
      <c r="F46" s="43">
        <v>30000</v>
      </c>
      <c r="G46" s="104">
        <v>15000</v>
      </c>
      <c r="H46" s="47">
        <f>G46/F46</f>
        <v>0.5</v>
      </c>
      <c r="I46" s="43">
        <f t="shared" si="18"/>
        <v>1102500</v>
      </c>
      <c r="J46" s="45">
        <f t="shared" si="19"/>
        <v>1560645</v>
      </c>
      <c r="K46" s="105">
        <v>73.5</v>
      </c>
      <c r="L46" s="105">
        <v>104.04300000000001</v>
      </c>
      <c r="M46" s="44">
        <f>L46/K46-1</f>
        <v>0.41555102040816339</v>
      </c>
      <c r="N46" s="43">
        <f t="shared" si="20"/>
        <v>458145</v>
      </c>
      <c r="O46" s="106" t="e">
        <f ca="1">_xll.BDP($C46,"CRNCY")</f>
        <v>#NAME?</v>
      </c>
      <c r="P46" s="43" t="e">
        <f ca="1">N46/R46</f>
        <v>#NAME?</v>
      </c>
      <c r="Q46" s="14">
        <v>42327</v>
      </c>
      <c r="R46" s="22" t="e">
        <f ca="1">_xll.BDH("RUB curncy","PX_LAST",$Q46)</f>
        <v>#NAME?</v>
      </c>
    </row>
    <row r="47" spans="2:25" x14ac:dyDescent="0.2">
      <c r="B47" s="46" t="s">
        <v>185</v>
      </c>
      <c r="C47" s="41" t="s">
        <v>151</v>
      </c>
      <c r="D47" s="73" t="s">
        <v>51</v>
      </c>
      <c r="E47" s="43" t="e">
        <f ca="1">F47*_xll.BDP(C47,"PX_LAST")</f>
        <v>#NAME?</v>
      </c>
      <c r="F47" s="43">
        <v>49000</v>
      </c>
      <c r="G47" s="104">
        <v>24500</v>
      </c>
      <c r="H47" s="47">
        <f>G47/F47</f>
        <v>0.5</v>
      </c>
      <c r="I47" s="43">
        <f t="shared" si="18"/>
        <v>1256115</v>
      </c>
      <c r="J47" s="45">
        <f t="shared" si="19"/>
        <v>1852199.9999999998</v>
      </c>
      <c r="K47" s="105">
        <v>51.27</v>
      </c>
      <c r="L47" s="105">
        <v>75.599999999999994</v>
      </c>
      <c r="M47" s="44">
        <f>L47/K47-1</f>
        <v>0.47454651843183138</v>
      </c>
      <c r="N47" s="43">
        <f t="shared" si="20"/>
        <v>596084.99999999977</v>
      </c>
      <c r="O47" s="106" t="e">
        <f ca="1">_xll.BDP($C47,"CRNCY")</f>
        <v>#NAME?</v>
      </c>
      <c r="P47" s="43" t="e">
        <f ca="1">N47/R47</f>
        <v>#NAME?</v>
      </c>
      <c r="Q47" s="14">
        <v>42327</v>
      </c>
      <c r="R47" s="22" t="e">
        <f ca="1">_xll.BDH("RUB curncy","PX_LAST",$Q47)</f>
        <v>#NAME?</v>
      </c>
    </row>
    <row r="48" spans="2:25" x14ac:dyDescent="0.2">
      <c r="B48" s="46" t="s">
        <v>191</v>
      </c>
      <c r="C48" s="41" t="s">
        <v>192</v>
      </c>
      <c r="D48" s="73" t="s">
        <v>51</v>
      </c>
      <c r="E48" s="43" t="e">
        <f ca="1">F48*_xll.BDP(C48,"PX_LAST")</f>
        <v>#NAME?</v>
      </c>
      <c r="F48" s="43">
        <v>4500</v>
      </c>
      <c r="G48" s="104">
        <v>4500</v>
      </c>
      <c r="H48" s="47">
        <f>G48/F48</f>
        <v>1</v>
      </c>
      <c r="I48" s="43">
        <f t="shared" si="18"/>
        <v>49365</v>
      </c>
      <c r="J48" s="45">
        <f t="shared" si="19"/>
        <v>52875</v>
      </c>
      <c r="K48" s="105">
        <v>10.97</v>
      </c>
      <c r="L48" s="105">
        <v>11.75</v>
      </c>
      <c r="M48" s="44">
        <f>L48/K48-1</f>
        <v>7.1103008204193241E-2</v>
      </c>
      <c r="N48" s="43" t="e">
        <f ca="1">(J48-I48)*R48</f>
        <v>#NAME?</v>
      </c>
      <c r="O48" s="106" t="e">
        <f ca="1">_xll.BDP($C48,"CRNCY")</f>
        <v>#NAME?</v>
      </c>
      <c r="P48" s="43" t="e">
        <f ca="1">N48/R48</f>
        <v>#NAME?</v>
      </c>
      <c r="Q48" s="14">
        <v>42335</v>
      </c>
      <c r="R48" s="22" t="e">
        <f ca="1">_xll.BDH("RUB curncy","PX_LAST",$Q48)</f>
        <v>#NAME?</v>
      </c>
    </row>
    <row r="49" spans="2:19" x14ac:dyDescent="0.2">
      <c r="B49" s="46" t="e">
        <f ca="1">_xll.BDP(C49,"SECURITY_NAME")</f>
        <v>#NAME?</v>
      </c>
      <c r="C49" s="118" t="s">
        <v>272</v>
      </c>
      <c r="D49" s="73" t="s">
        <v>51</v>
      </c>
      <c r="E49" s="43" t="e">
        <f ca="1">F49*_xll.BDP(C49,"PX_LAST")/100</f>
        <v>#NAME?</v>
      </c>
      <c r="F49" s="43">
        <v>17000000</v>
      </c>
      <c r="G49" s="43">
        <v>17000000</v>
      </c>
      <c r="H49" s="47">
        <f>G49/F49</f>
        <v>1</v>
      </c>
      <c r="I49" s="43">
        <f>G49*K49/100</f>
        <v>16779000</v>
      </c>
      <c r="J49" s="45">
        <f>G49*L49/100</f>
        <v>17000000</v>
      </c>
      <c r="K49" s="105">
        <v>98.7</v>
      </c>
      <c r="L49" s="105">
        <v>100</v>
      </c>
      <c r="M49" s="44">
        <f>L49/K49-1</f>
        <v>1.3171225937183451E-2</v>
      </c>
      <c r="N49" s="43">
        <f>(J49-I49)</f>
        <v>221000</v>
      </c>
      <c r="O49" s="106" t="e">
        <f ca="1">_xll.BDP($C49,"CRNCY")</f>
        <v>#NAME?</v>
      </c>
      <c r="P49" s="43" t="e">
        <f ca="1">N49/R49</f>
        <v>#NAME?</v>
      </c>
      <c r="Q49" s="14">
        <v>42354</v>
      </c>
      <c r="R49" s="22" t="e">
        <f ca="1">_xll.BDH("RUB curncy","PX_LAST",$Q49)</f>
        <v>#NAME?</v>
      </c>
    </row>
    <row r="50" spans="2:19" x14ac:dyDescent="0.2">
      <c r="B50" s="41"/>
      <c r="C50" s="41"/>
      <c r="D50" s="42"/>
      <c r="G50" s="41"/>
      <c r="H50" s="41"/>
      <c r="I50" s="41"/>
      <c r="J50" s="41"/>
      <c r="K50" s="41"/>
      <c r="L50" s="41"/>
      <c r="M50" s="35" t="s">
        <v>94</v>
      </c>
      <c r="N50" s="130" t="e">
        <f ca="1">SUM(N39:N49)</f>
        <v>#NAME?</v>
      </c>
      <c r="O50" s="34" t="s">
        <v>75</v>
      </c>
      <c r="P50" s="130" t="e">
        <f ca="1">SUM(P39:P49)</f>
        <v>#NAME?</v>
      </c>
    </row>
    <row r="51" spans="2:19" x14ac:dyDescent="0.2">
      <c r="B51" s="32" t="s">
        <v>276</v>
      </c>
      <c r="E51" s="10"/>
      <c r="M51" s="39"/>
      <c r="N51" s="34"/>
      <c r="O51" s="34"/>
      <c r="P51" s="30"/>
    </row>
    <row r="52" spans="2:19" x14ac:dyDescent="0.2">
      <c r="B52" s="379">
        <v>2016</v>
      </c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41"/>
      <c r="N52" s="34"/>
      <c r="O52" s="34"/>
      <c r="P52" s="30"/>
    </row>
    <row r="53" spans="2:19" ht="51" x14ac:dyDescent="0.2">
      <c r="B53" s="51" t="s">
        <v>105</v>
      </c>
      <c r="C53" s="50" t="s">
        <v>104</v>
      </c>
      <c r="D53" s="50" t="s">
        <v>174</v>
      </c>
      <c r="E53" s="50" t="s">
        <v>173</v>
      </c>
      <c r="F53" s="50" t="s">
        <v>175</v>
      </c>
      <c r="G53" s="50" t="s">
        <v>172</v>
      </c>
      <c r="H53" s="50" t="s">
        <v>103</v>
      </c>
      <c r="I53" s="50" t="s">
        <v>102</v>
      </c>
      <c r="J53" s="50" t="s">
        <v>101</v>
      </c>
      <c r="K53" s="50" t="s">
        <v>100</v>
      </c>
      <c r="L53" s="50" t="s">
        <v>99</v>
      </c>
      <c r="M53" s="50" t="s">
        <v>98</v>
      </c>
      <c r="N53" s="50" t="s">
        <v>280</v>
      </c>
      <c r="O53" s="50" t="s">
        <v>97</v>
      </c>
      <c r="P53" s="50" t="s">
        <v>279</v>
      </c>
      <c r="Q53" s="50" t="s">
        <v>277</v>
      </c>
      <c r="R53" s="50" t="s">
        <v>278</v>
      </c>
      <c r="S53" s="50" t="s">
        <v>841</v>
      </c>
    </row>
    <row r="54" spans="2:19" x14ac:dyDescent="0.2">
      <c r="B54" s="46" t="s">
        <v>176</v>
      </c>
      <c r="C54" s="41" t="s">
        <v>200</v>
      </c>
      <c r="D54" s="73" t="s">
        <v>51</v>
      </c>
      <c r="E54" s="43" t="e">
        <f ca="1">F54*_xll.BDP(C54,"PX_LAST")</f>
        <v>#NAME?</v>
      </c>
      <c r="F54" s="43">
        <v>35000</v>
      </c>
      <c r="G54" s="104">
        <v>35000</v>
      </c>
      <c r="H54" s="47">
        <f t="shared" ref="H54:H59" si="21">G54/F54</f>
        <v>1</v>
      </c>
      <c r="I54" s="43">
        <f t="shared" ref="I54:I59" si="22">G54*K54</f>
        <v>1452500</v>
      </c>
      <c r="J54" s="45">
        <f t="shared" ref="J54:J59" si="23">G54*L54</f>
        <v>2548000</v>
      </c>
      <c r="K54" s="38">
        <v>41.5</v>
      </c>
      <c r="L54" s="38">
        <v>72.8</v>
      </c>
      <c r="M54" s="44">
        <f t="shared" ref="M54:M59" si="24">L54/K54-1</f>
        <v>0.75421686746987948</v>
      </c>
      <c r="N54" s="43">
        <f t="shared" ref="N54:N59" si="25">J54-I54</f>
        <v>1095500</v>
      </c>
      <c r="O54" s="106" t="e">
        <f ca="1">_xll.BDP($C54,"CRNCY")</f>
        <v>#NAME?</v>
      </c>
      <c r="P54" s="43" t="e">
        <f t="shared" ref="P54:P59" ca="1" si="26">N54/R54</f>
        <v>#NAME?</v>
      </c>
      <c r="Q54" s="14">
        <v>42452</v>
      </c>
      <c r="R54" s="22" t="e">
        <f ca="1">_xll.BDH("RUB curncy","PX_LAST",$Q54)</f>
        <v>#NAME?</v>
      </c>
      <c r="S54" s="145" t="e">
        <f ca="1">J54/R54</f>
        <v>#NAME?</v>
      </c>
    </row>
    <row r="55" spans="2:19" x14ac:dyDescent="0.2">
      <c r="B55" s="46" t="s">
        <v>227</v>
      </c>
      <c r="C55" s="41" t="s">
        <v>344</v>
      </c>
      <c r="D55" s="73" t="s">
        <v>51</v>
      </c>
      <c r="E55" s="43" t="e">
        <f ca="1">F55*_xll.BDP(C55,"PX_LAST")</f>
        <v>#NAME?</v>
      </c>
      <c r="F55" s="43">
        <v>1800</v>
      </c>
      <c r="G55" s="104">
        <v>1800</v>
      </c>
      <c r="H55" s="47">
        <f t="shared" si="21"/>
        <v>1</v>
      </c>
      <c r="I55" s="43">
        <f t="shared" si="22"/>
        <v>1404900</v>
      </c>
      <c r="J55" s="45">
        <f t="shared" si="23"/>
        <v>1998900</v>
      </c>
      <c r="K55" s="38">
        <v>780.5</v>
      </c>
      <c r="L55" s="38">
        <v>1110.5</v>
      </c>
      <c r="M55" s="44">
        <f t="shared" si="24"/>
        <v>0.42280589365791155</v>
      </c>
      <c r="N55" s="43">
        <f t="shared" si="25"/>
        <v>594000</v>
      </c>
      <c r="O55" s="106" t="e">
        <f ca="1">_xll.BDP($C55,"CRNCY")</f>
        <v>#NAME?</v>
      </c>
      <c r="P55" s="43" t="e">
        <f t="shared" ca="1" si="26"/>
        <v>#NAME?</v>
      </c>
      <c r="Q55" s="14">
        <v>42475</v>
      </c>
      <c r="R55" s="22" t="e">
        <f ca="1">_xll.BDH("RUB curncy","PX_LAST",$Q55)</f>
        <v>#NAME?</v>
      </c>
      <c r="S55" s="145" t="e">
        <f t="shared" ref="S55:S62" ca="1" si="27">J55/R55</f>
        <v>#NAME?</v>
      </c>
    </row>
    <row r="56" spans="2:19" x14ac:dyDescent="0.2">
      <c r="B56" s="46" t="s">
        <v>317</v>
      </c>
      <c r="C56" s="41" t="s">
        <v>294</v>
      </c>
      <c r="D56" s="73" t="s">
        <v>51</v>
      </c>
      <c r="E56" s="43" t="e">
        <f ca="1">F56*_xll.BDP(C56,"PX_LAST")</f>
        <v>#NAME?</v>
      </c>
      <c r="F56" s="43">
        <v>49650</v>
      </c>
      <c r="G56" s="104">
        <v>41720</v>
      </c>
      <c r="H56" s="47">
        <f t="shared" si="21"/>
        <v>0.84028197381671699</v>
      </c>
      <c r="I56" s="43">
        <f t="shared" si="22"/>
        <v>6677703.2000000002</v>
      </c>
      <c r="J56" s="45">
        <f t="shared" si="23"/>
        <v>6833736.0000000009</v>
      </c>
      <c r="K56" s="38">
        <v>160.06</v>
      </c>
      <c r="L56" s="38">
        <v>163.80000000000001</v>
      </c>
      <c r="M56" s="44">
        <f t="shared" si="24"/>
        <v>2.3366237660877198E-2</v>
      </c>
      <c r="N56" s="43">
        <f t="shared" si="25"/>
        <v>156032.80000000075</v>
      </c>
      <c r="O56" s="106" t="e">
        <f ca="1">_xll.BDP($C56,"CRNCY")</f>
        <v>#NAME?</v>
      </c>
      <c r="P56" s="43" t="e">
        <f t="shared" ca="1" si="26"/>
        <v>#NAME?</v>
      </c>
      <c r="Q56" s="14">
        <v>42475</v>
      </c>
      <c r="R56" s="22" t="e">
        <f ca="1">_xll.BDH("RUB curncy","PX_LAST",$Q56)</f>
        <v>#NAME?</v>
      </c>
      <c r="S56" s="145" t="e">
        <f t="shared" ca="1" si="27"/>
        <v>#NAME?</v>
      </c>
    </row>
    <row r="57" spans="2:19" x14ac:dyDescent="0.2">
      <c r="B57" s="46" t="s">
        <v>317</v>
      </c>
      <c r="C57" s="41" t="s">
        <v>294</v>
      </c>
      <c r="D57" s="73" t="s">
        <v>51</v>
      </c>
      <c r="E57" s="43" t="e">
        <f ca="1">F57*_xll.BDP(C57,"PX_LAST")</f>
        <v>#NAME?</v>
      </c>
      <c r="F57" s="43">
        <v>49650</v>
      </c>
      <c r="G57" s="104">
        <v>7930</v>
      </c>
      <c r="H57" s="47">
        <f t="shared" si="21"/>
        <v>0.15971802618328299</v>
      </c>
      <c r="I57" s="43">
        <f t="shared" si="22"/>
        <v>1269275.8</v>
      </c>
      <c r="J57" s="45">
        <f t="shared" si="23"/>
        <v>1356030</v>
      </c>
      <c r="K57" s="38">
        <v>160.06</v>
      </c>
      <c r="L57" s="38">
        <v>171</v>
      </c>
      <c r="M57" s="44">
        <f t="shared" si="24"/>
        <v>6.834936898662991E-2</v>
      </c>
      <c r="N57" s="43">
        <f t="shared" si="25"/>
        <v>86754.199999999953</v>
      </c>
      <c r="O57" s="106" t="e">
        <f ca="1">_xll.BDP($C57,"CRNCY")</f>
        <v>#NAME?</v>
      </c>
      <c r="P57" s="43" t="e">
        <f t="shared" ca="1" si="26"/>
        <v>#NAME?</v>
      </c>
      <c r="Q57" s="14">
        <v>42517</v>
      </c>
      <c r="R57" s="22" t="e">
        <f ca="1">_xll.BDH("RUB curncy","PX_LAST",$Q57)</f>
        <v>#NAME?</v>
      </c>
      <c r="S57" s="145" t="e">
        <f t="shared" ca="1" si="27"/>
        <v>#NAME?</v>
      </c>
    </row>
    <row r="58" spans="2:19" x14ac:dyDescent="0.2">
      <c r="B58" s="46" t="s">
        <v>363</v>
      </c>
      <c r="C58" s="41" t="s">
        <v>364</v>
      </c>
      <c r="D58" s="73" t="s">
        <v>51</v>
      </c>
      <c r="E58" s="43" t="e">
        <f ca="1">F58*_xll.BDP(C58,"PX_LAST")</f>
        <v>#NAME?</v>
      </c>
      <c r="F58" s="43">
        <v>873000</v>
      </c>
      <c r="G58" s="104">
        <v>873000</v>
      </c>
      <c r="H58" s="47">
        <f t="shared" si="21"/>
        <v>1</v>
      </c>
      <c r="I58" s="43">
        <f t="shared" si="22"/>
        <v>750780</v>
      </c>
      <c r="J58" s="45">
        <f t="shared" si="23"/>
        <v>745542</v>
      </c>
      <c r="K58" s="38">
        <v>0.86</v>
      </c>
      <c r="L58" s="38">
        <v>0.85399999999999998</v>
      </c>
      <c r="M58" s="44">
        <f t="shared" si="24"/>
        <v>-6.9767441860465462E-3</v>
      </c>
      <c r="N58" s="43">
        <f t="shared" si="25"/>
        <v>-5238</v>
      </c>
      <c r="O58" s="106" t="e">
        <f ca="1">_xll.BDP($C58,"CRNCY")</f>
        <v>#NAME?</v>
      </c>
      <c r="P58" s="43" t="e">
        <f t="shared" ca="1" si="26"/>
        <v>#NAME?</v>
      </c>
      <c r="Q58" s="14">
        <v>42565</v>
      </c>
      <c r="R58" s="22" t="e">
        <f ca="1">_xll.BDH("RUB curncy","PX_LAST",$Q58)</f>
        <v>#NAME?</v>
      </c>
      <c r="S58" s="145" t="e">
        <f t="shared" ca="1" si="27"/>
        <v>#NAME?</v>
      </c>
    </row>
    <row r="59" spans="2:19" x14ac:dyDescent="0.2">
      <c r="B59" s="46" t="s">
        <v>670</v>
      </c>
      <c r="C59" s="41" t="s">
        <v>671</v>
      </c>
      <c r="D59" s="73" t="s">
        <v>51</v>
      </c>
      <c r="E59" s="43" t="e">
        <f ca="1">F59*_xll.BDP(C59,"PX_LAST")</f>
        <v>#NAME?</v>
      </c>
      <c r="F59" s="43">
        <v>27100</v>
      </c>
      <c r="G59" s="104">
        <v>13550</v>
      </c>
      <c r="H59" s="47">
        <f t="shared" si="21"/>
        <v>0.5</v>
      </c>
      <c r="I59" s="43">
        <f t="shared" si="22"/>
        <v>3163383</v>
      </c>
      <c r="J59" s="45">
        <f t="shared" si="23"/>
        <v>4608911.9998499993</v>
      </c>
      <c r="K59" s="38">
        <v>233.46</v>
      </c>
      <c r="L59" s="38">
        <v>340.14110699999998</v>
      </c>
      <c r="M59" s="44">
        <f t="shared" si="24"/>
        <v>0.45695668208686691</v>
      </c>
      <c r="N59" s="43">
        <f t="shared" si="25"/>
        <v>1445528.9998499993</v>
      </c>
      <c r="O59" s="106" t="e">
        <f ca="1">_xll.BDP($C59,"CRNCY")</f>
        <v>#NAME?</v>
      </c>
      <c r="P59" s="43" t="e">
        <f t="shared" ca="1" si="26"/>
        <v>#NAME?</v>
      </c>
      <c r="Q59" s="14">
        <v>42614</v>
      </c>
      <c r="R59" s="22" t="e">
        <f ca="1">_xll.BDH("RUB curncy","PX_LAST",$Q59)</f>
        <v>#NAME?</v>
      </c>
      <c r="S59" s="145" t="e">
        <f t="shared" ca="1" si="27"/>
        <v>#NAME?</v>
      </c>
    </row>
    <row r="60" spans="2:19" x14ac:dyDescent="0.2">
      <c r="B60" s="46" t="s">
        <v>201</v>
      </c>
      <c r="C60" s="41" t="s">
        <v>202</v>
      </c>
      <c r="D60" s="73" t="s">
        <v>51</v>
      </c>
      <c r="E60" s="43" t="e">
        <f ca="1">F60*_xll.BDP(C60,"PX_LAST")</f>
        <v>#NAME?</v>
      </c>
      <c r="F60" s="43">
        <v>800</v>
      </c>
      <c r="G60" s="104">
        <v>800</v>
      </c>
      <c r="H60" s="47">
        <f>G60/F60</f>
        <v>1</v>
      </c>
      <c r="I60" s="43">
        <f>G60*K60</f>
        <v>1482400</v>
      </c>
      <c r="J60" s="45">
        <f>G60*L60</f>
        <v>2573600</v>
      </c>
      <c r="K60" s="38">
        <v>1853</v>
      </c>
      <c r="L60" s="38">
        <v>3217</v>
      </c>
      <c r="M60" s="44">
        <f>L60/K60-1</f>
        <v>0.73610361575822991</v>
      </c>
      <c r="N60" s="43">
        <f>J60-I60</f>
        <v>1091200</v>
      </c>
      <c r="O60" s="106" t="e">
        <f ca="1">_xll.BDP($C60,"CRNCY")</f>
        <v>#NAME?</v>
      </c>
      <c r="P60" s="43" t="e">
        <f ca="1">N60/R60</f>
        <v>#NAME?</v>
      </c>
      <c r="Q60" s="14">
        <v>42649</v>
      </c>
      <c r="R60" s="22" t="e">
        <f ca="1">_xll.BDH("RUB curncy","PX_LAST",$Q60)</f>
        <v>#NAME?</v>
      </c>
      <c r="S60" s="145" t="e">
        <f t="shared" ca="1" si="27"/>
        <v>#NAME?</v>
      </c>
    </row>
    <row r="61" spans="2:19" x14ac:dyDescent="0.2">
      <c r="B61" s="46" t="s">
        <v>670</v>
      </c>
      <c r="C61" s="41" t="s">
        <v>671</v>
      </c>
      <c r="D61" s="73" t="s">
        <v>51</v>
      </c>
      <c r="E61" s="43" t="e">
        <f ca="1">F61*_xll.BDP(C61,"PX_LAST")</f>
        <v>#NAME?</v>
      </c>
      <c r="F61" s="43">
        <v>27100</v>
      </c>
      <c r="G61" s="104">
        <v>13550</v>
      </c>
      <c r="H61" s="47">
        <f>G61/F61</f>
        <v>0.5</v>
      </c>
      <c r="I61" s="43">
        <f>G61*K61</f>
        <v>3163383</v>
      </c>
      <c r="J61" s="45">
        <f>G61*L61</f>
        <v>4894090.4895000001</v>
      </c>
      <c r="K61" s="38">
        <v>233.46</v>
      </c>
      <c r="L61" s="38">
        <v>361.18749000000003</v>
      </c>
      <c r="M61" s="44">
        <f>L61/K61-1</f>
        <v>0.54710652788486258</v>
      </c>
      <c r="N61" s="43">
        <f>J61-I61</f>
        <v>1730707.4895000001</v>
      </c>
      <c r="O61" s="106" t="e">
        <f ca="1">_xll.BDP($C61,"CRNCY")</f>
        <v>#NAME?</v>
      </c>
      <c r="P61" s="43" t="e">
        <f ca="1">N61/R61</f>
        <v>#NAME?</v>
      </c>
      <c r="Q61" s="14">
        <v>42656</v>
      </c>
      <c r="R61" s="22" t="e">
        <f ca="1">_xll.BDH("RUB curncy","PX_LAST",$Q61)</f>
        <v>#NAME?</v>
      </c>
      <c r="S61" s="145" t="e">
        <f t="shared" ca="1" si="27"/>
        <v>#NAME?</v>
      </c>
    </row>
    <row r="62" spans="2:19" x14ac:dyDescent="0.2">
      <c r="B62" s="46" t="s">
        <v>147</v>
      </c>
      <c r="C62" s="41" t="s">
        <v>53</v>
      </c>
      <c r="D62" s="73" t="s">
        <v>51</v>
      </c>
      <c r="E62" s="43" t="e">
        <f ca="1">F62*_xll.BDP(C62,"PX_LAST")</f>
        <v>#NAME?</v>
      </c>
      <c r="F62" s="43">
        <v>3697</v>
      </c>
      <c r="G62" s="104">
        <v>1100</v>
      </c>
      <c r="H62" s="47">
        <f>G62/F62</f>
        <v>0.29753854476602648</v>
      </c>
      <c r="I62" s="43">
        <f>G62*K62</f>
        <v>2400640</v>
      </c>
      <c r="J62" s="45">
        <f>G62*L62</f>
        <v>3348468.5300000003</v>
      </c>
      <c r="K62" s="38">
        <v>2182.4</v>
      </c>
      <c r="L62" s="38">
        <v>3044.0623000000001</v>
      </c>
      <c r="M62" s="44">
        <f>L62/K62-1</f>
        <v>0.39482326796187683</v>
      </c>
      <c r="N62" s="43">
        <f>J62-I62</f>
        <v>947828.53000000026</v>
      </c>
      <c r="O62" s="106" t="e">
        <f ca="1">_xll.BDP($C62,"CRNCY")</f>
        <v>#NAME?</v>
      </c>
      <c r="P62" s="43" t="e">
        <f ca="1">N62/R62</f>
        <v>#NAME?</v>
      </c>
      <c r="Q62" s="14">
        <v>42660</v>
      </c>
      <c r="R62" s="22" t="e">
        <f ca="1">_xll.BDH("RUB curncy","PX_LAST",$Q62)</f>
        <v>#NAME?</v>
      </c>
      <c r="S62" s="145" t="e">
        <f t="shared" ca="1" si="27"/>
        <v>#NAME?</v>
      </c>
    </row>
    <row r="63" spans="2:19" x14ac:dyDescent="0.2">
      <c r="B63" s="46" t="e">
        <f ca="1">_xll.BDP(C63,"SECURITY_NAME")</f>
        <v>#NAME?</v>
      </c>
      <c r="C63" s="118" t="s">
        <v>657</v>
      </c>
      <c r="D63" s="73" t="s">
        <v>51</v>
      </c>
      <c r="E63" s="43" t="e">
        <f ca="1">F63*_xll.BDP(C63,"PX_LAST")/100</f>
        <v>#NAME?</v>
      </c>
      <c r="F63" s="43">
        <v>200000</v>
      </c>
      <c r="G63" s="43">
        <v>200000</v>
      </c>
      <c r="H63" s="47">
        <f>G63/F63</f>
        <v>1</v>
      </c>
      <c r="I63" s="43">
        <f>G63*K63/100</f>
        <v>204000</v>
      </c>
      <c r="J63" s="45">
        <f>G63*L63/100</f>
        <v>206250</v>
      </c>
      <c r="K63" s="105">
        <v>102</v>
      </c>
      <c r="L63" s="105">
        <v>103.125</v>
      </c>
      <c r="M63" s="44">
        <f>L63/K63-1</f>
        <v>1.1029411764705843E-2</v>
      </c>
      <c r="N63" s="43" t="e">
        <f ca="1">(J63-I63)*R63</f>
        <v>#NAME?</v>
      </c>
      <c r="O63" s="106" t="e">
        <f ca="1">_xll.BDP($C63,"CRNCY")</f>
        <v>#NAME?</v>
      </c>
      <c r="P63" s="43" t="e">
        <f ca="1">N63/R63</f>
        <v>#NAME?</v>
      </c>
      <c r="Q63" s="14">
        <v>42725</v>
      </c>
      <c r="R63" s="22" t="e">
        <f ca="1">_xll.BDH("RUB curncy","PX_LAST",$Q63)</f>
        <v>#NAME?</v>
      </c>
      <c r="S63" s="145">
        <f>J63</f>
        <v>206250</v>
      </c>
    </row>
    <row r="64" spans="2:19" x14ac:dyDescent="0.2">
      <c r="B64" s="46"/>
      <c r="C64" s="41"/>
      <c r="D64" s="73"/>
      <c r="E64" s="43"/>
      <c r="F64" s="43"/>
      <c r="G64" s="104"/>
      <c r="H64" s="47"/>
      <c r="I64" s="43"/>
      <c r="J64" s="45"/>
      <c r="K64" s="105"/>
      <c r="L64" s="105"/>
      <c r="M64" s="35" t="s">
        <v>94</v>
      </c>
      <c r="N64" s="130" t="e">
        <f ca="1">SUM(N54:N63)</f>
        <v>#NAME?</v>
      </c>
      <c r="O64" s="34" t="s">
        <v>75</v>
      </c>
      <c r="P64" s="130" t="e">
        <f ca="1">SUM(P54:P63)</f>
        <v>#NAME?</v>
      </c>
      <c r="Q64" s="14"/>
      <c r="R64" s="75"/>
      <c r="S64" s="776" t="e">
        <f ca="1">SUM(S54:S63)</f>
        <v>#NAME?</v>
      </c>
    </row>
    <row r="65" spans="2:17" x14ac:dyDescent="0.2">
      <c r="B65" s="32" t="s">
        <v>93</v>
      </c>
      <c r="C65" s="10"/>
      <c r="D65" s="31"/>
      <c r="H65" s="31"/>
      <c r="I65" s="10"/>
      <c r="J65" s="10"/>
      <c r="K65" s="29"/>
    </row>
    <row r="66" spans="2:17" ht="13.5" thickBot="1" x14ac:dyDescent="0.25">
      <c r="C66" s="29"/>
      <c r="D66" s="29"/>
      <c r="G66" s="29"/>
      <c r="H66" s="10"/>
      <c r="I66" s="30"/>
      <c r="J66" s="10"/>
      <c r="K66" s="29"/>
    </row>
    <row r="67" spans="2:17" ht="15" x14ac:dyDescent="0.35">
      <c r="B67" s="26"/>
      <c r="C67" s="26"/>
      <c r="D67" s="26"/>
      <c r="E67" s="26"/>
      <c r="F67" s="26"/>
      <c r="G67" s="26"/>
      <c r="H67" s="28" t="s">
        <v>92</v>
      </c>
      <c r="I67" s="27" t="s">
        <v>91</v>
      </c>
      <c r="J67" s="27" t="s">
        <v>90</v>
      </c>
      <c r="K67" s="27"/>
      <c r="L67" s="26"/>
      <c r="M67" s="26"/>
      <c r="N67" s="26"/>
      <c r="Q67" s="129"/>
    </row>
    <row r="68" spans="2:17" ht="15" x14ac:dyDescent="0.35">
      <c r="B68" s="23" t="s">
        <v>89</v>
      </c>
      <c r="C68" s="23" t="s">
        <v>88</v>
      </c>
      <c r="D68" s="23" t="s">
        <v>87</v>
      </c>
      <c r="E68" s="23" t="s">
        <v>86</v>
      </c>
      <c r="F68" s="23" t="s">
        <v>85</v>
      </c>
      <c r="G68" s="23" t="s">
        <v>84</v>
      </c>
      <c r="H68" s="25" t="s">
        <v>83</v>
      </c>
      <c r="I68" s="24" t="s">
        <v>83</v>
      </c>
      <c r="J68" s="24" t="s">
        <v>75</v>
      </c>
      <c r="K68" s="24" t="s">
        <v>73</v>
      </c>
      <c r="L68" s="23" t="s">
        <v>82</v>
      </c>
      <c r="M68" s="23" t="s">
        <v>81</v>
      </c>
      <c r="N68" s="23" t="s">
        <v>80</v>
      </c>
    </row>
    <row r="69" spans="2:17" x14ac:dyDescent="0.2">
      <c r="B69" s="21" t="s">
        <v>354</v>
      </c>
      <c r="C69" s="118" t="s">
        <v>166</v>
      </c>
      <c r="D69" s="18" t="e">
        <f ca="1">_xll.BDP(C69,"SECURITY_NAME")</f>
        <v>#NAME?</v>
      </c>
      <c r="E69" s="18" t="s">
        <v>50</v>
      </c>
      <c r="F69" s="19">
        <v>200000</v>
      </c>
      <c r="G69" s="18" t="e">
        <f ca="1">_xll.BDP(C69,"CRNCY")</f>
        <v>#NAME?</v>
      </c>
      <c r="H69" s="22">
        <v>98.8</v>
      </c>
      <c r="I69" s="15">
        <f>F69*H69/100</f>
        <v>197600</v>
      </c>
      <c r="J69" s="16">
        <f>I69</f>
        <v>197600</v>
      </c>
      <c r="K69" s="15" t="e">
        <f ca="1">J69*L69</f>
        <v>#NAME?</v>
      </c>
      <c r="L69" s="22" t="e">
        <f ca="1">_xll.BDH("RUB curncy","PX_LAST",$N69)</f>
        <v>#NAME?</v>
      </c>
      <c r="M69" s="85" t="e">
        <f ca="1">1/_xll.BDH("RUB curncy","PX_LAST",$N69)</f>
        <v>#NAME?</v>
      </c>
      <c r="N69" s="14">
        <v>42458</v>
      </c>
    </row>
    <row r="70" spans="2:17" x14ac:dyDescent="0.2">
      <c r="B70" s="71"/>
      <c r="C70" s="72"/>
      <c r="D70" s="73"/>
      <c r="E70" s="73"/>
      <c r="F70" s="79">
        <f>SUM(F69:F69)</f>
        <v>200000</v>
      </c>
      <c r="G70" s="87"/>
      <c r="H70" s="99">
        <f>I70/F70*100</f>
        <v>98.8</v>
      </c>
      <c r="I70" s="79">
        <f>SUM(I69:I69)</f>
        <v>197600</v>
      </c>
      <c r="J70" s="79">
        <f>SUM(J69:J69)</f>
        <v>197600</v>
      </c>
      <c r="K70" s="79" t="e">
        <f ca="1">SUM(K69:K69)</f>
        <v>#NAME?</v>
      </c>
      <c r="L70" s="75"/>
      <c r="M70" s="86"/>
      <c r="N70" s="14"/>
      <c r="Q70" s="378"/>
    </row>
    <row r="71" spans="2:17" x14ac:dyDescent="0.2">
      <c r="B71" s="71"/>
      <c r="C71" s="72"/>
      <c r="D71" s="73"/>
      <c r="E71" s="73"/>
      <c r="F71" s="79"/>
      <c r="G71" s="87"/>
      <c r="H71" s="99"/>
      <c r="I71" s="79"/>
      <c r="J71" s="79"/>
      <c r="K71" s="79"/>
      <c r="L71" s="75"/>
      <c r="M71" s="86"/>
      <c r="N71" s="14"/>
      <c r="Q71" s="378"/>
    </row>
    <row r="72" spans="2:17" x14ac:dyDescent="0.2">
      <c r="B72" s="21" t="s">
        <v>354</v>
      </c>
      <c r="C72" s="118" t="s">
        <v>697</v>
      </c>
      <c r="D72" s="18" t="e">
        <f ca="1">_xll.BDP(C72,"SECURITY_NAME")</f>
        <v>#NAME?</v>
      </c>
      <c r="E72" s="18" t="s">
        <v>50</v>
      </c>
      <c r="F72" s="19">
        <v>200000</v>
      </c>
      <c r="G72" s="18" t="e">
        <f ca="1">_xll.BDP(C72,"CRNCY")</f>
        <v>#NAME?</v>
      </c>
      <c r="H72" s="22">
        <v>91.5</v>
      </c>
      <c r="I72" s="15">
        <f>F72*H72/100</f>
        <v>183000</v>
      </c>
      <c r="J72" s="16">
        <f>I72</f>
        <v>183000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42565</v>
      </c>
    </row>
    <row r="73" spans="2:17" x14ac:dyDescent="0.2">
      <c r="B73" s="71"/>
      <c r="C73" s="72"/>
      <c r="D73" s="73"/>
      <c r="E73" s="73"/>
      <c r="F73" s="79">
        <f>SUM(F72:F72)</f>
        <v>200000</v>
      </c>
      <c r="G73" s="87"/>
      <c r="H73" s="99">
        <f>I73/F73*100</f>
        <v>91.5</v>
      </c>
      <c r="I73" s="79">
        <f>SUM(I72:I72)</f>
        <v>183000</v>
      </c>
      <c r="J73" s="79">
        <f>SUM(J72:J72)</f>
        <v>183000</v>
      </c>
      <c r="K73" s="79" t="e">
        <f ca="1">SUM(K72:K72)</f>
        <v>#NAME?</v>
      </c>
      <c r="L73" s="75"/>
      <c r="M73" s="86"/>
      <c r="N73" s="14"/>
      <c r="Q73" s="378"/>
    </row>
    <row r="75" spans="2:17" x14ac:dyDescent="0.2">
      <c r="B75" s="21" t="s">
        <v>354</v>
      </c>
      <c r="C75" s="118" t="s">
        <v>156</v>
      </c>
      <c r="D75" s="18" t="e">
        <f ca="1">_xll.BDP(C75,"SECURITY_NAME")</f>
        <v>#NAME?</v>
      </c>
      <c r="E75" s="18" t="s">
        <v>50</v>
      </c>
      <c r="F75" s="19">
        <v>200000</v>
      </c>
      <c r="G75" s="18" t="e">
        <f ca="1">_xll.BDP(C75,"CRNCY")</f>
        <v>#NAME?</v>
      </c>
      <c r="H75" s="22">
        <v>102.5</v>
      </c>
      <c r="I75" s="15">
        <f>F75*H75/100</f>
        <v>205000</v>
      </c>
      <c r="J75" s="16">
        <f>I75</f>
        <v>205000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42691</v>
      </c>
    </row>
    <row r="76" spans="2:17" x14ac:dyDescent="0.2">
      <c r="B76" s="21" t="s">
        <v>354</v>
      </c>
      <c r="C76" s="118" t="s">
        <v>156</v>
      </c>
      <c r="D76" s="18" t="e">
        <f ca="1">_xll.BDP(C76,"SECURITY_NAME")</f>
        <v>#NAME?</v>
      </c>
      <c r="E76" s="18" t="s">
        <v>50</v>
      </c>
      <c r="F76" s="19">
        <v>200000</v>
      </c>
      <c r="G76" s="18" t="e">
        <f ca="1">_xll.BDP(C76,"CRNCY")</f>
        <v>#NAME?</v>
      </c>
      <c r="H76" s="22">
        <v>104</v>
      </c>
      <c r="I76" s="15">
        <f>F76*H76/100</f>
        <v>208000</v>
      </c>
      <c r="J76" s="16">
        <f>I76</f>
        <v>208000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42612</v>
      </c>
    </row>
    <row r="77" spans="2:17" x14ac:dyDescent="0.2">
      <c r="B77" s="71"/>
      <c r="C77" s="72"/>
      <c r="D77" s="73"/>
      <c r="E77" s="73"/>
      <c r="F77" s="79">
        <f>SUM(F75:F76)</f>
        <v>400000</v>
      </c>
      <c r="G77" s="87"/>
      <c r="H77" s="99">
        <f>I77/F77*100</f>
        <v>103.25</v>
      </c>
      <c r="I77" s="79">
        <f>SUM(I75:I76)</f>
        <v>413000</v>
      </c>
      <c r="J77" s="79">
        <f>SUM(J75:J76)</f>
        <v>413000</v>
      </c>
      <c r="K77" s="79" t="e">
        <f ca="1">SUM(K75:K76)</f>
        <v>#NAME?</v>
      </c>
      <c r="L77" s="75"/>
      <c r="M77" s="86"/>
      <c r="N77" s="14"/>
    </row>
    <row r="78" spans="2:17" x14ac:dyDescent="0.2">
      <c r="B78" s="71"/>
      <c r="C78" s="72"/>
      <c r="D78" s="73"/>
      <c r="E78" s="73"/>
      <c r="F78" s="79"/>
      <c r="G78" s="87"/>
      <c r="H78" s="99"/>
      <c r="I78" s="79"/>
      <c r="J78" s="79"/>
      <c r="K78" s="79"/>
      <c r="L78" s="75"/>
      <c r="M78" s="86"/>
      <c r="N78" s="14"/>
    </row>
    <row r="79" spans="2:17" x14ac:dyDescent="0.2">
      <c r="B79" s="21" t="s">
        <v>354</v>
      </c>
      <c r="C79" s="20" t="s">
        <v>253</v>
      </c>
      <c r="D79" s="18" t="e">
        <f ca="1">_xll.BDP(C79,"SECURITY_NAME")</f>
        <v>#NAME?</v>
      </c>
      <c r="E79" s="18" t="s">
        <v>50</v>
      </c>
      <c r="F79" s="19">
        <v>31250</v>
      </c>
      <c r="G79" s="18" t="e">
        <f ca="1">_xll.BDP(C79,"CRNCY")</f>
        <v>#NAME?</v>
      </c>
      <c r="H79" s="140">
        <v>159.85050000000001</v>
      </c>
      <c r="I79" s="15">
        <f>F79*H79</f>
        <v>4995328.125</v>
      </c>
      <c r="J79" s="16" t="e">
        <f ca="1">I79/L79</f>
        <v>#NAME?</v>
      </c>
      <c r="K79" s="15" t="e">
        <f ca="1">J79*L79</f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42424</v>
      </c>
    </row>
    <row r="80" spans="2:17" x14ac:dyDescent="0.2">
      <c r="B80" s="21" t="s">
        <v>354</v>
      </c>
      <c r="C80" s="20" t="s">
        <v>253</v>
      </c>
      <c r="D80" s="18" t="e">
        <f ca="1">_xll.BDP(C80,"SECURITY_NAME")</f>
        <v>#NAME?</v>
      </c>
      <c r="E80" s="18" t="s">
        <v>50</v>
      </c>
      <c r="F80" s="19">
        <v>9400</v>
      </c>
      <c r="G80" s="18" t="e">
        <f ca="1">_xll.BDP(C80,"CRNCY")</f>
        <v>#NAME?</v>
      </c>
      <c r="H80" s="140">
        <v>156.5</v>
      </c>
      <c r="I80" s="15">
        <f>F80*H80</f>
        <v>1471100</v>
      </c>
      <c r="J80" s="16" t="e">
        <f ca="1">I80/L80</f>
        <v>#NAME?</v>
      </c>
      <c r="K80" s="15" t="e">
        <f ca="1">J80*L80</f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42304</v>
      </c>
    </row>
    <row r="81" spans="2:14" x14ac:dyDescent="0.2">
      <c r="B81" s="21" t="s">
        <v>354</v>
      </c>
      <c r="C81" s="20" t="s">
        <v>253</v>
      </c>
      <c r="D81" s="18" t="e">
        <f ca="1">_xll.BDP(C81,"SECURITY_NAME")</f>
        <v>#NAME?</v>
      </c>
      <c r="E81" s="18" t="s">
        <v>50</v>
      </c>
      <c r="F81" s="19">
        <v>9000</v>
      </c>
      <c r="G81" s="18" t="e">
        <f ca="1">_xll.BDP(C81,"CRNCY")</f>
        <v>#NAME?</v>
      </c>
      <c r="H81" s="140">
        <v>164.5</v>
      </c>
      <c r="I81" s="15">
        <f>F81*H81</f>
        <v>1480500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42297</v>
      </c>
    </row>
    <row r="82" spans="2:14" x14ac:dyDescent="0.2">
      <c r="B82" s="71"/>
      <c r="C82" s="72"/>
      <c r="D82" s="73">
        <f>E82/F82</f>
        <v>0.15971802618328299</v>
      </c>
      <c r="E82" s="310">
        <f>F82-41720</f>
        <v>7930</v>
      </c>
      <c r="F82" s="74">
        <f>SUM(F79:F81)</f>
        <v>49650</v>
      </c>
      <c r="G82" s="73"/>
      <c r="H82" s="139">
        <f>I82/F82</f>
        <v>160.05897532729105</v>
      </c>
      <c r="I82" s="74">
        <f>SUM(I79:I81)</f>
        <v>7946928.125</v>
      </c>
      <c r="J82" s="74" t="e">
        <f ca="1">SUM(J79:J81)*D82</f>
        <v>#NAME?</v>
      </c>
      <c r="K82" s="74" t="e">
        <f ca="1">SUM(K79:K81)</f>
        <v>#NAME?</v>
      </c>
      <c r="L82" s="75"/>
      <c r="M82" s="78"/>
      <c r="N82" s="14"/>
    </row>
    <row r="83" spans="2:14" x14ac:dyDescent="0.2">
      <c r="B83" s="71"/>
      <c r="C83" s="72"/>
      <c r="D83" s="73"/>
      <c r="E83" s="73"/>
      <c r="F83" s="74"/>
      <c r="G83" s="73"/>
      <c r="H83" s="139"/>
      <c r="I83" s="74"/>
      <c r="J83" s="74"/>
      <c r="K83" s="74"/>
      <c r="L83" s="75"/>
      <c r="M83" s="78"/>
      <c r="N83" s="14"/>
    </row>
    <row r="84" spans="2:14" x14ac:dyDescent="0.2">
      <c r="B84" s="21" t="s">
        <v>354</v>
      </c>
      <c r="C84" s="20" t="s">
        <v>3</v>
      </c>
      <c r="D84" s="18" t="e">
        <f ca="1">_xll.BDP(C84,"SECURITY_NAME")</f>
        <v>#NAME?</v>
      </c>
      <c r="E84" s="18" t="s">
        <v>50</v>
      </c>
      <c r="F84" s="19">
        <v>8400</v>
      </c>
      <c r="G84" s="18" t="e">
        <f ca="1">_xll.BDP(C84,"CRNCY")</f>
        <v>#NAME?</v>
      </c>
      <c r="H84" s="140">
        <v>594.9819</v>
      </c>
      <c r="I84" s="15">
        <f>F84*H84</f>
        <v>4997847.96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42424</v>
      </c>
    </row>
    <row r="85" spans="2:14" x14ac:dyDescent="0.2">
      <c r="B85" s="71"/>
      <c r="C85" s="72"/>
      <c r="D85" s="73"/>
      <c r="E85" s="73"/>
      <c r="F85" s="74">
        <f>SUM(F84:F84)</f>
        <v>8400</v>
      </c>
      <c r="G85" s="73"/>
      <c r="H85" s="139">
        <f>I85/F85</f>
        <v>594.9819</v>
      </c>
      <c r="I85" s="74">
        <f>SUM(I84:I84)</f>
        <v>4997847.96</v>
      </c>
      <c r="J85" s="74" t="e">
        <f ca="1">SUM(J84:J84)</f>
        <v>#NAME?</v>
      </c>
      <c r="K85" s="74" t="e">
        <f ca="1">SUM(K84:K84)</f>
        <v>#NAME?</v>
      </c>
      <c r="L85" s="75"/>
      <c r="M85" s="78"/>
      <c r="N85" s="14"/>
    </row>
    <row r="86" spans="2:14" x14ac:dyDescent="0.2">
      <c r="B86" s="71"/>
      <c r="C86" s="72"/>
      <c r="D86" s="73"/>
      <c r="E86" s="73"/>
      <c r="F86" s="74"/>
      <c r="G86" s="73"/>
      <c r="H86" s="139"/>
      <c r="I86" s="74"/>
      <c r="J86" s="74"/>
      <c r="K86" s="74"/>
      <c r="L86" s="75"/>
      <c r="M86" s="78"/>
      <c r="N86" s="14"/>
    </row>
    <row r="87" spans="2:14" x14ac:dyDescent="0.2">
      <c r="B87" s="21" t="s">
        <v>354</v>
      </c>
      <c r="C87" s="20" t="s">
        <v>69</v>
      </c>
      <c r="D87" s="18" t="e">
        <f ca="1">_xll.BDP(C87,"SECURITY_NAME")</f>
        <v>#NAME?</v>
      </c>
      <c r="E87" s="18" t="s">
        <v>50</v>
      </c>
      <c r="F87" s="19">
        <v>2083000</v>
      </c>
      <c r="G87" s="18" t="e">
        <f ca="1">_xll.BDP(C87,"CRNCY")</f>
        <v>#NAME?</v>
      </c>
      <c r="H87" s="140">
        <v>2.4</v>
      </c>
      <c r="I87" s="15">
        <f>F87*H87</f>
        <v>4999200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42424</v>
      </c>
    </row>
    <row r="88" spans="2:14" x14ac:dyDescent="0.2">
      <c r="B88" s="71"/>
      <c r="C88" s="72"/>
      <c r="D88" s="73"/>
      <c r="E88" s="73"/>
      <c r="F88" s="74">
        <f>SUM(F87:F87)</f>
        <v>2083000</v>
      </c>
      <c r="G88" s="73"/>
      <c r="H88" s="139">
        <f>I88/F88</f>
        <v>2.4</v>
      </c>
      <c r="I88" s="74">
        <f>SUM(I87:I87)</f>
        <v>4999200</v>
      </c>
      <c r="J88" s="74" t="e">
        <f ca="1">SUM(J87:J87)</f>
        <v>#NAME?</v>
      </c>
      <c r="K88" s="74" t="e">
        <f ca="1">SUM(K87:K87)</f>
        <v>#NAME?</v>
      </c>
      <c r="L88" s="75"/>
      <c r="M88" s="78"/>
      <c r="N88" s="14"/>
    </row>
    <row r="89" spans="2:14" x14ac:dyDescent="0.2">
      <c r="B89" s="71"/>
      <c r="C89" s="72"/>
      <c r="D89" s="73"/>
      <c r="E89" s="73"/>
      <c r="F89" s="74"/>
      <c r="G89" s="73"/>
      <c r="H89" s="139"/>
      <c r="I89" s="74"/>
      <c r="J89" s="74"/>
      <c r="K89" s="74"/>
      <c r="L89" s="75"/>
      <c r="M89" s="78"/>
      <c r="N89" s="14"/>
    </row>
    <row r="90" spans="2:14" x14ac:dyDescent="0.2">
      <c r="B90" s="21" t="s">
        <v>354</v>
      </c>
      <c r="C90" s="20" t="s">
        <v>365</v>
      </c>
      <c r="D90" s="18" t="e">
        <f ca="1">_xll.BDP(C90,"SECURITY_NAME")</f>
        <v>#NAME?</v>
      </c>
      <c r="E90" s="18" t="s">
        <v>50</v>
      </c>
      <c r="F90" s="19">
        <v>873000</v>
      </c>
      <c r="G90" s="18" t="e">
        <f ca="1">_xll.BDP(C90,"CRNCY")</f>
        <v>#NAME?</v>
      </c>
      <c r="H90" s="140">
        <v>0.85899999999999999</v>
      </c>
      <c r="I90" s="15">
        <f>F90*H90</f>
        <v>749907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42185</v>
      </c>
    </row>
    <row r="91" spans="2:14" x14ac:dyDescent="0.2">
      <c r="B91" s="71"/>
      <c r="C91" s="72"/>
      <c r="D91" s="73"/>
      <c r="E91" s="73"/>
      <c r="F91" s="74">
        <f>SUM(F90:F90)</f>
        <v>873000</v>
      </c>
      <c r="G91" s="73"/>
      <c r="H91" s="139">
        <f>I91/F91</f>
        <v>0.85899999999999999</v>
      </c>
      <c r="I91" s="74">
        <f>SUM(I90:I90)</f>
        <v>749907</v>
      </c>
      <c r="J91" s="74" t="e">
        <f ca="1">SUM(J90:J90)</f>
        <v>#NAME?</v>
      </c>
      <c r="K91" s="74" t="e">
        <f ca="1">SUM(K90:K90)</f>
        <v>#NAME?</v>
      </c>
      <c r="L91" s="75"/>
      <c r="M91" s="78"/>
      <c r="N91" s="14"/>
    </row>
    <row r="92" spans="2:14" x14ac:dyDescent="0.2">
      <c r="B92" s="71"/>
      <c r="C92" s="72"/>
      <c r="D92" s="73"/>
      <c r="E92" s="73"/>
      <c r="F92" s="74"/>
      <c r="G92" s="73"/>
      <c r="H92" s="139"/>
      <c r="I92" s="74"/>
      <c r="J92" s="74"/>
      <c r="K92" s="74"/>
      <c r="L92" s="75"/>
      <c r="M92" s="78"/>
      <c r="N92" s="14"/>
    </row>
    <row r="93" spans="2:14" x14ac:dyDescent="0.2">
      <c r="B93" s="21" t="s">
        <v>354</v>
      </c>
      <c r="C93" s="20" t="s">
        <v>44</v>
      </c>
      <c r="D93" s="18" t="e">
        <f ca="1">_xll.BDP(C93,"SECURITY_NAME")</f>
        <v>#NAME?</v>
      </c>
      <c r="E93" s="18" t="s">
        <v>50</v>
      </c>
      <c r="F93" s="19">
        <v>122000</v>
      </c>
      <c r="G93" s="18" t="e">
        <f ca="1">_xll.BDP(C93,"CRNCY")</f>
        <v>#NAME?</v>
      </c>
      <c r="H93" s="140">
        <v>41.5</v>
      </c>
      <c r="I93" s="15">
        <f>F93*H93</f>
        <v>5063000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42517</v>
      </c>
    </row>
    <row r="94" spans="2:14" x14ac:dyDescent="0.2">
      <c r="B94" s="21" t="s">
        <v>354</v>
      </c>
      <c r="C94" s="20" t="s">
        <v>44</v>
      </c>
      <c r="D94" s="18" t="e">
        <f ca="1">_xll.BDP(C94,"SECURITY_NAME")</f>
        <v>#NAME?</v>
      </c>
      <c r="E94" s="18" t="s">
        <v>50</v>
      </c>
      <c r="F94" s="19">
        <v>19200</v>
      </c>
      <c r="G94" s="18" t="e">
        <f ca="1">_xll.BDP(C94,"CRNCY")</f>
        <v>#NAME?</v>
      </c>
      <c r="H94" s="140">
        <v>39.15</v>
      </c>
      <c r="I94" s="15">
        <f>F94*H94</f>
        <v>751680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42199</v>
      </c>
    </row>
    <row r="95" spans="2:14" x14ac:dyDescent="0.2">
      <c r="B95" s="71"/>
      <c r="C95" s="72"/>
      <c r="D95" s="73"/>
      <c r="E95" s="73"/>
      <c r="F95" s="74">
        <f>SUM(F93:F94)</f>
        <v>141200</v>
      </c>
      <c r="G95" s="73"/>
      <c r="H95" s="139">
        <f>I95/F95</f>
        <v>41.180453257790369</v>
      </c>
      <c r="I95" s="74">
        <f>SUM(I93:I94)</f>
        <v>5814680</v>
      </c>
      <c r="J95" s="74" t="e">
        <f ca="1">SUM(J93:J94)</f>
        <v>#NAME?</v>
      </c>
      <c r="K95" s="74" t="e">
        <f ca="1">SUM(K93:K94)</f>
        <v>#NAME?</v>
      </c>
      <c r="L95" s="75"/>
      <c r="M95" s="78"/>
      <c r="N95" s="14"/>
    </row>
    <row r="97" spans="2:16" x14ac:dyDescent="0.2">
      <c r="B97" s="21" t="s">
        <v>354</v>
      </c>
      <c r="C97" s="20" t="s">
        <v>257</v>
      </c>
      <c r="D97" s="18" t="e">
        <f ca="1">_xll.BDP(C97,"SECURITY_NAME")</f>
        <v>#NAME?</v>
      </c>
      <c r="E97" s="18" t="s">
        <v>50</v>
      </c>
      <c r="F97" s="19">
        <v>593000</v>
      </c>
      <c r="G97" s="18" t="e">
        <f ca="1">_xll.BDP(C97,"CRNCY")</f>
        <v>#NAME?</v>
      </c>
      <c r="H97" s="140">
        <v>4.9498300000000004</v>
      </c>
      <c r="I97" s="15">
        <f>F97*H97</f>
        <v>2935249.1900000004</v>
      </c>
      <c r="J97" s="16" t="e">
        <f ca="1">I97/L97</f>
        <v>#NAME?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42612</v>
      </c>
    </row>
    <row r="98" spans="2:16" x14ac:dyDescent="0.2">
      <c r="B98" s="71"/>
      <c r="C98" s="72"/>
      <c r="D98" s="73"/>
      <c r="E98" s="73"/>
      <c r="F98" s="74">
        <f>SUM(F97:F97)</f>
        <v>593000</v>
      </c>
      <c r="G98" s="73"/>
      <c r="H98" s="139">
        <f>I98/F98</f>
        <v>4.9498300000000004</v>
      </c>
      <c r="I98" s="74">
        <f>SUM(I97:I97)</f>
        <v>2935249.1900000004</v>
      </c>
      <c r="J98" s="74" t="e">
        <f ca="1">SUM(J97:J97)</f>
        <v>#NAME?</v>
      </c>
      <c r="K98" s="74" t="e">
        <f ca="1">SUM(K97:K97)</f>
        <v>#NAME?</v>
      </c>
      <c r="L98" s="75"/>
      <c r="M98" s="78"/>
      <c r="N98" s="14"/>
    </row>
    <row r="100" spans="2:16" x14ac:dyDescent="0.2">
      <c r="B100" s="21" t="s">
        <v>354</v>
      </c>
      <c r="C100" s="20" t="s">
        <v>42</v>
      </c>
      <c r="D100" s="18" t="e">
        <f ca="1">_xll.BDP(C100,"SECURITY_NAME")</f>
        <v>#NAME?</v>
      </c>
      <c r="E100" s="18" t="s">
        <v>50</v>
      </c>
      <c r="F100" s="19">
        <v>9524</v>
      </c>
      <c r="G100" s="18" t="e">
        <f ca="1">_xll.BDP(C100,"CRNCY")</f>
        <v>#NAME?</v>
      </c>
      <c r="H100" s="140">
        <v>4.2</v>
      </c>
      <c r="I100" s="15">
        <f>F100*H100</f>
        <v>40000.800000000003</v>
      </c>
      <c r="J100" s="16">
        <f>I100</f>
        <v>40000.800000000003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42766</v>
      </c>
    </row>
    <row r="101" spans="2:16" x14ac:dyDescent="0.2">
      <c r="B101" s="21" t="s">
        <v>354</v>
      </c>
      <c r="C101" s="20" t="s">
        <v>42</v>
      </c>
      <c r="D101" s="18" t="e">
        <f ca="1">_xll.BDP(C101,"SECURITY_NAME")</f>
        <v>#NAME?</v>
      </c>
      <c r="E101" s="18" t="s">
        <v>50</v>
      </c>
      <c r="F101" s="19">
        <v>9050</v>
      </c>
      <c r="G101" s="18" t="e">
        <f ca="1">_xll.BDP(C101,"CRNCY")</f>
        <v>#NAME?</v>
      </c>
      <c r="H101" s="140">
        <v>3.2</v>
      </c>
      <c r="I101" s="15">
        <f>F101*H101</f>
        <v>28960</v>
      </c>
      <c r="J101" s="16">
        <f>I101</f>
        <v>28960</v>
      </c>
      <c r="K101" s="15" t="e">
        <f ca="1">J101*L101</f>
        <v>#NAME?</v>
      </c>
      <c r="L101" s="22" t="e">
        <f ca="1">_xll.BDH("RUB curncy","PX_LAST",$N101)</f>
        <v>#NAME?</v>
      </c>
      <c r="M101" s="85" t="e">
        <f ca="1">1/_xll.BDH("RUB curncy","PX_LAST",$N101)</f>
        <v>#NAME?</v>
      </c>
      <c r="N101" s="14">
        <v>42664</v>
      </c>
    </row>
    <row r="102" spans="2:16" x14ac:dyDescent="0.2">
      <c r="B102" s="21" t="s">
        <v>354</v>
      </c>
      <c r="C102" s="20" t="s">
        <v>42</v>
      </c>
      <c r="D102" s="18" t="e">
        <f ca="1">_xll.BDP(C102,"SECURITY_NAME")</f>
        <v>#NAME?</v>
      </c>
      <c r="E102" s="18" t="s">
        <v>50</v>
      </c>
      <c r="F102" s="19">
        <v>18930</v>
      </c>
      <c r="G102" s="18" t="e">
        <f ca="1">_xll.BDP(C102,"CRNCY")</f>
        <v>#NAME?</v>
      </c>
      <c r="H102" s="140">
        <v>3.5</v>
      </c>
      <c r="I102" s="15">
        <f>F102*H102</f>
        <v>66255</v>
      </c>
      <c r="J102" s="16">
        <f>I102</f>
        <v>66255</v>
      </c>
      <c r="K102" s="15" t="e">
        <f ca="1">J102*L102</f>
        <v>#NAME?</v>
      </c>
      <c r="L102" s="22" t="e">
        <f ca="1">_xll.BDH("RUB curncy","PX_LAST",$N102)</f>
        <v>#NAME?</v>
      </c>
      <c r="M102" s="85" t="e">
        <f ca="1">1/_xll.BDH("RUB curncy","PX_LAST",$N102)</f>
        <v>#NAME?</v>
      </c>
      <c r="N102" s="14">
        <v>42424</v>
      </c>
    </row>
    <row r="103" spans="2:16" x14ac:dyDescent="0.2">
      <c r="B103" s="21" t="s">
        <v>354</v>
      </c>
      <c r="C103" s="20" t="s">
        <v>42</v>
      </c>
      <c r="D103" s="18" t="e">
        <f ca="1">_xll.BDP(C103,"SECURITY_NAME")</f>
        <v>#NAME?</v>
      </c>
      <c r="E103" s="18" t="s">
        <v>50</v>
      </c>
      <c r="F103" s="19">
        <v>2720</v>
      </c>
      <c r="G103" s="18" t="e">
        <f ca="1">_xll.BDP(C103,"CRNCY")</f>
        <v>#NAME?</v>
      </c>
      <c r="H103" s="140">
        <v>4.97</v>
      </c>
      <c r="I103" s="15">
        <f>F103*H103</f>
        <v>13518.4</v>
      </c>
      <c r="J103" s="16">
        <f>I103</f>
        <v>13518.4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42191</v>
      </c>
    </row>
    <row r="104" spans="2:16" x14ac:dyDescent="0.2">
      <c r="B104" s="71"/>
      <c r="C104" s="72"/>
      <c r="D104" s="73"/>
      <c r="E104" s="73"/>
      <c r="F104" s="74">
        <f>SUM(F100:F103)</f>
        <v>40224</v>
      </c>
      <c r="G104" s="73"/>
      <c r="H104" s="139">
        <f>I104/F104</f>
        <v>3.6976481702466186</v>
      </c>
      <c r="I104" s="74">
        <f>SUM(I100:I103)</f>
        <v>148734.19999999998</v>
      </c>
      <c r="J104" s="74">
        <f>SUM(J100:J103)</f>
        <v>148734.19999999998</v>
      </c>
      <c r="K104" s="74" t="e">
        <f ca="1">SUM(K100:K103)</f>
        <v>#NAME?</v>
      </c>
      <c r="L104" s="75"/>
      <c r="M104" s="86"/>
      <c r="N104" s="14"/>
    </row>
    <row r="106" spans="2:16" x14ac:dyDescent="0.2">
      <c r="B106" s="21" t="s">
        <v>354</v>
      </c>
      <c r="C106" s="20" t="s">
        <v>12</v>
      </c>
      <c r="D106" s="18" t="e">
        <f ca="1">_xll.BDP(C106,"SECURITY_NAME")</f>
        <v>#NAME?</v>
      </c>
      <c r="E106" s="18" t="s">
        <v>50</v>
      </c>
      <c r="F106" s="19">
        <v>3000</v>
      </c>
      <c r="G106" s="18" t="e">
        <f ca="1">_xll.BDP(C106,"CRNCY")</f>
        <v>#NAME?</v>
      </c>
      <c r="H106" s="140">
        <v>12.5</v>
      </c>
      <c r="I106" s="15">
        <f>F106*H106</f>
        <v>37500</v>
      </c>
      <c r="J106" s="16">
        <f>I106</f>
        <v>37500</v>
      </c>
      <c r="K106" s="15" t="e">
        <f ca="1">J106*L106</f>
        <v>#NAME?</v>
      </c>
      <c r="L106" s="22" t="e">
        <f ca="1">_xll.BDH("RUB curncy","PX_LAST",$N106)</f>
        <v>#NAME?</v>
      </c>
      <c r="M106" s="85" t="e">
        <f ca="1">1/_xll.BDH("RUB curncy","PX_LAST",$N106)</f>
        <v>#NAME?</v>
      </c>
      <c r="N106" s="14">
        <v>42517</v>
      </c>
    </row>
    <row r="107" spans="2:16" x14ac:dyDescent="0.2">
      <c r="B107" s="21" t="s">
        <v>354</v>
      </c>
      <c r="C107" s="20" t="s">
        <v>12</v>
      </c>
      <c r="D107" s="18" t="e">
        <f ca="1">_xll.BDP(C107,"SECURITY_NAME")</f>
        <v>#NAME?</v>
      </c>
      <c r="E107" s="18" t="s">
        <v>50</v>
      </c>
      <c r="F107" s="19">
        <v>550</v>
      </c>
      <c r="G107" s="18" t="e">
        <f ca="1">_xll.BDP(C107,"CRNCY")</f>
        <v>#NAME?</v>
      </c>
      <c r="H107" s="140">
        <v>15.52</v>
      </c>
      <c r="I107" s="15">
        <f>F107*H107</f>
        <v>8536</v>
      </c>
      <c r="J107" s="16">
        <f>I107</f>
        <v>8536</v>
      </c>
      <c r="K107" s="15" t="e">
        <f ca="1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42279</v>
      </c>
    </row>
    <row r="108" spans="2:16" x14ac:dyDescent="0.2">
      <c r="B108" s="21" t="s">
        <v>354</v>
      </c>
      <c r="C108" s="20" t="s">
        <v>12</v>
      </c>
      <c r="D108" s="18" t="e">
        <f ca="1">_xll.BDP(C108,"SECURITY_NAME")</f>
        <v>#NAME?</v>
      </c>
      <c r="E108" s="18" t="s">
        <v>50</v>
      </c>
      <c r="F108" s="19">
        <v>550</v>
      </c>
      <c r="G108" s="18" t="e">
        <f ca="1">_xll.BDP(C108,"CRNCY")</f>
        <v>#NAME?</v>
      </c>
      <c r="H108" s="140">
        <v>25</v>
      </c>
      <c r="I108" s="15">
        <f>F108*H108</f>
        <v>13750</v>
      </c>
      <c r="J108" s="16">
        <f>I108</f>
        <v>13750</v>
      </c>
      <c r="K108" s="15" t="e">
        <f ca="1">J108*L108</f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42192</v>
      </c>
    </row>
    <row r="109" spans="2:16" x14ac:dyDescent="0.2">
      <c r="B109" s="71"/>
      <c r="C109" s="72"/>
      <c r="D109" s="73"/>
      <c r="E109" s="73"/>
      <c r="F109" s="74">
        <f>SUM(F106:F108)</f>
        <v>4100</v>
      </c>
      <c r="G109" s="73"/>
      <c r="H109" s="139">
        <f>I109/F109</f>
        <v>14.581951219512195</v>
      </c>
      <c r="I109" s="74">
        <f>SUM(I106:I108)</f>
        <v>59786</v>
      </c>
      <c r="J109" s="74">
        <f>SUM(J106:J108)</f>
        <v>59786</v>
      </c>
      <c r="K109" s="74" t="e">
        <f ca="1">SUM(K106:K108)</f>
        <v>#NAME?</v>
      </c>
      <c r="L109" s="75"/>
      <c r="M109" s="86"/>
      <c r="N109" s="14"/>
    </row>
    <row r="110" spans="2:16" x14ac:dyDescent="0.2">
      <c r="P110" s="145"/>
    </row>
    <row r="111" spans="2:16" x14ac:dyDescent="0.2">
      <c r="B111" s="21" t="s">
        <v>354</v>
      </c>
      <c r="C111" s="20" t="s">
        <v>336</v>
      </c>
      <c r="D111" s="18" t="e">
        <f ca="1">_xll.BDP(C111,"SECURITY_NAME")</f>
        <v>#NAME?</v>
      </c>
      <c r="E111" s="18" t="s">
        <v>50</v>
      </c>
      <c r="F111" s="19">
        <v>693</v>
      </c>
      <c r="G111" s="18" t="e">
        <f ca="1">_xll.BDP(C111,"CRNCY")</f>
        <v>#NAME?</v>
      </c>
      <c r="H111" s="140" t="e">
        <f ca="1">_xll.BDH(C111,"PX_LAST",N111)</f>
        <v>#NAME?</v>
      </c>
      <c r="I111" s="15" t="e">
        <f t="shared" ref="I111:I116" ca="1" si="28">F111*H111</f>
        <v>#NAME?</v>
      </c>
      <c r="J111" s="16" t="e">
        <f t="shared" ref="J111:J116" ca="1" si="29">I111/L111</f>
        <v>#NAME?</v>
      </c>
      <c r="K111" s="15" t="e">
        <f t="shared" ref="K111:K116" ca="1" si="30">J111*L111</f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42702</v>
      </c>
      <c r="P111" s="145"/>
    </row>
    <row r="112" spans="2:16" x14ac:dyDescent="0.2">
      <c r="B112" s="21" t="s">
        <v>354</v>
      </c>
      <c r="C112" s="20" t="s">
        <v>336</v>
      </c>
      <c r="D112" s="18" t="e">
        <f ca="1">_xll.BDP(C112,"SECURITY_NAME")</f>
        <v>#NAME?</v>
      </c>
      <c r="E112" s="18" t="s">
        <v>50</v>
      </c>
      <c r="F112" s="19">
        <v>4100</v>
      </c>
      <c r="G112" s="18" t="e">
        <f ca="1">_xll.BDP(C112,"CRNCY")</f>
        <v>#NAME?</v>
      </c>
      <c r="H112" s="140">
        <v>675</v>
      </c>
      <c r="I112" s="15">
        <f t="shared" si="28"/>
        <v>2767500</v>
      </c>
      <c r="J112" s="16" t="e">
        <f t="shared" ca="1" si="29"/>
        <v>#NAME?</v>
      </c>
      <c r="K112" s="15" t="e">
        <f t="shared" ca="1" si="30"/>
        <v>#NAME?</v>
      </c>
      <c r="L112" s="22" t="e">
        <f ca="1">_xll.BDH("RUB curncy","PX_LAST",$N112)</f>
        <v>#NAME?</v>
      </c>
      <c r="M112" s="85" t="e">
        <f ca="1">1/_xll.BDH("RUB curncy","PX_LAST",$N112)</f>
        <v>#NAME?</v>
      </c>
      <c r="N112" s="14">
        <v>42664</v>
      </c>
      <c r="P112" s="145"/>
    </row>
    <row r="113" spans="2:17" x14ac:dyDescent="0.2">
      <c r="B113" s="21" t="s">
        <v>354</v>
      </c>
      <c r="C113" s="20" t="s">
        <v>336</v>
      </c>
      <c r="D113" s="18" t="e">
        <f ca="1">_xll.BDP(C113,"SECURITY_NAME")</f>
        <v>#NAME?</v>
      </c>
      <c r="E113" s="18" t="s">
        <v>50</v>
      </c>
      <c r="F113" s="19">
        <v>381</v>
      </c>
      <c r="G113" s="18" t="e">
        <f ca="1">_xll.BDP(C113,"CRNCY")</f>
        <v>#NAME?</v>
      </c>
      <c r="H113" s="140" t="e">
        <f ca="1">_xll.BDH(C113,"PX_LAST",N113)</f>
        <v>#NAME?</v>
      </c>
      <c r="I113" s="15" t="e">
        <f t="shared" ca="1" si="28"/>
        <v>#NAME?</v>
      </c>
      <c r="J113" s="16" t="e">
        <f t="shared" ca="1" si="29"/>
        <v>#NAME?</v>
      </c>
      <c r="K113" s="15" t="e">
        <f t="shared" ca="1" si="30"/>
        <v>#NAME?</v>
      </c>
      <c r="L113" s="22" t="e">
        <f ca="1">_xll.BDH("RUB curncy","PX_LAST",$N113)</f>
        <v>#NAME?</v>
      </c>
      <c r="M113" s="85" t="e">
        <f ca="1">1/_xll.BDH("RUB curncy","PX_LAST",$N113)</f>
        <v>#NAME?</v>
      </c>
      <c r="N113" s="14">
        <v>42655</v>
      </c>
      <c r="P113" s="145"/>
    </row>
    <row r="114" spans="2:17" x14ac:dyDescent="0.2">
      <c r="B114" s="21" t="s">
        <v>354</v>
      </c>
      <c r="C114" s="20" t="s">
        <v>336</v>
      </c>
      <c r="D114" s="18" t="e">
        <f ca="1">_xll.BDP(C114,"SECURITY_NAME")</f>
        <v>#NAME?</v>
      </c>
      <c r="E114" s="18" t="s">
        <v>50</v>
      </c>
      <c r="F114" s="19">
        <v>8420</v>
      </c>
      <c r="G114" s="18" t="e">
        <f ca="1">_xll.BDP(C114,"CRNCY")</f>
        <v>#NAME?</v>
      </c>
      <c r="H114" s="140">
        <v>595.63070000000005</v>
      </c>
      <c r="I114" s="15">
        <f t="shared" si="28"/>
        <v>5015210.4939999999</v>
      </c>
      <c r="J114" s="16" t="e">
        <f t="shared" ca="1" si="29"/>
        <v>#NAME?</v>
      </c>
      <c r="K114" s="15" t="e">
        <f t="shared" ca="1" si="30"/>
        <v>#NAME?</v>
      </c>
      <c r="L114" s="22" t="e">
        <f ca="1">_xll.BDH("RUB curncy","PX_LAST",$N114)</f>
        <v>#NAME?</v>
      </c>
      <c r="M114" s="85" t="e">
        <f ca="1">1/_xll.BDH("RUB curncy","PX_LAST",$N114)</f>
        <v>#NAME?</v>
      </c>
      <c r="N114" s="14">
        <v>42387</v>
      </c>
      <c r="P114" s="145"/>
    </row>
    <row r="115" spans="2:17" x14ac:dyDescent="0.2">
      <c r="B115" s="21" t="s">
        <v>354</v>
      </c>
      <c r="C115" s="20" t="s">
        <v>336</v>
      </c>
      <c r="D115" s="18" t="e">
        <f ca="1">_xll.BDP(C115,"SECURITY_NAME")</f>
        <v>#NAME?</v>
      </c>
      <c r="E115" s="18" t="s">
        <v>50</v>
      </c>
      <c r="F115" s="19">
        <v>1750</v>
      </c>
      <c r="G115" s="18" t="e">
        <f ca="1">_xll.BDP(C115,"CRNCY")</f>
        <v>#NAME?</v>
      </c>
      <c r="H115" s="140">
        <v>429</v>
      </c>
      <c r="I115" s="15">
        <f t="shared" si="28"/>
        <v>750750</v>
      </c>
      <c r="J115" s="16" t="e">
        <f t="shared" ca="1" si="29"/>
        <v>#NAME?</v>
      </c>
      <c r="K115" s="15" t="e">
        <f t="shared" ca="1" si="30"/>
        <v>#NAME?</v>
      </c>
      <c r="L115" s="22" t="e">
        <f ca="1">_xll.BDH("RUB curncy","PX_LAST",$N115)</f>
        <v>#NAME?</v>
      </c>
      <c r="M115" s="85" t="e">
        <f ca="1">1/_xll.BDH("RUB curncy","PX_LAST",$N115)</f>
        <v>#NAME?</v>
      </c>
      <c r="N115" s="14">
        <v>42206</v>
      </c>
      <c r="P115" s="145"/>
    </row>
    <row r="116" spans="2:17" s="33" customFormat="1" x14ac:dyDescent="0.2">
      <c r="B116" s="21" t="s">
        <v>354</v>
      </c>
      <c r="C116" s="20" t="s">
        <v>336</v>
      </c>
      <c r="D116" s="18" t="e">
        <f ca="1">_xll.BDP(C116,"SECURITY_NAME")</f>
        <v>#NAME?</v>
      </c>
      <c r="E116" s="18" t="s">
        <v>50</v>
      </c>
      <c r="F116" s="19">
        <v>1650</v>
      </c>
      <c r="G116" s="18" t="e">
        <f ca="1">_xll.BDP(C116,"CRNCY")</f>
        <v>#NAME?</v>
      </c>
      <c r="H116" s="140">
        <v>457.5</v>
      </c>
      <c r="I116" s="15">
        <f t="shared" si="28"/>
        <v>754875</v>
      </c>
      <c r="J116" s="16" t="e">
        <f t="shared" ca="1" si="29"/>
        <v>#NAME?</v>
      </c>
      <c r="K116" s="15" t="e">
        <f t="shared" ca="1" si="30"/>
        <v>#NAME?</v>
      </c>
      <c r="L116" s="22" t="e">
        <f ca="1">_xll.BDH("RUB curncy","PX_LAST",$N116)</f>
        <v>#NAME?</v>
      </c>
      <c r="M116" s="85" t="e">
        <f ca="1">1/_xll.BDH("RUB curncy","PX_LAST",$N116)</f>
        <v>#NAME?</v>
      </c>
      <c r="N116" s="14">
        <v>42185</v>
      </c>
      <c r="P116" s="145"/>
      <c r="Q116" s="192"/>
    </row>
    <row r="117" spans="2:17" s="33" customFormat="1" x14ac:dyDescent="0.2">
      <c r="B117" s="71"/>
      <c r="C117" s="72"/>
      <c r="D117" s="73"/>
      <c r="E117" s="73"/>
      <c r="F117" s="74">
        <f>SUM(F111:F116)</f>
        <v>16994</v>
      </c>
      <c r="G117" s="73"/>
      <c r="H117" s="139" t="e">
        <f ca="1">I117/F117</f>
        <v>#NAME?</v>
      </c>
      <c r="I117" s="74" t="e">
        <f ca="1">SUM(I111:I116)</f>
        <v>#NAME?</v>
      </c>
      <c r="J117" s="74" t="e">
        <f ca="1">SUM(J111:J116)</f>
        <v>#NAME?</v>
      </c>
      <c r="K117" s="74" t="e">
        <f ca="1">SUM(K111:K116)</f>
        <v>#NAME?</v>
      </c>
      <c r="L117" s="75"/>
      <c r="M117" s="78"/>
      <c r="N117" s="14"/>
    </row>
    <row r="118" spans="2:17" s="33" customFormat="1" x14ac:dyDescent="0.2">
      <c r="B118" s="71"/>
      <c r="C118" s="72"/>
      <c r="D118" s="73"/>
      <c r="E118" s="73"/>
      <c r="F118" s="74"/>
      <c r="G118" s="73"/>
      <c r="H118" s="139"/>
      <c r="I118" s="74"/>
      <c r="J118" s="74"/>
      <c r="K118" s="74"/>
      <c r="L118" s="75"/>
      <c r="M118" s="86"/>
      <c r="N118" s="14"/>
    </row>
    <row r="119" spans="2:17" s="33" customFormat="1" x14ac:dyDescent="0.2">
      <c r="B119" s="21" t="s">
        <v>354</v>
      </c>
      <c r="C119" s="20" t="s">
        <v>134</v>
      </c>
      <c r="D119" s="18" t="e">
        <f ca="1">_xll.BDP(C119,"SECURITY_NAME")</f>
        <v>#NAME?</v>
      </c>
      <c r="E119" s="18" t="s">
        <v>50</v>
      </c>
      <c r="F119" s="19">
        <v>78400</v>
      </c>
      <c r="G119" s="18" t="e">
        <f ca="1">_xll.BDP(C119,"CRNCY")</f>
        <v>#NAME?</v>
      </c>
      <c r="H119" s="140">
        <v>0.58875900000000003</v>
      </c>
      <c r="I119" s="15">
        <f>F119*H119</f>
        <v>46158.705600000001</v>
      </c>
      <c r="J119" s="16" t="e">
        <f ca="1">I119*L119</f>
        <v>#NAME?</v>
      </c>
      <c r="K119" s="15" t="e">
        <f ca="1">J119/M119</f>
        <v>#NAME?</v>
      </c>
      <c r="L119" s="22" t="e">
        <f ca="1">_xll.BDH("GBP curncy","PX_LAST",$N119)</f>
        <v>#NAME?</v>
      </c>
      <c r="M119" s="85" t="e">
        <f ca="1">1/_xll.BDH("RUB curncy","PX_LAST",$N119)</f>
        <v>#NAME?</v>
      </c>
      <c r="N119" s="14">
        <v>42387</v>
      </c>
    </row>
    <row r="120" spans="2:17" s="33" customFormat="1" x14ac:dyDescent="0.2">
      <c r="B120" s="21" t="s">
        <v>354</v>
      </c>
      <c r="C120" s="20" t="s">
        <v>134</v>
      </c>
      <c r="D120" s="18" t="e">
        <f ca="1">_xll.BDP(C120,"SECURITY_NAME")</f>
        <v>#NAME?</v>
      </c>
      <c r="E120" s="18" t="s">
        <v>50</v>
      </c>
      <c r="F120" s="19">
        <v>16000</v>
      </c>
      <c r="G120" s="18" t="e">
        <f ca="1">_xll.BDP(C120,"CRNCY")</f>
        <v>#NAME?</v>
      </c>
      <c r="H120" s="140">
        <v>0.44</v>
      </c>
      <c r="I120" s="15">
        <f>F120*H120</f>
        <v>7040</v>
      </c>
      <c r="J120" s="16" t="e">
        <f ca="1">I120*L120</f>
        <v>#NAME?</v>
      </c>
      <c r="K120" s="15" t="e">
        <f ca="1">J120/M120</f>
        <v>#NAME?</v>
      </c>
      <c r="L120" s="22" t="e">
        <f ca="1">_xll.BDH("GBP curncy","PX_LAST",$N120)</f>
        <v>#NAME?</v>
      </c>
      <c r="M120" s="85" t="e">
        <f ca="1">1/_xll.BDH("RUB curncy","PX_LAST",$N120)</f>
        <v>#NAME?</v>
      </c>
      <c r="N120" s="14">
        <v>42206</v>
      </c>
    </row>
    <row r="121" spans="2:17" s="33" customFormat="1" x14ac:dyDescent="0.2">
      <c r="B121" s="21" t="s">
        <v>354</v>
      </c>
      <c r="C121" s="20" t="s">
        <v>134</v>
      </c>
      <c r="D121" s="18" t="e">
        <f ca="1">_xll.BDP(C121,"SECURITY_NAME")</f>
        <v>#NAME?</v>
      </c>
      <c r="E121" s="18" t="s">
        <v>50</v>
      </c>
      <c r="F121" s="19">
        <v>12500</v>
      </c>
      <c r="G121" s="18" t="e">
        <f ca="1">_xll.BDP(C121,"CRNCY")</f>
        <v>#NAME?</v>
      </c>
      <c r="H121" s="140">
        <v>0.49149999999999999</v>
      </c>
      <c r="I121" s="15">
        <f>F121*H121</f>
        <v>6143.75</v>
      </c>
      <c r="J121" s="16" t="e">
        <f ca="1">I121*L121</f>
        <v>#NAME?</v>
      </c>
      <c r="K121" s="15" t="e">
        <f ca="1">J121/M121</f>
        <v>#NAME?</v>
      </c>
      <c r="L121" s="22" t="e">
        <f ca="1">_xll.BDH("GBP curncy","PX_LAST",$N121)</f>
        <v>#NAME?</v>
      </c>
      <c r="M121" s="85" t="e">
        <f ca="1">1/_xll.BDH("RUB curncy","PX_LAST",$N121)</f>
        <v>#NAME?</v>
      </c>
      <c r="N121" s="14">
        <v>42185</v>
      </c>
    </row>
    <row r="122" spans="2:17" s="33" customFormat="1" x14ac:dyDescent="0.2">
      <c r="B122" s="71"/>
      <c r="C122" s="72"/>
      <c r="D122" s="73"/>
      <c r="E122" s="73"/>
      <c r="F122" s="74">
        <f>SUM(F119:F121)</f>
        <v>106900</v>
      </c>
      <c r="G122" s="73"/>
      <c r="H122" s="139">
        <f>I122/F122</f>
        <v>0.55512119363891488</v>
      </c>
      <c r="I122" s="74">
        <f>SUM(I119:I121)</f>
        <v>59342.455600000001</v>
      </c>
      <c r="J122" s="74" t="e">
        <f ca="1">SUM(J119:J121)</f>
        <v>#NAME?</v>
      </c>
      <c r="K122" s="74" t="e">
        <f ca="1">SUM(K119:K121)</f>
        <v>#NAME?</v>
      </c>
      <c r="L122" s="75"/>
      <c r="M122" s="86"/>
      <c r="N122" s="14"/>
    </row>
    <row r="123" spans="2:17" s="33" customFormat="1" x14ac:dyDescent="0.2">
      <c r="B123" s="71"/>
      <c r="C123" s="72"/>
      <c r="D123" s="73"/>
      <c r="E123" s="73"/>
      <c r="F123" s="74"/>
      <c r="G123" s="73"/>
      <c r="H123" s="139"/>
      <c r="I123" s="74"/>
      <c r="J123" s="74"/>
      <c r="K123" s="74"/>
      <c r="L123" s="75"/>
      <c r="M123" s="86"/>
      <c r="N123" s="14"/>
    </row>
    <row r="124" spans="2:17" s="33" customFormat="1" x14ac:dyDescent="0.2">
      <c r="B124" s="21" t="s">
        <v>354</v>
      </c>
      <c r="C124" s="20" t="s">
        <v>7</v>
      </c>
      <c r="D124" s="18" t="e">
        <f ca="1">_xll.BDP(C124,"SECURITY_NAME")</f>
        <v>#NAME?</v>
      </c>
      <c r="E124" s="18" t="s">
        <v>50</v>
      </c>
      <c r="F124" s="19">
        <v>5200</v>
      </c>
      <c r="G124" s="18" t="e">
        <f ca="1">_xll.BDP(C124,"CRNCY")</f>
        <v>#NAME?</v>
      </c>
      <c r="H124" s="140">
        <v>143.97</v>
      </c>
      <c r="I124" s="15">
        <f>F124*H124</f>
        <v>748644</v>
      </c>
      <c r="J124" s="16" t="e">
        <f ca="1">I124/L124</f>
        <v>#NAME?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42185</v>
      </c>
    </row>
    <row r="125" spans="2:17" s="33" customFormat="1" x14ac:dyDescent="0.2">
      <c r="B125" s="71"/>
      <c r="C125" s="72"/>
      <c r="D125" s="73"/>
      <c r="E125" s="73"/>
      <c r="F125" s="74">
        <f>SUM(F124:F124)</f>
        <v>5200</v>
      </c>
      <c r="G125" s="73"/>
      <c r="H125" s="139">
        <f>I125/F125</f>
        <v>143.97</v>
      </c>
      <c r="I125" s="74">
        <f>SUM(I124:I124)</f>
        <v>748644</v>
      </c>
      <c r="J125" s="74" t="e">
        <f ca="1">SUM(J124:J124)</f>
        <v>#NAME?</v>
      </c>
      <c r="K125" s="74" t="e">
        <f ca="1">SUM(K124:K124)</f>
        <v>#NAME?</v>
      </c>
      <c r="L125" s="75"/>
      <c r="M125" s="78"/>
      <c r="N125" s="14"/>
    </row>
    <row r="126" spans="2:17" s="33" customFormat="1" x14ac:dyDescent="0.2">
      <c r="B126" s="71"/>
      <c r="C126" s="72"/>
      <c r="D126" s="73"/>
      <c r="E126" s="73"/>
      <c r="F126" s="74"/>
      <c r="G126" s="73"/>
      <c r="H126" s="139"/>
      <c r="I126" s="74"/>
      <c r="J126" s="74"/>
      <c r="K126" s="74"/>
      <c r="L126" s="75"/>
      <c r="M126" s="78"/>
      <c r="N126" s="14"/>
    </row>
    <row r="127" spans="2:17" s="33" customFormat="1" x14ac:dyDescent="0.2">
      <c r="B127" s="21" t="s">
        <v>354</v>
      </c>
      <c r="C127" s="20" t="s">
        <v>63</v>
      </c>
      <c r="D127" s="18" t="e">
        <f ca="1">_xll.BDP(C127,"SECURITY_NAME")</f>
        <v>#NAME?</v>
      </c>
      <c r="E127" s="18" t="s">
        <v>50</v>
      </c>
      <c r="F127" s="19">
        <v>2945</v>
      </c>
      <c r="G127" s="18" t="e">
        <f ca="1">_xll.BDP(C127,"CRNCY")</f>
        <v>#NAME?</v>
      </c>
      <c r="H127" s="140">
        <v>2145.6711</v>
      </c>
      <c r="I127" s="15">
        <f>F127*H127</f>
        <v>6319001.3895000005</v>
      </c>
      <c r="J127" s="16" t="e">
        <f ca="1">I127/L127</f>
        <v>#NAME?</v>
      </c>
      <c r="K127" s="15" t="e">
        <f ca="1">J127*L127</f>
        <v>#NAME?</v>
      </c>
      <c r="L127" s="22" t="e">
        <f ca="1">_xll.BDH("RUB curncy","PX_LAST",$N127)</f>
        <v>#NAME?</v>
      </c>
      <c r="M127" s="85" t="e">
        <f ca="1">1/_xll.BDH("RUB curncy","PX_LAST",$N127)</f>
        <v>#NAME?</v>
      </c>
      <c r="N127" s="14">
        <v>42387</v>
      </c>
    </row>
    <row r="128" spans="2:17" s="33" customFormat="1" x14ac:dyDescent="0.2">
      <c r="B128" s="21" t="s">
        <v>354</v>
      </c>
      <c r="C128" s="20" t="s">
        <v>63</v>
      </c>
      <c r="D128" s="18" t="e">
        <f ca="1">_xll.BDP(C128,"SECURITY_NAME")</f>
        <v>#NAME?</v>
      </c>
      <c r="E128" s="18" t="s">
        <v>50</v>
      </c>
      <c r="F128" s="19">
        <v>447</v>
      </c>
      <c r="G128" s="18" t="e">
        <f ca="1">_xll.BDP(C128,"CRNCY")</f>
        <v>#NAME?</v>
      </c>
      <c r="H128" s="140">
        <v>2235</v>
      </c>
      <c r="I128" s="15">
        <f>F128*H128</f>
        <v>999045</v>
      </c>
      <c r="J128" s="16" t="e">
        <f ca="1">I128/L128</f>
        <v>#NAME?</v>
      </c>
      <c r="K128" s="15" t="e">
        <f ca="1">J128*L128</f>
        <v>#NAME?</v>
      </c>
      <c r="L128" s="22" t="e">
        <f ca="1">_xll.BDH("RUB curncy","PX_LAST",$N128)</f>
        <v>#NAME?</v>
      </c>
      <c r="M128" s="85" t="e">
        <f ca="1">1/_xll.BDH("RUB curncy","PX_LAST",$N128)</f>
        <v>#NAME?</v>
      </c>
      <c r="N128" s="14">
        <v>42272</v>
      </c>
    </row>
    <row r="129" spans="2:14" s="33" customFormat="1" x14ac:dyDescent="0.2">
      <c r="B129" s="21" t="s">
        <v>354</v>
      </c>
      <c r="C129" s="20" t="s">
        <v>63</v>
      </c>
      <c r="D129" s="18" t="e">
        <f ca="1">_xll.BDP(C129,"SECURITY_NAME")</f>
        <v>#NAME?</v>
      </c>
      <c r="E129" s="18" t="s">
        <v>50</v>
      </c>
      <c r="F129" s="19">
        <v>305</v>
      </c>
      <c r="G129" s="18" t="e">
        <f ca="1">_xll.BDP(C129,"CRNCY")</f>
        <v>#NAME?</v>
      </c>
      <c r="H129" s="140">
        <v>2460</v>
      </c>
      <c r="I129" s="15">
        <f>F129*H129</f>
        <v>750300</v>
      </c>
      <c r="J129" s="16" t="e">
        <f ca="1">I129/L129</f>
        <v>#NAME?</v>
      </c>
      <c r="K129" s="15" t="e">
        <f ca="1">J129*L129</f>
        <v>#NAME?</v>
      </c>
      <c r="L129" s="22" t="e">
        <f ca="1">_xll.BDH("RUB curncy","PX_LAST",$N129)</f>
        <v>#NAME?</v>
      </c>
      <c r="M129" s="85" t="e">
        <f ca="1">1/_xll.BDH("RUB curncy","PX_LAST",$N129)</f>
        <v>#NAME?</v>
      </c>
      <c r="N129" s="14">
        <v>42185</v>
      </c>
    </row>
    <row r="130" spans="2:14" s="33" customFormat="1" x14ac:dyDescent="0.2">
      <c r="B130" s="71"/>
      <c r="C130" s="72"/>
      <c r="D130" s="73"/>
      <c r="E130" s="73">
        <f>(F130-1100)/F130</f>
        <v>0.70246145523397352</v>
      </c>
      <c r="F130" s="74">
        <f>SUM(F127:F129)</f>
        <v>3697</v>
      </c>
      <c r="G130" s="73"/>
      <c r="H130" s="139">
        <f>I130/F130</f>
        <v>2182.403675818231</v>
      </c>
      <c r="I130" s="74">
        <f>SUM(I127:I129)</f>
        <v>8068346.3895000005</v>
      </c>
      <c r="J130" s="74" t="e">
        <f ca="1">SUM(J127:J129)*E130</f>
        <v>#NAME?</v>
      </c>
      <c r="K130" s="74" t="e">
        <f ca="1">SUM(K127:K129)</f>
        <v>#NAME?</v>
      </c>
      <c r="L130" s="75"/>
      <c r="M130" s="78"/>
      <c r="N130" s="14"/>
    </row>
    <row r="131" spans="2:14" s="33" customFormat="1" x14ac:dyDescent="0.2">
      <c r="B131" s="71"/>
      <c r="C131" s="72"/>
      <c r="D131" s="73"/>
      <c r="E131" s="73"/>
      <c r="F131" s="74"/>
      <c r="G131" s="73"/>
      <c r="H131" s="139"/>
      <c r="I131" s="74"/>
      <c r="J131" s="74"/>
      <c r="K131" s="74"/>
      <c r="L131" s="75"/>
      <c r="M131" s="78"/>
      <c r="N131" s="14"/>
    </row>
    <row r="132" spans="2:14" s="33" customFormat="1" x14ac:dyDescent="0.2">
      <c r="B132" s="21" t="s">
        <v>354</v>
      </c>
      <c r="C132" s="20" t="s">
        <v>27</v>
      </c>
      <c r="D132" s="18" t="e">
        <f ca="1">_xll.BDP(C132,"SECURITY_NAME")</f>
        <v>#NAME?</v>
      </c>
      <c r="E132" s="18" t="s">
        <v>50</v>
      </c>
      <c r="F132" s="19">
        <v>35000</v>
      </c>
      <c r="G132" s="18" t="e">
        <f ca="1">_xll.BDP(C132,"CRNCY")</f>
        <v>#NAME?</v>
      </c>
      <c r="H132" s="140">
        <v>146</v>
      </c>
      <c r="I132" s="15">
        <f>F132*H132</f>
        <v>5110000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42445</v>
      </c>
    </row>
    <row r="133" spans="2:14" s="33" customFormat="1" x14ac:dyDescent="0.2">
      <c r="B133" s="21" t="s">
        <v>354</v>
      </c>
      <c r="C133" s="20" t="s">
        <v>27</v>
      </c>
      <c r="D133" s="18" t="e">
        <f ca="1">_xll.BDP(C133,"SECURITY_NAME")</f>
        <v>#NAME?</v>
      </c>
      <c r="E133" s="18" t="s">
        <v>50</v>
      </c>
      <c r="F133" s="19">
        <v>5520</v>
      </c>
      <c r="G133" s="18" t="e">
        <f ca="1">_xll.BDP(C133,"CRNCY")</f>
        <v>#NAME?</v>
      </c>
      <c r="H133" s="140">
        <v>135.80000000000001</v>
      </c>
      <c r="I133" s="15">
        <f>F133*H133</f>
        <v>749616.00000000012</v>
      </c>
      <c r="J133" s="16" t="e">
        <f ca="1">I133/L133</f>
        <v>#NAME?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42185</v>
      </c>
    </row>
    <row r="134" spans="2:14" s="33" customFormat="1" x14ac:dyDescent="0.2">
      <c r="B134" s="71"/>
      <c r="C134" s="72"/>
      <c r="D134" s="73"/>
      <c r="E134" s="73"/>
      <c r="F134" s="74">
        <f>SUM(F132:F133)</f>
        <v>40520</v>
      </c>
      <c r="G134" s="73"/>
      <c r="H134" s="139">
        <f>I134/F134</f>
        <v>144.61046396841067</v>
      </c>
      <c r="I134" s="74">
        <f>SUM(I132:I133)</f>
        <v>5859616</v>
      </c>
      <c r="J134" s="74" t="e">
        <f ca="1">SUM(J132:J133)</f>
        <v>#NAME?</v>
      </c>
      <c r="K134" s="74" t="e">
        <f ca="1">SUM(K132:K133)</f>
        <v>#NAME?</v>
      </c>
      <c r="L134" s="75"/>
      <c r="M134" s="78"/>
      <c r="N134" s="14"/>
    </row>
    <row r="135" spans="2:14" s="33" customFormat="1" x14ac:dyDescent="0.2">
      <c r="B135" s="71"/>
      <c r="C135" s="72"/>
      <c r="D135" s="73"/>
      <c r="E135" s="73"/>
      <c r="F135" s="74"/>
      <c r="G135" s="73"/>
      <c r="H135" s="139"/>
      <c r="I135" s="74"/>
      <c r="J135" s="74"/>
      <c r="K135" s="74"/>
      <c r="L135" s="75"/>
      <c r="M135" s="78"/>
      <c r="N135" s="14"/>
    </row>
    <row r="136" spans="2:14" s="33" customFormat="1" x14ac:dyDescent="0.2">
      <c r="B136" s="21" t="s">
        <v>354</v>
      </c>
      <c r="C136" s="20" t="s">
        <v>49</v>
      </c>
      <c r="D136" s="18" t="e">
        <f ca="1">_xll.BDP(C136,"SECURITY_NAME")</f>
        <v>#NAME?</v>
      </c>
      <c r="E136" s="18" t="s">
        <v>50</v>
      </c>
      <c r="F136" s="19">
        <v>2080</v>
      </c>
      <c r="G136" s="18" t="e">
        <f ca="1">_xll.BDP(C136,"CRNCY")</f>
        <v>#NAME?</v>
      </c>
      <c r="H136" s="140">
        <v>10</v>
      </c>
      <c r="I136" s="15">
        <f>F136*H136</f>
        <v>20800</v>
      </c>
      <c r="J136" s="16">
        <f>I136</f>
        <v>20800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42285</v>
      </c>
    </row>
    <row r="137" spans="2:14" s="33" customFormat="1" x14ac:dyDescent="0.2">
      <c r="B137" s="21" t="s">
        <v>354</v>
      </c>
      <c r="C137" s="20" t="s">
        <v>49</v>
      </c>
      <c r="D137" s="18" t="e">
        <f ca="1">_xll.BDP(C137,"SECURITY_NAME")</f>
        <v>#NAME?</v>
      </c>
      <c r="E137" s="18" t="s">
        <v>50</v>
      </c>
      <c r="F137" s="19">
        <v>1650</v>
      </c>
      <c r="G137" s="18" t="e">
        <f ca="1">_xll.BDP(C137,"CRNCY")</f>
        <v>#NAME?</v>
      </c>
      <c r="H137" s="140">
        <v>9.3000000000000007</v>
      </c>
      <c r="I137" s="15">
        <f>F137*H137</f>
        <v>15345.000000000002</v>
      </c>
      <c r="J137" s="16">
        <f>I137</f>
        <v>15345.000000000002</v>
      </c>
      <c r="K137" s="15" t="e">
        <f ca="1">J137*L137</f>
        <v>#NAME?</v>
      </c>
      <c r="L137" s="22" t="e">
        <f ca="1">_xll.BDH("RUB curncy","PX_LAST",$N137)</f>
        <v>#NAME?</v>
      </c>
      <c r="M137" s="85" t="e">
        <f ca="1">1/_xll.BDH("RUB curncy","PX_LAST",$N137)</f>
        <v>#NAME?</v>
      </c>
      <c r="N137" s="14">
        <v>42277</v>
      </c>
    </row>
    <row r="138" spans="2:14" s="33" customFormat="1" x14ac:dyDescent="0.2">
      <c r="B138" s="21" t="s">
        <v>354</v>
      </c>
      <c r="C138" s="20" t="s">
        <v>49</v>
      </c>
      <c r="D138" s="18" t="e">
        <f ca="1">_xll.BDP(C138,"SECURITY_NAME")</f>
        <v>#NAME?</v>
      </c>
      <c r="E138" s="18" t="s">
        <v>50</v>
      </c>
      <c r="F138" s="19">
        <v>770</v>
      </c>
      <c r="G138" s="18" t="e">
        <f ca="1">_xll.BDP(C138,"CRNCY")</f>
        <v>#NAME?</v>
      </c>
      <c r="H138" s="140">
        <v>17.149999999999999</v>
      </c>
      <c r="I138" s="15">
        <f>F138*H138</f>
        <v>13205.499999999998</v>
      </c>
      <c r="J138" s="16">
        <f>I138</f>
        <v>13205.499999999998</v>
      </c>
      <c r="K138" s="15" t="e">
        <f ca="1">J138*L138</f>
        <v>#NAME?</v>
      </c>
      <c r="L138" s="22" t="e">
        <f ca="1">_xll.BDH("RUB curncy","PX_LAST",$N138)</f>
        <v>#NAME?</v>
      </c>
      <c r="M138" s="85" t="e">
        <f ca="1">1/_xll.BDH("RUB curncy","PX_LAST",$N138)</f>
        <v>#NAME?</v>
      </c>
      <c r="N138" s="14">
        <v>42201</v>
      </c>
    </row>
    <row r="139" spans="2:14" s="33" customFormat="1" x14ac:dyDescent="0.2">
      <c r="B139" s="71"/>
      <c r="C139" s="72"/>
      <c r="D139" s="73"/>
      <c r="E139" s="73"/>
      <c r="F139" s="74">
        <f>SUM(F136:F138)</f>
        <v>4500</v>
      </c>
      <c r="G139" s="73"/>
      <c r="H139" s="139">
        <f>I139/F139</f>
        <v>10.966777777777779</v>
      </c>
      <c r="I139" s="74">
        <f>SUM(I136:I138)</f>
        <v>49350.5</v>
      </c>
      <c r="J139" s="74">
        <f>SUM(J136:J138)</f>
        <v>49350.5</v>
      </c>
      <c r="K139" s="74" t="e">
        <f ca="1">SUM(K136:K138)</f>
        <v>#NAME?</v>
      </c>
      <c r="L139" s="75"/>
      <c r="M139" s="86"/>
      <c r="N139" s="14"/>
    </row>
    <row r="140" spans="2:14" s="33" customFormat="1" x14ac:dyDescent="0.2">
      <c r="B140" s="71"/>
      <c r="C140" s="72"/>
      <c r="D140" s="73"/>
      <c r="E140" s="73"/>
      <c r="F140" s="74"/>
      <c r="G140" s="73"/>
      <c r="H140" s="139"/>
      <c r="I140" s="74"/>
      <c r="J140" s="74"/>
      <c r="K140" s="74"/>
      <c r="L140" s="75"/>
      <c r="M140" s="78"/>
      <c r="N140" s="14"/>
    </row>
    <row r="141" spans="2:14" s="33" customFormat="1" x14ac:dyDescent="0.2">
      <c r="B141" s="21" t="s">
        <v>354</v>
      </c>
      <c r="C141" s="20" t="s">
        <v>66</v>
      </c>
      <c r="D141" s="18" t="e">
        <f ca="1">_xll.BDP(C141,"SECURITY_NAME")</f>
        <v>#NAME?</v>
      </c>
      <c r="E141" s="18" t="s">
        <v>50</v>
      </c>
      <c r="F141" s="19">
        <v>1000</v>
      </c>
      <c r="G141" s="18" t="e">
        <f ca="1">_xll.BDP(C141,"CRNCY")</f>
        <v>#NAME?</v>
      </c>
      <c r="H141" s="140">
        <v>7</v>
      </c>
      <c r="I141" s="15">
        <f>F141*H141</f>
        <v>7000</v>
      </c>
      <c r="J141" s="16">
        <f>I141</f>
        <v>7000</v>
      </c>
      <c r="K141" s="15" t="e">
        <f ca="1">J141*L141</f>
        <v>#NAME?</v>
      </c>
      <c r="L141" s="22" t="e">
        <f ca="1">_xll.BDH("RUB curncy","PX_LAST",$N141)</f>
        <v>#NAME?</v>
      </c>
      <c r="M141" s="85" t="e">
        <f ca="1">1/_xll.BDH("RUB curncy","PX_LAST",$N141)</f>
        <v>#NAME?</v>
      </c>
      <c r="N141" s="14">
        <v>42303</v>
      </c>
    </row>
    <row r="142" spans="2:14" s="33" customFormat="1" x14ac:dyDescent="0.2">
      <c r="B142" s="21" t="s">
        <v>354</v>
      </c>
      <c r="C142" s="20" t="s">
        <v>66</v>
      </c>
      <c r="D142" s="18" t="e">
        <f ca="1">_xll.BDP(C142,"SECURITY_NAME")</f>
        <v>#NAME?</v>
      </c>
      <c r="E142" s="18" t="s">
        <v>50</v>
      </c>
      <c r="F142" s="19">
        <v>1000</v>
      </c>
      <c r="G142" s="18" t="e">
        <f ca="1">_xll.BDP(C142,"CRNCY")</f>
        <v>#NAME?</v>
      </c>
      <c r="H142" s="140">
        <v>9.8000000000000007</v>
      </c>
      <c r="I142" s="15">
        <f>F142*H142</f>
        <v>9800</v>
      </c>
      <c r="J142" s="16">
        <f>I142</f>
        <v>9800</v>
      </c>
      <c r="K142" s="15" t="e">
        <f ca="1">J142*L142</f>
        <v>#NAME?</v>
      </c>
      <c r="L142" s="22" t="e">
        <f ca="1">_xll.BDH("RUB curncy","PX_LAST",$N142)</f>
        <v>#NAME?</v>
      </c>
      <c r="M142" s="85" t="e">
        <f ca="1">1/_xll.BDH("RUB curncy","PX_LAST",$N142)</f>
        <v>#NAME?</v>
      </c>
      <c r="N142" s="14">
        <v>42186</v>
      </c>
    </row>
    <row r="143" spans="2:14" s="33" customFormat="1" x14ac:dyDescent="0.2">
      <c r="B143" s="71"/>
      <c r="C143" s="72"/>
      <c r="D143" s="73"/>
      <c r="E143" s="73"/>
      <c r="F143" s="74">
        <f>SUM(F141:F142)</f>
        <v>2000</v>
      </c>
      <c r="G143" s="73"/>
      <c r="H143" s="139">
        <f>I143/F143</f>
        <v>8.4</v>
      </c>
      <c r="I143" s="74">
        <f>SUM(I141:I142)</f>
        <v>16800</v>
      </c>
      <c r="J143" s="74">
        <f>SUM(J141:J142)</f>
        <v>16800</v>
      </c>
      <c r="K143" s="74" t="e">
        <f ca="1">SUM(K141:K142)</f>
        <v>#NAME?</v>
      </c>
      <c r="L143" s="75"/>
      <c r="M143" s="86"/>
      <c r="N143" s="14"/>
    </row>
    <row r="144" spans="2:14" s="33" customFormat="1" x14ac:dyDescent="0.2">
      <c r="B144" s="71"/>
      <c r="C144" s="72"/>
      <c r="D144" s="73"/>
      <c r="E144" s="73"/>
      <c r="F144" s="74"/>
      <c r="G144" s="73"/>
      <c r="H144" s="139"/>
      <c r="I144" s="74"/>
      <c r="J144" s="74"/>
      <c r="K144" s="74"/>
      <c r="L144" s="75"/>
      <c r="M144" s="78"/>
      <c r="N144" s="14"/>
    </row>
    <row r="145" spans="2:14" s="33" customFormat="1" x14ac:dyDescent="0.2">
      <c r="B145" s="21" t="s">
        <v>354</v>
      </c>
      <c r="C145" s="20" t="s">
        <v>65</v>
      </c>
      <c r="D145" s="18" t="e">
        <f ca="1">_xll.BDP(C145,"SECURITY_NAME")</f>
        <v>#NAME?</v>
      </c>
      <c r="E145" s="18" t="s">
        <v>50</v>
      </c>
      <c r="F145" s="19">
        <v>11833</v>
      </c>
      <c r="G145" s="18" t="e">
        <f ca="1">_xll.BDP(C145,"CRNCY")</f>
        <v>#NAME?</v>
      </c>
      <c r="H145" s="140">
        <v>3542</v>
      </c>
      <c r="I145" s="15">
        <f>F145*H145</f>
        <v>41912486</v>
      </c>
      <c r="J145" s="16" t="e">
        <f ca="1">I145/L145</f>
        <v>#NAME?</v>
      </c>
      <c r="K145" s="15" t="e">
        <f ca="1">J145*L145</f>
        <v>#NAME?</v>
      </c>
      <c r="L145" s="22" t="e">
        <f ca="1">_xll.BDH("RUB curncy","PX_LAST",$N145)</f>
        <v>#NAME?</v>
      </c>
      <c r="M145" s="85" t="e">
        <f ca="1">1/_xll.BDH("RUB curncy","PX_LAST",$N145)</f>
        <v>#NAME?</v>
      </c>
      <c r="N145" s="14">
        <v>42698</v>
      </c>
    </row>
    <row r="146" spans="2:14" s="33" customFormat="1" x14ac:dyDescent="0.2">
      <c r="B146" s="21" t="s">
        <v>354</v>
      </c>
      <c r="C146" s="20" t="s">
        <v>65</v>
      </c>
      <c r="D146" s="18" t="e">
        <f ca="1">_xll.BDP(C146,"SECURITY_NAME")</f>
        <v>#NAME?</v>
      </c>
      <c r="E146" s="18" t="s">
        <v>50</v>
      </c>
      <c r="F146" s="19">
        <v>1221</v>
      </c>
      <c r="G146" s="18" t="e">
        <f ca="1">_xll.BDP(C146,"CRNCY")</f>
        <v>#NAME?</v>
      </c>
      <c r="H146" s="140">
        <v>3540.5</v>
      </c>
      <c r="I146" s="15">
        <f>F146*H146</f>
        <v>4322950.5</v>
      </c>
      <c r="J146" s="16" t="e">
        <f ca="1">I146/L146</f>
        <v>#NAME?</v>
      </c>
      <c r="K146" s="15" t="e">
        <f ca="1">J146*L146</f>
        <v>#NAME?</v>
      </c>
      <c r="L146" s="22" t="e">
        <f ca="1">_xll.BDH("RUB curncy","PX_LAST",$N146)</f>
        <v>#NAME?</v>
      </c>
      <c r="M146" s="85" t="e">
        <f ca="1">1/_xll.BDH("RUB curncy","PX_LAST",$N146)</f>
        <v>#NAME?</v>
      </c>
      <c r="N146" s="14">
        <v>42691</v>
      </c>
    </row>
    <row r="147" spans="2:14" s="33" customFormat="1" x14ac:dyDescent="0.2">
      <c r="B147" s="21" t="s">
        <v>354</v>
      </c>
      <c r="C147" s="20" t="s">
        <v>65</v>
      </c>
      <c r="D147" s="18" t="e">
        <f ca="1">_xll.BDP(C147,"SECURITY_NAME")</f>
        <v>#NAME?</v>
      </c>
      <c r="E147" s="18" t="s">
        <v>50</v>
      </c>
      <c r="F147" s="19">
        <v>361</v>
      </c>
      <c r="G147" s="18" t="e">
        <f ca="1">_xll.BDP(C147,"CRNCY")</f>
        <v>#NAME?</v>
      </c>
      <c r="H147" s="140">
        <v>3541</v>
      </c>
      <c r="I147" s="15">
        <f>F147*H147</f>
        <v>1278301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42726</v>
      </c>
    </row>
    <row r="148" spans="2:14" s="33" customFormat="1" x14ac:dyDescent="0.2">
      <c r="B148" s="71"/>
      <c r="C148" s="72"/>
      <c r="D148" s="73"/>
      <c r="E148" s="73"/>
      <c r="F148" s="74">
        <f>SUM(F145:F147)</f>
        <v>13415</v>
      </c>
      <c r="G148" s="73"/>
      <c r="H148" s="139">
        <f>I148/F148</f>
        <v>3541.8365635482669</v>
      </c>
      <c r="I148" s="74">
        <f>SUM(I145:I147)</f>
        <v>47513737.5</v>
      </c>
      <c r="J148" s="74" t="e">
        <f ca="1">SUM(J145:J147)</f>
        <v>#NAME?</v>
      </c>
      <c r="K148" s="74" t="e">
        <f ca="1">SUM(K145:K147)</f>
        <v>#NAME?</v>
      </c>
      <c r="L148" s="75"/>
      <c r="M148" s="78"/>
      <c r="N148" s="14"/>
    </row>
    <row r="149" spans="2:14" s="33" customFormat="1" x14ac:dyDescent="0.2">
      <c r="B149" s="71"/>
      <c r="C149" s="72"/>
      <c r="D149" s="73"/>
      <c r="E149" s="73"/>
      <c r="F149" s="74"/>
      <c r="G149" s="73"/>
      <c r="H149" s="139"/>
      <c r="I149" s="74"/>
      <c r="J149" s="74"/>
      <c r="K149" s="74"/>
      <c r="L149" s="75"/>
      <c r="M149" s="78"/>
      <c r="N149" s="14"/>
    </row>
    <row r="150" spans="2:14" s="33" customFormat="1" x14ac:dyDescent="0.2">
      <c r="B150" s="21" t="s">
        <v>354</v>
      </c>
      <c r="C150" s="20" t="s">
        <v>34</v>
      </c>
      <c r="D150" s="18" t="e">
        <f ca="1">_xll.BDP(C150,"SECURITY_NAME")</f>
        <v>#NAME?</v>
      </c>
      <c r="E150" s="18" t="s">
        <v>50</v>
      </c>
      <c r="F150" s="19">
        <v>79100</v>
      </c>
      <c r="G150" s="18" t="e">
        <f ca="1">_xll.BDP(C150,"CRNCY")</f>
        <v>#NAME?</v>
      </c>
      <c r="H150" s="140">
        <v>44.15</v>
      </c>
      <c r="I150" s="15">
        <f>F150*H150</f>
        <v>3492265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42593</v>
      </c>
    </row>
    <row r="151" spans="2:14" s="33" customFormat="1" x14ac:dyDescent="0.2">
      <c r="B151" s="21" t="s">
        <v>354</v>
      </c>
      <c r="C151" s="20" t="s">
        <v>34</v>
      </c>
      <c r="D151" s="18" t="e">
        <f ca="1">_xll.BDP(C151,"SECURITY_NAME")</f>
        <v>#NAME?</v>
      </c>
      <c r="E151" s="18" t="s">
        <v>50</v>
      </c>
      <c r="F151" s="19">
        <v>9500</v>
      </c>
      <c r="G151" s="18" t="e">
        <f ca="1">_xll.BDP(C151,"CRNCY")</f>
        <v>#NAME?</v>
      </c>
      <c r="H151" s="140">
        <v>58</v>
      </c>
      <c r="I151" s="15">
        <f>F151*H151</f>
        <v>551000</v>
      </c>
      <c r="J151" s="16" t="e">
        <f ca="1">I151/L151</f>
        <v>#NAME?</v>
      </c>
      <c r="K151" s="15" t="e">
        <f ca="1">J151*L151</f>
        <v>#NAME?</v>
      </c>
      <c r="L151" s="22" t="e">
        <f ca="1">_xll.BDH("RUB curncy","PX_LAST",$N151)</f>
        <v>#NAME?</v>
      </c>
      <c r="M151" s="85" t="e">
        <f ca="1">1/_xll.BDH("RUB curncy","PX_LAST",$N151)</f>
        <v>#NAME?</v>
      </c>
      <c r="N151" s="14">
        <v>42185</v>
      </c>
    </row>
    <row r="152" spans="2:14" s="33" customFormat="1" x14ac:dyDescent="0.2">
      <c r="B152" s="71"/>
      <c r="C152" s="72"/>
      <c r="D152" s="73"/>
      <c r="E152" s="73"/>
      <c r="F152" s="74">
        <f>SUM(F150:F151)</f>
        <v>88600</v>
      </c>
      <c r="G152" s="73"/>
      <c r="H152" s="139">
        <f>I152/F152</f>
        <v>45.63504514672686</v>
      </c>
      <c r="I152" s="74">
        <f>SUM(I150:I151)</f>
        <v>4043265</v>
      </c>
      <c r="J152" s="74" t="e">
        <f ca="1">SUM(J150:J151)</f>
        <v>#NAME?</v>
      </c>
      <c r="K152" s="74" t="e">
        <f ca="1">SUM(K150:K151)</f>
        <v>#NAME?</v>
      </c>
      <c r="L152" s="75"/>
      <c r="M152" s="78"/>
      <c r="N152" s="14"/>
    </row>
    <row r="153" spans="2:14" s="33" customFormat="1" x14ac:dyDescent="0.2">
      <c r="B153" s="71"/>
      <c r="C153" s="72"/>
      <c r="D153" s="73"/>
      <c r="E153" s="73"/>
      <c r="F153" s="74"/>
      <c r="G153" s="73"/>
      <c r="H153" s="139"/>
      <c r="I153" s="74"/>
      <c r="J153" s="74"/>
      <c r="K153" s="74"/>
      <c r="L153" s="75"/>
      <c r="M153" s="78"/>
      <c r="N153" s="14"/>
    </row>
    <row r="154" spans="2:14" s="33" customFormat="1" x14ac:dyDescent="0.2">
      <c r="B154" s="21" t="s">
        <v>354</v>
      </c>
      <c r="C154" s="20" t="s">
        <v>17</v>
      </c>
      <c r="D154" s="18" t="e">
        <f ca="1">_xll.BDP(C154,"SECURITY_NAME")</f>
        <v>#NAME?</v>
      </c>
      <c r="E154" s="18" t="s">
        <v>50</v>
      </c>
      <c r="F154" s="19">
        <v>51000</v>
      </c>
      <c r="G154" s="18" t="e">
        <f ca="1">_xll.BDP(C154,"CRNCY")</f>
        <v>#NAME?</v>
      </c>
      <c r="H154" s="140">
        <v>14.72</v>
      </c>
      <c r="I154" s="15">
        <f>F154*H154</f>
        <v>750720</v>
      </c>
      <c r="J154" s="16" t="e">
        <f ca="1">I154/L154</f>
        <v>#NAME?</v>
      </c>
      <c r="K154" s="15" t="e">
        <f ca="1">J154*L154</f>
        <v>#NAME?</v>
      </c>
      <c r="L154" s="22" t="e">
        <f ca="1">_xll.BDH("RUB curncy","PX_LAST",$N154)</f>
        <v>#NAME?</v>
      </c>
      <c r="M154" s="85" t="e">
        <f ca="1">1/_xll.BDH("RUB curncy","PX_LAST",$N154)</f>
        <v>#NAME?</v>
      </c>
      <c r="N154" s="14">
        <v>42185</v>
      </c>
    </row>
    <row r="155" spans="2:14" s="33" customFormat="1" x14ac:dyDescent="0.2">
      <c r="B155" s="71"/>
      <c r="C155" s="72"/>
      <c r="D155" s="73"/>
      <c r="E155" s="73"/>
      <c r="F155" s="74">
        <f>SUM(F154:F154)</f>
        <v>51000</v>
      </c>
      <c r="G155" s="73"/>
      <c r="H155" s="139">
        <f>I155/F155</f>
        <v>14.72</v>
      </c>
      <c r="I155" s="74">
        <f>SUM(I154:I154)</f>
        <v>750720</v>
      </c>
      <c r="J155" s="74" t="e">
        <f ca="1">SUM(J154:J154)</f>
        <v>#NAME?</v>
      </c>
      <c r="K155" s="74" t="e">
        <f ca="1">SUM(K154:K154)</f>
        <v>#NAME?</v>
      </c>
      <c r="L155" s="75"/>
      <c r="M155" s="78"/>
      <c r="N155" s="14"/>
    </row>
    <row r="156" spans="2:14" s="33" customFormat="1" x14ac:dyDescent="0.2">
      <c r="B156" s="71"/>
      <c r="C156" s="72"/>
      <c r="D156" s="73"/>
      <c r="E156" s="73"/>
      <c r="F156" s="74"/>
      <c r="G156" s="73"/>
      <c r="H156" s="139"/>
      <c r="I156" s="74"/>
      <c r="J156" s="74"/>
      <c r="K156" s="74"/>
      <c r="L156" s="75"/>
      <c r="M156" s="78"/>
      <c r="N156" s="14"/>
    </row>
    <row r="157" spans="2:14" s="33" customFormat="1" x14ac:dyDescent="0.2">
      <c r="B157" s="21" t="s">
        <v>354</v>
      </c>
      <c r="C157" s="20" t="s">
        <v>334</v>
      </c>
      <c r="D157" s="18" t="e">
        <f ca="1">_xll.BDP(C157,"SECURITY_NAME")</f>
        <v>#NAME?</v>
      </c>
      <c r="E157" s="18" t="s">
        <v>50</v>
      </c>
      <c r="F157" s="19">
        <v>19510</v>
      </c>
      <c r="G157" s="18" t="e">
        <f ca="1">_xll.BDP(C157,"CRNCY")</f>
        <v>#NAME?</v>
      </c>
      <c r="H157" s="140">
        <v>249</v>
      </c>
      <c r="I157" s="15">
        <f>F157*H157</f>
        <v>4857990</v>
      </c>
      <c r="J157" s="16" t="e">
        <f ca="1">I157/L157</f>
        <v>#NAME?</v>
      </c>
      <c r="K157" s="15" t="e">
        <f ca="1">J157*L157</f>
        <v>#NAME?</v>
      </c>
      <c r="L157" s="22" t="e">
        <f ca="1">_xll.BDH("RUB curncy","PX_LAST",$N157)</f>
        <v>#NAME?</v>
      </c>
      <c r="M157" s="85" t="e">
        <f ca="1">1/_xll.BDH("RUB curncy","PX_LAST",$N157)</f>
        <v>#NAME?</v>
      </c>
      <c r="N157" s="14">
        <v>42430</v>
      </c>
    </row>
    <row r="158" spans="2:14" s="33" customFormat="1" x14ac:dyDescent="0.2">
      <c r="B158" s="21" t="s">
        <v>354</v>
      </c>
      <c r="C158" s="20" t="s">
        <v>334</v>
      </c>
      <c r="D158" s="18" t="e">
        <f ca="1">_xll.BDP(C158,"SECURITY_NAME")</f>
        <v>#NAME?</v>
      </c>
      <c r="E158" s="18" t="s">
        <v>50</v>
      </c>
      <c r="F158" s="19">
        <v>5800</v>
      </c>
      <c r="G158" s="18" t="e">
        <f ca="1">_xll.BDP(C158,"CRNCY")</f>
        <v>#NAME?</v>
      </c>
      <c r="H158" s="140">
        <v>219.65258</v>
      </c>
      <c r="I158" s="15">
        <f>F158*H158</f>
        <v>1273984.9639999999</v>
      </c>
      <c r="J158" s="16" t="e">
        <f ca="1">I158/L158</f>
        <v>#NAME?</v>
      </c>
      <c r="K158" s="15" t="e">
        <f ca="1">J158*L158</f>
        <v>#NAME?</v>
      </c>
      <c r="L158" s="22" t="e">
        <f ca="1">_xll.BDH("RUB curncy","PX_LAST",$N158)</f>
        <v>#NAME?</v>
      </c>
      <c r="M158" s="85" t="e">
        <f ca="1">1/_xll.BDH("RUB curncy","PX_LAST",$N158)</f>
        <v>#NAME?</v>
      </c>
      <c r="N158" s="14">
        <v>42359</v>
      </c>
    </row>
    <row r="159" spans="2:14" s="33" customFormat="1" x14ac:dyDescent="0.2">
      <c r="B159" s="21" t="s">
        <v>354</v>
      </c>
      <c r="C159" s="20" t="s">
        <v>334</v>
      </c>
      <c r="D159" s="18" t="e">
        <f ca="1">_xll.BDP(C159,"SECURITY_NAME")</f>
        <v>#NAME?</v>
      </c>
      <c r="E159" s="18" t="s">
        <v>50</v>
      </c>
      <c r="F159" s="19">
        <v>3120</v>
      </c>
      <c r="G159" s="18" t="e">
        <f ca="1">_xll.BDP(C159,"CRNCY")</f>
        <v>#NAME?</v>
      </c>
      <c r="H159" s="140">
        <v>240</v>
      </c>
      <c r="I159" s="15">
        <f>F159*H159</f>
        <v>748800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42194</v>
      </c>
    </row>
    <row r="160" spans="2:14" s="33" customFormat="1" x14ac:dyDescent="0.2">
      <c r="B160" s="21" t="s">
        <v>354</v>
      </c>
      <c r="C160" s="20" t="s">
        <v>334</v>
      </c>
      <c r="D160" s="18" t="e">
        <f ca="1">_xll.BDP(C160,"SECURITY_NAME")</f>
        <v>#NAME?</v>
      </c>
      <c r="E160" s="18" t="s">
        <v>50</v>
      </c>
      <c r="F160" s="19">
        <v>2700</v>
      </c>
      <c r="G160" s="18" t="e">
        <f ca="1">_xll.BDP(C160,"CRNCY")</f>
        <v>#NAME?</v>
      </c>
      <c r="H160" s="140">
        <v>279.7167</v>
      </c>
      <c r="I160" s="15">
        <f>F160*H160</f>
        <v>755235.09</v>
      </c>
      <c r="J160" s="16" t="e">
        <f ca="1">I160/L160</f>
        <v>#NAME?</v>
      </c>
      <c r="K160" s="15" t="e">
        <f ca="1">J160*L160</f>
        <v>#NAME?</v>
      </c>
      <c r="L160" s="22" t="e">
        <f ca="1">_xll.BDH("RUB curncy","PX_LAST",$N160)</f>
        <v>#NAME?</v>
      </c>
      <c r="M160" s="85" t="e">
        <f ca="1">1/_xll.BDH("RUB curncy","PX_LAST",$N160)</f>
        <v>#NAME?</v>
      </c>
      <c r="N160" s="14">
        <v>42185</v>
      </c>
    </row>
    <row r="161" spans="2:14" s="33" customFormat="1" x14ac:dyDescent="0.2">
      <c r="B161" s="71"/>
      <c r="C161" s="72"/>
      <c r="D161" s="73"/>
      <c r="E161" s="73"/>
      <c r="F161" s="74">
        <f>SUM(F157:F160)</f>
        <v>31130</v>
      </c>
      <c r="G161" s="73"/>
      <c r="H161" s="139">
        <f>I161/F161</f>
        <v>245.29425165435271</v>
      </c>
      <c r="I161" s="74">
        <f>SUM(I157:I160)</f>
        <v>7636010.0539999995</v>
      </c>
      <c r="J161" s="74" t="e">
        <f ca="1">SUM(J157:J160)</f>
        <v>#NAME?</v>
      </c>
      <c r="K161" s="74" t="e">
        <f ca="1">SUM(K157:K160)</f>
        <v>#NAME?</v>
      </c>
      <c r="L161" s="75"/>
      <c r="M161" s="78"/>
      <c r="N161" s="14"/>
    </row>
    <row r="162" spans="2:14" s="33" customFormat="1" x14ac:dyDescent="0.2">
      <c r="B162" s="71"/>
      <c r="C162" s="72"/>
      <c r="D162" s="73"/>
      <c r="E162" s="73"/>
      <c r="F162" s="74"/>
      <c r="G162" s="73"/>
      <c r="H162" s="139"/>
      <c r="I162" s="74"/>
      <c r="J162" s="74"/>
      <c r="K162" s="74"/>
      <c r="L162" s="75"/>
      <c r="M162" s="78"/>
      <c r="N162" s="14"/>
    </row>
    <row r="163" spans="2:14" s="33" customFormat="1" x14ac:dyDescent="0.2">
      <c r="B163" s="21" t="s">
        <v>354</v>
      </c>
      <c r="C163" s="20" t="s">
        <v>35</v>
      </c>
      <c r="D163" s="18" t="e">
        <f ca="1">_xll.BDP(C163,"SECURITY_NAME")</f>
        <v>#NAME?</v>
      </c>
      <c r="E163" s="18" t="s">
        <v>50</v>
      </c>
      <c r="F163" s="19">
        <v>767</v>
      </c>
      <c r="G163" s="18" t="e">
        <f ca="1">_xll.BDP(C163,"CRNCY")</f>
        <v>#NAME?</v>
      </c>
      <c r="H163" s="140">
        <v>8227.9307000000008</v>
      </c>
      <c r="I163" s="15">
        <f>F163*H163</f>
        <v>6310822.8469000002</v>
      </c>
      <c r="J163" s="16" t="e">
        <f ca="1">I163/L163</f>
        <v>#NAME?</v>
      </c>
      <c r="K163" s="15" t="e">
        <f ca="1">J163*L163</f>
        <v>#NAME?</v>
      </c>
      <c r="L163" s="22" t="e">
        <f ca="1">_xll.BDH("RUB curncy","PX_LAST",$N163)</f>
        <v>#NAME?</v>
      </c>
      <c r="M163" s="85" t="e">
        <f ca="1">1/_xll.BDH("RUB curncy","PX_LAST",$N163)</f>
        <v>#NAME?</v>
      </c>
      <c r="N163" s="14">
        <v>42387</v>
      </c>
    </row>
    <row r="164" spans="2:14" s="33" customFormat="1" x14ac:dyDescent="0.2">
      <c r="B164" s="21" t="s">
        <v>354</v>
      </c>
      <c r="C164" s="20" t="s">
        <v>35</v>
      </c>
      <c r="D164" s="18" t="e">
        <f ca="1">_xll.BDP(C164,"SECURITY_NAME")</f>
        <v>#NAME?</v>
      </c>
      <c r="E164" s="18" t="s">
        <v>50</v>
      </c>
      <c r="F164" s="19">
        <v>80</v>
      </c>
      <c r="G164" s="18" t="e">
        <f ca="1">_xll.BDP(C164,"CRNCY")</f>
        <v>#NAME?</v>
      </c>
      <c r="H164" s="140">
        <v>9440</v>
      </c>
      <c r="I164" s="15">
        <f>F164*H164</f>
        <v>755200</v>
      </c>
      <c r="J164" s="16" t="e">
        <f ca="1">I164/L164</f>
        <v>#NAME?</v>
      </c>
      <c r="K164" s="15" t="e">
        <f ca="1">J164*L164</f>
        <v>#NAME?</v>
      </c>
      <c r="L164" s="22" t="e">
        <f ca="1">_xll.BDH("RUB curncy","PX_LAST",$N164)</f>
        <v>#NAME?</v>
      </c>
      <c r="M164" s="85" t="e">
        <f ca="1">1/_xll.BDH("RUB curncy","PX_LAST",$N164)</f>
        <v>#NAME?</v>
      </c>
      <c r="N164" s="14">
        <v>42185</v>
      </c>
    </row>
    <row r="165" spans="2:14" s="33" customFormat="1" x14ac:dyDescent="0.2">
      <c r="B165" s="71"/>
      <c r="C165" s="72"/>
      <c r="D165" s="73"/>
      <c r="E165" s="73"/>
      <c r="F165" s="74">
        <f>SUM(F163:F164)</f>
        <v>847</v>
      </c>
      <c r="G165" s="73"/>
      <c r="H165" s="139">
        <f>I165/F165</f>
        <v>8342.4118617473432</v>
      </c>
      <c r="I165" s="74">
        <f>SUM(I163:I164)</f>
        <v>7066022.8469000002</v>
      </c>
      <c r="J165" s="74" t="e">
        <f ca="1">SUM(J163:J164)</f>
        <v>#NAME?</v>
      </c>
      <c r="K165" s="74" t="e">
        <f ca="1">SUM(K163:K164)</f>
        <v>#NAME?</v>
      </c>
      <c r="L165" s="75"/>
      <c r="M165" s="78"/>
      <c r="N165" s="14"/>
    </row>
    <row r="166" spans="2:14" s="33" customFormat="1" x14ac:dyDescent="0.2">
      <c r="B166" s="71"/>
      <c r="C166" s="72"/>
      <c r="D166" s="73"/>
      <c r="E166" s="73"/>
      <c r="F166" s="74"/>
      <c r="G166" s="73"/>
      <c r="H166" s="139"/>
      <c r="I166" s="74"/>
      <c r="J166" s="74"/>
      <c r="K166" s="74"/>
      <c r="L166" s="75"/>
      <c r="M166" s="78"/>
      <c r="N166" s="14"/>
    </row>
    <row r="167" spans="2:14" s="33" customFormat="1" x14ac:dyDescent="0.2">
      <c r="B167" s="21" t="s">
        <v>354</v>
      </c>
      <c r="C167" s="20" t="s">
        <v>19</v>
      </c>
      <c r="D167" s="18" t="e">
        <f ca="1">_xll.BDP(C167,"SECURITY_NAME")</f>
        <v>#NAME?</v>
      </c>
      <c r="E167" s="18" t="s">
        <v>50</v>
      </c>
      <c r="F167" s="19">
        <v>2300</v>
      </c>
      <c r="G167" s="18" t="e">
        <f ca="1">_xll.BDP(C167,"CRNCY")</f>
        <v>#NAME?</v>
      </c>
      <c r="H167" s="140">
        <v>329</v>
      </c>
      <c r="I167" s="15">
        <f>F167*H167</f>
        <v>756700</v>
      </c>
      <c r="J167" s="16" t="e">
        <f ca="1">I167/L167</f>
        <v>#NAME?</v>
      </c>
      <c r="K167" s="15" t="e">
        <f ca="1">J167*L167</f>
        <v>#NAME?</v>
      </c>
      <c r="L167" s="22" t="e">
        <f ca="1">_xll.BDH("RUB curncy","PX_LAST",$N167)</f>
        <v>#NAME?</v>
      </c>
      <c r="M167" s="85" t="e">
        <f ca="1">1/_xll.BDH("RUB curncy","PX_LAST",$N167)</f>
        <v>#NAME?</v>
      </c>
      <c r="N167" s="14">
        <v>42199</v>
      </c>
    </row>
    <row r="168" spans="2:14" s="33" customFormat="1" x14ac:dyDescent="0.2">
      <c r="B168" s="21" t="s">
        <v>354</v>
      </c>
      <c r="C168" s="20" t="s">
        <v>19</v>
      </c>
      <c r="D168" s="18" t="e">
        <f ca="1">_xll.BDP(C168,"SECURITY_NAME")</f>
        <v>#NAME?</v>
      </c>
      <c r="E168" s="18" t="s">
        <v>50</v>
      </c>
      <c r="F168" s="19">
        <v>2300</v>
      </c>
      <c r="G168" s="18" t="e">
        <f ca="1">_xll.BDP(C168,"CRNCY")</f>
        <v>#NAME?</v>
      </c>
      <c r="H168" s="140">
        <v>329</v>
      </c>
      <c r="I168" s="15">
        <f>F168*H168</f>
        <v>756700</v>
      </c>
      <c r="J168" s="16" t="e">
        <f ca="1">I168/L168</f>
        <v>#NAME?</v>
      </c>
      <c r="K168" s="15" t="e">
        <f ca="1">J168*L168</f>
        <v>#NAME?</v>
      </c>
      <c r="L168" s="22" t="e">
        <f ca="1">_xll.BDH("RUB curncy","PX_LAST",$N168)</f>
        <v>#NAME?</v>
      </c>
      <c r="M168" s="85" t="e">
        <f ca="1">1/_xll.BDH("RUB curncy","PX_LAST",$N168)</f>
        <v>#NAME?</v>
      </c>
      <c r="N168" s="14">
        <v>42185</v>
      </c>
    </row>
    <row r="169" spans="2:14" s="33" customFormat="1" x14ac:dyDescent="0.2">
      <c r="B169" s="71"/>
      <c r="C169" s="72"/>
      <c r="D169" s="73"/>
      <c r="E169" s="73"/>
      <c r="F169" s="74">
        <f>SUM(F167:F168)</f>
        <v>4600</v>
      </c>
      <c r="G169" s="73"/>
      <c r="H169" s="139">
        <f>I169/F169</f>
        <v>329</v>
      </c>
      <c r="I169" s="74">
        <f>SUM(I167:I168)</f>
        <v>1513400</v>
      </c>
      <c r="J169" s="74" t="e">
        <f ca="1">SUM(J167:J168)</f>
        <v>#NAME?</v>
      </c>
      <c r="K169" s="74" t="e">
        <f ca="1">SUM(K167:K168)</f>
        <v>#NAME?</v>
      </c>
      <c r="L169" s="75"/>
      <c r="M169" s="78"/>
      <c r="N169" s="14"/>
    </row>
    <row r="170" spans="2:14" s="33" customFormat="1" x14ac:dyDescent="0.2">
      <c r="B170" s="71"/>
      <c r="C170" s="72"/>
      <c r="D170" s="73"/>
      <c r="E170" s="73"/>
      <c r="F170" s="74"/>
      <c r="G170" s="73"/>
      <c r="H170" s="139"/>
      <c r="I170" s="74"/>
      <c r="J170" s="74"/>
      <c r="K170" s="74"/>
      <c r="L170" s="75"/>
      <c r="M170" s="86"/>
      <c r="N170" s="14"/>
    </row>
    <row r="171" spans="2:14" s="33" customFormat="1" x14ac:dyDescent="0.2">
      <c r="B171" s="21" t="s">
        <v>354</v>
      </c>
      <c r="C171" s="20" t="s">
        <v>21</v>
      </c>
      <c r="D171" s="18" t="e">
        <f ca="1">_xll.BDP(C171,"SECURITY_NAME")</f>
        <v>#NAME?</v>
      </c>
      <c r="E171" s="18" t="s">
        <v>50</v>
      </c>
      <c r="F171" s="19">
        <v>1900</v>
      </c>
      <c r="G171" s="18" t="e">
        <f ca="1">_xll.BDP(C171,"CRNCY")</f>
        <v>#NAME?</v>
      </c>
      <c r="H171" s="140">
        <v>219.0111</v>
      </c>
      <c r="I171" s="15">
        <f>F171*H171</f>
        <v>416121.09</v>
      </c>
      <c r="J171" s="16" t="e">
        <f ca="1">I171/L171</f>
        <v>#NAME?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42307</v>
      </c>
    </row>
    <row r="172" spans="2:14" s="33" customFormat="1" x14ac:dyDescent="0.2">
      <c r="B172" s="21" t="s">
        <v>354</v>
      </c>
      <c r="C172" s="20" t="s">
        <v>21</v>
      </c>
      <c r="D172" s="18" t="e">
        <f ca="1">_xll.BDP(C172,"SECURITY_NAME")</f>
        <v>#NAME?</v>
      </c>
      <c r="E172" s="18" t="s">
        <v>50</v>
      </c>
      <c r="F172" s="19">
        <v>4200</v>
      </c>
      <c r="G172" s="18" t="e">
        <f ca="1">_xll.BDP(C172,"CRNCY")</f>
        <v>#NAME?</v>
      </c>
      <c r="H172" s="140">
        <v>180</v>
      </c>
      <c r="I172" s="15">
        <f>F172*H172</f>
        <v>756000</v>
      </c>
      <c r="J172" s="16" t="e">
        <f ca="1">I172/L172</f>
        <v>#NAME?</v>
      </c>
      <c r="K172" s="15" t="e">
        <f ca="1">J172*L172</f>
        <v>#NAME?</v>
      </c>
      <c r="L172" s="22" t="e">
        <f ca="1">_xll.BDH("RUB curncy","PX_LAST",$N172)</f>
        <v>#NAME?</v>
      </c>
      <c r="M172" s="85" t="e">
        <f ca="1">1/_xll.BDH("RUB curncy","PX_LAST",$N172)</f>
        <v>#NAME?</v>
      </c>
      <c r="N172" s="14">
        <v>42199</v>
      </c>
    </row>
    <row r="173" spans="2:14" s="33" customFormat="1" x14ac:dyDescent="0.2">
      <c r="B173" s="21" t="s">
        <v>354</v>
      </c>
      <c r="C173" s="20" t="s">
        <v>21</v>
      </c>
      <c r="D173" s="18" t="e">
        <f ca="1">_xll.BDP(C173,"SECURITY_NAME")</f>
        <v>#NAME?</v>
      </c>
      <c r="E173" s="18" t="s">
        <v>50</v>
      </c>
      <c r="F173" s="19">
        <v>4000</v>
      </c>
      <c r="G173" s="18" t="e">
        <f ca="1">_xll.BDP(C173,"CRNCY")</f>
        <v>#NAME?</v>
      </c>
      <c r="H173" s="140">
        <v>189</v>
      </c>
      <c r="I173" s="15">
        <f>F173*H173</f>
        <v>756000</v>
      </c>
      <c r="J173" s="16" t="e">
        <f ca="1">I173/L173</f>
        <v>#NAME?</v>
      </c>
      <c r="K173" s="15" t="e">
        <f ca="1">J173*L173</f>
        <v>#NAME?</v>
      </c>
      <c r="L173" s="22" t="e">
        <f ca="1">_xll.BDH("RUB curncy","PX_LAST",$N173)</f>
        <v>#NAME?</v>
      </c>
      <c r="M173" s="85" t="e">
        <f ca="1">1/_xll.BDH("RUB curncy","PX_LAST",$N173)</f>
        <v>#NAME?</v>
      </c>
      <c r="N173" s="14">
        <v>42185</v>
      </c>
    </row>
    <row r="174" spans="2:14" s="33" customFormat="1" x14ac:dyDescent="0.2">
      <c r="B174" s="71"/>
      <c r="C174" s="72"/>
      <c r="D174" s="73"/>
      <c r="E174" s="73"/>
      <c r="F174" s="74">
        <f>SUM(F171:F173)</f>
        <v>10100</v>
      </c>
      <c r="G174" s="73"/>
      <c r="H174" s="139">
        <f>I174/F174</f>
        <v>190.90307821782179</v>
      </c>
      <c r="I174" s="74">
        <f>SUM(I171:I173)</f>
        <v>1928121.09</v>
      </c>
      <c r="J174" s="74" t="e">
        <f ca="1">SUM(J171:J173)</f>
        <v>#NAME?</v>
      </c>
      <c r="K174" s="74" t="e">
        <f ca="1">SUM(K171:K173)</f>
        <v>#NAME?</v>
      </c>
      <c r="L174" s="75"/>
      <c r="M174" s="78"/>
      <c r="N174" s="14"/>
    </row>
    <row r="175" spans="2:14" s="33" customFormat="1" x14ac:dyDescent="0.2">
      <c r="B175" s="71"/>
      <c r="C175" s="72"/>
      <c r="D175" s="73"/>
      <c r="E175" s="73"/>
      <c r="F175" s="74"/>
      <c r="G175" s="73"/>
      <c r="H175" s="139"/>
      <c r="I175" s="74"/>
      <c r="J175" s="74"/>
      <c r="K175" s="74"/>
      <c r="L175" s="75"/>
      <c r="M175" s="78"/>
      <c r="N175" s="14"/>
    </row>
    <row r="176" spans="2:14" s="33" customFormat="1" x14ac:dyDescent="0.2">
      <c r="B176" s="21" t="s">
        <v>354</v>
      </c>
      <c r="C176" s="20" t="s">
        <v>343</v>
      </c>
      <c r="D176" s="18" t="e">
        <f ca="1">_xll.BDP(C176,"SECURITY_NAME")</f>
        <v>#NAME?</v>
      </c>
      <c r="E176" s="18" t="s">
        <v>50</v>
      </c>
      <c r="F176" s="19">
        <v>900</v>
      </c>
      <c r="G176" s="18" t="e">
        <f ca="1">_xll.BDP(C176,"CRNCY")</f>
        <v>#NAME?</v>
      </c>
      <c r="H176" s="140">
        <v>712</v>
      </c>
      <c r="I176" s="15">
        <f>F176*H176</f>
        <v>640800</v>
      </c>
      <c r="J176" s="16" t="e">
        <f ca="1">I176/L176</f>
        <v>#NAME?</v>
      </c>
      <c r="K176" s="15" t="e">
        <f ca="1">J176*L176</f>
        <v>#NAME?</v>
      </c>
      <c r="L176" s="22" t="e">
        <f ca="1">_xll.BDH("RUB curncy","PX_LAST",$N176)</f>
        <v>#NAME?</v>
      </c>
      <c r="M176" s="85" t="e">
        <f ca="1">1/_xll.BDH("RUB curncy","PX_LAST",$N176)</f>
        <v>#NAME?</v>
      </c>
      <c r="N176" s="14">
        <v>42279</v>
      </c>
    </row>
    <row r="177" spans="2:14" s="33" customFormat="1" x14ac:dyDescent="0.2">
      <c r="B177" s="21" t="s">
        <v>354</v>
      </c>
      <c r="C177" s="20" t="s">
        <v>343</v>
      </c>
      <c r="D177" s="18" t="e">
        <f ca="1">_xll.BDP(C177,"SECURITY_NAME")</f>
        <v>#NAME?</v>
      </c>
      <c r="E177" s="18" t="s">
        <v>50</v>
      </c>
      <c r="F177" s="19">
        <v>900</v>
      </c>
      <c r="G177" s="18" t="e">
        <f ca="1">_xll.BDP(C177,"CRNCY")</f>
        <v>#NAME?</v>
      </c>
      <c r="H177" s="140">
        <v>849</v>
      </c>
      <c r="I177" s="15">
        <f>F177*H177</f>
        <v>764100</v>
      </c>
      <c r="J177" s="16" t="e">
        <f ca="1">I177/L177</f>
        <v>#NAME?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42185</v>
      </c>
    </row>
    <row r="178" spans="2:14" s="33" customFormat="1" x14ac:dyDescent="0.2">
      <c r="B178" s="71"/>
      <c r="C178" s="72"/>
      <c r="D178" s="73"/>
      <c r="E178" s="73"/>
      <c r="F178" s="74">
        <f>SUM(F176:F177)</f>
        <v>1800</v>
      </c>
      <c r="G178" s="73"/>
      <c r="H178" s="139">
        <f>I178/F178</f>
        <v>780.5</v>
      </c>
      <c r="I178" s="74">
        <f>SUM(I176:I177)</f>
        <v>1404900</v>
      </c>
      <c r="J178" s="74" t="e">
        <f ca="1">SUM(J176:J177)</f>
        <v>#NAME?</v>
      </c>
      <c r="K178" s="74" t="e">
        <f ca="1">SUM(K176:K177)</f>
        <v>#NAME?</v>
      </c>
      <c r="L178" s="75"/>
      <c r="M178" s="78"/>
      <c r="N178" s="14"/>
    </row>
    <row r="179" spans="2:14" s="33" customFormat="1" x14ac:dyDescent="0.2">
      <c r="B179" s="71"/>
      <c r="C179" s="72"/>
      <c r="D179" s="73"/>
      <c r="E179" s="73"/>
      <c r="F179" s="74"/>
      <c r="G179" s="73"/>
      <c r="H179" s="139"/>
      <c r="I179" s="74"/>
      <c r="J179" s="74"/>
      <c r="K179" s="74"/>
      <c r="L179" s="75"/>
      <c r="M179" s="86"/>
      <c r="N179" s="14"/>
    </row>
    <row r="180" spans="2:14" s="33" customFormat="1" x14ac:dyDescent="0.2">
      <c r="B180" s="21" t="s">
        <v>354</v>
      </c>
      <c r="C180" s="20" t="s">
        <v>4</v>
      </c>
      <c r="D180" s="18" t="e">
        <f ca="1">_xll.BDP(C180,"SECURITY_NAME")</f>
        <v>#NAME?</v>
      </c>
      <c r="E180" s="18" t="s">
        <v>50</v>
      </c>
      <c r="F180" s="19">
        <v>39670</v>
      </c>
      <c r="G180" s="18" t="e">
        <f ca="1">_xll.BDP(C180,"CRNCY")</f>
        <v>#NAME?</v>
      </c>
      <c r="H180" s="140">
        <v>1.74</v>
      </c>
      <c r="I180" s="15">
        <f>F180*H180</f>
        <v>69025.8</v>
      </c>
      <c r="J180" s="16">
        <f>I180</f>
        <v>69025.8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42433</v>
      </c>
    </row>
    <row r="181" spans="2:14" s="33" customFormat="1" x14ac:dyDescent="0.2">
      <c r="B181" s="21" t="s">
        <v>354</v>
      </c>
      <c r="C181" s="20" t="s">
        <v>4</v>
      </c>
      <c r="D181" s="18" t="e">
        <f ca="1">_xll.BDP(C181,"SECURITY_NAME")</f>
        <v>#NAME?</v>
      </c>
      <c r="E181" s="18" t="s">
        <v>50</v>
      </c>
      <c r="F181" s="19">
        <v>6750</v>
      </c>
      <c r="G181" s="18" t="e">
        <f ca="1">_xll.BDP(C181,"CRNCY")</f>
        <v>#NAME?</v>
      </c>
      <c r="H181" s="140">
        <v>1.6</v>
      </c>
      <c r="I181" s="15">
        <f>F181*H181</f>
        <v>10800</v>
      </c>
      <c r="J181" s="16">
        <f>I181</f>
        <v>10800</v>
      </c>
      <c r="K181" s="15" t="e">
        <f ca="1">J181*L181</f>
        <v>#NAME?</v>
      </c>
      <c r="L181" s="22" t="e">
        <f ca="1">_xll.BDH("RUB curncy","PX_LAST",$N181)</f>
        <v>#NAME?</v>
      </c>
      <c r="M181" s="85" t="e">
        <f ca="1">1/_xll.BDH("RUB curncy","PX_LAST",$N181)</f>
        <v>#NAME?</v>
      </c>
      <c r="N181" s="14">
        <v>42279</v>
      </c>
    </row>
    <row r="182" spans="2:14" s="33" customFormat="1" x14ac:dyDescent="0.2">
      <c r="B182" s="21" t="s">
        <v>354</v>
      </c>
      <c r="C182" s="20" t="s">
        <v>4</v>
      </c>
      <c r="D182" s="18" t="e">
        <f ca="1">_xll.BDP(C182,"SECURITY_NAME")</f>
        <v>#NAME?</v>
      </c>
      <c r="E182" s="18" t="s">
        <v>50</v>
      </c>
      <c r="F182" s="19">
        <v>6750</v>
      </c>
      <c r="G182" s="18" t="e">
        <f ca="1">_xll.BDP(C182,"CRNCY")</f>
        <v>#NAME?</v>
      </c>
      <c r="H182" s="140">
        <v>2</v>
      </c>
      <c r="I182" s="15">
        <f>F182*H182</f>
        <v>13500</v>
      </c>
      <c r="J182" s="16">
        <f>I182</f>
        <v>13500</v>
      </c>
      <c r="K182" s="15" t="e">
        <f ca="1">J182*L182</f>
        <v>#NAME?</v>
      </c>
      <c r="L182" s="22" t="e">
        <f ca="1">_xll.BDH("RUB curncy","PX_LAST",$N182)</f>
        <v>#NAME?</v>
      </c>
      <c r="M182" s="85" t="e">
        <f ca="1">1/_xll.BDH("RUB curncy","PX_LAST",$N182)</f>
        <v>#NAME?</v>
      </c>
      <c r="N182" s="14">
        <v>42185</v>
      </c>
    </row>
    <row r="183" spans="2:14" s="33" customFormat="1" x14ac:dyDescent="0.2">
      <c r="B183" s="71"/>
      <c r="C183" s="72"/>
      <c r="D183" s="73"/>
      <c r="E183" s="73"/>
      <c r="F183" s="74">
        <f>SUM(F180:F182)</f>
        <v>53170</v>
      </c>
      <c r="G183" s="73"/>
      <c r="H183" s="139">
        <f>I183/F183</f>
        <v>1.7552341545984578</v>
      </c>
      <c r="I183" s="74">
        <f>SUM(I180:I182)</f>
        <v>93325.8</v>
      </c>
      <c r="J183" s="74">
        <f>SUM(J181:J182)</f>
        <v>24300</v>
      </c>
      <c r="K183" s="74" t="e">
        <f ca="1">SUM(K180:K182)</f>
        <v>#NAME?</v>
      </c>
      <c r="L183" s="75"/>
      <c r="M183" s="86"/>
      <c r="N183" s="14"/>
    </row>
    <row r="184" spans="2:14" s="33" customFormat="1" x14ac:dyDescent="0.2">
      <c r="F184" s="48"/>
      <c r="H184" s="141"/>
      <c r="N184" s="48"/>
    </row>
    <row r="185" spans="2:14" s="33" customFormat="1" x14ac:dyDescent="0.2">
      <c r="B185" s="21" t="s">
        <v>354</v>
      </c>
      <c r="C185" s="20" t="s">
        <v>2</v>
      </c>
      <c r="D185" s="18" t="e">
        <f ca="1">_xll.BDP(C185,"SECURITY_NAME")</f>
        <v>#NAME?</v>
      </c>
      <c r="E185" s="18" t="s">
        <v>50</v>
      </c>
      <c r="F185" s="19">
        <v>4000</v>
      </c>
      <c r="G185" s="18" t="e">
        <f ca="1">_xll.BDP(C185,"CRNCY")</f>
        <v>#NAME?</v>
      </c>
      <c r="H185" s="140">
        <v>700</v>
      </c>
      <c r="I185" s="15">
        <f>F185*H185</f>
        <v>2800000</v>
      </c>
      <c r="J185" s="16" t="e">
        <f ca="1">I185/L185</f>
        <v>#NAME?</v>
      </c>
      <c r="K185" s="15" t="e">
        <f ca="1">J185*L185</f>
        <v>#NAME?</v>
      </c>
      <c r="L185" s="22" t="e">
        <f ca="1">_xll.BDH("RUB curncy","PX_LAST",$N185)</f>
        <v>#NAME?</v>
      </c>
      <c r="M185" s="85" t="e">
        <f ca="1">1/_xll.BDH("RUB curncy","PX_LAST",$N185)</f>
        <v>#NAME?</v>
      </c>
      <c r="N185" s="14">
        <v>42465</v>
      </c>
    </row>
    <row r="186" spans="2:14" s="33" customFormat="1" x14ac:dyDescent="0.2">
      <c r="B186" s="21" t="s">
        <v>354</v>
      </c>
      <c r="C186" s="20" t="s">
        <v>2</v>
      </c>
      <c r="D186" s="18" t="e">
        <f ca="1">_xll.BDP(C186,"SECURITY_NAME")</f>
        <v>#NAME?</v>
      </c>
      <c r="E186" s="18" t="s">
        <v>50</v>
      </c>
      <c r="F186" s="19">
        <v>2030</v>
      </c>
      <c r="G186" s="18" t="e">
        <f ca="1">_xll.BDP(C186,"CRNCY")</f>
        <v>#NAME?</v>
      </c>
      <c r="H186" s="140">
        <v>800</v>
      </c>
      <c r="I186" s="15">
        <f>F186*H186</f>
        <v>1624000</v>
      </c>
      <c r="J186" s="16" t="e">
        <f ca="1">I186/L186</f>
        <v>#NAME?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42304</v>
      </c>
    </row>
    <row r="187" spans="2:14" s="33" customFormat="1" x14ac:dyDescent="0.2">
      <c r="B187" s="21" t="s">
        <v>354</v>
      </c>
      <c r="C187" s="20" t="s">
        <v>2</v>
      </c>
      <c r="D187" s="18" t="e">
        <f ca="1">_xll.BDP(C187,"SECURITY_NAME")</f>
        <v>#NAME?</v>
      </c>
      <c r="E187" s="18" t="s">
        <v>50</v>
      </c>
      <c r="F187" s="19">
        <v>1000</v>
      </c>
      <c r="G187" s="18" t="e">
        <f ca="1">_xll.BDP(C187,"CRNCY")</f>
        <v>#NAME?</v>
      </c>
      <c r="H187" s="140">
        <v>763.85749999999996</v>
      </c>
      <c r="I187" s="15">
        <f>F187*H187</f>
        <v>763857.5</v>
      </c>
      <c r="J187" s="16" t="e">
        <f ca="1">I187/L187</f>
        <v>#NAME?</v>
      </c>
      <c r="K187" s="15" t="e">
        <f ca="1">J187*L187</f>
        <v>#NAME?</v>
      </c>
      <c r="L187" s="22" t="e">
        <f ca="1">_xll.BDH("RUB curncy","PX_LAST",$N187)</f>
        <v>#NAME?</v>
      </c>
      <c r="M187" s="85" t="e">
        <f ca="1">1/_xll.BDH("RUB curncy","PX_LAST",$N187)</f>
        <v>#NAME?</v>
      </c>
      <c r="N187" s="14">
        <v>42202</v>
      </c>
    </row>
    <row r="188" spans="2:14" s="33" customFormat="1" x14ac:dyDescent="0.2">
      <c r="B188" s="21" t="s">
        <v>354</v>
      </c>
      <c r="C188" s="20" t="s">
        <v>2</v>
      </c>
      <c r="D188" s="18" t="e">
        <f ca="1">_xll.BDP(C188,"SECURITY_NAME")</f>
        <v>#NAME?</v>
      </c>
      <c r="E188" s="18" t="s">
        <v>50</v>
      </c>
      <c r="F188" s="19">
        <v>970</v>
      </c>
      <c r="G188" s="18" t="e">
        <f ca="1">_xll.BDP(C188,"CRNCY")</f>
        <v>#NAME?</v>
      </c>
      <c r="H188" s="140">
        <v>776.87630000000001</v>
      </c>
      <c r="I188" s="15">
        <f>F188*H188</f>
        <v>753570.01100000006</v>
      </c>
      <c r="J188" s="16" t="e">
        <f ca="1">I188/L188</f>
        <v>#NAME?</v>
      </c>
      <c r="K188" s="15" t="e">
        <f ca="1">J188*L188</f>
        <v>#NAME?</v>
      </c>
      <c r="L188" s="22" t="e">
        <f ca="1">_xll.BDH("RUB curncy","PX_LAST",$N188)</f>
        <v>#NAME?</v>
      </c>
      <c r="M188" s="85" t="e">
        <f ca="1">1/_xll.BDH("RUB curncy","PX_LAST",$N188)</f>
        <v>#NAME?</v>
      </c>
      <c r="N188" s="14">
        <v>42185</v>
      </c>
    </row>
    <row r="189" spans="2:14" s="33" customFormat="1" x14ac:dyDescent="0.2">
      <c r="B189" s="71"/>
      <c r="C189" s="72"/>
      <c r="D189" s="73"/>
      <c r="E189" s="73"/>
      <c r="F189" s="74">
        <f>SUM(F185:F188)</f>
        <v>8000</v>
      </c>
      <c r="G189" s="73"/>
      <c r="H189" s="139">
        <f>I189/F189</f>
        <v>742.67843887499998</v>
      </c>
      <c r="I189" s="74">
        <f>SUM(I185:I188)</f>
        <v>5941427.5109999999</v>
      </c>
      <c r="J189" s="74" t="e">
        <f ca="1">SUM(J185:J188)</f>
        <v>#NAME?</v>
      </c>
      <c r="K189" s="74" t="e">
        <f ca="1">SUM(K185:K188)</f>
        <v>#NAME?</v>
      </c>
      <c r="L189" s="75"/>
      <c r="M189" s="78"/>
      <c r="N189" s="14"/>
    </row>
    <row r="190" spans="2:14" s="33" customFormat="1" x14ac:dyDescent="0.2">
      <c r="B190" s="71"/>
      <c r="C190" s="72"/>
      <c r="D190" s="73"/>
      <c r="E190" s="73"/>
      <c r="F190" s="74"/>
      <c r="G190" s="73"/>
      <c r="H190" s="139"/>
      <c r="I190" s="74"/>
      <c r="J190" s="74"/>
      <c r="K190" s="74"/>
      <c r="L190" s="75"/>
      <c r="M190" s="78"/>
      <c r="N190" s="14"/>
    </row>
    <row r="191" spans="2:14" s="33" customFormat="1" x14ac:dyDescent="0.2">
      <c r="B191" s="21" t="s">
        <v>354</v>
      </c>
      <c r="C191" s="20" t="s">
        <v>18</v>
      </c>
      <c r="D191" s="18" t="e">
        <f ca="1">_xll.BDP(C191,"SECURITY_NAME")</f>
        <v>#NAME?</v>
      </c>
      <c r="E191" s="18" t="s">
        <v>50</v>
      </c>
      <c r="F191" s="19">
        <v>3400</v>
      </c>
      <c r="G191" s="18" t="e">
        <f ca="1">_xll.BDP(C191,"CRNCY")</f>
        <v>#NAME?</v>
      </c>
      <c r="H191" s="140">
        <v>219.5</v>
      </c>
      <c r="I191" s="15">
        <f>F191*H191</f>
        <v>746300</v>
      </c>
      <c r="J191" s="16" t="e">
        <f ca="1">I191/L191</f>
        <v>#NAME?</v>
      </c>
      <c r="K191" s="15" t="e">
        <f ca="1">J191*L191</f>
        <v>#NAME?</v>
      </c>
      <c r="L191" s="22" t="e">
        <f ca="1">_xll.BDH("RUB curncy","PX_LAST",$N191)</f>
        <v>#NAME?</v>
      </c>
      <c r="M191" s="85" t="e">
        <f ca="1">1/_xll.BDH("RUB curncy","PX_LAST",$N191)</f>
        <v>#NAME?</v>
      </c>
      <c r="N191" s="14">
        <v>42200</v>
      </c>
    </row>
    <row r="192" spans="2:14" s="33" customFormat="1" x14ac:dyDescent="0.2">
      <c r="B192" s="21" t="s">
        <v>354</v>
      </c>
      <c r="C192" s="20" t="s">
        <v>18</v>
      </c>
      <c r="D192" s="18" t="e">
        <f ca="1">_xll.BDP(C192,"SECURITY_NAME")</f>
        <v>#NAME?</v>
      </c>
      <c r="E192" s="18" t="s">
        <v>50</v>
      </c>
      <c r="F192" s="19">
        <v>3100</v>
      </c>
      <c r="G192" s="18" t="e">
        <f ca="1">_xll.BDP(C192,"CRNCY")</f>
        <v>#NAME?</v>
      </c>
      <c r="H192" s="140">
        <v>243.6</v>
      </c>
      <c r="I192" s="15">
        <f>F192*H192</f>
        <v>755160</v>
      </c>
      <c r="J192" s="16" t="e">
        <f ca="1">I192/L192</f>
        <v>#NAME?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42185</v>
      </c>
    </row>
    <row r="193" spans="2:14" s="33" customFormat="1" x14ac:dyDescent="0.2">
      <c r="B193" s="71"/>
      <c r="C193" s="72"/>
      <c r="D193" s="73"/>
      <c r="E193" s="73"/>
      <c r="F193" s="74">
        <f>SUM(F191:F192)</f>
        <v>6500</v>
      </c>
      <c r="G193" s="73"/>
      <c r="H193" s="139">
        <f>I193/F193</f>
        <v>230.99384615384616</v>
      </c>
      <c r="I193" s="74">
        <f>SUM(I191:I192)</f>
        <v>1501460</v>
      </c>
      <c r="J193" s="74" t="e">
        <f ca="1">SUM(J191:J192)</f>
        <v>#NAME?</v>
      </c>
      <c r="K193" s="74" t="e">
        <f ca="1">SUM(K191:K192)</f>
        <v>#NAME?</v>
      </c>
      <c r="L193" s="75"/>
      <c r="M193" s="78"/>
      <c r="N193" s="14"/>
    </row>
    <row r="194" spans="2:14" s="33" customFormat="1" x14ac:dyDescent="0.2">
      <c r="B194" s="71"/>
      <c r="C194" s="72"/>
      <c r="D194" s="73"/>
      <c r="E194" s="73"/>
      <c r="F194" s="74"/>
      <c r="G194" s="73"/>
      <c r="H194" s="139"/>
      <c r="I194" s="74"/>
      <c r="J194" s="74"/>
      <c r="K194" s="74"/>
      <c r="L194" s="75"/>
      <c r="M194" s="78"/>
      <c r="N194" s="14"/>
    </row>
    <row r="195" spans="2:14" s="33" customFormat="1" x14ac:dyDescent="0.2">
      <c r="B195" s="21" t="s">
        <v>354</v>
      </c>
      <c r="C195" s="20" t="s">
        <v>324</v>
      </c>
      <c r="D195" s="18" t="e">
        <f ca="1">_xll.BDP(C195,"SECURITY_NAME")</f>
        <v>#NAME?</v>
      </c>
      <c r="E195" s="18" t="s">
        <v>50</v>
      </c>
      <c r="F195" s="19">
        <v>10900</v>
      </c>
      <c r="G195" s="18" t="e">
        <f ca="1">_xll.BDP(C195,"CRNCY")</f>
        <v>#NAME?</v>
      </c>
      <c r="H195" s="140">
        <v>69</v>
      </c>
      <c r="I195" s="15">
        <f>F195*H195</f>
        <v>752100</v>
      </c>
      <c r="J195" s="16" t="e">
        <f ca="1">I195/L195</f>
        <v>#NAME?</v>
      </c>
      <c r="K195" s="15" t="e">
        <f ca="1">J195*L195</f>
        <v>#NAME?</v>
      </c>
      <c r="L195" s="22" t="e">
        <f ca="1">_xll.BDH("RUB curncy","PX_LAST",$N195)</f>
        <v>#NAME?</v>
      </c>
      <c r="M195" s="85" t="e">
        <f ca="1">1/_xll.BDH("RUB curncy","PX_LAST",$N195)</f>
        <v>#NAME?</v>
      </c>
      <c r="N195" s="14">
        <v>42185</v>
      </c>
    </row>
    <row r="196" spans="2:14" s="33" customFormat="1" x14ac:dyDescent="0.2">
      <c r="B196" s="71"/>
      <c r="C196" s="72"/>
      <c r="D196" s="73"/>
      <c r="E196" s="73"/>
      <c r="F196" s="74">
        <f>SUM(F195:F195)</f>
        <v>10900</v>
      </c>
      <c r="G196" s="73"/>
      <c r="H196" s="139">
        <f>I196/F196</f>
        <v>69</v>
      </c>
      <c r="I196" s="74">
        <f>SUM(I195:I195)</f>
        <v>752100</v>
      </c>
      <c r="J196" s="74" t="e">
        <f ca="1">SUM(J195:J195)</f>
        <v>#NAME?</v>
      </c>
      <c r="K196" s="74" t="e">
        <f ca="1">SUM(K195:K195)</f>
        <v>#NAME?</v>
      </c>
      <c r="L196" s="75"/>
      <c r="M196" s="78"/>
      <c r="N196" s="14"/>
    </row>
    <row r="197" spans="2:14" s="33" customFormat="1" x14ac:dyDescent="0.2">
      <c r="B197" s="71"/>
      <c r="C197" s="72"/>
      <c r="D197" s="73"/>
      <c r="E197" s="73"/>
      <c r="F197" s="74"/>
      <c r="G197" s="73"/>
      <c r="H197" s="139"/>
      <c r="I197" s="74"/>
      <c r="J197" s="74"/>
      <c r="K197" s="74"/>
      <c r="L197" s="75"/>
      <c r="M197" s="78"/>
      <c r="N197" s="14"/>
    </row>
    <row r="198" spans="2:14" s="33" customFormat="1" x14ac:dyDescent="0.2">
      <c r="B198" s="21" t="s">
        <v>354</v>
      </c>
      <c r="C198" s="20" t="s">
        <v>123</v>
      </c>
      <c r="D198" s="18" t="e">
        <f ca="1">_xll.BDP(C198,"SECURITY_NAME")</f>
        <v>#NAME?</v>
      </c>
      <c r="E198" s="18" t="s">
        <v>50</v>
      </c>
      <c r="F198" s="19">
        <v>15000</v>
      </c>
      <c r="G198" s="18" t="e">
        <f ca="1">_xll.BDP(C198,"CRNCY")</f>
        <v>#NAME?</v>
      </c>
      <c r="H198" s="140">
        <v>37.981250000000003</v>
      </c>
      <c r="I198" s="15">
        <f>F198*H198</f>
        <v>569718.75</v>
      </c>
      <c r="J198" s="16" t="e">
        <f ca="1">I198/L198</f>
        <v>#NAME?</v>
      </c>
      <c r="K198" s="15" t="e">
        <f ca="1">J198*L198</f>
        <v>#NAME?</v>
      </c>
      <c r="L198" s="22" t="e">
        <f ca="1">_xll.BDH("RUB curncy","PX_LAST",$N198)</f>
        <v>#NAME?</v>
      </c>
      <c r="M198" s="85" t="e">
        <f ca="1">1/_xll.BDH("RUB curncy","PX_LAST",$N198)</f>
        <v>#NAME?</v>
      </c>
      <c r="N198" s="14">
        <v>42185</v>
      </c>
    </row>
    <row r="199" spans="2:14" s="33" customFormat="1" x14ac:dyDescent="0.2">
      <c r="B199" s="71"/>
      <c r="C199" s="72"/>
      <c r="D199" s="73"/>
      <c r="E199" s="73"/>
      <c r="F199" s="74">
        <f>SUM(F198:F198)</f>
        <v>15000</v>
      </c>
      <c r="G199" s="73"/>
      <c r="H199" s="139">
        <f>I199/F199</f>
        <v>37.981250000000003</v>
      </c>
      <c r="I199" s="74">
        <f>SUM(I198:I198)</f>
        <v>569718.75</v>
      </c>
      <c r="J199" s="74" t="e">
        <f ca="1">SUM(J198:J198)</f>
        <v>#NAME?</v>
      </c>
      <c r="K199" s="74" t="e">
        <f ca="1">SUM(K198:K198)</f>
        <v>#NAME?</v>
      </c>
      <c r="L199" s="75"/>
      <c r="M199" s="78"/>
      <c r="N199" s="14"/>
    </row>
    <row r="201" spans="2:14" s="33" customFormat="1" x14ac:dyDescent="0.2">
      <c r="B201" s="21" t="s">
        <v>354</v>
      </c>
      <c r="C201" s="20" t="s">
        <v>46</v>
      </c>
      <c r="D201" s="18" t="e">
        <f ca="1">_xll.BDP(C201,"SECURITY_NAME")</f>
        <v>#NAME?</v>
      </c>
      <c r="E201" s="18" t="s">
        <v>50</v>
      </c>
      <c r="F201" s="19">
        <v>1700</v>
      </c>
      <c r="G201" s="18" t="e">
        <f ca="1">_xll.BDP(C201,"CRNCY")</f>
        <v>#NAME?</v>
      </c>
      <c r="H201" s="140">
        <v>1400</v>
      </c>
      <c r="I201" s="15">
        <f>F201*H201</f>
        <v>2380000</v>
      </c>
      <c r="J201" s="16" t="e">
        <f ca="1">I201/L201</f>
        <v>#NAME?</v>
      </c>
      <c r="K201" s="15" t="e">
        <f ca="1">J201*L201</f>
        <v>#NAME?</v>
      </c>
      <c r="L201" s="22" t="e">
        <f ca="1">_xll.BDH("RUB curncy","PX_LAST",$N201)</f>
        <v>#NAME?</v>
      </c>
      <c r="M201" s="85" t="e">
        <f ca="1">1/_xll.BDH("RUB curncy","PX_LAST",$N201)</f>
        <v>#NAME?</v>
      </c>
      <c r="N201" s="14">
        <v>42657</v>
      </c>
    </row>
    <row r="202" spans="2:14" s="33" customFormat="1" x14ac:dyDescent="0.2">
      <c r="B202" s="21" t="s">
        <v>354</v>
      </c>
      <c r="C202" s="20" t="s">
        <v>46</v>
      </c>
      <c r="D202" s="18" t="e">
        <f ca="1">_xll.BDP(C202,"SECURITY_NAME")</f>
        <v>#NAME?</v>
      </c>
      <c r="E202" s="18" t="s">
        <v>50</v>
      </c>
      <c r="F202" s="19">
        <v>540</v>
      </c>
      <c r="G202" s="18" t="e">
        <f ca="1">_xll.BDP(C202,"CRNCY")</f>
        <v>#NAME?</v>
      </c>
      <c r="H202" s="140">
        <v>1424.5</v>
      </c>
      <c r="I202" s="15">
        <f>F202*H202</f>
        <v>769230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42185</v>
      </c>
    </row>
    <row r="203" spans="2:14" s="33" customFormat="1" x14ac:dyDescent="0.2">
      <c r="B203" s="71"/>
      <c r="C203" s="72"/>
      <c r="D203" s="73"/>
      <c r="E203" s="73"/>
      <c r="F203" s="74">
        <f>SUM(F201:F202)</f>
        <v>2240</v>
      </c>
      <c r="G203" s="73"/>
      <c r="H203" s="139">
        <f>I203/F203</f>
        <v>1405.90625</v>
      </c>
      <c r="I203" s="74">
        <f>SUM(I201:I202)</f>
        <v>3149230</v>
      </c>
      <c r="J203" s="74" t="e">
        <f ca="1">SUM(J201:J202)</f>
        <v>#NAME?</v>
      </c>
      <c r="K203" s="74" t="e">
        <f ca="1">SUM(K201:K202)</f>
        <v>#NAME?</v>
      </c>
      <c r="L203" s="75"/>
      <c r="M203" s="78"/>
      <c r="N203" s="14"/>
    </row>
    <row r="205" spans="2:14" s="33" customFormat="1" x14ac:dyDescent="0.2">
      <c r="B205" s="21" t="s">
        <v>354</v>
      </c>
      <c r="C205" s="20" t="s">
        <v>5</v>
      </c>
      <c r="D205" s="18" t="e">
        <f ca="1">_xll.BDP(C205,"SECURITY_NAME")</f>
        <v>#NAME?</v>
      </c>
      <c r="E205" s="18" t="s">
        <v>50</v>
      </c>
      <c r="F205" s="19">
        <v>70000</v>
      </c>
      <c r="G205" s="18" t="e">
        <f ca="1">_xll.BDP(C205,"CRNCY")</f>
        <v>#NAME?</v>
      </c>
      <c r="H205" s="140">
        <v>41.5</v>
      </c>
      <c r="I205" s="15">
        <f>F205*H205</f>
        <v>2905000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41970</v>
      </c>
    </row>
    <row r="206" spans="2:14" s="33" customFormat="1" x14ac:dyDescent="0.2">
      <c r="B206" s="71"/>
      <c r="C206" s="72"/>
      <c r="D206" s="73"/>
      <c r="E206" s="73">
        <v>0.5</v>
      </c>
      <c r="F206" s="74">
        <f>SUM(F205:F205)</f>
        <v>70000</v>
      </c>
      <c r="G206" s="73"/>
      <c r="H206" s="139">
        <f>I206/F206</f>
        <v>41.5</v>
      </c>
      <c r="I206" s="74">
        <f>SUM(I205:I205)</f>
        <v>2905000</v>
      </c>
      <c r="J206" s="74" t="e">
        <f ca="1">SUM(J205:J205)*E206</f>
        <v>#NAME?</v>
      </c>
      <c r="K206" s="74" t="e">
        <f ca="1">SUM(K205:K205)</f>
        <v>#NAME?</v>
      </c>
      <c r="L206" s="75"/>
      <c r="M206" s="78"/>
      <c r="N206" s="14"/>
    </row>
    <row r="208" spans="2:14" s="33" customFormat="1" x14ac:dyDescent="0.2">
      <c r="B208" s="21" t="s">
        <v>354</v>
      </c>
      <c r="C208" s="20" t="s">
        <v>68</v>
      </c>
      <c r="D208" s="18" t="e">
        <f ca="1">_xll.BDP(C208,"SECURITY_NAME")</f>
        <v>#NAME?</v>
      </c>
      <c r="E208" s="18" t="s">
        <v>50</v>
      </c>
      <c r="F208" s="19">
        <v>49000</v>
      </c>
      <c r="G208" s="18" t="e">
        <f ca="1">_xll.BDP(C208,"CRNCY")</f>
        <v>#NAME?</v>
      </c>
      <c r="H208" s="140">
        <v>51.2712</v>
      </c>
      <c r="I208" s="15">
        <f>F208*H208</f>
        <v>2512288.7999999998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42074</v>
      </c>
    </row>
    <row r="209" spans="2:14" s="33" customFormat="1" x14ac:dyDescent="0.2">
      <c r="B209" s="71"/>
      <c r="C209" s="72"/>
      <c r="D209" s="73"/>
      <c r="E209" s="73">
        <v>0.5</v>
      </c>
      <c r="F209" s="74">
        <f>SUM(F208:F208)</f>
        <v>49000</v>
      </c>
      <c r="G209" s="73"/>
      <c r="H209" s="139">
        <f>I209/F209</f>
        <v>51.271199999999993</v>
      </c>
      <c r="I209" s="74">
        <f>SUM(I208:I208)</f>
        <v>2512288.7999999998</v>
      </c>
      <c r="J209" s="74" t="e">
        <f ca="1">SUM(J208:J208)*E209</f>
        <v>#NAME?</v>
      </c>
      <c r="K209" s="74" t="e">
        <f ca="1">SUM(K208:K208)</f>
        <v>#NAME?</v>
      </c>
      <c r="L209" s="75"/>
      <c r="M209" s="78"/>
      <c r="N209" s="14"/>
    </row>
    <row r="211" spans="2:14" x14ac:dyDescent="0.2">
      <c r="B211" s="21" t="s">
        <v>354</v>
      </c>
      <c r="C211" s="253" t="s">
        <v>453</v>
      </c>
      <c r="D211" s="251" t="e">
        <f ca="1">_xll.BDP(C211,"SECURITY_NAME")</f>
        <v>#NAME?</v>
      </c>
      <c r="E211" s="251" t="s">
        <v>50</v>
      </c>
      <c r="F211" s="252">
        <v>200000</v>
      </c>
      <c r="G211" s="251" t="e">
        <f ca="1">_xll.BDP(C211,"CRNCY")</f>
        <v>#NAME?</v>
      </c>
      <c r="H211" s="250">
        <v>92.9</v>
      </c>
      <c r="I211" s="248">
        <f>F211*H211/100</f>
        <v>185800</v>
      </c>
      <c r="J211" s="249">
        <f>I211</f>
        <v>185800</v>
      </c>
      <c r="K211" s="248">
        <f>J211*L211</f>
        <v>14157960</v>
      </c>
      <c r="L211" s="247">
        <v>76.2</v>
      </c>
      <c r="M211" s="246" t="e">
        <f ca="1">1/_xll.BDH("RUB curncy","PX_LAST",$N211)</f>
        <v>#NAME?</v>
      </c>
      <c r="N211" s="239">
        <v>42425</v>
      </c>
    </row>
    <row r="212" spans="2:14" x14ac:dyDescent="0.2">
      <c r="B212" s="217"/>
      <c r="C212" s="32"/>
      <c r="D212" s="215"/>
      <c r="E212" s="215"/>
      <c r="F212" s="213">
        <f>SUM(F211)</f>
        <v>200000</v>
      </c>
      <c r="G212" s="215"/>
      <c r="H212" s="214">
        <f>I212/F212*100</f>
        <v>92.9</v>
      </c>
      <c r="I212" s="213">
        <f>SUM(I211)</f>
        <v>185800</v>
      </c>
      <c r="J212" s="213">
        <f>SUM(J211)</f>
        <v>185800</v>
      </c>
      <c r="K212" s="213">
        <f>SUM(K211)</f>
        <v>14157960</v>
      </c>
      <c r="L212" s="212"/>
      <c r="M212" s="211"/>
      <c r="N212" s="210"/>
    </row>
    <row r="214" spans="2:14" x14ac:dyDescent="0.2">
      <c r="B214" s="21" t="s">
        <v>354</v>
      </c>
      <c r="C214" s="20" t="s">
        <v>15</v>
      </c>
      <c r="D214" s="18" t="e">
        <f ca="1">_xll.BDP(C214,"SECURITY_NAME")</f>
        <v>#NAME?</v>
      </c>
      <c r="E214" s="18" t="s">
        <v>50</v>
      </c>
      <c r="F214" s="19">
        <v>1510</v>
      </c>
      <c r="G214" s="18" t="e">
        <f ca="1">_xll.BDP(C214,"CRNCY")</f>
        <v>#NAME?</v>
      </c>
      <c r="H214" s="140">
        <v>50.979337999999998</v>
      </c>
      <c r="I214" s="15">
        <f>F214*H214</f>
        <v>76978.800380000001</v>
      </c>
      <c r="J214" s="16">
        <f>I214</f>
        <v>76978.800380000001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42612</v>
      </c>
    </row>
    <row r="215" spans="2:14" x14ac:dyDescent="0.2">
      <c r="B215" s="71"/>
      <c r="C215" s="72"/>
      <c r="D215" s="73"/>
      <c r="E215" s="73"/>
      <c r="F215" s="74">
        <f>SUM(F214:F214)</f>
        <v>1510</v>
      </c>
      <c r="G215" s="73"/>
      <c r="H215" s="139">
        <f>I215/F215</f>
        <v>50.979337999999998</v>
      </c>
      <c r="I215" s="74">
        <f>SUM(I214:I214)</f>
        <v>76978.800380000001</v>
      </c>
      <c r="J215" s="74">
        <f>SUM(J214:J214)</f>
        <v>76978.800380000001</v>
      </c>
      <c r="K215" s="74" t="e">
        <f ca="1">SUM(K214:K214)</f>
        <v>#NAME?</v>
      </c>
      <c r="L215" s="75"/>
      <c r="M215" s="86"/>
      <c r="N215" s="14"/>
    </row>
  </sheetData>
  <sortState ref="A4:Y27">
    <sortCondition descending="1" ref="I4:I27"/>
  </sortState>
  <mergeCells count="1">
    <mergeCell ref="T34:U35"/>
  </mergeCells>
  <conditionalFormatting sqref="E179 E118 E170">
    <cfRule type="containsText" dxfId="6638" priority="1240" operator="containsText" text="Buy">
      <formula>NOT(ISERROR(SEARCH("Buy",E118)))</formula>
    </cfRule>
    <cfRule type="containsText" dxfId="6637" priority="1241" operator="containsText" text="Sell">
      <formula>NOT(ISERROR(SEARCH("Sell",E118)))</formula>
    </cfRule>
  </conditionalFormatting>
  <conditionalFormatting sqref="E125:E126">
    <cfRule type="containsText" dxfId="6636" priority="1238" operator="containsText" text="Buy">
      <formula>NOT(ISERROR(SEARCH("Buy",E125)))</formula>
    </cfRule>
    <cfRule type="containsText" dxfId="6635" priority="1239" operator="containsText" text="Sell">
      <formula>NOT(ISERROR(SEARCH("Sell",E125)))</formula>
    </cfRule>
  </conditionalFormatting>
  <conditionalFormatting sqref="E124">
    <cfRule type="containsText" dxfId="6634" priority="1236" operator="containsText" text="Buy">
      <formula>NOT(ISERROR(SEARCH("Buy",E124)))</formula>
    </cfRule>
    <cfRule type="containsText" dxfId="6633" priority="1237" operator="containsText" text="Sell">
      <formula>NOT(ISERROR(SEARCH("Sell",E124)))</formula>
    </cfRule>
  </conditionalFormatting>
  <conditionalFormatting sqref="H39">
    <cfRule type="dataBar" priority="1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{A31E5436-F906-4D59-B134-E1A7A6AD5E6E}</x14:id>
        </ext>
      </extLst>
    </cfRule>
    <cfRule type="cellIs" dxfId="6632" priority="1235" operator="equal">
      <formula>1</formula>
    </cfRule>
  </conditionalFormatting>
  <conditionalFormatting sqref="D39">
    <cfRule type="containsText" dxfId="6631" priority="1233" operator="containsText" text="Buy">
      <formula>NOT(ISERROR(SEARCH("Buy",D39)))</formula>
    </cfRule>
    <cfRule type="containsText" dxfId="6630" priority="1234" operator="containsText" text="Sell">
      <formula>NOT(ISERROR(SEARCH("Sell",D39)))</formula>
    </cfRule>
  </conditionalFormatting>
  <conditionalFormatting sqref="L7:M7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{936EAD3B-791C-45FB-B628-14B8DE3DC560}</x14:id>
        </ext>
      </extLst>
    </cfRule>
  </conditionalFormatting>
  <conditionalFormatting sqref="L7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{89FA92F5-CA3C-4E45-B042-CE7E33FC0DCB}</x14:id>
        </ext>
      </extLst>
    </cfRule>
  </conditionalFormatting>
  <conditionalFormatting sqref="M7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{5394BE9B-D0C3-4BC0-AF95-A0C7B158B25A}</x14:id>
        </ext>
      </extLst>
    </cfRule>
  </conditionalFormatting>
  <conditionalFormatting sqref="V7">
    <cfRule type="dataBar" priority="1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{D1A9707E-0E50-4179-9ACF-B856EB1610FE}</x14:id>
        </ext>
      </extLst>
    </cfRule>
  </conditionalFormatting>
  <conditionalFormatting sqref="W7">
    <cfRule type="dataBar" priority="1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{92053A05-44F5-4D8E-8D4A-67EAB4E9E0A8}</x14:id>
        </ext>
      </extLst>
    </cfRule>
  </conditionalFormatting>
  <conditionalFormatting sqref="E165:E166">
    <cfRule type="containsText" dxfId="6629" priority="1146" operator="containsText" text="Buy">
      <formula>NOT(ISERROR(SEARCH("Buy",E165)))</formula>
    </cfRule>
    <cfRule type="containsText" dxfId="6628" priority="1147" operator="containsText" text="Sell">
      <formula>NOT(ISERROR(SEARCH("Sell",E165)))</formula>
    </cfRule>
  </conditionalFormatting>
  <conditionalFormatting sqref="E168">
    <cfRule type="containsText" dxfId="6627" priority="1140" operator="containsText" text="Buy">
      <formula>NOT(ISERROR(SEARCH("Buy",E168)))</formula>
    </cfRule>
    <cfRule type="containsText" dxfId="6626" priority="1141" operator="containsText" text="Sell">
      <formula>NOT(ISERROR(SEARCH("Sell",E168)))</formula>
    </cfRule>
  </conditionalFormatting>
  <conditionalFormatting sqref="L8:M8">
    <cfRule type="dataBar" priority="1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{E865FC50-8196-47DB-99B2-616D1248F237}</x14:id>
        </ext>
      </extLst>
    </cfRule>
  </conditionalFormatting>
  <conditionalFormatting sqref="L8:M8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{CE0152E0-A145-419C-B13D-C74A43645859}</x14:id>
        </ext>
      </extLst>
    </cfRule>
  </conditionalFormatting>
  <conditionalFormatting sqref="L8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{6DE1C773-D20E-41AD-916B-04C9403BF65F}</x14:id>
        </ext>
      </extLst>
    </cfRule>
  </conditionalFormatting>
  <conditionalFormatting sqref="M8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{6AB1D75F-2362-4FB7-AC20-3B60198AB71C}</x14:id>
        </ext>
      </extLst>
    </cfRule>
  </conditionalFormatting>
  <conditionalFormatting sqref="V8">
    <cfRule type="dataBar" priority="1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{D8CEE581-80BE-4DBB-A8F3-505DCA26A501}</x14:id>
        </ext>
      </extLst>
    </cfRule>
  </conditionalFormatting>
  <conditionalFormatting sqref="W8">
    <cfRule type="dataBar" priority="1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{C23E23F4-1A17-4C46-B508-D7749804F8C5}</x14:id>
        </ext>
      </extLst>
    </cfRule>
  </conditionalFormatting>
  <conditionalFormatting sqref="L6:M6">
    <cfRule type="dataBar" priority="1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{E5E73F74-9A0D-449B-991C-8E96A7D9684E}</x14:id>
        </ext>
      </extLst>
    </cfRule>
  </conditionalFormatting>
  <conditionalFormatting sqref="Y6:Y27">
    <cfRule type="dataBar" priority="1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{EC6F909E-0E02-478D-92D1-F00EDBAAA7B5}</x14:id>
        </ext>
      </extLst>
    </cfRule>
  </conditionalFormatting>
  <conditionalFormatting sqref="L6:M6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{5BD7A8EA-C215-481F-A910-928D509B302C}</x14:id>
        </ext>
      </extLst>
    </cfRule>
  </conditionalFormatting>
  <conditionalFormatting sqref="L6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{9B377EBB-0652-4631-8224-F8774FAA845A}</x14:id>
        </ext>
      </extLst>
    </cfRule>
  </conditionalFormatting>
  <conditionalFormatting sqref="M6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{E164D099-D72F-44E7-84B1-1E3AAB13A3D8}</x14:id>
        </ext>
      </extLst>
    </cfRule>
  </conditionalFormatting>
  <conditionalFormatting sqref="V6">
    <cfRule type="dataBar" priority="1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{950347AC-486D-4481-9E5E-8145D0229860}</x14:id>
        </ext>
      </extLst>
    </cfRule>
  </conditionalFormatting>
  <conditionalFormatting sqref="W6">
    <cfRule type="dataBar" priority="1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{97B7AAAB-3AC0-4375-9B55-EBFE7C6B4DA9}</x14:id>
        </ext>
      </extLst>
    </cfRule>
  </conditionalFormatting>
  <conditionalFormatting sqref="X6:X27">
    <cfRule type="dataBar" priority="1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{7788A5AE-770D-4650-BCF1-48496206D516}</x14:id>
        </ext>
      </extLst>
    </cfRule>
  </conditionalFormatting>
  <conditionalFormatting sqref="E116">
    <cfRule type="containsText" dxfId="6625" priority="1174" operator="containsText" text="Buy">
      <formula>NOT(ISERROR(SEARCH("Buy",E116)))</formula>
    </cfRule>
    <cfRule type="containsText" dxfId="6624" priority="1175" operator="containsText" text="Sell">
      <formula>NOT(ISERROR(SEARCH("Sell",E116)))</formula>
    </cfRule>
  </conditionalFormatting>
  <conditionalFormatting sqref="E188">
    <cfRule type="containsText" dxfId="6623" priority="1070" operator="containsText" text="Buy">
      <formula>NOT(ISERROR(SEARCH("Buy",E188)))</formula>
    </cfRule>
    <cfRule type="containsText" dxfId="6622" priority="1071" operator="containsText" text="Sell">
      <formula>NOT(ISERROR(SEARCH("Sell",E188)))</formula>
    </cfRule>
  </conditionalFormatting>
  <conditionalFormatting sqref="E117">
    <cfRule type="containsText" dxfId="6621" priority="1176" operator="containsText" text="Buy">
      <formula>NOT(ISERROR(SEARCH("Buy",E117)))</formula>
    </cfRule>
    <cfRule type="containsText" dxfId="6620" priority="1177" operator="containsText" text="Sell">
      <formula>NOT(ISERROR(SEARCH("Sell",E117)))</formula>
    </cfRule>
  </conditionalFormatting>
  <conditionalFormatting sqref="E182:E183">
    <cfRule type="containsText" dxfId="6619" priority="1011" operator="containsText" text="Buy">
      <formula>NOT(ISERROR(SEARCH("Buy",E182)))</formula>
    </cfRule>
    <cfRule type="containsText" dxfId="6618" priority="1012" operator="containsText" text="Sell">
      <formula>NOT(ISERROR(SEARCH("Sell",E182)))</formula>
    </cfRule>
  </conditionalFormatting>
  <conditionalFormatting sqref="L10:M10">
    <cfRule type="dataBar" priority="1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{F25F55A8-0783-448C-A028-0B0F52655F0C}</x14:id>
        </ext>
      </extLst>
    </cfRule>
  </conditionalFormatting>
  <conditionalFormatting sqref="L10:M10">
    <cfRule type="dataBar" priority="1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{1977D312-AD44-41EA-96A2-51612C64F379}</x14:id>
        </ext>
      </extLst>
    </cfRule>
  </conditionalFormatting>
  <conditionalFormatting sqref="L10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{707A721C-1225-498A-9A97-BF3A3D8C8ECD}</x14:id>
        </ext>
      </extLst>
    </cfRule>
  </conditionalFormatting>
  <conditionalFormatting sqref="M10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{DBD51495-788C-48FC-99B8-E14AB6BE2AA9}</x14:id>
        </ext>
      </extLst>
    </cfRule>
  </conditionalFormatting>
  <conditionalFormatting sqref="V10">
    <cfRule type="dataBar" priority="1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{8760634B-D282-4F1A-A256-D85918C7056B}</x14:id>
        </ext>
      </extLst>
    </cfRule>
  </conditionalFormatting>
  <conditionalFormatting sqref="W10">
    <cfRule type="dataBar" priority="1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{285785B8-5EBA-4265-96ED-707BE983A04B}</x14:id>
        </ext>
      </extLst>
    </cfRule>
  </conditionalFormatting>
  <conditionalFormatting sqref="E155:E156">
    <cfRule type="containsText" dxfId="6617" priority="1154" operator="containsText" text="Buy">
      <formula>NOT(ISERROR(SEARCH("Buy",E155)))</formula>
    </cfRule>
    <cfRule type="containsText" dxfId="6616" priority="1155" operator="containsText" text="Sell">
      <formula>NOT(ISERROR(SEARCH("Sell",E155)))</formula>
    </cfRule>
  </conditionalFormatting>
  <conditionalFormatting sqref="E154">
    <cfRule type="containsText" dxfId="6615" priority="1152" operator="containsText" text="Buy">
      <formula>NOT(ISERROR(SEARCH("Buy",E154)))</formula>
    </cfRule>
    <cfRule type="containsText" dxfId="6614" priority="1153" operator="containsText" text="Sell">
      <formula>NOT(ISERROR(SEARCH("Sell",E154)))</formula>
    </cfRule>
  </conditionalFormatting>
  <conditionalFormatting sqref="E134:E135 E144 E140">
    <cfRule type="containsText" dxfId="6613" priority="1150" operator="containsText" text="Buy">
      <formula>NOT(ISERROR(SEARCH("Buy",E134)))</formula>
    </cfRule>
    <cfRule type="containsText" dxfId="6612" priority="1151" operator="containsText" text="Sell">
      <formula>NOT(ISERROR(SEARCH("Sell",E134)))</formula>
    </cfRule>
  </conditionalFormatting>
  <conditionalFormatting sqref="E133">
    <cfRule type="containsText" dxfId="6611" priority="1148" operator="containsText" text="Buy">
      <formula>NOT(ISERROR(SEARCH("Buy",E133)))</formula>
    </cfRule>
    <cfRule type="containsText" dxfId="6610" priority="1149" operator="containsText" text="Sell">
      <formula>NOT(ISERROR(SEARCH("Sell",E133)))</formula>
    </cfRule>
  </conditionalFormatting>
  <conditionalFormatting sqref="E164">
    <cfRule type="containsText" dxfId="6609" priority="1144" operator="containsText" text="Buy">
      <formula>NOT(ISERROR(SEARCH("Buy",E164)))</formula>
    </cfRule>
    <cfRule type="containsText" dxfId="6608" priority="1145" operator="containsText" text="Sell">
      <formula>NOT(ISERROR(SEARCH("Sell",E164)))</formula>
    </cfRule>
  </conditionalFormatting>
  <conditionalFormatting sqref="E169">
    <cfRule type="containsText" dxfId="6607" priority="1142" operator="containsText" text="Buy">
      <formula>NOT(ISERROR(SEARCH("Buy",E169)))</formula>
    </cfRule>
    <cfRule type="containsText" dxfId="6606" priority="1143" operator="containsText" text="Sell">
      <formula>NOT(ISERROR(SEARCH("Sell",E169)))</formula>
    </cfRule>
  </conditionalFormatting>
  <conditionalFormatting sqref="E151">
    <cfRule type="containsText" dxfId="6605" priority="973" operator="containsText" text="Buy">
      <formula>NOT(ISERROR(SEARCH("Buy",E151)))</formula>
    </cfRule>
    <cfRule type="containsText" dxfId="6604" priority="974" operator="containsText" text="Sell">
      <formula>NOT(ISERROR(SEARCH("Sell",E151)))</formula>
    </cfRule>
  </conditionalFormatting>
  <conditionalFormatting sqref="L13:M13">
    <cfRule type="dataBar" priority="1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{9DC2C1F3-4B64-42D6-8A83-1B845DA355BE}</x14:id>
        </ext>
      </extLst>
    </cfRule>
  </conditionalFormatting>
  <conditionalFormatting sqref="L13:M13">
    <cfRule type="dataBar" priority="1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{ABED59C1-6D24-4A6F-9F1A-7D1AE83D3D15}</x14:id>
        </ext>
      </extLst>
    </cfRule>
  </conditionalFormatting>
  <conditionalFormatting sqref="L13">
    <cfRule type="dataBar" priority="1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{2A0D034C-EE5D-4EA9-AA38-A31FFD3DF077}</x14:id>
        </ext>
      </extLst>
    </cfRule>
  </conditionalFormatting>
  <conditionalFormatting sqref="M13">
    <cfRule type="dataBar" priority="1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{BE7F4A31-8492-4467-95A6-0C7B976CB6AB}</x14:id>
        </ext>
      </extLst>
    </cfRule>
  </conditionalFormatting>
  <conditionalFormatting sqref="V13"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{7A5B1988-71FE-43F4-99F2-01EBC9983440}</x14:id>
        </ext>
      </extLst>
    </cfRule>
  </conditionalFormatting>
  <conditionalFormatting sqref="W13">
    <cfRule type="dataBar" priority="1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{6DB9D459-7613-4216-B511-78160D01DE32}</x14:id>
        </ext>
      </extLst>
    </cfRule>
  </conditionalFormatting>
  <conditionalFormatting sqref="L18:M18">
    <cfRule type="dataBar" priority="1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{B0A9FAA9-3E99-4697-AD48-D323AB10E113}</x14:id>
        </ext>
      </extLst>
    </cfRule>
  </conditionalFormatting>
  <conditionalFormatting sqref="L18:M1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{4CAF76FE-8166-48F9-B6CE-3AF93ECF82D9}</x14:id>
        </ext>
      </extLst>
    </cfRule>
  </conditionalFormatting>
  <conditionalFormatting sqref="L1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{454F5110-600D-4B86-BB1A-9F9B489A4431}</x14:id>
        </ext>
      </extLst>
    </cfRule>
  </conditionalFormatting>
  <conditionalFormatting sqref="M1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{C0729CE4-D37B-435A-85E5-C96825BA79A4}</x14:id>
        </ext>
      </extLst>
    </cfRule>
  </conditionalFormatting>
  <conditionalFormatting sqref="V18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{69C0BB67-B07A-4E94-983C-A87F446F3F59}</x14:id>
        </ext>
      </extLst>
    </cfRule>
  </conditionalFormatting>
  <conditionalFormatting sqref="W18">
    <cfRule type="dataBar" priority="1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{A0512E69-31D2-41F9-B0B0-4E142EDE6BEB}</x14:id>
        </ext>
      </extLst>
    </cfRule>
  </conditionalFormatting>
  <conditionalFormatting sqref="L19:M19">
    <cfRule type="dataBar" priority="10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{FA6E8A98-9199-424A-8B0D-34748940405C}</x14:id>
        </ext>
      </extLst>
    </cfRule>
  </conditionalFormatting>
  <conditionalFormatting sqref="L19:M1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{C86BC8AD-403D-494F-8941-E9348CE879AE}</x14:id>
        </ext>
      </extLst>
    </cfRule>
  </conditionalFormatting>
  <conditionalFormatting sqref="L1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{B62F8CFB-BCB8-4EC3-9BA8-69B7962EABF9}</x14:id>
        </ext>
      </extLst>
    </cfRule>
  </conditionalFormatting>
  <conditionalFormatting sqref="M1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{C2DE9D1A-51FE-4695-9CAE-EA5D6300BF5D}</x14:id>
        </ext>
      </extLst>
    </cfRule>
  </conditionalFormatting>
  <conditionalFormatting sqref="V19">
    <cfRule type="dataBar" priority="10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{4DE4CD10-D8A5-4CE2-8162-BB35C9739220}</x14:id>
        </ext>
      </extLst>
    </cfRule>
  </conditionalFormatting>
  <conditionalFormatting sqref="W19">
    <cfRule type="dataBar" priority="10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{C4195101-A04B-4E47-87A1-656311E0D614}</x14:id>
        </ext>
      </extLst>
    </cfRule>
  </conditionalFormatting>
  <conditionalFormatting sqref="E192">
    <cfRule type="containsText" dxfId="6603" priority="1082" operator="containsText" text="Buy">
      <formula>NOT(ISERROR(SEARCH("Buy",E192)))</formula>
    </cfRule>
    <cfRule type="containsText" dxfId="6602" priority="1083" operator="containsText" text="Sell">
      <formula>NOT(ISERROR(SEARCH("Sell",E192)))</formula>
    </cfRule>
  </conditionalFormatting>
  <conditionalFormatting sqref="E193:E194">
    <cfRule type="containsText" dxfId="6601" priority="1084" operator="containsText" text="Buy">
      <formula>NOT(ISERROR(SEARCH("Buy",E193)))</formula>
    </cfRule>
    <cfRule type="containsText" dxfId="6600" priority="1085" operator="containsText" text="Sell">
      <formula>NOT(ISERROR(SEARCH("Sell",E193)))</formula>
    </cfRule>
  </conditionalFormatting>
  <conditionalFormatting sqref="E129">
    <cfRule type="containsText" dxfId="6599" priority="1078" operator="containsText" text="Buy">
      <formula>NOT(ISERROR(SEARCH("Buy",E129)))</formula>
    </cfRule>
    <cfRule type="containsText" dxfId="6598" priority="1079" operator="containsText" text="Sell">
      <formula>NOT(ISERROR(SEARCH("Sell",E129)))</formula>
    </cfRule>
  </conditionalFormatting>
  <conditionalFormatting sqref="E130:E131">
    <cfRule type="containsText" dxfId="6597" priority="1080" operator="containsText" text="Buy">
      <formula>NOT(ISERROR(SEARCH("Buy",E130)))</formula>
    </cfRule>
    <cfRule type="containsText" dxfId="6596" priority="1081" operator="containsText" text="Sell">
      <formula>NOT(ISERROR(SEARCH("Sell",E130)))</formula>
    </cfRule>
  </conditionalFormatting>
  <conditionalFormatting sqref="E195">
    <cfRule type="containsText" dxfId="6595" priority="1074" operator="containsText" text="Buy">
      <formula>NOT(ISERROR(SEARCH("Buy",E195)))</formula>
    </cfRule>
    <cfRule type="containsText" dxfId="6594" priority="1075" operator="containsText" text="Sell">
      <formula>NOT(ISERROR(SEARCH("Sell",E195)))</formula>
    </cfRule>
  </conditionalFormatting>
  <conditionalFormatting sqref="E196:E197">
    <cfRule type="containsText" dxfId="6593" priority="1076" operator="containsText" text="Buy">
      <formula>NOT(ISERROR(SEARCH("Buy",E196)))</formula>
    </cfRule>
    <cfRule type="containsText" dxfId="6592" priority="1077" operator="containsText" text="Sell">
      <formula>NOT(ISERROR(SEARCH("Sell",E196)))</formula>
    </cfRule>
  </conditionalFormatting>
  <conditionalFormatting sqref="E189:E190">
    <cfRule type="containsText" dxfId="6591" priority="1072" operator="containsText" text="Buy">
      <formula>NOT(ISERROR(SEARCH("Buy",E189)))</formula>
    </cfRule>
    <cfRule type="containsText" dxfId="6590" priority="1073" operator="containsText" text="Sell">
      <formula>NOT(ISERROR(SEARCH("Sell",E189)))</formula>
    </cfRule>
  </conditionalFormatting>
  <conditionalFormatting sqref="L26:M26">
    <cfRule type="dataBar" priority="10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{49A38A45-B5E5-4B58-BDBE-3FB61F4F0D07}</x14:id>
        </ext>
      </extLst>
    </cfRule>
  </conditionalFormatting>
  <conditionalFormatting sqref="L26:M26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{6F336638-CC75-4652-907B-D841ABA39B1C}</x14:id>
        </ext>
      </extLst>
    </cfRule>
  </conditionalFormatting>
  <conditionalFormatting sqref="L26">
    <cfRule type="dataBar" priority="10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{04AAC3AB-9446-4CF1-A932-7D486A34FE8E}</x14:id>
        </ext>
      </extLst>
    </cfRule>
  </conditionalFormatting>
  <conditionalFormatting sqref="M26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{28B3CCBE-98E4-449E-BC54-628CD2075B2A}</x14:id>
        </ext>
      </extLst>
    </cfRule>
  </conditionalFormatting>
  <conditionalFormatting sqref="V26">
    <cfRule type="dataBar" priority="10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{04575016-947F-4E1F-9540-1EE17578B400}</x14:id>
        </ext>
      </extLst>
    </cfRule>
  </conditionalFormatting>
  <conditionalFormatting sqref="W26">
    <cfRule type="dataBar" priority="10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{9B5F4A7B-B998-45D5-8358-CDC92A5FA498}</x14:id>
        </ext>
      </extLst>
    </cfRule>
  </conditionalFormatting>
  <conditionalFormatting sqref="L25:M25">
    <cfRule type="dataBar" priority="10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{8F711AC2-CBCB-4A64-8E17-A950DBFFB0FD}</x14:id>
        </ext>
      </extLst>
    </cfRule>
  </conditionalFormatting>
  <conditionalFormatting sqref="L25:M25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{393B15D7-A36F-456D-8774-A3B130C77655}</x14:id>
        </ext>
      </extLst>
    </cfRule>
  </conditionalFormatting>
  <conditionalFormatting sqref="L25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{4C374730-5695-4C4E-9831-9EE67C7B2161}</x14:id>
        </ext>
      </extLst>
    </cfRule>
  </conditionalFormatting>
  <conditionalFormatting sqref="M25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{01B820E5-44E2-4FF7-B0C0-334908D19F77}</x14:id>
        </ext>
      </extLst>
    </cfRule>
  </conditionalFormatting>
  <conditionalFormatting sqref="V25">
    <cfRule type="dataBar" priority="10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{D3F2F8BE-D179-4486-8E1F-04035A4470BB}</x14:id>
        </ext>
      </extLst>
    </cfRule>
  </conditionalFormatting>
  <conditionalFormatting sqref="W25">
    <cfRule type="dataBar" priority="10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{FF48755B-B33E-47D3-A3FD-948AF079DDAB}</x14:id>
        </ext>
      </extLst>
    </cfRule>
  </conditionalFormatting>
  <conditionalFormatting sqref="E198">
    <cfRule type="containsText" dxfId="6589" priority="1030" operator="containsText" text="Buy">
      <formula>NOT(ISERROR(SEARCH("Buy",E198)))</formula>
    </cfRule>
    <cfRule type="containsText" dxfId="6588" priority="1031" operator="containsText" text="Sell">
      <formula>NOT(ISERROR(SEARCH("Sell",E198)))</formula>
    </cfRule>
  </conditionalFormatting>
  <conditionalFormatting sqref="E199">
    <cfRule type="containsText" dxfId="6587" priority="1032" operator="containsText" text="Buy">
      <formula>NOT(ISERROR(SEARCH("Buy",E199)))</formula>
    </cfRule>
    <cfRule type="containsText" dxfId="6586" priority="1033" operator="containsText" text="Sell">
      <formula>NOT(ISERROR(SEARCH("Sell",E199)))</formula>
    </cfRule>
  </conditionalFormatting>
  <conditionalFormatting sqref="M23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{C33D71F0-5911-4000-870A-A158E0A33C10}</x14:id>
        </ext>
      </extLst>
    </cfRule>
  </conditionalFormatting>
  <conditionalFormatting sqref="M2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{45B41D11-1F73-4819-89AA-38A562F73258}</x14:id>
        </ext>
      </extLst>
    </cfRule>
  </conditionalFormatting>
  <conditionalFormatting sqref="V23">
    <cfRule type="dataBar" priority="10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{3AFF2B8D-B364-4C38-9C06-36392F4BE295}</x14:id>
        </ext>
      </extLst>
    </cfRule>
  </conditionalFormatting>
  <conditionalFormatting sqref="W23">
    <cfRule type="dataBar" priority="10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{B310EB32-DFC0-4690-9347-096BCA2E79C7}</x14:id>
        </ext>
      </extLst>
    </cfRule>
  </conditionalFormatting>
  <conditionalFormatting sqref="L16:M16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{78FBBD72-E86B-402B-9C88-4C56AA08D43B}</x14:id>
        </ext>
      </extLst>
    </cfRule>
  </conditionalFormatting>
  <conditionalFormatting sqref="L16:M16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{F507F347-9542-49F3-BD59-59D38CD33816}</x14:id>
        </ext>
      </extLst>
    </cfRule>
  </conditionalFormatting>
  <conditionalFormatting sqref="L16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{F0CCB2F6-6095-485E-AB81-4D7752FA8A9E}</x14:id>
        </ext>
      </extLst>
    </cfRule>
  </conditionalFormatting>
  <conditionalFormatting sqref="M16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{2F1C428D-3352-4680-A836-8E7D44B55AD6}</x14:id>
        </ext>
      </extLst>
    </cfRule>
  </conditionalFormatting>
  <conditionalFormatting sqref="V16">
    <cfRule type="dataBar" priority="9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{8DF2DCB1-DE8B-45E9-97D9-7F0689EE6FFE}</x14:id>
        </ext>
      </extLst>
    </cfRule>
  </conditionalFormatting>
  <conditionalFormatting sqref="W16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{870BA008-B5C7-4E06-8E2E-11E0F7B3F281}</x14:id>
        </ext>
      </extLst>
    </cfRule>
  </conditionalFormatting>
  <conditionalFormatting sqref="E152:E153">
    <cfRule type="containsText" dxfId="6585" priority="975" operator="containsText" text="Buy">
      <formula>NOT(ISERROR(SEARCH("Buy",E152)))</formula>
    </cfRule>
    <cfRule type="containsText" dxfId="6584" priority="976" operator="containsText" text="Sell">
      <formula>NOT(ISERROR(SEARCH("Sell",E152)))</formula>
    </cfRule>
  </conditionalFormatting>
  <conditionalFormatting sqref="E173">
    <cfRule type="containsText" dxfId="6583" priority="969" operator="containsText" text="Buy">
      <formula>NOT(ISERROR(SEARCH("Buy",E173)))</formula>
    </cfRule>
    <cfRule type="containsText" dxfId="6582" priority="970" operator="containsText" text="Sell">
      <formula>NOT(ISERROR(SEARCH("Sell",E173)))</formula>
    </cfRule>
  </conditionalFormatting>
  <conditionalFormatting sqref="E174:E175">
    <cfRule type="containsText" dxfId="6581" priority="971" operator="containsText" text="Buy">
      <formula>NOT(ISERROR(SEARCH("Buy",E174)))</formula>
    </cfRule>
    <cfRule type="containsText" dxfId="6580" priority="972" operator="containsText" text="Sell">
      <formula>NOT(ISERROR(SEARCH("Sell",E174)))</formula>
    </cfRule>
  </conditionalFormatting>
  <conditionalFormatting sqref="L20:M20">
    <cfRule type="dataBar" priority="9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{D44C78F6-3E21-444D-8484-1390514FF28A}</x14:id>
        </ext>
      </extLst>
    </cfRule>
  </conditionalFormatting>
  <conditionalFormatting sqref="L20:M20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{7FDC481F-59A9-4523-BAF7-FE403867ACFF}</x14:id>
        </ext>
      </extLst>
    </cfRule>
  </conditionalFormatting>
  <conditionalFormatting sqref="L20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{F3A5715C-2338-4CED-B360-135C81BCF7DE}</x14:id>
        </ext>
      </extLst>
    </cfRule>
  </conditionalFormatting>
  <conditionalFormatting sqref="M20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{6355C382-2DB0-40D7-963D-CB23C10D7905}</x14:id>
        </ext>
      </extLst>
    </cfRule>
  </conditionalFormatting>
  <conditionalFormatting sqref="V20"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{30463314-DAA7-4745-8AA9-3D4B6EC06BC8}</x14:id>
        </ext>
      </extLst>
    </cfRule>
  </conditionalFormatting>
  <conditionalFormatting sqref="W20">
    <cfRule type="dataBar" priority="9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{559EABE9-1C53-4F70-B416-F61C1D717812}</x14:id>
        </ext>
      </extLst>
    </cfRule>
  </conditionalFormatting>
  <conditionalFormatting sqref="E160">
    <cfRule type="containsText" dxfId="6579" priority="947" operator="containsText" text="Buy">
      <formula>NOT(ISERROR(SEARCH("Buy",E160)))</formula>
    </cfRule>
    <cfRule type="containsText" dxfId="6578" priority="948" operator="containsText" text="Sell">
      <formula>NOT(ISERROR(SEARCH("Sell",E160)))</formula>
    </cfRule>
  </conditionalFormatting>
  <conditionalFormatting sqref="E161:E162">
    <cfRule type="containsText" dxfId="6577" priority="949" operator="containsText" text="Buy">
      <formula>NOT(ISERROR(SEARCH("Buy",E161)))</formula>
    </cfRule>
    <cfRule type="containsText" dxfId="6576" priority="950" operator="containsText" text="Sell">
      <formula>NOT(ISERROR(SEARCH("Sell",E161)))</formula>
    </cfRule>
  </conditionalFormatting>
  <conditionalFormatting sqref="L17:M17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{5E195E22-E361-4DD0-9FF9-8C18F670E356}</x14:id>
        </ext>
      </extLst>
    </cfRule>
  </conditionalFormatting>
  <conditionalFormatting sqref="L17:M17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{E9C3B994-4E45-47B1-9112-A7BDD8BBB4BE}</x14:id>
        </ext>
      </extLst>
    </cfRule>
  </conditionalFormatting>
  <conditionalFormatting sqref="L17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{EFF3E7EF-E537-4EFC-92BA-54B24EE437E3}</x14:id>
        </ext>
      </extLst>
    </cfRule>
  </conditionalFormatting>
  <conditionalFormatting sqref="M17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{89327AD0-7FC3-496F-A8D7-BB6E1E3C598A}</x14:id>
        </ext>
      </extLst>
    </cfRule>
  </conditionalFormatting>
  <conditionalFormatting sqref="V17">
    <cfRule type="dataBar" priority="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{E8C87C71-26D2-49FC-85E0-4CA47DA48C92}</x14:id>
        </ext>
      </extLst>
    </cfRule>
  </conditionalFormatting>
  <conditionalFormatting sqref="W17">
    <cfRule type="dataBar" priority="9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{E3FB4DDA-589C-49FA-977E-D020F73CBC51}</x14:id>
        </ext>
      </extLst>
    </cfRule>
  </conditionalFormatting>
  <conditionalFormatting sqref="E122:E123">
    <cfRule type="containsText" dxfId="6575" priority="927" operator="containsText" text="Buy">
      <formula>NOT(ISERROR(SEARCH("Buy",E122)))</formula>
    </cfRule>
    <cfRule type="containsText" dxfId="6574" priority="928" operator="containsText" text="Sell">
      <formula>NOT(ISERROR(SEARCH("Sell",E122)))</formula>
    </cfRule>
  </conditionalFormatting>
  <conditionalFormatting sqref="E121">
    <cfRule type="containsText" dxfId="6573" priority="925" operator="containsText" text="Buy">
      <formula>NOT(ISERROR(SEARCH("Buy",E121)))</formula>
    </cfRule>
    <cfRule type="containsText" dxfId="6572" priority="926" operator="containsText" text="Sell">
      <formula>NOT(ISERROR(SEARCH("Sell",E121)))</formula>
    </cfRule>
  </conditionalFormatting>
  <conditionalFormatting sqref="E147">
    <cfRule type="containsText" dxfId="6571" priority="921" operator="containsText" text="Buy">
      <formula>NOT(ISERROR(SEARCH("Buy",E147)))</formula>
    </cfRule>
    <cfRule type="containsText" dxfId="6570" priority="922" operator="containsText" text="Sell">
      <formula>NOT(ISERROR(SEARCH("Sell",E147)))</formula>
    </cfRule>
  </conditionalFormatting>
  <conditionalFormatting sqref="E148:E149">
    <cfRule type="containsText" dxfId="6569" priority="923" operator="containsText" text="Buy">
      <formula>NOT(ISERROR(SEARCH("Buy",E148)))</formula>
    </cfRule>
    <cfRule type="containsText" dxfId="6568" priority="924" operator="containsText" text="Sell">
      <formula>NOT(ISERROR(SEARCH("Sell",E148)))</formula>
    </cfRule>
  </conditionalFormatting>
  <conditionalFormatting sqref="L11:M11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{58A9073D-FBEB-4FCD-9FFF-E398F9A51566}</x14:id>
        </ext>
      </extLst>
    </cfRule>
  </conditionalFormatting>
  <conditionalFormatting sqref="L11:M11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{46E4226E-961D-4463-A8C4-30286A332CB9}</x14:id>
        </ext>
      </extLst>
    </cfRule>
  </conditionalFormatting>
  <conditionalFormatting sqref="L11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{39DC6356-9E7D-4BA5-BC83-225E4F684090}</x14:id>
        </ext>
      </extLst>
    </cfRule>
  </conditionalFormatting>
  <conditionalFormatting sqref="M11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{F78309B5-DE2F-4406-94BF-D459FC7CB9FF}</x14:id>
        </ext>
      </extLst>
    </cfRule>
  </conditionalFormatting>
  <conditionalFormatting sqref="V11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{92D0120D-AFD8-4847-BBFF-EB9ECE40A30E}</x14:id>
        </ext>
      </extLst>
    </cfRule>
  </conditionalFormatting>
  <conditionalFormatting sqref="W11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{BEBB3CEA-E258-4038-8385-FB54395DBDEA}</x14:id>
        </ext>
      </extLst>
    </cfRule>
  </conditionalFormatting>
  <conditionalFormatting sqref="L12:M12">
    <cfRule type="dataBar" priority="8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{B487456F-C87F-4C30-BD15-29D94C3F2DFA}</x14:id>
        </ext>
      </extLst>
    </cfRule>
  </conditionalFormatting>
  <conditionalFormatting sqref="L12:M12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{62B92815-5F5E-46A6-8A6A-990BE442D57B}</x14:id>
        </ext>
      </extLst>
    </cfRule>
  </conditionalFormatting>
  <conditionalFormatting sqref="L12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{DAF28667-127E-4D90-A86D-BCD420583E9E}</x14:id>
        </ext>
      </extLst>
    </cfRule>
  </conditionalFormatting>
  <conditionalFormatting sqref="M12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{1B80AEDF-E218-4A49-BE65-50511D5F6679}</x14:id>
        </ext>
      </extLst>
    </cfRule>
  </conditionalFormatting>
  <conditionalFormatting sqref="V12">
    <cfRule type="dataBar" priority="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{9F19B54C-B727-4F7B-A607-8D57921A79ED}</x14:id>
        </ext>
      </extLst>
    </cfRule>
  </conditionalFormatting>
  <conditionalFormatting sqref="W12">
    <cfRule type="dataBar" priority="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{218481CF-83E1-405D-B9D2-0A7ADD79665B}</x14:id>
        </ext>
      </extLst>
    </cfRule>
  </conditionalFormatting>
  <conditionalFormatting sqref="E177">
    <cfRule type="containsText" dxfId="6567" priority="877" operator="containsText" text="Buy">
      <formula>NOT(ISERROR(SEARCH("Buy",E177)))</formula>
    </cfRule>
    <cfRule type="containsText" dxfId="6566" priority="878" operator="containsText" text="Sell">
      <formula>NOT(ISERROR(SEARCH("Sell",E177)))</formula>
    </cfRule>
  </conditionalFormatting>
  <conditionalFormatting sqref="E178">
    <cfRule type="containsText" dxfId="6565" priority="879" operator="containsText" text="Buy">
      <formula>NOT(ISERROR(SEARCH("Buy",E178)))</formula>
    </cfRule>
    <cfRule type="containsText" dxfId="6564" priority="880" operator="containsText" text="Sell">
      <formula>NOT(ISERROR(SEARCH("Sell",E178)))</formula>
    </cfRule>
  </conditionalFormatting>
  <conditionalFormatting sqref="E142:E143">
    <cfRule type="containsText" dxfId="6563" priority="857" operator="containsText" text="Buy">
      <formula>NOT(ISERROR(SEARCH("Buy",E142)))</formula>
    </cfRule>
    <cfRule type="containsText" dxfId="6562" priority="858" operator="containsText" text="Sell">
      <formula>NOT(ISERROR(SEARCH("Sell",E142)))</formula>
    </cfRule>
  </conditionalFormatting>
  <conditionalFormatting sqref="M15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{543EBD24-F131-467A-95A6-8015D8A226E8}</x14:id>
        </ext>
      </extLst>
    </cfRule>
  </conditionalFormatting>
  <conditionalFormatting sqref="M15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{63A388DD-CC29-4165-908C-3F67B14C71A9}</x14:id>
        </ext>
      </extLst>
    </cfRule>
  </conditionalFormatting>
  <conditionalFormatting sqref="V15">
    <cfRule type="dataBar" priority="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{57D12FC0-43B9-45C1-9686-CC7EDABF3E4B}</x14:id>
        </ext>
      </extLst>
    </cfRule>
  </conditionalFormatting>
  <conditionalFormatting sqref="W15">
    <cfRule type="dataBar" priority="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{769E84DE-B555-4B54-A8DF-799931C88AE0}</x14:id>
        </ext>
      </extLst>
    </cfRule>
  </conditionalFormatting>
  <conditionalFormatting sqref="E108:E109">
    <cfRule type="containsText" dxfId="6561" priority="822" operator="containsText" text="Buy">
      <formula>NOT(ISERROR(SEARCH("Buy",E108)))</formula>
    </cfRule>
    <cfRule type="containsText" dxfId="6560" priority="823" operator="containsText" text="Sell">
      <formula>NOT(ISERROR(SEARCH("Sell",E108)))</formula>
    </cfRule>
  </conditionalFormatting>
  <conditionalFormatting sqref="L15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{1F118C22-5CB1-407F-A394-EBEF3BAC933F}</x14:id>
        </ext>
      </extLst>
    </cfRule>
  </conditionalFormatting>
  <conditionalFormatting sqref="L15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{64B8169B-FB21-4808-952C-CFACCCF0D9C9}</x14:id>
        </ext>
      </extLst>
    </cfRule>
  </conditionalFormatting>
  <conditionalFormatting sqref="L23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{4BB7EB06-BA30-4332-9B73-5F0C5E391D94}</x14:id>
        </ext>
      </extLst>
    </cfRule>
  </conditionalFormatting>
  <conditionalFormatting sqref="L23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{69CE059A-B2A7-4AA0-B166-176C9763AC59}</x14:id>
        </ext>
      </extLst>
    </cfRule>
  </conditionalFormatting>
  <conditionalFormatting sqref="E97">
    <cfRule type="containsText" dxfId="6559" priority="814" operator="containsText" text="Buy">
      <formula>NOT(ISERROR(SEARCH("Buy",E97)))</formula>
    </cfRule>
    <cfRule type="containsText" dxfId="6558" priority="815" operator="containsText" text="Sell">
      <formula>NOT(ISERROR(SEARCH("Sell",E97)))</formula>
    </cfRule>
  </conditionalFormatting>
  <conditionalFormatting sqref="E98">
    <cfRule type="containsText" dxfId="6557" priority="816" operator="containsText" text="Buy">
      <formula>NOT(ISERROR(SEARCH("Buy",E98)))</formula>
    </cfRule>
    <cfRule type="containsText" dxfId="6556" priority="817" operator="containsText" text="Sell">
      <formula>NOT(ISERROR(SEARCH("Sell",E98)))</formula>
    </cfRule>
  </conditionalFormatting>
  <conditionalFormatting sqref="L27:M27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{35C9AB89-27A1-4DDD-B70D-C79766807F89}</x14:id>
        </ext>
      </extLst>
    </cfRule>
  </conditionalFormatting>
  <conditionalFormatting sqref="L27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{513C79F8-8E93-41BE-9384-27730E89D83B}</x14:id>
        </ext>
      </extLst>
    </cfRule>
  </conditionalFormatting>
  <conditionalFormatting sqref="M27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{041DC17B-2197-40FE-BB79-B3722F045944}</x14:id>
        </ext>
      </extLst>
    </cfRule>
  </conditionalFormatting>
  <conditionalFormatting sqref="V27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{77879504-637D-4111-B3E0-D5F78FF73B4A}</x14:id>
        </ext>
      </extLst>
    </cfRule>
  </conditionalFormatting>
  <conditionalFormatting sqref="W27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{32CD31AF-77BA-4AB6-9A95-E637653C081A}</x14:id>
        </ext>
      </extLst>
    </cfRule>
  </conditionalFormatting>
  <conditionalFormatting sqref="L27:M27">
    <cfRule type="dataBar" priority="7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{FCE9CBD6-E5EC-4BAD-8E25-2933E7DD83E3}</x14:id>
        </ext>
      </extLst>
    </cfRule>
  </conditionalFormatting>
  <conditionalFormatting sqref="E103:E104">
    <cfRule type="containsText" dxfId="6555" priority="794" operator="containsText" text="Buy">
      <formula>NOT(ISERROR(SEARCH("Buy",E103)))</formula>
    </cfRule>
    <cfRule type="containsText" dxfId="6554" priority="795" operator="containsText" text="Sell">
      <formula>NOT(ISERROR(SEARCH("Sell",E103)))</formula>
    </cfRule>
  </conditionalFormatting>
  <conditionalFormatting sqref="E90">
    <cfRule type="containsText" dxfId="6553" priority="771" operator="containsText" text="Buy">
      <formula>NOT(ISERROR(SEARCH("Buy",E90)))</formula>
    </cfRule>
    <cfRule type="containsText" dxfId="6552" priority="772" operator="containsText" text="Sell">
      <formula>NOT(ISERROR(SEARCH("Sell",E90)))</formula>
    </cfRule>
  </conditionalFormatting>
  <conditionalFormatting sqref="E91:E92">
    <cfRule type="containsText" dxfId="6551" priority="773" operator="containsText" text="Buy">
      <formula>NOT(ISERROR(SEARCH("Buy",E91)))</formula>
    </cfRule>
    <cfRule type="containsText" dxfId="6550" priority="774" operator="containsText" text="Sell">
      <formula>NOT(ISERROR(SEARCH("Sell",E91)))</formula>
    </cfRule>
  </conditionalFormatting>
  <conditionalFormatting sqref="E159">
    <cfRule type="containsText" dxfId="6549" priority="769" operator="containsText" text="Buy">
      <formula>NOT(ISERROR(SEARCH("Buy",E159)))</formula>
    </cfRule>
    <cfRule type="containsText" dxfId="6548" priority="770" operator="containsText" text="Sell">
      <formula>NOT(ISERROR(SEARCH("Sell",E159)))</formula>
    </cfRule>
  </conditionalFormatting>
  <conditionalFormatting sqref="L7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{94B72C1A-B5BD-49DC-B7B9-1F7A5447FEBA}</x14:id>
        </ext>
      </extLst>
    </cfRule>
  </conditionalFormatting>
  <conditionalFormatting sqref="L7">
    <cfRule type="dataBar" priority="7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{32800764-C8E3-4AE2-8A75-B1B3EAB9C589}</x14:id>
        </ext>
      </extLst>
    </cfRule>
  </conditionalFormatting>
  <conditionalFormatting sqref="L14:M14">
    <cfRule type="dataBar" priority="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{03D0A875-6661-4AFA-8A58-7393443E2CF6}</x14:id>
        </ext>
      </extLst>
    </cfRule>
  </conditionalFormatting>
  <conditionalFormatting sqref="L14:M14">
    <cfRule type="dataBar" priority="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{DB611029-E042-4832-855D-6A06FBFC3273}</x14:id>
        </ext>
      </extLst>
    </cfRule>
  </conditionalFormatting>
  <conditionalFormatting sqref="L14">
    <cfRule type="dataBar" priority="7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{E23F174C-310F-45A8-B48D-AB899C1B1DE5}</x14:id>
        </ext>
      </extLst>
    </cfRule>
  </conditionalFormatting>
  <conditionalFormatting sqref="M14">
    <cfRule type="dataBar" priority="7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{DCA3D9B2-EB50-4EEE-93B2-0575B9C066E1}</x14:id>
        </ext>
      </extLst>
    </cfRule>
  </conditionalFormatting>
  <conditionalFormatting sqref="V14">
    <cfRule type="dataBar" priority="7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{ADB066BC-7AFB-4868-B49E-72219C1B851C}</x14:id>
        </ext>
      </extLst>
    </cfRule>
  </conditionalFormatting>
  <conditionalFormatting sqref="W14">
    <cfRule type="dataBar" priority="7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{637DE9AB-A88B-46B9-BF37-440D16DBB2F1}</x14:id>
        </ext>
      </extLst>
    </cfRule>
  </conditionalFormatting>
  <conditionalFormatting sqref="L14:M14">
    <cfRule type="dataBar" priority="7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{36E67714-3EF9-47DB-B3D2-E2106DED5041}</x14:id>
        </ext>
      </extLst>
    </cfRule>
  </conditionalFormatting>
  <conditionalFormatting sqref="L14:M14">
    <cfRule type="dataBar" priority="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{6B2A5E39-6276-474D-BD7F-6D587D6DB92A}</x14:id>
        </ext>
      </extLst>
    </cfRule>
  </conditionalFormatting>
  <conditionalFormatting sqref="E94">
    <cfRule type="containsText" dxfId="6547" priority="742" operator="containsText" text="Buy">
      <formula>NOT(ISERROR(SEARCH("Buy",E94)))</formula>
    </cfRule>
    <cfRule type="containsText" dxfId="6546" priority="743" operator="containsText" text="Sell">
      <formula>NOT(ISERROR(SEARCH("Sell",E94)))</formula>
    </cfRule>
  </conditionalFormatting>
  <conditionalFormatting sqref="E95">
    <cfRule type="containsText" dxfId="6545" priority="744" operator="containsText" text="Buy">
      <formula>NOT(ISERROR(SEARCH("Buy",E95)))</formula>
    </cfRule>
    <cfRule type="containsText" dxfId="6544" priority="745" operator="containsText" text="Sell">
      <formula>NOT(ISERROR(SEARCH("Sell",E95)))</formula>
    </cfRule>
  </conditionalFormatting>
  <conditionalFormatting sqref="E172">
    <cfRule type="containsText" dxfId="6543" priority="740" operator="containsText" text="Buy">
      <formula>NOT(ISERROR(SEARCH("Buy",E172)))</formula>
    </cfRule>
    <cfRule type="containsText" dxfId="6542" priority="741" operator="containsText" text="Sell">
      <formula>NOT(ISERROR(SEARCH("Sell",E172)))</formula>
    </cfRule>
  </conditionalFormatting>
  <conditionalFormatting sqref="E167">
    <cfRule type="containsText" dxfId="6541" priority="738" operator="containsText" text="Buy">
      <formula>NOT(ISERROR(SEARCH("Buy",E167)))</formula>
    </cfRule>
    <cfRule type="containsText" dxfId="6540" priority="739" operator="containsText" text="Sell">
      <formula>NOT(ISERROR(SEARCH("Sell",E167)))</formula>
    </cfRule>
  </conditionalFormatting>
  <conditionalFormatting sqref="E191">
    <cfRule type="containsText" dxfId="6539" priority="736" operator="containsText" text="Buy">
      <formula>NOT(ISERROR(SEARCH("Buy",E191)))</formula>
    </cfRule>
    <cfRule type="containsText" dxfId="6538" priority="737" operator="containsText" text="Sell">
      <formula>NOT(ISERROR(SEARCH("Sell",E191)))</formula>
    </cfRule>
  </conditionalFormatting>
  <conditionalFormatting sqref="E138:E139">
    <cfRule type="containsText" dxfId="6537" priority="734" operator="containsText" text="Buy">
      <formula>NOT(ISERROR(SEARCH("Buy",E138)))</formula>
    </cfRule>
    <cfRule type="containsText" dxfId="6536" priority="735" operator="containsText" text="Sell">
      <formula>NOT(ISERROR(SEARCH("Sell",E138)))</formula>
    </cfRule>
  </conditionalFormatting>
  <conditionalFormatting sqref="E187">
    <cfRule type="containsText" dxfId="6535" priority="711" operator="containsText" text="Buy">
      <formula>NOT(ISERROR(SEARCH("Buy",E187)))</formula>
    </cfRule>
    <cfRule type="containsText" dxfId="6534" priority="712" operator="containsText" text="Sell">
      <formula>NOT(ISERROR(SEARCH("Sell",E187)))</formula>
    </cfRule>
  </conditionalFormatting>
  <conditionalFormatting sqref="E120">
    <cfRule type="containsText" dxfId="6533" priority="709" operator="containsText" text="Buy">
      <formula>NOT(ISERROR(SEARCH("Buy",E120)))</formula>
    </cfRule>
    <cfRule type="containsText" dxfId="6532" priority="710" operator="containsText" text="Sell">
      <formula>NOT(ISERROR(SEARCH("Sell",E120)))</formula>
    </cfRule>
  </conditionalFormatting>
  <conditionalFormatting sqref="E115">
    <cfRule type="containsText" dxfId="6531" priority="707" operator="containsText" text="Buy">
      <formula>NOT(ISERROR(SEARCH("Buy",E115)))</formula>
    </cfRule>
    <cfRule type="containsText" dxfId="6530" priority="708" operator="containsText" text="Sell">
      <formula>NOT(ISERROR(SEARCH("Sell",E115)))</formula>
    </cfRule>
  </conditionalFormatting>
  <conditionalFormatting sqref="E69:E71">
    <cfRule type="containsText" dxfId="6529" priority="705" operator="containsText" text="Buy">
      <formula>NOT(ISERROR(SEARCH("Buy",E69)))</formula>
    </cfRule>
    <cfRule type="containsText" dxfId="6528" priority="706" operator="containsText" text="Sell">
      <formula>NOT(ISERROR(SEARCH("Sell",E69)))</formula>
    </cfRule>
  </conditionalFormatting>
  <conditionalFormatting sqref="E78">
    <cfRule type="containsText" dxfId="6527" priority="703" operator="containsText" text="Buy">
      <formula>NOT(ISERROR(SEARCH("Buy",E78)))</formula>
    </cfRule>
    <cfRule type="containsText" dxfId="6526" priority="704" operator="containsText" text="Sell">
      <formula>NOT(ISERROR(SEARCH("Sell",E78)))</formula>
    </cfRule>
  </conditionalFormatting>
  <conditionalFormatting sqref="D40">
    <cfRule type="containsText" dxfId="6525" priority="699" operator="containsText" text="Buy">
      <formula>NOT(ISERROR(SEARCH("Buy",D40)))</formula>
    </cfRule>
    <cfRule type="containsText" dxfId="6524" priority="700" operator="containsText" text="Sell">
      <formula>NOT(ISERROR(SEARCH("Sell",D40)))</formula>
    </cfRule>
  </conditionalFormatting>
  <conditionalFormatting sqref="H40">
    <cfRule type="dataBar" priority="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{B8030F00-CAA6-476B-BBA5-C01489FCEDDF}</x14:id>
        </ext>
      </extLst>
    </cfRule>
    <cfRule type="cellIs" dxfId="6523" priority="702" operator="equal">
      <formula>1</formula>
    </cfRule>
  </conditionalFormatting>
  <conditionalFormatting sqref="E128">
    <cfRule type="containsText" dxfId="6522" priority="697" operator="containsText" text="Buy">
      <formula>NOT(ISERROR(SEARCH("Buy",E128)))</formula>
    </cfRule>
    <cfRule type="containsText" dxfId="6521" priority="698" operator="containsText" text="Sell">
      <formula>NOT(ISERROR(SEARCH("Sell",E128)))</formula>
    </cfRule>
  </conditionalFormatting>
  <conditionalFormatting sqref="E137">
    <cfRule type="containsText" dxfId="6520" priority="695" operator="containsText" text="Buy">
      <formula>NOT(ISERROR(SEARCH("Buy",E137)))</formula>
    </cfRule>
    <cfRule type="containsText" dxfId="6519" priority="696" operator="containsText" text="Sell">
      <formula>NOT(ISERROR(SEARCH("Sell",E137)))</formula>
    </cfRule>
  </conditionalFormatting>
  <conditionalFormatting sqref="E181">
    <cfRule type="containsText" dxfId="6518" priority="693" operator="containsText" text="Buy">
      <formula>NOT(ISERROR(SEARCH("Buy",E181)))</formula>
    </cfRule>
    <cfRule type="containsText" dxfId="6517" priority="694" operator="containsText" text="Sell">
      <formula>NOT(ISERROR(SEARCH("Sell",E181)))</formula>
    </cfRule>
  </conditionalFormatting>
  <conditionalFormatting sqref="E176">
    <cfRule type="containsText" dxfId="6516" priority="691" operator="containsText" text="Buy">
      <formula>NOT(ISERROR(SEARCH("Buy",E176)))</formula>
    </cfRule>
    <cfRule type="containsText" dxfId="6515" priority="692" operator="containsText" text="Sell">
      <formula>NOT(ISERROR(SEARCH("Sell",E176)))</formula>
    </cfRule>
  </conditionalFormatting>
  <conditionalFormatting sqref="E107">
    <cfRule type="containsText" dxfId="6514" priority="689" operator="containsText" text="Buy">
      <formula>NOT(ISERROR(SEARCH("Buy",E107)))</formula>
    </cfRule>
    <cfRule type="containsText" dxfId="6513" priority="690" operator="containsText" text="Sell">
      <formula>NOT(ISERROR(SEARCH("Sell",E107)))</formula>
    </cfRule>
  </conditionalFormatting>
  <conditionalFormatting sqref="E136">
    <cfRule type="containsText" dxfId="6512" priority="687" operator="containsText" text="Buy">
      <formula>NOT(ISERROR(SEARCH("Buy",E136)))</formula>
    </cfRule>
    <cfRule type="containsText" dxfId="6511" priority="688" operator="containsText" text="Sell">
      <formula>NOT(ISERROR(SEARCH("Sell",E136)))</formula>
    </cfRule>
  </conditionalFormatting>
  <conditionalFormatting sqref="E81">
    <cfRule type="containsText" dxfId="6510" priority="659" operator="containsText" text="Buy">
      <formula>NOT(ISERROR(SEARCH("Buy",E81)))</formula>
    </cfRule>
    <cfRule type="containsText" dxfId="6509" priority="660" operator="containsText" text="Sell">
      <formula>NOT(ISERROR(SEARCH("Sell",E81)))</formula>
    </cfRule>
  </conditionalFormatting>
  <conditionalFormatting sqref="E82:E83 E89 E86">
    <cfRule type="containsText" dxfId="6508" priority="661" operator="containsText" text="Buy">
      <formula>NOT(ISERROR(SEARCH("Buy",E82)))</formula>
    </cfRule>
    <cfRule type="containsText" dxfId="6507" priority="662" operator="containsText" text="Sell">
      <formula>NOT(ISERROR(SEARCH("Sell",E82)))</formula>
    </cfRule>
  </conditionalFormatting>
  <conditionalFormatting sqref="E141">
    <cfRule type="containsText" dxfId="6506" priority="657" operator="containsText" text="Buy">
      <formula>NOT(ISERROR(SEARCH("Buy",E141)))</formula>
    </cfRule>
    <cfRule type="containsText" dxfId="6505" priority="658" operator="containsText" text="Sell">
      <formula>NOT(ISERROR(SEARCH("Sell",E141)))</formula>
    </cfRule>
  </conditionalFormatting>
  <conditionalFormatting sqref="H41">
    <cfRule type="dataBar" priority="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{72F7A2AA-8801-4CE7-A615-ADB2AE954A40}</x14:id>
        </ext>
      </extLst>
    </cfRule>
    <cfRule type="cellIs" dxfId="6504" priority="656" operator="equal">
      <formula>1</formula>
    </cfRule>
  </conditionalFormatting>
  <conditionalFormatting sqref="D41">
    <cfRule type="containsText" dxfId="6503" priority="654" operator="containsText" text="Buy">
      <formula>NOT(ISERROR(SEARCH("Buy",D41)))</formula>
    </cfRule>
    <cfRule type="containsText" dxfId="6502" priority="655" operator="containsText" text="Sell">
      <formula>NOT(ISERROR(SEARCH("Sell",D41)))</formula>
    </cfRule>
  </conditionalFormatting>
  <conditionalFormatting sqref="E80">
    <cfRule type="containsText" dxfId="6501" priority="651" operator="containsText" text="Buy">
      <formula>NOT(ISERROR(SEARCH("Buy",E80)))</formula>
    </cfRule>
    <cfRule type="containsText" dxfId="6500" priority="652" operator="containsText" text="Sell">
      <formula>NOT(ISERROR(SEARCH("Sell",E80)))</formula>
    </cfRule>
  </conditionalFormatting>
  <conditionalFormatting sqref="E186">
    <cfRule type="containsText" dxfId="6499" priority="649" operator="containsText" text="Buy">
      <formula>NOT(ISERROR(SEARCH("Buy",E186)))</formula>
    </cfRule>
    <cfRule type="containsText" dxfId="6498" priority="650" operator="containsText" text="Sell">
      <formula>NOT(ISERROR(SEARCH("Sell",E186)))</formula>
    </cfRule>
  </conditionalFormatting>
  <conditionalFormatting sqref="H42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{5AA8F05A-1E12-4419-B730-2DC07FF265F4}</x14:id>
        </ext>
      </extLst>
    </cfRule>
    <cfRule type="cellIs" dxfId="6497" priority="648" operator="equal">
      <formula>1</formula>
    </cfRule>
  </conditionalFormatting>
  <conditionalFormatting sqref="D42">
    <cfRule type="containsText" dxfId="6496" priority="646" operator="containsText" text="Buy">
      <formula>NOT(ISERROR(SEARCH("Buy",D42)))</formula>
    </cfRule>
    <cfRule type="containsText" dxfId="6495" priority="647" operator="containsText" text="Sell">
      <formula>NOT(ISERROR(SEARCH("Sell",D42)))</formula>
    </cfRule>
  </conditionalFormatting>
  <conditionalFormatting sqref="E171">
    <cfRule type="containsText" dxfId="6494" priority="643" operator="containsText" text="Buy">
      <formula>NOT(ISERROR(SEARCH("Buy",E171)))</formula>
    </cfRule>
    <cfRule type="containsText" dxfId="6493" priority="644" operator="containsText" text="Sell">
      <formula>NOT(ISERROR(SEARCH("Sell",E171)))</formula>
    </cfRule>
  </conditionalFormatting>
  <conditionalFormatting sqref="E201">
    <cfRule type="containsText" dxfId="6492" priority="639" operator="containsText" text="Buy">
      <formula>NOT(ISERROR(SEARCH("Buy",E201)))</formula>
    </cfRule>
    <cfRule type="containsText" dxfId="6491" priority="640" operator="containsText" text="Sell">
      <formula>NOT(ISERROR(SEARCH("Sell",E201)))</formula>
    </cfRule>
  </conditionalFormatting>
  <conditionalFormatting sqref="E203">
    <cfRule type="containsText" dxfId="6490" priority="641" operator="containsText" text="Buy">
      <formula>NOT(ISERROR(SEARCH("Buy",E203)))</formula>
    </cfRule>
    <cfRule type="containsText" dxfId="6489" priority="642" operator="containsText" text="Sell">
      <formula>NOT(ISERROR(SEARCH("Sell",E203)))</formula>
    </cfRule>
  </conditionalFormatting>
  <conditionalFormatting sqref="E209">
    <cfRule type="containsText" dxfId="6488" priority="633" operator="containsText" text="Buy">
      <formula>NOT(ISERROR(SEARCH("Buy",E209)))</formula>
    </cfRule>
    <cfRule type="containsText" dxfId="6487" priority="634" operator="containsText" text="Sell">
      <formula>NOT(ISERROR(SEARCH("Sell",E209)))</formula>
    </cfRule>
  </conditionalFormatting>
  <conditionalFormatting sqref="E208">
    <cfRule type="containsText" dxfId="6486" priority="631" operator="containsText" text="Buy">
      <formula>NOT(ISERROR(SEARCH("Buy",E208)))</formula>
    </cfRule>
    <cfRule type="containsText" dxfId="6485" priority="632" operator="containsText" text="Sell">
      <formula>NOT(ISERROR(SEARCH("Sell",E208)))</formula>
    </cfRule>
  </conditionalFormatting>
  <conditionalFormatting sqref="E205">
    <cfRule type="containsText" dxfId="6484" priority="635" operator="containsText" text="Buy">
      <formula>NOT(ISERROR(SEARCH("Buy",E205)))</formula>
    </cfRule>
    <cfRule type="containsText" dxfId="6483" priority="636" operator="containsText" text="Sell">
      <formula>NOT(ISERROR(SEARCH("Sell",E205)))</formula>
    </cfRule>
  </conditionalFormatting>
  <conditionalFormatting sqref="E206">
    <cfRule type="containsText" dxfId="6482" priority="637" operator="containsText" text="Buy">
      <formula>NOT(ISERROR(SEARCH("Buy",E206)))</formula>
    </cfRule>
    <cfRule type="containsText" dxfId="6481" priority="638" operator="containsText" text="Sell">
      <formula>NOT(ISERROR(SEARCH("Sell",E206)))</formula>
    </cfRule>
  </conditionalFormatting>
  <conditionalFormatting sqref="H43">
    <cfRule type="dataBar" priority="5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{33CF5952-8A8F-48A4-B986-5FF514DF34B0}</x14:id>
        </ext>
      </extLst>
    </cfRule>
    <cfRule type="cellIs" dxfId="6480" priority="561" operator="equal">
      <formula>1</formula>
    </cfRule>
  </conditionalFormatting>
  <conditionalFormatting sqref="D43">
    <cfRule type="containsText" dxfId="6479" priority="559" operator="containsText" text="Buy">
      <formula>NOT(ISERROR(SEARCH("Buy",D43)))</formula>
    </cfRule>
    <cfRule type="containsText" dxfId="6478" priority="560" operator="containsText" text="Sell">
      <formula>NOT(ISERROR(SEARCH("Sell",D43)))</formula>
    </cfRule>
  </conditionalFormatting>
  <conditionalFormatting sqref="H44:H45">
    <cfRule type="dataBar" priority="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{50E9629D-9A36-4CC3-98D3-26311B56C658}</x14:id>
        </ext>
      </extLst>
    </cfRule>
    <cfRule type="cellIs" dxfId="6477" priority="557" operator="equal">
      <formula>1</formula>
    </cfRule>
  </conditionalFormatting>
  <conditionalFormatting sqref="D44:D45">
    <cfRule type="containsText" dxfId="6476" priority="555" operator="containsText" text="Buy">
      <formula>NOT(ISERROR(SEARCH("Buy",D44)))</formula>
    </cfRule>
    <cfRule type="containsText" dxfId="6475" priority="556" operator="containsText" text="Sell">
      <formula>NOT(ISERROR(SEARCH("Sell",D44)))</formula>
    </cfRule>
  </conditionalFormatting>
  <conditionalFormatting sqref="H46">
    <cfRule type="dataBar" priority="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{AF3932EE-3D18-4F03-B604-9882AB89A51F}</x14:id>
        </ext>
      </extLst>
    </cfRule>
    <cfRule type="cellIs" dxfId="6474" priority="553" operator="equal">
      <formula>1</formula>
    </cfRule>
  </conditionalFormatting>
  <conditionalFormatting sqref="D46">
    <cfRule type="containsText" dxfId="6473" priority="551" operator="containsText" text="Buy">
      <formula>NOT(ISERROR(SEARCH("Buy",D46)))</formula>
    </cfRule>
    <cfRule type="containsText" dxfId="6472" priority="552" operator="containsText" text="Sell">
      <formula>NOT(ISERROR(SEARCH("Sell",D46)))</formula>
    </cfRule>
  </conditionalFormatting>
  <conditionalFormatting sqref="H47">
    <cfRule type="dataBar" priority="5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{F9E9872F-1220-4DB1-ACF4-1EFD76E92EFF}</x14:id>
        </ext>
      </extLst>
    </cfRule>
    <cfRule type="cellIs" dxfId="6471" priority="549" operator="equal">
      <formula>1</formula>
    </cfRule>
  </conditionalFormatting>
  <conditionalFormatting sqref="D47">
    <cfRule type="containsText" dxfId="6470" priority="547" operator="containsText" text="Buy">
      <formula>NOT(ISERROR(SEARCH("Buy",D47)))</formula>
    </cfRule>
    <cfRule type="containsText" dxfId="6469" priority="548" operator="containsText" text="Sell">
      <formula>NOT(ISERROR(SEARCH("Sell",D47)))</formula>
    </cfRule>
  </conditionalFormatting>
  <conditionalFormatting sqref="H48">
    <cfRule type="dataBar" priority="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{5DADAF9B-C056-4102-AB0D-D00960FC276F}</x14:id>
        </ext>
      </extLst>
    </cfRule>
    <cfRule type="cellIs" dxfId="6468" priority="545" operator="equal">
      <formula>1</formula>
    </cfRule>
  </conditionalFormatting>
  <conditionalFormatting sqref="D48">
    <cfRule type="containsText" dxfId="6467" priority="543" operator="containsText" text="Buy">
      <formula>NOT(ISERROR(SEARCH("Buy",D48)))</formula>
    </cfRule>
    <cfRule type="containsText" dxfId="6466" priority="544" operator="containsText" text="Sell">
      <formula>NOT(ISERROR(SEARCH("Sell",D48)))</formula>
    </cfRule>
  </conditionalFormatting>
  <conditionalFormatting sqref="D49">
    <cfRule type="containsText" dxfId="6465" priority="538" operator="containsText" text="Buy">
      <formula>NOT(ISERROR(SEARCH("Buy",D49)))</formula>
    </cfRule>
    <cfRule type="containsText" dxfId="6464" priority="539" operator="containsText" text="Sell">
      <formula>NOT(ISERROR(SEARCH("Sell",D49)))</formula>
    </cfRule>
  </conditionalFormatting>
  <conditionalFormatting sqref="H49">
    <cfRule type="dataBar" priority="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{0A27F08E-BD9F-45F6-86FB-9A1204947965}</x14:id>
        </ext>
      </extLst>
    </cfRule>
    <cfRule type="cellIs" dxfId="6463" priority="541" operator="equal">
      <formula>1</formula>
    </cfRule>
  </conditionalFormatting>
  <conditionalFormatting sqref="E158">
    <cfRule type="containsText" dxfId="6462" priority="536" operator="containsText" text="Buy">
      <formula>NOT(ISERROR(SEARCH("Buy",E158)))</formula>
    </cfRule>
    <cfRule type="containsText" dxfId="6461" priority="537" operator="containsText" text="Sell">
      <formula>NOT(ISERROR(SEARCH("Sell",E158)))</formula>
    </cfRule>
  </conditionalFormatting>
  <conditionalFormatting sqref="E114">
    <cfRule type="containsText" dxfId="6460" priority="534" operator="containsText" text="Buy">
      <formula>NOT(ISERROR(SEARCH("Buy",E114)))</formula>
    </cfRule>
    <cfRule type="containsText" dxfId="6459" priority="535" operator="containsText" text="Sell">
      <formula>NOT(ISERROR(SEARCH("Sell",E114)))</formula>
    </cfRule>
  </conditionalFormatting>
  <conditionalFormatting sqref="E127">
    <cfRule type="containsText" dxfId="6458" priority="532" operator="containsText" text="Buy">
      <formula>NOT(ISERROR(SEARCH("Buy",E127)))</formula>
    </cfRule>
    <cfRule type="containsText" dxfId="6457" priority="533" operator="containsText" text="Sell">
      <formula>NOT(ISERROR(SEARCH("Sell",E127)))</formula>
    </cfRule>
  </conditionalFormatting>
  <conditionalFormatting sqref="E163">
    <cfRule type="containsText" dxfId="6456" priority="530" operator="containsText" text="Buy">
      <formula>NOT(ISERROR(SEARCH("Buy",E163)))</formula>
    </cfRule>
    <cfRule type="containsText" dxfId="6455" priority="531" operator="containsText" text="Sell">
      <formula>NOT(ISERROR(SEARCH("Sell",E163)))</formula>
    </cfRule>
  </conditionalFormatting>
  <conditionalFormatting sqref="E119">
    <cfRule type="containsText" dxfId="6454" priority="528" operator="containsText" text="Buy">
      <formula>NOT(ISERROR(SEARCH("Buy",E119)))</formula>
    </cfRule>
    <cfRule type="containsText" dxfId="6453" priority="529" operator="containsText" text="Sell">
      <formula>NOT(ISERROR(SEARCH("Sell",E119)))</formula>
    </cfRule>
  </conditionalFormatting>
  <conditionalFormatting sqref="L9:M9">
    <cfRule type="dataBar" priority="5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{07DA4541-DCE2-4A8D-8BAA-DD21AA704C00}</x14:id>
        </ext>
      </extLst>
    </cfRule>
  </conditionalFormatting>
  <conditionalFormatting sqref="L9:M9">
    <cfRule type="dataBar" priority="5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{90C859CD-6F1B-4329-95C6-397B4A10A811}</x14:id>
        </ext>
      </extLst>
    </cfRule>
  </conditionalFormatting>
  <conditionalFormatting sqref="L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{81119122-5309-4BF4-8AA0-BACDA3D3015E}</x14:id>
        </ext>
      </extLst>
    </cfRule>
  </conditionalFormatting>
  <conditionalFormatting sqref="M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{B3ED1B4C-1FF6-42C8-B8D8-083B27574C05}</x14:id>
        </ext>
      </extLst>
    </cfRule>
  </conditionalFormatting>
  <conditionalFormatting sqref="V9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{6A0D98A9-9E30-496D-A265-03223A8A3E7F}</x14:id>
        </ext>
      </extLst>
    </cfRule>
  </conditionalFormatting>
  <conditionalFormatting sqref="W9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{5D8E7F96-4419-42D0-B90C-17D5DBE10124}</x14:id>
        </ext>
      </extLst>
    </cfRule>
  </conditionalFormatting>
  <conditionalFormatting sqref="L9:M9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{030204C9-48D7-4C8D-836F-CC12D8A94B43}</x14:id>
        </ext>
      </extLst>
    </cfRule>
  </conditionalFormatting>
  <conditionalFormatting sqref="L9:M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{7E60EE15-DA46-4061-A428-E2F4DBC3215F}</x14:id>
        </ext>
      </extLst>
    </cfRule>
  </conditionalFormatting>
  <conditionalFormatting sqref="L9:M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{D5BF9FBA-B76C-4078-B97A-50FB918ABCC9}</x14:id>
        </ext>
      </extLst>
    </cfRule>
  </conditionalFormatting>
  <conditionalFormatting sqref="L9:M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{3C609064-009E-40E7-B904-BC1AF0CB63E2}</x14:id>
        </ext>
      </extLst>
    </cfRule>
  </conditionalFormatting>
  <conditionalFormatting sqref="E79">
    <cfRule type="containsText" dxfId="6452" priority="494" operator="containsText" text="Buy">
      <formula>NOT(ISERROR(SEARCH("Buy",E79)))</formula>
    </cfRule>
    <cfRule type="containsText" dxfId="6451" priority="495" operator="containsText" text="Sell">
      <formula>NOT(ISERROR(SEARCH("Sell",E79)))</formula>
    </cfRule>
  </conditionalFormatting>
  <conditionalFormatting sqref="E87">
    <cfRule type="containsText" dxfId="6450" priority="465" operator="containsText" text="Buy">
      <formula>NOT(ISERROR(SEARCH("Buy",E87)))</formula>
    </cfRule>
    <cfRule type="containsText" dxfId="6449" priority="466" operator="containsText" text="Sell">
      <formula>NOT(ISERROR(SEARCH("Sell",E87)))</formula>
    </cfRule>
  </conditionalFormatting>
  <conditionalFormatting sqref="E88">
    <cfRule type="containsText" dxfId="6448" priority="467" operator="containsText" text="Buy">
      <formula>NOT(ISERROR(SEARCH("Buy",E88)))</formula>
    </cfRule>
    <cfRule type="containsText" dxfId="6447" priority="468" operator="containsText" text="Sell">
      <formula>NOT(ISERROR(SEARCH("Sell",E88)))</formula>
    </cfRule>
  </conditionalFormatting>
  <conditionalFormatting sqref="M24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{88F54DCF-49C6-4F71-BF97-35D3DFA791F7}</x14:id>
        </ext>
      </extLst>
    </cfRule>
  </conditionalFormatting>
  <conditionalFormatting sqref="V24">
    <cfRule type="dataBar" priority="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{AFCF3BF4-4AC9-4728-8000-3A74EBB8D0D5}</x14:id>
        </ext>
      </extLst>
    </cfRule>
  </conditionalFormatting>
  <conditionalFormatting sqref="W24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{E62F46B7-2242-430E-9AA5-1F5F6B7B7ADE}</x14:id>
        </ext>
      </extLst>
    </cfRule>
  </conditionalFormatting>
  <conditionalFormatting sqref="L24:M24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{00E64892-0ED2-49C3-9920-59CD2BD88103}</x14:id>
        </ext>
      </extLst>
    </cfRule>
  </conditionalFormatting>
  <conditionalFormatting sqref="L24:M24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{1122528E-5FDB-4E87-B7F3-8A875461D310}</x14:id>
        </ext>
      </extLst>
    </cfRule>
  </conditionalFormatting>
  <conditionalFormatting sqref="L24:M24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{80CE32B0-2B24-4AD8-844A-5FA8EE97F549}</x14:id>
        </ext>
      </extLst>
    </cfRule>
  </conditionalFormatting>
  <conditionalFormatting sqref="L24:M2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{6FA90F61-9D2C-42BB-977B-6952C6C2184F}</x14:id>
        </ext>
      </extLst>
    </cfRule>
  </conditionalFormatting>
  <conditionalFormatting sqref="L24:M24">
    <cfRule type="dataBar" priority="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{48C27FD5-6F7A-4640-A2B4-AD4D00FA443E}</x14:id>
        </ext>
      </extLst>
    </cfRule>
  </conditionalFormatting>
  <conditionalFormatting sqref="L24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{1ADC2EF4-0CFE-4999-A17C-532457DA9609}</x14:id>
        </ext>
      </extLst>
    </cfRule>
  </conditionalFormatting>
  <conditionalFormatting sqref="L24:M24">
    <cfRule type="dataBar" priority="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{01AF2492-2146-46F7-B94A-A3A9565400E3}</x14:id>
        </ext>
      </extLst>
    </cfRule>
  </conditionalFormatting>
  <conditionalFormatting sqref="L24:M24">
    <cfRule type="dataBar" priority="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{F3C154B5-72A5-4B67-9C34-CFB472BDB296}</x14:id>
        </ext>
      </extLst>
    </cfRule>
  </conditionalFormatting>
  <conditionalFormatting sqref="L24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{2512412F-E08C-4E7C-AE3F-204DA833C67D}</x14:id>
        </ext>
      </extLst>
    </cfRule>
  </conditionalFormatting>
  <conditionalFormatting sqref="E84">
    <cfRule type="containsText" dxfId="6446" priority="411" operator="containsText" text="Buy">
      <formula>NOT(ISERROR(SEARCH("Buy",E84)))</formula>
    </cfRule>
    <cfRule type="containsText" dxfId="6445" priority="412" operator="containsText" text="Sell">
      <formula>NOT(ISERROR(SEARCH("Sell",E84)))</formula>
    </cfRule>
  </conditionalFormatting>
  <conditionalFormatting sqref="E85">
    <cfRule type="containsText" dxfId="6444" priority="413" operator="containsText" text="Buy">
      <formula>NOT(ISERROR(SEARCH("Buy",E85)))</formula>
    </cfRule>
    <cfRule type="containsText" dxfId="6443" priority="414" operator="containsText" text="Sell">
      <formula>NOT(ISERROR(SEARCH("Sell",E85)))</formula>
    </cfRule>
  </conditionalFormatting>
  <conditionalFormatting sqref="E102">
    <cfRule type="containsText" dxfId="6442" priority="409" operator="containsText" text="Buy">
      <formula>NOT(ISERROR(SEARCH("Buy",E102)))</formula>
    </cfRule>
    <cfRule type="containsText" dxfId="6441" priority="410" operator="containsText" text="Sell">
      <formula>NOT(ISERROR(SEARCH("Sell",E102)))</formula>
    </cfRule>
  </conditionalFormatting>
  <conditionalFormatting sqref="Y29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{F9644A13-150A-4F9B-AEC2-D5A2E93428EC}</x14:id>
        </ext>
      </extLst>
    </cfRule>
  </conditionalFormatting>
  <conditionalFormatting sqref="L29:M29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{7A6B0FC6-B845-4FA3-840D-634B07AB2F12}</x14:id>
        </ext>
      </extLst>
    </cfRule>
  </conditionalFormatting>
  <conditionalFormatting sqref="L29:M29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{F3FA35FC-30BE-4041-95B1-2AD8F2392950}</x14:id>
        </ext>
      </extLst>
    </cfRule>
  </conditionalFormatting>
  <conditionalFormatting sqref="L29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{EAB23254-B3B1-46FA-85B3-9B2F4EF5188B}</x14:id>
        </ext>
      </extLst>
    </cfRule>
  </conditionalFormatting>
  <conditionalFormatting sqref="M29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{8D532F9B-33D0-4E36-A474-B3AF4B268CF8}</x14:id>
        </ext>
      </extLst>
    </cfRule>
  </conditionalFormatting>
  <conditionalFormatting sqref="V29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{1ADDF474-15EC-46E9-BE86-6C67379611AE}</x14:id>
        </ext>
      </extLst>
    </cfRule>
  </conditionalFormatting>
  <conditionalFormatting sqref="W29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{7155EF76-F355-4B1E-9FBB-3C92CAC22136}</x14:id>
        </ext>
      </extLst>
    </cfRule>
  </conditionalFormatting>
  <conditionalFormatting sqref="M29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{FC411FB4-208C-45C6-AD5F-FECCBABE95E8}</x14:id>
        </ext>
      </extLst>
    </cfRule>
  </conditionalFormatting>
  <conditionalFormatting sqref="L2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{64B2A377-02D6-4FC2-8EC6-43B368F1F190}</x14:id>
        </ext>
      </extLst>
    </cfRule>
  </conditionalFormatting>
  <conditionalFormatting sqref="M2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{BF56E4A9-0AAC-40E9-9661-02A6F63200D8}</x14:id>
        </ext>
      </extLst>
    </cfRule>
  </conditionalFormatting>
  <conditionalFormatting sqref="E211">
    <cfRule type="containsText" dxfId="6440" priority="380" operator="containsText" text="Buy">
      <formula>NOT(ISERROR(SEARCH("Buy",E211)))</formula>
    </cfRule>
    <cfRule type="containsText" dxfId="6439" priority="381" operator="containsText" text="Sell">
      <formula>NOT(ISERROR(SEARCH("Sell",E211)))</formula>
    </cfRule>
  </conditionalFormatting>
  <conditionalFormatting sqref="E212">
    <cfRule type="containsText" dxfId="6438" priority="382" operator="containsText" text="Buy">
      <formula>NOT(ISERROR(SEARCH("Buy",E212)))</formula>
    </cfRule>
    <cfRule type="containsText" dxfId="6437" priority="383" operator="containsText" text="Sell">
      <formula>NOT(ISERROR(SEARCH("Sell",E212)))</formula>
    </cfRule>
  </conditionalFormatting>
  <conditionalFormatting sqref="E157">
    <cfRule type="containsText" dxfId="6436" priority="378" operator="containsText" text="Buy">
      <formula>NOT(ISERROR(SEARCH("Buy",E157)))</formula>
    </cfRule>
    <cfRule type="containsText" dxfId="6435" priority="379" operator="containsText" text="Sell">
      <formula>NOT(ISERROR(SEARCH("Sell",E157)))</formula>
    </cfRule>
  </conditionalFormatting>
  <conditionalFormatting sqref="E180">
    <cfRule type="containsText" dxfId="6434" priority="376" operator="containsText" text="Buy">
      <formula>NOT(ISERROR(SEARCH("Buy",E180)))</formula>
    </cfRule>
    <cfRule type="containsText" dxfId="6433" priority="377" operator="containsText" text="Sell">
      <formula>NOT(ISERROR(SEARCH("Sell",E180)))</formula>
    </cfRule>
  </conditionalFormatting>
  <conditionalFormatting sqref="E132">
    <cfRule type="containsText" dxfId="6432" priority="374" operator="containsText" text="Buy">
      <formula>NOT(ISERROR(SEARCH("Buy",E132)))</formula>
    </cfRule>
    <cfRule type="containsText" dxfId="6431" priority="375" operator="containsText" text="Sell">
      <formula>NOT(ISERROR(SEARCH("Sell",E132)))</formula>
    </cfRule>
  </conditionalFormatting>
  <conditionalFormatting sqref="H54 H64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{E9A8CC5A-5E86-4A74-83CD-1655D63F8A0E}</x14:id>
        </ext>
      </extLst>
    </cfRule>
    <cfRule type="cellIs" dxfId="6430" priority="373" operator="equal">
      <formula>1</formula>
    </cfRule>
  </conditionalFormatting>
  <conditionalFormatting sqref="D54 D64">
    <cfRule type="containsText" dxfId="6429" priority="371" operator="containsText" text="Buy">
      <formula>NOT(ISERROR(SEARCH("Buy",D54)))</formula>
    </cfRule>
    <cfRule type="containsText" dxfId="6428" priority="372" operator="containsText" text="Sell">
      <formula>NOT(ISERROR(SEARCH("Sell",D54)))</formula>
    </cfRule>
  </conditionalFormatting>
  <conditionalFormatting sqref="E185">
    <cfRule type="containsText" dxfId="6427" priority="344" operator="containsText" text="Buy">
      <formula>NOT(ISERROR(SEARCH("Buy",E185)))</formula>
    </cfRule>
    <cfRule type="containsText" dxfId="6426" priority="345" operator="containsText" text="Sell">
      <formula>NOT(ISERROR(SEARCH("Sell",E185)))</formula>
    </cfRule>
  </conditionalFormatting>
  <conditionalFormatting sqref="H55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{9DB57C1F-A9CA-482E-A353-F085BA1C4F48}</x14:id>
        </ext>
      </extLst>
    </cfRule>
    <cfRule type="cellIs" dxfId="6425" priority="316" operator="equal">
      <formula>1</formula>
    </cfRule>
  </conditionalFormatting>
  <conditionalFormatting sqref="D55">
    <cfRule type="containsText" dxfId="6424" priority="314" operator="containsText" text="Buy">
      <formula>NOT(ISERROR(SEARCH("Buy",D55)))</formula>
    </cfRule>
    <cfRule type="containsText" dxfId="6423" priority="315" operator="containsText" text="Sell">
      <formula>NOT(ISERROR(SEARCH("Sell",D55)))</formula>
    </cfRule>
  </conditionalFormatting>
  <conditionalFormatting sqref="H56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{C07038DC-3825-4DD1-AD4C-03E5B87D3180}</x14:id>
        </ext>
      </extLst>
    </cfRule>
    <cfRule type="cellIs" dxfId="6422" priority="312" operator="equal">
      <formula>1</formula>
    </cfRule>
  </conditionalFormatting>
  <conditionalFormatting sqref="D56">
    <cfRule type="containsText" dxfId="6421" priority="310" operator="containsText" text="Buy">
      <formula>NOT(ISERROR(SEARCH("Buy",D56)))</formula>
    </cfRule>
    <cfRule type="containsText" dxfId="6420" priority="311" operator="containsText" text="Sell">
      <formula>NOT(ISERROR(SEARCH("Sell",D56)))</formula>
    </cfRule>
  </conditionalFormatting>
  <conditionalFormatting sqref="E106">
    <cfRule type="containsText" dxfId="6419" priority="281" operator="containsText" text="Buy">
      <formula>NOT(ISERROR(SEARCH("Buy",E106)))</formula>
    </cfRule>
    <cfRule type="containsText" dxfId="6418" priority="282" operator="containsText" text="Sell">
      <formula>NOT(ISERROR(SEARCH("Sell",E106)))</formula>
    </cfRule>
  </conditionalFormatting>
  <conditionalFormatting sqref="E93">
    <cfRule type="containsText" dxfId="6417" priority="279" operator="containsText" text="Buy">
      <formula>NOT(ISERROR(SEARCH("Buy",E93)))</formula>
    </cfRule>
    <cfRule type="containsText" dxfId="6416" priority="280" operator="containsText" text="Sell">
      <formula>NOT(ISERROR(SEARCH("Sell",E93)))</formula>
    </cfRule>
  </conditionalFormatting>
  <conditionalFormatting sqref="H57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{94B926A4-12FC-474E-9A3F-E8C8395325D4}</x14:id>
        </ext>
      </extLst>
    </cfRule>
    <cfRule type="cellIs" dxfId="6415" priority="278" operator="equal">
      <formula>1</formula>
    </cfRule>
  </conditionalFormatting>
  <conditionalFormatting sqref="D57">
    <cfRule type="containsText" dxfId="6414" priority="276" operator="containsText" text="Buy">
      <formula>NOT(ISERROR(SEARCH("Buy",D57)))</formula>
    </cfRule>
    <cfRule type="containsText" dxfId="6413" priority="277" operator="containsText" text="Sell">
      <formula>NOT(ISERROR(SEARCH("Sell",D57)))</formula>
    </cfRule>
  </conditionalFormatting>
  <conditionalFormatting sqref="L22:M22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{68F815D5-77AF-478D-B089-3E87645B8747}</x14:id>
        </ext>
      </extLst>
    </cfRule>
  </conditionalFormatting>
  <conditionalFormatting sqref="L22:M22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{0820BDD8-D62A-4277-B455-83BB7012065F}</x14:id>
        </ext>
      </extLst>
    </cfRule>
  </conditionalFormatting>
  <conditionalFormatting sqref="L22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{50AB9D22-A8FA-4630-9E14-74F05AB0157D}</x14:id>
        </ext>
      </extLst>
    </cfRule>
  </conditionalFormatting>
  <conditionalFormatting sqref="M22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{F7CC8FEA-3D8A-4248-98D7-0BDC30ECAC20}</x14:id>
        </ext>
      </extLst>
    </cfRule>
  </conditionalFormatting>
  <conditionalFormatting sqref="V2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{DFC9A97E-6F58-4142-834E-993769318548}</x14:id>
        </ext>
      </extLst>
    </cfRule>
  </conditionalFormatting>
  <conditionalFormatting sqref="W22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{C12195D9-9820-4A5E-B138-B5E2B673B09B}</x14:id>
        </ext>
      </extLst>
    </cfRule>
  </conditionalFormatting>
  <conditionalFormatting sqref="L22:M2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{D65DDB50-7837-4BCF-84B6-C8EEAA97423C}</x14:id>
        </ext>
      </extLst>
    </cfRule>
  </conditionalFormatting>
  <conditionalFormatting sqref="L22:M22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{3CA71B00-620B-45A9-AD0B-3DBE46BB62C8}</x14:id>
        </ext>
      </extLst>
    </cfRule>
  </conditionalFormatting>
  <conditionalFormatting sqref="L22:M22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{44C46030-D5F9-4E00-9B42-E513DB582C50}</x14:id>
        </ext>
      </extLst>
    </cfRule>
  </conditionalFormatting>
  <conditionalFormatting sqref="L22:M2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{78982039-412F-4E6B-B4CB-CC4DF5559F21}</x14:id>
        </ext>
      </extLst>
    </cfRule>
  </conditionalFormatting>
  <conditionalFormatting sqref="L22:M2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{EB25CEDD-3B5D-421D-B6F7-B155CC4E48D5}</x14:id>
        </ext>
      </extLst>
    </cfRule>
  </conditionalFormatting>
  <conditionalFormatting sqref="L2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{C9AFF479-B3AA-44A0-A53F-EA5480809389}</x14:id>
        </ext>
      </extLst>
    </cfRule>
  </conditionalFormatting>
  <conditionalFormatting sqref="L22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{79E9987B-A3BD-42EB-AB8B-EE935E494A21}</x14:id>
        </ext>
      </extLst>
    </cfRule>
  </conditionalFormatting>
  <conditionalFormatting sqref="L22:M22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{D5ACBA96-6E74-4C93-BEF7-ED610AD2CF05}</x14:id>
        </ext>
      </extLst>
    </cfRule>
  </conditionalFormatting>
  <conditionalFormatting sqref="H58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{4764B8B6-030B-4BD6-BBB6-8BA511ACC76B}</x14:id>
        </ext>
      </extLst>
    </cfRule>
    <cfRule type="cellIs" dxfId="6412" priority="247" operator="equal">
      <formula>1</formula>
    </cfRule>
  </conditionalFormatting>
  <conditionalFormatting sqref="D58">
    <cfRule type="containsText" dxfId="6411" priority="245" operator="containsText" text="Buy">
      <formula>NOT(ISERROR(SEARCH("Buy",D58)))</formula>
    </cfRule>
    <cfRule type="containsText" dxfId="6410" priority="246" operator="containsText" text="Sell">
      <formula>NOT(ISERROR(SEARCH("Sell",D58)))</formula>
    </cfRule>
  </conditionalFormatting>
  <conditionalFormatting sqref="Y31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{45FC00DF-72F8-4CDB-8FA5-7D963E08F8BB}</x14:id>
        </ext>
      </extLst>
    </cfRule>
  </conditionalFormatting>
  <conditionalFormatting sqref="L31:M31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{0151E65F-68F5-4043-876E-68E8216ADA58}</x14:id>
        </ext>
      </extLst>
    </cfRule>
  </conditionalFormatting>
  <conditionalFormatting sqref="L31:M31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{D7EAFDD6-E95F-4205-B63B-DD94F0E055ED}</x14:id>
        </ext>
      </extLst>
    </cfRule>
  </conditionalFormatting>
  <conditionalFormatting sqref="L31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{A6FC7687-33C7-458D-B7FA-74AEE5A7FC5A}</x14:id>
        </ext>
      </extLst>
    </cfRule>
  </conditionalFormatting>
  <conditionalFormatting sqref="M31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{3329D425-450E-45F9-8342-A460FE9455F2}</x14:id>
        </ext>
      </extLst>
    </cfRule>
  </conditionalFormatting>
  <conditionalFormatting sqref="V31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{1B2D5062-E8AC-4D6C-B172-721750AFA87F}</x14:id>
        </ext>
      </extLst>
    </cfRule>
  </conditionalFormatting>
  <conditionalFormatting sqref="W31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{986358D1-322F-4353-98B5-9CEDA8804179}</x14:id>
        </ext>
      </extLst>
    </cfRule>
  </conditionalFormatting>
  <conditionalFormatting sqref="M31">
    <cfRule type="dataBar" priority="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{700A4D9D-23DB-4FCC-A820-ACCF9DBE1CEB}</x14:id>
        </ext>
      </extLst>
    </cfRule>
  </conditionalFormatting>
  <conditionalFormatting sqref="L31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{71866ADE-D5CB-46BB-83BC-05CAC87F0EB1}</x14:id>
        </ext>
      </extLst>
    </cfRule>
  </conditionalFormatting>
  <conditionalFormatting sqref="M31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{C7D198D2-C5CF-4FB6-AE4F-D6ECAB482FF7}</x14:id>
        </ext>
      </extLst>
    </cfRule>
  </conditionalFormatting>
  <conditionalFormatting sqref="L31:M31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{417E8FEB-24F8-40DB-9C54-1E60C8C1B603}</x14:id>
        </ext>
      </extLst>
    </cfRule>
  </conditionalFormatting>
  <conditionalFormatting sqref="E72:E73">
    <cfRule type="containsText" dxfId="6409" priority="218" operator="containsText" text="Buy">
      <formula>NOT(ISERROR(SEARCH("Buy",E72)))</formula>
    </cfRule>
    <cfRule type="containsText" dxfId="6408" priority="219" operator="containsText" text="Sell">
      <formula>NOT(ISERROR(SEARCH("Sell",E72)))</formula>
    </cfRule>
  </conditionalFormatting>
  <conditionalFormatting sqref="E150">
    <cfRule type="containsText" dxfId="6407" priority="216" operator="containsText" text="Buy">
      <formula>NOT(ISERROR(SEARCH("Buy",E150)))</formula>
    </cfRule>
    <cfRule type="containsText" dxfId="6406" priority="217" operator="containsText" text="Sell">
      <formula>NOT(ISERROR(SEARCH("Sell",E150)))</formula>
    </cfRule>
  </conditionalFormatting>
  <conditionalFormatting sqref="L21:M21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{5341713D-63A0-4FAF-A7CC-C6D1400361EB}</x14:id>
        </ext>
      </extLst>
    </cfRule>
  </conditionalFormatting>
  <conditionalFormatting sqref="L21:M21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{990FBA39-8F1F-4968-8F38-586B2F2CF38D}</x14:id>
        </ext>
      </extLst>
    </cfRule>
  </conditionalFormatting>
  <conditionalFormatting sqref="L21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{A1DE7658-5736-49CC-BA37-3EFEDCFE740E}</x14:id>
        </ext>
      </extLst>
    </cfRule>
  </conditionalFormatting>
  <conditionalFormatting sqref="M21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{D23969A7-E104-4649-916A-9E03A435E1EA}</x14:id>
        </ext>
      </extLst>
    </cfRule>
  </conditionalFormatting>
  <conditionalFormatting sqref="V2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{B7182FBF-8A45-4BE5-A788-A6C2C9B8B5A6}</x14:id>
        </ext>
      </extLst>
    </cfRule>
  </conditionalFormatting>
  <conditionalFormatting sqref="W21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{B6A7C002-C0A5-4233-B56B-4D05C53F044F}</x14:id>
        </ext>
      </extLst>
    </cfRule>
  </conditionalFormatting>
  <conditionalFormatting sqref="L21:M21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{06CE8D75-5168-47CB-9128-9C072B92161F}</x14:id>
        </ext>
      </extLst>
    </cfRule>
  </conditionalFormatting>
  <conditionalFormatting sqref="L21:M21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{8E6040F5-1210-4B4F-8F38-A552D3DFA412}</x14:id>
        </ext>
      </extLst>
    </cfRule>
  </conditionalFormatting>
  <conditionalFormatting sqref="L21:M21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{E16527F3-84B6-42F7-A738-D3F8D719D6C3}</x14:id>
        </ext>
      </extLst>
    </cfRule>
  </conditionalFormatting>
  <conditionalFormatting sqref="L21:M21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{D0A732A8-4321-4B2D-A6B0-D4AD5DFD88D0}</x14:id>
        </ext>
      </extLst>
    </cfRule>
  </conditionalFormatting>
  <conditionalFormatting sqref="L21:M21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{790CDB0E-AAEA-448D-9028-455AB9A697AC}</x14:id>
        </ext>
      </extLst>
    </cfRule>
  </conditionalFormatting>
  <conditionalFormatting sqref="L21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{80DB86B5-04DF-4A35-A98A-B1189F03C81A}</x14:id>
        </ext>
      </extLst>
    </cfRule>
  </conditionalFormatting>
  <conditionalFormatting sqref="L21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{214944E5-6FED-45EA-8AF5-E92424AADC5A}</x14:id>
        </ext>
      </extLst>
    </cfRule>
  </conditionalFormatting>
  <conditionalFormatting sqref="L21:M21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{85DA7282-0FBE-406D-9360-EC0BB611918C}</x14:id>
        </ext>
      </extLst>
    </cfRule>
  </conditionalFormatting>
  <conditionalFormatting sqref="E214:E215">
    <cfRule type="containsText" dxfId="6405" priority="187" operator="containsText" text="Buy">
      <formula>NOT(ISERROR(SEARCH("Buy",E214)))</formula>
    </cfRule>
    <cfRule type="containsText" dxfId="6404" priority="188" operator="containsText" text="Sell">
      <formula>NOT(ISERROR(SEARCH("Sell",E214)))</formula>
    </cfRule>
  </conditionalFormatting>
  <conditionalFormatting sqref="H59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{542D38EA-490D-47C3-82C5-EF56E1E0C5D3}</x14:id>
        </ext>
      </extLst>
    </cfRule>
    <cfRule type="cellIs" dxfId="6403" priority="184" operator="equal">
      <formula>1</formula>
    </cfRule>
  </conditionalFormatting>
  <conditionalFormatting sqref="D59">
    <cfRule type="containsText" dxfId="6402" priority="182" operator="containsText" text="Buy">
      <formula>NOT(ISERROR(SEARCH("Buy",D59)))</formula>
    </cfRule>
    <cfRule type="containsText" dxfId="6401" priority="183" operator="containsText" text="Sell">
      <formula>NOT(ISERROR(SEARCH("Sell",D59)))</formula>
    </cfRule>
  </conditionalFormatting>
  <conditionalFormatting sqref="H60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{57D667D6-9F76-4F01-9127-74D3D5E5BC3D}</x14:id>
        </ext>
      </extLst>
    </cfRule>
    <cfRule type="cellIs" dxfId="6400" priority="175" operator="equal">
      <formula>1</formula>
    </cfRule>
  </conditionalFormatting>
  <conditionalFormatting sqref="D60">
    <cfRule type="containsText" dxfId="6399" priority="173" operator="containsText" text="Buy">
      <formula>NOT(ISERROR(SEARCH("Buy",D60)))</formula>
    </cfRule>
    <cfRule type="containsText" dxfId="6398" priority="174" operator="containsText" text="Sell">
      <formula>NOT(ISERROR(SEARCH("Sell",D60)))</formula>
    </cfRule>
  </conditionalFormatting>
  <conditionalFormatting sqref="L6:M8 L15:M20 L10:M13 L25:M26 L23:M23">
    <cfRule type="dataBar" priority="308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{2EF734A5-3C5B-4A51-AAEE-BC627E0AFFA5}</x14:id>
        </ext>
      </extLst>
    </cfRule>
  </conditionalFormatting>
  <conditionalFormatting sqref="L6:M8 L15:M20 L10:M13 L25:M27 L23:M23">
    <cfRule type="dataBar" priority="30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{A46F7597-3AB8-4BFA-8FC7-88FFEC15D375}</x14:id>
        </ext>
      </extLst>
    </cfRule>
  </conditionalFormatting>
  <conditionalFormatting sqref="L6:M8 L10:M20 L25:M27 L23:M23">
    <cfRule type="dataBar" priority="308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{CF93E862-1EFF-4B23-8FE5-F43830D45EB8}</x14:id>
        </ext>
      </extLst>
    </cfRule>
  </conditionalFormatting>
  <conditionalFormatting sqref="L6:M20 L25:M27 L23:M23">
    <cfRule type="dataBar" priority="30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{A1ECF540-07D1-43B3-91D6-31E381CCBE93}</x14:id>
        </ext>
      </extLst>
    </cfRule>
  </conditionalFormatting>
  <conditionalFormatting sqref="L6:L20 L25:L27 L23">
    <cfRule type="dataBar" priority="30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{E255406F-39F0-4609-B238-C3D219833B5D}</x14:id>
        </ext>
      </extLst>
    </cfRule>
  </conditionalFormatting>
  <conditionalFormatting sqref="L6:L20 L23:L27">
    <cfRule type="dataBar" priority="30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{1BEEF546-C6E5-4B36-814D-AEA77E8EDFEA}</x14:id>
        </ext>
      </extLst>
    </cfRule>
  </conditionalFormatting>
  <conditionalFormatting sqref="E113">
    <cfRule type="containsText" dxfId="6397" priority="169" operator="containsText" text="Buy">
      <formula>NOT(ISERROR(SEARCH("Buy",E113)))</formula>
    </cfRule>
    <cfRule type="containsText" dxfId="6396" priority="170" operator="containsText" text="Sell">
      <formula>NOT(ISERROR(SEARCH("Sell",E113)))</formula>
    </cfRule>
  </conditionalFormatting>
  <conditionalFormatting sqref="H62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{D92B4B7D-C8A4-4DF7-9048-317605181FEA}</x14:id>
        </ext>
      </extLst>
    </cfRule>
    <cfRule type="cellIs" dxfId="6395" priority="166" operator="equal">
      <formula>1</formula>
    </cfRule>
  </conditionalFormatting>
  <conditionalFormatting sqref="D62">
    <cfRule type="containsText" dxfId="6394" priority="164" operator="containsText" text="Buy">
      <formula>NOT(ISERROR(SEARCH("Buy",D62)))</formula>
    </cfRule>
    <cfRule type="containsText" dxfId="6393" priority="165" operator="containsText" text="Sell">
      <formula>NOT(ISERROR(SEARCH("Sell",D62)))</formula>
    </cfRule>
  </conditionalFormatting>
  <conditionalFormatting sqref="I6:I27">
    <cfRule type="dataBar" priority="31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{354CAD9C-AC8A-4171-98F7-28A71E18D66A}</x14:id>
        </ext>
      </extLst>
    </cfRule>
  </conditionalFormatting>
  <conditionalFormatting sqref="V7:W7">
    <cfRule type="dataBar" priority="31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{438FCF3C-BACE-4243-9462-CD95C8668FE7}</x14:id>
        </ext>
      </extLst>
    </cfRule>
  </conditionalFormatting>
  <conditionalFormatting sqref="V7:W7">
    <cfRule type="dataBar" priority="3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{B51C7E79-4ED9-4DD2-8D5F-C7A02379A1D3}</x14:id>
        </ext>
      </extLst>
    </cfRule>
  </conditionalFormatting>
  <conditionalFormatting sqref="V8:W8">
    <cfRule type="dataBar" priority="316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{7D3C16C6-3346-4288-A135-6BAD5D1C71E4}</x14:id>
        </ext>
      </extLst>
    </cfRule>
  </conditionalFormatting>
  <conditionalFormatting sqref="V8:W8">
    <cfRule type="dataBar" priority="3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{166FD258-ECA1-44A2-A5EC-4631D7939491}</x14:id>
        </ext>
      </extLst>
    </cfRule>
  </conditionalFormatting>
  <conditionalFormatting sqref="V6:W6">
    <cfRule type="dataBar" priority="316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{AD7A7489-F488-479A-9FE6-17C5EF9768D7}</x14:id>
        </ext>
      </extLst>
    </cfRule>
  </conditionalFormatting>
  <conditionalFormatting sqref="V6:W6">
    <cfRule type="dataBar" priority="31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{51F21E24-E9DC-4155-BAB4-02258C87E56D}</x14:id>
        </ext>
      </extLst>
    </cfRule>
  </conditionalFormatting>
  <conditionalFormatting sqref="V10:W10">
    <cfRule type="dataBar" priority="31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{5B8D8D9C-FFE5-4D7E-91CC-6A0EB1DA3777}</x14:id>
        </ext>
      </extLst>
    </cfRule>
  </conditionalFormatting>
  <conditionalFormatting sqref="V10:W10">
    <cfRule type="dataBar" priority="31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{168E9B5A-7C6B-4C61-9FE1-1BCBB680DC02}</x14:id>
        </ext>
      </extLst>
    </cfRule>
  </conditionalFormatting>
  <conditionalFormatting sqref="V13:W13">
    <cfRule type="dataBar" priority="316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{96F65E52-F70D-420D-9EBD-6BF465E64BD9}</x14:id>
        </ext>
      </extLst>
    </cfRule>
  </conditionalFormatting>
  <conditionalFormatting sqref="V13:W13">
    <cfRule type="dataBar" priority="31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{407C147E-AFB7-480F-A2DE-E022C4860893}</x14:id>
        </ext>
      </extLst>
    </cfRule>
  </conditionalFormatting>
  <conditionalFormatting sqref="V18:W18">
    <cfRule type="dataBar" priority="31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{28712628-4BD9-4D45-BA36-829A8EEB9D95}</x14:id>
        </ext>
      </extLst>
    </cfRule>
  </conditionalFormatting>
  <conditionalFormatting sqref="V18:W18">
    <cfRule type="dataBar" priority="31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{09E79222-7121-489E-9D39-2ED698C4E7DC}</x14:id>
        </ext>
      </extLst>
    </cfRule>
  </conditionalFormatting>
  <conditionalFormatting sqref="V19:W19">
    <cfRule type="dataBar" priority="316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{4F9AA84C-729C-4E6B-83A3-A51ECEC47506}</x14:id>
        </ext>
      </extLst>
    </cfRule>
  </conditionalFormatting>
  <conditionalFormatting sqref="V19:W19">
    <cfRule type="dataBar" priority="31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{680E521C-6CC7-401C-B80C-DC186CCB1725}</x14:id>
        </ext>
      </extLst>
    </cfRule>
  </conditionalFormatting>
  <conditionalFormatting sqref="V26:W26">
    <cfRule type="dataBar" priority="316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{9695B85E-3954-41EA-B2FE-DEAD3992A082}</x14:id>
        </ext>
      </extLst>
    </cfRule>
  </conditionalFormatting>
  <conditionalFormatting sqref="V26:W26">
    <cfRule type="dataBar" priority="31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{890276C8-9025-4A82-A45C-3AC9D853A30B}</x14:id>
        </ext>
      </extLst>
    </cfRule>
  </conditionalFormatting>
  <conditionalFormatting sqref="V25:W25">
    <cfRule type="dataBar" priority="31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{6963D3E5-7BAE-4317-819E-1825997366ED}</x14:id>
        </ext>
      </extLst>
    </cfRule>
  </conditionalFormatting>
  <conditionalFormatting sqref="V25:W25">
    <cfRule type="dataBar" priority="31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{242BB803-3A54-4049-BE9B-7139E78FF568}</x14:id>
        </ext>
      </extLst>
    </cfRule>
  </conditionalFormatting>
  <conditionalFormatting sqref="V23:W23">
    <cfRule type="dataBar" priority="317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{8004657A-C3A8-4107-8620-378405BA347C}</x14:id>
        </ext>
      </extLst>
    </cfRule>
  </conditionalFormatting>
  <conditionalFormatting sqref="V23:W23">
    <cfRule type="dataBar" priority="31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{BB546BA5-E22A-4F77-BE2D-3DA8F45BDAC6}</x14:id>
        </ext>
      </extLst>
    </cfRule>
  </conditionalFormatting>
  <conditionalFormatting sqref="V16:W16">
    <cfRule type="dataBar" priority="3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{3A1F9822-F81F-4298-B63F-FF4783F9712C}</x14:id>
        </ext>
      </extLst>
    </cfRule>
  </conditionalFormatting>
  <conditionalFormatting sqref="V16:W16">
    <cfRule type="dataBar" priority="31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{FEBCCE26-E1E6-416B-B898-1E379267F085}</x14:id>
        </ext>
      </extLst>
    </cfRule>
  </conditionalFormatting>
  <conditionalFormatting sqref="V20:W20">
    <cfRule type="dataBar" priority="31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{AE842213-9A97-4195-9962-55BE2DCBC259}</x14:id>
        </ext>
      </extLst>
    </cfRule>
  </conditionalFormatting>
  <conditionalFormatting sqref="V20:W20">
    <cfRule type="dataBar" priority="31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{D9543D4B-59EF-4053-A7FE-79130CC9B99B}</x14:id>
        </ext>
      </extLst>
    </cfRule>
  </conditionalFormatting>
  <conditionalFormatting sqref="V17:W17">
    <cfRule type="dataBar" priority="317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{8922311B-8557-490B-B33A-006EAE244996}</x14:id>
        </ext>
      </extLst>
    </cfRule>
  </conditionalFormatting>
  <conditionalFormatting sqref="V17:W17">
    <cfRule type="dataBar" priority="317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{80859090-393E-4746-9773-53712C3E49C1}</x14:id>
        </ext>
      </extLst>
    </cfRule>
  </conditionalFormatting>
  <conditionalFormatting sqref="V11:W11">
    <cfRule type="dataBar" priority="317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{7362D469-8DC9-47FD-AEC9-A5C5D57652A8}</x14:id>
        </ext>
      </extLst>
    </cfRule>
  </conditionalFormatting>
  <conditionalFormatting sqref="V11:W11">
    <cfRule type="dataBar" priority="317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{DB6F1AA0-267E-4535-B26D-34AC5064A7FD}</x14:id>
        </ext>
      </extLst>
    </cfRule>
  </conditionalFormatting>
  <conditionalFormatting sqref="V12:W12">
    <cfRule type="dataBar" priority="317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{38638717-4A34-4C85-907C-46B4BA2E6A9B}</x14:id>
        </ext>
      </extLst>
    </cfRule>
  </conditionalFormatting>
  <conditionalFormatting sqref="V12:W12">
    <cfRule type="dataBar" priority="317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{D6059F89-D018-4C8D-BD0A-3410256693D5}</x14:id>
        </ext>
      </extLst>
    </cfRule>
  </conditionalFormatting>
  <conditionalFormatting sqref="V15:W15">
    <cfRule type="dataBar" priority="31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{3C2A55FF-F23F-42F6-9220-D7D0503B2B2A}</x14:id>
        </ext>
      </extLst>
    </cfRule>
  </conditionalFormatting>
  <conditionalFormatting sqref="V15:W15">
    <cfRule type="dataBar" priority="31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{04A2B953-7119-462A-92D2-617F9F996E4B}</x14:id>
        </ext>
      </extLst>
    </cfRule>
  </conditionalFormatting>
  <conditionalFormatting sqref="V27:W27">
    <cfRule type="dataBar" priority="31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{80CC94FD-7E4C-439B-8CF2-06FE2DDF7992}</x14:id>
        </ext>
      </extLst>
    </cfRule>
  </conditionalFormatting>
  <conditionalFormatting sqref="V27:W27">
    <cfRule type="dataBar" priority="31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{0F6BE408-C5A0-43DF-9953-E29F61CDAA8A}</x14:id>
        </ext>
      </extLst>
    </cfRule>
  </conditionalFormatting>
  <conditionalFormatting sqref="V14:W14">
    <cfRule type="dataBar" priority="31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{601F7273-64F1-4D31-9398-C2F46EF88CAD}</x14:id>
        </ext>
      </extLst>
    </cfRule>
  </conditionalFormatting>
  <conditionalFormatting sqref="V14:W14">
    <cfRule type="dataBar" priority="31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{946B6941-6FF3-48C4-8939-E3C422D7E22A}</x14:id>
        </ext>
      </extLst>
    </cfRule>
  </conditionalFormatting>
  <conditionalFormatting sqref="V9:W9">
    <cfRule type="dataBar" priority="317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{B9AB89A4-117B-495E-8DB8-922C884A3B22}</x14:id>
        </ext>
      </extLst>
    </cfRule>
  </conditionalFormatting>
  <conditionalFormatting sqref="V9:W9">
    <cfRule type="dataBar" priority="31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{91DBA1A8-E213-4428-9E0F-1C1757F46572}</x14:id>
        </ext>
      </extLst>
    </cfRule>
  </conditionalFormatting>
  <conditionalFormatting sqref="V24:W24">
    <cfRule type="dataBar" priority="31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{5DC76ADF-7072-4333-A74E-4A1529C74F9B}</x14:id>
        </ext>
      </extLst>
    </cfRule>
  </conditionalFormatting>
  <conditionalFormatting sqref="V24:W24">
    <cfRule type="dataBar" priority="31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{06204FF7-E27C-4316-9CC2-F2B3235F5E48}</x14:id>
        </ext>
      </extLst>
    </cfRule>
  </conditionalFormatting>
  <conditionalFormatting sqref="V29:W29">
    <cfRule type="dataBar" priority="31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{1309AB16-09A3-4433-A67D-90730CB9995A}</x14:id>
        </ext>
      </extLst>
    </cfRule>
  </conditionalFormatting>
  <conditionalFormatting sqref="V22:W22">
    <cfRule type="dataBar" priority="31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{C2C798E8-5E8F-476A-9106-FDF9971B1139}</x14:id>
        </ext>
      </extLst>
    </cfRule>
  </conditionalFormatting>
  <conditionalFormatting sqref="V22:W22">
    <cfRule type="dataBar" priority="317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{228EA6F5-652F-4045-9ED4-CAA1B35DEA7A}</x14:id>
        </ext>
      </extLst>
    </cfRule>
  </conditionalFormatting>
  <conditionalFormatting sqref="V31:W31">
    <cfRule type="dataBar" priority="317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{763A3CA5-20CD-44A2-AAD3-ADDD43D38573}</x14:id>
        </ext>
      </extLst>
    </cfRule>
  </conditionalFormatting>
  <conditionalFormatting sqref="V21:W21">
    <cfRule type="dataBar" priority="31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{C756640A-DC55-42EE-9842-5DA09157251A}</x14:id>
        </ext>
      </extLst>
    </cfRule>
  </conditionalFormatting>
  <conditionalFormatting sqref="V21:W21">
    <cfRule type="dataBar" priority="31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{341144DC-FC7F-4BC3-A1E0-1CA52A389872}</x14:id>
        </ext>
      </extLst>
    </cfRule>
  </conditionalFormatting>
  <conditionalFormatting sqref="A6">
    <cfRule type="dataBar" priority="1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{F4C67BCC-28B7-4080-808B-9755F6830464}</x14:id>
        </ext>
      </extLst>
    </cfRule>
  </conditionalFormatting>
  <conditionalFormatting sqref="E146">
    <cfRule type="containsText" dxfId="6392" priority="149" operator="containsText" text="Buy">
      <formula>NOT(ISERROR(SEARCH("Buy",E146)))</formula>
    </cfRule>
    <cfRule type="containsText" dxfId="6391" priority="150" operator="containsText" text="Sell">
      <formula>NOT(ISERROR(SEARCH("Sell",E146)))</formula>
    </cfRule>
  </conditionalFormatting>
  <conditionalFormatting sqref="T28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{A26905F0-8A4E-4A6A-8F17-CFF7CC4AD346}</x14:id>
        </ext>
      </extLst>
    </cfRule>
  </conditionalFormatting>
  <conditionalFormatting sqref="T28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{14E6063B-45B6-4E7D-8682-3A6681ECDE4E}</x14:id>
        </ext>
      </extLst>
    </cfRule>
  </conditionalFormatting>
  <conditionalFormatting sqref="T28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{4FE71105-28C1-4481-A7A9-BC85A3523449}</x14:id>
        </ext>
      </extLst>
    </cfRule>
  </conditionalFormatting>
  <conditionalFormatting sqref="Y28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{C8C4BB52-2366-4F7C-A5DF-6608579558B2}</x14:id>
        </ext>
      </extLst>
    </cfRule>
  </conditionalFormatting>
  <conditionalFormatting sqref="L28:M28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{68FC1CDB-3F1D-48E6-8C72-48BA826A67F0}</x14:id>
        </ext>
      </extLst>
    </cfRule>
  </conditionalFormatting>
  <conditionalFormatting sqref="L28:M28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{0C6BDE77-339F-4F55-9212-7FBDA17F21E0}</x14:id>
        </ext>
      </extLst>
    </cfRule>
  </conditionalFormatting>
  <conditionalFormatting sqref="L28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{6BEA05CF-1473-48C2-9692-1F255B93182A}</x14:id>
        </ext>
      </extLst>
    </cfRule>
  </conditionalFormatting>
  <conditionalFormatting sqref="M2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{0BD14D05-6518-4A5D-951E-D5737009E1BC}</x14:id>
        </ext>
      </extLst>
    </cfRule>
  </conditionalFormatting>
  <conditionalFormatting sqref="V28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{AFED19D8-0269-4D30-A223-AC4E02DA2670}</x14:id>
        </ext>
      </extLst>
    </cfRule>
  </conditionalFormatting>
  <conditionalFormatting sqref="W28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{4E01F71B-8FD3-4046-83F6-9DE1C368E4B5}</x14:id>
        </ext>
      </extLst>
    </cfRule>
  </conditionalFormatting>
  <conditionalFormatting sqref="M28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{1BADAA6A-6EAE-4062-ADE0-81C0F8379B1F}</x14:id>
        </ext>
      </extLst>
    </cfRule>
  </conditionalFormatting>
  <conditionalFormatting sqref="L28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{5B147948-601F-4FC0-B07B-A0160929D699}</x14:id>
        </ext>
      </extLst>
    </cfRule>
  </conditionalFormatting>
  <conditionalFormatting sqref="M28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{60BCD538-D67C-4748-8FEF-C5FA3AF774B4}</x14:id>
        </ext>
      </extLst>
    </cfRule>
  </conditionalFormatting>
  <conditionalFormatting sqref="L28:M28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{E817A348-F6D0-478E-BEFC-B54417C31D46}</x14:id>
        </ext>
      </extLst>
    </cfRule>
  </conditionalFormatting>
  <conditionalFormatting sqref="T28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{55934638-744B-4DF6-B70E-A2EA00701D4F}</x14:id>
        </ext>
      </extLst>
    </cfRule>
  </conditionalFormatting>
  <conditionalFormatting sqref="L28:M28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{59FD619C-5AF5-474F-A5B5-20304D8812B2}</x14:id>
        </ext>
      </extLst>
    </cfRule>
  </conditionalFormatting>
  <conditionalFormatting sqref="T2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{D8B53CA9-7F2E-40B5-AE77-8F903E78635A}</x14:id>
        </ext>
      </extLst>
    </cfRule>
  </conditionalFormatting>
  <conditionalFormatting sqref="I28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{A32A5DFD-EFD1-4197-9478-F50119A328ED}</x14:id>
        </ext>
      </extLst>
    </cfRule>
  </conditionalFormatting>
  <conditionalFormatting sqref="T28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{82274D96-E0D0-43F9-90CF-90E940BA9CED}</x14:id>
        </ext>
      </extLst>
    </cfRule>
  </conditionalFormatting>
  <conditionalFormatting sqref="T28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{A153ACC5-A329-4C86-A6BD-3AC5ADDFA7F4}</x14:id>
        </ext>
      </extLst>
    </cfRule>
  </conditionalFormatting>
  <conditionalFormatting sqref="V28:W28">
    <cfRule type="dataBar" priority="1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{E5590729-E563-4920-AAD2-C227EC91B7FB}</x14:id>
        </ext>
      </extLst>
    </cfRule>
  </conditionalFormatting>
  <conditionalFormatting sqref="V28:W2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{A326343B-D027-46C5-A6D6-48987EC0E916}</x14:id>
        </ext>
      </extLst>
    </cfRule>
  </conditionalFormatting>
  <conditionalFormatting sqref="A2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{F0BA155F-952D-4262-8B53-BB770A3DA0DB}</x14:id>
        </ext>
      </extLst>
    </cfRule>
  </conditionalFormatting>
  <conditionalFormatting sqref="E75 E77">
    <cfRule type="containsText" dxfId="6390" priority="124" operator="containsText" text="Buy">
      <formula>NOT(ISERROR(SEARCH("Buy",E75)))</formula>
    </cfRule>
    <cfRule type="containsText" dxfId="6389" priority="125" operator="containsText" text="Sell">
      <formula>NOT(ISERROR(SEARCH("Sell",E75)))</formula>
    </cfRule>
  </conditionalFormatting>
  <conditionalFormatting sqref="H6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{88B81C91-A615-47D7-8069-CBED7F5BF8C2}</x14:id>
        </ext>
      </extLst>
    </cfRule>
    <cfRule type="cellIs" dxfId="6388" priority="122" operator="equal">
      <formula>1</formula>
    </cfRule>
  </conditionalFormatting>
  <conditionalFormatting sqref="D61">
    <cfRule type="containsText" dxfId="6387" priority="120" operator="containsText" text="Buy">
      <formula>NOT(ISERROR(SEARCH("Buy",D61)))</formula>
    </cfRule>
    <cfRule type="containsText" dxfId="6386" priority="121" operator="containsText" text="Sell">
      <formula>NOT(ISERROR(SEARCH("Sell",D61)))</formula>
    </cfRule>
  </conditionalFormatting>
  <conditionalFormatting sqref="L33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{C73CA055-7607-4599-A28A-E9B0AB2BC713}</x14:id>
        </ext>
      </extLst>
    </cfRule>
  </conditionalFormatting>
  <conditionalFormatting sqref="E101">
    <cfRule type="containsText" dxfId="6385" priority="114" operator="containsText" text="Buy">
      <formula>NOT(ISERROR(SEARCH("Buy",E101)))</formula>
    </cfRule>
    <cfRule type="containsText" dxfId="6384" priority="115" operator="containsText" text="Sell">
      <formula>NOT(ISERROR(SEARCH("Sell",E101)))</formula>
    </cfRule>
  </conditionalFormatting>
  <conditionalFormatting sqref="E112">
    <cfRule type="containsText" dxfId="6383" priority="112" operator="containsText" text="Buy">
      <formula>NOT(ISERROR(SEARCH("Buy",E112)))</formula>
    </cfRule>
    <cfRule type="containsText" dxfId="6382" priority="113" operator="containsText" text="Sell">
      <formula>NOT(ISERROR(SEARCH("Sell",E112)))</formula>
    </cfRule>
  </conditionalFormatting>
  <conditionalFormatting sqref="E111">
    <cfRule type="containsText" dxfId="6381" priority="108" operator="containsText" text="Buy">
      <formula>NOT(ISERROR(SEARCH("Buy",E111)))</formula>
    </cfRule>
    <cfRule type="containsText" dxfId="6380" priority="109" operator="containsText" text="Sell">
      <formula>NOT(ISERROR(SEARCH("Sell",E111)))</formula>
    </cfRule>
  </conditionalFormatting>
  <conditionalFormatting sqref="D63">
    <cfRule type="containsText" dxfId="6379" priority="104" operator="containsText" text="Buy">
      <formula>NOT(ISERROR(SEARCH("Buy",D63)))</formula>
    </cfRule>
    <cfRule type="containsText" dxfId="6378" priority="105" operator="containsText" text="Sell">
      <formula>NOT(ISERROR(SEARCH("Sell",D63)))</formula>
    </cfRule>
  </conditionalFormatting>
  <conditionalFormatting sqref="H63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{444E083D-0466-4295-A454-1A667EFDC6D2}</x14:id>
        </ext>
      </extLst>
    </cfRule>
    <cfRule type="cellIs" dxfId="6377" priority="107" operator="equal">
      <formula>1</formula>
    </cfRule>
  </conditionalFormatting>
  <conditionalFormatting sqref="T29 T31">
    <cfRule type="dataBar" priority="33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{D114E33F-098E-4745-9A01-50ABEA60BFFD}</x14:id>
        </ext>
      </extLst>
    </cfRule>
  </conditionalFormatting>
  <conditionalFormatting sqref="L6:M20 L23:M27 L29:M29">
    <cfRule type="dataBar" priority="337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{BF25B390-1E60-4946-8C05-07A5A708E31B}</x14:id>
        </ext>
      </extLst>
    </cfRule>
  </conditionalFormatting>
  <conditionalFormatting sqref="T6:T27 T29 T31">
    <cfRule type="dataBar" priority="337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{191321FC-DB09-4BC3-9672-0161D50C9EDF}</x14:id>
        </ext>
      </extLst>
    </cfRule>
  </conditionalFormatting>
  <conditionalFormatting sqref="L6:M27 L29:M29 L31:M31">
    <cfRule type="dataBar" priority="337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{CDA69478-4558-4522-9510-B35558023A51}</x14:id>
        </ext>
      </extLst>
    </cfRule>
  </conditionalFormatting>
  <conditionalFormatting sqref="T6:T27 T29 T31:T33">
    <cfRule type="dataBar" priority="337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{9D2A37B1-46A6-4A0E-86DD-A77D0365549A}</x14:id>
        </ext>
      </extLst>
    </cfRule>
  </conditionalFormatting>
  <conditionalFormatting sqref="I6:I27 I29 I31:I33">
    <cfRule type="dataBar" priority="337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{53430316-C2F4-445E-B384-F583C387E2F8}</x14:id>
        </ext>
      </extLst>
    </cfRule>
  </conditionalFormatting>
  <conditionalFormatting sqref="T29 T3 T31:T33 T6:T27">
    <cfRule type="dataBar" priority="337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{E98B4844-3EDF-46F6-A8AF-7F59F23C53AC}</x14:id>
        </ext>
      </extLst>
    </cfRule>
  </conditionalFormatting>
  <conditionalFormatting sqref="T29">
    <cfRule type="dataBar" priority="337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{8F1B5D77-985B-467F-9BE6-922CC78D2A1C}</x14:id>
        </ext>
      </extLst>
    </cfRule>
  </conditionalFormatting>
  <conditionalFormatting sqref="V6:W27 V29:W29 V31:W31">
    <cfRule type="dataBar" priority="337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{FE7BFFEC-FCF4-4833-BBCF-E566F3BC2B64}</x14:id>
        </ext>
      </extLst>
    </cfRule>
  </conditionalFormatting>
  <conditionalFormatting sqref="A7:A27 A29 A31:A32">
    <cfRule type="dataBar" priority="337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{07CEC21D-7597-49A8-AD43-6A7CAAB462E0}</x14:id>
        </ext>
      </extLst>
    </cfRule>
  </conditionalFormatting>
  <conditionalFormatting sqref="T6:T29 T31:T33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{1D7A21A0-EB3E-416D-ADAB-01904E558E41}</x14:id>
        </ext>
      </extLst>
    </cfRule>
  </conditionalFormatting>
  <conditionalFormatting sqref="L6:L29 L31:L33">
    <cfRule type="dataBar" priority="337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{DCC94559-8BE3-41EE-80BD-27C2B7F0B487}</x14:id>
        </ext>
      </extLst>
    </cfRule>
  </conditionalFormatting>
  <conditionalFormatting sqref="I6:I29 I31:I33">
    <cfRule type="dataBar" priority="337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{66C4AE69-0F26-4A70-A7C5-0C4B758DB89B}</x14:id>
        </ext>
      </extLst>
    </cfRule>
  </conditionalFormatting>
  <conditionalFormatting sqref="M33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{5D57289A-F431-479A-8418-D2CF4C86DBCE}</x14:id>
        </ext>
      </extLst>
    </cfRule>
  </conditionalFormatting>
  <conditionalFormatting sqref="M33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{904F6383-1BF5-43A3-BD70-8C5AA650C071}</x14:id>
        </ext>
      </extLst>
    </cfRule>
  </conditionalFormatting>
  <conditionalFormatting sqref="L6:M29 L31:M33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{BE3D9F0F-DF09-4928-851B-6074E5794A8C}</x14:id>
        </ext>
      </extLst>
    </cfRule>
  </conditionalFormatting>
  <conditionalFormatting sqref="Y30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{E3CBFEEF-6405-4D43-8613-234698ADC5E2}</x14:id>
        </ext>
      </extLst>
    </cfRule>
  </conditionalFormatting>
  <conditionalFormatting sqref="L30:M30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{BB7BB1BB-D53E-402D-AB58-5D1E71B3D468}</x14:id>
        </ext>
      </extLst>
    </cfRule>
  </conditionalFormatting>
  <conditionalFormatting sqref="L30:M30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{337BC5D7-6E43-413C-9471-DC158FE076DD}</x14:id>
        </ext>
      </extLst>
    </cfRule>
  </conditionalFormatting>
  <conditionalFormatting sqref="L30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{E100314E-E38A-4C2E-A273-D5BAF4B2CC2C}</x14:id>
        </ext>
      </extLst>
    </cfRule>
  </conditionalFormatting>
  <conditionalFormatting sqref="M3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{5822790A-98EB-413D-8748-803949D27945}</x14:id>
        </ext>
      </extLst>
    </cfRule>
  </conditionalFormatting>
  <conditionalFormatting sqref="V30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{5AEE914C-0707-46D0-8CD7-01FB85ABC61B}</x14:id>
        </ext>
      </extLst>
    </cfRule>
  </conditionalFormatting>
  <conditionalFormatting sqref="W30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{04D72268-71E4-4E5B-AF43-046BF319882F}</x14:id>
        </ext>
      </extLst>
    </cfRule>
  </conditionalFormatting>
  <conditionalFormatting sqref="M30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{0094525C-9603-4843-8BD6-820362E29371}</x14:id>
        </ext>
      </extLst>
    </cfRule>
  </conditionalFormatting>
  <conditionalFormatting sqref="L3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{5682E82D-8A5A-440F-8B23-25D0C521C460}</x14:id>
        </ext>
      </extLst>
    </cfRule>
  </conditionalFormatting>
  <conditionalFormatting sqref="M30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{A9821DB3-5A4E-4D1D-8F6F-DA0ADFD1CE56}</x14:id>
        </ext>
      </extLst>
    </cfRule>
  </conditionalFormatting>
  <conditionalFormatting sqref="L30:M3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{33CED3EA-93BF-40A6-B068-9671478334F1}</x14:id>
        </ext>
      </extLst>
    </cfRule>
  </conditionalFormatting>
  <conditionalFormatting sqref="V30:W30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{E94B7445-B15C-417C-BD09-FE339FCAE3A3}</x14:id>
        </ext>
      </extLst>
    </cfRule>
  </conditionalFormatting>
  <conditionalFormatting sqref="T30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{237220E7-2FAA-4A16-A6B5-9E3C522B6A49}</x14:id>
        </ext>
      </extLst>
    </cfRule>
  </conditionalFormatting>
  <conditionalFormatting sqref="T30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{7AFAFB2C-9002-4B80-B755-5658E5FC2EEB}</x14:id>
        </ext>
      </extLst>
    </cfRule>
  </conditionalFormatting>
  <conditionalFormatting sqref="L30:M30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{7C299E8E-048C-4044-AB9D-63B5F1CE2BBA}</x14:id>
        </ext>
      </extLst>
    </cfRule>
  </conditionalFormatting>
  <conditionalFormatting sqref="T30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{F12484B6-021A-408B-BBA6-E8475DD73684}</x14:id>
        </ext>
      </extLst>
    </cfRule>
  </conditionalFormatting>
  <conditionalFormatting sqref="I30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{3AD28AE2-C47E-4420-AC3F-5244A11E151F}</x14:id>
        </ext>
      </extLst>
    </cfRule>
  </conditionalFormatting>
  <conditionalFormatting sqref="T30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{9B7BE34D-6D11-4376-ADD9-8B60BB98C0C1}</x14:id>
        </ext>
      </extLst>
    </cfRule>
  </conditionalFormatting>
  <conditionalFormatting sqref="T30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{7F1EE421-5CCD-4AC2-AAF6-33552EC45B29}</x14:id>
        </ext>
      </extLst>
    </cfRule>
  </conditionalFormatting>
  <conditionalFormatting sqref="V30:W30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{A7761298-76E7-405A-AF48-49B9D968DC18}</x14:id>
        </ext>
      </extLst>
    </cfRule>
  </conditionalFormatting>
  <conditionalFormatting sqref="A30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{CFB5B1D7-090A-4BC3-99FA-7AAA061C5A0F}</x14:id>
        </ext>
      </extLst>
    </cfRule>
  </conditionalFormatting>
  <conditionalFormatting sqref="T30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{9E72AD70-50B4-4041-8912-AC452FB2A562}</x14:id>
        </ext>
      </extLst>
    </cfRule>
  </conditionalFormatting>
  <conditionalFormatting sqref="L30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{EAA4FB4E-350F-46A0-8B5F-E058DAA59E35}</x14:id>
        </ext>
      </extLst>
    </cfRule>
  </conditionalFormatting>
  <conditionalFormatting sqref="I30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{0139105B-38BE-4E94-A5BA-DB16CFB60B37}</x14:id>
        </ext>
      </extLst>
    </cfRule>
  </conditionalFormatting>
  <conditionalFormatting sqref="L30:M30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{564A8FD3-83C5-4AF0-9FFC-903696C882BD}</x14:id>
        </ext>
      </extLst>
    </cfRule>
  </conditionalFormatting>
  <conditionalFormatting sqref="E76">
    <cfRule type="containsText" dxfId="6376" priority="73" operator="containsText" text="Buy">
      <formula>NOT(ISERROR(SEARCH("Buy",E76)))</formula>
    </cfRule>
    <cfRule type="containsText" dxfId="6375" priority="74" operator="containsText" text="Sell">
      <formula>NOT(ISERROR(SEARCH("Sell",E76)))</formula>
    </cfRule>
  </conditionalFormatting>
  <conditionalFormatting sqref="L5:M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{FBE163DE-A2A6-41E8-A656-8E3B0F5152BC}</x14:id>
        </ext>
      </extLst>
    </cfRule>
  </conditionalFormatting>
  <conditionalFormatting sqref="Y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{D4B1D78B-BB0D-487F-BB47-B1E23511EEE1}</x14:id>
        </ext>
      </extLst>
    </cfRule>
  </conditionalFormatting>
  <conditionalFormatting sqref="L5:M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{3AD3C841-DC78-48A5-B9A8-C617A365B9F5}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{7A1BCA3A-7C39-4680-BF35-448ED9D28D46}</x14:id>
        </ext>
      </extLst>
    </cfRule>
  </conditionalFormatting>
  <conditionalFormatting sqref="M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{4E32B0B0-2152-4B54-9A7A-51DC00C91D6B}</x14:id>
        </ext>
      </extLst>
    </cfRule>
  </conditionalFormatting>
  <conditionalFormatting sqref="V5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{6DD2926D-D06C-440B-9339-D110B5BCABF3}</x14:id>
        </ext>
      </extLst>
    </cfRule>
  </conditionalFormatting>
  <conditionalFormatting sqref="W5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{D19CC110-0E4D-4F72-9CF2-9DBBC0CB66CD}</x14:id>
        </ext>
      </extLst>
    </cfRule>
  </conditionalFormatting>
  <conditionalFormatting sqref="X5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{2CDBD56F-1127-4031-BB93-4F352B1F27F6}</x14:id>
        </ext>
      </extLst>
    </cfRule>
  </conditionalFormatting>
  <conditionalFormatting sqref="L5:M5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{712DB5B9-4B72-4E39-A111-577B564DAD24}</x14:id>
        </ext>
      </extLst>
    </cfRule>
  </conditionalFormatting>
  <conditionalFormatting sqref="L5:M5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{791BEA53-C572-4ACF-B980-28A4B0265FF6}</x14:id>
        </ext>
      </extLst>
    </cfRule>
  </conditionalFormatting>
  <conditionalFormatting sqref="L5:M5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{B6203675-A111-4D0F-915A-E8C49B7E888F}</x14:id>
        </ext>
      </extLst>
    </cfRule>
  </conditionalFormatting>
  <conditionalFormatting sqref="L5:M5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{4E2B0DB8-4FFC-4E34-86BB-1E2760C7E2BA}</x14:id>
        </ext>
      </extLst>
    </cfRule>
  </conditionalFormatting>
  <conditionalFormatting sqref="L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{9DD210D8-7234-473C-B0A2-AF5F3838EDDD}</x14:id>
        </ext>
      </extLst>
    </cfRule>
  </conditionalFormatting>
  <conditionalFormatting sqref="L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{656FA9F7-FDC9-45EB-A643-AC707A42D261}</x14:id>
        </ext>
      </extLst>
    </cfRule>
  </conditionalFormatting>
  <conditionalFormatting sqref="I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{0D6F2CB8-B651-40D8-B25B-5D399EFF96FB}</x14:id>
        </ext>
      </extLst>
    </cfRule>
  </conditionalFormatting>
  <conditionalFormatting sqref="V5:W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{644341C9-3169-40A6-997D-D7ACBC9AD8A5}</x14:id>
        </ext>
      </extLst>
    </cfRule>
  </conditionalFormatting>
  <conditionalFormatting sqref="V5:W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{5DBF0538-0551-418B-889A-5B32B2F3FA30}</x14:id>
        </ext>
      </extLst>
    </cfRule>
  </conditionalFormatting>
  <conditionalFormatting sqref="A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{13474C9E-9679-4D01-B1A6-757E516615D7}</x14:id>
        </ext>
      </extLst>
    </cfRule>
  </conditionalFormatting>
  <conditionalFormatting sqref="L5:M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{A62CA132-BF17-4671-8F06-406AC518807A}</x14:id>
        </ext>
      </extLst>
    </cfRule>
  </conditionalFormatting>
  <conditionalFormatting sqref="T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{2F1BF6FD-8F03-4D77-8135-7686887AD8CB}</x14:id>
        </ext>
      </extLst>
    </cfRule>
  </conditionalFormatting>
  <conditionalFormatting sqref="L5:M5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{90D6F0BB-FBF2-40B8-9780-3A802EC8CCE5}</x14:id>
        </ext>
      </extLst>
    </cfRule>
  </conditionalFormatting>
  <conditionalFormatting sqref="T5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{9CBC7ABA-510D-4D30-A1FA-B3CDCE8B5C87}</x14:id>
        </ext>
      </extLst>
    </cfRule>
  </conditionalFormatting>
  <conditionalFormatting sqref="I5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{093C4FD5-8D4E-4144-957C-A5965D8B49B4}</x14:id>
        </ext>
      </extLst>
    </cfRule>
  </conditionalFormatting>
  <conditionalFormatting sqref="T5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{BEBD0708-1DCF-4E03-9059-4D966786679F}</x14:id>
        </ext>
      </extLst>
    </cfRule>
  </conditionalFormatting>
  <conditionalFormatting sqref="V5:W5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{F6E56CA9-171F-4C86-9C17-703B768E9CA9}</x14:id>
        </ext>
      </extLst>
    </cfRule>
  </conditionalFormatting>
  <conditionalFormatting sqref="T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{86435E31-4BFD-47C1-B694-3DC80BAE6E2F}</x14:id>
        </ext>
      </extLst>
    </cfRule>
  </conditionalFormatting>
  <conditionalFormatting sqref="L5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{C109625A-CC5F-48B8-95D6-32545EAC2423}</x14:id>
        </ext>
      </extLst>
    </cfRule>
  </conditionalFormatting>
  <conditionalFormatting sqref="I5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{BD45EFF8-C584-41DB-9829-E9F7EBE78CAD}</x14:id>
        </ext>
      </extLst>
    </cfRule>
  </conditionalFormatting>
  <conditionalFormatting sqref="L5:M5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{B9CF4452-A580-48C3-B642-09DFB5CC34F0}</x14:id>
        </ext>
      </extLst>
    </cfRule>
  </conditionalFormatting>
  <conditionalFormatting sqref="L4:M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{D3D669F0-995A-42F2-B60E-63E3E16CDDBD}</x14:id>
        </ext>
      </extLst>
    </cfRule>
  </conditionalFormatting>
  <conditionalFormatting sqref="Y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{FAF54C56-9436-4860-98D9-87F9689F26D5}</x14:id>
        </ext>
      </extLst>
    </cfRule>
  </conditionalFormatting>
  <conditionalFormatting sqref="L4:M4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{03B3E35E-8F77-47C8-A565-9470A08885DE}</x14:id>
        </ext>
      </extLst>
    </cfRule>
  </conditionalFormatting>
  <conditionalFormatting sqref="L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{F2291EE4-7195-4948-B9D8-0DD3FE283556}</x14:id>
        </ext>
      </extLst>
    </cfRule>
  </conditionalFormatting>
  <conditionalFormatting sqref="M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{57926794-3523-4F9E-8242-D27D85F53A58}</x14:id>
        </ext>
      </extLst>
    </cfRule>
  </conditionalFormatting>
  <conditionalFormatting sqref="V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{8D71CBD7-1BEE-4F37-9603-B7F4226C5E6D}</x14:id>
        </ext>
      </extLst>
    </cfRule>
  </conditionalFormatting>
  <conditionalFormatting sqref="W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{1CE02045-7B71-4462-80AA-E43EA9AD4ADB}</x14:id>
        </ext>
      </extLst>
    </cfRule>
  </conditionalFormatting>
  <conditionalFormatting sqref="X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{D6DC0B11-E666-4C37-BC7D-FE9D133C752E}</x14:id>
        </ext>
      </extLst>
    </cfRule>
  </conditionalFormatting>
  <conditionalFormatting sqref="L4:M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{1BE2932A-F7E4-4442-9EED-175A8B4D3F57}</x14:id>
        </ext>
      </extLst>
    </cfRule>
  </conditionalFormatting>
  <conditionalFormatting sqref="L4:M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{809D7D5B-7009-4769-B0F5-BA4E02F78823}</x14:id>
        </ext>
      </extLst>
    </cfRule>
  </conditionalFormatting>
  <conditionalFormatting sqref="L4:M4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{2088E873-2E67-45EB-A24A-D732296531F2}</x14:id>
        </ext>
      </extLst>
    </cfRule>
  </conditionalFormatting>
  <conditionalFormatting sqref="L4:M4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{C4CBEA67-9BD8-438E-9EC5-736ADADF23E0}</x14:id>
        </ext>
      </extLst>
    </cfRule>
  </conditionalFormatting>
  <conditionalFormatting sqref="L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{04C98991-9BF9-468C-90D9-E194AE5C6A90}</x14:id>
        </ext>
      </extLst>
    </cfRule>
  </conditionalFormatting>
  <conditionalFormatting sqref="L4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{7B06354F-B6C7-48E6-A757-44DD021E0B69}</x14:id>
        </ext>
      </extLst>
    </cfRule>
  </conditionalFormatting>
  <conditionalFormatting sqref="I4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{D2A9A0F9-2C54-45E9-97C7-06E375068D60}</x14:id>
        </ext>
      </extLst>
    </cfRule>
  </conditionalFormatting>
  <conditionalFormatting sqref="V4:W4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{FCD922DB-CBF0-46D8-B2B5-6C7E43AF8BDF}</x14:id>
        </ext>
      </extLst>
    </cfRule>
  </conditionalFormatting>
  <conditionalFormatting sqref="V4:W4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{E5847FD9-A2B4-478D-9CBC-0CE8D26F281B}</x14:id>
        </ext>
      </extLst>
    </cfRule>
  </conditionalFormatting>
  <conditionalFormatting sqref="A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{4398B00F-BAC8-41E4-93AA-31B8CB5C8C8F}</x14:id>
        </ext>
      </extLst>
    </cfRule>
  </conditionalFormatting>
  <conditionalFormatting sqref="L4:M4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{A6B64D65-D1CA-4D53-9CEB-5AE042751B3D}</x14:id>
        </ext>
      </extLst>
    </cfRule>
  </conditionalFormatting>
  <conditionalFormatting sqref="T4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{D2892EF4-CAD8-42E5-8B6B-E756769D5219}</x14:id>
        </ext>
      </extLst>
    </cfRule>
  </conditionalFormatting>
  <conditionalFormatting sqref="L4:M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{F7266A86-2163-4CB9-B2A0-CD08F1BC964E}</x14:id>
        </ext>
      </extLst>
    </cfRule>
  </conditionalFormatting>
  <conditionalFormatting sqref="T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{637E6CBA-1FCA-4278-8967-D3B441F961CE}</x14:id>
        </ext>
      </extLst>
    </cfRule>
  </conditionalFormatting>
  <conditionalFormatting sqref="I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{0D2A5188-8CC5-41EA-93DC-E15B8FD606D9}</x14:id>
        </ext>
      </extLst>
    </cfRule>
  </conditionalFormatting>
  <conditionalFormatting sqref="T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{C01E8B5E-5F13-437D-9B29-4BDE050C63EB}</x14:id>
        </ext>
      </extLst>
    </cfRule>
  </conditionalFormatting>
  <conditionalFormatting sqref="V4:W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{9AF4A3F6-A32A-4626-839E-4BF90FEC4581}</x14:id>
        </ext>
      </extLst>
    </cfRule>
  </conditionalFormatting>
  <conditionalFormatting sqref="T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{1CD6E03A-2BE0-416F-91A5-3DDEB031DB00}</x14:id>
        </ext>
      </extLst>
    </cfRule>
  </conditionalFormatting>
  <conditionalFormatting sqref="L4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{8809790D-BCA2-4C28-A76C-27EC800C23D2}</x14:id>
        </ext>
      </extLst>
    </cfRule>
  </conditionalFormatting>
  <conditionalFormatting sqref="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{DDE23287-567E-44E4-BC0A-252BE3BDC82E}</x14:id>
        </ext>
      </extLst>
    </cfRule>
  </conditionalFormatting>
  <conditionalFormatting sqref="L4:M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{DB061D95-AA25-4AFC-A31C-4654EE25B036}</x14:id>
        </ext>
      </extLst>
    </cfRule>
  </conditionalFormatting>
  <conditionalFormatting sqref="I4:I3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{F34D46E6-2BF1-4B73-8E8C-6B4B0ACC85BB}</x14:id>
        </ext>
      </extLst>
    </cfRule>
  </conditionalFormatting>
  <conditionalFormatting sqref="T4:T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{F463BE57-8A23-4C10-8165-A58920C35368}</x14:id>
        </ext>
      </extLst>
    </cfRule>
  </conditionalFormatting>
  <conditionalFormatting sqref="E145">
    <cfRule type="containsText" dxfId="6374" priority="9" operator="containsText" text="Buy">
      <formula>NOT(ISERROR(SEARCH("Buy",E145)))</formula>
    </cfRule>
    <cfRule type="containsText" dxfId="6373" priority="10" operator="containsText" text="Sell">
      <formula>NOT(ISERROR(SEARCH("Sell",E145)))</formula>
    </cfRule>
  </conditionalFormatting>
  <conditionalFormatting sqref="E202">
    <cfRule type="containsText" dxfId="6372" priority="7" operator="containsText" text="Buy">
      <formula>NOT(ISERROR(SEARCH("Buy",E202)))</formula>
    </cfRule>
    <cfRule type="containsText" dxfId="6371" priority="8" operator="containsText" text="Sell">
      <formula>NOT(ISERROR(SEARCH("Sell",E202)))</formula>
    </cfRule>
  </conditionalFormatting>
  <conditionalFormatting sqref="L4:M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{FF57B9F1-E0C1-4673-B209-FE1369D3297A}</x14:id>
        </ext>
      </extLst>
    </cfRule>
  </conditionalFormatting>
  <conditionalFormatting sqref="V4:W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{302410B9-1D87-4398-AD78-04B93D65A0AD}</x14:id>
        </ext>
      </extLst>
    </cfRule>
  </conditionalFormatting>
  <conditionalFormatting sqref="E100">
    <cfRule type="containsText" dxfId="6370" priority="1" operator="containsText" text="Buy">
      <formula>NOT(ISERROR(SEARCH("Buy",E100)))</formula>
    </cfRule>
    <cfRule type="containsText" dxfId="6369" priority="2" operator="containsText" text="Sell">
      <formula>NOT(ISERROR(SEARCH("Sell",E100)))</formula>
    </cfRule>
  </conditionalFormatting>
  <pageMargins left="0.25" right="0.25" top="0.75" bottom="0.75" header="0.3" footer="0.3"/>
  <pageSetup paperSize="9" scale="1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1E5436-F906-4D59-B134-E1A7A6AD5E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36EAD3B-791C-45FB-B628-14B8DE3DC5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89FA92F5-CA3C-4E45-B042-CE7E33FC0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394BE9B-D0C3-4BC0-AF95-A0C7B158B2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1A9707E-0E50-4179-9ACF-B856EB1610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92053A05-44F5-4D8E-8D4A-67EAB4E9E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E865FC50-8196-47DB-99B2-616D1248F2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CE0152E0-A145-419C-B13D-C74A43645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DE1C773-D20E-41AD-916B-04C9403BF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AB1D75F-2362-4FB7-AC20-3B60198AB7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8CEE581-80BE-4DBB-A8F3-505DCA26A5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23E23F4-1A17-4C46-B508-D7749804F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5E73F74-9A0D-449B-991C-8E96A7D968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C6F909E-0E02-478D-92D1-F00EDBAAA7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Y6:Y27</xm:sqref>
        </x14:conditionalFormatting>
        <x14:conditionalFormatting xmlns:xm="http://schemas.microsoft.com/office/excel/2006/main">
          <x14:cfRule type="dataBar" id="{5BD7A8EA-C215-481F-A910-928D509B30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B377EBB-0652-4631-8224-F8774FAA84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164D099-D72F-44E7-84B1-1E3AAB13A3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950347AC-486D-4481-9E5E-8145D0229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B7AAAB-3AC0-4375-9B55-EBFE7C6B4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8A5AE-770D-4650-BCF1-48496206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X6:X27</xm:sqref>
        </x14:conditionalFormatting>
        <x14:conditionalFormatting xmlns:xm="http://schemas.microsoft.com/office/excel/2006/main">
          <x14:cfRule type="dataBar" id="{F25F55A8-0783-448C-A028-0B0F52655F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977D312-AD44-41EA-96A2-51612C64F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07A721C-1225-498A-9A97-BF3A3D8C8E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BD51495-788C-48FC-99B8-E14AB6BE2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8760634B-D282-4F1A-A256-D85918C705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85785B8-5EBA-4265-96ED-707BE983A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9DC2C1F3-4B64-42D6-8A83-1B845DA355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BED59C1-6D24-4A6F-9F1A-7D1AE83D3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2A0D034C-EE5D-4EA9-AA38-A31FFD3DF0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E7F4A31-8492-4467-95A6-0C7B976CB6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A5B1988-71FE-43F4-99F2-01EBC99834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6DB9D459-7613-4216-B511-78160D01DE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B0A9FAA9-3E99-4697-AD48-D323AB10E1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CAF76FE-8166-48F9-B6CE-3AF93ECF82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454F5110-600D-4B86-BB1A-9F9B489A44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</xm:sqref>
        </x14:conditionalFormatting>
        <x14:conditionalFormatting xmlns:xm="http://schemas.microsoft.com/office/excel/2006/main">
          <x14:cfRule type="dataBar" id="{C0729CE4-D37B-435A-85E5-C96825BA7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69C0BB67-B07A-4E94-983C-A87F446F3F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A0512E69-31D2-41F9-B0B0-4E142EDE6B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FA6E8A98-9199-424A-8B0D-3474894040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86BC8AD-403D-494F-8941-E9348CE879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B62F8CFB-BCB8-4EC3-9BA8-69B7962E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C2DE9D1A-51FE-4695-9CAE-EA5D6300BF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4DE4CD10-D8A5-4CE2-8162-BB35C97392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C4195101-A04B-4E47-87A1-656311E0D6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49A38A45-B5E5-4B58-BDBE-3FB61F4F0D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6F336638-CC75-4652-907B-D841ABA39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4AAC3AB-9446-4CF1-A932-7D486A34FE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28B3CCBE-98E4-449E-BC54-628CD2075B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04575016-947F-4E1F-9540-1EE17578B4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9B5F4A7B-B998-45D5-8358-CDC92A5FA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8F711AC2-CBCB-4A64-8E17-A950DBFFB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393B15D7-A36F-456D-8774-A3B130C776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L25:M25</xm:sqref>
        </x14:conditionalFormatting>
        <x14:conditionalFormatting xmlns:xm="http://schemas.microsoft.com/office/excel/2006/main">
          <x14:cfRule type="dataBar" id="{4C374730-5695-4C4E-9831-9EE67C7B21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01B820E5-44E2-4FF7-B0C0-334908D19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D3F2F8BE-D179-4486-8E1F-04035A447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FF48755B-B33E-47D3-A3FD-948AF079D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C33D71F0-5911-4000-870A-A158E0A33C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45B41D11-1F73-4819-89AA-38A562F73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3AFF2B8D-B364-4C38-9C06-36392F4BE2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B310EB32-DFC0-4690-9347-096BCA2E79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78FBBD72-E86B-402B-9C88-4C56AA08D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507F347-9542-49F3-BD59-59D38CD338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0CCB2F6-6095-485E-AB81-4D7752FA8A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F1C428D-3352-4680-A836-8E7D44B55A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DF2DCB1-DE8B-45E9-97D9-7F0689EE6F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70BA008-B5C7-4E06-8E2E-11E0F7B3F2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44C78F6-3E21-444D-8484-1390514FF2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FDC481F-59A9-4523-BAF7-FE403867A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F3A5715C-2338-4CED-B360-135C81BCF7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6355C382-2DB0-40D7-963D-CB23C10D7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0463314-DAA7-4745-8AA9-3D4B6EC06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559EABE9-1C53-4F70-B416-F61C1D7178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5E195E22-E361-4DD0-9FF9-8C18F670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9C3B994-4E45-47B1-9112-A7BDD8BBB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EFF3E7EF-E537-4EFC-92BA-54B24EE43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9327AD0-7FC3-496F-A8D7-BB6E1E3C59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8C87C71-26D2-49FC-85E0-4CA47DA48C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E3FB4DDA-589C-49FA-977E-D020F73CB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8A9073D-FBEB-4FCD-9FFF-E398F9A515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6E4226E-961D-4463-A8C4-30286A332C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9DC6356-9E7D-4BA5-BC83-225E4F684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78309B5-DE2F-4406-94BF-D459FC7CB9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92D0120D-AFD8-4847-BBFF-EB9ECE40A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BEBB3CEA-E258-4038-8385-FB54395DB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B487456F-C87F-4C30-BD15-29D94C3F2D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62B92815-5F5E-46A6-8A6A-990BE442D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F28667-127E-4D90-A86D-BCD420583E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B80AEDF-E218-4A49-BE65-50511D5F6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9F19B54C-B727-4F7B-A607-8D57921A79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218481CF-83E1-405D-B9D2-0A7ADD796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43EBD24-F131-467A-95A6-8015D8A226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3A388DD-CC29-4165-908C-3F67B14C71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7D12FC0-43B9-45C1-9686-CC7EDABF3E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769E84DE-B555-4B54-A8DF-799931C88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1F118C22-5CB1-407F-A394-EBEF3BAC9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4B8169B-FB21-4808-952C-CFACCCF0D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BB7EB06-BA30-4332-9B73-5F0C5E391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69CE059A-B2A7-4AA0-B166-176C9763AC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35C9AB89-27A1-4DDD-B70D-C79766807F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513C79F8-8E93-41BE-9384-27730E89D8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</xm:sqref>
        </x14:conditionalFormatting>
        <x14:conditionalFormatting xmlns:xm="http://schemas.microsoft.com/office/excel/2006/main">
          <x14:cfRule type="dataBar" id="{041DC17B-2197-40FE-BB79-B3722F045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77879504-637D-4111-B3E0-D5F78FF73B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</xm:sqref>
        </x14:conditionalFormatting>
        <x14:conditionalFormatting xmlns:xm="http://schemas.microsoft.com/office/excel/2006/main">
          <x14:cfRule type="dataBar" id="{32CD31AF-77BA-4AB6-9A95-E637653C0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W27</xm:sqref>
        </x14:conditionalFormatting>
        <x14:conditionalFormatting xmlns:xm="http://schemas.microsoft.com/office/excel/2006/main">
          <x14:cfRule type="dataBar" id="{FCE9CBD6-E5EC-4BAD-8E25-2933E7DD83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L27:M27</xm:sqref>
        </x14:conditionalFormatting>
        <x14:conditionalFormatting xmlns:xm="http://schemas.microsoft.com/office/excel/2006/main">
          <x14:cfRule type="dataBar" id="{94B72C1A-B5BD-49DC-B7B9-1F7A5447F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32800764-C8E3-4AE2-8A75-B1B3EAB9C5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3D0A875-6661-4AFA-8A58-7393443E2C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DB611029-E042-4832-855D-6A06FBFC3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E23F174C-310F-45A8-B48D-AB899C1B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CA3D9B2-EB50-4EEE-93B2-0575B9C06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ADB066BC-7AFB-4868-B49E-72219C1B85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637DE9AB-A88B-46B9-BF37-440D16DBB2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36E67714-3EF9-47DB-B3D2-E2106DED5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B2A5E39-6276-474D-BD7F-6D587D6DB9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B8030F00-CAA6-476B-BBA5-C01489FCED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2F7A2AA-8801-4CE7-A615-ADB2AE954A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AA8F05A-1E12-4419-B730-2DC07FF265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33CF5952-8A8F-48A4-B986-5FF514DF34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50E9629D-9A36-4CC3-98D3-26311B56C6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H44:H45</xm:sqref>
        </x14:conditionalFormatting>
        <x14:conditionalFormatting xmlns:xm="http://schemas.microsoft.com/office/excel/2006/main">
          <x14:cfRule type="dataBar" id="{AF3932EE-3D18-4F03-B604-9882AB89A5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F9E9872F-1220-4DB1-ACF4-1EFD76E92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5DADAF9B-C056-4102-AB0D-D00960FC27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0A27F08E-BD9F-45F6-86FB-9A1204947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07DA4541-DCE2-4A8D-8BAA-DD21AA704C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90C859CD-6F1B-4329-95C6-397B4A10A8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1119122-5309-4BF4-8AA0-BACDA3D30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3ED1B4C-1FF6-42C8-B8D8-083B27574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6A0D98A9-9E30-496D-A265-03223A8A3E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D8E7F96-4419-42D0-B90C-17D5DBE10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030204C9-48D7-4C8D-836F-CC12D8A94B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E60EE15-DA46-4061-A428-E2F4DBC321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5BF9FBA-B76C-4078-B97A-50FB918AB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C609064-009E-40E7-B904-BC1AF0CB63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8F54DCF-49C6-4F71-BF97-35D3DFA791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AFCF3BF4-4AC9-4728-8000-3A74EBB8D0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E62F46B7-2242-430E-9AA5-1F5F6B7B7A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00E64892-0ED2-49C3-9920-59CD2BD881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122528E-5FDB-4E87-B7F3-8A875461D3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80CE32B0-2B24-4AD8-844A-5FA8EE97F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6FA90F61-9D2C-42BB-977B-6952C6C218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48C27FD5-6F7A-4640-A2B4-AD4D00FA44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ADC2EF4-0CFE-4999-A17C-532457DA96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01AF2492-2146-46F7-B94A-A3A9565400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F3C154B5-72A5-4B67-9C34-CFB472BDB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2512412F-E08C-4E7C-AE3F-204DA833C6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F9644A13-150A-4F9B-AEC2-D5A2E9342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7A6B0FC6-B845-4FA3-840D-634B07AB2F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F3FA35FC-30BE-4041-95B1-2AD8F23929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EAB23254-B3B1-46FA-85B3-9B2F4EF518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D532F9B-33D0-4E36-A474-B3AF4B268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1ADDF474-15EC-46E9-BE86-6C67379611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7155EF76-F355-4B1E-9FBB-3C92CAC2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FC411FB4-208C-45C6-AD5F-FECCBABE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64B2A377-02D6-4FC2-8EC6-43B368F1F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BF56E4A9-0AAC-40E9-9661-02A6F6320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9A8CC5A-5E86-4A74-83CD-1655D63F8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 H64</xm:sqref>
        </x14:conditionalFormatting>
        <x14:conditionalFormatting xmlns:xm="http://schemas.microsoft.com/office/excel/2006/main">
          <x14:cfRule type="dataBar" id="{9DB57C1F-A9CA-482E-A353-F085BA1C4F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C07038DC-3825-4DD1-AD4C-03E5B87D31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94B926A4-12FC-474E-9A3F-E8C8395325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68F815D5-77AF-478D-B089-3E87645B8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0820BDD8-D62A-4277-B455-83BB70120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50AB9D22-A8FA-4630-9E14-74F05AB01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F7CC8FEA-3D8A-4248-98D7-0BDC30ECAC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DFC9A97E-6F58-4142-834E-9937693185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12195D9-9820-4A5E-B138-B5E2B673B0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D65DDB50-7837-4BCF-84B6-C8EEAA9742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3CA71B00-620B-45A9-AD0B-3DBE46BB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4C46030-D5F9-4E00-9B42-E513DB582C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78982039-412F-4E6B-B4CB-CC4DF5559F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EB25CEDD-3B5D-421D-B6F7-B155CC4E48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9AFF479-B3AA-44A0-A53F-EA5480809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E9987B-A3BD-42EB-AB8B-EE935E494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D5ACBA96-6E74-4C93-BEF7-ED610AD2C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4764B8B6-030B-4BD6-BBB6-8BA511ACC7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45FC00DF-72F8-4CDB-8FA5-7D963E08F8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51E65F-68F5-4043-876E-68E8216ADA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D7EAFDD6-E95F-4205-B63B-DD94F0E055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A6FC7687-33C7-458D-B7FA-74AEE5A7F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3329D425-450E-45F9-8342-A460FE945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1B2D5062-E8AC-4D6C-B172-721750AFA8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986358D1-322F-4353-98B5-9CEDA88041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700A4D9D-23DB-4FCC-A820-ACCF9DBE1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71866ADE-D5CB-46BB-83BC-05CAC87F0E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</xm:sqref>
        </x14:conditionalFormatting>
        <x14:conditionalFormatting xmlns:xm="http://schemas.microsoft.com/office/excel/2006/main">
          <x14:cfRule type="dataBar" id="{C7D198D2-C5CF-4FB6-AE4F-D6ECAB482F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M31</xm:sqref>
        </x14:conditionalFormatting>
        <x14:conditionalFormatting xmlns:xm="http://schemas.microsoft.com/office/excel/2006/main">
          <x14:cfRule type="dataBar" id="{417E8FEB-24F8-40DB-9C54-1E60C8C1B6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L31:M31</xm:sqref>
        </x14:conditionalFormatting>
        <x14:conditionalFormatting xmlns:xm="http://schemas.microsoft.com/office/excel/2006/main">
          <x14:cfRule type="dataBar" id="{5341713D-63A0-4FAF-A7CC-C6D1400361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990FBA39-8F1F-4968-8F38-586B2F2CF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1DE7658-5736-49CC-BA37-3EFEDCFE7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23969A7-E104-4649-916A-9E03A435E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B7182FBF-8A45-4BE5-A788-A6C2C9B8B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B6A7C002-C0A5-4233-B56B-4D05C53F04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06CE8D75-5168-47CB-9128-9C072B921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E6040F5-1210-4B4F-8F38-A552D3DFA4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E16527F3-84B6-42F7-A738-D3F8D719D6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D0A732A8-4321-4B2D-A6B0-D4AD5DFD88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790CDB0E-AAEA-448D-9028-455AB9A69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80DB86B5-04DF-4A35-A98A-B1189F03C8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214944E5-6FED-45EA-8AF5-E92424AADC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85DA7282-0FBE-406D-9360-EC0BB61191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42D38EA-490D-47C3-82C5-EF56E1E0C5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57D667D6-9F76-4F01-9127-74D3D5E5BC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2EF734A5-3C5B-4A51-AAEE-BC627E0AFF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L6:M8 L15:M20 L10:M13 L25:M26 L23:M23</xm:sqref>
        </x14:conditionalFormatting>
        <x14:conditionalFormatting xmlns:xm="http://schemas.microsoft.com/office/excel/2006/main">
          <x14:cfRule type="dataBar" id="{A46F7597-3AB8-4BFA-8FC7-88FFEC15D3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L15:M20 L10:M13 L25:M27 L23:M23</xm:sqref>
        </x14:conditionalFormatting>
        <x14:conditionalFormatting xmlns:xm="http://schemas.microsoft.com/office/excel/2006/main">
          <x14:cfRule type="dataBar" id="{CF93E862-1EFF-4B23-8FE5-F43830D45E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L6:M8 L10:M20 L25:M27 L23:M23</xm:sqref>
        </x14:conditionalFormatting>
        <x14:conditionalFormatting xmlns:xm="http://schemas.microsoft.com/office/excel/2006/main">
          <x14:cfRule type="dataBar" id="{A1ECF540-07D1-43B3-91D6-31E381CCB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L25:M27 L23:M23</xm:sqref>
        </x14:conditionalFormatting>
        <x14:conditionalFormatting xmlns:xm="http://schemas.microsoft.com/office/excel/2006/main">
          <x14:cfRule type="dataBar" id="{E255406F-39F0-4609-B238-C3D219833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L25:L27 L23</xm:sqref>
        </x14:conditionalFormatting>
        <x14:conditionalFormatting xmlns:xm="http://schemas.microsoft.com/office/excel/2006/main">
          <x14:cfRule type="dataBar" id="{1BEEF546-C6E5-4B36-814D-AEA77E8ED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L6:L20 L23:L27</xm:sqref>
        </x14:conditionalFormatting>
        <x14:conditionalFormatting xmlns:xm="http://schemas.microsoft.com/office/excel/2006/main">
          <x14:cfRule type="dataBar" id="{D92B4B7D-C8A4-4DF7-9048-317605181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354CAD9C-AC8A-4171-98F7-28A71E18D6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</xm:sqref>
        </x14:conditionalFormatting>
        <x14:conditionalFormatting xmlns:xm="http://schemas.microsoft.com/office/excel/2006/main">
          <x14:cfRule type="dataBar" id="{438FCF3C-BACE-4243-9462-CD95C8668F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B51C7E79-4ED9-4DD2-8D5F-C7A02379A1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V7:W7</xm:sqref>
        </x14:conditionalFormatting>
        <x14:conditionalFormatting xmlns:xm="http://schemas.microsoft.com/office/excel/2006/main">
          <x14:cfRule type="dataBar" id="{7D3C16C6-3346-4288-A135-6BAD5D1C71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166FD258-ECA1-44A2-A5EC-4631D79394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AD7A7489-F488-479A-9FE6-17C5EF976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1F21E24-E9DC-4155-BAB4-02258C87E5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</xm:sqref>
        </x14:conditionalFormatting>
        <x14:conditionalFormatting xmlns:xm="http://schemas.microsoft.com/office/excel/2006/main">
          <x14:cfRule type="dataBar" id="{5B8D8D9C-FFE5-4D7E-91CC-6A0EB1DA37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168E9B5A-7C6B-4C61-9FE1-1BCBB680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96F65E52-F70D-420D-9EBD-6BF465E64B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407C147E-AFB7-480F-A2DE-E022C48608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28712628-4BD9-4D45-BA36-829A8EEB9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09E79222-7121-489E-9D39-2ED698C4E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4F9AA84C-729C-4E6B-83A3-A51ECEC47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680E521C-6CC7-401C-B80C-DC186CCB1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9695B85E-3954-41EA-B2FE-DEAD3992A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890276C8-9025-4A82-A45C-3AC9D853A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V26:W26</xm:sqref>
        </x14:conditionalFormatting>
        <x14:conditionalFormatting xmlns:xm="http://schemas.microsoft.com/office/excel/2006/main">
          <x14:cfRule type="dataBar" id="{6963D3E5-7BAE-4317-819E-1825997366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242BB803-3A54-4049-BE9B-7139E78FF5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V25:W25</xm:sqref>
        </x14:conditionalFormatting>
        <x14:conditionalFormatting xmlns:xm="http://schemas.microsoft.com/office/excel/2006/main">
          <x14:cfRule type="dataBar" id="{8004657A-C3A8-4107-8620-378405BA3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BB546BA5-E22A-4F77-BE2D-3DA8F45BDA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V23:W23</xm:sqref>
        </x14:conditionalFormatting>
        <x14:conditionalFormatting xmlns:xm="http://schemas.microsoft.com/office/excel/2006/main">
          <x14:cfRule type="dataBar" id="{3A1F9822-F81F-4298-B63F-FF4783F971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FEBCCE26-E1E6-416B-B898-1E379267F0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AE842213-9A97-4195-9962-55BE2DCBC2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D9543D4B-59EF-4053-A7FE-79130CC9B9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8922311B-8557-490B-B33A-006EAE2449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80859090-393E-4746-9773-53712C3E49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7362D469-8DC9-47FD-AEC9-A5C5D57652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DB6F1AA0-267E-4535-B26D-34AC5064A7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38638717-4A34-4C85-907C-46B4BA2E6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D6059F89-D018-4C8D-BD0A-341025669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3C2A55FF-F23F-42F6-9220-D7D0503B2B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04A2B953-7119-462A-92D2-617F9F996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80CC94FD-7E4C-439B-8CF2-06FE2DDF7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0F6BE408-C5A0-43DF-9953-E29F61CDAA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V27:W27</xm:sqref>
        </x14:conditionalFormatting>
        <x14:conditionalFormatting xmlns:xm="http://schemas.microsoft.com/office/excel/2006/main">
          <x14:cfRule type="dataBar" id="{601F7273-64F1-4D31-9398-C2F46EF88C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946B6941-6FF3-48C4-8939-E3C422D7E2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B9AB89A4-117B-495E-8DB8-922C884A3B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91DBA1A8-E213-4428-9E0F-1C1757F465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5DC76ADF-7072-4333-A74E-4A1529C74F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06204FF7-E27C-4316-9CC2-F2B3235F5E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V24:W24</xm:sqref>
        </x14:conditionalFormatting>
        <x14:conditionalFormatting xmlns:xm="http://schemas.microsoft.com/office/excel/2006/main">
          <x14:cfRule type="dataBar" id="{1309AB16-09A3-4433-A67D-90730CB999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V29:W29</xm:sqref>
        </x14:conditionalFormatting>
        <x14:conditionalFormatting xmlns:xm="http://schemas.microsoft.com/office/excel/2006/main">
          <x14:cfRule type="dataBar" id="{C2C798E8-5E8F-476A-9106-FDF9971B11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228EA6F5-652F-4045-9ED4-CAA1B35DE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763A3CA5-20CD-44A2-AAD3-ADDD43D385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V31:W31</xm:sqref>
        </x14:conditionalFormatting>
        <x14:conditionalFormatting xmlns:xm="http://schemas.microsoft.com/office/excel/2006/main">
          <x14:cfRule type="dataBar" id="{C756640A-DC55-42EE-9842-5DA091572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341144DC-FC7F-4BC3-A1E0-1CA52A3898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F4C67BCC-28B7-4080-808B-9755F68304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A6</xm:sqref>
        </x14:conditionalFormatting>
        <x14:conditionalFormatting xmlns:xm="http://schemas.microsoft.com/office/excel/2006/main">
          <x14:cfRule type="dataBar" id="{A26905F0-8A4E-4A6A-8F17-CFF7CC4AD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14E6063B-45B6-4E7D-8682-3A6681ECD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4FE71105-28C1-4481-A7A9-BC85A35234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C8C4BB52-2366-4F7C-A5DF-660857955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Y28</xm:sqref>
        </x14:conditionalFormatting>
        <x14:conditionalFormatting xmlns:xm="http://schemas.microsoft.com/office/excel/2006/main">
          <x14:cfRule type="dataBar" id="{68FC1CDB-3F1D-48E6-8C72-48BA826A6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0C6BDE77-339F-4F55-9212-7FBDA17F2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6BEA05CF-1473-48C2-9692-1F255B9318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0BD14D05-6518-4A5D-951E-D5737009E1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AFED19D8-0269-4D30-A223-AC4E02DA26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</xm:sqref>
        </x14:conditionalFormatting>
        <x14:conditionalFormatting xmlns:xm="http://schemas.microsoft.com/office/excel/2006/main">
          <x14:cfRule type="dataBar" id="{4E01F71B-8FD3-4046-83F6-9DE1C368E4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W28</xm:sqref>
        </x14:conditionalFormatting>
        <x14:conditionalFormatting xmlns:xm="http://schemas.microsoft.com/office/excel/2006/main">
          <x14:cfRule type="dataBar" id="{1BADAA6A-6EAE-4062-ADE0-81C0F8379B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5B147948-601F-4FC0-B07B-A0160929D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</xm:sqref>
        </x14:conditionalFormatting>
        <x14:conditionalFormatting xmlns:xm="http://schemas.microsoft.com/office/excel/2006/main">
          <x14:cfRule type="dataBar" id="{60BCD538-D67C-4748-8FEF-C5FA3AF774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M28</xm:sqref>
        </x14:conditionalFormatting>
        <x14:conditionalFormatting xmlns:xm="http://schemas.microsoft.com/office/excel/2006/main">
          <x14:cfRule type="dataBar" id="{E817A348-F6D0-478E-BEFC-B54417C31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55934638-744B-4DF6-B70E-A2EA00701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59FD619C-5AF5-474F-A5B5-20304D8812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L28:M28</xm:sqref>
        </x14:conditionalFormatting>
        <x14:conditionalFormatting xmlns:xm="http://schemas.microsoft.com/office/excel/2006/main">
          <x14:cfRule type="dataBar" id="{D8B53CA9-7F2E-40B5-AE77-8F903E786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32A5DFD-EFD1-4197-9478-F50119A32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82274D96-E0D0-43F9-90CF-90E940BA9C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A153ACC5-A329-4C86-A6BD-3AC5ADDFA7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T28</xm:sqref>
        </x14:conditionalFormatting>
        <x14:conditionalFormatting xmlns:xm="http://schemas.microsoft.com/office/excel/2006/main">
          <x14:cfRule type="dataBar" id="{E5590729-E563-4920-AAD2-C227EC91B7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A326343B-D027-46C5-A6D6-48987EC0E9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V28:W28</xm:sqref>
        </x14:conditionalFormatting>
        <x14:conditionalFormatting xmlns:xm="http://schemas.microsoft.com/office/excel/2006/main">
          <x14:cfRule type="dataBar" id="{F0BA155F-952D-4262-8B53-BB770A3DA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A28</xm:sqref>
        </x14:conditionalFormatting>
        <x14:conditionalFormatting xmlns:xm="http://schemas.microsoft.com/office/excel/2006/main">
          <x14:cfRule type="dataBar" id="{88B81C91-A615-47D7-8069-CBED7F5BF8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C73CA055-7607-4599-A28A-E9B0AB2BC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L33</xm:sqref>
        </x14:conditionalFormatting>
        <x14:conditionalFormatting xmlns:xm="http://schemas.microsoft.com/office/excel/2006/main">
          <x14:cfRule type="dataBar" id="{444E083D-0466-4295-A454-1A667EFDC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D114E33F-098E-4745-9A01-50ABEA60B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 T31</xm:sqref>
        </x14:conditionalFormatting>
        <x14:conditionalFormatting xmlns:xm="http://schemas.microsoft.com/office/excel/2006/main">
          <x14:cfRule type="dataBar" id="{BF25B390-1E60-4946-8C05-07A5A708E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L6:M20 L23:M27 L29:M29</xm:sqref>
        </x14:conditionalFormatting>
        <x14:conditionalFormatting xmlns:xm="http://schemas.microsoft.com/office/excel/2006/main">
          <x14:cfRule type="dataBar" id="{191321FC-DB09-4BC3-9672-0161D50C9E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</xm:sqref>
        </x14:conditionalFormatting>
        <x14:conditionalFormatting xmlns:xm="http://schemas.microsoft.com/office/excel/2006/main">
          <x14:cfRule type="dataBar" id="{CDA69478-4558-4522-9510-B35558023A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L6:M27 L29:M29 L31:M31</xm:sqref>
        </x14:conditionalFormatting>
        <x14:conditionalFormatting xmlns:xm="http://schemas.microsoft.com/office/excel/2006/main">
          <x14:cfRule type="dataBar" id="{9D2A37B1-46A6-4A0E-86DD-A77D036554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T6:T27 T29 T31:T33</xm:sqref>
        </x14:conditionalFormatting>
        <x14:conditionalFormatting xmlns:xm="http://schemas.microsoft.com/office/excel/2006/main">
          <x14:cfRule type="dataBar" id="{53430316-C2F4-445E-B384-F583C387E2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I6:I27 I29 I31:I33</xm:sqref>
        </x14:conditionalFormatting>
        <x14:conditionalFormatting xmlns:xm="http://schemas.microsoft.com/office/excel/2006/main">
          <x14:cfRule type="dataBar" id="{E98B4844-3EDF-46F6-A8AF-7F59F23C5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T29 T3 T31:T33 T6:T27</xm:sqref>
        </x14:conditionalFormatting>
        <x14:conditionalFormatting xmlns:xm="http://schemas.microsoft.com/office/excel/2006/main">
          <x14:cfRule type="dataBar" id="{8F1B5D77-985B-467F-9BE6-922CC78D2A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FE7BFFEC-FCF4-4833-BBCF-E566F3BC2B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V6:W27 V29:W29 V31:W31</xm:sqref>
        </x14:conditionalFormatting>
        <x14:conditionalFormatting xmlns:xm="http://schemas.microsoft.com/office/excel/2006/main">
          <x14:cfRule type="dataBar" id="{07CEC21D-7597-49A8-AD43-6A7CAAB462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A7:A27 A29 A31:A32</xm:sqref>
        </x14:conditionalFormatting>
        <x14:conditionalFormatting xmlns:xm="http://schemas.microsoft.com/office/excel/2006/main">
          <x14:cfRule type="dataBar" id="{1D7A21A0-EB3E-416D-ADAB-01904E558E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T6:T29 T31:T33</xm:sqref>
        </x14:conditionalFormatting>
        <x14:conditionalFormatting xmlns:xm="http://schemas.microsoft.com/office/excel/2006/main">
          <x14:cfRule type="dataBar" id="{DCC94559-8BE3-41EE-80BD-27C2B7F0B4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L6:L29 L31:L33</xm:sqref>
        </x14:conditionalFormatting>
        <x14:conditionalFormatting xmlns:xm="http://schemas.microsoft.com/office/excel/2006/main">
          <x14:cfRule type="dataBar" id="{66C4AE69-0F26-4A70-A7C5-0C4B758DB8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I6:I29 I31:I33</xm:sqref>
        </x14:conditionalFormatting>
        <x14:conditionalFormatting xmlns:xm="http://schemas.microsoft.com/office/excel/2006/main">
          <x14:cfRule type="dataBar" id="{5D57289A-F431-479A-8418-D2CF4C86DB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904F6383-1BF5-43A3-BD70-8C5AA650C0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BE3D9F0F-DF09-4928-851B-6074E5794A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L6:M29 L31:M33</xm:sqref>
        </x14:conditionalFormatting>
        <x14:conditionalFormatting xmlns:xm="http://schemas.microsoft.com/office/excel/2006/main">
          <x14:cfRule type="dataBar" id="{E3CBFEEF-6405-4D43-8613-234698ADC5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B7BB1BB-D53E-402D-AB58-5D1E71B3D4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337BC5D7-6E43-413C-9471-DC158FE076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100314E-E38A-4C2E-A273-D5BAF4B2CC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5822790A-98EB-413D-8748-803949D27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AEE914C-0707-46D0-8CD7-01FB85ABC6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04D72268-71E4-4E5B-AF43-046BF31988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0094525C-9603-4843-8BD6-820362E29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5682E82D-8A5A-440F-8B23-25D0C521C4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A9821DB3-5A4E-4D1D-8F6F-DA0ADFD1C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33CED3EA-93BF-40A6-B068-9671478334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94B7445-B15C-417C-BD09-FE339FCAE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237220E7-2FAA-4A16-A6B5-9E3C522B6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AFAFB2C-9002-4B80-B755-5658E5FC2E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C299E8E-048C-4044-AB9D-63B5F1CE2B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12484B6-021A-408B-BBA6-E8475DD736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3AD28AE2-C47E-4420-AC3F-5244A11E15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9B7BE34D-6D11-4376-ADD9-8B60BB9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7F1EE421-5CCD-4AC2-AAF6-33552EC4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A7761298-76E7-405A-AF48-49B9D968DC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V30:W30</xm:sqref>
        </x14:conditionalFormatting>
        <x14:conditionalFormatting xmlns:xm="http://schemas.microsoft.com/office/excel/2006/main">
          <x14:cfRule type="dataBar" id="{CFB5B1D7-090A-4BC3-99FA-7AAA061C5A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A30</xm:sqref>
        </x14:conditionalFormatting>
        <x14:conditionalFormatting xmlns:xm="http://schemas.microsoft.com/office/excel/2006/main">
          <x14:cfRule type="dataBar" id="{9E72AD70-50B4-4041-8912-AC452FB2A5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EAA4FB4E-350F-46A0-8B5F-E058DAA59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0139105B-38BE-4E94-A5BA-DB16CFB60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564A8FD3-83C5-4AF0-9FFC-903696C882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FBE163DE-A2A6-41E8-A656-8E3B0F5152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4B1D78B-BB0D-487F-BB47-B1E23511EE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AD3C841-DC78-48A5-B9A8-C617A365B9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A1BCA3A-7C39-4680-BF35-448ED9D28D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E32B0B0-2152-4B54-9A7A-51DC00C91D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DD2926D-D06C-440B-9339-D110B5BCAB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19CC110-0E4D-4F72-9CF2-9DBBC0CB6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2CDBD56F-1127-4031-BB93-4F352B1F2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712DB5B9-4B72-4E39-A111-577B564DA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791BEA53-C572-4ACF-B980-28A4B0265F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6203675-A111-4D0F-915A-E8C49B7E88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E2B0DB8-4FFC-4E34-86BB-1E2760C7E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DD210D8-7234-473C-B0A2-AF5F3838ED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56FA9F7-FDC9-45EB-A643-AC707A42D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D6F2CB8-B651-40D8-B25B-5D399EFF9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44341C9-3169-40A6-997D-D7ACBC9AD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5DBF0538-0551-418B-889A-5B32B2F3FA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13474C9E-9679-4D01-B1A6-757E516615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A5</xm:sqref>
        </x14:conditionalFormatting>
        <x14:conditionalFormatting xmlns:xm="http://schemas.microsoft.com/office/excel/2006/main">
          <x14:cfRule type="dataBar" id="{A62CA132-BF17-4671-8F06-406AC51880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F1BF6FD-8F03-4D77-8135-7686887AD8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0D6F0BB-FBF2-40B8-9780-3A802EC8C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CBC7ABA-510D-4D30-A1FA-B3CDCE8B5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93C4FD5-8D4E-4144-957C-A5965D8B49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EBD0708-1DCF-4E03-9059-4D9667866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6E56CA9-171F-4C86-9C17-703B768E9C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V5:W5</xm:sqref>
        </x14:conditionalFormatting>
        <x14:conditionalFormatting xmlns:xm="http://schemas.microsoft.com/office/excel/2006/main">
          <x14:cfRule type="dataBar" id="{86435E31-4BFD-47C1-B694-3DC80BAE6E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109625A-CC5F-48B8-95D6-32545EAC24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D45EFF8-C584-41DB-9829-E9F7EBE78C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9CF4452-A580-48C3-B642-09DFB5CC3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3D669F0-995A-42F2-B60E-63E3E16CDD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AF54C56-9436-4860-98D9-87F9689F2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3B3E35E-8F77-47C8-A565-9470A08885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2291EE4-7195-4948-B9D8-0DD3FE2835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7926794-3523-4F9E-8242-D27D85F53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D71CBD7-1BEE-4F37-9603-B7F4226C5E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1CE02045-7B71-4462-80AA-E43EA9AD4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6DC0B11-E666-4C37-BC7D-FE9D133C75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1BE2932A-F7E4-4442-9EED-175A8B4D3F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09D7D5B-7009-4769-B0F5-BA4E02F788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2088E873-2E67-45EB-A24A-D732296531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4CBEA67-9BD8-438E-9EC5-736ADADF23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4C98991-9BF9-468C-90D9-E194AE5C6A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B06354F-B6C7-48E6-A757-44DD021E0B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2A9A0F9-2C54-45E9-97C7-06E375068D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CD922DB-CBF0-46D8-B2B5-6C7E43AF8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E5847FD9-A2B4-478D-9CBC-0CE8D26F28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4398B00F-BAC8-41E4-93AA-31B8CB5C8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A4</xm:sqref>
        </x14:conditionalFormatting>
        <x14:conditionalFormatting xmlns:xm="http://schemas.microsoft.com/office/excel/2006/main">
          <x14:cfRule type="dataBar" id="{A6B64D65-D1CA-4D53-9CEB-5AE042751B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D2892EF4-CAD8-42E5-8B6B-E756769D52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7266A86-2163-4CB9-B2A0-CD08F1BC96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37E6CBA-1FCA-4278-8967-D3B441F961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D2A5188-8CC5-41EA-93DC-E15B8FD606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1E8B5E-5F13-437D-9B29-4BDE050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9AF4A3F6-A32A-4626-839E-4BF90FEC45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V4:W4</xm:sqref>
        </x14:conditionalFormatting>
        <x14:conditionalFormatting xmlns:xm="http://schemas.microsoft.com/office/excel/2006/main">
          <x14:cfRule type="dataBar" id="{1CD6E03A-2BE0-416F-91A5-3DDEB031DB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809790D-BCA2-4C28-A76C-27EC800C2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DE23287-567E-44E4-BC0A-252BE3BDC8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DB061D95-AA25-4AFC-A31C-4654EE25B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F34D46E6-2BF1-4B73-8E8C-6B4B0ACC85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I4:I33</xm:sqref>
        </x14:conditionalFormatting>
        <x14:conditionalFormatting xmlns:xm="http://schemas.microsoft.com/office/excel/2006/main">
          <x14:cfRule type="dataBar" id="{F463BE57-8A23-4C10-8165-A58920C3536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T4:T33</xm:sqref>
        </x14:conditionalFormatting>
        <x14:conditionalFormatting xmlns:xm="http://schemas.microsoft.com/office/excel/2006/main">
          <x14:cfRule type="dataBar" id="{FF57B9F1-E0C1-4673-B209-FE1369D32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L4:M33</xm:sqref>
        </x14:conditionalFormatting>
        <x14:conditionalFormatting xmlns:xm="http://schemas.microsoft.com/office/excel/2006/main">
          <x14:cfRule type="dataBar" id="{302410B9-1D87-4398-AD78-04B93D65A0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V4:W31</xm:sqref>
        </x14:conditionalFormatting>
        <x14:conditionalFormatting xmlns:xm="http://schemas.microsoft.com/office/excel/2006/main">
          <x14:cfRule type="iconSet" priority="151" id="{05047CEF-3D6E-432E-BD4E-49EFB596F18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J6:J27</xm:sqref>
        </x14:conditionalFormatting>
        <x14:conditionalFormatting xmlns:xm="http://schemas.microsoft.com/office/excel/2006/main">
          <x14:cfRule type="iconSet" priority="45" id="{9EF4A79C-4622-48D4-A5C6-175F984F981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5" id="{3245C6F6-25BC-4519-AD34-B1E9A9CB3B4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80"/>
  <sheetViews>
    <sheetView topLeftCell="A35" workbookViewId="0">
      <selection activeCell="H14" sqref="H14:H80"/>
    </sheetView>
  </sheetViews>
  <sheetFormatPr defaultRowHeight="15" x14ac:dyDescent="0.25"/>
  <cols>
    <col min="1" max="3" width="9.140625" style="795" bestFit="1" customWidth="1"/>
    <col min="4" max="4" width="10" style="795" bestFit="1" customWidth="1"/>
    <col min="5" max="7" width="9.140625" style="795" bestFit="1" customWidth="1"/>
    <col min="8" max="8" width="14" style="795" bestFit="1" customWidth="1"/>
    <col min="9" max="9" width="11" style="795" bestFit="1" customWidth="1"/>
    <col min="10" max="10" width="14" style="795" bestFit="1" customWidth="1"/>
    <col min="11" max="12" width="9.140625" style="795" bestFit="1" customWidth="1"/>
    <col min="13" max="13" width="14" style="795" bestFit="1" customWidth="1"/>
    <col min="14" max="14" width="11" style="795" bestFit="1" customWidth="1"/>
    <col min="15" max="15" width="14" style="795" bestFit="1" customWidth="1"/>
    <col min="16" max="16" width="9.140625" style="795" bestFit="1" customWidth="1"/>
    <col min="17" max="16384" width="9.140625" style="795"/>
  </cols>
  <sheetData>
    <row r="1" spans="1:16" x14ac:dyDescent="0.25">
      <c r="A1" s="795" t="s">
        <v>126</v>
      </c>
    </row>
    <row r="2" spans="1:16" x14ac:dyDescent="0.25">
      <c r="A2" s="795" t="s">
        <v>1102</v>
      </c>
    </row>
    <row r="4" spans="1:16" x14ac:dyDescent="0.25">
      <c r="A4" s="795" t="s">
        <v>1101</v>
      </c>
    </row>
    <row r="5" spans="1:16" x14ac:dyDescent="0.25">
      <c r="A5" s="795" t="s">
        <v>73</v>
      </c>
    </row>
    <row r="6" spans="1:16" x14ac:dyDescent="0.25">
      <c r="A6" s="795">
        <v>0</v>
      </c>
    </row>
    <row r="7" spans="1:16" x14ac:dyDescent="0.25">
      <c r="A7" s="795">
        <v>0</v>
      </c>
    </row>
    <row r="9" spans="1:16" x14ac:dyDescent="0.25">
      <c r="E9" s="795" t="s">
        <v>1100</v>
      </c>
      <c r="K9" s="795" t="s">
        <v>1099</v>
      </c>
    </row>
    <row r="10" spans="1:16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6" x14ac:dyDescent="0.25">
      <c r="A11" s="795" t="s">
        <v>1086</v>
      </c>
    </row>
    <row r="12" spans="1:16" x14ac:dyDescent="0.25">
      <c r="A12" s="795" t="s">
        <v>1085</v>
      </c>
      <c r="H12" s="795">
        <v>3286074774.2600002</v>
      </c>
      <c r="I12" s="795">
        <v>9962563.5700000003</v>
      </c>
      <c r="J12" s="795">
        <v>3296037337.8299999</v>
      </c>
      <c r="M12" s="795">
        <v>8406256190.54</v>
      </c>
      <c r="N12" s="795">
        <v>7577694.9800000004</v>
      </c>
      <c r="O12" s="795">
        <v>8413833885.5200005</v>
      </c>
    </row>
    <row r="13" spans="1:16" x14ac:dyDescent="0.25">
      <c r="A13" s="795" t="s">
        <v>106</v>
      </c>
    </row>
    <row r="14" spans="1:16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94.78</v>
      </c>
      <c r="F14" s="795" t="s">
        <v>950</v>
      </c>
      <c r="G14" s="795">
        <v>1</v>
      </c>
      <c r="H14" s="795">
        <v>59739834</v>
      </c>
      <c r="J14" s="795">
        <v>59739834</v>
      </c>
      <c r="K14" s="795">
        <v>42.41</v>
      </c>
      <c r="L14" s="795">
        <v>1</v>
      </c>
      <c r="M14" s="795">
        <v>26728546.859999999</v>
      </c>
      <c r="O14" s="795">
        <v>26728546.859999999</v>
      </c>
      <c r="P14" s="795" t="s">
        <v>1081</v>
      </c>
    </row>
    <row r="15" spans="1:16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</v>
      </c>
      <c r="H15" s="795">
        <v>47030280</v>
      </c>
      <c r="J15" s="795">
        <v>47030280</v>
      </c>
      <c r="K15" s="795">
        <v>878.81</v>
      </c>
      <c r="L15" s="795">
        <v>1</v>
      </c>
      <c r="M15" s="795">
        <v>31311208.16</v>
      </c>
      <c r="O15" s="795">
        <v>31311208.16</v>
      </c>
      <c r="P15" s="795" t="s">
        <v>1077</v>
      </c>
    </row>
    <row r="16" spans="1:16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66.900000000000006</v>
      </c>
      <c r="F16" s="795" t="s">
        <v>950</v>
      </c>
      <c r="G16" s="795">
        <v>1</v>
      </c>
      <c r="H16" s="795">
        <v>8189697.2999999998</v>
      </c>
      <c r="J16" s="795">
        <v>8189697.2999999998</v>
      </c>
      <c r="K16" s="795">
        <v>41.24</v>
      </c>
      <c r="L16" s="795">
        <v>1</v>
      </c>
      <c r="M16" s="795">
        <v>5048330.2300000004</v>
      </c>
      <c r="O16" s="795">
        <v>5048330.2300000004</v>
      </c>
      <c r="P16" s="795" t="s">
        <v>1073</v>
      </c>
    </row>
    <row r="17" spans="1:16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251.4</v>
      </c>
      <c r="F17" s="795" t="s">
        <v>950</v>
      </c>
      <c r="G17" s="795">
        <v>1</v>
      </c>
      <c r="H17" s="795">
        <v>5555940</v>
      </c>
      <c r="J17" s="795">
        <v>5555940</v>
      </c>
      <c r="K17" s="795">
        <v>331.81</v>
      </c>
      <c r="L17" s="795">
        <v>1</v>
      </c>
      <c r="M17" s="795">
        <v>7333104.8300000001</v>
      </c>
      <c r="O17" s="795">
        <v>7333104.8300000001</v>
      </c>
      <c r="P17" s="795" t="s">
        <v>1069</v>
      </c>
    </row>
    <row r="18" spans="1:16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58.55</v>
      </c>
      <c r="H18" s="795">
        <v>71366590.609999999</v>
      </c>
      <c r="J18" s="795">
        <v>71366590.609999999</v>
      </c>
      <c r="K18" s="795">
        <v>2.69</v>
      </c>
      <c r="L18" s="795">
        <v>41.347299999999997</v>
      </c>
      <c r="M18" s="795">
        <v>36074745.619999997</v>
      </c>
      <c r="O18" s="795">
        <v>36074745.619999997</v>
      </c>
      <c r="P18" s="795" t="s">
        <v>1061</v>
      </c>
    </row>
    <row r="19" spans="1:16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133.02000000000001</v>
      </c>
      <c r="F19" s="795" t="s">
        <v>950</v>
      </c>
      <c r="G19" s="795">
        <v>1</v>
      </c>
      <c r="H19" s="795">
        <v>63834834.780000001</v>
      </c>
      <c r="J19" s="795">
        <v>63834834.780000001</v>
      </c>
      <c r="K19" s="795">
        <v>130.61000000000001</v>
      </c>
      <c r="L19" s="795">
        <v>1</v>
      </c>
      <c r="M19" s="795">
        <v>62678420.200000003</v>
      </c>
      <c r="O19" s="795">
        <v>62678420.200000003</v>
      </c>
      <c r="P19" s="795" t="s">
        <v>987</v>
      </c>
    </row>
    <row r="20" spans="1:16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5.77</v>
      </c>
      <c r="F20" s="795" t="s">
        <v>950</v>
      </c>
      <c r="G20" s="795">
        <v>58.55</v>
      </c>
      <c r="H20" s="795">
        <v>24406443.370000001</v>
      </c>
      <c r="J20" s="795">
        <v>24406443.370000001</v>
      </c>
      <c r="K20" s="795">
        <v>8.36</v>
      </c>
      <c r="L20" s="795">
        <v>41.347299999999997</v>
      </c>
      <c r="M20" s="795">
        <v>24979030.890000001</v>
      </c>
      <c r="O20" s="795">
        <v>24979030.890000001</v>
      </c>
      <c r="P20" s="795" t="s">
        <v>1061</v>
      </c>
    </row>
    <row r="21" spans="1:16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9410</v>
      </c>
      <c r="F21" s="795" t="s">
        <v>950</v>
      </c>
      <c r="G21" s="795">
        <v>1</v>
      </c>
      <c r="H21" s="795">
        <v>38703330</v>
      </c>
      <c r="J21" s="795">
        <v>38703330</v>
      </c>
      <c r="K21" s="795">
        <v>8394.4500000000007</v>
      </c>
      <c r="L21" s="795">
        <v>1</v>
      </c>
      <c r="M21" s="795">
        <v>34526362.490000002</v>
      </c>
      <c r="O21" s="795">
        <v>34526362.490000002</v>
      </c>
      <c r="P21" s="795" t="s">
        <v>1057</v>
      </c>
    </row>
    <row r="22" spans="1:16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183.5</v>
      </c>
      <c r="F22" s="795" t="s">
        <v>950</v>
      </c>
      <c r="G22" s="795">
        <v>71.881829999999994</v>
      </c>
      <c r="H22" s="795">
        <v>670987322.67999995</v>
      </c>
      <c r="J22" s="795">
        <v>670987322.67999995</v>
      </c>
      <c r="K22" s="795">
        <v>0.76</v>
      </c>
      <c r="L22" s="795">
        <v>62.609299999999998</v>
      </c>
      <c r="M22" s="795">
        <v>18509.41</v>
      </c>
      <c r="O22" s="795">
        <v>18509.41</v>
      </c>
      <c r="P22" s="795" t="s">
        <v>991</v>
      </c>
    </row>
    <row r="23" spans="1:16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58.55</v>
      </c>
      <c r="H23" s="795">
        <v>28086435</v>
      </c>
      <c r="J23" s="795">
        <v>28086435</v>
      </c>
      <c r="K23" s="795">
        <v>158.32</v>
      </c>
      <c r="L23" s="795">
        <v>56.455300000000001</v>
      </c>
      <c r="M23" s="795">
        <v>549683718.39999998</v>
      </c>
      <c r="O23" s="795">
        <v>549683718.39999998</v>
      </c>
      <c r="P23" s="795" t="s">
        <v>1052</v>
      </c>
    </row>
    <row r="24" spans="1:16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58.55</v>
      </c>
      <c r="H24" s="795">
        <v>49314299.579999998</v>
      </c>
      <c r="J24" s="795">
        <v>49314299.579999998</v>
      </c>
      <c r="K24" s="795">
        <v>231.68</v>
      </c>
      <c r="L24" s="795">
        <v>64.498800000000003</v>
      </c>
      <c r="M24" s="795">
        <v>3496135742.1900001</v>
      </c>
      <c r="O24" s="795">
        <v>3496135742.1900001</v>
      </c>
      <c r="P24" s="795" t="s">
        <v>1049</v>
      </c>
    </row>
    <row r="25" spans="1:16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</v>
      </c>
      <c r="H25" s="795">
        <v>22892800</v>
      </c>
      <c r="J25" s="795">
        <v>22892800</v>
      </c>
      <c r="K25" s="795">
        <v>29.73</v>
      </c>
      <c r="L25" s="795">
        <v>1</v>
      </c>
      <c r="M25" s="795">
        <v>12152699.84</v>
      </c>
      <c r="O25" s="795">
        <v>12152699.84</v>
      </c>
      <c r="P25" s="795" t="s">
        <v>1045</v>
      </c>
    </row>
    <row r="26" spans="1:16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10.5</v>
      </c>
      <c r="F26" s="795" t="s">
        <v>950</v>
      </c>
      <c r="G26" s="795">
        <v>58.55</v>
      </c>
      <c r="H26" s="795">
        <v>48997567.5</v>
      </c>
      <c r="J26" s="795">
        <v>48997567.5</v>
      </c>
      <c r="K26" s="795">
        <v>415.41</v>
      </c>
      <c r="L26" s="795">
        <v>51.084000000000003</v>
      </c>
      <c r="M26" s="795">
        <v>1691289096.1600001</v>
      </c>
      <c r="O26" s="795">
        <v>1691289096.1600001</v>
      </c>
      <c r="P26" s="795" t="s">
        <v>980</v>
      </c>
    </row>
    <row r="27" spans="1:16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3095.5</v>
      </c>
      <c r="F27" s="795" t="s">
        <v>950</v>
      </c>
      <c r="G27" s="795">
        <v>1</v>
      </c>
      <c r="H27" s="795">
        <v>182210416.5</v>
      </c>
      <c r="J27" s="795">
        <v>182210416.5</v>
      </c>
      <c r="K27" s="795">
        <v>2133.29</v>
      </c>
      <c r="L27" s="795">
        <v>1</v>
      </c>
      <c r="M27" s="795">
        <v>125572119.61</v>
      </c>
      <c r="O27" s="795">
        <v>125572119.61</v>
      </c>
      <c r="P27" s="795" t="s">
        <v>1039</v>
      </c>
    </row>
    <row r="28" spans="1:16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965</v>
      </c>
      <c r="F28" s="795" t="s">
        <v>950</v>
      </c>
      <c r="G28" s="795">
        <v>1</v>
      </c>
      <c r="H28" s="795">
        <v>48008750</v>
      </c>
      <c r="J28" s="795">
        <v>48008750</v>
      </c>
      <c r="K28" s="795">
        <v>596.32000000000005</v>
      </c>
      <c r="L28" s="795">
        <v>1</v>
      </c>
      <c r="M28" s="795">
        <v>29667063.149999999</v>
      </c>
      <c r="O28" s="795">
        <v>29667063.149999999</v>
      </c>
      <c r="P28" s="795" t="s">
        <v>1035</v>
      </c>
    </row>
    <row r="29" spans="1:16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58.55</v>
      </c>
      <c r="H29" s="795">
        <v>9065296.5</v>
      </c>
      <c r="J29" s="795">
        <v>9065296.5</v>
      </c>
      <c r="K29" s="795">
        <v>2206.5500000000002</v>
      </c>
      <c r="L29" s="795">
        <v>63.678100000000001</v>
      </c>
      <c r="M29" s="795">
        <v>365323482.83999997</v>
      </c>
      <c r="O29" s="795">
        <v>365323482.83999997</v>
      </c>
      <c r="P29" s="795" t="s">
        <v>938</v>
      </c>
    </row>
    <row r="30" spans="1:16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662.1</v>
      </c>
      <c r="F30" s="795" t="s">
        <v>950</v>
      </c>
      <c r="G30" s="795">
        <v>1</v>
      </c>
      <c r="H30" s="795">
        <v>87522999</v>
      </c>
      <c r="J30" s="795">
        <v>87522999</v>
      </c>
      <c r="K30" s="795">
        <v>684.52</v>
      </c>
      <c r="L30" s="795">
        <v>1</v>
      </c>
      <c r="M30" s="795">
        <v>90487150.280000001</v>
      </c>
      <c r="O30" s="795">
        <v>90487150.280000001</v>
      </c>
      <c r="P30" s="795" t="s">
        <v>1029</v>
      </c>
    </row>
    <row r="31" spans="1:16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58.55</v>
      </c>
      <c r="H31" s="795">
        <v>3024780.83</v>
      </c>
      <c r="J31" s="795">
        <v>3024780.83</v>
      </c>
      <c r="K31" s="795">
        <v>8.68</v>
      </c>
      <c r="L31" s="795">
        <v>57.3125</v>
      </c>
      <c r="M31" s="795">
        <v>2762084.85</v>
      </c>
      <c r="O31" s="795">
        <v>2762084.85</v>
      </c>
      <c r="P31" s="795" t="s">
        <v>1025</v>
      </c>
    </row>
    <row r="32" spans="1:16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</v>
      </c>
      <c r="H32" s="795">
        <v>635060</v>
      </c>
      <c r="J32" s="795">
        <v>635060</v>
      </c>
      <c r="K32" s="795">
        <v>0.05</v>
      </c>
      <c r="L32" s="795">
        <v>1</v>
      </c>
      <c r="M32" s="795">
        <v>559360.02</v>
      </c>
      <c r="O32" s="795">
        <v>559360.02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275.3</v>
      </c>
      <c r="F33" s="795" t="s">
        <v>950</v>
      </c>
      <c r="G33" s="795">
        <v>1</v>
      </c>
      <c r="H33" s="795">
        <v>93849770</v>
      </c>
      <c r="J33" s="795">
        <v>93849770</v>
      </c>
      <c r="K33" s="795">
        <v>223.86</v>
      </c>
      <c r="L33" s="795">
        <v>1</v>
      </c>
      <c r="M33" s="795">
        <v>76312590.879999995</v>
      </c>
      <c r="O33" s="795">
        <v>76312590.879999995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375.1</v>
      </c>
      <c r="F34" s="795" t="s">
        <v>950</v>
      </c>
      <c r="G34" s="795">
        <v>1</v>
      </c>
      <c r="H34" s="795">
        <v>128745573</v>
      </c>
      <c r="J34" s="795">
        <v>128745573</v>
      </c>
      <c r="K34" s="795">
        <v>142.56</v>
      </c>
      <c r="L34" s="795">
        <v>1</v>
      </c>
      <c r="M34" s="795">
        <v>48931302.579999998</v>
      </c>
      <c r="O34" s="795">
        <v>48931302.579999998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</v>
      </c>
      <c r="H35" s="795">
        <v>91769450</v>
      </c>
      <c r="J35" s="795">
        <v>91769450</v>
      </c>
      <c r="K35" s="795">
        <v>22.18</v>
      </c>
      <c r="L35" s="795">
        <v>1</v>
      </c>
      <c r="M35" s="795">
        <v>29719532.879999999</v>
      </c>
      <c r="O35" s="795">
        <v>29719532.879999999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34.42</v>
      </c>
      <c r="F36" s="795" t="s">
        <v>950</v>
      </c>
      <c r="G36" s="795">
        <v>1</v>
      </c>
      <c r="H36" s="795">
        <v>198762041.78</v>
      </c>
      <c r="J36" s="795">
        <v>198762041.78</v>
      </c>
      <c r="K36" s="795">
        <v>21.45</v>
      </c>
      <c r="L36" s="795">
        <v>1</v>
      </c>
      <c r="M36" s="795">
        <v>123859780.55</v>
      </c>
      <c r="O36" s="795">
        <v>123859780.55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</v>
      </c>
      <c r="H37" s="795">
        <v>76967079.120000005</v>
      </c>
      <c r="J37" s="795">
        <v>76967079.120000005</v>
      </c>
      <c r="L37" s="795">
        <v>1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58.55</v>
      </c>
      <c r="H38" s="795">
        <v>8598049.0600000005</v>
      </c>
      <c r="J38" s="795">
        <v>8598049.0600000005</v>
      </c>
      <c r="K38" s="795">
        <v>1.25</v>
      </c>
      <c r="L38" s="795">
        <v>43.012</v>
      </c>
      <c r="M38" s="795">
        <v>2298507.52</v>
      </c>
      <c r="O38" s="795">
        <v>2298507.52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58.55</v>
      </c>
      <c r="H39" s="795">
        <v>9429243.3000000007</v>
      </c>
      <c r="J39" s="795">
        <v>9429243.3000000007</v>
      </c>
      <c r="K39" s="795">
        <v>36.21</v>
      </c>
      <c r="L39" s="795">
        <v>65.397199999999998</v>
      </c>
      <c r="M39" s="795">
        <v>21784946.239999998</v>
      </c>
      <c r="O39" s="795">
        <v>21784946.239999998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58.55</v>
      </c>
      <c r="H40" s="795">
        <v>22848741.699999999</v>
      </c>
      <c r="J40" s="795">
        <v>22848741.699999999</v>
      </c>
      <c r="K40" s="795">
        <v>229.78</v>
      </c>
      <c r="L40" s="795">
        <v>43.012</v>
      </c>
      <c r="M40" s="795">
        <v>32199345.68</v>
      </c>
      <c r="O40" s="795">
        <v>32199345.68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58.55</v>
      </c>
      <c r="H41" s="795">
        <v>11457605.59</v>
      </c>
      <c r="J41" s="795">
        <v>11457605.59</v>
      </c>
      <c r="K41" s="795">
        <v>1251.8499999999999</v>
      </c>
      <c r="L41" s="795">
        <v>65.397199999999998</v>
      </c>
      <c r="M41" s="795">
        <v>216948419.03999999</v>
      </c>
      <c r="O41" s="795">
        <v>216948419.03999999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944.5</v>
      </c>
      <c r="F42" s="795" t="s">
        <v>950</v>
      </c>
      <c r="G42" s="795">
        <v>71.881829999999994</v>
      </c>
      <c r="H42" s="795">
        <v>146301996.94</v>
      </c>
      <c r="J42" s="795">
        <v>146301996.94</v>
      </c>
      <c r="K42" s="795">
        <v>563.80999999999995</v>
      </c>
      <c r="L42" s="795">
        <v>62.609299999999998</v>
      </c>
      <c r="M42" s="795">
        <v>578937.42000000004</v>
      </c>
      <c r="O42" s="795">
        <v>578937.42000000004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</v>
      </c>
      <c r="H43" s="795">
        <v>30635000</v>
      </c>
      <c r="J43" s="795">
        <v>30635000</v>
      </c>
      <c r="K43" s="795">
        <v>42.3</v>
      </c>
      <c r="L43" s="795">
        <v>1</v>
      </c>
      <c r="M43" s="795">
        <v>11780549.720000001</v>
      </c>
      <c r="O43" s="795">
        <v>11780549.720000001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58.55</v>
      </c>
      <c r="H44" s="795">
        <v>8113390.5999999996</v>
      </c>
      <c r="J44" s="795">
        <v>8113390.5999999996</v>
      </c>
      <c r="K44" s="795">
        <v>794.04</v>
      </c>
      <c r="L44" s="795">
        <v>57.478499999999997</v>
      </c>
      <c r="M44" s="795">
        <v>447276373.57999998</v>
      </c>
      <c r="O44" s="795">
        <v>447276373.57999998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305.5</v>
      </c>
      <c r="F45" s="795" t="s">
        <v>950</v>
      </c>
      <c r="G45" s="795">
        <v>1</v>
      </c>
      <c r="H45" s="795">
        <v>208249268.5</v>
      </c>
      <c r="J45" s="795">
        <v>208249268.5</v>
      </c>
      <c r="K45" s="795">
        <v>239.3</v>
      </c>
      <c r="L45" s="795">
        <v>1</v>
      </c>
      <c r="M45" s="795">
        <v>163122383.37</v>
      </c>
      <c r="O45" s="795">
        <v>163122383.37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224.1</v>
      </c>
      <c r="F46" s="795" t="s">
        <v>950</v>
      </c>
      <c r="G46" s="795">
        <v>1</v>
      </c>
      <c r="H46" s="795">
        <v>83477250</v>
      </c>
      <c r="J46" s="795">
        <v>83477250</v>
      </c>
      <c r="K46" s="795">
        <v>143.03</v>
      </c>
      <c r="L46" s="795">
        <v>1</v>
      </c>
      <c r="M46" s="795">
        <v>53278125.189999998</v>
      </c>
      <c r="O46" s="795">
        <v>53278125.189999998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601</v>
      </c>
      <c r="F47" s="795" t="s">
        <v>950</v>
      </c>
      <c r="G47" s="795">
        <v>1</v>
      </c>
      <c r="H47" s="795">
        <v>2265770</v>
      </c>
      <c r="J47" s="795">
        <v>2265770</v>
      </c>
      <c r="K47" s="795">
        <v>416</v>
      </c>
      <c r="L47" s="795">
        <v>1</v>
      </c>
      <c r="M47" s="795">
        <v>1568320</v>
      </c>
      <c r="O47" s="795">
        <v>1568320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</v>
      </c>
      <c r="H48" s="795">
        <v>14513853.5</v>
      </c>
      <c r="J48" s="795">
        <v>14513853.5</v>
      </c>
      <c r="K48" s="795">
        <v>0.01</v>
      </c>
      <c r="L48" s="795">
        <v>1</v>
      </c>
      <c r="M48" s="795">
        <v>4672280.6900000004</v>
      </c>
      <c r="O48" s="795">
        <v>4672280.6900000004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74.400000000000006</v>
      </c>
      <c r="F49" s="795" t="s">
        <v>950</v>
      </c>
      <c r="G49" s="795">
        <v>1</v>
      </c>
      <c r="H49" s="795">
        <v>23306544</v>
      </c>
      <c r="J49" s="795">
        <v>23306544</v>
      </c>
      <c r="K49" s="795">
        <v>55.04</v>
      </c>
      <c r="L49" s="795">
        <v>1</v>
      </c>
      <c r="M49" s="795">
        <v>17242342.82</v>
      </c>
      <c r="O49" s="795">
        <v>17242342.82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</v>
      </c>
      <c r="H50" s="795">
        <v>50561472</v>
      </c>
      <c r="J50" s="795">
        <v>50561472</v>
      </c>
      <c r="K50" s="795">
        <v>2.71</v>
      </c>
      <c r="L50" s="795">
        <v>1</v>
      </c>
      <c r="M50" s="795">
        <v>53030642.880000003</v>
      </c>
      <c r="O50" s="795">
        <v>53030642.880000003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</v>
      </c>
      <c r="H51" s="795">
        <v>13911120</v>
      </c>
      <c r="J51" s="795">
        <v>13911120</v>
      </c>
      <c r="K51" s="795">
        <v>145.02000000000001</v>
      </c>
      <c r="L51" s="795">
        <v>1</v>
      </c>
      <c r="M51" s="795">
        <v>12094668.34</v>
      </c>
      <c r="O51" s="795">
        <v>12094668.34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58.55</v>
      </c>
      <c r="H52" s="795">
        <v>59281898.420000002</v>
      </c>
      <c r="J52" s="795">
        <v>59281898.420000002</v>
      </c>
      <c r="K52" s="795">
        <v>7.7</v>
      </c>
      <c r="L52" s="795">
        <v>40.645899999999997</v>
      </c>
      <c r="M52" s="795">
        <v>76390898.049999997</v>
      </c>
      <c r="O52" s="795">
        <v>76390898.049999997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58.55</v>
      </c>
      <c r="H53" s="795">
        <v>90641547.75</v>
      </c>
      <c r="J53" s="795">
        <v>90641547.75</v>
      </c>
      <c r="K53" s="795">
        <v>30.95</v>
      </c>
      <c r="L53" s="795">
        <v>53.868000000000002</v>
      </c>
      <c r="M53" s="795">
        <v>110551907.58</v>
      </c>
      <c r="O53" s="795">
        <v>110551907.58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58.55</v>
      </c>
      <c r="H54" s="795">
        <v>59721000</v>
      </c>
      <c r="I54" s="795">
        <v>1070367.19</v>
      </c>
      <c r="J54" s="795">
        <v>60791367.189999998</v>
      </c>
      <c r="K54" s="795">
        <v>37.770000000000003</v>
      </c>
      <c r="L54" s="795">
        <v>65.397599999999997</v>
      </c>
      <c r="M54" s="795">
        <v>24701748</v>
      </c>
      <c r="N54" s="795">
        <v>823601.02</v>
      </c>
      <c r="O54" s="795">
        <v>25525349.030000001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</v>
      </c>
      <c r="H55" s="795">
        <v>106080</v>
      </c>
      <c r="I55" s="795">
        <v>4047.68</v>
      </c>
      <c r="J55" s="795">
        <v>110127.67999999999</v>
      </c>
      <c r="K55" s="795">
        <v>100.69</v>
      </c>
      <c r="L55" s="795">
        <v>1</v>
      </c>
      <c r="M55" s="795">
        <v>104714</v>
      </c>
      <c r="O55" s="795">
        <v>104714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</v>
      </c>
      <c r="H56" s="795">
        <v>30060</v>
      </c>
      <c r="I56" s="795">
        <v>1615.5</v>
      </c>
      <c r="J56" s="795">
        <v>31675.5</v>
      </c>
      <c r="K56" s="795">
        <v>104.3</v>
      </c>
      <c r="L56" s="795">
        <v>1</v>
      </c>
      <c r="M56" s="795">
        <v>31290</v>
      </c>
      <c r="N56" s="795">
        <v>1470.6</v>
      </c>
      <c r="O56" s="795">
        <v>32760.6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</v>
      </c>
      <c r="H57" s="795">
        <v>20286</v>
      </c>
      <c r="I57" s="795">
        <v>126.6</v>
      </c>
      <c r="J57" s="795">
        <v>20412.599999999999</v>
      </c>
      <c r="K57" s="795">
        <v>101.43</v>
      </c>
      <c r="L57" s="795">
        <v>1</v>
      </c>
      <c r="M57" s="795">
        <v>20286</v>
      </c>
      <c r="N57" s="795">
        <v>78.400000000000006</v>
      </c>
      <c r="O57" s="795">
        <v>20364.400000000001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58.55</v>
      </c>
      <c r="H58" s="795">
        <v>10890300</v>
      </c>
      <c r="I58" s="795">
        <v>461081.25</v>
      </c>
      <c r="J58" s="795">
        <v>11351381.25</v>
      </c>
      <c r="K58" s="795">
        <v>85</v>
      </c>
      <c r="L58" s="795">
        <v>40.145000000000003</v>
      </c>
      <c r="M58" s="795">
        <v>6824650</v>
      </c>
      <c r="N58" s="795">
        <v>400446.38</v>
      </c>
      <c r="O58" s="795">
        <v>7225096.3799999999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</v>
      </c>
      <c r="H59" s="795">
        <v>30543</v>
      </c>
      <c r="I59" s="795">
        <v>565.5</v>
      </c>
      <c r="J59" s="795">
        <v>31108.5</v>
      </c>
      <c r="K59" s="795">
        <v>100</v>
      </c>
      <c r="L59" s="795">
        <v>1</v>
      </c>
      <c r="M59" s="795">
        <v>30000</v>
      </c>
      <c r="O59" s="795">
        <v>30000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</v>
      </c>
      <c r="H60" s="795">
        <v>21100</v>
      </c>
      <c r="I60" s="795">
        <v>936</v>
      </c>
      <c r="J60" s="795">
        <v>22036</v>
      </c>
      <c r="K60" s="795">
        <v>100</v>
      </c>
      <c r="L60" s="795">
        <v>1</v>
      </c>
      <c r="M60" s="795">
        <v>20000</v>
      </c>
      <c r="O60" s="795">
        <v>20000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58.55</v>
      </c>
      <c r="H61" s="795">
        <v>95436500</v>
      </c>
      <c r="I61" s="795">
        <v>4025312.5</v>
      </c>
      <c r="J61" s="795">
        <v>99461812.5</v>
      </c>
      <c r="K61" s="795">
        <v>84.24</v>
      </c>
      <c r="L61" s="795">
        <v>40.145000000000003</v>
      </c>
      <c r="M61" s="795">
        <v>67636294.390000001</v>
      </c>
      <c r="N61" s="795">
        <v>110398.75</v>
      </c>
      <c r="O61" s="795">
        <v>67746693.140000001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58.55</v>
      </c>
      <c r="H62" s="795">
        <v>27915176.25</v>
      </c>
      <c r="I62" s="795">
        <v>506366.16</v>
      </c>
      <c r="J62" s="795">
        <v>28421542.41</v>
      </c>
      <c r="K62" s="795">
        <v>72.66</v>
      </c>
      <c r="L62" s="795">
        <v>40.145000000000003</v>
      </c>
      <c r="M62" s="795">
        <v>13125407.35</v>
      </c>
      <c r="N62" s="795">
        <v>448808.66</v>
      </c>
      <c r="O62" s="795">
        <v>13574216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</v>
      </c>
      <c r="H63" s="795">
        <v>31689</v>
      </c>
      <c r="I63" s="795">
        <v>775.2</v>
      </c>
      <c r="J63" s="795">
        <v>32464.2</v>
      </c>
      <c r="K63" s="795">
        <v>105.8</v>
      </c>
      <c r="L63" s="795">
        <v>1</v>
      </c>
      <c r="M63" s="795">
        <v>31740</v>
      </c>
      <c r="N63" s="795">
        <v>850.5</v>
      </c>
      <c r="O63" s="795">
        <v>32590.5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97.6</v>
      </c>
      <c r="F64" s="795" t="s">
        <v>852</v>
      </c>
      <c r="G64" s="795">
        <v>1</v>
      </c>
      <c r="H64" s="795">
        <v>2928</v>
      </c>
      <c r="I64" s="795">
        <v>14.79</v>
      </c>
      <c r="J64" s="795">
        <v>2942.79</v>
      </c>
      <c r="K64" s="795">
        <v>92.46</v>
      </c>
      <c r="L64" s="795">
        <v>1</v>
      </c>
      <c r="M64" s="795">
        <v>2773.8</v>
      </c>
      <c r="N64" s="795">
        <v>65.25</v>
      </c>
      <c r="O64" s="795">
        <v>2839.05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99.62</v>
      </c>
      <c r="F65" s="795" t="s">
        <v>852</v>
      </c>
      <c r="G65" s="795">
        <v>1</v>
      </c>
      <c r="H65" s="795">
        <v>48385.43</v>
      </c>
      <c r="I65" s="795">
        <v>1319.65</v>
      </c>
      <c r="J65" s="795">
        <v>49705.08</v>
      </c>
      <c r="K65" s="795">
        <v>96.2</v>
      </c>
      <c r="L65" s="795">
        <v>1</v>
      </c>
      <c r="M65" s="795">
        <v>46723.45</v>
      </c>
      <c r="N65" s="795">
        <v>541.55999999999995</v>
      </c>
      <c r="O65" s="795">
        <v>47265.01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98.5</v>
      </c>
      <c r="F66" s="795" t="s">
        <v>852</v>
      </c>
      <c r="G66" s="795">
        <v>1</v>
      </c>
      <c r="H66" s="795">
        <v>78800000</v>
      </c>
      <c r="I66" s="795">
        <v>437500</v>
      </c>
      <c r="J66" s="795">
        <v>79237500</v>
      </c>
      <c r="K66" s="795">
        <v>76.290000000000006</v>
      </c>
      <c r="L66" s="795">
        <v>1</v>
      </c>
      <c r="M66" s="795">
        <v>61034000.399999999</v>
      </c>
      <c r="N66" s="795">
        <v>2310000</v>
      </c>
      <c r="O66" s="795">
        <v>63344000.399999999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</v>
      </c>
      <c r="H67" s="795">
        <v>156315</v>
      </c>
      <c r="I67" s="795">
        <v>7129.5</v>
      </c>
      <c r="J67" s="795">
        <v>163444.5</v>
      </c>
      <c r="K67" s="795">
        <v>100</v>
      </c>
      <c r="L67" s="795">
        <v>1</v>
      </c>
      <c r="M67" s="795">
        <v>150000</v>
      </c>
      <c r="O67" s="795">
        <v>150000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</v>
      </c>
      <c r="H68" s="795">
        <v>51375</v>
      </c>
      <c r="I68" s="795">
        <v>2088</v>
      </c>
      <c r="J68" s="795">
        <v>53463</v>
      </c>
      <c r="K68" s="795">
        <v>100</v>
      </c>
      <c r="L68" s="795">
        <v>1</v>
      </c>
      <c r="M68" s="795">
        <v>50000</v>
      </c>
      <c r="O68" s="795">
        <v>50000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</v>
      </c>
      <c r="H69" s="795">
        <v>20202</v>
      </c>
      <c r="I69" s="795">
        <v>933.6</v>
      </c>
      <c r="J69" s="795">
        <v>21135.599999999999</v>
      </c>
      <c r="K69" s="795">
        <v>100</v>
      </c>
      <c r="L69" s="795">
        <v>1</v>
      </c>
      <c r="M69" s="795">
        <v>20000</v>
      </c>
      <c r="O69" s="795">
        <v>20000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</v>
      </c>
      <c r="H70" s="795">
        <v>30300</v>
      </c>
      <c r="I70" s="795">
        <v>1400.4</v>
      </c>
      <c r="J70" s="795">
        <v>31700.400000000001</v>
      </c>
      <c r="K70" s="795">
        <v>100</v>
      </c>
      <c r="L70" s="795">
        <v>1</v>
      </c>
      <c r="M70" s="795">
        <v>30000</v>
      </c>
      <c r="O70" s="795">
        <v>30000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58.55</v>
      </c>
      <c r="H71" s="795">
        <v>21158872.190000001</v>
      </c>
      <c r="I71" s="795">
        <v>310559.15000000002</v>
      </c>
      <c r="J71" s="795">
        <v>21469431.34</v>
      </c>
      <c r="K71" s="795">
        <v>88.22</v>
      </c>
      <c r="L71" s="795">
        <v>40.145000000000003</v>
      </c>
      <c r="M71" s="795">
        <v>11864975.189999999</v>
      </c>
      <c r="N71" s="795">
        <v>293627.34999999998</v>
      </c>
      <c r="O71" s="795">
        <v>12158602.539999999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58.55</v>
      </c>
      <c r="H72" s="795">
        <v>23624925</v>
      </c>
      <c r="I72" s="795">
        <v>464033.34</v>
      </c>
      <c r="J72" s="795">
        <v>24088958.34</v>
      </c>
      <c r="K72" s="795">
        <v>84.75</v>
      </c>
      <c r="L72" s="795">
        <v>40.145000000000003</v>
      </c>
      <c r="M72" s="795">
        <v>13609155</v>
      </c>
      <c r="N72" s="795">
        <v>37086.75</v>
      </c>
      <c r="O72" s="795">
        <v>13646241.75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</v>
      </c>
      <c r="H73" s="795">
        <v>15001.5</v>
      </c>
      <c r="I73" s="795">
        <v>547.95000000000005</v>
      </c>
      <c r="J73" s="795">
        <v>15549.45</v>
      </c>
      <c r="K73" s="795">
        <v>100</v>
      </c>
      <c r="L73" s="795">
        <v>1</v>
      </c>
      <c r="M73" s="795">
        <v>15000</v>
      </c>
      <c r="O73" s="795">
        <v>15000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</v>
      </c>
      <c r="K74" s="795">
        <v>97.5</v>
      </c>
      <c r="L74" s="795">
        <v>1</v>
      </c>
      <c r="M74" s="795">
        <v>5450.25</v>
      </c>
      <c r="N74" s="795">
        <v>103.58</v>
      </c>
      <c r="O74" s="795">
        <v>5553.83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</v>
      </c>
      <c r="H75" s="795">
        <v>23544</v>
      </c>
      <c r="I75" s="795">
        <v>618.24</v>
      </c>
      <c r="J75" s="795">
        <v>24162.240000000002</v>
      </c>
      <c r="K75" s="795">
        <v>95.86</v>
      </c>
      <c r="L75" s="795">
        <v>1</v>
      </c>
      <c r="M75" s="795">
        <v>28758</v>
      </c>
      <c r="N75" s="795">
        <v>827.04</v>
      </c>
      <c r="O75" s="795">
        <v>29585.040000000001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</v>
      </c>
      <c r="H76" s="795">
        <v>49990</v>
      </c>
      <c r="I76" s="795">
        <v>2329</v>
      </c>
      <c r="J76" s="795">
        <v>52319</v>
      </c>
      <c r="K76" s="795">
        <v>98.05</v>
      </c>
      <c r="L76" s="795">
        <v>1</v>
      </c>
      <c r="M76" s="795">
        <v>49025</v>
      </c>
      <c r="N76" s="795">
        <v>698.5</v>
      </c>
      <c r="O76" s="795">
        <v>49723.5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99.45</v>
      </c>
      <c r="F77" s="795" t="s">
        <v>852</v>
      </c>
      <c r="G77" s="795">
        <v>1</v>
      </c>
      <c r="H77" s="795">
        <v>49725000</v>
      </c>
      <c r="I77" s="795">
        <v>237500</v>
      </c>
      <c r="J77" s="795">
        <v>49962500</v>
      </c>
      <c r="K77" s="795">
        <v>70.03</v>
      </c>
      <c r="L77" s="795">
        <v>1</v>
      </c>
      <c r="M77" s="795">
        <v>35014999.390000001</v>
      </c>
      <c r="N77" s="795">
        <v>1575000</v>
      </c>
      <c r="O77" s="795">
        <v>36589999.390000001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58.55</v>
      </c>
      <c r="H78" s="795">
        <v>15508724</v>
      </c>
      <c r="I78" s="795">
        <v>1004542.35</v>
      </c>
      <c r="J78" s="795">
        <v>16513266.35</v>
      </c>
      <c r="K78" s="795">
        <v>81.290000000000006</v>
      </c>
      <c r="L78" s="795">
        <v>65.715199999999996</v>
      </c>
      <c r="M78" s="795">
        <v>18375875</v>
      </c>
      <c r="N78" s="795">
        <v>917741.68</v>
      </c>
      <c r="O78" s="795">
        <v>19293616.690000001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58.55</v>
      </c>
      <c r="H79" s="795">
        <v>59352135</v>
      </c>
      <c r="I79" s="795">
        <v>1419142.51</v>
      </c>
      <c r="J79" s="795">
        <v>60771277.509999998</v>
      </c>
      <c r="K79" s="795">
        <v>89.5</v>
      </c>
      <c r="L79" s="795">
        <v>68.975300000000004</v>
      </c>
      <c r="M79" s="795">
        <v>57410694.280000001</v>
      </c>
      <c r="N79" s="795">
        <v>656348.94999999995</v>
      </c>
      <c r="O79" s="795">
        <v>58067043.229999997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</v>
      </c>
      <c r="H80" s="795">
        <v>45000</v>
      </c>
      <c r="I80" s="795">
        <v>1711.5</v>
      </c>
      <c r="J80" s="795">
        <v>46711.5</v>
      </c>
      <c r="K80" s="795">
        <v>100</v>
      </c>
      <c r="L80" s="795">
        <v>1</v>
      </c>
      <c r="M80" s="795">
        <v>50000</v>
      </c>
      <c r="O80" s="795">
        <v>50000</v>
      </c>
      <c r="P80" s="795" t="s">
        <v>846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80"/>
  <sheetViews>
    <sheetView topLeftCell="A35" workbookViewId="0">
      <selection activeCell="H14" sqref="H14:H80"/>
    </sheetView>
  </sheetViews>
  <sheetFormatPr defaultRowHeight="15" x14ac:dyDescent="0.25"/>
  <cols>
    <col min="1" max="1" width="9.140625" style="795" bestFit="1" customWidth="1"/>
    <col min="2" max="2" width="24.28515625" style="795" customWidth="1"/>
    <col min="3" max="3" width="9.140625" style="795" bestFit="1" customWidth="1"/>
    <col min="4" max="4" width="10" style="795" bestFit="1" customWidth="1"/>
    <col min="5" max="7" width="9.140625" style="795" bestFit="1" customWidth="1"/>
    <col min="8" max="8" width="17.5703125" style="795" customWidth="1"/>
    <col min="9" max="9" width="10" style="795" bestFit="1" customWidth="1"/>
    <col min="10" max="10" width="12" style="795" bestFit="1" customWidth="1"/>
    <col min="11" max="12" width="9.140625" style="795" bestFit="1" customWidth="1"/>
    <col min="13" max="13" width="13" style="795" bestFit="1" customWidth="1"/>
    <col min="14" max="14" width="10" style="795" bestFit="1" customWidth="1"/>
    <col min="15" max="15" width="12" style="795" bestFit="1" customWidth="1"/>
    <col min="16" max="16" width="9.140625" style="795" bestFit="1" customWidth="1"/>
    <col min="17" max="16384" width="9.140625" style="795"/>
  </cols>
  <sheetData>
    <row r="1" spans="1:18" x14ac:dyDescent="0.25">
      <c r="A1" s="795" t="s">
        <v>126</v>
      </c>
    </row>
    <row r="2" spans="1:18" x14ac:dyDescent="0.25">
      <c r="A2" s="795" t="s">
        <v>1102</v>
      </c>
    </row>
    <row r="4" spans="1:18" x14ac:dyDescent="0.25">
      <c r="A4" s="795" t="s">
        <v>1101</v>
      </c>
    </row>
    <row r="5" spans="1:18" x14ac:dyDescent="0.25">
      <c r="A5" s="795" t="s">
        <v>75</v>
      </c>
    </row>
    <row r="6" spans="1:18" x14ac:dyDescent="0.25">
      <c r="A6" s="795">
        <v>0</v>
      </c>
    </row>
    <row r="7" spans="1:18" x14ac:dyDescent="0.25">
      <c r="A7" s="795">
        <v>0</v>
      </c>
    </row>
    <row r="9" spans="1:18" x14ac:dyDescent="0.25">
      <c r="E9" s="795" t="s">
        <v>1100</v>
      </c>
      <c r="K9" s="795" t="s">
        <v>1099</v>
      </c>
    </row>
    <row r="10" spans="1:18" x14ac:dyDescent="0.25">
      <c r="A10" s="795" t="s">
        <v>1098</v>
      </c>
      <c r="B10" s="795" t="s">
        <v>1097</v>
      </c>
      <c r="C10" s="795" t="s">
        <v>1096</v>
      </c>
      <c r="D10" s="795" t="s">
        <v>1095</v>
      </c>
      <c r="E10" s="795" t="s">
        <v>1092</v>
      </c>
      <c r="F10" s="795" t="s">
        <v>1094</v>
      </c>
      <c r="G10" s="795" t="s">
        <v>1091</v>
      </c>
      <c r="H10" s="795" t="s">
        <v>1090</v>
      </c>
      <c r="I10" s="795" t="s">
        <v>1089</v>
      </c>
      <c r="J10" s="795" t="s">
        <v>1093</v>
      </c>
      <c r="K10" s="795" t="s">
        <v>1092</v>
      </c>
      <c r="L10" s="795" t="s">
        <v>1091</v>
      </c>
      <c r="M10" s="795" t="s">
        <v>1090</v>
      </c>
      <c r="N10" s="795" t="s">
        <v>1089</v>
      </c>
      <c r="O10" s="795" t="s">
        <v>1088</v>
      </c>
      <c r="P10" s="795" t="s">
        <v>1087</v>
      </c>
    </row>
    <row r="11" spans="1:18" x14ac:dyDescent="0.25">
      <c r="A11" s="795" t="s">
        <v>1086</v>
      </c>
    </row>
    <row r="12" spans="1:18" x14ac:dyDescent="0.25">
      <c r="A12" s="795" t="s">
        <v>1085</v>
      </c>
      <c r="H12" s="796">
        <v>56133227.039999999</v>
      </c>
      <c r="I12" s="795">
        <v>170155.21</v>
      </c>
      <c r="J12" s="795">
        <v>56303382.25</v>
      </c>
      <c r="M12" s="795">
        <v>143931562.09</v>
      </c>
      <c r="N12" s="795">
        <v>134758.71</v>
      </c>
      <c r="O12" s="795">
        <v>144066320.80000001</v>
      </c>
    </row>
    <row r="13" spans="1:18" x14ac:dyDescent="0.25">
      <c r="A13" s="795" t="s">
        <v>106</v>
      </c>
    </row>
    <row r="14" spans="1:18" x14ac:dyDescent="0.25">
      <c r="A14" s="795" t="s">
        <v>1084</v>
      </c>
      <c r="B14" s="795" t="s">
        <v>1083</v>
      </c>
      <c r="C14" s="795" t="s">
        <v>1082</v>
      </c>
      <c r="D14" s="795">
        <v>630300</v>
      </c>
      <c r="E14" s="795">
        <v>94.58</v>
      </c>
      <c r="F14" s="795" t="s">
        <v>950</v>
      </c>
      <c r="G14" s="795">
        <v>1.7080000000000001E-2</v>
      </c>
      <c r="H14" s="795">
        <v>1018203.42</v>
      </c>
      <c r="J14" s="795">
        <v>1018203.42</v>
      </c>
      <c r="K14" s="795">
        <v>42.41</v>
      </c>
      <c r="L14" s="795">
        <v>1.711E-2</v>
      </c>
      <c r="M14" s="795">
        <v>457253.08</v>
      </c>
      <c r="O14" s="795">
        <v>457253.08</v>
      </c>
      <c r="P14" s="795" t="s">
        <v>1081</v>
      </c>
      <c r="R14" s="795">
        <f>D14*K14*L14</f>
        <v>457367.80352999992</v>
      </c>
    </row>
    <row r="15" spans="1:18" x14ac:dyDescent="0.25">
      <c r="A15" s="795" t="s">
        <v>1080</v>
      </c>
      <c r="B15" s="795" t="s">
        <v>1079</v>
      </c>
      <c r="C15" s="795" t="s">
        <v>1078</v>
      </c>
      <c r="D15" s="795">
        <v>35629</v>
      </c>
      <c r="E15" s="795">
        <v>1320</v>
      </c>
      <c r="F15" s="795" t="s">
        <v>950</v>
      </c>
      <c r="G15" s="795">
        <v>1.7080000000000001E-2</v>
      </c>
      <c r="H15" s="795">
        <v>803277.31</v>
      </c>
      <c r="J15" s="795">
        <v>803277.31</v>
      </c>
      <c r="K15" s="795">
        <v>878.81</v>
      </c>
      <c r="L15" s="795">
        <v>1.711E-2</v>
      </c>
      <c r="M15" s="795">
        <v>535650.01</v>
      </c>
      <c r="O15" s="795">
        <v>535650.01</v>
      </c>
      <c r="P15" s="795" t="s">
        <v>1077</v>
      </c>
    </row>
    <row r="16" spans="1:18" x14ac:dyDescent="0.25">
      <c r="A16" s="795" t="s">
        <v>1076</v>
      </c>
      <c r="B16" s="795" t="s">
        <v>1075</v>
      </c>
      <c r="C16" s="795" t="s">
        <v>1074</v>
      </c>
      <c r="D16" s="795">
        <v>122417</v>
      </c>
      <c r="E16" s="795">
        <v>66.95</v>
      </c>
      <c r="F16" s="795" t="s">
        <v>950</v>
      </c>
      <c r="G16" s="795">
        <v>1.7080000000000001E-2</v>
      </c>
      <c r="H16" s="795">
        <v>139984.6</v>
      </c>
      <c r="J16" s="795">
        <v>139984.6</v>
      </c>
      <c r="K16" s="795">
        <v>41.24</v>
      </c>
      <c r="L16" s="795">
        <v>1.711E-2</v>
      </c>
      <c r="M16" s="795">
        <v>86363.26</v>
      </c>
      <c r="O16" s="795">
        <v>86363.26</v>
      </c>
      <c r="P16" s="795" t="s">
        <v>1073</v>
      </c>
    </row>
    <row r="17" spans="1:18" x14ac:dyDescent="0.25">
      <c r="A17" s="795" t="s">
        <v>1072</v>
      </c>
      <c r="B17" s="795" t="s">
        <v>1071</v>
      </c>
      <c r="C17" s="795" t="s">
        <v>1070</v>
      </c>
      <c r="D17" s="795">
        <v>22100</v>
      </c>
      <c r="E17" s="795">
        <v>252.1</v>
      </c>
      <c r="F17" s="795" t="s">
        <v>950</v>
      </c>
      <c r="G17" s="795">
        <v>1.7080000000000001E-2</v>
      </c>
      <c r="H17" s="795">
        <v>95159.7</v>
      </c>
      <c r="J17" s="795">
        <v>95159.7</v>
      </c>
      <c r="K17" s="795">
        <v>331.81</v>
      </c>
      <c r="L17" s="795">
        <v>1.711E-2</v>
      </c>
      <c r="M17" s="795">
        <v>125449.57</v>
      </c>
      <c r="O17" s="795">
        <v>125449.57</v>
      </c>
      <c r="P17" s="795" t="s">
        <v>1069</v>
      </c>
    </row>
    <row r="18" spans="1:18" x14ac:dyDescent="0.25">
      <c r="A18" s="795" t="s">
        <v>1068</v>
      </c>
      <c r="B18" s="795" t="s">
        <v>169</v>
      </c>
      <c r="C18" s="795" t="s">
        <v>1067</v>
      </c>
      <c r="D18" s="795">
        <v>323745</v>
      </c>
      <c r="E18" s="795">
        <v>3.77</v>
      </c>
      <c r="F18" s="795" t="s">
        <v>950</v>
      </c>
      <c r="G18" s="795">
        <v>1</v>
      </c>
      <c r="H18" s="795">
        <v>1218899.93</v>
      </c>
      <c r="J18" s="795">
        <v>1218899.93</v>
      </c>
      <c r="K18" s="795">
        <v>2.69</v>
      </c>
      <c r="L18" s="795">
        <v>1</v>
      </c>
      <c r="M18" s="795">
        <v>872481.29</v>
      </c>
      <c r="O18" s="795">
        <v>872481.29</v>
      </c>
      <c r="P18" s="795" t="s">
        <v>1061</v>
      </c>
      <c r="R18" s="795">
        <f>D18*K18</f>
        <v>870874.04999999993</v>
      </c>
    </row>
    <row r="19" spans="1:18" x14ac:dyDescent="0.25">
      <c r="A19" s="795" t="s">
        <v>1066</v>
      </c>
      <c r="B19" s="795" t="s">
        <v>1065</v>
      </c>
      <c r="C19" s="795" t="s">
        <v>1064</v>
      </c>
      <c r="D19" s="795">
        <v>479889</v>
      </c>
      <c r="E19" s="795">
        <v>133.37</v>
      </c>
      <c r="F19" s="795" t="s">
        <v>950</v>
      </c>
      <c r="G19" s="795">
        <v>1.7080000000000001E-2</v>
      </c>
      <c r="H19" s="795">
        <v>1093167.93</v>
      </c>
      <c r="J19" s="795">
        <v>1093167.93</v>
      </c>
      <c r="K19" s="795">
        <v>130.61000000000001</v>
      </c>
      <c r="L19" s="795">
        <v>1.711E-2</v>
      </c>
      <c r="M19" s="795">
        <v>1072258.1000000001</v>
      </c>
      <c r="O19" s="795">
        <v>1072258.1000000001</v>
      </c>
      <c r="P19" s="795" t="s">
        <v>987</v>
      </c>
    </row>
    <row r="20" spans="1:18" x14ac:dyDescent="0.25">
      <c r="A20" s="795" t="s">
        <v>1063</v>
      </c>
      <c r="B20" s="795" t="s">
        <v>210</v>
      </c>
      <c r="C20" s="795" t="s">
        <v>1062</v>
      </c>
      <c r="D20" s="795">
        <v>72244</v>
      </c>
      <c r="E20" s="795">
        <v>6</v>
      </c>
      <c r="F20" s="795" t="s">
        <v>950</v>
      </c>
      <c r="G20" s="795">
        <v>1</v>
      </c>
      <c r="H20" s="795">
        <v>433464</v>
      </c>
      <c r="J20" s="795">
        <v>433464</v>
      </c>
      <c r="K20" s="795">
        <v>8.36</v>
      </c>
      <c r="L20" s="795">
        <v>1</v>
      </c>
      <c r="M20" s="795">
        <v>604127.26</v>
      </c>
      <c r="O20" s="795">
        <v>604127.26</v>
      </c>
      <c r="P20" s="795" t="s">
        <v>1061</v>
      </c>
    </row>
    <row r="21" spans="1:18" x14ac:dyDescent="0.25">
      <c r="A21" s="795" t="s">
        <v>1060</v>
      </c>
      <c r="B21" s="795" t="s">
        <v>1059</v>
      </c>
      <c r="C21" s="795" t="s">
        <v>1058</v>
      </c>
      <c r="D21" s="795">
        <v>4113</v>
      </c>
      <c r="E21" s="795">
        <v>9459</v>
      </c>
      <c r="F21" s="795" t="s">
        <v>950</v>
      </c>
      <c r="G21" s="795">
        <v>1.7080000000000001E-2</v>
      </c>
      <c r="H21" s="795">
        <v>664495.23</v>
      </c>
      <c r="J21" s="795">
        <v>664495.23</v>
      </c>
      <c r="K21" s="795">
        <v>8394.4500000000007</v>
      </c>
      <c r="L21" s="795">
        <v>1.711E-2</v>
      </c>
      <c r="M21" s="795">
        <v>590652.6</v>
      </c>
      <c r="O21" s="795">
        <v>590652.6</v>
      </c>
      <c r="P21" s="795" t="s">
        <v>1057</v>
      </c>
    </row>
    <row r="22" spans="1:18" x14ac:dyDescent="0.25">
      <c r="A22" s="795" t="s">
        <v>1056</v>
      </c>
      <c r="B22" s="795" t="s">
        <v>194</v>
      </c>
      <c r="C22" s="795" t="s">
        <v>1055</v>
      </c>
      <c r="D22" s="795">
        <v>5086969</v>
      </c>
      <c r="E22" s="795">
        <v>182.75</v>
      </c>
      <c r="F22" s="795" t="s">
        <v>950</v>
      </c>
      <c r="G22" s="795">
        <v>1.2270000000000001</v>
      </c>
      <c r="H22" s="795">
        <v>11406726.779999999</v>
      </c>
      <c r="J22" s="795">
        <v>11406726.779999999</v>
      </c>
      <c r="K22" s="795">
        <v>0.76</v>
      </c>
      <c r="L22" s="795">
        <v>1.242E-2</v>
      </c>
      <c r="M22" s="795">
        <v>482.33</v>
      </c>
      <c r="O22" s="795">
        <v>482.33</v>
      </c>
      <c r="P22" s="795" t="s">
        <v>991</v>
      </c>
    </row>
    <row r="23" spans="1:18" x14ac:dyDescent="0.25">
      <c r="A23" s="795" t="s">
        <v>1054</v>
      </c>
      <c r="B23" s="795" t="s">
        <v>142</v>
      </c>
      <c r="C23" s="795" t="s">
        <v>1053</v>
      </c>
      <c r="D23" s="795">
        <v>61500</v>
      </c>
      <c r="E23" s="795">
        <v>7.8</v>
      </c>
      <c r="F23" s="795" t="s">
        <v>950</v>
      </c>
      <c r="G23" s="795">
        <v>1</v>
      </c>
      <c r="H23" s="795">
        <v>479700</v>
      </c>
      <c r="J23" s="795">
        <v>479700</v>
      </c>
      <c r="K23" s="795">
        <v>158.32</v>
      </c>
      <c r="L23" s="795">
        <v>1</v>
      </c>
      <c r="M23" s="795">
        <v>9736618.5</v>
      </c>
      <c r="O23" s="795">
        <v>9736618.5</v>
      </c>
      <c r="P23" s="795" t="s">
        <v>1052</v>
      </c>
    </row>
    <row r="24" spans="1:18" x14ac:dyDescent="0.25">
      <c r="A24" s="795" t="s">
        <v>1051</v>
      </c>
      <c r="B24" s="795" t="s">
        <v>460</v>
      </c>
      <c r="C24" s="795" t="s">
        <v>1050</v>
      </c>
      <c r="D24" s="795">
        <v>233961</v>
      </c>
      <c r="E24" s="795">
        <v>3.6</v>
      </c>
      <c r="F24" s="795" t="s">
        <v>950</v>
      </c>
      <c r="G24" s="795">
        <v>1</v>
      </c>
      <c r="H24" s="795">
        <v>842259.6</v>
      </c>
      <c r="J24" s="795">
        <v>842259.6</v>
      </c>
      <c r="K24" s="795">
        <v>231.68</v>
      </c>
      <c r="L24" s="795">
        <v>1</v>
      </c>
      <c r="M24" s="795">
        <v>54204663.380000003</v>
      </c>
      <c r="O24" s="795">
        <v>54204663.380000003</v>
      </c>
      <c r="P24" s="795" t="s">
        <v>1049</v>
      </c>
    </row>
    <row r="25" spans="1:18" x14ac:dyDescent="0.25">
      <c r="A25" s="795" t="s">
        <v>1048</v>
      </c>
      <c r="B25" s="795" t="s">
        <v>1047</v>
      </c>
      <c r="C25" s="795" t="s">
        <v>1046</v>
      </c>
      <c r="D25" s="795">
        <v>408800</v>
      </c>
      <c r="E25" s="795">
        <v>56</v>
      </c>
      <c r="F25" s="795" t="s">
        <v>950</v>
      </c>
      <c r="G25" s="795">
        <v>1.7080000000000001E-2</v>
      </c>
      <c r="H25" s="795">
        <v>391009.09</v>
      </c>
      <c r="J25" s="795">
        <v>391009.09</v>
      </c>
      <c r="K25" s="795">
        <v>29.73</v>
      </c>
      <c r="L25" s="795">
        <v>1.711E-2</v>
      </c>
      <c r="M25" s="795">
        <v>207899.8</v>
      </c>
      <c r="O25" s="795">
        <v>207899.8</v>
      </c>
      <c r="P25" s="795" t="s">
        <v>1045</v>
      </c>
    </row>
    <row r="26" spans="1:18" x14ac:dyDescent="0.25">
      <c r="A26" s="795" t="s">
        <v>1044</v>
      </c>
      <c r="B26" s="795" t="s">
        <v>331</v>
      </c>
      <c r="C26" s="795" t="s">
        <v>1043</v>
      </c>
      <c r="D26" s="795">
        <v>79700</v>
      </c>
      <c r="E26" s="795">
        <v>10.4</v>
      </c>
      <c r="F26" s="795" t="s">
        <v>950</v>
      </c>
      <c r="G26" s="795">
        <v>1</v>
      </c>
      <c r="H26" s="795">
        <v>828880</v>
      </c>
      <c r="J26" s="795">
        <v>828880</v>
      </c>
      <c r="K26" s="795">
        <v>415.41</v>
      </c>
      <c r="L26" s="795">
        <v>1</v>
      </c>
      <c r="M26" s="795">
        <v>33108000.469999999</v>
      </c>
      <c r="O26" s="795">
        <v>33108000.469999999</v>
      </c>
      <c r="P26" s="795" t="s">
        <v>980</v>
      </c>
    </row>
    <row r="27" spans="1:18" x14ac:dyDescent="0.25">
      <c r="A27" s="795" t="s">
        <v>1042</v>
      </c>
      <c r="B27" s="795" t="s">
        <v>1041</v>
      </c>
      <c r="C27" s="795" t="s">
        <v>1040</v>
      </c>
      <c r="D27" s="795">
        <v>58863</v>
      </c>
      <c r="E27" s="795">
        <v>3106.5</v>
      </c>
      <c r="F27" s="795" t="s">
        <v>950</v>
      </c>
      <c r="G27" s="795">
        <v>1.7080000000000001E-2</v>
      </c>
      <c r="H27" s="795">
        <v>3123213.59</v>
      </c>
      <c r="J27" s="795">
        <v>3123213.59</v>
      </c>
      <c r="K27" s="795">
        <v>2133.29</v>
      </c>
      <c r="L27" s="795">
        <v>1.711E-2</v>
      </c>
      <c r="M27" s="795">
        <v>2148199.04</v>
      </c>
      <c r="O27" s="795">
        <v>2148199.04</v>
      </c>
      <c r="P27" s="795" t="s">
        <v>1039</v>
      </c>
    </row>
    <row r="28" spans="1:18" x14ac:dyDescent="0.25">
      <c r="A28" s="795" t="s">
        <v>1038</v>
      </c>
      <c r="B28" s="795" t="s">
        <v>1037</v>
      </c>
      <c r="C28" s="795" t="s">
        <v>1036</v>
      </c>
      <c r="D28" s="795">
        <v>49750</v>
      </c>
      <c r="E28" s="795">
        <v>968.5</v>
      </c>
      <c r="F28" s="795" t="s">
        <v>950</v>
      </c>
      <c r="G28" s="795">
        <v>1.7080000000000001E-2</v>
      </c>
      <c r="H28" s="795">
        <v>822963.64</v>
      </c>
      <c r="J28" s="795">
        <v>822963.64</v>
      </c>
      <c r="K28" s="795">
        <v>596.32000000000005</v>
      </c>
      <c r="L28" s="795">
        <v>1.711E-2</v>
      </c>
      <c r="M28" s="795">
        <v>507523.14</v>
      </c>
      <c r="O28" s="795">
        <v>507523.14</v>
      </c>
      <c r="P28" s="795" t="s">
        <v>1035</v>
      </c>
    </row>
    <row r="29" spans="1:18" x14ac:dyDescent="0.25">
      <c r="A29" s="795" t="s">
        <v>1034</v>
      </c>
      <c r="B29" s="795" t="s">
        <v>745</v>
      </c>
      <c r="C29" s="795" t="s">
        <v>1033</v>
      </c>
      <c r="D29" s="795">
        <v>2600</v>
      </c>
      <c r="E29" s="795">
        <v>59.55</v>
      </c>
      <c r="F29" s="795" t="s">
        <v>950</v>
      </c>
      <c r="G29" s="795">
        <v>1</v>
      </c>
      <c r="H29" s="795">
        <v>154830</v>
      </c>
      <c r="J29" s="795">
        <v>154830</v>
      </c>
      <c r="K29" s="795">
        <v>2206.5500000000002</v>
      </c>
      <c r="L29" s="795">
        <v>1</v>
      </c>
      <c r="M29" s="795">
        <v>5737034.9100000001</v>
      </c>
      <c r="O29" s="795">
        <v>5737034.9100000001</v>
      </c>
      <c r="P29" s="795" t="s">
        <v>938</v>
      </c>
    </row>
    <row r="30" spans="1:18" x14ac:dyDescent="0.25">
      <c r="A30" s="795" t="s">
        <v>1032</v>
      </c>
      <c r="B30" s="795" t="s">
        <v>1031</v>
      </c>
      <c r="C30" s="795" t="s">
        <v>1030</v>
      </c>
      <c r="D30" s="795">
        <v>132190</v>
      </c>
      <c r="E30" s="795">
        <v>667.8</v>
      </c>
      <c r="F30" s="795" t="s">
        <v>950</v>
      </c>
      <c r="G30" s="795">
        <v>1.7080000000000001E-2</v>
      </c>
      <c r="H30" s="795">
        <v>1507762.55</v>
      </c>
      <c r="J30" s="795">
        <v>1507762.55</v>
      </c>
      <c r="K30" s="795">
        <v>684.52</v>
      </c>
      <c r="L30" s="795">
        <v>1.711E-2</v>
      </c>
      <c r="M30" s="795">
        <v>1547990.19</v>
      </c>
      <c r="O30" s="795">
        <v>1547990.19</v>
      </c>
      <c r="P30" s="795" t="s">
        <v>1029</v>
      </c>
    </row>
    <row r="31" spans="1:18" x14ac:dyDescent="0.25">
      <c r="A31" s="795" t="s">
        <v>1028</v>
      </c>
      <c r="B31" s="795" t="s">
        <v>1027</v>
      </c>
      <c r="C31" s="795" t="s">
        <v>1026</v>
      </c>
      <c r="D31" s="795">
        <v>5555</v>
      </c>
      <c r="E31" s="795">
        <v>9.3000000000000007</v>
      </c>
      <c r="F31" s="795" t="s">
        <v>950</v>
      </c>
      <c r="G31" s="795">
        <v>1</v>
      </c>
      <c r="H31" s="795">
        <v>51661.5</v>
      </c>
      <c r="J31" s="795">
        <v>51661.5</v>
      </c>
      <c r="K31" s="795">
        <v>8.68</v>
      </c>
      <c r="L31" s="795">
        <v>1</v>
      </c>
      <c r="M31" s="795">
        <v>48193.41</v>
      </c>
      <c r="O31" s="795">
        <v>48193.41</v>
      </c>
      <c r="P31" s="795" t="s">
        <v>1025</v>
      </c>
    </row>
    <row r="32" spans="1:18" x14ac:dyDescent="0.25">
      <c r="A32" s="795" t="s">
        <v>1024</v>
      </c>
      <c r="B32" s="795" t="s">
        <v>1023</v>
      </c>
      <c r="C32" s="795" t="s">
        <v>1022</v>
      </c>
      <c r="D32" s="795">
        <v>11300000</v>
      </c>
      <c r="E32" s="795">
        <v>0.06</v>
      </c>
      <c r="F32" s="795" t="s">
        <v>950</v>
      </c>
      <c r="G32" s="795">
        <v>1.7080000000000001E-2</v>
      </c>
      <c r="H32" s="795">
        <v>10866.13</v>
      </c>
      <c r="J32" s="795">
        <v>10866.13</v>
      </c>
      <c r="K32" s="795">
        <v>0.05</v>
      </c>
      <c r="L32" s="795">
        <v>1.711E-2</v>
      </c>
      <c r="M32" s="795">
        <v>9569.14</v>
      </c>
      <c r="O32" s="795">
        <v>9569.14</v>
      </c>
      <c r="P32" s="795" t="s">
        <v>968</v>
      </c>
    </row>
    <row r="33" spans="1:16" x14ac:dyDescent="0.25">
      <c r="A33" s="795" t="s">
        <v>1021</v>
      </c>
      <c r="B33" s="795" t="s">
        <v>1020</v>
      </c>
      <c r="C33" s="795" t="s">
        <v>1019</v>
      </c>
      <c r="D33" s="795">
        <v>340900</v>
      </c>
      <c r="E33" s="795">
        <v>275.25</v>
      </c>
      <c r="F33" s="795" t="s">
        <v>950</v>
      </c>
      <c r="G33" s="795">
        <v>1.7080000000000001E-2</v>
      </c>
      <c r="H33" s="795">
        <v>1602663.2</v>
      </c>
      <c r="J33" s="795">
        <v>1602663.2</v>
      </c>
      <c r="K33" s="795">
        <v>223.86</v>
      </c>
      <c r="L33" s="795">
        <v>1.711E-2</v>
      </c>
      <c r="M33" s="795">
        <v>1305501.8500000001</v>
      </c>
      <c r="O33" s="795">
        <v>1305501.8500000001</v>
      </c>
      <c r="P33" s="795" t="s">
        <v>1018</v>
      </c>
    </row>
    <row r="34" spans="1:16" x14ac:dyDescent="0.25">
      <c r="A34" s="795" t="s">
        <v>1017</v>
      </c>
      <c r="B34" s="795" t="s">
        <v>1016</v>
      </c>
      <c r="C34" s="795" t="s">
        <v>1015</v>
      </c>
      <c r="D34" s="795">
        <v>343230</v>
      </c>
      <c r="E34" s="795">
        <v>375</v>
      </c>
      <c r="F34" s="795" t="s">
        <v>950</v>
      </c>
      <c r="G34" s="795">
        <v>1.7080000000000001E-2</v>
      </c>
      <c r="H34" s="795">
        <v>2198388.5</v>
      </c>
      <c r="J34" s="795">
        <v>2198388.5</v>
      </c>
      <c r="K34" s="795">
        <v>142.56</v>
      </c>
      <c r="L34" s="795">
        <v>1.711E-2</v>
      </c>
      <c r="M34" s="795">
        <v>837082.13</v>
      </c>
      <c r="O34" s="795">
        <v>837082.13</v>
      </c>
      <c r="P34" s="795" t="s">
        <v>987</v>
      </c>
    </row>
    <row r="35" spans="1:16" x14ac:dyDescent="0.25">
      <c r="A35" s="795" t="s">
        <v>1014</v>
      </c>
      <c r="B35" s="795" t="s">
        <v>1013</v>
      </c>
      <c r="C35" s="795" t="s">
        <v>1012</v>
      </c>
      <c r="D35" s="795">
        <v>1339700</v>
      </c>
      <c r="E35" s="795">
        <v>68.5</v>
      </c>
      <c r="F35" s="795" t="s">
        <v>950</v>
      </c>
      <c r="G35" s="795">
        <v>1.7080000000000001E-2</v>
      </c>
      <c r="H35" s="795">
        <v>1567422.46</v>
      </c>
      <c r="J35" s="795">
        <v>1567422.46</v>
      </c>
      <c r="K35" s="795">
        <v>22.18</v>
      </c>
      <c r="L35" s="795">
        <v>1.711E-2</v>
      </c>
      <c r="M35" s="795">
        <v>508420.76</v>
      </c>
      <c r="O35" s="795">
        <v>508420.76</v>
      </c>
      <c r="P35" s="795" t="s">
        <v>1011</v>
      </c>
    </row>
    <row r="36" spans="1:16" x14ac:dyDescent="0.25">
      <c r="A36" s="795" t="s">
        <v>1010</v>
      </c>
      <c r="B36" s="795" t="s">
        <v>1009</v>
      </c>
      <c r="C36" s="795" t="s">
        <v>1008</v>
      </c>
      <c r="D36" s="795">
        <v>5774609</v>
      </c>
      <c r="E36" s="795">
        <v>34.47</v>
      </c>
      <c r="F36" s="795" t="s">
        <v>950</v>
      </c>
      <c r="G36" s="795">
        <v>1.7080000000000001E-2</v>
      </c>
      <c r="H36" s="795">
        <v>3399787.73</v>
      </c>
      <c r="J36" s="795">
        <v>3399787.73</v>
      </c>
      <c r="K36" s="795">
        <v>21.45</v>
      </c>
      <c r="L36" s="795">
        <v>1.711E-2</v>
      </c>
      <c r="M36" s="795">
        <v>2118905.56</v>
      </c>
      <c r="O36" s="795">
        <v>2118905.56</v>
      </c>
      <c r="P36" s="795" t="s">
        <v>1007</v>
      </c>
    </row>
    <row r="37" spans="1:16" x14ac:dyDescent="0.25">
      <c r="A37" s="795" t="s">
        <v>1006</v>
      </c>
      <c r="B37" s="795" t="s">
        <v>1005</v>
      </c>
      <c r="C37" s="795" t="s">
        <v>1004</v>
      </c>
      <c r="D37" s="795">
        <v>12101742</v>
      </c>
      <c r="E37" s="795">
        <v>6.36</v>
      </c>
      <c r="F37" s="795" t="s">
        <v>950</v>
      </c>
      <c r="G37" s="795">
        <v>1.7080000000000001E-2</v>
      </c>
      <c r="H37" s="795">
        <v>1314597.92</v>
      </c>
      <c r="J37" s="795">
        <v>1314597.92</v>
      </c>
      <c r="L37" s="795">
        <v>1.711E-2</v>
      </c>
      <c r="P37" s="795" t="s">
        <v>1003</v>
      </c>
    </row>
    <row r="38" spans="1:16" x14ac:dyDescent="0.25">
      <c r="A38" s="795" t="s">
        <v>1002</v>
      </c>
      <c r="B38" s="795" t="s">
        <v>140</v>
      </c>
      <c r="C38" s="795" t="s">
        <v>1001</v>
      </c>
      <c r="D38" s="795">
        <v>42751</v>
      </c>
      <c r="E38" s="795">
        <v>3.44</v>
      </c>
      <c r="F38" s="795" t="s">
        <v>950</v>
      </c>
      <c r="G38" s="795">
        <v>1</v>
      </c>
      <c r="H38" s="795">
        <v>146849.69</v>
      </c>
      <c r="J38" s="795">
        <v>146849.69</v>
      </c>
      <c r="K38" s="795">
        <v>1.25</v>
      </c>
      <c r="L38" s="795">
        <v>1</v>
      </c>
      <c r="M38" s="795">
        <v>53438.75</v>
      </c>
      <c r="O38" s="795">
        <v>53438.75</v>
      </c>
      <c r="P38" s="795" t="s">
        <v>968</v>
      </c>
    </row>
    <row r="39" spans="1:16" x14ac:dyDescent="0.25">
      <c r="A39" s="795" t="s">
        <v>1000</v>
      </c>
      <c r="B39" s="795" t="s">
        <v>702</v>
      </c>
      <c r="C39" s="795" t="s">
        <v>999</v>
      </c>
      <c r="D39" s="795">
        <v>9200</v>
      </c>
      <c r="E39" s="795">
        <v>17.510000000000002</v>
      </c>
      <c r="F39" s="795" t="s">
        <v>950</v>
      </c>
      <c r="G39" s="795">
        <v>1</v>
      </c>
      <c r="H39" s="795">
        <v>161046</v>
      </c>
      <c r="J39" s="795">
        <v>161046</v>
      </c>
      <c r="K39" s="795">
        <v>36.21</v>
      </c>
      <c r="L39" s="795">
        <v>1</v>
      </c>
      <c r="M39" s="795">
        <v>333117.42</v>
      </c>
      <c r="O39" s="795">
        <v>333117.42</v>
      </c>
      <c r="P39" s="795" t="s">
        <v>994</v>
      </c>
    </row>
    <row r="40" spans="1:16" x14ac:dyDescent="0.25">
      <c r="A40" s="795" t="s">
        <v>998</v>
      </c>
      <c r="B40" s="795" t="s">
        <v>155</v>
      </c>
      <c r="C40" s="795" t="s">
        <v>997</v>
      </c>
      <c r="D40" s="795">
        <v>3258</v>
      </c>
      <c r="E40" s="795">
        <v>119.78</v>
      </c>
      <c r="F40" s="795" t="s">
        <v>950</v>
      </c>
      <c r="G40" s="795">
        <v>1</v>
      </c>
      <c r="H40" s="795">
        <v>390243.24</v>
      </c>
      <c r="J40" s="795">
        <v>390243.24</v>
      </c>
      <c r="K40" s="795">
        <v>229.78</v>
      </c>
      <c r="L40" s="795">
        <v>1</v>
      </c>
      <c r="M40" s="795">
        <v>748613.08</v>
      </c>
      <c r="O40" s="795">
        <v>748613.08</v>
      </c>
      <c r="P40" s="795" t="s">
        <v>968</v>
      </c>
    </row>
    <row r="41" spans="1:16" x14ac:dyDescent="0.25">
      <c r="A41" s="795" t="s">
        <v>996</v>
      </c>
      <c r="B41" s="795" t="s">
        <v>703</v>
      </c>
      <c r="C41" s="795" t="s">
        <v>995</v>
      </c>
      <c r="D41" s="795">
        <v>2650</v>
      </c>
      <c r="E41" s="795">
        <v>73.849999999999994</v>
      </c>
      <c r="F41" s="795" t="s">
        <v>950</v>
      </c>
      <c r="G41" s="795">
        <v>1</v>
      </c>
      <c r="H41" s="795">
        <v>195689.25</v>
      </c>
      <c r="J41" s="795">
        <v>195689.25</v>
      </c>
      <c r="K41" s="795">
        <v>1251.8499999999999</v>
      </c>
      <c r="L41" s="795">
        <v>1</v>
      </c>
      <c r="M41" s="795">
        <v>3317396.14</v>
      </c>
      <c r="O41" s="795">
        <v>3317396.14</v>
      </c>
      <c r="P41" s="795" t="s">
        <v>994</v>
      </c>
    </row>
    <row r="42" spans="1:16" x14ac:dyDescent="0.25">
      <c r="A42" s="795" t="s">
        <v>993</v>
      </c>
      <c r="B42" s="795" t="s">
        <v>197</v>
      </c>
      <c r="C42" s="795" t="s">
        <v>992</v>
      </c>
      <c r="D42" s="795">
        <v>215491</v>
      </c>
      <c r="E42" s="795">
        <v>946</v>
      </c>
      <c r="F42" s="795" t="s">
        <v>950</v>
      </c>
      <c r="G42" s="795">
        <v>1.2270000000000001</v>
      </c>
      <c r="H42" s="795">
        <v>2501294.54</v>
      </c>
      <c r="J42" s="795">
        <v>2501294.54</v>
      </c>
      <c r="K42" s="795">
        <v>563.80999999999995</v>
      </c>
      <c r="L42" s="795">
        <v>1.242E-2</v>
      </c>
      <c r="M42" s="795">
        <v>15086.2</v>
      </c>
      <c r="O42" s="795">
        <v>15086.2</v>
      </c>
      <c r="P42" s="795" t="s">
        <v>991</v>
      </c>
    </row>
    <row r="43" spans="1:16" x14ac:dyDescent="0.25">
      <c r="A43" s="795" t="s">
        <v>990</v>
      </c>
      <c r="B43" s="795" t="s">
        <v>989</v>
      </c>
      <c r="C43" s="795" t="s">
        <v>988</v>
      </c>
      <c r="D43" s="795">
        <v>278500</v>
      </c>
      <c r="E43" s="795">
        <v>110</v>
      </c>
      <c r="F43" s="795" t="s">
        <v>950</v>
      </c>
      <c r="G43" s="795">
        <v>1.7080000000000001E-2</v>
      </c>
      <c r="H43" s="795">
        <v>523245.88</v>
      </c>
      <c r="J43" s="795">
        <v>523245.88</v>
      </c>
      <c r="K43" s="795">
        <v>42.3</v>
      </c>
      <c r="L43" s="795">
        <v>1.711E-2</v>
      </c>
      <c r="M43" s="795">
        <v>201533.32</v>
      </c>
      <c r="O43" s="795">
        <v>201533.32</v>
      </c>
      <c r="P43" s="795" t="s">
        <v>987</v>
      </c>
    </row>
    <row r="44" spans="1:16" x14ac:dyDescent="0.25">
      <c r="A44" s="795" t="s">
        <v>986</v>
      </c>
      <c r="B44" s="795" t="s">
        <v>360</v>
      </c>
      <c r="C44" s="795" t="s">
        <v>985</v>
      </c>
      <c r="D44" s="795">
        <v>9800</v>
      </c>
      <c r="E44" s="795">
        <v>14.14</v>
      </c>
      <c r="F44" s="795" t="s">
        <v>950</v>
      </c>
      <c r="G44" s="795">
        <v>1</v>
      </c>
      <c r="H44" s="795">
        <v>138572</v>
      </c>
      <c r="J44" s="795">
        <v>138572</v>
      </c>
      <c r="K44" s="795">
        <v>794.04</v>
      </c>
      <c r="L44" s="795">
        <v>1</v>
      </c>
      <c r="M44" s="795">
        <v>7781629.1900000004</v>
      </c>
      <c r="O44" s="795">
        <v>7781629.1900000004</v>
      </c>
      <c r="P44" s="795" t="s">
        <v>984</v>
      </c>
    </row>
    <row r="45" spans="1:16" x14ac:dyDescent="0.25">
      <c r="A45" s="795" t="s">
        <v>983</v>
      </c>
      <c r="B45" s="795" t="s">
        <v>982</v>
      </c>
      <c r="C45" s="795" t="s">
        <v>981</v>
      </c>
      <c r="D45" s="795">
        <v>681667</v>
      </c>
      <c r="E45" s="795">
        <v>307.2</v>
      </c>
      <c r="F45" s="795" t="s">
        <v>950</v>
      </c>
      <c r="G45" s="795">
        <v>1.7080000000000001E-2</v>
      </c>
      <c r="H45" s="795">
        <v>3576690.96</v>
      </c>
      <c r="J45" s="795">
        <v>3576690.96</v>
      </c>
      <c r="K45" s="795">
        <v>239.3</v>
      </c>
      <c r="L45" s="795">
        <v>1.711E-2</v>
      </c>
      <c r="M45" s="795">
        <v>2790582.41</v>
      </c>
      <c r="O45" s="795">
        <v>2790582.41</v>
      </c>
      <c r="P45" s="795" t="s">
        <v>980</v>
      </c>
    </row>
    <row r="46" spans="1:16" x14ac:dyDescent="0.25">
      <c r="A46" s="795" t="s">
        <v>979</v>
      </c>
      <c r="B46" s="795" t="s">
        <v>978</v>
      </c>
      <c r="C46" s="795" t="s">
        <v>977</v>
      </c>
      <c r="D46" s="795">
        <v>372500</v>
      </c>
      <c r="E46" s="795">
        <v>223.25</v>
      </c>
      <c r="F46" s="795" t="s">
        <v>950</v>
      </c>
      <c r="G46" s="795">
        <v>1.7080000000000001E-2</v>
      </c>
      <c r="H46" s="795">
        <v>1420383.7</v>
      </c>
      <c r="J46" s="795">
        <v>1420383.7</v>
      </c>
      <c r="K46" s="795">
        <v>143.03</v>
      </c>
      <c r="L46" s="795">
        <v>1.711E-2</v>
      </c>
      <c r="M46" s="795">
        <v>911444.5</v>
      </c>
      <c r="O46" s="795">
        <v>911444.5</v>
      </c>
      <c r="P46" s="795" t="s">
        <v>976</v>
      </c>
    </row>
    <row r="47" spans="1:16" x14ac:dyDescent="0.25">
      <c r="A47" s="795" t="s">
        <v>975</v>
      </c>
      <c r="B47" s="795" t="s">
        <v>974</v>
      </c>
      <c r="C47" s="795" t="s">
        <v>973</v>
      </c>
      <c r="D47" s="795">
        <v>3770</v>
      </c>
      <c r="E47" s="795">
        <v>597</v>
      </c>
      <c r="F47" s="795" t="s">
        <v>950</v>
      </c>
      <c r="G47" s="795">
        <v>1.7080000000000001E-2</v>
      </c>
      <c r="H47" s="795">
        <v>38441.79</v>
      </c>
      <c r="J47" s="795">
        <v>38441.79</v>
      </c>
      <c r="K47" s="795">
        <v>416</v>
      </c>
      <c r="L47" s="795">
        <v>1.711E-2</v>
      </c>
      <c r="M47" s="795">
        <v>26829.71</v>
      </c>
      <c r="O47" s="795">
        <v>26829.71</v>
      </c>
      <c r="P47" s="795" t="s">
        <v>972</v>
      </c>
    </row>
    <row r="48" spans="1:16" x14ac:dyDescent="0.25">
      <c r="A48" s="795" t="s">
        <v>971</v>
      </c>
      <c r="B48" s="795" t="s">
        <v>970</v>
      </c>
      <c r="C48" s="795" t="s">
        <v>969</v>
      </c>
      <c r="D48" s="795">
        <v>922099968</v>
      </c>
      <c r="E48" s="795">
        <v>0.02</v>
      </c>
      <c r="F48" s="795" t="s">
        <v>950</v>
      </c>
      <c r="G48" s="795">
        <v>1.7080000000000001E-2</v>
      </c>
      <c r="H48" s="795">
        <v>248762.88</v>
      </c>
      <c r="J48" s="795">
        <v>248762.88</v>
      </c>
      <c r="K48" s="795">
        <v>0.01</v>
      </c>
      <c r="L48" s="795">
        <v>1.711E-2</v>
      </c>
      <c r="M48" s="795">
        <v>79930.070000000007</v>
      </c>
      <c r="O48" s="795">
        <v>79930.070000000007</v>
      </c>
      <c r="P48" s="795" t="s">
        <v>968</v>
      </c>
    </row>
    <row r="49" spans="1:16" x14ac:dyDescent="0.25">
      <c r="A49" s="795" t="s">
        <v>967</v>
      </c>
      <c r="B49" s="795" t="s">
        <v>966</v>
      </c>
      <c r="C49" s="795" t="s">
        <v>965</v>
      </c>
      <c r="D49" s="795">
        <v>313260</v>
      </c>
      <c r="E49" s="795">
        <v>74.25</v>
      </c>
      <c r="F49" s="795" t="s">
        <v>950</v>
      </c>
      <c r="G49" s="795">
        <v>1.7080000000000001E-2</v>
      </c>
      <c r="H49" s="795">
        <v>397273.26</v>
      </c>
      <c r="J49" s="795">
        <v>397273.26</v>
      </c>
      <c r="K49" s="795">
        <v>55.04</v>
      </c>
      <c r="L49" s="795">
        <v>1.711E-2</v>
      </c>
      <c r="M49" s="795">
        <v>294969.81</v>
      </c>
      <c r="O49" s="795">
        <v>294969.81</v>
      </c>
      <c r="P49" s="795" t="s">
        <v>964</v>
      </c>
    </row>
    <row r="50" spans="1:16" x14ac:dyDescent="0.25">
      <c r="A50" s="795" t="s">
        <v>963</v>
      </c>
      <c r="B50" s="795" t="s">
        <v>962</v>
      </c>
      <c r="C50" s="795" t="s">
        <v>961</v>
      </c>
      <c r="D50" s="795">
        <v>19552000</v>
      </c>
      <c r="E50" s="795">
        <v>2.59</v>
      </c>
      <c r="F50" s="795" t="s">
        <v>950</v>
      </c>
      <c r="G50" s="795">
        <v>1.7080000000000001E-2</v>
      </c>
      <c r="H50" s="795">
        <v>864257.98</v>
      </c>
      <c r="J50" s="795">
        <v>864257.98</v>
      </c>
      <c r="K50" s="795">
        <v>2.71</v>
      </c>
      <c r="L50" s="795">
        <v>1.711E-2</v>
      </c>
      <c r="M50" s="795">
        <v>907210.75</v>
      </c>
      <c r="O50" s="795">
        <v>907210.75</v>
      </c>
      <c r="P50" s="795" t="s">
        <v>960</v>
      </c>
    </row>
    <row r="51" spans="1:16" x14ac:dyDescent="0.25">
      <c r="A51" s="795" t="s">
        <v>959</v>
      </c>
      <c r="B51" s="795" t="s">
        <v>958</v>
      </c>
      <c r="C51" s="795" t="s">
        <v>957</v>
      </c>
      <c r="D51" s="795">
        <v>83400</v>
      </c>
      <c r="E51" s="795">
        <v>166.8</v>
      </c>
      <c r="F51" s="795" t="s">
        <v>950</v>
      </c>
      <c r="G51" s="795">
        <v>1.7080000000000001E-2</v>
      </c>
      <c r="H51" s="795">
        <v>237601.97</v>
      </c>
      <c r="J51" s="795">
        <v>237601.97</v>
      </c>
      <c r="K51" s="795">
        <v>145.02000000000001</v>
      </c>
      <c r="L51" s="795">
        <v>1.711E-2</v>
      </c>
      <c r="M51" s="795">
        <v>206907.04</v>
      </c>
      <c r="O51" s="795">
        <v>206907.04</v>
      </c>
      <c r="P51" s="795" t="s">
        <v>956</v>
      </c>
    </row>
    <row r="52" spans="1:16" x14ac:dyDescent="0.25">
      <c r="A52" s="795" t="s">
        <v>955</v>
      </c>
      <c r="B52" s="795" t="s">
        <v>204</v>
      </c>
      <c r="C52" s="795" t="s">
        <v>954</v>
      </c>
      <c r="D52" s="795">
        <v>243976</v>
      </c>
      <c r="E52" s="795">
        <v>4.1500000000000004</v>
      </c>
      <c r="F52" s="795" t="s">
        <v>950</v>
      </c>
      <c r="G52" s="795">
        <v>1</v>
      </c>
      <c r="H52" s="795">
        <v>1012500.4</v>
      </c>
      <c r="J52" s="795">
        <v>1012500.4</v>
      </c>
      <c r="K52" s="795">
        <v>7.7</v>
      </c>
      <c r="L52" s="795">
        <v>1</v>
      </c>
      <c r="M52" s="795">
        <v>1879424.45</v>
      </c>
      <c r="O52" s="795">
        <v>1879424.45</v>
      </c>
      <c r="P52" s="795" t="s">
        <v>953</v>
      </c>
    </row>
    <row r="53" spans="1:16" x14ac:dyDescent="0.25">
      <c r="A53" s="795" t="s">
        <v>952</v>
      </c>
      <c r="B53" s="795" t="s">
        <v>226</v>
      </c>
      <c r="C53" s="795" t="s">
        <v>951</v>
      </c>
      <c r="D53" s="795">
        <v>66300</v>
      </c>
      <c r="E53" s="795">
        <v>23.35</v>
      </c>
      <c r="F53" s="795" t="s">
        <v>950</v>
      </c>
      <c r="G53" s="795">
        <v>1</v>
      </c>
      <c r="H53" s="795">
        <v>1548105</v>
      </c>
      <c r="J53" s="795">
        <v>1548105</v>
      </c>
      <c r="K53" s="795">
        <v>30.95</v>
      </c>
      <c r="L53" s="795">
        <v>1</v>
      </c>
      <c r="M53" s="795">
        <v>2052274.22</v>
      </c>
      <c r="O53" s="795">
        <v>2052274.22</v>
      </c>
      <c r="P53" s="795" t="s">
        <v>949</v>
      </c>
    </row>
    <row r="54" spans="1:16" x14ac:dyDescent="0.25">
      <c r="A54" s="795" t="s">
        <v>948</v>
      </c>
      <c r="B54" s="795" t="s">
        <v>947</v>
      </c>
      <c r="C54" s="795" t="s">
        <v>946</v>
      </c>
      <c r="D54" s="795">
        <v>1000</v>
      </c>
      <c r="E54" s="795">
        <v>102</v>
      </c>
      <c r="F54" s="795" t="s">
        <v>852</v>
      </c>
      <c r="G54" s="795">
        <v>1</v>
      </c>
      <c r="H54" s="795">
        <v>1020000</v>
      </c>
      <c r="I54" s="795">
        <v>18281.25</v>
      </c>
      <c r="J54" s="795">
        <v>1038281.25</v>
      </c>
      <c r="K54" s="795">
        <v>37.770000000000003</v>
      </c>
      <c r="L54" s="795">
        <v>1</v>
      </c>
      <c r="M54" s="795">
        <v>377716.43</v>
      </c>
      <c r="N54" s="795">
        <v>12593.75</v>
      </c>
      <c r="O54" s="795">
        <v>390310.18</v>
      </c>
      <c r="P54" s="795" t="s">
        <v>945</v>
      </c>
    </row>
    <row r="55" spans="1:16" x14ac:dyDescent="0.25">
      <c r="A55" s="795" t="s">
        <v>944</v>
      </c>
      <c r="B55" s="795" t="s">
        <v>943</v>
      </c>
      <c r="C55" s="795" t="s">
        <v>942</v>
      </c>
      <c r="D55" s="795">
        <v>104</v>
      </c>
      <c r="E55" s="795">
        <v>102</v>
      </c>
      <c r="F55" s="795" t="s">
        <v>852</v>
      </c>
      <c r="G55" s="795">
        <v>1.7080000000000001E-2</v>
      </c>
      <c r="H55" s="795">
        <v>1811.85</v>
      </c>
      <c r="I55" s="795">
        <v>69.13</v>
      </c>
      <c r="J55" s="795">
        <v>1880.98</v>
      </c>
      <c r="K55" s="795">
        <v>100.69</v>
      </c>
      <c r="L55" s="795">
        <v>1.711E-2</v>
      </c>
      <c r="M55" s="795">
        <v>1791.37</v>
      </c>
      <c r="O55" s="795">
        <v>1791.37</v>
      </c>
      <c r="P55" s="795" t="s">
        <v>898</v>
      </c>
    </row>
    <row r="56" spans="1:16" x14ac:dyDescent="0.25">
      <c r="A56" s="795" t="s">
        <v>941</v>
      </c>
      <c r="B56" s="795" t="s">
        <v>940</v>
      </c>
      <c r="C56" s="795" t="s">
        <v>939</v>
      </c>
      <c r="D56" s="795">
        <v>30</v>
      </c>
      <c r="E56" s="795">
        <v>100.2</v>
      </c>
      <c r="F56" s="795" t="s">
        <v>852</v>
      </c>
      <c r="G56" s="795">
        <v>1.7080000000000001E-2</v>
      </c>
      <c r="H56" s="795">
        <v>513.41999999999996</v>
      </c>
      <c r="I56" s="795">
        <v>27.59</v>
      </c>
      <c r="J56" s="795">
        <v>541.02</v>
      </c>
      <c r="K56" s="795">
        <v>104.3</v>
      </c>
      <c r="L56" s="795">
        <v>1.711E-2</v>
      </c>
      <c r="M56" s="795">
        <v>535.29</v>
      </c>
      <c r="N56" s="795">
        <v>25.16</v>
      </c>
      <c r="O56" s="795">
        <v>560.45000000000005</v>
      </c>
      <c r="P56" s="795" t="s">
        <v>938</v>
      </c>
    </row>
    <row r="57" spans="1:16" x14ac:dyDescent="0.25">
      <c r="A57" s="795" t="s">
        <v>937</v>
      </c>
      <c r="B57" s="795" t="s">
        <v>936</v>
      </c>
      <c r="C57" s="795" t="s">
        <v>935</v>
      </c>
      <c r="D57" s="795">
        <v>20</v>
      </c>
      <c r="E57" s="795">
        <v>101.43</v>
      </c>
      <c r="F57" s="795" t="s">
        <v>852</v>
      </c>
      <c r="G57" s="795">
        <v>1.7080000000000001E-2</v>
      </c>
      <c r="H57" s="795">
        <v>346.48</v>
      </c>
      <c r="I57" s="795">
        <v>2.16</v>
      </c>
      <c r="J57" s="795">
        <v>348.65</v>
      </c>
      <c r="K57" s="795">
        <v>101.43</v>
      </c>
      <c r="L57" s="795">
        <v>1.711E-2</v>
      </c>
      <c r="M57" s="795">
        <v>347.04</v>
      </c>
      <c r="N57" s="795">
        <v>1.34</v>
      </c>
      <c r="O57" s="795">
        <v>348.38</v>
      </c>
      <c r="P57" s="795" t="s">
        <v>934</v>
      </c>
    </row>
    <row r="58" spans="1:16" x14ac:dyDescent="0.25">
      <c r="A58" s="795" t="s">
        <v>933</v>
      </c>
      <c r="B58" s="795" t="s">
        <v>932</v>
      </c>
      <c r="C58" s="795" t="s">
        <v>931</v>
      </c>
      <c r="D58" s="795">
        <v>200</v>
      </c>
      <c r="E58" s="795">
        <v>93</v>
      </c>
      <c r="F58" s="795" t="s">
        <v>852</v>
      </c>
      <c r="G58" s="795">
        <v>1</v>
      </c>
      <c r="H58" s="795">
        <v>186000</v>
      </c>
      <c r="I58" s="795">
        <v>7875</v>
      </c>
      <c r="J58" s="795">
        <v>193875</v>
      </c>
      <c r="K58" s="795">
        <v>85</v>
      </c>
      <c r="L58" s="795">
        <v>1</v>
      </c>
      <c r="M58" s="795">
        <v>170000</v>
      </c>
      <c r="N58" s="795">
        <v>9975</v>
      </c>
      <c r="O58" s="795">
        <v>179975</v>
      </c>
      <c r="P58" s="795" t="s">
        <v>881</v>
      </c>
    </row>
    <row r="59" spans="1:16" x14ac:dyDescent="0.25">
      <c r="A59" s="795" t="s">
        <v>930</v>
      </c>
      <c r="B59" s="795" t="s">
        <v>929</v>
      </c>
      <c r="C59" s="795" t="s">
        <v>928</v>
      </c>
      <c r="D59" s="795">
        <v>30</v>
      </c>
      <c r="E59" s="795">
        <v>101.81</v>
      </c>
      <c r="F59" s="795" t="s">
        <v>847</v>
      </c>
      <c r="G59" s="795">
        <v>1.7080000000000001E-2</v>
      </c>
      <c r="H59" s="795">
        <v>521.66999999999996</v>
      </c>
      <c r="I59" s="795">
        <v>9.66</v>
      </c>
      <c r="J59" s="795">
        <v>531.33000000000004</v>
      </c>
      <c r="K59" s="795">
        <v>100</v>
      </c>
      <c r="L59" s="795">
        <v>1.711E-2</v>
      </c>
      <c r="M59" s="795">
        <v>513.22</v>
      </c>
      <c r="O59" s="795">
        <v>513.22</v>
      </c>
      <c r="P59" s="795" t="s">
        <v>927</v>
      </c>
    </row>
    <row r="60" spans="1:16" x14ac:dyDescent="0.25">
      <c r="A60" s="795" t="s">
        <v>926</v>
      </c>
      <c r="B60" s="795" t="s">
        <v>925</v>
      </c>
      <c r="C60" s="795" t="s">
        <v>924</v>
      </c>
      <c r="D60" s="795">
        <v>20</v>
      </c>
      <c r="E60" s="795">
        <v>105.5</v>
      </c>
      <c r="F60" s="795" t="s">
        <v>847</v>
      </c>
      <c r="G60" s="795">
        <v>1.7080000000000001E-2</v>
      </c>
      <c r="H60" s="795">
        <v>360.39</v>
      </c>
      <c r="I60" s="795">
        <v>15.99</v>
      </c>
      <c r="J60" s="795">
        <v>376.37</v>
      </c>
      <c r="K60" s="795">
        <v>100</v>
      </c>
      <c r="L60" s="795">
        <v>1.711E-2</v>
      </c>
      <c r="M60" s="795">
        <v>342.15</v>
      </c>
      <c r="O60" s="795">
        <v>342.15</v>
      </c>
      <c r="P60" s="795" t="s">
        <v>923</v>
      </c>
    </row>
    <row r="61" spans="1:16" x14ac:dyDescent="0.25">
      <c r="A61" s="795" t="s">
        <v>922</v>
      </c>
      <c r="B61" s="795" t="s">
        <v>921</v>
      </c>
      <c r="C61" s="795" t="s">
        <v>920</v>
      </c>
      <c r="D61" s="795">
        <v>2000</v>
      </c>
      <c r="E61" s="795">
        <v>81.5</v>
      </c>
      <c r="F61" s="795" t="s">
        <v>852</v>
      </c>
      <c r="G61" s="795">
        <v>1</v>
      </c>
      <c r="H61" s="795">
        <v>1630000</v>
      </c>
      <c r="I61" s="795">
        <v>68750</v>
      </c>
      <c r="J61" s="795">
        <v>1698750</v>
      </c>
      <c r="K61" s="795">
        <v>84.24</v>
      </c>
      <c r="L61" s="795">
        <v>1</v>
      </c>
      <c r="M61" s="795">
        <v>1684799.96</v>
      </c>
      <c r="N61" s="795">
        <v>2750</v>
      </c>
      <c r="O61" s="795">
        <v>1687549.96</v>
      </c>
      <c r="P61" s="795" t="s">
        <v>881</v>
      </c>
    </row>
    <row r="62" spans="1:16" x14ac:dyDescent="0.25">
      <c r="A62" s="795" t="s">
        <v>919</v>
      </c>
      <c r="B62" s="795" t="s">
        <v>918</v>
      </c>
      <c r="C62" s="795" t="s">
        <v>917</v>
      </c>
      <c r="D62" s="795">
        <v>450</v>
      </c>
      <c r="E62" s="795">
        <v>105.95</v>
      </c>
      <c r="F62" s="795" t="s">
        <v>852</v>
      </c>
      <c r="G62" s="795">
        <v>1</v>
      </c>
      <c r="H62" s="795">
        <v>476775</v>
      </c>
      <c r="I62" s="795">
        <v>8648.44</v>
      </c>
      <c r="J62" s="795">
        <v>485423.44</v>
      </c>
      <c r="K62" s="795">
        <v>72.66</v>
      </c>
      <c r="L62" s="795">
        <v>1</v>
      </c>
      <c r="M62" s="795">
        <v>326949.99</v>
      </c>
      <c r="N62" s="795">
        <v>11179.69</v>
      </c>
      <c r="O62" s="795">
        <v>338129.68</v>
      </c>
      <c r="P62" s="795" t="s">
        <v>881</v>
      </c>
    </row>
    <row r="63" spans="1:16" x14ac:dyDescent="0.25">
      <c r="A63" s="795" t="s">
        <v>916</v>
      </c>
      <c r="B63" s="795" t="s">
        <v>915</v>
      </c>
      <c r="C63" s="795" t="s">
        <v>914</v>
      </c>
      <c r="D63" s="795">
        <v>30</v>
      </c>
      <c r="E63" s="795">
        <v>105.63</v>
      </c>
      <c r="F63" s="795" t="s">
        <v>847</v>
      </c>
      <c r="G63" s="795">
        <v>1.7080000000000001E-2</v>
      </c>
      <c r="H63" s="795">
        <v>541.25</v>
      </c>
      <c r="I63" s="795">
        <v>13.24</v>
      </c>
      <c r="J63" s="795">
        <v>554.49</v>
      </c>
      <c r="K63" s="795">
        <v>105.8</v>
      </c>
      <c r="L63" s="795">
        <v>1.711E-2</v>
      </c>
      <c r="M63" s="795">
        <v>542.99</v>
      </c>
      <c r="N63" s="795">
        <v>14.55</v>
      </c>
      <c r="O63" s="795">
        <v>557.54</v>
      </c>
      <c r="P63" s="795" t="s">
        <v>913</v>
      </c>
    </row>
    <row r="64" spans="1:16" x14ac:dyDescent="0.25">
      <c r="A64" s="795" t="s">
        <v>912</v>
      </c>
      <c r="B64" s="795" t="s">
        <v>911</v>
      </c>
      <c r="C64" s="795" t="s">
        <v>910</v>
      </c>
      <c r="D64" s="795">
        <v>3</v>
      </c>
      <c r="E64" s="795">
        <v>97.59</v>
      </c>
      <c r="F64" s="795" t="s">
        <v>852</v>
      </c>
      <c r="G64" s="795">
        <v>1.7080000000000001E-2</v>
      </c>
      <c r="H64" s="795">
        <v>50.01</v>
      </c>
      <c r="I64" s="795">
        <v>0.25</v>
      </c>
      <c r="J64" s="795">
        <v>50.26</v>
      </c>
      <c r="K64" s="795">
        <v>92.46</v>
      </c>
      <c r="L64" s="795">
        <v>1.711E-2</v>
      </c>
      <c r="M64" s="795">
        <v>47.45</v>
      </c>
      <c r="N64" s="795">
        <v>1.1200000000000001</v>
      </c>
      <c r="O64" s="795">
        <v>48.57</v>
      </c>
      <c r="P64" s="795" t="s">
        <v>909</v>
      </c>
    </row>
    <row r="65" spans="1:16" x14ac:dyDescent="0.25">
      <c r="A65" s="795" t="s">
        <v>908</v>
      </c>
      <c r="B65" s="795" t="s">
        <v>907</v>
      </c>
      <c r="C65" s="795" t="s">
        <v>906</v>
      </c>
      <c r="D65" s="795">
        <v>48.57</v>
      </c>
      <c r="E65" s="795">
        <v>99.61</v>
      </c>
      <c r="F65" s="795" t="s">
        <v>852</v>
      </c>
      <c r="G65" s="795">
        <v>1.7080000000000001E-2</v>
      </c>
      <c r="H65" s="795">
        <v>826.34</v>
      </c>
      <c r="I65" s="795">
        <v>22.54</v>
      </c>
      <c r="J65" s="795">
        <v>848.88</v>
      </c>
      <c r="K65" s="795">
        <v>96.2</v>
      </c>
      <c r="L65" s="795">
        <v>1.711E-2</v>
      </c>
      <c r="M65" s="795">
        <v>799.31</v>
      </c>
      <c r="N65" s="795">
        <v>9.26</v>
      </c>
      <c r="O65" s="795">
        <v>808.58</v>
      </c>
      <c r="P65" s="795" t="s">
        <v>905</v>
      </c>
    </row>
    <row r="66" spans="1:16" x14ac:dyDescent="0.25">
      <c r="A66" s="795" t="s">
        <v>904</v>
      </c>
      <c r="B66" s="795" t="s">
        <v>903</v>
      </c>
      <c r="C66" s="795" t="s">
        <v>902</v>
      </c>
      <c r="D66" s="795">
        <v>80000</v>
      </c>
      <c r="E66" s="795">
        <v>98.49</v>
      </c>
      <c r="F66" s="795" t="s">
        <v>852</v>
      </c>
      <c r="G66" s="795">
        <v>1.7080000000000001E-2</v>
      </c>
      <c r="H66" s="795">
        <v>1345767.58</v>
      </c>
      <c r="I66" s="795">
        <v>7472.5</v>
      </c>
      <c r="J66" s="795">
        <v>1353240.08</v>
      </c>
      <c r="K66" s="795">
        <v>76.290000000000006</v>
      </c>
      <c r="L66" s="795">
        <v>1.711E-2</v>
      </c>
      <c r="M66" s="795">
        <v>1044126.53</v>
      </c>
      <c r="N66" s="795">
        <v>39517.85</v>
      </c>
      <c r="O66" s="795">
        <v>1083644.3799999999</v>
      </c>
      <c r="P66" s="795" t="s">
        <v>860</v>
      </c>
    </row>
    <row r="67" spans="1:16" x14ac:dyDescent="0.25">
      <c r="A67" s="795" t="s">
        <v>901</v>
      </c>
      <c r="B67" s="795" t="s">
        <v>900</v>
      </c>
      <c r="C67" s="795" t="s">
        <v>899</v>
      </c>
      <c r="D67" s="795">
        <v>150</v>
      </c>
      <c r="E67" s="795">
        <v>104.21</v>
      </c>
      <c r="F67" s="795" t="s">
        <v>852</v>
      </c>
      <c r="G67" s="795">
        <v>1.7080000000000001E-2</v>
      </c>
      <c r="H67" s="795">
        <v>2669.86</v>
      </c>
      <c r="I67" s="795">
        <v>121.77</v>
      </c>
      <c r="J67" s="795">
        <v>2791.63</v>
      </c>
      <c r="K67" s="795">
        <v>100</v>
      </c>
      <c r="L67" s="795">
        <v>1.711E-2</v>
      </c>
      <c r="M67" s="795">
        <v>2566.09</v>
      </c>
      <c r="O67" s="795">
        <v>2566.09</v>
      </c>
      <c r="P67" s="795" t="s">
        <v>898</v>
      </c>
    </row>
    <row r="68" spans="1:16" x14ac:dyDescent="0.25">
      <c r="A68" s="795" t="s">
        <v>897</v>
      </c>
      <c r="B68" s="795" t="s">
        <v>896</v>
      </c>
      <c r="C68" s="795" t="s">
        <v>895</v>
      </c>
      <c r="D68" s="795">
        <v>50</v>
      </c>
      <c r="E68" s="795">
        <v>102.75</v>
      </c>
      <c r="F68" s="795" t="s">
        <v>847</v>
      </c>
      <c r="G68" s="795">
        <v>1.7080000000000001E-2</v>
      </c>
      <c r="H68" s="795">
        <v>877.49</v>
      </c>
      <c r="I68" s="795">
        <v>35.659999999999997</v>
      </c>
      <c r="J68" s="795">
        <v>913.15</v>
      </c>
      <c r="K68" s="795">
        <v>100</v>
      </c>
      <c r="L68" s="795">
        <v>1.711E-2</v>
      </c>
      <c r="M68" s="795">
        <v>855.36</v>
      </c>
      <c r="O68" s="795">
        <v>855.36</v>
      </c>
      <c r="P68" s="795" t="s">
        <v>894</v>
      </c>
    </row>
    <row r="69" spans="1:16" x14ac:dyDescent="0.25">
      <c r="A69" s="795" t="s">
        <v>891</v>
      </c>
      <c r="B69" s="795" t="s">
        <v>893</v>
      </c>
      <c r="C69" s="795" t="s">
        <v>892</v>
      </c>
      <c r="D69" s="795">
        <v>20</v>
      </c>
      <c r="E69" s="795">
        <v>101.01</v>
      </c>
      <c r="F69" s="795" t="s">
        <v>847</v>
      </c>
      <c r="G69" s="795">
        <v>1.7080000000000001E-2</v>
      </c>
      <c r="H69" s="795">
        <v>345.05</v>
      </c>
      <c r="I69" s="795">
        <v>15.95</v>
      </c>
      <c r="J69" s="795">
        <v>361</v>
      </c>
      <c r="K69" s="795">
        <v>100</v>
      </c>
      <c r="L69" s="795">
        <v>1.711E-2</v>
      </c>
      <c r="M69" s="795">
        <v>342.15</v>
      </c>
      <c r="O69" s="795">
        <v>342.15</v>
      </c>
      <c r="P69" s="795" t="s">
        <v>888</v>
      </c>
    </row>
    <row r="70" spans="1:16" x14ac:dyDescent="0.25">
      <c r="A70" s="795" t="s">
        <v>891</v>
      </c>
      <c r="B70" s="795" t="s">
        <v>890</v>
      </c>
      <c r="C70" s="795" t="s">
        <v>889</v>
      </c>
      <c r="D70" s="795">
        <v>30</v>
      </c>
      <c r="E70" s="795">
        <v>101</v>
      </c>
      <c r="F70" s="795" t="s">
        <v>847</v>
      </c>
      <c r="G70" s="795">
        <v>1.7080000000000001E-2</v>
      </c>
      <c r="H70" s="795">
        <v>517.52</v>
      </c>
      <c r="I70" s="795">
        <v>23.92</v>
      </c>
      <c r="J70" s="795">
        <v>541.44000000000005</v>
      </c>
      <c r="K70" s="795">
        <v>100</v>
      </c>
      <c r="L70" s="795">
        <v>1.711E-2</v>
      </c>
      <c r="M70" s="795">
        <v>513.22</v>
      </c>
      <c r="O70" s="795">
        <v>513.22</v>
      </c>
      <c r="P70" s="795" t="s">
        <v>888</v>
      </c>
    </row>
    <row r="71" spans="1:16" x14ac:dyDescent="0.25">
      <c r="A71" s="795" t="s">
        <v>887</v>
      </c>
      <c r="B71" s="795" t="s">
        <v>886</v>
      </c>
      <c r="C71" s="795" t="s">
        <v>885</v>
      </c>
      <c r="D71" s="795">
        <v>335</v>
      </c>
      <c r="E71" s="795">
        <v>107.88</v>
      </c>
      <c r="F71" s="795" t="s">
        <v>852</v>
      </c>
      <c r="G71" s="795">
        <v>1</v>
      </c>
      <c r="H71" s="795">
        <v>361381.25</v>
      </c>
      <c r="I71" s="795">
        <v>5304.17</v>
      </c>
      <c r="J71" s="795">
        <v>366685.42</v>
      </c>
      <c r="K71" s="795">
        <v>88.22</v>
      </c>
      <c r="L71" s="795">
        <v>1</v>
      </c>
      <c r="M71" s="795">
        <v>295553</v>
      </c>
      <c r="N71" s="795">
        <v>7314.17</v>
      </c>
      <c r="O71" s="795">
        <v>302867.17</v>
      </c>
      <c r="P71" s="795" t="s">
        <v>881</v>
      </c>
    </row>
    <row r="72" spans="1:16" x14ac:dyDescent="0.25">
      <c r="A72" s="795" t="s">
        <v>884</v>
      </c>
      <c r="B72" s="795" t="s">
        <v>883</v>
      </c>
      <c r="C72" s="795" t="s">
        <v>882</v>
      </c>
      <c r="D72" s="795">
        <v>400</v>
      </c>
      <c r="E72" s="795">
        <v>100.88</v>
      </c>
      <c r="F72" s="795" t="s">
        <v>852</v>
      </c>
      <c r="G72" s="795">
        <v>1</v>
      </c>
      <c r="H72" s="795">
        <v>403500</v>
      </c>
      <c r="I72" s="795">
        <v>7925.42</v>
      </c>
      <c r="J72" s="795">
        <v>411425.42</v>
      </c>
      <c r="K72" s="795">
        <v>84.75</v>
      </c>
      <c r="L72" s="795">
        <v>1</v>
      </c>
      <c r="M72" s="795">
        <v>339000</v>
      </c>
      <c r="N72" s="795">
        <v>923.82</v>
      </c>
      <c r="O72" s="795">
        <v>339923.82</v>
      </c>
      <c r="P72" s="795" t="s">
        <v>881</v>
      </c>
    </row>
    <row r="73" spans="1:16" x14ac:dyDescent="0.25">
      <c r="A73" s="795" t="s">
        <v>880</v>
      </c>
      <c r="B73" s="795" t="s">
        <v>879</v>
      </c>
      <c r="C73" s="795" t="s">
        <v>878</v>
      </c>
      <c r="D73" s="795">
        <v>15</v>
      </c>
      <c r="E73" s="795">
        <v>100.01</v>
      </c>
      <c r="F73" s="795" t="s">
        <v>847</v>
      </c>
      <c r="G73" s="795">
        <v>1.7080000000000001E-2</v>
      </c>
      <c r="H73" s="795">
        <v>256.23</v>
      </c>
      <c r="I73" s="795">
        <v>9.36</v>
      </c>
      <c r="J73" s="795">
        <v>265.58</v>
      </c>
      <c r="K73" s="795">
        <v>100</v>
      </c>
      <c r="L73" s="795">
        <v>1.711E-2</v>
      </c>
      <c r="M73" s="795">
        <v>256.61</v>
      </c>
      <c r="O73" s="795">
        <v>256.61</v>
      </c>
      <c r="P73" s="795" t="s">
        <v>877</v>
      </c>
    </row>
    <row r="74" spans="1:16" x14ac:dyDescent="0.25">
      <c r="A74" s="795" t="s">
        <v>876</v>
      </c>
      <c r="B74" s="795" t="s">
        <v>875</v>
      </c>
      <c r="C74" s="795" t="s">
        <v>874</v>
      </c>
      <c r="D74" s="795">
        <v>5.59</v>
      </c>
      <c r="F74" s="795" t="s">
        <v>873</v>
      </c>
      <c r="G74" s="795">
        <v>1.7080000000000001E-2</v>
      </c>
      <c r="K74" s="795">
        <v>97.5</v>
      </c>
      <c r="L74" s="795">
        <v>1.711E-2</v>
      </c>
      <c r="M74" s="795">
        <v>93.24</v>
      </c>
      <c r="N74" s="795">
        <v>1.77</v>
      </c>
      <c r="O74" s="795">
        <v>95.01</v>
      </c>
      <c r="P74" s="795" t="s">
        <v>872</v>
      </c>
    </row>
    <row r="75" spans="1:16" x14ac:dyDescent="0.25">
      <c r="A75" s="795" t="s">
        <v>871</v>
      </c>
      <c r="B75" s="795" t="s">
        <v>870</v>
      </c>
      <c r="C75" s="795" t="s">
        <v>869</v>
      </c>
      <c r="D75" s="795">
        <v>48</v>
      </c>
      <c r="E75" s="795">
        <v>98.1</v>
      </c>
      <c r="F75" s="795" t="s">
        <v>847</v>
      </c>
      <c r="G75" s="795">
        <v>1.7080000000000001E-2</v>
      </c>
      <c r="H75" s="795">
        <v>402.13</v>
      </c>
      <c r="I75" s="795">
        <v>10.56</v>
      </c>
      <c r="J75" s="795">
        <v>412.69</v>
      </c>
      <c r="K75" s="795">
        <v>95.86</v>
      </c>
      <c r="L75" s="795">
        <v>1.711E-2</v>
      </c>
      <c r="M75" s="795">
        <v>491.97</v>
      </c>
      <c r="N75" s="795">
        <v>14.15</v>
      </c>
      <c r="O75" s="795">
        <v>506.12</v>
      </c>
      <c r="P75" s="795" t="s">
        <v>868</v>
      </c>
    </row>
    <row r="76" spans="1:16" x14ac:dyDescent="0.25">
      <c r="A76" s="795" t="s">
        <v>867</v>
      </c>
      <c r="B76" s="795" t="s">
        <v>866</v>
      </c>
      <c r="C76" s="795" t="s">
        <v>865</v>
      </c>
      <c r="D76" s="795">
        <v>50</v>
      </c>
      <c r="E76" s="795">
        <v>99.98</v>
      </c>
      <c r="F76" s="795" t="s">
        <v>847</v>
      </c>
      <c r="G76" s="795">
        <v>1.7080000000000001E-2</v>
      </c>
      <c r="H76" s="795">
        <v>853.83</v>
      </c>
      <c r="I76" s="795">
        <v>39.78</v>
      </c>
      <c r="J76" s="795">
        <v>893.61</v>
      </c>
      <c r="K76" s="795">
        <v>98.05</v>
      </c>
      <c r="L76" s="795">
        <v>1.711E-2</v>
      </c>
      <c r="M76" s="795">
        <v>838.69</v>
      </c>
      <c r="N76" s="795">
        <v>11.95</v>
      </c>
      <c r="O76" s="795">
        <v>850.63</v>
      </c>
      <c r="P76" s="795" t="s">
        <v>864</v>
      </c>
    </row>
    <row r="77" spans="1:16" x14ac:dyDescent="0.25">
      <c r="A77" s="795" t="s">
        <v>863</v>
      </c>
      <c r="B77" s="795" t="s">
        <v>862</v>
      </c>
      <c r="C77" s="795" t="s">
        <v>861</v>
      </c>
      <c r="D77" s="795">
        <v>50000</v>
      </c>
      <c r="E77" s="795">
        <v>99.44</v>
      </c>
      <c r="F77" s="795" t="s">
        <v>852</v>
      </c>
      <c r="G77" s="795">
        <v>1.7080000000000001E-2</v>
      </c>
      <c r="H77" s="795">
        <v>849217.74</v>
      </c>
      <c r="I77" s="795">
        <v>4056.5</v>
      </c>
      <c r="J77" s="795">
        <v>853274.24</v>
      </c>
      <c r="K77" s="795">
        <v>70.03</v>
      </c>
      <c r="L77" s="795">
        <v>1.711E-2</v>
      </c>
      <c r="M77" s="795">
        <v>599011.85</v>
      </c>
      <c r="N77" s="795">
        <v>26943.99</v>
      </c>
      <c r="O77" s="795">
        <v>625955.83999999997</v>
      </c>
      <c r="P77" s="795" t="s">
        <v>860</v>
      </c>
    </row>
    <row r="78" spans="1:16" x14ac:dyDescent="0.25">
      <c r="A78" s="795" t="s">
        <v>859</v>
      </c>
      <c r="B78" s="795" t="s">
        <v>858</v>
      </c>
      <c r="C78" s="795" t="s">
        <v>857</v>
      </c>
      <c r="D78" s="795">
        <v>344</v>
      </c>
      <c r="E78" s="795">
        <v>77</v>
      </c>
      <c r="F78" s="795" t="s">
        <v>852</v>
      </c>
      <c r="G78" s="795">
        <v>1</v>
      </c>
      <c r="H78" s="795">
        <v>264880</v>
      </c>
      <c r="I78" s="795">
        <v>17157</v>
      </c>
      <c r="J78" s="795">
        <v>282037</v>
      </c>
      <c r="K78" s="795">
        <v>81.290000000000006</v>
      </c>
      <c r="L78" s="795">
        <v>1</v>
      </c>
      <c r="M78" s="795">
        <v>279628.99</v>
      </c>
      <c r="N78" s="795">
        <v>13965.44</v>
      </c>
      <c r="O78" s="795">
        <v>293594.43</v>
      </c>
      <c r="P78" s="795" t="s">
        <v>856</v>
      </c>
    </row>
    <row r="79" spans="1:16" x14ac:dyDescent="0.25">
      <c r="A79" s="795" t="s">
        <v>855</v>
      </c>
      <c r="B79" s="795" t="s">
        <v>854</v>
      </c>
      <c r="C79" s="795" t="s">
        <v>853</v>
      </c>
      <c r="D79" s="795">
        <v>930</v>
      </c>
      <c r="E79" s="795">
        <v>109</v>
      </c>
      <c r="F79" s="795" t="s">
        <v>852</v>
      </c>
      <c r="G79" s="795">
        <v>1</v>
      </c>
      <c r="H79" s="795">
        <v>1013700</v>
      </c>
      <c r="I79" s="795">
        <v>24238.13</v>
      </c>
      <c r="J79" s="795">
        <v>1037938.13</v>
      </c>
      <c r="K79" s="795">
        <v>89.5</v>
      </c>
      <c r="L79" s="795">
        <v>1</v>
      </c>
      <c r="M79" s="795">
        <v>832337</v>
      </c>
      <c r="N79" s="795">
        <v>9515.7099999999991</v>
      </c>
      <c r="O79" s="795">
        <v>841852.71</v>
      </c>
      <c r="P79" s="795" t="s">
        <v>851</v>
      </c>
    </row>
    <row r="80" spans="1:16" x14ac:dyDescent="0.25">
      <c r="A80" s="795" t="s">
        <v>850</v>
      </c>
      <c r="B80" s="795" t="s">
        <v>849</v>
      </c>
      <c r="C80" s="795" t="s">
        <v>848</v>
      </c>
      <c r="D80" s="795">
        <v>50</v>
      </c>
      <c r="E80" s="795">
        <v>90</v>
      </c>
      <c r="F80" s="795" t="s">
        <v>847</v>
      </c>
      <c r="G80" s="795">
        <v>1.7080000000000001E-2</v>
      </c>
      <c r="H80" s="795">
        <v>768.6</v>
      </c>
      <c r="I80" s="795">
        <v>29.23</v>
      </c>
      <c r="J80" s="795">
        <v>797.83</v>
      </c>
      <c r="K80" s="795">
        <v>100</v>
      </c>
      <c r="L80" s="795">
        <v>1.711E-2</v>
      </c>
      <c r="M80" s="795">
        <v>855.36</v>
      </c>
      <c r="O80" s="795">
        <v>855.36</v>
      </c>
      <c r="P80" s="795" t="s">
        <v>846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  <pageSetUpPr fitToPage="1"/>
  </sheetPr>
  <dimension ref="B3:AE822"/>
  <sheetViews>
    <sheetView showGridLines="0" topLeftCell="A777" zoomScaleNormal="100" workbookViewId="0">
      <pane xSplit="2" topLeftCell="C1" activePane="topRight" state="frozen"/>
      <selection pane="topRight" activeCell="C822" sqref="C822"/>
    </sheetView>
  </sheetViews>
  <sheetFormatPr defaultRowHeight="12.75" x14ac:dyDescent="0.2"/>
  <cols>
    <col min="1" max="1" width="3.5703125" style="9" customWidth="1"/>
    <col min="2" max="2" width="36.28515625" style="9" customWidth="1"/>
    <col min="3" max="3" width="16.28515625" style="9" customWidth="1"/>
    <col min="4" max="4" width="10.140625" style="9" customWidth="1"/>
    <col min="5" max="5" width="13.28515625" style="9" customWidth="1"/>
    <col min="6" max="6" width="13.140625" style="9" customWidth="1"/>
    <col min="7" max="7" width="9" style="9" customWidth="1"/>
    <col min="8" max="8" width="11.28515625" style="9" customWidth="1"/>
    <col min="9" max="9" width="13.5703125" style="9" customWidth="1"/>
    <col min="10" max="10" width="11" style="9" customWidth="1"/>
    <col min="11" max="11" width="13" style="9" customWidth="1"/>
    <col min="12" max="13" width="13.5703125" style="9" customWidth="1"/>
    <col min="14" max="14" width="12.7109375" style="9" customWidth="1"/>
    <col min="15" max="15" width="15" style="9" customWidth="1"/>
    <col min="16" max="16" width="14.5703125" style="9" customWidth="1"/>
    <col min="17" max="17" width="12.5703125" style="9" customWidth="1"/>
    <col min="18" max="18" width="14.140625" style="9" customWidth="1"/>
    <col min="19" max="19" width="11.5703125" style="9" customWidth="1"/>
    <col min="20" max="20" width="11.140625" style="9" customWidth="1"/>
    <col min="21" max="21" width="13.140625" style="9" customWidth="1"/>
    <col min="22" max="22" width="10.5703125" style="9" customWidth="1"/>
    <col min="23" max="23" width="11.5703125" style="9" customWidth="1"/>
    <col min="24" max="29" width="9.140625" style="9"/>
    <col min="30" max="30" width="20" style="9" customWidth="1"/>
    <col min="31" max="16384" width="9.140625" style="9"/>
  </cols>
  <sheetData>
    <row r="3" spans="2:31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747</v>
      </c>
      <c r="V3" s="619" t="s">
        <v>778</v>
      </c>
      <c r="W3" s="619" t="s">
        <v>779</v>
      </c>
      <c r="X3" s="619"/>
      <c r="Y3" s="619"/>
    </row>
    <row r="4" spans="2:31" s="409" customFormat="1" ht="15" x14ac:dyDescent="0.25">
      <c r="B4" s="116" t="e">
        <f ca="1">_xll.BDP(C4,"NAME")</f>
        <v>#NAME?</v>
      </c>
      <c r="C4" s="109" t="s">
        <v>1083</v>
      </c>
      <c r="D4" s="119">
        <f>Q4/$Q$72</f>
        <v>1.8617115313807383E-2</v>
      </c>
      <c r="E4" s="109">
        <v>630300</v>
      </c>
      <c r="F4" s="109">
        <v>52.7</v>
      </c>
      <c r="G4" s="381" t="e">
        <f ca="1">_xll.BDP($C4,"PX_LAST")</f>
        <v>#NAME?</v>
      </c>
      <c r="H4" s="181" t="e">
        <f ca="1">IF(  OR(   X4="#N/A N/A", X4="#N/A Field Not Applicable"),0,X4)</f>
        <v>#NAME?</v>
      </c>
      <c r="I4" s="616" t="e">
        <f ca="1">IF(H4&gt;0,H4/G4-1,0)</f>
        <v>#NAME?</v>
      </c>
      <c r="J4" s="181" t="e">
        <f ca="1">IF( OR(  Z4="#N/A Field Not Applicable", Z4="#N/A N/A"),0,Z4)</f>
        <v>#NAME?</v>
      </c>
      <c r="K4" s="122" t="e">
        <f ca="1">_xll.BDP($C4,"CRNCY")</f>
        <v>#NAME?</v>
      </c>
      <c r="L4" s="119">
        <f t="shared" ref="L4:L26" si="0">IF(N4&gt;0,P4/N4-1,0)</f>
        <v>0.8187938057197337</v>
      </c>
      <c r="M4" s="119">
        <f t="shared" ref="M4:M26" si="1">IF(O4&gt;0,Q4/O4-1,0)</f>
        <v>0.82843628278099657</v>
      </c>
      <c r="N4" s="109">
        <v>33216659.75</v>
      </c>
      <c r="O4" s="109">
        <v>565256.23</v>
      </c>
      <c r="P4" s="109">
        <v>60414255</v>
      </c>
      <c r="Q4" s="109">
        <v>1033535</v>
      </c>
      <c r="R4" s="123">
        <f t="shared" ref="R4" si="2">P4-N4</f>
        <v>27197595.25</v>
      </c>
      <c r="S4" s="123">
        <f t="shared" ref="S4" si="3">Q4-O4</f>
        <v>468278.77</v>
      </c>
      <c r="T4" s="125" t="e">
        <f ca="1">IF( OR(  Y4="#N/A Field Not Applicable", Y4="#N/A N/A"),0,Y4)</f>
        <v>#NAME?</v>
      </c>
      <c r="U4" s="109">
        <v>1005437.91</v>
      </c>
      <c r="V4" s="125" t="e">
        <f ca="1">_xll.BDP($C4,"DVD_EX_DT")</f>
        <v>#NAME?</v>
      </c>
      <c r="W4" s="125" t="e">
        <f ca="1">_xll.BDP($C4,"BDVD_NEXT_EST_DECL_DT")</f>
        <v>#NAME?</v>
      </c>
      <c r="X4" s="795" t="e">
        <f ca="1">_xll.BDP(C4,"BEST_TARGET_PRICE")</f>
        <v>#NAME?</v>
      </c>
      <c r="Y4" s="795" t="e">
        <f ca="1">_xll.BDP($C4,"EQY_DVD_YLD_EST")</f>
        <v>#NAME?</v>
      </c>
      <c r="Z4" s="409" t="e">
        <f ca="1">_xll.BDP(C4,"EQY_REC_CONS")</f>
        <v>#NAME?</v>
      </c>
      <c r="AD4" s="409" t="s">
        <v>1083</v>
      </c>
      <c r="AE4" s="409" t="e">
        <f ca="1">_xll.BDP(AD4,"ID_ISIN")</f>
        <v>#NAME?</v>
      </c>
    </row>
    <row r="5" spans="2:31" s="409" customFormat="1" ht="15" x14ac:dyDescent="0.25">
      <c r="B5" s="116" t="e">
        <f ca="1">_xll.BDP(C5,"NAME")</f>
        <v>#NAME?</v>
      </c>
      <c r="C5" s="109" t="s">
        <v>1079</v>
      </c>
      <c r="D5" s="119">
        <f t="shared" ref="D5:D68" si="4">Q5/$Q$72</f>
        <v>1.4037097976692036E-2</v>
      </c>
      <c r="E5" s="109">
        <v>35629</v>
      </c>
      <c r="F5" s="109">
        <v>897.74</v>
      </c>
      <c r="G5" s="381" t="e">
        <f ca="1">_xll.BDP($C5,"PX_LAST")</f>
        <v>#NAME?</v>
      </c>
      <c r="H5" s="181" t="e">
        <f t="shared" ref="H5:H68" ca="1" si="5">IF(  OR(   X5="#N/A N/A", X5="#N/A Field Not Applicable"),0,X5)</f>
        <v>#NAME?</v>
      </c>
      <c r="I5" s="616" t="e">
        <f t="shared" ref="I5:I68" ca="1" si="6">IF(H5&gt;0,H5/G5-1,0)</f>
        <v>#NAME?</v>
      </c>
      <c r="J5" s="181" t="e">
        <f t="shared" ref="J5:J68" ca="1" si="7">IF( OR(  Z5="#N/A Field Not Applicable", Z5="#N/A N/A"),0,Z5)</f>
        <v>#NAME?</v>
      </c>
      <c r="K5" s="122" t="e">
        <f ca="1">_xll.BDP($C5,"CRNCY")</f>
        <v>#NAME?</v>
      </c>
      <c r="L5" s="119">
        <f t="shared" si="0"/>
        <v>0.42413808395861174</v>
      </c>
      <c r="M5" s="119">
        <f t="shared" si="1"/>
        <v>0.43168825196234928</v>
      </c>
      <c r="N5" s="109">
        <v>31985435.27</v>
      </c>
      <c r="O5" s="109">
        <v>544304.18000000005</v>
      </c>
      <c r="P5" s="109">
        <v>45551676.5</v>
      </c>
      <c r="Q5" s="109">
        <v>779273.9</v>
      </c>
      <c r="R5" s="123">
        <f t="shared" ref="R5:R68" si="8">P5-N5</f>
        <v>13566241.23</v>
      </c>
      <c r="S5" s="123">
        <f t="shared" ref="S5:S68" si="9">Q5-O5</f>
        <v>234969.71999999997</v>
      </c>
      <c r="T5" s="125" t="e">
        <f t="shared" ref="T5:T68" ca="1" si="10">IF( OR(  Y5="#N/A Field Not Applicable", Y5="#N/A N/A"),0,Y5)</f>
        <v>#NAME?</v>
      </c>
      <c r="U5" s="109">
        <v>777223.1</v>
      </c>
      <c r="V5" s="125" t="e">
        <f ca="1">_xll.BDP($C5,"DVD_EX_DT")</f>
        <v>#NAME?</v>
      </c>
      <c r="W5" s="125" t="e">
        <f ca="1">_xll.BDP($C5,"BDVD_NEXT_EST_DECL_DT")</f>
        <v>#NAME?</v>
      </c>
      <c r="X5" s="795" t="e">
        <f ca="1">_xll.BDP(C5,"BEST_TARGET_PRICE")</f>
        <v>#NAME?</v>
      </c>
      <c r="Y5" s="795" t="e">
        <f ca="1">_xll.BDP($C5,"EQY_DVD_YLD_EST")</f>
        <v>#NAME?</v>
      </c>
      <c r="Z5" s="409" t="e">
        <f ca="1">_xll.BDP(C5,"EQY_REC_CONS")</f>
        <v>#NAME?</v>
      </c>
      <c r="AD5" s="409" t="s">
        <v>1079</v>
      </c>
      <c r="AE5" s="409" t="e">
        <f ca="1">_xll.BDP(AD5,"ID_ISIN")</f>
        <v>#NAME?</v>
      </c>
    </row>
    <row r="6" spans="2:31" s="409" customFormat="1" ht="15" x14ac:dyDescent="0.25">
      <c r="B6" s="116" t="e">
        <f ca="1">_xll.BDP(C6,"NAME")</f>
        <v>#NAME?</v>
      </c>
      <c r="C6" s="109" t="s">
        <v>1075</v>
      </c>
      <c r="D6" s="119">
        <f t="shared" si="4"/>
        <v>2.4011158490816632E-3</v>
      </c>
      <c r="E6" s="109">
        <v>122417</v>
      </c>
      <c r="F6" s="109">
        <v>32.76</v>
      </c>
      <c r="G6" s="381" t="e">
        <f ca="1">_xll.BDP($C6,"PX_LAST")</f>
        <v>#NAME?</v>
      </c>
      <c r="H6" s="181" t="e">
        <f t="shared" ca="1" si="5"/>
        <v>#NAME?</v>
      </c>
      <c r="I6" s="616" t="e">
        <f t="shared" ca="1" si="6"/>
        <v>#NAME?</v>
      </c>
      <c r="J6" s="181" t="e">
        <f t="shared" ca="1" si="7"/>
        <v>#NAME?</v>
      </c>
      <c r="K6" s="122" t="e">
        <f ca="1">_xll.BDP($C6,"CRNCY")</f>
        <v>#NAME?</v>
      </c>
      <c r="L6" s="119">
        <f t="shared" si="0"/>
        <v>0.94277229537283014</v>
      </c>
      <c r="M6" s="119">
        <f t="shared" si="1"/>
        <v>0.95307218466953803</v>
      </c>
      <c r="N6" s="109">
        <v>4010682.09</v>
      </c>
      <c r="O6" s="109">
        <v>68250.78</v>
      </c>
      <c r="P6" s="109">
        <v>7791842.0499999998</v>
      </c>
      <c r="Q6" s="109">
        <v>133298.70000000001</v>
      </c>
      <c r="R6" s="123">
        <f t="shared" si="8"/>
        <v>3781159.96</v>
      </c>
      <c r="S6" s="123">
        <f t="shared" si="9"/>
        <v>65047.920000000013</v>
      </c>
      <c r="T6" s="125" t="e">
        <f t="shared" ca="1" si="10"/>
        <v>#NAME?</v>
      </c>
      <c r="U6" s="109">
        <v>139781.16</v>
      </c>
      <c r="V6" s="125" t="e">
        <f ca="1">_xll.BDP($C6,"DVD_EX_DT")</f>
        <v>#NAME?</v>
      </c>
      <c r="W6" s="125" t="e">
        <f ca="1">_xll.BDP($C6,"BDVD_NEXT_EST_DECL_DT")</f>
        <v>#NAME?</v>
      </c>
      <c r="X6" s="795" t="e">
        <f ca="1">_xll.BDP(C6,"BEST_TARGET_PRICE")</f>
        <v>#NAME?</v>
      </c>
      <c r="Y6" s="795" t="e">
        <f ca="1">_xll.BDP($C6,"EQY_DVD_YLD_EST")</f>
        <v>#NAME?</v>
      </c>
      <c r="Z6" s="409" t="e">
        <f ca="1">_xll.BDP(C6,"EQY_REC_CONS")</f>
        <v>#NAME?</v>
      </c>
      <c r="AD6" s="409" t="s">
        <v>1075</v>
      </c>
      <c r="AE6" s="409" t="e">
        <f ca="1">_xll.BDP(AD6,"ID_ISIN")</f>
        <v>#NAME?</v>
      </c>
    </row>
    <row r="7" spans="2:31" s="409" customFormat="1" ht="15" x14ac:dyDescent="0.25">
      <c r="B7" s="116" t="e">
        <f ca="1">_xll.BDP(C7,"NAME")</f>
        <v>#NAME?</v>
      </c>
      <c r="C7" s="109" t="s">
        <v>1071</v>
      </c>
      <c r="D7" s="119">
        <f t="shared" si="4"/>
        <v>1.7025711179681753E-3</v>
      </c>
      <c r="E7" s="109">
        <v>22100</v>
      </c>
      <c r="F7" s="109">
        <v>340</v>
      </c>
      <c r="G7" s="381" t="e">
        <f ca="1">_xll.BDP($C7,"PX_LAST")</f>
        <v>#NAME?</v>
      </c>
      <c r="H7" s="181" t="e">
        <f t="shared" ca="1" si="5"/>
        <v>#NAME?</v>
      </c>
      <c r="I7" s="616" t="e">
        <f t="shared" ca="1" si="6"/>
        <v>#NAME?</v>
      </c>
      <c r="J7" s="181" t="e">
        <f t="shared" ca="1" si="7"/>
        <v>#NAME?</v>
      </c>
      <c r="K7" s="122" t="e">
        <f ca="1">_xll.BDP($C7,"CRNCY")</f>
        <v>#NAME?</v>
      </c>
      <c r="L7" s="119">
        <f t="shared" si="0"/>
        <v>-0.26470588235294112</v>
      </c>
      <c r="M7" s="119">
        <f t="shared" si="1"/>
        <v>-0.26080762275859981</v>
      </c>
      <c r="N7" s="109">
        <v>7514000</v>
      </c>
      <c r="O7" s="109">
        <v>127867.62</v>
      </c>
      <c r="P7" s="109">
        <v>5525000</v>
      </c>
      <c r="Q7" s="109">
        <v>94518.77</v>
      </c>
      <c r="R7" s="123">
        <f t="shared" si="8"/>
        <v>-1989000</v>
      </c>
      <c r="S7" s="123">
        <f t="shared" si="9"/>
        <v>-33348.849999999991</v>
      </c>
      <c r="T7" s="125" t="e">
        <f t="shared" ca="1" si="10"/>
        <v>#NAME?</v>
      </c>
      <c r="U7" s="109">
        <v>94159.55</v>
      </c>
      <c r="V7" s="125" t="e">
        <f ca="1">_xll.BDP($C7,"DVD_EX_DT")</f>
        <v>#NAME?</v>
      </c>
      <c r="W7" s="125" t="e">
        <f ca="1">_xll.BDP($C7,"BDVD_NEXT_EST_DECL_DT")</f>
        <v>#NAME?</v>
      </c>
      <c r="X7" s="795" t="e">
        <f ca="1">_xll.BDP(C7,"BEST_TARGET_PRICE")</f>
        <v>#NAME?</v>
      </c>
      <c r="Y7" s="795" t="e">
        <f ca="1">_xll.BDP($C7,"EQY_DVD_YLD_EST")</f>
        <v>#NAME?</v>
      </c>
      <c r="Z7" s="409" t="e">
        <f ca="1">_xll.BDP(C7,"EQY_REC_CONS")</f>
        <v>#NAME?</v>
      </c>
      <c r="AD7" s="409" t="s">
        <v>1071</v>
      </c>
      <c r="AE7" s="409" t="e">
        <f ca="1">_xll.BDP(AD7,"ID_ISIN")</f>
        <v>#NAME?</v>
      </c>
    </row>
    <row r="8" spans="2:31" s="409" customFormat="1" ht="15" x14ac:dyDescent="0.25">
      <c r="B8" s="116" t="e">
        <f ca="1">_xll.BDP(C8,"NAME")</f>
        <v>#NAME?</v>
      </c>
      <c r="C8" s="109" t="s">
        <v>169</v>
      </c>
      <c r="D8" s="119">
        <f t="shared" si="4"/>
        <v>2.1926944389623795E-2</v>
      </c>
      <c r="E8" s="109">
        <v>323745</v>
      </c>
      <c r="F8" s="109">
        <v>2.39</v>
      </c>
      <c r="G8" s="381" t="e">
        <f ca="1">_xll.BDP($C8,"PX_LAST")</f>
        <v>#NAME?</v>
      </c>
      <c r="H8" s="181" t="e">
        <f t="shared" ca="1" si="5"/>
        <v>#NAME?</v>
      </c>
      <c r="I8" s="616" t="e">
        <f t="shared" ca="1" si="6"/>
        <v>#NAME?</v>
      </c>
      <c r="J8" s="181" t="e">
        <f t="shared" ca="1" si="7"/>
        <v>#NAME?</v>
      </c>
      <c r="K8" s="122" t="e">
        <f ca="1">_xll.BDP($C8,"CRNCY")</f>
        <v>#NAME?</v>
      </c>
      <c r="L8" s="119">
        <f t="shared" si="0"/>
        <v>1.2264860421751176</v>
      </c>
      <c r="M8" s="119">
        <f t="shared" si="1"/>
        <v>0.57500746338381026</v>
      </c>
      <c r="N8" s="109">
        <v>31956223.75</v>
      </c>
      <c r="O8" s="109">
        <v>772873.29</v>
      </c>
      <c r="P8" s="109">
        <v>71150086.140000001</v>
      </c>
      <c r="Q8" s="109">
        <v>1217281.2</v>
      </c>
      <c r="R8" s="123">
        <f t="shared" si="8"/>
        <v>39193862.390000001</v>
      </c>
      <c r="S8" s="123">
        <f t="shared" si="9"/>
        <v>444407.90999999992</v>
      </c>
      <c r="T8" s="125" t="e">
        <f t="shared" ca="1" si="10"/>
        <v>#NAME?</v>
      </c>
      <c r="U8" s="109">
        <v>1210806.3</v>
      </c>
      <c r="V8" s="125" t="e">
        <f ca="1">_xll.BDP($C8,"DVD_EX_DT")</f>
        <v>#NAME?</v>
      </c>
      <c r="W8" s="125" t="e">
        <f ca="1">_xll.BDP($C8,"BDVD_NEXT_EST_DECL_DT")</f>
        <v>#NAME?</v>
      </c>
      <c r="X8" s="795" t="e">
        <f ca="1">_xll.BDP(C8,"BEST_TARGET_PRICE")</f>
        <v>#NAME?</v>
      </c>
      <c r="Y8" s="795" t="e">
        <f ca="1">_xll.BDP($C8,"EQY_DVD_YLD_EST")</f>
        <v>#NAME?</v>
      </c>
      <c r="Z8" s="409" t="e">
        <f ca="1">_xll.BDP(C8,"EQY_REC_CONS")</f>
        <v>#NAME?</v>
      </c>
      <c r="AD8" s="409" t="s">
        <v>169</v>
      </c>
      <c r="AE8" s="409" t="e">
        <f ca="1">_xll.BDP(AD8,"ID_ISIN")</f>
        <v>#NAME?</v>
      </c>
    </row>
    <row r="9" spans="2:31" s="409" customFormat="1" ht="15" x14ac:dyDescent="0.25">
      <c r="B9" s="116" t="e">
        <f ca="1">_xll.BDP(C9,"NAME")</f>
        <v>#NAME?</v>
      </c>
      <c r="C9" s="109" t="s">
        <v>1065</v>
      </c>
      <c r="D9" s="119">
        <f t="shared" si="4"/>
        <v>1.9934422285560256E-2</v>
      </c>
      <c r="E9" s="109">
        <v>479889</v>
      </c>
      <c r="F9" s="109">
        <v>139.82</v>
      </c>
      <c r="G9" s="381" t="e">
        <f ca="1">_xll.BDP($C9,"PX_LAST")</f>
        <v>#NAME?</v>
      </c>
      <c r="H9" s="181" t="e">
        <f t="shared" ca="1" si="5"/>
        <v>#NAME?</v>
      </c>
      <c r="I9" s="616" t="e">
        <f t="shared" ca="1" si="6"/>
        <v>#NAME?</v>
      </c>
      <c r="J9" s="181" t="e">
        <f t="shared" ca="1" si="7"/>
        <v>#NAME?</v>
      </c>
      <c r="K9" s="122" t="e">
        <f ca="1">_xll.BDP($C9,"CRNCY")</f>
        <v>#NAME?</v>
      </c>
      <c r="L9" s="119">
        <f t="shared" si="0"/>
        <v>-3.5921394673696261E-2</v>
      </c>
      <c r="M9" s="119">
        <f t="shared" si="1"/>
        <v>-3.081025905859891E-2</v>
      </c>
      <c r="N9" s="109">
        <v>67099339.039999999</v>
      </c>
      <c r="O9" s="109">
        <v>1141846.29</v>
      </c>
      <c r="P9" s="109">
        <v>64689037.200000003</v>
      </c>
      <c r="Q9" s="109">
        <v>1106665.71</v>
      </c>
      <c r="R9" s="123">
        <f t="shared" si="8"/>
        <v>-2410301.8399999961</v>
      </c>
      <c r="S9" s="123">
        <f t="shared" si="9"/>
        <v>-35180.580000000075</v>
      </c>
      <c r="T9" s="125" t="e">
        <f t="shared" ca="1" si="10"/>
        <v>#NAME?</v>
      </c>
      <c r="U9" s="109">
        <v>1076370.49</v>
      </c>
      <c r="V9" s="125" t="e">
        <f ca="1">_xll.BDP($C9,"DVD_EX_DT")</f>
        <v>#NAME?</v>
      </c>
      <c r="W9" s="125" t="e">
        <f ca="1">_xll.BDP($C9,"BDVD_NEXT_EST_DECL_DT")</f>
        <v>#NAME?</v>
      </c>
      <c r="X9" s="795" t="e">
        <f ca="1">_xll.BDP(C9,"BEST_TARGET_PRICE")</f>
        <v>#NAME?</v>
      </c>
      <c r="Y9" s="795" t="e">
        <f ca="1">_xll.BDP($C9,"EQY_DVD_YLD_EST")</f>
        <v>#NAME?</v>
      </c>
      <c r="Z9" s="409" t="e">
        <f ca="1">_xll.BDP(C9,"EQY_REC_CONS")</f>
        <v>#NAME?</v>
      </c>
      <c r="AD9" s="409" t="s">
        <v>1065</v>
      </c>
      <c r="AE9" s="409" t="e">
        <f ca="1">_xll.BDP(AD9,"ID_ISIN")</f>
        <v>#NAME?</v>
      </c>
    </row>
    <row r="10" spans="2:31" s="409" customFormat="1" ht="15" x14ac:dyDescent="0.25">
      <c r="B10" s="116" t="e">
        <f ca="1">_xll.BDP(C10,"NAME")</f>
        <v>#NAME?</v>
      </c>
      <c r="C10" s="109" t="s">
        <v>210</v>
      </c>
      <c r="D10" s="119">
        <f t="shared" si="4"/>
        <v>7.8210210792779254E-3</v>
      </c>
      <c r="E10" s="109">
        <v>72244</v>
      </c>
      <c r="F10" s="109">
        <v>7.22</v>
      </c>
      <c r="G10" s="381" t="e">
        <f ca="1">_xll.BDP($C10,"PX_LAST")</f>
        <v>#NAME?</v>
      </c>
      <c r="H10" s="181" t="e">
        <f t="shared" ca="1" si="5"/>
        <v>#NAME?</v>
      </c>
      <c r="I10" s="616" t="e">
        <f t="shared" ca="1" si="6"/>
        <v>#NAME?</v>
      </c>
      <c r="J10" s="181" t="e">
        <f t="shared" ca="1" si="7"/>
        <v>#NAME?</v>
      </c>
      <c r="K10" s="122" t="e">
        <f ca="1">_xll.BDP($C10,"CRNCY")</f>
        <v>#NAME?</v>
      </c>
      <c r="L10" s="119">
        <f t="shared" si="0"/>
        <v>0.17597624173542137</v>
      </c>
      <c r="M10" s="119">
        <f t="shared" si="1"/>
        <v>-0.16811902638070453</v>
      </c>
      <c r="N10" s="109">
        <v>21580535.829999998</v>
      </c>
      <c r="O10" s="109">
        <v>521933.37</v>
      </c>
      <c r="P10" s="109">
        <v>25378197.420000002</v>
      </c>
      <c r="Q10" s="109">
        <v>434186.44</v>
      </c>
      <c r="R10" s="123">
        <f t="shared" si="8"/>
        <v>3797661.5900000036</v>
      </c>
      <c r="S10" s="123">
        <f t="shared" si="9"/>
        <v>-87746.93</v>
      </c>
      <c r="T10" s="125" t="e">
        <f t="shared" ca="1" si="10"/>
        <v>#NAME?</v>
      </c>
      <c r="U10" s="109">
        <v>426239.6</v>
      </c>
      <c r="V10" s="125" t="e">
        <f ca="1">_xll.BDP($C10,"DVD_EX_DT")</f>
        <v>#NAME?</v>
      </c>
      <c r="W10" s="125" t="e">
        <f ca="1">_xll.BDP($C10,"BDVD_NEXT_EST_DECL_DT")</f>
        <v>#NAME?</v>
      </c>
      <c r="X10" s="795" t="e">
        <f ca="1">_xll.BDP(C10,"BEST_TARGET_PRICE")</f>
        <v>#NAME?</v>
      </c>
      <c r="Y10" s="795" t="e">
        <f ca="1">_xll.BDP($C10,"EQY_DVD_YLD_EST")</f>
        <v>#NAME?</v>
      </c>
      <c r="Z10" s="409" t="e">
        <f ca="1">_xll.BDP(C10,"EQY_REC_CONS")</f>
        <v>#NAME?</v>
      </c>
      <c r="AD10" s="409" t="s">
        <v>210</v>
      </c>
      <c r="AE10" s="409" t="e">
        <f ca="1">_xll.BDP(AD10,"ID_ISIN")</f>
        <v>#NAME?</v>
      </c>
    </row>
    <row r="11" spans="2:31" s="409" customFormat="1" ht="15" x14ac:dyDescent="0.25">
      <c r="B11" s="116" t="e">
        <f ca="1">_xll.BDP(C11,"NAME")</f>
        <v>#NAME?</v>
      </c>
      <c r="C11" s="109" t="s">
        <v>1059</v>
      </c>
      <c r="D11" s="119">
        <f t="shared" si="4"/>
        <v>1.1832936071266426E-2</v>
      </c>
      <c r="E11" s="109">
        <v>4113</v>
      </c>
      <c r="F11" s="109">
        <v>8567.9699999999993</v>
      </c>
      <c r="G11" s="381" t="e">
        <f ca="1">_xll.BDP($C11,"PX_LAST")</f>
        <v>#NAME?</v>
      </c>
      <c r="H11" s="181" t="e">
        <f t="shared" ca="1" si="5"/>
        <v>#NAME?</v>
      </c>
      <c r="I11" s="616" t="e">
        <f t="shared" ca="1" si="6"/>
        <v>#NAME?</v>
      </c>
      <c r="J11" s="181" t="e">
        <f t="shared" ca="1" si="7"/>
        <v>#NAME?</v>
      </c>
      <c r="K11" s="122" t="e">
        <f ca="1">_xll.BDP($C11,"CRNCY")</f>
        <v>#NAME?</v>
      </c>
      <c r="L11" s="119">
        <f t="shared" si="0"/>
        <v>8.9639611476182601E-2</v>
      </c>
      <c r="M11" s="119">
        <f t="shared" si="1"/>
        <v>9.5416427362063683E-2</v>
      </c>
      <c r="N11" s="109">
        <v>35240062.490000002</v>
      </c>
      <c r="O11" s="109">
        <v>599688.98</v>
      </c>
      <c r="P11" s="109">
        <v>38398968</v>
      </c>
      <c r="Q11" s="109">
        <v>656909.16</v>
      </c>
      <c r="R11" s="123">
        <f t="shared" si="8"/>
        <v>3158905.5099999979</v>
      </c>
      <c r="S11" s="123">
        <f t="shared" si="9"/>
        <v>57220.180000000051</v>
      </c>
      <c r="T11" s="125" t="e">
        <f t="shared" ca="1" si="10"/>
        <v>#NAME?</v>
      </c>
      <c r="U11" s="109">
        <v>652379.82999999996</v>
      </c>
      <c r="V11" s="125" t="e">
        <f ca="1">_xll.BDP($C11,"DVD_EX_DT")</f>
        <v>#NAME?</v>
      </c>
      <c r="W11" s="125" t="e">
        <f ca="1">_xll.BDP($C11,"BDVD_NEXT_EST_DECL_DT")</f>
        <v>#NAME?</v>
      </c>
      <c r="X11" s="795" t="e">
        <f ca="1">_xll.BDP(C11,"BEST_TARGET_PRICE")</f>
        <v>#NAME?</v>
      </c>
      <c r="Y11" s="795" t="e">
        <f ca="1">_xll.BDP($C11,"EQY_DVD_YLD_EST")</f>
        <v>#NAME?</v>
      </c>
      <c r="Z11" s="409" t="e">
        <f ca="1">_xll.BDP(C11,"EQY_REC_CONS")</f>
        <v>#NAME?</v>
      </c>
      <c r="AD11" s="409" t="s">
        <v>1059</v>
      </c>
      <c r="AE11" s="409" t="e">
        <f ca="1">_xll.BDP(AD11,"ID_ISIN")</f>
        <v>#NAME?</v>
      </c>
    </row>
    <row r="12" spans="2:31" s="409" customFormat="1" ht="15" x14ac:dyDescent="0.25">
      <c r="B12" s="116" t="e">
        <f ca="1">_xll.BDP(C12,"NAME")</f>
        <v>#NAME?</v>
      </c>
      <c r="C12" s="109" t="s">
        <v>194</v>
      </c>
      <c r="D12" s="119">
        <f t="shared" si="4"/>
        <v>0.19426998657082445</v>
      </c>
      <c r="E12" s="109">
        <v>5086969</v>
      </c>
      <c r="F12" s="109">
        <v>42.18</v>
      </c>
      <c r="G12" s="381" t="e">
        <f ca="1">_xll.BDP($C12,"PX_LAST")</f>
        <v>#NAME?</v>
      </c>
      <c r="H12" s="181" t="e">
        <f t="shared" ca="1" si="5"/>
        <v>#NAME?</v>
      </c>
      <c r="I12" s="616" t="e">
        <f t="shared" ca="1" si="6"/>
        <v>#NAME?</v>
      </c>
      <c r="J12" s="181" t="e">
        <f t="shared" ca="1" si="7"/>
        <v>#NAME?</v>
      </c>
      <c r="K12" s="122" t="e">
        <f ca="1">_xll.BDP($C12,"CRNCY")</f>
        <v>#NAME?</v>
      </c>
      <c r="L12" s="119">
        <f t="shared" si="0"/>
        <v>5.2432597696909298</v>
      </c>
      <c r="M12" s="119">
        <f>IF(O12&gt;0,Q12/O12-1,0)</f>
        <v>3.0980041409566752</v>
      </c>
      <c r="N12" s="109">
        <v>100994546</v>
      </c>
      <c r="O12" s="109">
        <v>2631759</v>
      </c>
      <c r="P12" s="109">
        <v>630535186</v>
      </c>
      <c r="Q12" s="109">
        <v>10784959.279999999</v>
      </c>
      <c r="R12" s="123">
        <f t="shared" si="8"/>
        <v>529540640</v>
      </c>
      <c r="S12" s="123">
        <f t="shared" si="9"/>
        <v>8153200.2799999993</v>
      </c>
      <c r="T12" s="125" t="e">
        <f t="shared" ca="1" si="10"/>
        <v>#NAME?</v>
      </c>
      <c r="U12" s="109">
        <v>11229533.67</v>
      </c>
      <c r="V12" s="125" t="e">
        <f ca="1">_xll.BDP($C12,"DVD_EX_DT")</f>
        <v>#NAME?</v>
      </c>
      <c r="W12" s="125" t="e">
        <f ca="1">_xll.BDP($C12,"BDVD_NEXT_EST_DECL_DT")</f>
        <v>#NAME?</v>
      </c>
      <c r="X12" s="795" t="e">
        <f ca="1">_xll.BDP(C12,"BEST_TARGET_PRICE")</f>
        <v>#NAME?</v>
      </c>
      <c r="Y12" s="795" t="e">
        <f ca="1">_xll.BDP($C12,"EQY_DVD_YLD_EST")</f>
        <v>#NAME?</v>
      </c>
      <c r="Z12" s="409" t="e">
        <f ca="1">_xll.BDP(C12,"EQY_REC_CONS")</f>
        <v>#NAME?</v>
      </c>
      <c r="AD12" s="409" t="s">
        <v>194</v>
      </c>
      <c r="AE12" s="409" t="e">
        <f ca="1">_xll.BDP(AD12,"ID_ISIN")</f>
        <v>#NAME?</v>
      </c>
    </row>
    <row r="13" spans="2:31" s="409" customFormat="1" ht="15" x14ac:dyDescent="0.25">
      <c r="B13" s="116" t="e">
        <f ca="1">_xll.BDP(C13,"NAME")</f>
        <v>#NAME?</v>
      </c>
      <c r="C13" s="109" t="s">
        <v>142</v>
      </c>
      <c r="D13" s="119">
        <f t="shared" si="4"/>
        <v>8.6408590091611812E-3</v>
      </c>
      <c r="E13" s="109">
        <v>61500</v>
      </c>
      <c r="F13" s="109">
        <v>2.71</v>
      </c>
      <c r="G13" s="381" t="e">
        <f ca="1">_xll.BDP($C13,"PX_LAST")</f>
        <v>#NAME?</v>
      </c>
      <c r="H13" s="181" t="e">
        <f t="shared" ca="1" si="5"/>
        <v>#NAME?</v>
      </c>
      <c r="I13" s="616" t="e">
        <f t="shared" ca="1" si="6"/>
        <v>#NAME?</v>
      </c>
      <c r="J13" s="181" t="e">
        <f t="shared" ca="1" si="7"/>
        <v>#NAME?</v>
      </c>
      <c r="K13" s="122" t="e">
        <f ca="1">_xll.BDP($C13,"CRNCY")</f>
        <v>#NAME?</v>
      </c>
      <c r="L13" s="119">
        <f t="shared" si="0"/>
        <v>1.976521437957842</v>
      </c>
      <c r="M13" s="119">
        <f t="shared" si="1"/>
        <v>1.8749428622336612</v>
      </c>
      <c r="N13" s="109">
        <v>9419876.7200000007</v>
      </c>
      <c r="O13" s="109">
        <v>166855.49</v>
      </c>
      <c r="P13" s="109">
        <v>28038465</v>
      </c>
      <c r="Q13" s="109">
        <v>479700</v>
      </c>
      <c r="R13" s="123">
        <f t="shared" si="8"/>
        <v>18618588.280000001</v>
      </c>
      <c r="S13" s="123">
        <f t="shared" si="9"/>
        <v>312844.51</v>
      </c>
      <c r="T13" s="125" t="e">
        <f t="shared" ca="1" si="10"/>
        <v>#NAME?</v>
      </c>
      <c r="U13" s="109">
        <v>479700</v>
      </c>
      <c r="V13" s="125" t="e">
        <f ca="1">_xll.BDP($C13,"DVD_EX_DT")</f>
        <v>#NAME?</v>
      </c>
      <c r="W13" s="125" t="e">
        <f ca="1">_xll.BDP($C13,"BDVD_NEXT_EST_DECL_DT")</f>
        <v>#NAME?</v>
      </c>
      <c r="X13" s="795" t="e">
        <f ca="1">_xll.BDP(C13,"BEST_TARGET_PRICE")</f>
        <v>#NAME?</v>
      </c>
      <c r="Y13" s="795" t="e">
        <f ca="1">_xll.BDP($C13,"EQY_DVD_YLD_EST")</f>
        <v>#NAME?</v>
      </c>
      <c r="Z13" s="409" t="e">
        <f ca="1">_xll.BDP(C13,"EQY_REC_CONS")</f>
        <v>#NAME?</v>
      </c>
      <c r="AD13" s="409" t="s">
        <v>142</v>
      </c>
      <c r="AE13" s="409" t="e">
        <f ca="1">_xll.BDP(AD13,"ID_ISIN")</f>
        <v>#NAME?</v>
      </c>
    </row>
    <row r="14" spans="2:31" s="409" customFormat="1" ht="15" x14ac:dyDescent="0.25">
      <c r="B14" s="116" t="e">
        <f ca="1">_xll.BDP(C14,"NAME")</f>
        <v>#NAME?</v>
      </c>
      <c r="C14" s="109" t="s">
        <v>460</v>
      </c>
      <c r="D14" s="119">
        <f t="shared" si="4"/>
        <v>1.5466666945460618E-2</v>
      </c>
      <c r="E14" s="109">
        <v>233961</v>
      </c>
      <c r="F14" s="109">
        <v>3.53</v>
      </c>
      <c r="G14" s="381" t="e">
        <f ca="1">_xll.BDP($C14,"PX_LAST")</f>
        <v>#NAME?</v>
      </c>
      <c r="H14" s="181" t="e">
        <f t="shared" ca="1" si="5"/>
        <v>#NAME?</v>
      </c>
      <c r="I14" s="616" t="e">
        <f t="shared" ca="1" si="6"/>
        <v>#NAME?</v>
      </c>
      <c r="J14" s="181" t="e">
        <f t="shared" ca="1" si="7"/>
        <v>#NAME?</v>
      </c>
      <c r="K14" s="122" t="e">
        <f ca="1">_xll.BDP($C14,"CRNCY")</f>
        <v>#NAME?</v>
      </c>
      <c r="L14" s="119">
        <f t="shared" si="0"/>
        <v>-5.9075962150799466E-2</v>
      </c>
      <c r="M14" s="119">
        <f t="shared" si="1"/>
        <v>3.8297204274461594E-2</v>
      </c>
      <c r="N14" s="109">
        <v>53338338.729999997</v>
      </c>
      <c r="O14" s="109">
        <v>826966.37</v>
      </c>
      <c r="P14" s="109">
        <v>50187325.049999997</v>
      </c>
      <c r="Q14" s="109">
        <v>858636.87</v>
      </c>
      <c r="R14" s="123">
        <f t="shared" si="8"/>
        <v>-3151013.6799999997</v>
      </c>
      <c r="S14" s="123">
        <f t="shared" si="9"/>
        <v>31670.5</v>
      </c>
      <c r="T14" s="125" t="e">
        <f t="shared" ca="1" si="10"/>
        <v>#NAME?</v>
      </c>
      <c r="U14" s="109">
        <v>842259.6</v>
      </c>
      <c r="V14" s="125" t="e">
        <f ca="1">_xll.BDP($C14,"DVD_EX_DT")</f>
        <v>#NAME?</v>
      </c>
      <c r="W14" s="125" t="e">
        <f ca="1">_xll.BDP($C14,"BDVD_NEXT_EST_DECL_DT")</f>
        <v>#NAME?</v>
      </c>
      <c r="X14" s="795" t="e">
        <f ca="1">_xll.BDP(C14,"BEST_TARGET_PRICE")</f>
        <v>#NAME?</v>
      </c>
      <c r="Y14" s="795" t="e">
        <f ca="1">_xll.BDP($C14,"EQY_DVD_YLD_EST")</f>
        <v>#NAME?</v>
      </c>
      <c r="Z14" s="409" t="e">
        <f ca="1">_xll.BDP(C14,"EQY_REC_CONS")</f>
        <v>#NAME?</v>
      </c>
      <c r="AD14" s="409" t="s">
        <v>460</v>
      </c>
      <c r="AE14" s="409" t="e">
        <f ca="1">_xll.BDP(AD14,"ID_ISIN")</f>
        <v>#NAME?</v>
      </c>
    </row>
    <row r="15" spans="2:31" s="409" customFormat="1" ht="15" x14ac:dyDescent="0.25">
      <c r="B15" s="116" t="e">
        <f ca="1">_xll.BDP(C15,"NAME")</f>
        <v>#NAME?</v>
      </c>
      <c r="C15" s="109" t="s">
        <v>1047</v>
      </c>
      <c r="D15" s="119">
        <f t="shared" si="4"/>
        <v>7.2624501582413585E-3</v>
      </c>
      <c r="E15" s="109">
        <v>408800</v>
      </c>
      <c r="F15" s="109">
        <v>29.73</v>
      </c>
      <c r="G15" s="381" t="e">
        <f ca="1">_xll.BDP($C15,"PX_LAST")</f>
        <v>#NAME?</v>
      </c>
      <c r="H15" s="181" t="e">
        <f t="shared" ca="1" si="5"/>
        <v>#NAME?</v>
      </c>
      <c r="I15" s="616" t="e">
        <f t="shared" ca="1" si="6"/>
        <v>#NAME?</v>
      </c>
      <c r="J15" s="181" t="e">
        <f t="shared" ca="1" si="7"/>
        <v>#NAME?</v>
      </c>
      <c r="K15" s="122" t="e">
        <f ca="1">_xll.BDP($C15,"CRNCY")</f>
        <v>#NAME?</v>
      </c>
      <c r="L15" s="119">
        <f t="shared" si="0"/>
        <v>0.93926619683548451</v>
      </c>
      <c r="M15" s="119">
        <f t="shared" si="1"/>
        <v>0.94954738639980341</v>
      </c>
      <c r="N15" s="109">
        <v>12152699.84</v>
      </c>
      <c r="O15" s="109">
        <v>206805.54</v>
      </c>
      <c r="P15" s="109">
        <v>23567320</v>
      </c>
      <c r="Q15" s="109">
        <v>403177.2</v>
      </c>
      <c r="R15" s="123">
        <f t="shared" si="8"/>
        <v>11414620.16</v>
      </c>
      <c r="S15" s="123">
        <f t="shared" si="9"/>
        <v>196371.66</v>
      </c>
      <c r="T15" s="125" t="e">
        <f t="shared" ca="1" si="10"/>
        <v>#NAME?</v>
      </c>
      <c r="U15" s="109">
        <v>397116.42</v>
      </c>
      <c r="V15" s="125" t="e">
        <f ca="1">_xll.BDP($C15,"DVD_EX_DT")</f>
        <v>#NAME?</v>
      </c>
      <c r="W15" s="125" t="e">
        <f ca="1">_xll.BDP($C15,"BDVD_NEXT_EST_DECL_DT")</f>
        <v>#NAME?</v>
      </c>
      <c r="X15" s="795" t="e">
        <f ca="1">_xll.BDP(C15,"BEST_TARGET_PRICE")</f>
        <v>#NAME?</v>
      </c>
      <c r="Y15" s="795" t="e">
        <f ca="1">_xll.BDP($C15,"EQY_DVD_YLD_EST")</f>
        <v>#NAME?</v>
      </c>
      <c r="Z15" s="409" t="e">
        <f ca="1">_xll.BDP(C15,"EQY_REC_CONS")</f>
        <v>#NAME?</v>
      </c>
      <c r="AD15" s="409" t="s">
        <v>1047</v>
      </c>
      <c r="AE15" s="409" t="e">
        <f ca="1">_xll.BDP(AD15,"ID_ISIN")</f>
        <v>#NAME?</v>
      </c>
    </row>
    <row r="16" spans="2:31" s="409" customFormat="1" ht="15" x14ac:dyDescent="0.25">
      <c r="B16" s="116" t="e">
        <f ca="1">_xll.BDP(C16,"NAME")</f>
        <v>#NAME?</v>
      </c>
      <c r="C16" s="109" t="s">
        <v>331</v>
      </c>
      <c r="D16" s="119">
        <f t="shared" si="4"/>
        <v>1.5002437020356531E-2</v>
      </c>
      <c r="E16" s="109">
        <v>79700</v>
      </c>
      <c r="F16" s="109">
        <v>9.6300000000000008</v>
      </c>
      <c r="G16" s="381" t="e">
        <f ca="1">_xll.BDP($C16,"PX_LAST")</f>
        <v>#NAME?</v>
      </c>
      <c r="H16" s="181" t="e">
        <f t="shared" ca="1" si="5"/>
        <v>#NAME?</v>
      </c>
      <c r="I16" s="616" t="e">
        <f t="shared" ca="1" si="6"/>
        <v>#NAME?</v>
      </c>
      <c r="J16" s="181" t="e">
        <f t="shared" ca="1" si="7"/>
        <v>#NAME?</v>
      </c>
      <c r="K16" s="122" t="e">
        <f ca="1">_xll.BDP($C16,"CRNCY")</f>
        <v>#NAME?</v>
      </c>
      <c r="L16" s="119">
        <f t="shared" si="0"/>
        <v>0.24129419135357622</v>
      </c>
      <c r="M16" s="119">
        <f t="shared" si="1"/>
        <v>8.4863521065029923E-2</v>
      </c>
      <c r="N16" s="109">
        <v>39217906.270000003</v>
      </c>
      <c r="O16" s="109">
        <v>767714.08</v>
      </c>
      <c r="P16" s="109">
        <v>48680959.25</v>
      </c>
      <c r="Q16" s="109">
        <v>832865</v>
      </c>
      <c r="R16" s="123">
        <f t="shared" si="8"/>
        <v>9463052.9799999967</v>
      </c>
      <c r="S16" s="123">
        <f t="shared" si="9"/>
        <v>65150.920000000042</v>
      </c>
      <c r="T16" s="125" t="e">
        <f t="shared" ca="1" si="10"/>
        <v>#NAME?</v>
      </c>
      <c r="U16" s="109">
        <v>832865</v>
      </c>
      <c r="V16" s="125" t="e">
        <f ca="1">_xll.BDP($C16,"DVD_EX_DT")</f>
        <v>#NAME?</v>
      </c>
      <c r="W16" s="125" t="e">
        <f ca="1">_xll.BDP($C16,"BDVD_NEXT_EST_DECL_DT")</f>
        <v>#NAME?</v>
      </c>
      <c r="X16" s="795" t="e">
        <f ca="1">_xll.BDP(C16,"BEST_TARGET_PRICE")</f>
        <v>#NAME?</v>
      </c>
      <c r="Y16" s="795" t="e">
        <f ca="1">_xll.BDP($C16,"EQY_DVD_YLD_EST")</f>
        <v>#NAME?</v>
      </c>
      <c r="Z16" s="409" t="e">
        <f ca="1">_xll.BDP(C16,"EQY_REC_CONS")</f>
        <v>#NAME?</v>
      </c>
      <c r="AD16" s="409" t="s">
        <v>331</v>
      </c>
      <c r="AE16" s="409" t="e">
        <f ca="1">_xll.BDP(AD16,"ID_ISIN")</f>
        <v>#NAME?</v>
      </c>
    </row>
    <row r="17" spans="2:31" s="409" customFormat="1" ht="15" x14ac:dyDescent="0.25">
      <c r="B17" s="116" t="e">
        <f ca="1">_xll.BDP(C17,"NAME")</f>
        <v>#NAME?</v>
      </c>
      <c r="C17" s="109" t="s">
        <v>1041</v>
      </c>
      <c r="D17" s="119">
        <f t="shared" si="4"/>
        <v>5.595907495496974E-2</v>
      </c>
      <c r="E17" s="109">
        <v>58863</v>
      </c>
      <c r="F17" s="109">
        <v>2163.83</v>
      </c>
      <c r="G17" s="381" t="e">
        <f ca="1">_xll.BDP($C17,"PX_LAST")</f>
        <v>#NAME?</v>
      </c>
      <c r="H17" s="181" t="e">
        <f t="shared" ca="1" si="5"/>
        <v>#NAME?</v>
      </c>
      <c r="I17" s="616" t="e">
        <f t="shared" ca="1" si="6"/>
        <v>#NAME?</v>
      </c>
      <c r="J17" s="181" t="e">
        <f t="shared" ca="1" si="7"/>
        <v>#NAME?</v>
      </c>
      <c r="K17" s="122" t="e">
        <f ca="1">_xll.BDP($C17,"CRNCY")</f>
        <v>#NAME?</v>
      </c>
      <c r="L17" s="119">
        <f t="shared" si="0"/>
        <v>0.4257123219733161</v>
      </c>
      <c r="M17" s="119">
        <f t="shared" si="1"/>
        <v>0.43327084755299694</v>
      </c>
      <c r="N17" s="109">
        <v>127369562.70999999</v>
      </c>
      <c r="O17" s="109">
        <v>2167479.7999999998</v>
      </c>
      <c r="P17" s="109">
        <v>181592355</v>
      </c>
      <c r="Q17" s="109">
        <v>3106585.61</v>
      </c>
      <c r="R17" s="123">
        <f t="shared" si="8"/>
        <v>54222792.290000007</v>
      </c>
      <c r="S17" s="123">
        <f t="shared" si="9"/>
        <v>939105.81</v>
      </c>
      <c r="T17" s="125" t="e">
        <f t="shared" ca="1" si="10"/>
        <v>#NAME?</v>
      </c>
      <c r="U17" s="109">
        <v>3120359.96</v>
      </c>
      <c r="V17" s="125" t="e">
        <f ca="1">_xll.BDP($C17,"DVD_EX_DT")</f>
        <v>#NAME?</v>
      </c>
      <c r="W17" s="125" t="e">
        <f ca="1">_xll.BDP($C17,"BDVD_NEXT_EST_DECL_DT")</f>
        <v>#NAME?</v>
      </c>
      <c r="X17" s="795" t="e">
        <f ca="1">_xll.BDP(C17,"BEST_TARGET_PRICE")</f>
        <v>#NAME?</v>
      </c>
      <c r="Y17" s="795" t="e">
        <f ca="1">_xll.BDP($C17,"EQY_DVD_YLD_EST")</f>
        <v>#NAME?</v>
      </c>
      <c r="Z17" s="409" t="e">
        <f ca="1">_xll.BDP(C17,"EQY_REC_CONS")</f>
        <v>#NAME?</v>
      </c>
      <c r="AD17" s="409" t="s">
        <v>1041</v>
      </c>
      <c r="AE17" s="409" t="e">
        <f ca="1">_xll.BDP(AD17,"ID_ISIN")</f>
        <v>#NAME?</v>
      </c>
    </row>
    <row r="18" spans="2:31" s="409" customFormat="1" ht="15" x14ac:dyDescent="0.25">
      <c r="B18" s="116" t="e">
        <f ca="1">_xll.BDP(C18,"NAME")</f>
        <v>#NAME?</v>
      </c>
      <c r="C18" s="109" t="s">
        <v>1037</v>
      </c>
      <c r="D18" s="119">
        <f t="shared" si="4"/>
        <v>1.45183088019169E-2</v>
      </c>
      <c r="E18" s="109">
        <v>49750</v>
      </c>
      <c r="F18" s="109">
        <v>605.95000000000005</v>
      </c>
      <c r="G18" s="381" t="e">
        <f ca="1">_xll.BDP($C18,"PX_LAST")</f>
        <v>#NAME?</v>
      </c>
      <c r="H18" s="181" t="e">
        <f t="shared" ca="1" si="5"/>
        <v>#NAME?</v>
      </c>
      <c r="I18" s="616" t="e">
        <f t="shared" ca="1" si="6"/>
        <v>#NAME?</v>
      </c>
      <c r="J18" s="181" t="e">
        <f t="shared" ca="1" si="7"/>
        <v>#NAME?</v>
      </c>
      <c r="K18" s="122" t="e">
        <f ca="1">_xll.BDP($C18,"CRNCY")</f>
        <v>#NAME?</v>
      </c>
      <c r="L18" s="119">
        <f t="shared" si="0"/>
        <v>0.5628252964508329</v>
      </c>
      <c r="M18" s="119">
        <f t="shared" si="1"/>
        <v>0.57111074693915076</v>
      </c>
      <c r="N18" s="109">
        <v>30146203.870000001</v>
      </c>
      <c r="O18" s="109">
        <v>513005.51</v>
      </c>
      <c r="P18" s="109">
        <v>47113250</v>
      </c>
      <c r="Q18" s="109">
        <v>805988.47</v>
      </c>
      <c r="R18" s="123">
        <f t="shared" si="8"/>
        <v>16967046.129999999</v>
      </c>
      <c r="S18" s="123">
        <f t="shared" si="9"/>
        <v>292982.95999999996</v>
      </c>
      <c r="T18" s="125" t="e">
        <f t="shared" ca="1" si="10"/>
        <v>#NAME?</v>
      </c>
      <c r="U18" s="109">
        <v>810132.16</v>
      </c>
      <c r="V18" s="125" t="e">
        <f ca="1">_xll.BDP($C18,"DVD_EX_DT")</f>
        <v>#NAME?</v>
      </c>
      <c r="W18" s="125" t="e">
        <f ca="1">_xll.BDP($C18,"BDVD_NEXT_EST_DECL_DT")</f>
        <v>#NAME?</v>
      </c>
      <c r="X18" s="795" t="e">
        <f ca="1">_xll.BDP(C18,"BEST_TARGET_PRICE")</f>
        <v>#NAME?</v>
      </c>
      <c r="Y18" s="795" t="e">
        <f ca="1">_xll.BDP($C18,"EQY_DVD_YLD_EST")</f>
        <v>#NAME?</v>
      </c>
      <c r="Z18" s="409" t="e">
        <f ca="1">_xll.BDP(C18,"EQY_REC_CONS")</f>
        <v>#NAME?</v>
      </c>
      <c r="AD18" s="409" t="s">
        <v>1037</v>
      </c>
      <c r="AE18" s="409" t="e">
        <f ca="1">_xll.BDP(AD18,"ID_ISIN")</f>
        <v>#NAME?</v>
      </c>
    </row>
    <row r="19" spans="2:31" s="409" customFormat="1" ht="15" x14ac:dyDescent="0.25">
      <c r="B19" s="116" t="e">
        <f ca="1">_xll.BDP(C19,"NAME")</f>
        <v>#NAME?</v>
      </c>
      <c r="C19" s="109" t="s">
        <v>745</v>
      </c>
      <c r="D19" s="119">
        <f t="shared" si="4"/>
        <v>2.7116842093790378E-3</v>
      </c>
      <c r="E19" s="109">
        <v>2600</v>
      </c>
      <c r="F19" s="109">
        <v>51.48</v>
      </c>
      <c r="G19" s="381" t="e">
        <f ca="1">_xll.BDP($C19,"PX_LAST")</f>
        <v>#NAME?</v>
      </c>
      <c r="H19" s="181" t="e">
        <f t="shared" ca="1" si="5"/>
        <v>#NAME?</v>
      </c>
      <c r="I19" s="616" t="e">
        <f t="shared" ca="1" si="6"/>
        <v>#NAME?</v>
      </c>
      <c r="J19" s="181" t="e">
        <f t="shared" ca="1" si="7"/>
        <v>#NAME?</v>
      </c>
      <c r="K19" s="122" t="e">
        <f ca="1">_xll.BDP($C19,"CRNCY")</f>
        <v>#NAME?</v>
      </c>
      <c r="L19" s="119">
        <f t="shared" si="0"/>
        <v>3.2457400430933259E-2</v>
      </c>
      <c r="M19" s="119">
        <f t="shared" si="1"/>
        <v>0.12480627464669913</v>
      </c>
      <c r="N19" s="109">
        <v>8522446.5399999991</v>
      </c>
      <c r="O19" s="109">
        <v>133836.38</v>
      </c>
      <c r="P19" s="109">
        <v>8799063</v>
      </c>
      <c r="Q19" s="109">
        <v>150540</v>
      </c>
      <c r="R19" s="123">
        <f t="shared" si="8"/>
        <v>276616.46000000089</v>
      </c>
      <c r="S19" s="123">
        <f t="shared" si="9"/>
        <v>16703.619999999995</v>
      </c>
      <c r="T19" s="125" t="e">
        <f t="shared" ca="1" si="10"/>
        <v>#NAME?</v>
      </c>
      <c r="U19" s="109">
        <v>154700</v>
      </c>
      <c r="V19" s="125" t="e">
        <f ca="1">_xll.BDP($C19,"DVD_EX_DT")</f>
        <v>#NAME?</v>
      </c>
      <c r="W19" s="125" t="e">
        <f ca="1">_xll.BDP($C19,"BDVD_NEXT_EST_DECL_DT")</f>
        <v>#NAME?</v>
      </c>
      <c r="X19" s="795" t="e">
        <f ca="1">_xll.BDP(C19,"BEST_TARGET_PRICE")</f>
        <v>#NAME?</v>
      </c>
      <c r="Y19" s="795" t="e">
        <f ca="1">_xll.BDP($C19,"EQY_DVD_YLD_EST")</f>
        <v>#NAME?</v>
      </c>
      <c r="Z19" s="409" t="e">
        <f ca="1">_xll.BDP(C19,"EQY_REC_CONS")</f>
        <v>#NAME?</v>
      </c>
      <c r="AD19" s="409" t="s">
        <v>745</v>
      </c>
      <c r="AE19" s="409" t="e">
        <f ca="1">_xll.BDP(AD19,"ID_ISIN")</f>
        <v>#NAME?</v>
      </c>
    </row>
    <row r="20" spans="2:31" s="409" customFormat="1" ht="15" x14ac:dyDescent="0.25">
      <c r="B20" s="116" t="e">
        <f ca="1">_xll.BDP(C20,"NAME")</f>
        <v>#NAME?</v>
      </c>
      <c r="C20" s="109" t="s">
        <v>1031</v>
      </c>
      <c r="D20" s="119">
        <f t="shared" si="4"/>
        <v>2.6881264573133192E-2</v>
      </c>
      <c r="E20" s="109">
        <v>132190</v>
      </c>
      <c r="F20" s="109">
        <v>691.07</v>
      </c>
      <c r="G20" s="381" t="e">
        <f ca="1">_xll.BDP($C20,"PX_LAST")</f>
        <v>#NAME?</v>
      </c>
      <c r="H20" s="181" t="e">
        <f t="shared" ca="1" si="5"/>
        <v>#NAME?</v>
      </c>
      <c r="I20" s="616" t="e">
        <f t="shared" ca="1" si="6"/>
        <v>#NAME?</v>
      </c>
      <c r="J20" s="181" t="e">
        <f t="shared" ca="1" si="7"/>
        <v>#NAME?</v>
      </c>
      <c r="K20" s="122" t="e">
        <f ca="1">_xll.BDP($C20,"CRNCY")</f>
        <v>#NAME?</v>
      </c>
      <c r="L20" s="119">
        <f t="shared" si="0"/>
        <v>-4.5099342432012413E-2</v>
      </c>
      <c r="M20" s="119">
        <f t="shared" si="1"/>
        <v>-4.0036869043505674E-2</v>
      </c>
      <c r="N20" s="109">
        <v>91352100.670000002</v>
      </c>
      <c r="O20" s="109">
        <v>1554561.62</v>
      </c>
      <c r="P20" s="109">
        <v>87232181</v>
      </c>
      <c r="Q20" s="109">
        <v>1492321.84</v>
      </c>
      <c r="R20" s="123">
        <f t="shared" si="8"/>
        <v>-4119919.6700000018</v>
      </c>
      <c r="S20" s="123">
        <f t="shared" si="9"/>
        <v>-62239.780000000028</v>
      </c>
      <c r="T20" s="125" t="e">
        <f t="shared" ca="1" si="10"/>
        <v>#NAME?</v>
      </c>
      <c r="U20" s="109">
        <v>1490480.15</v>
      </c>
      <c r="V20" s="125" t="e">
        <f ca="1">_xll.BDP($C20,"DVD_EX_DT")</f>
        <v>#NAME?</v>
      </c>
      <c r="W20" s="125" t="e">
        <f ca="1">_xll.BDP($C20,"BDVD_NEXT_EST_DECL_DT")</f>
        <v>#NAME?</v>
      </c>
      <c r="X20" s="795" t="e">
        <f ca="1">_xll.BDP(C20,"BEST_TARGET_PRICE")</f>
        <v>#NAME?</v>
      </c>
      <c r="Y20" s="795" t="e">
        <f ca="1">_xll.BDP($C20,"EQY_DVD_YLD_EST")</f>
        <v>#NAME?</v>
      </c>
      <c r="Z20" s="409" t="e">
        <f ca="1">_xll.BDP(C20,"EQY_REC_CONS")</f>
        <v>#NAME?</v>
      </c>
      <c r="AD20" s="409" t="s">
        <v>1031</v>
      </c>
      <c r="AE20" s="409" t="e">
        <f ca="1">_xll.BDP(AD20,"ID_ISIN")</f>
        <v>#NAME?</v>
      </c>
    </row>
    <row r="21" spans="2:31" s="409" customFormat="1" ht="15" x14ac:dyDescent="0.25">
      <c r="B21" s="116" t="e">
        <f ca="1">_xll.BDP(C21,"NAME")</f>
        <v>#NAME?</v>
      </c>
      <c r="C21" s="109" t="s">
        <v>1027</v>
      </c>
      <c r="D21" s="119">
        <f t="shared" si="4"/>
        <v>2.0038614977572144E-3</v>
      </c>
      <c r="E21" s="109">
        <v>11710</v>
      </c>
      <c r="F21" s="109">
        <v>9.08</v>
      </c>
      <c r="G21" s="381" t="e">
        <f ca="1">_xll.BDP($C21,"PX_LAST")</f>
        <v>#NAME?</v>
      </c>
      <c r="H21" s="181" t="e">
        <f t="shared" ca="1" si="5"/>
        <v>#NAME?</v>
      </c>
      <c r="I21" s="616" t="e">
        <f t="shared" ca="1" si="6"/>
        <v>#NAME?</v>
      </c>
      <c r="J21" s="181" t="e">
        <f t="shared" ca="1" si="7"/>
        <v>#NAME?</v>
      </c>
      <c r="K21" s="122" t="e">
        <f ca="1">_xll.BDP($C21,"CRNCY")</f>
        <v>#NAME?</v>
      </c>
      <c r="L21" s="119">
        <f t="shared" si="0"/>
        <v>6.6882168454500013E-2</v>
      </c>
      <c r="M21" s="119">
        <f t="shared" si="1"/>
        <v>4.6119535507692211E-2</v>
      </c>
      <c r="N21" s="109">
        <v>6094647.04</v>
      </c>
      <c r="O21" s="109">
        <v>106340.62</v>
      </c>
      <c r="P21" s="109">
        <v>6502270.25</v>
      </c>
      <c r="Q21" s="109">
        <v>111245</v>
      </c>
      <c r="R21" s="123">
        <f t="shared" si="8"/>
        <v>407623.20999999996</v>
      </c>
      <c r="S21" s="123">
        <f t="shared" si="9"/>
        <v>4904.3800000000047</v>
      </c>
      <c r="T21" s="125" t="e">
        <f t="shared" ca="1" si="10"/>
        <v>#NAME?</v>
      </c>
      <c r="U21" s="109">
        <v>52772.5</v>
      </c>
      <c r="V21" s="125" t="e">
        <f ca="1">_xll.BDP($C21,"DVD_EX_DT")</f>
        <v>#NAME?</v>
      </c>
      <c r="W21" s="125" t="e">
        <f ca="1">_xll.BDP($C21,"BDVD_NEXT_EST_DECL_DT")</f>
        <v>#NAME?</v>
      </c>
      <c r="X21" s="795" t="e">
        <f ca="1">_xll.BDP(C21,"BEST_TARGET_PRICE")</f>
        <v>#NAME?</v>
      </c>
      <c r="Y21" s="795" t="e">
        <f ca="1">_xll.BDP($C21,"EQY_DVD_YLD_EST")</f>
        <v>#NAME?</v>
      </c>
      <c r="Z21" s="409" t="e">
        <f ca="1">_xll.BDP(C21,"EQY_REC_CONS")</f>
        <v>#NAME?</v>
      </c>
      <c r="AD21" s="409" t="s">
        <v>1027</v>
      </c>
      <c r="AE21" s="409" t="e">
        <f ca="1">_xll.BDP(AD21,"ID_ISIN")</f>
        <v>#NAME?</v>
      </c>
    </row>
    <row r="22" spans="2:31" s="409" customFormat="1" ht="15" x14ac:dyDescent="0.25">
      <c r="B22" s="116" t="e">
        <f ca="1">_xll.BDP(C22,"NAME")</f>
        <v>#NAME?</v>
      </c>
      <c r="C22" s="109" t="s">
        <v>1023</v>
      </c>
      <c r="D22" s="119">
        <f t="shared" si="4"/>
        <v>1.8560031965464603E-4</v>
      </c>
      <c r="E22" s="109">
        <v>11300000</v>
      </c>
      <c r="F22" s="109">
        <v>0.02</v>
      </c>
      <c r="G22" s="381" t="e">
        <f ca="1">_xll.BDP($C22,"PX_LAST")</f>
        <v>#NAME?</v>
      </c>
      <c r="H22" s="181" t="e">
        <f t="shared" ca="1" si="5"/>
        <v>#NAME?</v>
      </c>
      <c r="I22" s="616" t="e">
        <f t="shared" ca="1" si="6"/>
        <v>#NAME?</v>
      </c>
      <c r="J22" s="181" t="e">
        <f t="shared" ca="1" si="7"/>
        <v>#NAME?</v>
      </c>
      <c r="K22" s="122" t="e">
        <f ca="1">_xll.BDP($C22,"CRNCY")</f>
        <v>#NAME?</v>
      </c>
      <c r="L22" s="119">
        <f t="shared" si="0"/>
        <v>1.1916117623569309</v>
      </c>
      <c r="M22" s="119">
        <f t="shared" si="1"/>
        <v>1.2032326835036491</v>
      </c>
      <c r="N22" s="109">
        <v>274816.01</v>
      </c>
      <c r="O22" s="109">
        <v>4676.6099999999997</v>
      </c>
      <c r="P22" s="109">
        <v>602290</v>
      </c>
      <c r="Q22" s="109">
        <v>10303.66</v>
      </c>
      <c r="R22" s="123">
        <f t="shared" si="8"/>
        <v>327473.99</v>
      </c>
      <c r="S22" s="123">
        <f t="shared" si="9"/>
        <v>5627.05</v>
      </c>
      <c r="T22" s="125" t="e">
        <f t="shared" ca="1" si="10"/>
        <v>#NAME?</v>
      </c>
      <c r="U22" s="109">
        <v>10399.299999999999</v>
      </c>
      <c r="V22" s="125" t="e">
        <f ca="1">_xll.BDP($C22,"DVD_EX_DT")</f>
        <v>#NAME?</v>
      </c>
      <c r="W22" s="125" t="e">
        <f ca="1">_xll.BDP($C22,"BDVD_NEXT_EST_DECL_DT")</f>
        <v>#NAME?</v>
      </c>
      <c r="X22" s="795" t="e">
        <f ca="1">_xll.BDP(C22,"BEST_TARGET_PRICE")</f>
        <v>#NAME?</v>
      </c>
      <c r="Y22" s="795" t="e">
        <f ca="1">_xll.BDP($C22,"EQY_DVD_YLD_EST")</f>
        <v>#NAME?</v>
      </c>
      <c r="Z22" s="409" t="e">
        <f ca="1">_xll.BDP(C22,"EQY_REC_CONS")</f>
        <v>#NAME?</v>
      </c>
      <c r="AD22" s="409" t="s">
        <v>1023</v>
      </c>
      <c r="AE22" s="409" t="e">
        <f ca="1">_xll.BDP(AD22,"ID_ISIN")</f>
        <v>#NAME?</v>
      </c>
    </row>
    <row r="23" spans="2:31" s="409" customFormat="1" ht="15" x14ac:dyDescent="0.25">
      <c r="B23" s="116" t="e">
        <f ca="1">_xll.BDP(C23,"NAME")</f>
        <v>#NAME?</v>
      </c>
      <c r="C23" s="109" t="s">
        <v>1020</v>
      </c>
      <c r="D23" s="119">
        <f t="shared" si="4"/>
        <v>2.8841737142105087E-2</v>
      </c>
      <c r="E23" s="109">
        <v>340900</v>
      </c>
      <c r="F23" s="109">
        <v>223.86</v>
      </c>
      <c r="G23" s="381" t="e">
        <f ca="1">_xll.BDP($C23,"PX_LAST")</f>
        <v>#NAME?</v>
      </c>
      <c r="H23" s="181" t="e">
        <f t="shared" ca="1" si="5"/>
        <v>#NAME?</v>
      </c>
      <c r="I23" s="616" t="e">
        <f t="shared" ca="1" si="6"/>
        <v>#NAME?</v>
      </c>
      <c r="J23" s="181" t="e">
        <f t="shared" ca="1" si="7"/>
        <v>#NAME?</v>
      </c>
      <c r="K23" s="122" t="e">
        <f ca="1">_xll.BDP($C23,"CRNCY")</f>
        <v>#NAME?</v>
      </c>
      <c r="L23" s="119">
        <f t="shared" si="0"/>
        <v>0.22645678675979974</v>
      </c>
      <c r="M23" s="119">
        <f t="shared" si="1"/>
        <v>0.23295894405683537</v>
      </c>
      <c r="N23" s="109">
        <v>76312590.879999995</v>
      </c>
      <c r="O23" s="109">
        <v>1298630.5</v>
      </c>
      <c r="P23" s="109">
        <v>93594095</v>
      </c>
      <c r="Q23" s="109">
        <v>1601158.09</v>
      </c>
      <c r="R23" s="123">
        <f t="shared" si="8"/>
        <v>17281504.120000005</v>
      </c>
      <c r="S23" s="123">
        <f t="shared" si="9"/>
        <v>302527.59000000008</v>
      </c>
      <c r="T23" s="125" t="e">
        <f t="shared" ca="1" si="10"/>
        <v>#NAME?</v>
      </c>
      <c r="U23" s="109">
        <v>1598268.32</v>
      </c>
      <c r="V23" s="125" t="e">
        <f ca="1">_xll.BDP($C23,"DVD_EX_DT")</f>
        <v>#NAME?</v>
      </c>
      <c r="W23" s="125" t="e">
        <f ca="1">_xll.BDP($C23,"BDVD_NEXT_EST_DECL_DT")</f>
        <v>#NAME?</v>
      </c>
      <c r="X23" s="795" t="e">
        <f ca="1">_xll.BDP(C23,"BEST_TARGET_PRICE")</f>
        <v>#NAME?</v>
      </c>
      <c r="Y23" s="795" t="e">
        <f ca="1">_xll.BDP($C23,"EQY_DVD_YLD_EST")</f>
        <v>#NAME?</v>
      </c>
      <c r="Z23" s="409" t="e">
        <f ca="1">_xll.BDP(C23,"EQY_REC_CONS")</f>
        <v>#NAME?</v>
      </c>
      <c r="AD23" s="409" t="s">
        <v>1020</v>
      </c>
      <c r="AE23" s="409" t="e">
        <f ca="1">_xll.BDP(AD23,"ID_ISIN")</f>
        <v>#NAME?</v>
      </c>
    </row>
    <row r="24" spans="2:31" s="409" customFormat="1" ht="15" x14ac:dyDescent="0.25">
      <c r="B24" s="116" t="e">
        <f ca="1">_xll.BDP(C24,"NAME")</f>
        <v>#NAME?</v>
      </c>
      <c r="C24" s="109" t="s">
        <v>1016</v>
      </c>
      <c r="D24" s="119">
        <f t="shared" si="4"/>
        <v>4.0297971029016194E-2</v>
      </c>
      <c r="E24" s="109">
        <v>343230</v>
      </c>
      <c r="F24" s="109">
        <v>173.72</v>
      </c>
      <c r="G24" s="381" t="e">
        <f ca="1">_xll.BDP($C24,"PX_LAST")</f>
        <v>#NAME?</v>
      </c>
      <c r="H24" s="181" t="e">
        <f t="shared" ca="1" si="5"/>
        <v>#NAME?</v>
      </c>
      <c r="I24" s="616" t="e">
        <f t="shared" ca="1" si="6"/>
        <v>#NAME?</v>
      </c>
      <c r="J24" s="181" t="e">
        <f t="shared" ca="1" si="7"/>
        <v>#NAME?</v>
      </c>
      <c r="K24" s="122" t="e">
        <f ca="1">_xll.BDP($C24,"CRNCY")</f>
        <v>#NAME?</v>
      </c>
      <c r="L24" s="119">
        <f t="shared" si="0"/>
        <v>1.1931326911949789</v>
      </c>
      <c r="M24" s="119">
        <f t="shared" si="1"/>
        <v>1.2047597544518633</v>
      </c>
      <c r="N24" s="109">
        <v>59627322.380000003</v>
      </c>
      <c r="O24" s="109">
        <v>1014693.1</v>
      </c>
      <c r="P24" s="109">
        <v>130770630</v>
      </c>
      <c r="Q24" s="109">
        <v>2237154.5099999998</v>
      </c>
      <c r="R24" s="123">
        <f t="shared" si="8"/>
        <v>71143307.620000005</v>
      </c>
      <c r="S24" s="123">
        <f t="shared" si="9"/>
        <v>1222461.4099999997</v>
      </c>
      <c r="T24" s="125" t="e">
        <f t="shared" ca="1" si="10"/>
        <v>#NAME?</v>
      </c>
      <c r="U24" s="109">
        <v>2194140.34</v>
      </c>
      <c r="V24" s="125" t="e">
        <f ca="1">_xll.BDP($C24,"DVD_EX_DT")</f>
        <v>#NAME?</v>
      </c>
      <c r="W24" s="125" t="e">
        <f ca="1">_xll.BDP($C24,"BDVD_NEXT_EST_DECL_DT")</f>
        <v>#NAME?</v>
      </c>
      <c r="X24" s="795" t="e">
        <f ca="1">_xll.BDP(C24,"BEST_TARGET_PRICE")</f>
        <v>#NAME?</v>
      </c>
      <c r="Y24" s="795" t="e">
        <f ca="1">_xll.BDP($C24,"EQY_DVD_YLD_EST")</f>
        <v>#NAME?</v>
      </c>
      <c r="Z24" s="409" t="e">
        <f ca="1">_xll.BDP(C24,"EQY_REC_CONS")</f>
        <v>#NAME?</v>
      </c>
      <c r="AD24" s="409" t="s">
        <v>1016</v>
      </c>
      <c r="AE24" s="409" t="e">
        <f ca="1">_xll.BDP(AD24,"ID_ISIN")</f>
        <v>#NAME?</v>
      </c>
    </row>
    <row r="25" spans="2:31" s="409" customFormat="1" ht="15" x14ac:dyDescent="0.25">
      <c r="B25" s="116" t="e">
        <f ca="1">_xll.BDP(C25,"NAME")</f>
        <v>#NAME?</v>
      </c>
      <c r="C25" s="109" t="s">
        <v>1013</v>
      </c>
      <c r="D25" s="119">
        <f t="shared" si="4"/>
        <v>2.7371213347694628E-2</v>
      </c>
      <c r="E25" s="109">
        <v>1339700</v>
      </c>
      <c r="F25" s="109">
        <v>21.96</v>
      </c>
      <c r="G25" s="381" t="e">
        <f ca="1">_xll.BDP($C25,"PX_LAST")</f>
        <v>#NAME?</v>
      </c>
      <c r="H25" s="181" t="e">
        <f t="shared" ca="1" si="5"/>
        <v>#NAME?</v>
      </c>
      <c r="I25" s="616" t="e">
        <f t="shared" ca="1" si="6"/>
        <v>#NAME?</v>
      </c>
      <c r="J25" s="181" t="e">
        <f t="shared" ca="1" si="7"/>
        <v>#NAME?</v>
      </c>
      <c r="K25" s="122" t="e">
        <f ca="1">_xll.BDP($C25,"CRNCY")</f>
        <v>#NAME?</v>
      </c>
      <c r="L25" s="119">
        <f t="shared" si="0"/>
        <v>2.0187211082294598</v>
      </c>
      <c r="M25" s="119">
        <f t="shared" si="1"/>
        <v>2.0347250717788703</v>
      </c>
      <c r="N25" s="109">
        <v>29423754.899999999</v>
      </c>
      <c r="O25" s="109">
        <v>500711.42</v>
      </c>
      <c r="P25" s="109">
        <v>88822110</v>
      </c>
      <c r="Q25" s="109">
        <v>1519521.5</v>
      </c>
      <c r="R25" s="123">
        <f t="shared" si="8"/>
        <v>59398355.100000001</v>
      </c>
      <c r="S25" s="123">
        <f t="shared" si="9"/>
        <v>1018810.0800000001</v>
      </c>
      <c r="T25" s="125" t="e">
        <f t="shared" ca="1" si="10"/>
        <v>#NAME?</v>
      </c>
      <c r="U25" s="109">
        <v>1538861.56</v>
      </c>
      <c r="V25" s="125" t="e">
        <f ca="1">_xll.BDP($C25,"DVD_EX_DT")</f>
        <v>#NAME?</v>
      </c>
      <c r="W25" s="125" t="e">
        <f ca="1">_xll.BDP($C25,"BDVD_NEXT_EST_DECL_DT")</f>
        <v>#NAME?</v>
      </c>
      <c r="X25" s="795" t="e">
        <f ca="1">_xll.BDP(C25,"BEST_TARGET_PRICE")</f>
        <v>#NAME?</v>
      </c>
      <c r="Y25" s="795" t="e">
        <f ca="1">_xll.BDP($C25,"EQY_DVD_YLD_EST")</f>
        <v>#NAME?</v>
      </c>
      <c r="Z25" s="409" t="e">
        <f ca="1">_xll.BDP(C25,"EQY_REC_CONS")</f>
        <v>#NAME?</v>
      </c>
      <c r="AD25" s="409" t="s">
        <v>1013</v>
      </c>
      <c r="AE25" s="409" t="e">
        <f ca="1">_xll.BDP(AD25,"ID_ISIN")</f>
        <v>#NAME?</v>
      </c>
    </row>
    <row r="26" spans="2:31" s="409" customFormat="1" ht="15" x14ac:dyDescent="0.25">
      <c r="B26" s="116" t="e">
        <f ca="1">_xll.BDP(C26,"NAME")</f>
        <v>#NAME?</v>
      </c>
      <c r="C26" s="109" t="s">
        <v>1009</v>
      </c>
      <c r="D26" s="119">
        <f t="shared" si="4"/>
        <v>6.0449274912835894E-2</v>
      </c>
      <c r="E26" s="109">
        <v>5774609</v>
      </c>
      <c r="F26" s="109">
        <v>21.58</v>
      </c>
      <c r="G26" s="381" t="e">
        <f ca="1">_xll.BDP($C26,"PX_LAST")</f>
        <v>#NAME?</v>
      </c>
      <c r="H26" s="181" t="e">
        <f t="shared" ca="1" si="5"/>
        <v>#NAME?</v>
      </c>
      <c r="I26" s="616" t="e">
        <f t="shared" ca="1" si="6"/>
        <v>#NAME?</v>
      </c>
      <c r="J26" s="181" t="e">
        <f t="shared" ca="1" si="7"/>
        <v>#NAME?</v>
      </c>
      <c r="K26" s="122" t="e">
        <f ca="1">_xll.BDP($C26,"CRNCY")</f>
        <v>#NAME?</v>
      </c>
      <c r="L26" s="119">
        <f t="shared" si="0"/>
        <v>0.5739370643359134</v>
      </c>
      <c r="M26" s="119">
        <f t="shared" si="1"/>
        <v>0.58228141074588868</v>
      </c>
      <c r="N26" s="109">
        <v>124632345.33</v>
      </c>
      <c r="O26" s="109">
        <v>2120899.89</v>
      </c>
      <c r="P26" s="109">
        <v>196163467.72999999</v>
      </c>
      <c r="Q26" s="109">
        <v>3355860.47</v>
      </c>
      <c r="R26" s="123">
        <f t="shared" si="8"/>
        <v>71531122.399999991</v>
      </c>
      <c r="S26" s="123">
        <f t="shared" si="9"/>
        <v>1234960.58</v>
      </c>
      <c r="T26" s="125" t="e">
        <f t="shared" ca="1" si="10"/>
        <v>#NAME?</v>
      </c>
      <c r="U26" s="109">
        <v>3365741.74</v>
      </c>
      <c r="V26" s="125" t="e">
        <f ca="1">_xll.BDP($C26,"DVD_EX_DT")</f>
        <v>#NAME?</v>
      </c>
      <c r="W26" s="125" t="e">
        <f ca="1">_xll.BDP($C26,"BDVD_NEXT_EST_DECL_DT")</f>
        <v>#NAME?</v>
      </c>
      <c r="X26" s="795" t="e">
        <f ca="1">_xll.BDP(C26,"BEST_TARGET_PRICE")</f>
        <v>#NAME?</v>
      </c>
      <c r="Y26" s="795" t="e">
        <f ca="1">_xll.BDP($C26,"EQY_DVD_YLD_EST")</f>
        <v>#NAME?</v>
      </c>
      <c r="Z26" s="409" t="e">
        <f ca="1">_xll.BDP(C26,"EQY_REC_CONS")</f>
        <v>#NAME?</v>
      </c>
      <c r="AD26" s="409" t="s">
        <v>1009</v>
      </c>
      <c r="AE26" s="409" t="e">
        <f ca="1">_xll.BDP(AD26,"ID_ISIN")</f>
        <v>#NAME?</v>
      </c>
    </row>
    <row r="27" spans="2:31" s="409" customFormat="1" ht="15" x14ac:dyDescent="0.25">
      <c r="B27" s="116" t="e">
        <f ca="1">_xll.BDP(C27,"NAME")</f>
        <v>#NAME?</v>
      </c>
      <c r="C27" s="109" t="s">
        <v>1005</v>
      </c>
      <c r="D27" s="119">
        <f t="shared" si="4"/>
        <v>2.2841622456992887E-2</v>
      </c>
      <c r="E27" s="109">
        <v>12101742</v>
      </c>
      <c r="F27" s="109">
        <v>1.46</v>
      </c>
      <c r="G27" s="381" t="e">
        <f ca="1">_xll.BDP($C27,"PX_LAST")</f>
        <v>#NAME?</v>
      </c>
      <c r="H27" s="181" t="e">
        <f t="shared" ca="1" si="5"/>
        <v>#NAME?</v>
      </c>
      <c r="I27" s="616" t="e">
        <f t="shared" ca="1" si="6"/>
        <v>#NAME?</v>
      </c>
      <c r="J27" s="181" t="e">
        <f t="shared" ca="1" si="7"/>
        <v>#NAME?</v>
      </c>
      <c r="K27" s="122" t="e">
        <f ca="1">_xll.BDP($C27,"CRNCY")</f>
        <v>#NAME?</v>
      </c>
      <c r="L27" s="119">
        <f>IF(N27&gt;0,P27/N27-1,0)</f>
        <v>3.1813860896977602</v>
      </c>
      <c r="M27" s="119">
        <f>IF(O27&gt;0,Q27/O27-1,0)</f>
        <v>3.2035540632095856</v>
      </c>
      <c r="N27" s="109">
        <v>17726937.469999999</v>
      </c>
      <c r="O27" s="109">
        <v>301663.74</v>
      </c>
      <c r="P27" s="109">
        <v>74123169.75</v>
      </c>
      <c r="Q27" s="109">
        <v>1268059.8400000001</v>
      </c>
      <c r="R27" s="123">
        <f t="shared" si="8"/>
        <v>56396232.280000001</v>
      </c>
      <c r="S27" s="123">
        <f t="shared" si="9"/>
        <v>966396.10000000009</v>
      </c>
      <c r="T27" s="125" t="e">
        <f t="shared" ca="1" si="10"/>
        <v>#NAME?</v>
      </c>
      <c r="U27" s="109">
        <v>1273552.79</v>
      </c>
      <c r="V27" s="125" t="e">
        <f ca="1">_xll.BDP($C27,"DVD_EX_DT")</f>
        <v>#NAME?</v>
      </c>
      <c r="W27" s="125" t="e">
        <f ca="1">_xll.BDP($C27,"BDVD_NEXT_EST_DECL_DT")</f>
        <v>#NAME?</v>
      </c>
      <c r="X27" s="795" t="e">
        <f ca="1">_xll.BDP(C27,"BEST_TARGET_PRICE")</f>
        <v>#NAME?</v>
      </c>
      <c r="Y27" s="795" t="e">
        <f ca="1">_xll.BDP($C27,"EQY_DVD_YLD_EST")</f>
        <v>#NAME?</v>
      </c>
      <c r="Z27" s="409" t="e">
        <f ca="1">_xll.BDP(C27,"EQY_REC_CONS")</f>
        <v>#NAME?</v>
      </c>
      <c r="AD27" s="409" t="s">
        <v>1005</v>
      </c>
      <c r="AE27" s="409" t="e">
        <f ca="1">_xll.BDP(AD27,"ID_ISIN")</f>
        <v>#NAME?</v>
      </c>
    </row>
    <row r="28" spans="2:31" s="409" customFormat="1" ht="15" x14ac:dyDescent="0.25">
      <c r="B28" s="116" t="e">
        <f ca="1">_xll.BDP(C28,"NAME")</f>
        <v>#NAME?</v>
      </c>
      <c r="C28" s="109" t="s">
        <v>140</v>
      </c>
      <c r="D28" s="119">
        <f t="shared" si="4"/>
        <v>2.6490607680680319E-3</v>
      </c>
      <c r="E28" s="109">
        <v>42751</v>
      </c>
      <c r="F28" s="109">
        <v>1.25</v>
      </c>
      <c r="G28" s="381" t="e">
        <f ca="1">_xll.BDP($C28,"PX_LAST")</f>
        <v>#NAME?</v>
      </c>
      <c r="H28" s="181" t="e">
        <f t="shared" ca="1" si="5"/>
        <v>#NAME?</v>
      </c>
      <c r="I28" s="616" t="e">
        <f t="shared" ca="1" si="6"/>
        <v>#NAME?</v>
      </c>
      <c r="J28" s="181" t="e">
        <f t="shared" ca="1" si="7"/>
        <v>#NAME?</v>
      </c>
      <c r="K28" s="122" t="e">
        <f ca="1">_xll.BDP($C28,"CRNCY")</f>
        <v>#NAME?</v>
      </c>
      <c r="L28" s="119">
        <f t="shared" ref="L28:L70" si="11">IF(N28&gt;0,P28/N28-1,0)</f>
        <v>2.7397563398008811</v>
      </c>
      <c r="M28" s="119">
        <f t="shared" ref="M28:M70" si="12">IF(O28&gt;0,Q28/O28-1,0)</f>
        <v>1.7520000000000002</v>
      </c>
      <c r="N28" s="109">
        <v>2298507.52</v>
      </c>
      <c r="O28" s="109">
        <v>53438.75</v>
      </c>
      <c r="P28" s="109">
        <v>8595858.0700000003</v>
      </c>
      <c r="Q28" s="109">
        <v>147063.44</v>
      </c>
      <c r="R28" s="123">
        <f t="shared" si="8"/>
        <v>6297350.5500000007</v>
      </c>
      <c r="S28" s="123">
        <f t="shared" si="9"/>
        <v>93624.69</v>
      </c>
      <c r="T28" s="125" t="e">
        <f t="shared" ca="1" si="10"/>
        <v>#NAME?</v>
      </c>
      <c r="U28" s="109">
        <v>146849.69</v>
      </c>
      <c r="V28" s="125" t="e">
        <f ca="1">_xll.BDP($C28,"DVD_EX_DT")</f>
        <v>#NAME?</v>
      </c>
      <c r="W28" s="125" t="e">
        <f ca="1">_xll.BDP($C28,"BDVD_NEXT_EST_DECL_DT")</f>
        <v>#NAME?</v>
      </c>
      <c r="X28" s="795" t="e">
        <f ca="1">_xll.BDP(C28,"BEST_TARGET_PRICE")</f>
        <v>#NAME?</v>
      </c>
      <c r="Y28" s="795" t="e">
        <f ca="1">_xll.BDP($C28,"EQY_DVD_YLD_EST")</f>
        <v>#NAME?</v>
      </c>
      <c r="Z28" s="409" t="e">
        <f ca="1">_xll.BDP(C28,"EQY_REC_CONS")</f>
        <v>#NAME?</v>
      </c>
      <c r="AD28" s="409" t="s">
        <v>140</v>
      </c>
      <c r="AE28" s="409" t="e">
        <f ca="1">_xll.BDP(AD28,"ID_ISIN")</f>
        <v>#NAME?</v>
      </c>
    </row>
    <row r="29" spans="2:31" s="409" customFormat="1" ht="15" x14ac:dyDescent="0.25">
      <c r="B29" s="116" t="e">
        <f ca="1">_xll.BDP(C29,"NAME")</f>
        <v>#NAME?</v>
      </c>
      <c r="C29" s="109" t="s">
        <v>702</v>
      </c>
      <c r="D29" s="119">
        <f t="shared" si="4"/>
        <v>2.7919683632331785E-3</v>
      </c>
      <c r="E29" s="109">
        <v>9200</v>
      </c>
      <c r="F29" s="109">
        <v>16.350000000000001</v>
      </c>
      <c r="G29" s="381" t="e">
        <f ca="1">_xll.BDP($C29,"PX_LAST")</f>
        <v>#NAME?</v>
      </c>
      <c r="H29" s="181" t="e">
        <f t="shared" ca="1" si="5"/>
        <v>#NAME?</v>
      </c>
      <c r="I29" s="616" t="e">
        <f t="shared" ca="1" si="6"/>
        <v>#NAME?</v>
      </c>
      <c r="J29" s="181" t="e">
        <f t="shared" ca="1" si="7"/>
        <v>#NAME?</v>
      </c>
      <c r="K29" s="122" t="e">
        <f ca="1">_xll.BDP($C29,"CRNCY")</f>
        <v>#NAME?</v>
      </c>
      <c r="L29" s="119">
        <f t="shared" si="11"/>
        <v>-7.8779477008926957E-2</v>
      </c>
      <c r="M29" s="119">
        <f t="shared" si="12"/>
        <v>3.0714147111424062E-2</v>
      </c>
      <c r="N29" s="109">
        <v>9834317</v>
      </c>
      <c r="O29" s="109">
        <v>150378.26</v>
      </c>
      <c r="P29" s="109">
        <v>9059574.6500000004</v>
      </c>
      <c r="Q29" s="109">
        <v>154997</v>
      </c>
      <c r="R29" s="123">
        <f t="shared" si="8"/>
        <v>-774742.34999999963</v>
      </c>
      <c r="S29" s="123">
        <f t="shared" si="9"/>
        <v>4618.7399999999907</v>
      </c>
      <c r="T29" s="125" t="e">
        <f t="shared" ca="1" si="10"/>
        <v>#NAME?</v>
      </c>
      <c r="U29" s="109">
        <v>160770</v>
      </c>
      <c r="V29" s="125" t="e">
        <f ca="1">_xll.BDP($C29,"DVD_EX_DT")</f>
        <v>#NAME?</v>
      </c>
      <c r="W29" s="125" t="e">
        <f ca="1">_xll.BDP($C29,"BDVD_NEXT_EST_DECL_DT")</f>
        <v>#NAME?</v>
      </c>
      <c r="X29" s="795" t="e">
        <f ca="1">_xll.BDP(C29,"BEST_TARGET_PRICE")</f>
        <v>#NAME?</v>
      </c>
      <c r="Y29" s="795" t="e">
        <f ca="1">_xll.BDP($C29,"EQY_DVD_YLD_EST")</f>
        <v>#NAME?</v>
      </c>
      <c r="Z29" s="409" t="e">
        <f ca="1">_xll.BDP(C29,"EQY_REC_CONS")</f>
        <v>#NAME?</v>
      </c>
      <c r="AD29" s="409" t="s">
        <v>702</v>
      </c>
      <c r="AE29" s="409" t="e">
        <f ca="1">_xll.BDP(AD29,"ID_ISIN")</f>
        <v>#NAME?</v>
      </c>
    </row>
    <row r="30" spans="2:31" s="409" customFormat="1" ht="15" x14ac:dyDescent="0.25">
      <c r="B30" s="116" t="e">
        <f ca="1">_xll.BDP(C30,"NAME")</f>
        <v>#NAME?</v>
      </c>
      <c r="C30" s="109" t="s">
        <v>155</v>
      </c>
      <c r="D30" s="119">
        <f t="shared" si="4"/>
        <v>6.9115102347884856E-3</v>
      </c>
      <c r="E30" s="109">
        <v>3258</v>
      </c>
      <c r="F30" s="109">
        <v>101.81</v>
      </c>
      <c r="G30" s="381" t="e">
        <f ca="1">_xll.BDP($C30,"PX_LAST")</f>
        <v>#NAME?</v>
      </c>
      <c r="H30" s="181" t="e">
        <f t="shared" ca="1" si="5"/>
        <v>#NAME?</v>
      </c>
      <c r="I30" s="616" t="e">
        <f t="shared" ca="1" si="6"/>
        <v>#NAME?</v>
      </c>
      <c r="J30" s="181" t="e">
        <f t="shared" ca="1" si="7"/>
        <v>#NAME?</v>
      </c>
      <c r="K30" s="122" t="e">
        <f ca="1">_xll.BDP($C30,"CRNCY")</f>
        <v>#NAME?</v>
      </c>
      <c r="L30" s="119">
        <f t="shared" si="11"/>
        <v>0.57194731042474301</v>
      </c>
      <c r="M30" s="119">
        <f t="shared" si="12"/>
        <v>0.15675959783156856</v>
      </c>
      <c r="N30" s="109">
        <v>14266987.66</v>
      </c>
      <c r="O30" s="109">
        <v>331697.84000000003</v>
      </c>
      <c r="P30" s="109">
        <v>22426952.879999999</v>
      </c>
      <c r="Q30" s="109">
        <v>383694.66</v>
      </c>
      <c r="R30" s="123">
        <f t="shared" si="8"/>
        <v>8159965.2199999988</v>
      </c>
      <c r="S30" s="123">
        <f t="shared" si="9"/>
        <v>51996.819999999949</v>
      </c>
      <c r="T30" s="125" t="e">
        <f t="shared" ca="1" si="10"/>
        <v>#NAME?</v>
      </c>
      <c r="U30" s="109">
        <v>389168.1</v>
      </c>
      <c r="V30" s="125" t="e">
        <f ca="1">_xll.BDP($C30,"DVD_EX_DT")</f>
        <v>#NAME?</v>
      </c>
      <c r="W30" s="125" t="e">
        <f ca="1">_xll.BDP($C30,"BDVD_NEXT_EST_DECL_DT")</f>
        <v>#NAME?</v>
      </c>
      <c r="X30" s="795" t="e">
        <f ca="1">_xll.BDP(C30,"BEST_TARGET_PRICE")</f>
        <v>#NAME?</v>
      </c>
      <c r="Y30" s="795" t="e">
        <f ca="1">_xll.BDP($C30,"EQY_DVD_YLD_EST")</f>
        <v>#NAME?</v>
      </c>
      <c r="Z30" s="409" t="e">
        <f ca="1">_xll.BDP(C30,"EQY_REC_CONS")</f>
        <v>#NAME?</v>
      </c>
      <c r="AD30" s="409" t="s">
        <v>155</v>
      </c>
      <c r="AE30" s="409" t="e">
        <f ca="1">_xll.BDP(AD30,"ID_ISIN")</f>
        <v>#NAME?</v>
      </c>
    </row>
    <row r="31" spans="2:31" s="409" customFormat="1" ht="15" x14ac:dyDescent="0.25">
      <c r="B31" s="116" t="e">
        <f ca="1">_xll.BDP(C31,"NAME")</f>
        <v>#NAME?</v>
      </c>
      <c r="C31" s="109" t="s">
        <v>703</v>
      </c>
      <c r="D31" s="119">
        <f t="shared" si="4"/>
        <v>3.4779412479254363E-3</v>
      </c>
      <c r="E31" s="109">
        <v>2650</v>
      </c>
      <c r="F31" s="109">
        <v>56.7</v>
      </c>
      <c r="G31" s="381" t="e">
        <f ca="1">_xll.BDP($C31,"PX_LAST")</f>
        <v>#NAME?</v>
      </c>
      <c r="H31" s="181" t="e">
        <f t="shared" ca="1" si="5"/>
        <v>#NAME?</v>
      </c>
      <c r="I31" s="616" t="e">
        <f t="shared" ca="1" si="6"/>
        <v>#NAME?</v>
      </c>
      <c r="J31" s="181" t="e">
        <f t="shared" ca="1" si="7"/>
        <v>#NAME?</v>
      </c>
      <c r="K31" s="122" t="e">
        <f ca="1">_xll.BDP($C31,"CRNCY")</f>
        <v>#NAME?</v>
      </c>
      <c r="L31" s="119">
        <f t="shared" si="11"/>
        <v>0.1484976604484316</v>
      </c>
      <c r="M31" s="119">
        <f t="shared" si="12"/>
        <v>0.28500479882695773</v>
      </c>
      <c r="N31" s="109">
        <v>9826286.9299999997</v>
      </c>
      <c r="O31" s="109">
        <v>150255.47</v>
      </c>
      <c r="P31" s="109">
        <v>11285467.550000001</v>
      </c>
      <c r="Q31" s="109">
        <v>193079</v>
      </c>
      <c r="R31" s="123">
        <f t="shared" si="8"/>
        <v>1459180.620000001</v>
      </c>
      <c r="S31" s="123">
        <f t="shared" si="9"/>
        <v>42823.53</v>
      </c>
      <c r="T31" s="125" t="e">
        <f t="shared" ca="1" si="10"/>
        <v>#NAME?</v>
      </c>
      <c r="U31" s="109">
        <v>194934</v>
      </c>
      <c r="V31" s="125" t="e">
        <f ca="1">_xll.BDP($C31,"DVD_EX_DT")</f>
        <v>#NAME?</v>
      </c>
      <c r="W31" s="125" t="e">
        <f ca="1">_xll.BDP($C31,"BDVD_NEXT_EST_DECL_DT")</f>
        <v>#NAME?</v>
      </c>
      <c r="X31" s="795" t="e">
        <f ca="1">_xll.BDP(C31,"BEST_TARGET_PRICE")</f>
        <v>#NAME?</v>
      </c>
      <c r="Y31" s="795" t="e">
        <f ca="1">_xll.BDP($C31,"EQY_DVD_YLD_EST")</f>
        <v>#NAME?</v>
      </c>
      <c r="Z31" s="409" t="e">
        <f ca="1">_xll.BDP(C31,"EQY_REC_CONS")</f>
        <v>#NAME?</v>
      </c>
      <c r="AD31" s="409" t="s">
        <v>703</v>
      </c>
      <c r="AE31" s="409" t="e">
        <f ca="1">_xll.BDP(AD31,"ID_ISIN")</f>
        <v>#NAME?</v>
      </c>
    </row>
    <row r="32" spans="2:31" s="409" customFormat="1" ht="15" x14ac:dyDescent="0.25">
      <c r="B32" s="116" t="e">
        <f ca="1">_xll.BDP(C32,"NAME")</f>
        <v>#NAME?</v>
      </c>
      <c r="C32" s="109" t="s">
        <v>197</v>
      </c>
      <c r="D32" s="119">
        <f t="shared" si="4"/>
        <v>4.3882971385243136E-2</v>
      </c>
      <c r="E32" s="109">
        <v>215491</v>
      </c>
      <c r="F32" s="109">
        <v>540.75</v>
      </c>
      <c r="G32" s="381" t="e">
        <f ca="1">_xll.BDP($C32,"PX_LAST")</f>
        <v>#NAME?</v>
      </c>
      <c r="H32" s="181" t="e">
        <f t="shared" ca="1" si="5"/>
        <v>#NAME?</v>
      </c>
      <c r="I32" s="616" t="e">
        <f t="shared" ca="1" si="6"/>
        <v>#NAME?</v>
      </c>
      <c r="J32" s="181" t="e">
        <f t="shared" ca="1" si="7"/>
        <v>#NAME?</v>
      </c>
      <c r="K32" s="122" t="e">
        <f ca="1">_xll.BDP($C32,"CRNCY")</f>
        <v>#NAME?</v>
      </c>
      <c r="L32" s="119">
        <f t="shared" si="11"/>
        <v>1.5968989854183042</v>
      </c>
      <c r="M32" s="119">
        <f>IF(O32&gt;0,Q32/O32-1,0)</f>
        <v>0.70457503118879883</v>
      </c>
      <c r="N32" s="109">
        <v>54845953</v>
      </c>
      <c r="O32" s="109">
        <v>1429199</v>
      </c>
      <c r="P32" s="109">
        <v>142429399.69999999</v>
      </c>
      <c r="Q32" s="109">
        <v>2436176.9300000002</v>
      </c>
      <c r="R32" s="123">
        <f t="shared" si="8"/>
        <v>87583446.699999988</v>
      </c>
      <c r="S32" s="123">
        <f t="shared" si="9"/>
        <v>1006977.9300000002</v>
      </c>
      <c r="T32" s="125" t="e">
        <f t="shared" ca="1" si="10"/>
        <v>#NAME?</v>
      </c>
      <c r="U32" s="109">
        <v>2488981.5</v>
      </c>
      <c r="V32" s="125" t="e">
        <f ca="1">_xll.BDP($C32,"DVD_EX_DT")</f>
        <v>#NAME?</v>
      </c>
      <c r="W32" s="125" t="e">
        <f ca="1">_xll.BDP($C32,"BDVD_NEXT_EST_DECL_DT")</f>
        <v>#NAME?</v>
      </c>
      <c r="X32" s="795" t="e">
        <f ca="1">_xll.BDP(C32,"BEST_TARGET_PRICE")</f>
        <v>#NAME?</v>
      </c>
      <c r="Y32" s="795" t="e">
        <f ca="1">_xll.BDP($C32,"EQY_DVD_YLD_EST")</f>
        <v>#NAME?</v>
      </c>
      <c r="Z32" s="409" t="e">
        <f ca="1">_xll.BDP(C32,"EQY_REC_CONS")</f>
        <v>#NAME?</v>
      </c>
      <c r="AD32" s="409" t="s">
        <v>197</v>
      </c>
      <c r="AE32" s="409" t="e">
        <f ca="1">_xll.BDP(AD32,"ID_ISIN")</f>
        <v>#NAME?</v>
      </c>
    </row>
    <row r="33" spans="2:31" s="409" customFormat="1" ht="15" x14ac:dyDescent="0.25">
      <c r="B33" s="116" t="e">
        <f ca="1">_xll.BDP(C33,"NAME")</f>
        <v>#NAME?</v>
      </c>
      <c r="C33" s="109" t="s">
        <v>989</v>
      </c>
      <c r="D33" s="119">
        <f t="shared" si="4"/>
        <v>9.2687661138859782E-3</v>
      </c>
      <c r="E33" s="109">
        <v>278500</v>
      </c>
      <c r="F33" s="109">
        <v>46.4</v>
      </c>
      <c r="G33" s="381" t="e">
        <f ca="1">_xll.BDP($C33,"PX_LAST")</f>
        <v>#NAME?</v>
      </c>
      <c r="H33" s="181" t="e">
        <f t="shared" ca="1" si="5"/>
        <v>#NAME?</v>
      </c>
      <c r="I33" s="616" t="e">
        <f t="shared" ca="1" si="6"/>
        <v>#NAME?</v>
      </c>
      <c r="J33" s="181" t="e">
        <f t="shared" ca="1" si="7"/>
        <v>#NAME?</v>
      </c>
      <c r="K33" s="122" t="e">
        <f ca="1">_xll.BDP($C33,"CRNCY")</f>
        <v>#NAME?</v>
      </c>
      <c r="L33" s="119">
        <f t="shared" si="11"/>
        <v>1.3277490542201895</v>
      </c>
      <c r="M33" s="119">
        <f t="shared" si="12"/>
        <v>1.3400897928466784</v>
      </c>
      <c r="N33" s="109">
        <v>12921495.960000001</v>
      </c>
      <c r="O33" s="109">
        <v>219888.34</v>
      </c>
      <c r="P33" s="109">
        <v>30078000</v>
      </c>
      <c r="Q33" s="109">
        <v>514558.46</v>
      </c>
      <c r="R33" s="123">
        <f t="shared" si="8"/>
        <v>17156504.039999999</v>
      </c>
      <c r="S33" s="123">
        <f t="shared" si="9"/>
        <v>294670.12</v>
      </c>
      <c r="T33" s="125" t="e">
        <f t="shared" ca="1" si="10"/>
        <v>#NAME?</v>
      </c>
      <c r="U33" s="109">
        <v>520197.01</v>
      </c>
      <c r="V33" s="125" t="e">
        <f ca="1">_xll.BDP($C33,"DVD_EX_DT")</f>
        <v>#NAME?</v>
      </c>
      <c r="W33" s="125" t="e">
        <f ca="1">_xll.BDP($C33,"BDVD_NEXT_EST_DECL_DT")</f>
        <v>#NAME?</v>
      </c>
      <c r="X33" s="795" t="e">
        <f ca="1">_xll.BDP(C33,"BEST_TARGET_PRICE")</f>
        <v>#NAME?</v>
      </c>
      <c r="Y33" s="795" t="e">
        <f ca="1">_xll.BDP($C33,"EQY_DVD_YLD_EST")</f>
        <v>#NAME?</v>
      </c>
      <c r="Z33" s="409" t="e">
        <f ca="1">_xll.BDP(C33,"EQY_REC_CONS")</f>
        <v>#NAME?</v>
      </c>
      <c r="AD33" s="409" t="s">
        <v>989</v>
      </c>
      <c r="AE33" s="409" t="e">
        <f ca="1">_xll.BDP(AD33,"ID_ISIN")</f>
        <v>#NAME?</v>
      </c>
    </row>
    <row r="34" spans="2:31" s="409" customFormat="1" ht="15" x14ac:dyDescent="0.25">
      <c r="B34" s="116" t="e">
        <f ca="1">_xll.BDP(C34,"NAME")</f>
        <v>#NAME?</v>
      </c>
      <c r="C34" s="109" t="s">
        <v>360</v>
      </c>
      <c r="D34" s="119">
        <f t="shared" si="4"/>
        <v>2.5314096274243053E-3</v>
      </c>
      <c r="E34" s="109">
        <v>9800</v>
      </c>
      <c r="F34" s="109">
        <v>15.14</v>
      </c>
      <c r="G34" s="381" t="e">
        <f ca="1">_xll.BDP($C34,"PX_LAST")</f>
        <v>#NAME?</v>
      </c>
      <c r="H34" s="181" t="e">
        <f t="shared" ca="1" si="5"/>
        <v>#NAME?</v>
      </c>
      <c r="I34" s="616" t="e">
        <f t="shared" ca="1" si="6"/>
        <v>#NAME?</v>
      </c>
      <c r="J34" s="181" t="e">
        <f t="shared" ca="1" si="7"/>
        <v>#NAME?</v>
      </c>
      <c r="K34" s="122" t="e">
        <f ca="1">_xll.BDP($C34,"CRNCY")</f>
        <v>#NAME?</v>
      </c>
      <c r="L34" s="119">
        <f t="shared" si="11"/>
        <v>-3.6583543953127906E-2</v>
      </c>
      <c r="M34" s="119">
        <f t="shared" si="12"/>
        <v>-5.2596558371538316E-2</v>
      </c>
      <c r="N34" s="109">
        <v>8526006.9499999993</v>
      </c>
      <c r="O34" s="109">
        <v>148333.85</v>
      </c>
      <c r="P34" s="109">
        <v>8214095.4000000004</v>
      </c>
      <c r="Q34" s="109">
        <v>140532</v>
      </c>
      <c r="R34" s="123">
        <f t="shared" si="8"/>
        <v>-311911.54999999888</v>
      </c>
      <c r="S34" s="123">
        <f t="shared" si="9"/>
        <v>-7801.8500000000058</v>
      </c>
      <c r="T34" s="125" t="e">
        <f t="shared" ca="1" si="10"/>
        <v>#NAME?</v>
      </c>
      <c r="U34" s="109">
        <v>139062</v>
      </c>
      <c r="V34" s="125" t="e">
        <f ca="1">_xll.BDP($C34,"DVD_EX_DT")</f>
        <v>#NAME?</v>
      </c>
      <c r="W34" s="125" t="e">
        <f ca="1">_xll.BDP($C34,"BDVD_NEXT_EST_DECL_DT")</f>
        <v>#NAME?</v>
      </c>
      <c r="X34" s="795" t="e">
        <f ca="1">_xll.BDP(C34,"BEST_TARGET_PRICE")</f>
        <v>#NAME?</v>
      </c>
      <c r="Y34" s="795" t="e">
        <f ca="1">_xll.BDP($C34,"EQY_DVD_YLD_EST")</f>
        <v>#NAME?</v>
      </c>
      <c r="Z34" s="409" t="e">
        <f ca="1">_xll.BDP(C34,"EQY_REC_CONS")</f>
        <v>#NAME?</v>
      </c>
      <c r="AD34" s="409" t="s">
        <v>360</v>
      </c>
      <c r="AE34" s="409" t="e">
        <f ca="1">_xll.BDP(AD34,"ID_ISIN")</f>
        <v>#NAME?</v>
      </c>
    </row>
    <row r="35" spans="2:31" s="409" customFormat="1" ht="15" x14ac:dyDescent="0.25">
      <c r="B35" s="116" t="e">
        <f ca="1">_xll.BDP(C35,"NAME")</f>
        <v>#NAME?</v>
      </c>
      <c r="C35" s="109" t="s">
        <v>982</v>
      </c>
      <c r="D35" s="119">
        <f t="shared" si="4"/>
        <v>6.3354369358985696E-2</v>
      </c>
      <c r="E35" s="109">
        <v>681667</v>
      </c>
      <c r="F35" s="109">
        <v>243.07</v>
      </c>
      <c r="G35" s="381" t="e">
        <f ca="1">_xll.BDP($C35,"PX_LAST")</f>
        <v>#NAME?</v>
      </c>
      <c r="H35" s="181" t="e">
        <f t="shared" ca="1" si="5"/>
        <v>#NAME?</v>
      </c>
      <c r="I35" s="616" t="e">
        <f t="shared" ca="1" si="6"/>
        <v>#NAME?</v>
      </c>
      <c r="J35" s="181" t="e">
        <f t="shared" ca="1" si="7"/>
        <v>#NAME?</v>
      </c>
      <c r="K35" s="122" t="e">
        <f ca="1">_xll.BDP($C35,"CRNCY")</f>
        <v>#NAME?</v>
      </c>
      <c r="L35" s="119">
        <f t="shared" si="11"/>
        <v>0.24080120298650343</v>
      </c>
      <c r="M35" s="119">
        <f t="shared" si="12"/>
        <v>0.24737940440465445</v>
      </c>
      <c r="N35" s="109">
        <v>165691947.03</v>
      </c>
      <c r="O35" s="109">
        <v>2819621.43</v>
      </c>
      <c r="P35" s="109">
        <v>205590767.19999999</v>
      </c>
      <c r="Q35" s="109">
        <v>3517137.7</v>
      </c>
      <c r="R35" s="123">
        <f t="shared" si="8"/>
        <v>39898820.169999987</v>
      </c>
      <c r="S35" s="123">
        <f t="shared" si="9"/>
        <v>697516.27</v>
      </c>
      <c r="T35" s="125" t="e">
        <f t="shared" ca="1" si="10"/>
        <v>#NAME?</v>
      </c>
      <c r="U35" s="109">
        <v>3576959.78</v>
      </c>
      <c r="V35" s="125" t="e">
        <f ca="1">_xll.BDP($C35,"DVD_EX_DT")</f>
        <v>#NAME?</v>
      </c>
      <c r="W35" s="125" t="e">
        <f ca="1">_xll.BDP($C35,"BDVD_NEXT_EST_DECL_DT")</f>
        <v>#NAME?</v>
      </c>
      <c r="X35" s="795" t="e">
        <f ca="1">_xll.BDP(C35,"BEST_TARGET_PRICE")</f>
        <v>#NAME?</v>
      </c>
      <c r="Y35" s="795" t="e">
        <f ca="1">_xll.BDP($C35,"EQY_DVD_YLD_EST")</f>
        <v>#NAME?</v>
      </c>
      <c r="Z35" s="409" t="e">
        <f ca="1">_xll.BDP(C35,"EQY_REC_CONS")</f>
        <v>#NAME?</v>
      </c>
      <c r="AD35" s="409" t="s">
        <v>982</v>
      </c>
      <c r="AE35" s="409" t="e">
        <f ca="1">_xll.BDP(AD35,"ID_ISIN")</f>
        <v>#NAME?</v>
      </c>
    </row>
    <row r="36" spans="2:31" s="409" customFormat="1" ht="15" x14ac:dyDescent="0.25">
      <c r="B36" s="116" t="e">
        <f ca="1">_xll.BDP(C36,"NAME")</f>
        <v>#NAME?</v>
      </c>
      <c r="C36" s="109" t="s">
        <v>978</v>
      </c>
      <c r="D36" s="119">
        <f t="shared" si="4"/>
        <v>2.5092815889721291E-2</v>
      </c>
      <c r="E36" s="109">
        <v>372500</v>
      </c>
      <c r="F36" s="109">
        <v>143.03</v>
      </c>
      <c r="G36" s="381" t="e">
        <f ca="1">_xll.BDP($C36,"PX_LAST")</f>
        <v>#NAME?</v>
      </c>
      <c r="H36" s="181" t="e">
        <f t="shared" ca="1" si="5"/>
        <v>#NAME?</v>
      </c>
      <c r="I36" s="616" t="e">
        <f t="shared" ca="1" si="6"/>
        <v>#NAME?</v>
      </c>
      <c r="J36" s="181" t="e">
        <f t="shared" ca="1" si="7"/>
        <v>#NAME?</v>
      </c>
      <c r="K36" s="122" t="e">
        <f ca="1">_xll.BDP($C36,"CRNCY")</f>
        <v>#NAME?</v>
      </c>
      <c r="L36" s="119">
        <f t="shared" si="11"/>
        <v>0.52836646765647965</v>
      </c>
      <c r="M36" s="119">
        <f t="shared" si="12"/>
        <v>0.5364692233876811</v>
      </c>
      <c r="N36" s="109">
        <v>53278125.189999998</v>
      </c>
      <c r="O36" s="109">
        <v>906647.22</v>
      </c>
      <c r="P36" s="109">
        <v>81428500</v>
      </c>
      <c r="Q36" s="109">
        <v>1393035.55</v>
      </c>
      <c r="R36" s="123">
        <f t="shared" si="8"/>
        <v>28150374.810000002</v>
      </c>
      <c r="S36" s="123">
        <f t="shared" si="9"/>
        <v>486388.33000000007</v>
      </c>
      <c r="T36" s="125" t="e">
        <f t="shared" ca="1" si="10"/>
        <v>#NAME?</v>
      </c>
      <c r="U36" s="109">
        <v>1419482.93</v>
      </c>
      <c r="V36" s="125" t="e">
        <f ca="1">_xll.BDP($C36,"DVD_EX_DT")</f>
        <v>#NAME?</v>
      </c>
      <c r="W36" s="125" t="e">
        <f ca="1">_xll.BDP($C36,"BDVD_NEXT_EST_DECL_DT")</f>
        <v>#NAME?</v>
      </c>
      <c r="X36" s="795" t="e">
        <f ca="1">_xll.BDP(C36,"BEST_TARGET_PRICE")</f>
        <v>#NAME?</v>
      </c>
      <c r="Y36" s="795" t="e">
        <f ca="1">_xll.BDP($C36,"EQY_DVD_YLD_EST")</f>
        <v>#NAME?</v>
      </c>
      <c r="Z36" s="409" t="e">
        <f ca="1">_xll.BDP(C36,"EQY_REC_CONS")</f>
        <v>#NAME?</v>
      </c>
      <c r="AD36" s="409" t="s">
        <v>978</v>
      </c>
      <c r="AE36" s="409" t="e">
        <f ca="1">_xll.BDP(AD36,"ID_ISIN")</f>
        <v>#NAME?</v>
      </c>
    </row>
    <row r="37" spans="2:31" s="409" customFormat="1" ht="15" x14ac:dyDescent="0.25">
      <c r="B37" s="116" t="e">
        <f ca="1">_xll.BDP(C37,"NAME")</f>
        <v>#NAME?</v>
      </c>
      <c r="C37" s="109" t="s">
        <v>974</v>
      </c>
      <c r="D37" s="119">
        <f t="shared" si="4"/>
        <v>6.9240552417685567E-4</v>
      </c>
      <c r="E37" s="109">
        <v>3770</v>
      </c>
      <c r="F37" s="109">
        <v>416</v>
      </c>
      <c r="G37" s="381" t="e">
        <f ca="1">_xll.BDP($C37,"PX_LAST")</f>
        <v>#NAME?</v>
      </c>
      <c r="H37" s="181" t="e">
        <f t="shared" ca="1" si="5"/>
        <v>#NAME?</v>
      </c>
      <c r="I37" s="616" t="e">
        <f t="shared" ca="1" si="6"/>
        <v>#NAME?</v>
      </c>
      <c r="J37" s="181" t="e">
        <f t="shared" ca="1" si="7"/>
        <v>#NAME?</v>
      </c>
      <c r="K37" s="122" t="e">
        <f ca="1">_xll.BDP($C37,"CRNCY")</f>
        <v>#NAME?</v>
      </c>
      <c r="L37" s="119">
        <f t="shared" si="11"/>
        <v>0.43269230769230771</v>
      </c>
      <c r="M37" s="119">
        <f t="shared" si="12"/>
        <v>0.4402879293658053</v>
      </c>
      <c r="N37" s="109">
        <v>1568320</v>
      </c>
      <c r="O37" s="109">
        <v>26688.49</v>
      </c>
      <c r="P37" s="109">
        <v>2246920</v>
      </c>
      <c r="Q37" s="109">
        <v>38439.11</v>
      </c>
      <c r="R37" s="123">
        <f t="shared" si="8"/>
        <v>678600</v>
      </c>
      <c r="S37" s="123">
        <f t="shared" si="9"/>
        <v>11750.619999999999</v>
      </c>
      <c r="T37" s="125" t="e">
        <f t="shared" ca="1" si="10"/>
        <v>#NAME?</v>
      </c>
      <c r="U37" s="109">
        <v>38550.03</v>
      </c>
      <c r="V37" s="125" t="e">
        <f ca="1">_xll.BDP($C37,"DVD_EX_DT")</f>
        <v>#NAME?</v>
      </c>
      <c r="W37" s="125" t="e">
        <f ca="1">_xll.BDP($C37,"BDVD_NEXT_EST_DECL_DT")</f>
        <v>#NAME?</v>
      </c>
      <c r="X37" s="795" t="e">
        <f ca="1">_xll.BDP(C37,"BEST_TARGET_PRICE")</f>
        <v>#NAME?</v>
      </c>
      <c r="Y37" s="795" t="e">
        <f ca="1">_xll.BDP($C37,"EQY_DVD_YLD_EST")</f>
        <v>#NAME?</v>
      </c>
      <c r="Z37" s="409" t="e">
        <f ca="1">_xll.BDP(C37,"EQY_REC_CONS")</f>
        <v>#NAME?</v>
      </c>
      <c r="AD37" s="409" t="s">
        <v>974</v>
      </c>
      <c r="AE37" s="409" t="e">
        <f ca="1">_xll.BDP(AD37,"ID_ISIN")</f>
        <v>#NAME?</v>
      </c>
    </row>
    <row r="38" spans="2:31" s="409" customFormat="1" ht="15" x14ac:dyDescent="0.25">
      <c r="B38" s="116" t="e">
        <f ca="1">_xll.BDP(C38,"NAME")</f>
        <v>#NAME?</v>
      </c>
      <c r="C38" s="109" t="s">
        <v>970</v>
      </c>
      <c r="D38" s="119">
        <f t="shared" si="4"/>
        <v>4.5279648528806947E-3</v>
      </c>
      <c r="E38" s="109">
        <v>922099968</v>
      </c>
      <c r="F38" s="109">
        <v>0.01</v>
      </c>
      <c r="G38" s="381" t="e">
        <f ca="1">_xll.BDP($C38,"PX_LAST")</f>
        <v>#NAME?</v>
      </c>
      <c r="H38" s="181" t="e">
        <f t="shared" ca="1" si="5"/>
        <v>#NAME?</v>
      </c>
      <c r="I38" s="616" t="e">
        <f t="shared" ca="1" si="6"/>
        <v>#NAME?</v>
      </c>
      <c r="J38" s="181" t="e">
        <f t="shared" ca="1" si="7"/>
        <v>#NAME?</v>
      </c>
      <c r="K38" s="122" t="e">
        <f ca="1">_xll.BDP($C38,"CRNCY")</f>
        <v>#NAME?</v>
      </c>
      <c r="L38" s="119">
        <f t="shared" si="11"/>
        <v>2.1448587884389281</v>
      </c>
      <c r="M38" s="119">
        <f t="shared" si="12"/>
        <v>2.1615316534390856</v>
      </c>
      <c r="N38" s="109">
        <v>4672280.6900000004</v>
      </c>
      <c r="O38" s="109">
        <v>79509.37</v>
      </c>
      <c r="P38" s="109">
        <v>14693662.99</v>
      </c>
      <c r="Q38" s="109">
        <v>251371.39</v>
      </c>
      <c r="R38" s="123">
        <f t="shared" si="8"/>
        <v>10021382.300000001</v>
      </c>
      <c r="S38" s="123">
        <f t="shared" si="9"/>
        <v>171862.02000000002</v>
      </c>
      <c r="T38" s="125" t="e">
        <f t="shared" ca="1" si="10"/>
        <v>#NAME?</v>
      </c>
      <c r="U38" s="109">
        <v>247430.24</v>
      </c>
      <c r="V38" s="125" t="e">
        <f ca="1">_xll.BDP($C38,"DVD_EX_DT")</f>
        <v>#NAME?</v>
      </c>
      <c r="W38" s="125" t="e">
        <f ca="1">_xll.BDP($C38,"BDVD_NEXT_EST_DECL_DT")</f>
        <v>#NAME?</v>
      </c>
      <c r="X38" s="795" t="e">
        <f ca="1">_xll.BDP(C38,"BEST_TARGET_PRICE")</f>
        <v>#NAME?</v>
      </c>
      <c r="Y38" s="795" t="e">
        <f ca="1">_xll.BDP($C38,"EQY_DVD_YLD_EST")</f>
        <v>#NAME?</v>
      </c>
      <c r="Z38" s="409" t="e">
        <f ca="1">_xll.BDP(C38,"EQY_REC_CONS")</f>
        <v>#NAME?</v>
      </c>
      <c r="AD38" s="409" t="s">
        <v>970</v>
      </c>
      <c r="AE38" s="409" t="e">
        <f ca="1">_xll.BDP(AD38,"ID_ISIN")</f>
        <v>#NAME?</v>
      </c>
    </row>
    <row r="39" spans="2:31" s="409" customFormat="1" ht="15" x14ac:dyDescent="0.25">
      <c r="B39" s="116" t="e">
        <f ca="1">_xll.BDP(C39,"NAME")</f>
        <v>#NAME?</v>
      </c>
      <c r="C39" s="109" t="s">
        <v>966</v>
      </c>
      <c r="D39" s="119">
        <f t="shared" si="4"/>
        <v>7.2882769058547729E-3</v>
      </c>
      <c r="E39" s="109">
        <v>313260</v>
      </c>
      <c r="F39" s="109">
        <v>48.9</v>
      </c>
      <c r="G39" s="381" t="e">
        <f ca="1">_xll.BDP($C39,"PX_LAST")</f>
        <v>#NAME?</v>
      </c>
      <c r="H39" s="181" t="e">
        <f t="shared" ca="1" si="5"/>
        <v>#NAME?</v>
      </c>
      <c r="I39" s="616" t="e">
        <f t="shared" ca="1" si="6"/>
        <v>#NAME?</v>
      </c>
      <c r="J39" s="181" t="e">
        <f t="shared" ca="1" si="7"/>
        <v>#NAME?</v>
      </c>
      <c r="K39" s="122" t="e">
        <f ca="1">_xll.BDP($C39,"CRNCY")</f>
        <v>#NAME?</v>
      </c>
      <c r="L39" s="119">
        <f t="shared" si="11"/>
        <v>0.54402017437751105</v>
      </c>
      <c r="M39" s="119">
        <f t="shared" si="12"/>
        <v>0.55220595242169024</v>
      </c>
      <c r="N39" s="109">
        <v>15317889.23</v>
      </c>
      <c r="O39" s="109">
        <v>260668.36</v>
      </c>
      <c r="P39" s="109">
        <v>23651130</v>
      </c>
      <c r="Q39" s="109">
        <v>404610.98</v>
      </c>
      <c r="R39" s="123">
        <f t="shared" si="8"/>
        <v>8333240.7699999996</v>
      </c>
      <c r="S39" s="123">
        <f t="shared" si="9"/>
        <v>143942.62</v>
      </c>
      <c r="T39" s="125" t="e">
        <f t="shared" ca="1" si="10"/>
        <v>#NAME?</v>
      </c>
      <c r="U39" s="109">
        <v>391328.08</v>
      </c>
      <c r="V39" s="125" t="e">
        <f ca="1">_xll.BDP($C39,"DVD_EX_DT")</f>
        <v>#NAME?</v>
      </c>
      <c r="W39" s="125" t="e">
        <f ca="1">_xll.BDP($C39,"BDVD_NEXT_EST_DECL_DT")</f>
        <v>#NAME?</v>
      </c>
      <c r="X39" s="795" t="e">
        <f ca="1">_xll.BDP(C39,"BEST_TARGET_PRICE")</f>
        <v>#NAME?</v>
      </c>
      <c r="Y39" s="795" t="e">
        <f ca="1">_xll.BDP($C39,"EQY_DVD_YLD_EST")</f>
        <v>#NAME?</v>
      </c>
      <c r="Z39" s="409" t="e">
        <f ca="1">_xll.BDP(C39,"EQY_REC_CONS")</f>
        <v>#NAME?</v>
      </c>
      <c r="AD39" s="409" t="s">
        <v>966</v>
      </c>
      <c r="AE39" s="409" t="e">
        <f ca="1">_xll.BDP(AD39,"ID_ISIN")</f>
        <v>#NAME?</v>
      </c>
    </row>
    <row r="40" spans="2:31" s="409" customFormat="1" ht="15" x14ac:dyDescent="0.25">
      <c r="B40" s="116" t="e">
        <f ca="1">_xll.BDP(C40,"NAME")</f>
        <v>#NAME?</v>
      </c>
      <c r="C40" s="109" t="s">
        <v>962</v>
      </c>
      <c r="D40" s="119">
        <f t="shared" si="4"/>
        <v>1.5617055359359358E-2</v>
      </c>
      <c r="E40" s="109">
        <v>19552000</v>
      </c>
      <c r="F40" s="109">
        <v>2.48</v>
      </c>
      <c r="G40" s="381" t="e">
        <f ca="1">_xll.BDP($C40,"PX_LAST")</f>
        <v>#NAME?</v>
      </c>
      <c r="H40" s="181" t="e">
        <f t="shared" ca="1" si="5"/>
        <v>#NAME?</v>
      </c>
      <c r="I40" s="616" t="e">
        <f t="shared" ca="1" si="6"/>
        <v>#NAME?</v>
      </c>
      <c r="J40" s="181" t="e">
        <f t="shared" ca="1" si="7"/>
        <v>#NAME?</v>
      </c>
      <c r="K40" s="122" t="e">
        <f ca="1">_xll.BDP($C40,"CRNCY")</f>
        <v>#NAME?</v>
      </c>
      <c r="L40" s="119">
        <f t="shared" si="11"/>
        <v>4.3611286413790529E-2</v>
      </c>
      <c r="M40" s="119">
        <f t="shared" si="12"/>
        <v>4.9144072517354198E-2</v>
      </c>
      <c r="N40" s="109">
        <v>48560977.310000002</v>
      </c>
      <c r="O40" s="109">
        <v>826374.33</v>
      </c>
      <c r="P40" s="109">
        <v>50678784</v>
      </c>
      <c r="Q40" s="109">
        <v>866985.73</v>
      </c>
      <c r="R40" s="123">
        <f t="shared" si="8"/>
        <v>2117806.6899999976</v>
      </c>
      <c r="S40" s="123">
        <f t="shared" si="9"/>
        <v>40611.400000000023</v>
      </c>
      <c r="T40" s="125" t="e">
        <f t="shared" ca="1" si="10"/>
        <v>#NAME?</v>
      </c>
      <c r="U40" s="109">
        <v>855027.22</v>
      </c>
      <c r="V40" s="125" t="e">
        <f ca="1">_xll.BDP($C40,"DVD_EX_DT")</f>
        <v>#NAME?</v>
      </c>
      <c r="W40" s="125" t="e">
        <f ca="1">_xll.BDP($C40,"BDVD_NEXT_EST_DECL_DT")</f>
        <v>#NAME?</v>
      </c>
      <c r="X40" s="795" t="e">
        <f ca="1">_xll.BDP(C40,"BEST_TARGET_PRICE")</f>
        <v>#NAME?</v>
      </c>
      <c r="Y40" s="795" t="e">
        <f ca="1">_xll.BDP($C40,"EQY_DVD_YLD_EST")</f>
        <v>#NAME?</v>
      </c>
      <c r="Z40" s="409" t="e">
        <f ca="1">_xll.BDP(C40,"EQY_REC_CONS")</f>
        <v>#NAME?</v>
      </c>
      <c r="AD40" s="409" t="s">
        <v>962</v>
      </c>
      <c r="AE40" s="409" t="e">
        <f ca="1">_xll.BDP(AD40,"ID_ISIN")</f>
        <v>#NAME?</v>
      </c>
    </row>
    <row r="41" spans="2:31" s="409" customFormat="1" ht="15" x14ac:dyDescent="0.25">
      <c r="B41" s="116" t="e">
        <f ca="1">_xll.BDP(C41,"NAME")</f>
        <v>#NAME?</v>
      </c>
      <c r="C41" s="109" t="s">
        <v>958</v>
      </c>
      <c r="D41" s="119">
        <f t="shared" si="4"/>
        <v>4.2919582614259315E-3</v>
      </c>
      <c r="E41" s="109">
        <v>83400</v>
      </c>
      <c r="F41" s="109">
        <v>160.35</v>
      </c>
      <c r="G41" s="381" t="e">
        <f ca="1">_xll.BDP($C41,"PX_LAST")</f>
        <v>#NAME?</v>
      </c>
      <c r="H41" s="181" t="e">
        <f t="shared" ca="1" si="5"/>
        <v>#NAME?</v>
      </c>
      <c r="I41" s="616" t="e">
        <f t="shared" ca="1" si="6"/>
        <v>#NAME?</v>
      </c>
      <c r="J41" s="181" t="e">
        <f t="shared" ca="1" si="7"/>
        <v>#NAME?</v>
      </c>
      <c r="K41" s="122" t="e">
        <f ca="1">_xll.BDP($C41,"CRNCY")</f>
        <v>#NAME?</v>
      </c>
      <c r="L41" s="119">
        <f t="shared" si="11"/>
        <v>4.1493412987127609E-2</v>
      </c>
      <c r="M41" s="119">
        <f t="shared" si="12"/>
        <v>4.7014987023784371E-2</v>
      </c>
      <c r="N41" s="109">
        <v>13372912.23</v>
      </c>
      <c r="O41" s="109">
        <v>227570.2</v>
      </c>
      <c r="P41" s="109">
        <v>13927800</v>
      </c>
      <c r="Q41" s="109">
        <v>238269.41</v>
      </c>
      <c r="R41" s="123">
        <f t="shared" si="8"/>
        <v>554887.76999999955</v>
      </c>
      <c r="S41" s="123">
        <f t="shared" si="9"/>
        <v>10699.209999999992</v>
      </c>
      <c r="T41" s="125" t="e">
        <f t="shared" ca="1" si="10"/>
        <v>#NAME?</v>
      </c>
      <c r="U41" s="109">
        <v>237577.07</v>
      </c>
      <c r="V41" s="125" t="e">
        <f ca="1">_xll.BDP($C41,"DVD_EX_DT")</f>
        <v>#NAME?</v>
      </c>
      <c r="W41" s="125" t="e">
        <f ca="1">_xll.BDP($C41,"BDVD_NEXT_EST_DECL_DT")</f>
        <v>#NAME?</v>
      </c>
      <c r="X41" s="795" t="e">
        <f ca="1">_xll.BDP(C41,"BEST_TARGET_PRICE")</f>
        <v>#NAME?</v>
      </c>
      <c r="Y41" s="795" t="e">
        <f ca="1">_xll.BDP($C41,"EQY_DVD_YLD_EST")</f>
        <v>#NAME?</v>
      </c>
      <c r="Z41" s="409" t="e">
        <f ca="1">_xll.BDP(C41,"EQY_REC_CONS")</f>
        <v>#NAME?</v>
      </c>
      <c r="AD41" s="409" t="s">
        <v>958</v>
      </c>
      <c r="AE41" s="409" t="e">
        <f ca="1">_xll.BDP(AD41,"ID_ISIN")</f>
        <v>#NAME?</v>
      </c>
    </row>
    <row r="42" spans="2:31" s="409" customFormat="1" ht="15" x14ac:dyDescent="0.25">
      <c r="B42" s="116" t="e">
        <f ca="1">_xll.BDP(C42,"NAME")</f>
        <v>#NAME?</v>
      </c>
      <c r="C42" s="109" t="s">
        <v>204</v>
      </c>
      <c r="D42" s="119">
        <f t="shared" si="4"/>
        <v>1.7974532979074743E-2</v>
      </c>
      <c r="E42" s="109">
        <v>243976</v>
      </c>
      <c r="F42" s="109">
        <v>4.4000000000000004</v>
      </c>
      <c r="G42" s="381" t="e">
        <f ca="1">_xll.BDP($C42,"PX_LAST")</f>
        <v>#NAME?</v>
      </c>
      <c r="H42" s="181" t="e">
        <f t="shared" ca="1" si="5"/>
        <v>#NAME?</v>
      </c>
      <c r="I42" s="616" t="e">
        <f t="shared" ca="1" si="6"/>
        <v>#NAME?</v>
      </c>
      <c r="J42" s="181" t="e">
        <f t="shared" ca="1" si="7"/>
        <v>#NAME?</v>
      </c>
      <c r="K42" s="122" t="e">
        <f ca="1">_xll.BDP($C42,"CRNCY")</f>
        <v>#NAME?</v>
      </c>
      <c r="L42" s="119">
        <f t="shared" si="11"/>
        <v>0.33591552544608727</v>
      </c>
      <c r="M42" s="119">
        <f t="shared" si="12"/>
        <v>-7.1009597399226521E-2</v>
      </c>
      <c r="N42" s="109">
        <v>43659216.049999997</v>
      </c>
      <c r="O42" s="109">
        <v>1074135.79</v>
      </c>
      <c r="P42" s="109">
        <v>58325024.549999997</v>
      </c>
      <c r="Q42" s="109">
        <v>997861.84</v>
      </c>
      <c r="R42" s="123">
        <f t="shared" si="8"/>
        <v>14665808.5</v>
      </c>
      <c r="S42" s="123">
        <f t="shared" si="9"/>
        <v>-76273.95000000007</v>
      </c>
      <c r="T42" s="125" t="e">
        <f t="shared" ca="1" si="10"/>
        <v>#NAME?</v>
      </c>
      <c r="U42" s="109">
        <v>1013720.28</v>
      </c>
      <c r="V42" s="125" t="e">
        <f ca="1">_xll.BDP($C42,"DVD_EX_DT")</f>
        <v>#NAME?</v>
      </c>
      <c r="W42" s="125" t="e">
        <f ca="1">_xll.BDP($C42,"BDVD_NEXT_EST_DECL_DT")</f>
        <v>#NAME?</v>
      </c>
      <c r="X42" s="795" t="e">
        <f ca="1">_xll.BDP(C42,"BEST_TARGET_PRICE")</f>
        <v>#NAME?</v>
      </c>
      <c r="Y42" s="795" t="e">
        <f ca="1">_xll.BDP($C42,"EQY_DVD_YLD_EST")</f>
        <v>#NAME?</v>
      </c>
      <c r="Z42" s="409" t="e">
        <f ca="1">_xll.BDP(C42,"EQY_REC_CONS")</f>
        <v>#NAME?</v>
      </c>
      <c r="AD42" s="409" t="s">
        <v>204</v>
      </c>
      <c r="AE42" s="409" t="e">
        <f ca="1">_xll.BDP(AD42,"ID_ISIN")</f>
        <v>#NAME?</v>
      </c>
    </row>
    <row r="43" spans="2:31" s="409" customFormat="1" ht="15" x14ac:dyDescent="0.25">
      <c r="B43" s="116" t="e">
        <f ca="1">_xll.BDP(C43,"NAME")</f>
        <v>#NAME?</v>
      </c>
      <c r="C43" s="109" t="s">
        <v>226</v>
      </c>
      <c r="D43" s="119">
        <f t="shared" si="4"/>
        <v>2.7957745202242892E-2</v>
      </c>
      <c r="E43" s="109">
        <v>66300</v>
      </c>
      <c r="F43" s="109">
        <v>15</v>
      </c>
      <c r="G43" s="381" t="e">
        <f ca="1">_xll.BDP($C43,"PX_LAST")</f>
        <v>#NAME?</v>
      </c>
      <c r="H43" s="181" t="e">
        <f t="shared" ca="1" si="5"/>
        <v>#NAME?</v>
      </c>
      <c r="I43" s="616" t="e">
        <f t="shared" ca="1" si="6"/>
        <v>#NAME?</v>
      </c>
      <c r="J43" s="181" t="e">
        <f t="shared" ca="1" si="7"/>
        <v>#NAME?</v>
      </c>
      <c r="K43" s="122" t="e">
        <f ca="1">_xll.BDP($C43,"CRNCY")</f>
        <v>#NAME?</v>
      </c>
      <c r="L43" s="119">
        <f t="shared" si="11"/>
        <v>0.69353335484086154</v>
      </c>
      <c r="M43" s="119">
        <f t="shared" si="12"/>
        <v>0.56077424944675691</v>
      </c>
      <c r="N43" s="109">
        <v>53568033.420000002</v>
      </c>
      <c r="O43" s="109">
        <v>994431.45</v>
      </c>
      <c r="P43" s="109">
        <v>90719251.349999994</v>
      </c>
      <c r="Q43" s="109">
        <v>1552083</v>
      </c>
      <c r="R43" s="123">
        <f t="shared" si="8"/>
        <v>37151217.929999992</v>
      </c>
      <c r="S43" s="123">
        <f t="shared" si="9"/>
        <v>557651.55000000005</v>
      </c>
      <c r="T43" s="125" t="e">
        <f t="shared" ca="1" si="10"/>
        <v>#NAME?</v>
      </c>
      <c r="U43" s="109">
        <v>1540149</v>
      </c>
      <c r="V43" s="125" t="e">
        <f ca="1">_xll.BDP($C43,"DVD_EX_DT")</f>
        <v>#NAME?</v>
      </c>
      <c r="W43" s="125" t="e">
        <f ca="1">_xll.BDP($C43,"BDVD_NEXT_EST_DECL_DT")</f>
        <v>#NAME?</v>
      </c>
      <c r="X43" s="795" t="e">
        <f ca="1">_xll.BDP(C43,"BEST_TARGET_PRICE")</f>
        <v>#NAME?</v>
      </c>
      <c r="Y43" s="795" t="e">
        <f ca="1">_xll.BDP($C43,"EQY_DVD_YLD_EST")</f>
        <v>#NAME?</v>
      </c>
      <c r="Z43" s="409" t="e">
        <f ca="1">_xll.BDP(C43,"EQY_REC_CONS")</f>
        <v>#NAME?</v>
      </c>
      <c r="AD43" s="409" t="s">
        <v>226</v>
      </c>
      <c r="AE43" s="409" t="e">
        <f ca="1">_xll.BDP(AD43,"ID_ISIN")</f>
        <v>#NAME?</v>
      </c>
    </row>
    <row r="44" spans="2:31" s="409" customFormat="1" ht="15" x14ac:dyDescent="0.25">
      <c r="B44" s="116" t="e">
        <f ca="1">_xll.BDP(C44,"NAME")</f>
        <v>#NAME?</v>
      </c>
      <c r="C44" s="109" t="s">
        <v>947</v>
      </c>
      <c r="D44" s="119">
        <f t="shared" si="4"/>
        <v>1.8395825022109354E-2</v>
      </c>
      <c r="E44" s="109">
        <v>1000</v>
      </c>
      <c r="F44" s="109">
        <v>36.92</v>
      </c>
      <c r="G44" s="381" t="e">
        <f ca="1">_xll.BDP($C44,"PX_LAST")</f>
        <v>#NAME?</v>
      </c>
      <c r="H44" s="181" t="e">
        <f t="shared" ca="1" si="5"/>
        <v>#NAME?</v>
      </c>
      <c r="I44" s="616" t="e">
        <f t="shared" ca="1" si="6"/>
        <v>#NAME?</v>
      </c>
      <c r="J44" s="181" t="e">
        <f t="shared" ca="1" si="7"/>
        <v>#NAME?</v>
      </c>
      <c r="K44" s="122" t="e">
        <f ca="1">_xll.BDP($C44,"CRNCY")</f>
        <v>#NAME?</v>
      </c>
      <c r="L44" s="119">
        <f t="shared" si="11"/>
        <v>1.4723733647935928</v>
      </c>
      <c r="M44" s="119">
        <f t="shared" si="12"/>
        <v>1.7662495184965192</v>
      </c>
      <c r="N44" s="109">
        <v>24143627.879999999</v>
      </c>
      <c r="O44" s="109">
        <v>369182.17</v>
      </c>
      <c r="P44" s="109">
        <v>59692062.5</v>
      </c>
      <c r="Q44" s="109">
        <v>1021250</v>
      </c>
      <c r="R44" s="123">
        <f t="shared" si="8"/>
        <v>35548434.620000005</v>
      </c>
      <c r="S44" s="123">
        <f t="shared" si="9"/>
        <v>652067.83000000007</v>
      </c>
      <c r="T44" s="125" t="e">
        <f t="shared" ca="1" si="10"/>
        <v>#NAME?</v>
      </c>
      <c r="U44" s="109">
        <v>1038281.25</v>
      </c>
      <c r="V44" s="125" t="e">
        <f ca="1">_xll.BDP($C44,"DVD_EX_DT")</f>
        <v>#NAME?</v>
      </c>
      <c r="W44" s="125" t="e">
        <f ca="1">_xll.BDP($C44,"BDVD_NEXT_EST_DECL_DT")</f>
        <v>#NAME?</v>
      </c>
      <c r="X44" s="795" t="e">
        <f ca="1">_xll.BDP(C44,"BEST_TARGET_PRICE")</f>
        <v>#NAME?</v>
      </c>
      <c r="Y44" s="795" t="e">
        <f ca="1">_xll.BDP($C44,"EQY_DVD_YLD_EST")</f>
        <v>#NAME?</v>
      </c>
      <c r="Z44" s="409" t="e">
        <f ca="1">_xll.BDP(C44,"EQY_REC_CONS")</f>
        <v>#NAME?</v>
      </c>
      <c r="AD44" s="409" t="s">
        <v>947</v>
      </c>
      <c r="AE44" s="409" t="e">
        <f ca="1">_xll.BDP(AD44,"ID_ISIN")</f>
        <v>#NAME?</v>
      </c>
    </row>
    <row r="45" spans="2:31" s="409" customFormat="1" ht="15" x14ac:dyDescent="0.25">
      <c r="B45" s="116" t="e">
        <f ca="1">_xll.BDP(C45,"NAME")</f>
        <v>#NAME?</v>
      </c>
      <c r="C45" s="109" t="s">
        <v>943</v>
      </c>
      <c r="D45" s="119">
        <f t="shared" si="4"/>
        <v>3.2689358547978625E-5</v>
      </c>
      <c r="E45" s="109">
        <v>104</v>
      </c>
      <c r="F45" s="109">
        <v>100.69</v>
      </c>
      <c r="G45" s="381" t="e">
        <f ca="1">_xll.BDP($C45,"PX_LAST")</f>
        <v>#NAME?</v>
      </c>
      <c r="H45" s="181" t="e">
        <f t="shared" ca="1" si="5"/>
        <v>#NAME?</v>
      </c>
      <c r="I45" s="616" t="e">
        <f t="shared" ca="1" si="6"/>
        <v>#NAME?</v>
      </c>
      <c r="J45" s="181" t="e">
        <f t="shared" ca="1" si="7"/>
        <v>#NAME?</v>
      </c>
      <c r="K45" s="122" t="e">
        <f ca="1">_xll.BDP($C45,"CRNCY")</f>
        <v>#NAME?</v>
      </c>
      <c r="L45" s="119">
        <f t="shared" si="11"/>
        <v>1.3045056057451765E-2</v>
      </c>
      <c r="M45" s="119">
        <f t="shared" si="12"/>
        <v>1.8418128556517033E-2</v>
      </c>
      <c r="N45" s="109">
        <v>104714</v>
      </c>
      <c r="O45" s="109">
        <v>1781.94</v>
      </c>
      <c r="P45" s="109">
        <v>106080</v>
      </c>
      <c r="Q45" s="109">
        <v>1814.76</v>
      </c>
      <c r="R45" s="123">
        <f t="shared" si="8"/>
        <v>1366</v>
      </c>
      <c r="S45" s="123">
        <f t="shared" si="9"/>
        <v>32.819999999999936</v>
      </c>
      <c r="T45" s="125" t="e">
        <f t="shared" ca="1" si="10"/>
        <v>#NAME?</v>
      </c>
      <c r="U45" s="109">
        <v>1876.85</v>
      </c>
      <c r="V45" s="125" t="e">
        <f ca="1">_xll.BDP($C45,"DVD_EX_DT")</f>
        <v>#NAME?</v>
      </c>
      <c r="W45" s="125" t="e">
        <f ca="1">_xll.BDP($C45,"BDVD_NEXT_EST_DECL_DT")</f>
        <v>#NAME?</v>
      </c>
      <c r="X45" s="795" t="e">
        <f ca="1">_xll.BDP(C45,"BEST_TARGET_PRICE")</f>
        <v>#NAME?</v>
      </c>
      <c r="Y45" s="795" t="e">
        <f ca="1">_xll.BDP($C45,"EQY_DVD_YLD_EST")</f>
        <v>#NAME?</v>
      </c>
      <c r="Z45" s="409" t="e">
        <f ca="1">_xll.BDP(C45,"EQY_REC_CONS")</f>
        <v>#NAME?</v>
      </c>
      <c r="AD45" s="409" t="s">
        <v>943</v>
      </c>
      <c r="AE45" s="409" t="e">
        <f ca="1">_xll.BDP(AD45,"ID_ISIN")</f>
        <v>#NAME?</v>
      </c>
    </row>
    <row r="46" spans="2:31" s="409" customFormat="1" ht="15" x14ac:dyDescent="0.25">
      <c r="B46" s="116" t="e">
        <f ca="1">_xll.BDP(C46,"NAME")</f>
        <v>#NAME?</v>
      </c>
      <c r="C46" s="109" t="s">
        <v>940</v>
      </c>
      <c r="D46" s="119">
        <f t="shared" si="4"/>
        <v>9.2632098091747717E-6</v>
      </c>
      <c r="E46" s="109">
        <v>30</v>
      </c>
      <c r="F46" s="109">
        <v>104.3</v>
      </c>
      <c r="G46" s="381" t="e">
        <f ca="1">_xll.BDP($C46,"PX_LAST")</f>
        <v>#NAME?</v>
      </c>
      <c r="H46" s="181" t="e">
        <f t="shared" ca="1" si="5"/>
        <v>#NAME?</v>
      </c>
      <c r="I46" s="616" t="e">
        <f t="shared" ca="1" si="6"/>
        <v>#NAME?</v>
      </c>
      <c r="J46" s="181" t="e">
        <f t="shared" ca="1" si="7"/>
        <v>#NAME?</v>
      </c>
      <c r="K46" s="122" t="e">
        <f ca="1">_xll.BDP($C46,"CRNCY")</f>
        <v>#NAME?</v>
      </c>
      <c r="L46" s="119">
        <f t="shared" si="11"/>
        <v>-3.9309683604985657E-2</v>
      </c>
      <c r="M46" s="119">
        <f t="shared" si="12"/>
        <v>-3.4217890209777169E-2</v>
      </c>
      <c r="N46" s="109">
        <v>31290</v>
      </c>
      <c r="O46" s="109">
        <v>532.47</v>
      </c>
      <c r="P46" s="109">
        <v>30060</v>
      </c>
      <c r="Q46" s="109">
        <v>514.25</v>
      </c>
      <c r="R46" s="123">
        <f t="shared" si="8"/>
        <v>-1230</v>
      </c>
      <c r="S46" s="123">
        <f t="shared" si="9"/>
        <v>-18.220000000000027</v>
      </c>
      <c r="T46" s="125" t="e">
        <f t="shared" ca="1" si="10"/>
        <v>#NAME?</v>
      </c>
      <c r="U46" s="109">
        <v>539.83000000000004</v>
      </c>
      <c r="V46" s="125" t="e">
        <f ca="1">_xll.BDP($C46,"DVD_EX_DT")</f>
        <v>#NAME?</v>
      </c>
      <c r="W46" s="125" t="e">
        <f ca="1">_xll.BDP($C46,"BDVD_NEXT_EST_DECL_DT")</f>
        <v>#NAME?</v>
      </c>
      <c r="X46" s="795" t="e">
        <f ca="1">_xll.BDP(C46,"BEST_TARGET_PRICE")</f>
        <v>#NAME?</v>
      </c>
      <c r="Y46" s="795" t="e">
        <f ca="1">_xll.BDP($C46,"EQY_DVD_YLD_EST")</f>
        <v>#NAME?</v>
      </c>
      <c r="Z46" s="409" t="e">
        <f ca="1">_xll.BDP(C46,"EQY_REC_CONS")</f>
        <v>#NAME?</v>
      </c>
      <c r="AD46" s="409" t="s">
        <v>940</v>
      </c>
      <c r="AE46" s="409" t="e">
        <f ca="1">_xll.BDP(AD46,"ID_ISIN")</f>
        <v>#NAME?</v>
      </c>
    </row>
    <row r="47" spans="2:31" s="409" customFormat="1" ht="15" x14ac:dyDescent="0.25">
      <c r="B47" s="116" t="e">
        <f ca="1">_xll.BDP(C47,"NAME")</f>
        <v>#NAME?</v>
      </c>
      <c r="C47" s="109" t="s">
        <v>936</v>
      </c>
      <c r="D47" s="119">
        <f t="shared" si="4"/>
        <v>6.2512480936820862E-6</v>
      </c>
      <c r="E47" s="109">
        <v>20</v>
      </c>
      <c r="F47" s="109">
        <v>101.43</v>
      </c>
      <c r="G47" s="381" t="e">
        <f ca="1">_xll.BDP($C47,"PX_LAST")</f>
        <v>#NAME?</v>
      </c>
      <c r="H47" s="181" t="e">
        <f t="shared" ca="1" si="5"/>
        <v>#NAME?</v>
      </c>
      <c r="I47" s="616" t="e">
        <f t="shared" ca="1" si="6"/>
        <v>#NAME?</v>
      </c>
      <c r="J47" s="181" t="e">
        <f t="shared" ca="1" si="7"/>
        <v>#NAME?</v>
      </c>
      <c r="K47" s="122" t="e">
        <f ca="1">_xll.BDP($C47,"CRNCY")</f>
        <v>#NAME?</v>
      </c>
      <c r="L47" s="119">
        <f t="shared" si="11"/>
        <v>0</v>
      </c>
      <c r="M47" s="119">
        <f t="shared" si="12"/>
        <v>5.3011210567481815E-3</v>
      </c>
      <c r="N47" s="109">
        <v>20286</v>
      </c>
      <c r="O47" s="109">
        <v>345.21</v>
      </c>
      <c r="P47" s="109">
        <v>20286</v>
      </c>
      <c r="Q47" s="109">
        <v>347.04</v>
      </c>
      <c r="R47" s="123">
        <f t="shared" si="8"/>
        <v>0</v>
      </c>
      <c r="S47" s="123">
        <f t="shared" si="9"/>
        <v>1.8300000000000409</v>
      </c>
      <c r="T47" s="125" t="e">
        <f t="shared" ca="1" si="10"/>
        <v>#NAME?</v>
      </c>
      <c r="U47" s="109">
        <v>347.88</v>
      </c>
      <c r="V47" s="125" t="e">
        <f ca="1">_xll.BDP($C47,"DVD_EX_DT")</f>
        <v>#NAME?</v>
      </c>
      <c r="W47" s="125" t="e">
        <f ca="1">_xll.BDP($C47,"BDVD_NEXT_EST_DECL_DT")</f>
        <v>#NAME?</v>
      </c>
      <c r="X47" s="795" t="e">
        <f ca="1">_xll.BDP(C47,"BEST_TARGET_PRICE")</f>
        <v>#NAME?</v>
      </c>
      <c r="Y47" s="795" t="e">
        <f ca="1">_xll.BDP($C47,"EQY_DVD_YLD_EST")</f>
        <v>#NAME?</v>
      </c>
      <c r="Z47" s="409" t="e">
        <f ca="1">_xll.BDP(C47,"EQY_REC_CONS")</f>
        <v>#NAME?</v>
      </c>
      <c r="AD47" s="409" t="s">
        <v>936</v>
      </c>
      <c r="AE47" s="409" t="e">
        <f ca="1">_xll.BDP(AD47,"ID_ISIN")</f>
        <v>#NAME?</v>
      </c>
    </row>
    <row r="48" spans="2:31" s="409" customFormat="1" ht="15" x14ac:dyDescent="0.25">
      <c r="B48" s="116" t="e">
        <f ca="1">_xll.BDP(C48,"NAME")</f>
        <v>#NAME?</v>
      </c>
      <c r="C48" s="109" t="s">
        <v>932</v>
      </c>
      <c r="D48" s="119">
        <f t="shared" si="4"/>
        <v>3.8457856961765942E-3</v>
      </c>
      <c r="E48" s="109">
        <v>200</v>
      </c>
      <c r="F48" s="109">
        <v>85</v>
      </c>
      <c r="G48" s="381" t="e">
        <f ca="1">_xll.BDP($C48,"PX_LAST")</f>
        <v>#NAME?</v>
      </c>
      <c r="H48" s="181" t="e">
        <f t="shared" ca="1" si="5"/>
        <v>#NAME?</v>
      </c>
      <c r="I48" s="616" t="e">
        <f t="shared" ca="1" si="6"/>
        <v>#NAME?</v>
      </c>
      <c r="J48" s="181" t="e">
        <f t="shared" ca="1" si="7"/>
        <v>#NAME?</v>
      </c>
      <c r="K48" s="122" t="e">
        <f ca="1">_xll.BDP($C48,"CRNCY")</f>
        <v>#NAME?</v>
      </c>
      <c r="L48" s="119">
        <f t="shared" si="11"/>
        <v>0.82852966818811224</v>
      </c>
      <c r="M48" s="119">
        <f t="shared" si="12"/>
        <v>0.25588235294117645</v>
      </c>
      <c r="N48" s="109">
        <v>6824650</v>
      </c>
      <c r="O48" s="109">
        <v>170000</v>
      </c>
      <c r="P48" s="109">
        <v>12479075</v>
      </c>
      <c r="Q48" s="109">
        <v>213500</v>
      </c>
      <c r="R48" s="123">
        <f t="shared" si="8"/>
        <v>5654425</v>
      </c>
      <c r="S48" s="123">
        <f t="shared" si="9"/>
        <v>43500</v>
      </c>
      <c r="T48" s="125" t="e">
        <f t="shared" ca="1" si="10"/>
        <v>#NAME?</v>
      </c>
      <c r="U48" s="109">
        <v>193875</v>
      </c>
      <c r="V48" s="125" t="e">
        <f ca="1">_xll.BDP($C48,"DVD_EX_DT")</f>
        <v>#NAME?</v>
      </c>
      <c r="W48" s="125" t="e">
        <f ca="1">_xll.BDP($C48,"BDVD_NEXT_EST_DECL_DT")</f>
        <v>#NAME?</v>
      </c>
      <c r="X48" s="795" t="e">
        <f ca="1">_xll.BDP(C48,"BEST_TARGET_PRICE")</f>
        <v>#NAME?</v>
      </c>
      <c r="Y48" s="795" t="e">
        <f ca="1">_xll.BDP($C48,"EQY_DVD_YLD_EST")</f>
        <v>#NAME?</v>
      </c>
      <c r="Z48" s="409" t="e">
        <f ca="1">_xll.BDP(C48,"EQY_REC_CONS")</f>
        <v>#NAME?</v>
      </c>
      <c r="AD48" s="409" t="s">
        <v>932</v>
      </c>
      <c r="AE48" s="409" t="e">
        <f ca="1">_xll.BDP(AD48,"ID_ISIN")</f>
        <v>#NAME?</v>
      </c>
    </row>
    <row r="49" spans="2:31" s="409" customFormat="1" ht="15" x14ac:dyDescent="0.25">
      <c r="B49" s="116" t="e">
        <f ca="1">_xll.BDP(C49,"NAME")</f>
        <v>#NAME?</v>
      </c>
      <c r="C49" s="109" t="s">
        <v>929</v>
      </c>
      <c r="D49" s="119">
        <f t="shared" si="4"/>
        <v>9.4204637160957155E-6</v>
      </c>
      <c r="E49" s="109">
        <v>30</v>
      </c>
      <c r="F49" s="109">
        <v>100</v>
      </c>
      <c r="G49" s="381" t="e">
        <f ca="1">_xll.BDP($C49,"PX_LAST")</f>
        <v>#NAME?</v>
      </c>
      <c r="H49" s="181" t="e">
        <f t="shared" ca="1" si="5"/>
        <v>#NAME?</v>
      </c>
      <c r="I49" s="616" t="e">
        <f t="shared" ca="1" si="6"/>
        <v>#NAME?</v>
      </c>
      <c r="J49" s="181" t="e">
        <f t="shared" ca="1" si="7"/>
        <v>#NAME?</v>
      </c>
      <c r="K49" s="122" t="e">
        <f ca="1">_xll.BDP($C49,"CRNCY")</f>
        <v>#NAME?</v>
      </c>
      <c r="L49" s="119">
        <f t="shared" si="11"/>
        <v>1.8999999999999906E-2</v>
      </c>
      <c r="M49" s="119">
        <f t="shared" si="12"/>
        <v>2.4406487502938168E-2</v>
      </c>
      <c r="N49" s="109">
        <v>30000</v>
      </c>
      <c r="O49" s="109">
        <v>510.52</v>
      </c>
      <c r="P49" s="109">
        <v>30570</v>
      </c>
      <c r="Q49" s="109">
        <v>522.98</v>
      </c>
      <c r="R49" s="123">
        <f t="shared" si="8"/>
        <v>570</v>
      </c>
      <c r="S49" s="123">
        <f t="shared" si="9"/>
        <v>12.460000000000036</v>
      </c>
      <c r="T49" s="125" t="e">
        <f t="shared" ca="1" si="10"/>
        <v>#NAME?</v>
      </c>
      <c r="U49" s="109">
        <v>530.11</v>
      </c>
      <c r="V49" s="125" t="e">
        <f ca="1">_xll.BDP($C49,"DVD_EX_DT")</f>
        <v>#NAME?</v>
      </c>
      <c r="W49" s="125" t="e">
        <f ca="1">_xll.BDP($C49,"BDVD_NEXT_EST_DECL_DT")</f>
        <v>#NAME?</v>
      </c>
      <c r="X49" s="795" t="e">
        <f ca="1">_xll.BDP(C49,"BEST_TARGET_PRICE")</f>
        <v>#NAME?</v>
      </c>
      <c r="Y49" s="795" t="e">
        <f ca="1">_xll.BDP($C49,"EQY_DVD_YLD_EST")</f>
        <v>#NAME?</v>
      </c>
      <c r="Z49" s="409" t="e">
        <f ca="1">_xll.BDP(C49,"EQY_REC_CONS")</f>
        <v>#NAME?</v>
      </c>
      <c r="AD49" s="409" t="s">
        <v>929</v>
      </c>
      <c r="AE49" s="409" t="e">
        <f ca="1">_xll.BDP(AD49,"ID_ISIN")</f>
        <v>#NAME?</v>
      </c>
    </row>
    <row r="50" spans="2:31" s="633" customFormat="1" ht="15" x14ac:dyDescent="0.25">
      <c r="B50" s="116" t="e">
        <f ca="1">_xll.BDP(C50,"NAME")</f>
        <v>#NAME?</v>
      </c>
      <c r="C50" s="109" t="s">
        <v>925</v>
      </c>
      <c r="D50" s="119">
        <f t="shared" si="4"/>
        <v>6.4281362226584519E-6</v>
      </c>
      <c r="E50" s="109">
        <v>20</v>
      </c>
      <c r="F50" s="109">
        <v>100</v>
      </c>
      <c r="G50" s="381" t="e">
        <f ca="1">_xll.BDP($C50,"PX_LAST")</f>
        <v>#NAME?</v>
      </c>
      <c r="H50" s="181" t="e">
        <f t="shared" ca="1" si="5"/>
        <v>#NAME?</v>
      </c>
      <c r="I50" s="616" t="e">
        <f t="shared" ca="1" si="6"/>
        <v>#NAME?</v>
      </c>
      <c r="J50" s="181" t="e">
        <f t="shared" ca="1" si="7"/>
        <v>#NAME?</v>
      </c>
      <c r="K50" s="122" t="e">
        <f ca="1">_xll.BDP($C50,"CRNCY")</f>
        <v>#NAME?</v>
      </c>
      <c r="L50" s="119">
        <f t="shared" si="11"/>
        <v>4.2999999999999927E-2</v>
      </c>
      <c r="M50" s="119">
        <f t="shared" si="12"/>
        <v>4.8508887909504805E-2</v>
      </c>
      <c r="N50" s="109">
        <v>20000</v>
      </c>
      <c r="O50" s="109">
        <v>340.35</v>
      </c>
      <c r="P50" s="109">
        <v>20860</v>
      </c>
      <c r="Q50" s="109">
        <v>356.86</v>
      </c>
      <c r="R50" s="123">
        <f t="shared" si="8"/>
        <v>860</v>
      </c>
      <c r="S50" s="123">
        <f t="shared" si="9"/>
        <v>16.509999999999991</v>
      </c>
      <c r="T50" s="125" t="e">
        <f t="shared" ca="1" si="10"/>
        <v>#NAME?</v>
      </c>
      <c r="U50" s="109">
        <v>375.21</v>
      </c>
      <c r="V50" s="125" t="e">
        <f ca="1">_xll.BDP($C50,"DVD_EX_DT")</f>
        <v>#NAME?</v>
      </c>
      <c r="W50" s="125" t="e">
        <f ca="1">_xll.BDP($C50,"BDVD_NEXT_EST_DECL_DT")</f>
        <v>#NAME?</v>
      </c>
      <c r="X50" s="795" t="e">
        <f ca="1">_xll.BDP(C50,"BEST_TARGET_PRICE")</f>
        <v>#NAME?</v>
      </c>
      <c r="Y50" s="795" t="e">
        <f ca="1">_xll.BDP($C50,"EQY_DVD_YLD_EST")</f>
        <v>#NAME?</v>
      </c>
      <c r="Z50" s="409" t="e">
        <f ca="1">_xll.BDP(C50,"EQY_REC_CONS")</f>
        <v>#NAME?</v>
      </c>
      <c r="AD50" s="633" t="s">
        <v>925</v>
      </c>
      <c r="AE50" s="409" t="e">
        <f ca="1">_xll.BDP(AD50,"ID_ISIN")</f>
        <v>#NAME?</v>
      </c>
    </row>
    <row r="51" spans="2:31" s="633" customFormat="1" ht="15" x14ac:dyDescent="0.25">
      <c r="B51" s="116" t="e">
        <f ca="1">_xll.BDP(C51,"NAME")</f>
        <v>#NAME?</v>
      </c>
      <c r="C51" s="109" t="s">
        <v>921</v>
      </c>
      <c r="D51" s="119">
        <f t="shared" si="4"/>
        <v>3.6881715283005045E-2</v>
      </c>
      <c r="E51" s="109">
        <v>2000</v>
      </c>
      <c r="F51" s="109">
        <v>84.24</v>
      </c>
      <c r="G51" s="381" t="e">
        <f ca="1">_xll.BDP($C51,"PX_LAST")</f>
        <v>#NAME?</v>
      </c>
      <c r="H51" s="181" t="e">
        <f t="shared" ca="1" si="5"/>
        <v>#NAME?</v>
      </c>
      <c r="I51" s="616" t="e">
        <f t="shared" ca="1" si="6"/>
        <v>#NAME?</v>
      </c>
      <c r="J51" s="181" t="e">
        <f t="shared" ca="1" si="7"/>
        <v>#NAME?</v>
      </c>
      <c r="K51" s="122" t="e">
        <f ca="1">_xll.BDP($C51,"CRNCY")</f>
        <v>#NAME?</v>
      </c>
      <c r="L51" s="119">
        <f t="shared" si="11"/>
        <v>0.7694105816905028</v>
      </c>
      <c r="M51" s="119">
        <f t="shared" si="12"/>
        <v>0.2152778066305272</v>
      </c>
      <c r="N51" s="109">
        <v>67636294.390000001</v>
      </c>
      <c r="O51" s="109">
        <v>1684799.96</v>
      </c>
      <c r="P51" s="109">
        <v>119676375</v>
      </c>
      <c r="Q51" s="109">
        <v>2047500</v>
      </c>
      <c r="R51" s="123">
        <f t="shared" si="8"/>
        <v>52040080.609999999</v>
      </c>
      <c r="S51" s="123">
        <f t="shared" si="9"/>
        <v>362700.04000000004</v>
      </c>
      <c r="T51" s="125" t="e">
        <f t="shared" ca="1" si="10"/>
        <v>#NAME?</v>
      </c>
      <c r="U51" s="109">
        <v>1698750</v>
      </c>
      <c r="V51" s="125" t="e">
        <f ca="1">_xll.BDP($C51,"DVD_EX_DT")</f>
        <v>#NAME?</v>
      </c>
      <c r="W51" s="125" t="e">
        <f ca="1">_xll.BDP($C51,"BDVD_NEXT_EST_DECL_DT")</f>
        <v>#NAME?</v>
      </c>
      <c r="X51" s="795" t="e">
        <f ca="1">_xll.BDP(C51,"BEST_TARGET_PRICE")</f>
        <v>#NAME?</v>
      </c>
      <c r="Y51" s="795" t="e">
        <f ca="1">_xll.BDP($C51,"EQY_DVD_YLD_EST")</f>
        <v>#NAME?</v>
      </c>
      <c r="Z51" s="409" t="e">
        <f ca="1">_xll.BDP(C51,"EQY_REC_CONS")</f>
        <v>#NAME?</v>
      </c>
      <c r="AD51" s="633" t="s">
        <v>921</v>
      </c>
      <c r="AE51" s="409" t="e">
        <f ca="1">_xll.BDP(AD51,"ID_ISIN")</f>
        <v>#NAME?</v>
      </c>
    </row>
    <row r="52" spans="2:31" s="633" customFormat="1" ht="15" x14ac:dyDescent="0.25">
      <c r="B52" s="116" t="e">
        <f ca="1">_xll.BDP(C52,"NAME")</f>
        <v>#NAME?</v>
      </c>
      <c r="C52" s="109" t="s">
        <v>918</v>
      </c>
      <c r="D52" s="119">
        <f t="shared" si="4"/>
        <v>4.7734576556758669E-3</v>
      </c>
      <c r="E52" s="109">
        <v>250</v>
      </c>
      <c r="F52" s="109">
        <v>89.39</v>
      </c>
      <c r="G52" s="381" t="e">
        <f ca="1">_xll.BDP($C52,"PX_LAST")</f>
        <v>#NAME?</v>
      </c>
      <c r="H52" s="181" t="e">
        <f t="shared" ca="1" si="5"/>
        <v>#NAME?</v>
      </c>
      <c r="I52" s="616" t="e">
        <f t="shared" ca="1" si="6"/>
        <v>#NAME?</v>
      </c>
      <c r="J52" s="181" t="e">
        <f t="shared" ca="1" si="7"/>
        <v>#NAME?</v>
      </c>
      <c r="K52" s="122" t="e">
        <f ca="1">_xll.BDP($C52,"CRNCY")</f>
        <v>#NAME?</v>
      </c>
      <c r="L52" s="119">
        <f t="shared" si="11"/>
        <v>0.72648832464255908</v>
      </c>
      <c r="M52" s="119">
        <f t="shared" si="12"/>
        <v>0.18579766998364855</v>
      </c>
      <c r="N52" s="109">
        <v>8971534.75</v>
      </c>
      <c r="O52" s="109">
        <v>223478.26</v>
      </c>
      <c r="P52" s="109">
        <v>15489250</v>
      </c>
      <c r="Q52" s="109">
        <v>265000</v>
      </c>
      <c r="R52" s="123">
        <f t="shared" si="8"/>
        <v>6517715.25</v>
      </c>
      <c r="S52" s="123">
        <f t="shared" si="9"/>
        <v>41521.739999999991</v>
      </c>
      <c r="T52" s="125" t="e">
        <f t="shared" ca="1" si="10"/>
        <v>#NAME?</v>
      </c>
      <c r="U52" s="109">
        <v>485423.44</v>
      </c>
      <c r="V52" s="125" t="e">
        <f ca="1">_xll.BDP($C52,"DVD_EX_DT")</f>
        <v>#NAME?</v>
      </c>
      <c r="W52" s="125" t="e">
        <f ca="1">_xll.BDP($C52,"BDVD_NEXT_EST_DECL_DT")</f>
        <v>#NAME?</v>
      </c>
      <c r="X52" s="795" t="e">
        <f ca="1">_xll.BDP(C52,"BEST_TARGET_PRICE")</f>
        <v>#NAME?</v>
      </c>
      <c r="Y52" s="795" t="e">
        <f ca="1">_xll.BDP($C52,"EQY_DVD_YLD_EST")</f>
        <v>#NAME?</v>
      </c>
      <c r="Z52" s="409" t="e">
        <f ca="1">_xll.BDP(C52,"EQY_REC_CONS")</f>
        <v>#NAME?</v>
      </c>
      <c r="AD52" s="633" t="s">
        <v>918</v>
      </c>
      <c r="AE52" s="409" t="e">
        <f ca="1">_xll.BDP(AD52,"ID_ISIN")</f>
        <v>#NAME?</v>
      </c>
    </row>
    <row r="53" spans="2:31" s="633" customFormat="1" ht="15" x14ac:dyDescent="0.25">
      <c r="B53" s="116" t="e">
        <f ca="1">_xll.BDP(C53,"NAME")</f>
        <v>#NAME?</v>
      </c>
      <c r="C53" s="109" t="s">
        <v>915</v>
      </c>
      <c r="D53" s="119">
        <f t="shared" si="4"/>
        <v>9.7670347549455407E-6</v>
      </c>
      <c r="E53" s="109">
        <v>30</v>
      </c>
      <c r="F53" s="109">
        <v>105.8</v>
      </c>
      <c r="G53" s="381" t="e">
        <f ca="1">_xll.BDP($C53,"PX_LAST")</f>
        <v>#NAME?</v>
      </c>
      <c r="H53" s="181" t="e">
        <f t="shared" ca="1" si="5"/>
        <v>#NAME?</v>
      </c>
      <c r="I53" s="616" t="e">
        <f t="shared" ca="1" si="6"/>
        <v>#NAME?</v>
      </c>
      <c r="J53" s="181" t="e">
        <f t="shared" ca="1" si="7"/>
        <v>#NAME?</v>
      </c>
      <c r="K53" s="122" t="e">
        <f ca="1">_xll.BDP($C53,"CRNCY")</f>
        <v>#NAME?</v>
      </c>
      <c r="L53" s="119">
        <f t="shared" si="11"/>
        <v>-1.4177693761814325E-3</v>
      </c>
      <c r="M53" s="119">
        <f t="shared" si="12"/>
        <v>3.8694388387980894E-3</v>
      </c>
      <c r="N53" s="109">
        <v>31740</v>
      </c>
      <c r="O53" s="109">
        <v>540.13</v>
      </c>
      <c r="P53" s="109">
        <v>31695</v>
      </c>
      <c r="Q53" s="109">
        <v>542.22</v>
      </c>
      <c r="R53" s="123">
        <f t="shared" si="8"/>
        <v>-45</v>
      </c>
      <c r="S53" s="123">
        <f t="shared" si="9"/>
        <v>2.0900000000000318</v>
      </c>
      <c r="T53" s="125" t="e">
        <f t="shared" ca="1" si="10"/>
        <v>#NAME?</v>
      </c>
      <c r="U53" s="109">
        <v>553.27</v>
      </c>
      <c r="V53" s="125" t="e">
        <f ca="1">_xll.BDP($C53,"DVD_EX_DT")</f>
        <v>#NAME?</v>
      </c>
      <c r="W53" s="125" t="e">
        <f ca="1">_xll.BDP($C53,"BDVD_NEXT_EST_DECL_DT")</f>
        <v>#NAME?</v>
      </c>
      <c r="X53" s="795" t="e">
        <f ca="1">_xll.BDP(C53,"BEST_TARGET_PRICE")</f>
        <v>#NAME?</v>
      </c>
      <c r="Y53" s="795" t="e">
        <f ca="1">_xll.BDP($C53,"EQY_DVD_YLD_EST")</f>
        <v>#NAME?</v>
      </c>
      <c r="Z53" s="409" t="e">
        <f ca="1">_xll.BDP(C53,"EQY_REC_CONS")</f>
        <v>#NAME?</v>
      </c>
      <c r="AD53" s="633" t="s">
        <v>915</v>
      </c>
      <c r="AE53" s="409" t="e">
        <f ca="1">_xll.BDP(AD53,"ID_ISIN")</f>
        <v>#NAME?</v>
      </c>
    </row>
    <row r="54" spans="2:31" s="633" customFormat="1" ht="15" x14ac:dyDescent="0.25">
      <c r="B54" s="116" t="e">
        <f ca="1">_xll.BDP(C54,"NAME")</f>
        <v>#NAME?</v>
      </c>
      <c r="C54" s="109" t="s">
        <v>911</v>
      </c>
      <c r="D54" s="119">
        <f t="shared" si="4"/>
        <v>9.0227356216152521E-7</v>
      </c>
      <c r="E54" s="109">
        <v>3</v>
      </c>
      <c r="F54" s="109">
        <v>92.46</v>
      </c>
      <c r="G54" s="381" t="e">
        <f ca="1">_xll.BDP($C54,"PX_LAST")</f>
        <v>#NAME?</v>
      </c>
      <c r="H54" s="181" t="e">
        <f t="shared" ca="1" si="5"/>
        <v>#NAME?</v>
      </c>
      <c r="I54" s="616" t="e">
        <f t="shared" ca="1" si="6"/>
        <v>#NAME?</v>
      </c>
      <c r="J54" s="181" t="e">
        <f t="shared" ca="1" si="7"/>
        <v>#NAME?</v>
      </c>
      <c r="K54" s="122" t="e">
        <f ca="1">_xll.BDP($C54,"CRNCY")</f>
        <v>#NAME?</v>
      </c>
      <c r="L54" s="119">
        <f t="shared" si="11"/>
        <v>5.5591607181483926E-2</v>
      </c>
      <c r="M54" s="119">
        <f t="shared" si="12"/>
        <v>6.1228813559321971E-2</v>
      </c>
      <c r="N54" s="109">
        <v>2773.8</v>
      </c>
      <c r="O54" s="109">
        <v>47.2</v>
      </c>
      <c r="P54" s="109">
        <v>2928</v>
      </c>
      <c r="Q54" s="109">
        <v>50.09</v>
      </c>
      <c r="R54" s="123">
        <f t="shared" si="8"/>
        <v>154.19999999999982</v>
      </c>
      <c r="S54" s="123">
        <f t="shared" si="9"/>
        <v>2.8900000000000006</v>
      </c>
      <c r="T54" s="125" t="e">
        <f t="shared" ca="1" si="10"/>
        <v>#NAME?</v>
      </c>
      <c r="U54" s="109">
        <v>50.15</v>
      </c>
      <c r="V54" s="125" t="e">
        <f ca="1">_xll.BDP($C54,"DVD_EX_DT")</f>
        <v>#NAME?</v>
      </c>
      <c r="W54" s="125" t="e">
        <f ca="1">_xll.BDP($C54,"BDVD_NEXT_EST_DECL_DT")</f>
        <v>#NAME?</v>
      </c>
      <c r="X54" s="795" t="e">
        <f ca="1">_xll.BDP(C54,"BEST_TARGET_PRICE")</f>
        <v>#NAME?</v>
      </c>
      <c r="Y54" s="795" t="e">
        <f ca="1">_xll.BDP($C54,"EQY_DVD_YLD_EST")</f>
        <v>#NAME?</v>
      </c>
      <c r="Z54" s="409" t="e">
        <f ca="1">_xll.BDP(C54,"EQY_REC_CONS")</f>
        <v>#NAME?</v>
      </c>
      <c r="AD54" s="633" t="s">
        <v>911</v>
      </c>
      <c r="AE54" s="409" t="e">
        <f ca="1">_xll.BDP(AD54,"ID_ISIN")</f>
        <v>#NAME?</v>
      </c>
    </row>
    <row r="55" spans="2:31" s="633" customFormat="1" ht="15" x14ac:dyDescent="0.25">
      <c r="B55" s="116" t="e">
        <f ca="1">_xll.BDP(C55,"NAME")</f>
        <v>#NAME?</v>
      </c>
      <c r="C55" s="109" t="s">
        <v>907</v>
      </c>
      <c r="D55" s="119">
        <f t="shared" si="4"/>
        <v>1.4914803543017425E-5</v>
      </c>
      <c r="E55" s="109">
        <v>48.57</v>
      </c>
      <c r="F55" s="109">
        <v>96.2</v>
      </c>
      <c r="G55" s="381" t="e">
        <f ca="1">_xll.BDP($C55,"PX_LAST")</f>
        <v>#NAME?</v>
      </c>
      <c r="H55" s="181" t="e">
        <f t="shared" ca="1" si="5"/>
        <v>#NAME?</v>
      </c>
      <c r="I55" s="616" t="e">
        <f t="shared" ca="1" si="6"/>
        <v>#NAME?</v>
      </c>
      <c r="J55" s="181" t="e">
        <f t="shared" ca="1" si="7"/>
        <v>#NAME?</v>
      </c>
      <c r="K55" s="122" t="e">
        <f ca="1">_xll.BDP($C55,"CRNCY")</f>
        <v>#NAME?</v>
      </c>
      <c r="L55" s="119">
        <f t="shared" si="11"/>
        <v>3.5882624249707673E-2</v>
      </c>
      <c r="M55" s="119">
        <f t="shared" si="12"/>
        <v>4.1378442963149187E-2</v>
      </c>
      <c r="N55" s="109">
        <v>46723.45</v>
      </c>
      <c r="O55" s="109">
        <v>795.1</v>
      </c>
      <c r="P55" s="109">
        <v>48400.01</v>
      </c>
      <c r="Q55" s="109">
        <v>828</v>
      </c>
      <c r="R55" s="123">
        <f t="shared" si="8"/>
        <v>1676.5600000000049</v>
      </c>
      <c r="S55" s="123">
        <f t="shared" si="9"/>
        <v>32.899999999999977</v>
      </c>
      <c r="T55" s="125" t="e">
        <f t="shared" ca="1" si="10"/>
        <v>#NAME?</v>
      </c>
      <c r="U55" s="109">
        <v>847.01</v>
      </c>
      <c r="V55" s="125" t="e">
        <f ca="1">_xll.BDP($C55,"DVD_EX_DT")</f>
        <v>#NAME?</v>
      </c>
      <c r="W55" s="125" t="e">
        <f ca="1">_xll.BDP($C55,"BDVD_NEXT_EST_DECL_DT")</f>
        <v>#NAME?</v>
      </c>
      <c r="X55" s="795" t="e">
        <f ca="1">_xll.BDP(C55,"BEST_TARGET_PRICE")</f>
        <v>#NAME?</v>
      </c>
      <c r="Y55" s="795" t="e">
        <f ca="1">_xll.BDP($C55,"EQY_DVD_YLD_EST")</f>
        <v>#NAME?</v>
      </c>
      <c r="Z55" s="409" t="e">
        <f ca="1">_xll.BDP(C55,"EQY_REC_CONS")</f>
        <v>#NAME?</v>
      </c>
      <c r="AD55" s="633" t="s">
        <v>907</v>
      </c>
      <c r="AE55" s="409" t="e">
        <f ca="1">_xll.BDP(AD55,"ID_ISIN")</f>
        <v>#NAME?</v>
      </c>
    </row>
    <row r="56" spans="2:31" s="633" customFormat="1" ht="15" x14ac:dyDescent="0.25">
      <c r="B56" s="116" t="e">
        <f ca="1">_xll.BDP(C56,"NAME")</f>
        <v>#NAME?</v>
      </c>
      <c r="C56" s="109" t="s">
        <v>903</v>
      </c>
      <c r="D56" s="119">
        <f t="shared" si="4"/>
        <v>2.4282823531481201E-2</v>
      </c>
      <c r="E56" s="109">
        <v>80000</v>
      </c>
      <c r="F56" s="109">
        <v>76.290000000000006</v>
      </c>
      <c r="G56" s="381" t="e">
        <f ca="1">_xll.BDP($C56,"PX_LAST")</f>
        <v>#NAME?</v>
      </c>
      <c r="H56" s="181" t="e">
        <f t="shared" ca="1" si="5"/>
        <v>#NAME?</v>
      </c>
      <c r="I56" s="616" t="e">
        <f t="shared" ca="1" si="6"/>
        <v>#NAME?</v>
      </c>
      <c r="J56" s="181" t="e">
        <f t="shared" ca="1" si="7"/>
        <v>#NAME?</v>
      </c>
      <c r="K56" s="122" t="e">
        <f ca="1">_xll.BDP($C56,"CRNCY")</f>
        <v>#NAME?</v>
      </c>
      <c r="L56" s="119">
        <f t="shared" si="11"/>
        <v>0.29108364982741652</v>
      </c>
      <c r="M56" s="119">
        <f t="shared" si="12"/>
        <v>0.29792842673947018</v>
      </c>
      <c r="N56" s="109">
        <v>61034000.399999999</v>
      </c>
      <c r="O56" s="109">
        <v>1038630.9</v>
      </c>
      <c r="P56" s="109">
        <v>78800000</v>
      </c>
      <c r="Q56" s="109">
        <v>1348068.57</v>
      </c>
      <c r="R56" s="123">
        <f t="shared" si="8"/>
        <v>17765999.600000001</v>
      </c>
      <c r="S56" s="123">
        <f t="shared" si="9"/>
        <v>309437.67000000004</v>
      </c>
      <c r="T56" s="125" t="e">
        <f t="shared" ca="1" si="10"/>
        <v>#NAME?</v>
      </c>
      <c r="U56" s="109">
        <v>1350265.01</v>
      </c>
      <c r="V56" s="125" t="e">
        <f ca="1">_xll.BDP($C56,"DVD_EX_DT")</f>
        <v>#NAME?</v>
      </c>
      <c r="W56" s="125" t="e">
        <f ca="1">_xll.BDP($C56,"BDVD_NEXT_EST_DECL_DT")</f>
        <v>#NAME?</v>
      </c>
      <c r="X56" s="795" t="e">
        <f ca="1">_xll.BDP(C56,"BEST_TARGET_PRICE")</f>
        <v>#NAME?</v>
      </c>
      <c r="Y56" s="795" t="e">
        <f ca="1">_xll.BDP($C56,"EQY_DVD_YLD_EST")</f>
        <v>#NAME?</v>
      </c>
      <c r="Z56" s="409" t="e">
        <f ca="1">_xll.BDP(C56,"EQY_REC_CONS")</f>
        <v>#NAME?</v>
      </c>
      <c r="AD56" s="633" t="s">
        <v>903</v>
      </c>
      <c r="AE56" s="409" t="e">
        <f ca="1">_xll.BDP(AD56,"ID_ISIN")</f>
        <v>#NAME?</v>
      </c>
    </row>
    <row r="57" spans="2:31" s="633" customFormat="1" ht="15" x14ac:dyDescent="0.25">
      <c r="B57" s="116" t="e">
        <f ca="1">_xll.BDP(C57,"NAME")</f>
        <v>#NAME?</v>
      </c>
      <c r="C57" s="109" t="s">
        <v>900</v>
      </c>
      <c r="D57" s="119">
        <f t="shared" si="4"/>
        <v>4.8169591660096675E-5</v>
      </c>
      <c r="E57" s="109">
        <v>150</v>
      </c>
      <c r="F57" s="109">
        <v>100</v>
      </c>
      <c r="G57" s="381" t="e">
        <f ca="1">_xll.BDP($C57,"PX_LAST")</f>
        <v>#NAME?</v>
      </c>
      <c r="H57" s="181" t="e">
        <f t="shared" ca="1" si="5"/>
        <v>#NAME?</v>
      </c>
      <c r="I57" s="616" t="e">
        <f t="shared" ca="1" si="6"/>
        <v>#NAME?</v>
      </c>
      <c r="J57" s="181" t="e">
        <f t="shared" ca="1" si="7"/>
        <v>#NAME?</v>
      </c>
      <c r="K57" s="122" t="e">
        <f ca="1">_xll.BDP($C57,"CRNCY")</f>
        <v>#NAME?</v>
      </c>
      <c r="L57" s="119">
        <f t="shared" si="11"/>
        <v>4.2100000000000026E-2</v>
      </c>
      <c r="M57" s="119">
        <f t="shared" si="12"/>
        <v>4.7622219001093091E-2</v>
      </c>
      <c r="N57" s="109">
        <v>150000</v>
      </c>
      <c r="O57" s="109">
        <v>2552.59</v>
      </c>
      <c r="P57" s="109">
        <v>156315</v>
      </c>
      <c r="Q57" s="109">
        <v>2674.15</v>
      </c>
      <c r="R57" s="123">
        <f t="shared" si="8"/>
        <v>6315</v>
      </c>
      <c r="S57" s="123">
        <f t="shared" si="9"/>
        <v>121.55999999999995</v>
      </c>
      <c r="T57" s="125" t="e">
        <f t="shared" ca="1" si="10"/>
        <v>#NAME?</v>
      </c>
      <c r="U57" s="109">
        <v>2785.5</v>
      </c>
      <c r="V57" s="125" t="e">
        <f ca="1">_xll.BDP($C57,"DVD_EX_DT")</f>
        <v>#NAME?</v>
      </c>
      <c r="W57" s="125" t="e">
        <f ca="1">_xll.BDP($C57,"BDVD_NEXT_EST_DECL_DT")</f>
        <v>#NAME?</v>
      </c>
      <c r="X57" s="795" t="e">
        <f ca="1">_xll.BDP(C57,"BEST_TARGET_PRICE")</f>
        <v>#NAME?</v>
      </c>
      <c r="Y57" s="795" t="e">
        <f ca="1">_xll.BDP($C57,"EQY_DVD_YLD_EST")</f>
        <v>#NAME?</v>
      </c>
      <c r="Z57" s="409" t="e">
        <f ca="1">_xll.BDP(C57,"EQY_REC_CONS")</f>
        <v>#NAME?</v>
      </c>
      <c r="AD57" s="633" t="s">
        <v>900</v>
      </c>
      <c r="AE57" s="409" t="e">
        <f ca="1">_xll.BDP(AD57,"ID_ISIN")</f>
        <v>#NAME?</v>
      </c>
    </row>
    <row r="58" spans="2:31" s="633" customFormat="1" ht="15" x14ac:dyDescent="0.25">
      <c r="B58" s="116" t="e">
        <f ca="1">_xll.BDP(C58,"NAME")</f>
        <v>#NAME?</v>
      </c>
      <c r="C58" s="109" t="s">
        <v>896</v>
      </c>
      <c r="D58" s="119">
        <f t="shared" si="4"/>
        <v>1.5716023907260679E-5</v>
      </c>
      <c r="E58" s="109">
        <v>50</v>
      </c>
      <c r="F58" s="109">
        <v>100</v>
      </c>
      <c r="G58" s="381" t="e">
        <f ca="1">_xll.BDP($C58,"PX_LAST")</f>
        <v>#NAME?</v>
      </c>
      <c r="H58" s="181" t="e">
        <f t="shared" ca="1" si="5"/>
        <v>#NAME?</v>
      </c>
      <c r="I58" s="616" t="e">
        <f t="shared" ca="1" si="6"/>
        <v>#NAME?</v>
      </c>
      <c r="J58" s="181" t="e">
        <f t="shared" ca="1" si="7"/>
        <v>#NAME?</v>
      </c>
      <c r="K58" s="122" t="e">
        <f ca="1">_xll.BDP($C58,"CRNCY")</f>
        <v>#NAME?</v>
      </c>
      <c r="L58" s="119">
        <f t="shared" si="11"/>
        <v>2.0000000000000018E-2</v>
      </c>
      <c r="M58" s="119">
        <f t="shared" si="12"/>
        <v>2.5409585595750128E-2</v>
      </c>
      <c r="N58" s="109">
        <v>50000</v>
      </c>
      <c r="O58" s="109">
        <v>850.86</v>
      </c>
      <c r="P58" s="109">
        <v>51000</v>
      </c>
      <c r="Q58" s="109">
        <v>872.48</v>
      </c>
      <c r="R58" s="123">
        <f t="shared" si="8"/>
        <v>1000</v>
      </c>
      <c r="S58" s="123">
        <f t="shared" si="9"/>
        <v>21.620000000000005</v>
      </c>
      <c r="T58" s="125" t="e">
        <f t="shared" ca="1" si="10"/>
        <v>#NAME?</v>
      </c>
      <c r="U58" s="109">
        <v>564.41</v>
      </c>
      <c r="V58" s="125" t="e">
        <f ca="1">_xll.BDP($C58,"DVD_EX_DT")</f>
        <v>#NAME?</v>
      </c>
      <c r="W58" s="125" t="e">
        <f ca="1">_xll.BDP($C58,"BDVD_NEXT_EST_DECL_DT")</f>
        <v>#NAME?</v>
      </c>
      <c r="X58" s="795" t="e">
        <f ca="1">_xll.BDP(C58,"BEST_TARGET_PRICE")</f>
        <v>#NAME?</v>
      </c>
      <c r="Y58" s="795" t="e">
        <f ca="1">_xll.BDP($C58,"EQY_DVD_YLD_EST")</f>
        <v>#NAME?</v>
      </c>
      <c r="Z58" s="409" t="e">
        <f ca="1">_xll.BDP(C58,"EQY_REC_CONS")</f>
        <v>#NAME?</v>
      </c>
      <c r="AD58" s="633" t="s">
        <v>896</v>
      </c>
      <c r="AE58" s="409" t="e">
        <f ca="1">_xll.BDP(AD58,"ID_ISIN")</f>
        <v>#NAME?</v>
      </c>
    </row>
    <row r="59" spans="2:31" s="633" customFormat="1" ht="15" x14ac:dyDescent="0.25">
      <c r="B59" s="116" t="e">
        <f ca="1">_xll.BDP(C59,"NAME")</f>
        <v>#NAME?</v>
      </c>
      <c r="C59" s="109" t="s">
        <v>893</v>
      </c>
      <c r="D59" s="119">
        <f t="shared" si="4"/>
        <v>6.2371979164314174E-6</v>
      </c>
      <c r="E59" s="109">
        <v>20</v>
      </c>
      <c r="F59" s="109">
        <v>100</v>
      </c>
      <c r="G59" s="381" t="e">
        <f ca="1">_xll.BDP($C59,"PX_LAST")</f>
        <v>#NAME?</v>
      </c>
      <c r="H59" s="181" t="e">
        <f t="shared" ca="1" si="5"/>
        <v>#NAME?</v>
      </c>
      <c r="I59" s="616" t="e">
        <f t="shared" ca="1" si="6"/>
        <v>#NAME?</v>
      </c>
      <c r="J59" s="181" t="e">
        <f t="shared" ca="1" si="7"/>
        <v>#NAME?</v>
      </c>
      <c r="K59" s="122" t="e">
        <f ca="1">_xll.BDP($C59,"CRNCY")</f>
        <v>#NAME?</v>
      </c>
      <c r="L59" s="119">
        <f t="shared" si="11"/>
        <v>1.2000000000000011E-2</v>
      </c>
      <c r="M59" s="119">
        <f t="shared" si="12"/>
        <v>1.736447774349914E-2</v>
      </c>
      <c r="N59" s="109">
        <v>20000</v>
      </c>
      <c r="O59" s="109">
        <v>340.35</v>
      </c>
      <c r="P59" s="109">
        <v>20240</v>
      </c>
      <c r="Q59" s="109">
        <v>346.26</v>
      </c>
      <c r="R59" s="123">
        <f t="shared" si="8"/>
        <v>240</v>
      </c>
      <c r="S59" s="123">
        <f t="shared" si="9"/>
        <v>5.9099999999999682</v>
      </c>
      <c r="T59" s="125" t="e">
        <f t="shared" ca="1" si="10"/>
        <v>#NAME?</v>
      </c>
      <c r="U59" s="109">
        <v>360.2</v>
      </c>
      <c r="V59" s="125" t="e">
        <f ca="1">_xll.BDP($C59,"DVD_EX_DT")</f>
        <v>#NAME?</v>
      </c>
      <c r="W59" s="125" t="e">
        <f ca="1">_xll.BDP($C59,"BDVD_NEXT_EST_DECL_DT")</f>
        <v>#NAME?</v>
      </c>
      <c r="X59" s="795" t="e">
        <f ca="1">_xll.BDP(C59,"BEST_TARGET_PRICE")</f>
        <v>#NAME?</v>
      </c>
      <c r="Y59" s="795" t="e">
        <f ca="1">_xll.BDP($C59,"EQY_DVD_YLD_EST")</f>
        <v>#NAME?</v>
      </c>
      <c r="Z59" s="409" t="e">
        <f ca="1">_xll.BDP(C59,"EQY_REC_CONS")</f>
        <v>#NAME?</v>
      </c>
      <c r="AD59" s="633" t="s">
        <v>893</v>
      </c>
      <c r="AE59" s="409" t="e">
        <f ca="1">_xll.BDP(AD59,"ID_ISIN")</f>
        <v>#NAME?</v>
      </c>
    </row>
    <row r="60" spans="2:31" s="633" customFormat="1" ht="15" x14ac:dyDescent="0.25">
      <c r="B60" s="116" t="e">
        <f ca="1">_xll.BDP(C60,"NAME")</f>
        <v>#NAME?</v>
      </c>
      <c r="C60" s="109" t="s">
        <v>890</v>
      </c>
      <c r="D60" s="119">
        <f t="shared" si="4"/>
        <v>9.3556167441695536E-6</v>
      </c>
      <c r="E60" s="109">
        <v>30</v>
      </c>
      <c r="F60" s="109">
        <v>100</v>
      </c>
      <c r="G60" s="381" t="e">
        <f ca="1">_xll.BDP($C60,"PX_LAST")</f>
        <v>#NAME?</v>
      </c>
      <c r="H60" s="181" t="e">
        <f t="shared" ca="1" si="5"/>
        <v>#NAME?</v>
      </c>
      <c r="I60" s="616" t="e">
        <f t="shared" ca="1" si="6"/>
        <v>#NAME?</v>
      </c>
      <c r="J60" s="181" t="e">
        <f t="shared" ca="1" si="7"/>
        <v>#NAME?</v>
      </c>
      <c r="K60" s="122" t="e">
        <f ca="1">_xll.BDP($C60,"CRNCY")</f>
        <v>#NAME?</v>
      </c>
      <c r="L60" s="119">
        <f t="shared" si="11"/>
        <v>1.2000000000000011E-2</v>
      </c>
      <c r="M60" s="119">
        <f t="shared" si="12"/>
        <v>1.7354853874480991E-2</v>
      </c>
      <c r="N60" s="109">
        <v>30000</v>
      </c>
      <c r="O60" s="109">
        <v>510.52</v>
      </c>
      <c r="P60" s="109">
        <v>30360</v>
      </c>
      <c r="Q60" s="109">
        <v>519.38</v>
      </c>
      <c r="R60" s="123">
        <f t="shared" si="8"/>
        <v>360</v>
      </c>
      <c r="S60" s="123">
        <f t="shared" si="9"/>
        <v>8.8600000000000136</v>
      </c>
      <c r="T60" s="125" t="e">
        <f t="shared" ca="1" si="10"/>
        <v>#NAME?</v>
      </c>
      <c r="U60" s="109">
        <v>540.25</v>
      </c>
      <c r="V60" s="125" t="e">
        <f ca="1">_xll.BDP($C60,"DVD_EX_DT")</f>
        <v>#NAME?</v>
      </c>
      <c r="W60" s="125" t="e">
        <f ca="1">_xll.BDP($C60,"BDVD_NEXT_EST_DECL_DT")</f>
        <v>#NAME?</v>
      </c>
      <c r="X60" s="795" t="e">
        <f ca="1">_xll.BDP(C60,"BEST_TARGET_PRICE")</f>
        <v>#NAME?</v>
      </c>
      <c r="Y60" s="795" t="e">
        <f ca="1">_xll.BDP($C60,"EQY_DVD_YLD_EST")</f>
        <v>#NAME?</v>
      </c>
      <c r="Z60" s="409" t="e">
        <f ca="1">_xll.BDP(C60,"EQY_REC_CONS")</f>
        <v>#NAME?</v>
      </c>
      <c r="AD60" s="633" t="s">
        <v>890</v>
      </c>
      <c r="AE60" s="409" t="e">
        <f ca="1">_xll.BDP(AD60,"ID_ISIN")</f>
        <v>#NAME?</v>
      </c>
    </row>
    <row r="61" spans="2:31" s="633" customFormat="1" ht="15" x14ac:dyDescent="0.25">
      <c r="B61" s="116" t="e">
        <f ca="1">_xll.BDP(C61,"NAME")</f>
        <v>#NAME?</v>
      </c>
      <c r="C61" s="109" t="s">
        <v>886</v>
      </c>
      <c r="D61" s="119">
        <f t="shared" si="4"/>
        <v>6.5095777148309972E-3</v>
      </c>
      <c r="E61" s="109">
        <v>335</v>
      </c>
      <c r="F61" s="109">
        <v>84.94</v>
      </c>
      <c r="G61" s="381" t="e">
        <f ca="1">_xll.BDP($C61,"PX_LAST")</f>
        <v>#NAME?</v>
      </c>
      <c r="H61" s="181" t="e">
        <f t="shared" ca="1" si="5"/>
        <v>#NAME?</v>
      </c>
      <c r="I61" s="616" t="e">
        <f t="shared" ca="1" si="6"/>
        <v>#NAME?</v>
      </c>
      <c r="J61" s="181" t="e">
        <f t="shared" ca="1" si="7"/>
        <v>#NAME?</v>
      </c>
      <c r="K61" s="122" t="e">
        <f ca="1">_xll.BDP($C61,"CRNCY")</f>
        <v>#NAME?</v>
      </c>
      <c r="L61" s="119">
        <f t="shared" si="11"/>
        <v>0.84907914371008952</v>
      </c>
      <c r="M61" s="119">
        <f t="shared" si="12"/>
        <v>0.26999627485916511</v>
      </c>
      <c r="N61" s="109">
        <v>11423380.189999999</v>
      </c>
      <c r="O61" s="109">
        <v>284553</v>
      </c>
      <c r="P61" s="109">
        <v>21122734.059999999</v>
      </c>
      <c r="Q61" s="109">
        <v>361381.25</v>
      </c>
      <c r="R61" s="123">
        <f t="shared" si="8"/>
        <v>9699353.8699999992</v>
      </c>
      <c r="S61" s="123">
        <f t="shared" si="9"/>
        <v>76828.25</v>
      </c>
      <c r="T61" s="125" t="e">
        <f t="shared" ca="1" si="10"/>
        <v>#NAME?</v>
      </c>
      <c r="U61" s="109">
        <v>366685.42</v>
      </c>
      <c r="V61" s="125" t="e">
        <f ca="1">_xll.BDP($C61,"DVD_EX_DT")</f>
        <v>#NAME?</v>
      </c>
      <c r="W61" s="125" t="e">
        <f ca="1">_xll.BDP($C61,"BDVD_NEXT_EST_DECL_DT")</f>
        <v>#NAME?</v>
      </c>
      <c r="X61" s="795" t="e">
        <f ca="1">_xll.BDP(C61,"BEST_TARGET_PRICE")</f>
        <v>#NAME?</v>
      </c>
      <c r="Y61" s="795" t="e">
        <f ca="1">_xll.BDP($C61,"EQY_DVD_YLD_EST")</f>
        <v>#NAME?</v>
      </c>
      <c r="Z61" s="409" t="e">
        <f ca="1">_xll.BDP(C61,"EQY_REC_CONS")</f>
        <v>#NAME?</v>
      </c>
      <c r="AD61" s="633" t="s">
        <v>886</v>
      </c>
      <c r="AE61" s="409" t="e">
        <f ca="1">_xll.BDP(AD61,"ID_ISIN")</f>
        <v>#NAME?</v>
      </c>
    </row>
    <row r="62" spans="2:31" s="460" customFormat="1" ht="15" x14ac:dyDescent="0.25">
      <c r="B62" s="116" t="e">
        <f ca="1">_xll.BDP(C62,"NAME")</f>
        <v>#NAME?</v>
      </c>
      <c r="C62" s="109" t="s">
        <v>883</v>
      </c>
      <c r="D62" s="119">
        <f t="shared" si="4"/>
        <v>7.2682647700574041E-3</v>
      </c>
      <c r="E62" s="109">
        <v>400</v>
      </c>
      <c r="F62" s="109">
        <v>84.75</v>
      </c>
      <c r="G62" s="381" t="e">
        <f ca="1">_xll.BDP($C62,"PX_LAST")</f>
        <v>#NAME?</v>
      </c>
      <c r="H62" s="181" t="e">
        <f t="shared" ca="1" si="5"/>
        <v>#NAME?</v>
      </c>
      <c r="I62" s="616" t="e">
        <f t="shared" ca="1" si="6"/>
        <v>#NAME?</v>
      </c>
      <c r="J62" s="181" t="e">
        <f t="shared" ca="1" si="7"/>
        <v>#NAME?</v>
      </c>
      <c r="K62" s="122" t="e">
        <f ca="1">_xll.BDP($C62,"CRNCY")</f>
        <v>#NAME?</v>
      </c>
      <c r="L62" s="119">
        <f t="shared" si="11"/>
        <v>0.73299334161452356</v>
      </c>
      <c r="M62" s="119">
        <f t="shared" si="12"/>
        <v>0.19026548672566368</v>
      </c>
      <c r="N62" s="109">
        <v>13609155</v>
      </c>
      <c r="O62" s="109">
        <v>339000</v>
      </c>
      <c r="P62" s="109">
        <v>23584575</v>
      </c>
      <c r="Q62" s="109">
        <v>403500</v>
      </c>
      <c r="R62" s="123">
        <f t="shared" si="8"/>
        <v>9975420</v>
      </c>
      <c r="S62" s="123">
        <f t="shared" si="9"/>
        <v>64500</v>
      </c>
      <c r="T62" s="125" t="e">
        <f t="shared" ca="1" si="10"/>
        <v>#NAME?</v>
      </c>
      <c r="U62" s="109">
        <v>411425.42</v>
      </c>
      <c r="V62" s="125" t="e">
        <f ca="1">_xll.BDP($C62,"DVD_EX_DT")</f>
        <v>#NAME?</v>
      </c>
      <c r="W62" s="125" t="e">
        <f ca="1">_xll.BDP($C62,"BDVD_NEXT_EST_DECL_DT")</f>
        <v>#NAME?</v>
      </c>
      <c r="X62" s="795" t="e">
        <f ca="1">_xll.BDP(C62,"BEST_TARGET_PRICE")</f>
        <v>#NAME?</v>
      </c>
      <c r="Y62" s="795" t="e">
        <f ca="1">_xll.BDP($C62,"EQY_DVD_YLD_EST")</f>
        <v>#NAME?</v>
      </c>
      <c r="Z62" s="409" t="e">
        <f ca="1">_xll.BDP(C62,"EQY_REC_CONS")</f>
        <v>#NAME?</v>
      </c>
      <c r="AD62" s="460" t="s">
        <v>883</v>
      </c>
      <c r="AE62" s="409" t="e">
        <f ca="1">_xll.BDP(AD62,"ID_ISIN")</f>
        <v>#NAME?</v>
      </c>
    </row>
    <row r="63" spans="2:31" s="460" customFormat="1" ht="15" x14ac:dyDescent="0.25">
      <c r="B63" s="116" t="e">
        <f ca="1">_xll.BDP(C63,"NAME")</f>
        <v>#NAME?</v>
      </c>
      <c r="C63" s="109" t="s">
        <v>879</v>
      </c>
      <c r="D63" s="119">
        <f t="shared" si="4"/>
        <v>4.6916784188578722E-6</v>
      </c>
      <c r="E63" s="109">
        <v>15</v>
      </c>
      <c r="F63" s="109">
        <v>100</v>
      </c>
      <c r="G63" s="381" t="e">
        <f ca="1">_xll.BDP($C63,"PX_LAST")</f>
        <v>#NAME?</v>
      </c>
      <c r="H63" s="181" t="e">
        <f t="shared" ca="1" si="5"/>
        <v>#NAME?</v>
      </c>
      <c r="I63" s="616" t="e">
        <f t="shared" ca="1" si="6"/>
        <v>#NAME?</v>
      </c>
      <c r="J63" s="181" t="e">
        <f t="shared" ca="1" si="7"/>
        <v>#NAME?</v>
      </c>
      <c r="K63" s="122" t="e">
        <f ca="1">_xll.BDP($C63,"CRNCY")</f>
        <v>#NAME?</v>
      </c>
      <c r="L63" s="119">
        <f t="shared" si="11"/>
        <v>1.4999999999999902E-2</v>
      </c>
      <c r="M63" s="119">
        <f t="shared" si="12"/>
        <v>2.0371386037765449E-2</v>
      </c>
      <c r="N63" s="109">
        <v>15000</v>
      </c>
      <c r="O63" s="109">
        <v>255.26</v>
      </c>
      <c r="P63" s="109">
        <v>15225</v>
      </c>
      <c r="Q63" s="109">
        <v>260.45999999999998</v>
      </c>
      <c r="R63" s="123">
        <f t="shared" si="8"/>
        <v>225</v>
      </c>
      <c r="S63" s="123">
        <f t="shared" si="9"/>
        <v>5.1999999999999886</v>
      </c>
      <c r="T63" s="125" t="e">
        <f t="shared" ca="1" si="10"/>
        <v>#NAME?</v>
      </c>
      <c r="U63" s="109">
        <v>265</v>
      </c>
      <c r="V63" s="125" t="e">
        <f ca="1">_xll.BDP($C63,"DVD_EX_DT")</f>
        <v>#NAME?</v>
      </c>
      <c r="W63" s="125" t="e">
        <f ca="1">_xll.BDP($C63,"BDVD_NEXT_EST_DECL_DT")</f>
        <v>#NAME?</v>
      </c>
      <c r="X63" s="795" t="e">
        <f ca="1">_xll.BDP(C63,"BEST_TARGET_PRICE")</f>
        <v>#NAME?</v>
      </c>
      <c r="Y63" s="795" t="e">
        <f ca="1">_xll.BDP($C63,"EQY_DVD_YLD_EST")</f>
        <v>#NAME?</v>
      </c>
      <c r="Z63" s="409" t="e">
        <f ca="1">_xll.BDP(C63,"EQY_REC_CONS")</f>
        <v>#NAME?</v>
      </c>
      <c r="AD63" s="460" t="s">
        <v>879</v>
      </c>
      <c r="AE63" s="409" t="e">
        <f ca="1">_xll.BDP(AD63,"ID_ISIN")</f>
        <v>#NAME?</v>
      </c>
    </row>
    <row r="64" spans="2:31" s="460" customFormat="1" ht="15" x14ac:dyDescent="0.25">
      <c r="B64" s="116" t="e">
        <f ca="1">_xll.BDP(C64,"NAME")</f>
        <v>#NAME?</v>
      </c>
      <c r="C64" s="109" t="s">
        <v>875</v>
      </c>
      <c r="D64" s="119">
        <f t="shared" si="4"/>
        <v>0</v>
      </c>
      <c r="E64" s="109">
        <v>5.59</v>
      </c>
      <c r="F64" s="109">
        <v>97.5</v>
      </c>
      <c r="G64" s="381" t="e">
        <f ca="1">_xll.BDP($C64,"PX_LAST")</f>
        <v>#NAME?</v>
      </c>
      <c r="H64" s="181" t="e">
        <f t="shared" ca="1" si="5"/>
        <v>#NAME?</v>
      </c>
      <c r="I64" s="616" t="e">
        <f t="shared" ca="1" si="6"/>
        <v>#NAME?</v>
      </c>
      <c r="J64" s="181" t="e">
        <f t="shared" ca="1" si="7"/>
        <v>#NAME?</v>
      </c>
      <c r="K64" s="122" t="e">
        <f ca="1">_xll.BDP($C64,"CRNCY")</f>
        <v>#NAME?</v>
      </c>
      <c r="L64" s="119">
        <f t="shared" si="11"/>
        <v>-1</v>
      </c>
      <c r="M64" s="119">
        <f t="shared" si="12"/>
        <v>-1</v>
      </c>
      <c r="N64" s="109">
        <v>5450.25</v>
      </c>
      <c r="O64" s="109">
        <v>92.75</v>
      </c>
      <c r="P64" s="109"/>
      <c r="Q64" s="109"/>
      <c r="R64" s="123">
        <f t="shared" si="8"/>
        <v>-5450.25</v>
      </c>
      <c r="S64" s="123">
        <f t="shared" si="9"/>
        <v>-92.75</v>
      </c>
      <c r="T64" s="125" t="e">
        <f t="shared" ca="1" si="10"/>
        <v>#NAME?</v>
      </c>
      <c r="U64" s="109"/>
      <c r="V64" s="125" t="e">
        <f ca="1">_xll.BDP($C64,"DVD_EX_DT")</f>
        <v>#NAME?</v>
      </c>
      <c r="W64" s="125" t="e">
        <f ca="1">_xll.BDP($C64,"BDVD_NEXT_EST_DECL_DT")</f>
        <v>#NAME?</v>
      </c>
      <c r="X64" s="795" t="e">
        <f ca="1">_xll.BDP(C64,"BEST_TARGET_PRICE")</f>
        <v>#NAME?</v>
      </c>
      <c r="Y64" s="795" t="e">
        <f ca="1">_xll.BDP($C64,"EQY_DVD_YLD_EST")</f>
        <v>#NAME?</v>
      </c>
      <c r="Z64" s="409" t="e">
        <f ca="1">_xll.BDP(C64,"EQY_REC_CONS")</f>
        <v>#NAME?</v>
      </c>
      <c r="AD64" s="460" t="s">
        <v>875</v>
      </c>
      <c r="AE64" s="409" t="e">
        <f ca="1">_xll.BDP(AD64,"ID_ISIN")</f>
        <v>#NAME?</v>
      </c>
    </row>
    <row r="65" spans="2:31" s="460" customFormat="1" ht="15" x14ac:dyDescent="0.25">
      <c r="B65" s="116" t="e">
        <f ca="1">_xll.BDP(C65,"NAME")</f>
        <v>#NAME?</v>
      </c>
      <c r="C65" s="109" t="s">
        <v>870</v>
      </c>
      <c r="D65" s="119">
        <f t="shared" si="4"/>
        <v>7.2626807252526515E-6</v>
      </c>
      <c r="E65" s="109">
        <v>48</v>
      </c>
      <c r="F65" s="109">
        <v>95.86</v>
      </c>
      <c r="G65" s="381" t="e">
        <f ca="1">_xll.BDP($C65,"PX_LAST")</f>
        <v>#NAME?</v>
      </c>
      <c r="H65" s="181" t="e">
        <f t="shared" ca="1" si="5"/>
        <v>#NAME?</v>
      </c>
      <c r="I65" s="616" t="e">
        <f t="shared" ca="1" si="6"/>
        <v>#NAME?</v>
      </c>
      <c r="J65" s="181" t="e">
        <f t="shared" ca="1" si="7"/>
        <v>#NAME?</v>
      </c>
      <c r="K65" s="122" t="e">
        <f ca="1">_xll.BDP($C65,"CRNCY")</f>
        <v>#NAME?</v>
      </c>
      <c r="L65" s="119">
        <f t="shared" si="11"/>
        <v>-0.1804715209680785</v>
      </c>
      <c r="M65" s="119">
        <f t="shared" si="12"/>
        <v>-0.17612080591769175</v>
      </c>
      <c r="N65" s="109">
        <v>28758</v>
      </c>
      <c r="O65" s="109">
        <v>489.38</v>
      </c>
      <c r="P65" s="109">
        <v>23568</v>
      </c>
      <c r="Q65" s="109">
        <v>403.19</v>
      </c>
      <c r="R65" s="123">
        <f t="shared" si="8"/>
        <v>-5190</v>
      </c>
      <c r="S65" s="123">
        <f t="shared" si="9"/>
        <v>-86.19</v>
      </c>
      <c r="T65" s="125" t="e">
        <f t="shared" ca="1" si="10"/>
        <v>#NAME?</v>
      </c>
      <c r="U65" s="109">
        <v>411.78</v>
      </c>
      <c r="V65" s="125" t="e">
        <f ca="1">_xll.BDP($C65,"DVD_EX_DT")</f>
        <v>#NAME?</v>
      </c>
      <c r="W65" s="125" t="e">
        <f ca="1">_xll.BDP($C65,"BDVD_NEXT_EST_DECL_DT")</f>
        <v>#NAME?</v>
      </c>
      <c r="X65" s="795" t="e">
        <f ca="1">_xll.BDP(C65,"BEST_TARGET_PRICE")</f>
        <v>#NAME?</v>
      </c>
      <c r="Y65" s="795" t="e">
        <f ca="1">_xll.BDP($C65,"EQY_DVD_YLD_EST")</f>
        <v>#NAME?</v>
      </c>
      <c r="Z65" s="409" t="e">
        <f ca="1">_xll.BDP(C65,"EQY_REC_CONS")</f>
        <v>#NAME?</v>
      </c>
      <c r="AD65" s="460" t="s">
        <v>870</v>
      </c>
      <c r="AE65" s="409" t="e">
        <f ca="1">_xll.BDP(AD65,"ID_ISIN")</f>
        <v>#NAME?</v>
      </c>
    </row>
    <row r="66" spans="2:31" s="460" customFormat="1" ht="15" x14ac:dyDescent="0.25">
      <c r="B66" s="116" t="e">
        <f ca="1">_xll.BDP(C66,"NAME")</f>
        <v>#NAME?</v>
      </c>
      <c r="C66" s="109" t="s">
        <v>866</v>
      </c>
      <c r="D66" s="119">
        <f t="shared" si="4"/>
        <v>1.5392509569540156E-5</v>
      </c>
      <c r="E66" s="109">
        <v>50</v>
      </c>
      <c r="F66" s="109">
        <v>98.05</v>
      </c>
      <c r="G66" s="381" t="e">
        <f ca="1">_xll.BDP($C66,"PX_LAST")</f>
        <v>#NAME?</v>
      </c>
      <c r="H66" s="181" t="e">
        <f t="shared" ca="1" si="5"/>
        <v>#NAME?</v>
      </c>
      <c r="I66" s="616" t="e">
        <f t="shared" ca="1" si="6"/>
        <v>#NAME?</v>
      </c>
      <c r="J66" s="181" t="e">
        <f t="shared" ca="1" si="7"/>
        <v>#NAME?</v>
      </c>
      <c r="K66" s="122" t="e">
        <f ca="1">_xll.BDP($C66,"CRNCY")</f>
        <v>#NAME?</v>
      </c>
      <c r="L66" s="119">
        <f t="shared" si="11"/>
        <v>1.8867924528301883E-2</v>
      </c>
      <c r="M66" s="119">
        <f t="shared" si="12"/>
        <v>2.4272717465568805E-2</v>
      </c>
      <c r="N66" s="109">
        <v>49025</v>
      </c>
      <c r="O66" s="109">
        <v>834.27</v>
      </c>
      <c r="P66" s="109">
        <v>49950</v>
      </c>
      <c r="Q66" s="109">
        <v>854.52</v>
      </c>
      <c r="R66" s="123">
        <f t="shared" si="8"/>
        <v>925</v>
      </c>
      <c r="S66" s="123">
        <f t="shared" si="9"/>
        <v>20.25</v>
      </c>
      <c r="T66" s="125" t="e">
        <f t="shared" ca="1" si="10"/>
        <v>#NAME?</v>
      </c>
      <c r="U66" s="109">
        <v>891.64</v>
      </c>
      <c r="V66" s="125" t="e">
        <f ca="1">_xll.BDP($C66,"DVD_EX_DT")</f>
        <v>#NAME?</v>
      </c>
      <c r="W66" s="125" t="e">
        <f ca="1">_xll.BDP($C66,"BDVD_NEXT_EST_DECL_DT")</f>
        <v>#NAME?</v>
      </c>
      <c r="X66" s="795" t="e">
        <f ca="1">_xll.BDP(C66,"BEST_TARGET_PRICE")</f>
        <v>#NAME?</v>
      </c>
      <c r="Y66" s="795" t="e">
        <f ca="1">_xll.BDP($C66,"EQY_DVD_YLD_EST")</f>
        <v>#NAME?</v>
      </c>
      <c r="Z66" s="409" t="e">
        <f ca="1">_xll.BDP(C66,"EQY_REC_CONS")</f>
        <v>#NAME?</v>
      </c>
      <c r="AD66" s="460" t="s">
        <v>866</v>
      </c>
      <c r="AE66" s="409" t="e">
        <f ca="1">_xll.BDP(AD66,"ID_ISIN")</f>
        <v>#NAME?</v>
      </c>
    </row>
    <row r="67" spans="2:31" s="460" customFormat="1" ht="15" x14ac:dyDescent="0.25">
      <c r="B67" s="116" t="e">
        <f ca="1">_xll.BDP(C67,"NAME")</f>
        <v>#NAME?</v>
      </c>
      <c r="C67" s="109" t="s">
        <v>862</v>
      </c>
      <c r="D67" s="119">
        <f t="shared" si="4"/>
        <v>1.5323139521322145E-2</v>
      </c>
      <c r="E67" s="109">
        <v>50000</v>
      </c>
      <c r="F67" s="109">
        <v>70.03</v>
      </c>
      <c r="G67" s="381" t="e">
        <f ca="1">_xll.BDP($C67,"PX_LAST")</f>
        <v>#NAME?</v>
      </c>
      <c r="H67" s="181" t="e">
        <f t="shared" ca="1" si="5"/>
        <v>#NAME?</v>
      </c>
      <c r="I67" s="616" t="e">
        <f t="shared" ca="1" si="6"/>
        <v>#NAME?</v>
      </c>
      <c r="J67" s="181" t="e">
        <f t="shared" ca="1" si="7"/>
        <v>#NAME?</v>
      </c>
      <c r="K67" s="122" t="e">
        <f ca="1">_xll.BDP($C67,"CRNCY")</f>
        <v>#NAME?</v>
      </c>
      <c r="L67" s="119">
        <f t="shared" si="11"/>
        <v>0.42010569373881124</v>
      </c>
      <c r="M67" s="119">
        <f t="shared" si="12"/>
        <v>0.42763448596222497</v>
      </c>
      <c r="N67" s="109">
        <v>35014999.390000001</v>
      </c>
      <c r="O67" s="109">
        <v>595859.03</v>
      </c>
      <c r="P67" s="109">
        <v>49725000</v>
      </c>
      <c r="Q67" s="109">
        <v>850668.9</v>
      </c>
      <c r="R67" s="123">
        <f t="shared" si="8"/>
        <v>14710000.609999999</v>
      </c>
      <c r="S67" s="123">
        <f t="shared" si="9"/>
        <v>254809.87</v>
      </c>
      <c r="T67" s="125" t="e">
        <f t="shared" ca="1" si="10"/>
        <v>#NAME?</v>
      </c>
      <c r="U67" s="109">
        <v>851398.33</v>
      </c>
      <c r="V67" s="125" t="e">
        <f ca="1">_xll.BDP($C67,"DVD_EX_DT")</f>
        <v>#NAME?</v>
      </c>
      <c r="W67" s="125" t="e">
        <f ca="1">_xll.BDP($C67,"BDVD_NEXT_EST_DECL_DT")</f>
        <v>#NAME?</v>
      </c>
      <c r="X67" s="795" t="e">
        <f ca="1">_xll.BDP(C67,"BEST_TARGET_PRICE")</f>
        <v>#NAME?</v>
      </c>
      <c r="Y67" s="795" t="e">
        <f ca="1">_xll.BDP($C67,"EQY_DVD_YLD_EST")</f>
        <v>#NAME?</v>
      </c>
      <c r="Z67" s="409" t="e">
        <f ca="1">_xll.BDP(C67,"EQY_REC_CONS")</f>
        <v>#NAME?</v>
      </c>
      <c r="AD67" s="460" t="s">
        <v>862</v>
      </c>
      <c r="AE67" s="409" t="e">
        <f ca="1">_xll.BDP(AD67,"ID_ISIN")</f>
        <v>#NAME?</v>
      </c>
    </row>
    <row r="68" spans="2:31" s="460" customFormat="1" ht="15" x14ac:dyDescent="0.25">
      <c r="B68" s="116" t="e">
        <f ca="1">_xll.BDP(C68,"NAME")</f>
        <v>#NAME?</v>
      </c>
      <c r="C68" s="109" t="s">
        <v>858</v>
      </c>
      <c r="D68" s="119">
        <f t="shared" si="4"/>
        <v>4.949445132264369E-3</v>
      </c>
      <c r="E68" s="109">
        <v>344</v>
      </c>
      <c r="F68" s="109">
        <v>41.54</v>
      </c>
      <c r="G68" s="381" t="e">
        <f ca="1">_xll.BDP($C68,"PX_LAST")</f>
        <v>#NAME?</v>
      </c>
      <c r="H68" s="181" t="e">
        <f t="shared" ca="1" si="5"/>
        <v>#NAME?</v>
      </c>
      <c r="I68" s="616" t="e">
        <f t="shared" ca="1" si="6"/>
        <v>#NAME?</v>
      </c>
      <c r="J68" s="181" t="e">
        <f t="shared" ca="1" si="7"/>
        <v>#NAME?</v>
      </c>
      <c r="K68" s="122" t="e">
        <f ca="1">_xll.BDP($C68,"CRNCY")</f>
        <v>#NAME?</v>
      </c>
      <c r="L68" s="119">
        <f t="shared" si="11"/>
        <v>0.71042330558636624</v>
      </c>
      <c r="M68" s="119">
        <f t="shared" si="12"/>
        <v>0.92302497139992878</v>
      </c>
      <c r="N68" s="109">
        <v>9389667.7200000007</v>
      </c>
      <c r="O68" s="109">
        <v>142884.26</v>
      </c>
      <c r="P68" s="109">
        <v>16060306.5</v>
      </c>
      <c r="Q68" s="109">
        <v>274770</v>
      </c>
      <c r="R68" s="123">
        <f t="shared" si="8"/>
        <v>6670638.7799999993</v>
      </c>
      <c r="S68" s="123">
        <f t="shared" si="9"/>
        <v>131885.74</v>
      </c>
      <c r="T68" s="125" t="e">
        <f t="shared" ca="1" si="10"/>
        <v>#NAME?</v>
      </c>
      <c r="U68" s="109">
        <v>282037</v>
      </c>
      <c r="V68" s="125" t="e">
        <f ca="1">_xll.BDP($C68,"DVD_EX_DT")</f>
        <v>#NAME?</v>
      </c>
      <c r="W68" s="125" t="e">
        <f ca="1">_xll.BDP($C68,"BDVD_NEXT_EST_DECL_DT")</f>
        <v>#NAME?</v>
      </c>
      <c r="X68" s="795" t="e">
        <f ca="1">_xll.BDP(C68,"BEST_TARGET_PRICE")</f>
        <v>#NAME?</v>
      </c>
      <c r="Y68" s="795" t="e">
        <f ca="1">_xll.BDP($C68,"EQY_DVD_YLD_EST")</f>
        <v>#NAME?</v>
      </c>
      <c r="Z68" s="409" t="e">
        <f ca="1">_xll.BDP(C68,"EQY_REC_CONS")</f>
        <v>#NAME?</v>
      </c>
      <c r="AD68" s="460" t="s">
        <v>858</v>
      </c>
      <c r="AE68" s="409" t="e">
        <f ca="1">_xll.BDP(AD68,"ID_ISIN")</f>
        <v>#NAME?</v>
      </c>
    </row>
    <row r="69" spans="2:31" s="460" customFormat="1" ht="15" x14ac:dyDescent="0.25">
      <c r="B69" s="116" t="e">
        <f ca="1">_xll.BDP(C69,"NAME")</f>
        <v>#NAME?</v>
      </c>
      <c r="C69" s="109" t="s">
        <v>854</v>
      </c>
      <c r="D69" s="119">
        <f t="shared" ref="D69:D70" si="13">Q69/$Q$72</f>
        <v>1.8270045313534683E-2</v>
      </c>
      <c r="E69" s="109">
        <v>930</v>
      </c>
      <c r="F69" s="109">
        <v>96.39</v>
      </c>
      <c r="G69" s="381" t="e">
        <f ca="1">_xll.BDP($C69,"PX_LAST")</f>
        <v>#NAME?</v>
      </c>
      <c r="H69" s="181" t="e">
        <f t="shared" ref="H69:H70" ca="1" si="14">IF(  OR(   X69="#N/A N/A", X69="#N/A Field Not Applicable"),0,X69)</f>
        <v>#NAME?</v>
      </c>
      <c r="I69" s="616" t="e">
        <f t="shared" ref="I69:I70" ca="1" si="15">IF(H69&gt;0,H69/G69-1,0)</f>
        <v>#NAME?</v>
      </c>
      <c r="J69" s="181" t="e">
        <f t="shared" ref="J69:J70" ca="1" si="16">IF( OR(  Z69="#N/A Field Not Applicable", Z69="#N/A N/A"),0,Z69)</f>
        <v>#NAME?</v>
      </c>
      <c r="K69" s="122" t="e">
        <f ca="1">_xll.BDP($C69,"CRNCY")</f>
        <v>#NAME?</v>
      </c>
      <c r="L69" s="119">
        <f t="shared" si="11"/>
        <v>-4.1199134143157345E-2</v>
      </c>
      <c r="M69" s="119">
        <f t="shared" si="12"/>
        <v>0.13145555780287266</v>
      </c>
      <c r="N69" s="109">
        <v>61831320.560000002</v>
      </c>
      <c r="O69" s="109">
        <v>896426.99</v>
      </c>
      <c r="P69" s="109">
        <v>59283923.689999998</v>
      </c>
      <c r="Q69" s="109">
        <v>1014267.3</v>
      </c>
      <c r="R69" s="123">
        <f t="shared" ref="R69:R70" si="17">P69-N69</f>
        <v>-2547396.8700000048</v>
      </c>
      <c r="S69" s="123">
        <f t="shared" ref="S69:S70" si="18">Q69-O69</f>
        <v>117840.31000000006</v>
      </c>
      <c r="T69" s="125" t="e">
        <f t="shared" ref="T69:T70" ca="1" si="19">IF( OR(  Y69="#N/A Field Not Applicable", Y69="#N/A N/A"),0,Y69)</f>
        <v>#NAME?</v>
      </c>
      <c r="U69" s="109">
        <v>1037938.13</v>
      </c>
      <c r="V69" s="125" t="e">
        <f ca="1">_xll.BDP($C69,"DVD_EX_DT")</f>
        <v>#NAME?</v>
      </c>
      <c r="W69" s="125" t="e">
        <f ca="1">_xll.BDP($C69,"BDVD_NEXT_EST_DECL_DT")</f>
        <v>#NAME?</v>
      </c>
      <c r="X69" s="795" t="e">
        <f ca="1">_xll.BDP(C69,"BEST_TARGET_PRICE")</f>
        <v>#NAME?</v>
      </c>
      <c r="Y69" s="795" t="e">
        <f ca="1">_xll.BDP($C69,"EQY_DVD_YLD_EST")</f>
        <v>#NAME?</v>
      </c>
      <c r="Z69" s="409" t="e">
        <f ca="1">_xll.BDP(C69,"EQY_REC_CONS")</f>
        <v>#NAME?</v>
      </c>
      <c r="AD69" s="460" t="s">
        <v>854</v>
      </c>
      <c r="AE69" s="409" t="e">
        <f ca="1">_xll.BDP(AD69,"ID_ISIN")</f>
        <v>#NAME?</v>
      </c>
    </row>
    <row r="70" spans="2:31" s="460" customFormat="1" ht="15" x14ac:dyDescent="0.25">
      <c r="B70" s="116" t="e">
        <f ca="1">_xll.BDP(C70,"NAME")</f>
        <v>#NAME?</v>
      </c>
      <c r="C70" s="109" t="s">
        <v>849</v>
      </c>
      <c r="D70" s="119">
        <f t="shared" si="13"/>
        <v>1.5469425283463689E-5</v>
      </c>
      <c r="E70" s="109">
        <v>50</v>
      </c>
      <c r="F70" s="109">
        <v>100</v>
      </c>
      <c r="G70" s="381" t="e">
        <f ca="1">_xll.BDP($C70,"PX_LAST")</f>
        <v>#NAME?</v>
      </c>
      <c r="H70" s="181" t="e">
        <f t="shared" ca="1" si="14"/>
        <v>#NAME?</v>
      </c>
      <c r="I70" s="616" t="e">
        <f t="shared" ca="1" si="15"/>
        <v>#NAME?</v>
      </c>
      <c r="J70" s="181" t="e">
        <f t="shared" ca="1" si="16"/>
        <v>#NAME?</v>
      </c>
      <c r="K70" s="122" t="e">
        <f ca="1">_xll.BDP($C70,"CRNCY")</f>
        <v>#NAME?</v>
      </c>
      <c r="L70" s="119">
        <f t="shared" si="11"/>
        <v>4.0000000000000036E-3</v>
      </c>
      <c r="M70" s="119">
        <f t="shared" si="12"/>
        <v>9.319982135721494E-3</v>
      </c>
      <c r="N70" s="109">
        <v>50000</v>
      </c>
      <c r="O70" s="109">
        <v>850.86</v>
      </c>
      <c r="P70" s="109">
        <v>50200</v>
      </c>
      <c r="Q70" s="109">
        <v>858.79</v>
      </c>
      <c r="R70" s="123">
        <f t="shared" si="17"/>
        <v>200</v>
      </c>
      <c r="S70" s="123">
        <f t="shared" si="18"/>
        <v>7.92999999999995</v>
      </c>
      <c r="T70" s="125" t="e">
        <f t="shared" ca="1" si="19"/>
        <v>#NAME?</v>
      </c>
      <c r="U70" s="109">
        <v>796.08</v>
      </c>
      <c r="V70" s="125" t="e">
        <f ca="1">_xll.BDP($C70,"DVD_EX_DT")</f>
        <v>#NAME?</v>
      </c>
      <c r="W70" s="125" t="e">
        <f ca="1">_xll.BDP($C70,"BDVD_NEXT_EST_DECL_DT")</f>
        <v>#NAME?</v>
      </c>
      <c r="X70" s="795" t="e">
        <f ca="1">_xll.BDP(C70,"BEST_TARGET_PRICE")</f>
        <v>#NAME?</v>
      </c>
      <c r="Y70" s="795" t="e">
        <f ca="1">_xll.BDP($C70,"EQY_DVD_YLD_EST")</f>
        <v>#NAME?</v>
      </c>
      <c r="Z70" s="409" t="e">
        <f ca="1">_xll.BDP(C70,"EQY_REC_CONS")</f>
        <v>#NAME?</v>
      </c>
      <c r="AD70" s="460" t="s">
        <v>849</v>
      </c>
      <c r="AE70" s="409" t="e">
        <f ca="1">_xll.BDP(AD70,"ID_ISIN")</f>
        <v>#NAME?</v>
      </c>
    </row>
    <row r="71" spans="2:31" x14ac:dyDescent="0.2">
      <c r="B71" s="68"/>
      <c r="C71" s="68"/>
      <c r="D71" s="101"/>
      <c r="E71" s="64"/>
      <c r="F71" s="67"/>
      <c r="G71" s="66"/>
      <c r="H71" s="60"/>
      <c r="I71" s="60"/>
      <c r="J71" s="60"/>
      <c r="K71" s="60"/>
      <c r="L71" s="65"/>
      <c r="M71" s="65"/>
      <c r="N71" s="64"/>
      <c r="O71" s="64"/>
      <c r="P71" s="64"/>
      <c r="Q71" s="63"/>
      <c r="R71" s="62"/>
      <c r="S71" s="61"/>
      <c r="T71" s="60"/>
      <c r="U71" s="60"/>
      <c r="V71" s="60"/>
      <c r="W71" s="60"/>
    </row>
    <row r="72" spans="2:31" ht="13.5" customHeight="1" thickBot="1" x14ac:dyDescent="0.25">
      <c r="B72" s="58"/>
      <c r="C72" s="58"/>
      <c r="D72" s="59">
        <f>SUM(D4:D71)</f>
        <v>1.0000000000000002</v>
      </c>
      <c r="E72" s="58"/>
      <c r="F72" s="58"/>
      <c r="G72" s="58"/>
      <c r="H72" s="55"/>
      <c r="I72" s="634"/>
      <c r="J72" s="55"/>
      <c r="K72" s="55"/>
      <c r="L72" s="570"/>
      <c r="M72" s="570"/>
      <c r="N72" s="184"/>
      <c r="O72" s="133">
        <f>SUM(O4:O71)</f>
        <v>34113942.890000001</v>
      </c>
      <c r="P72" s="184">
        <f>SUM(P4:P71)</f>
        <v>3245175426.4400001</v>
      </c>
      <c r="Q72" s="133">
        <f>SUM(Q4:Q71)</f>
        <v>55515313.869999975</v>
      </c>
      <c r="R72" s="136">
        <f>SUM(R4:R70)</f>
        <v>1413192745.9099998</v>
      </c>
      <c r="S72" s="112">
        <f>SUM(S4:S70)</f>
        <v>21401370.98</v>
      </c>
      <c r="T72" s="55" t="e">
        <f ca="1">SUMPRODUCT(D4:D70,T4:T70)</f>
        <v>#NAME?</v>
      </c>
      <c r="U72" s="55">
        <f>SUM(U4:U71)</f>
        <v>55861282.550000004</v>
      </c>
      <c r="V72" s="55"/>
      <c r="W72" s="55"/>
    </row>
    <row r="73" spans="2:31" ht="13.5" customHeight="1" x14ac:dyDescent="0.2">
      <c r="B73" s="41"/>
      <c r="C73" s="41"/>
      <c r="D73" s="54"/>
      <c r="E73" s="41"/>
      <c r="F73" s="41"/>
      <c r="G73" s="41"/>
      <c r="I73" s="146" t="s">
        <v>804</v>
      </c>
      <c r="J73" s="146"/>
      <c r="K73" s="107"/>
      <c r="L73" s="355"/>
      <c r="M73" s="40"/>
      <c r="N73" s="43"/>
      <c r="O73" s="43"/>
      <c r="P73" s="265"/>
      <c r="Q73" s="142"/>
      <c r="R73" s="205"/>
      <c r="S73" s="428"/>
      <c r="T73" s="146" t="s">
        <v>777</v>
      </c>
      <c r="U73" s="354"/>
    </row>
    <row r="74" spans="2:31" x14ac:dyDescent="0.2">
      <c r="E74" s="10"/>
      <c r="K74" s="29"/>
      <c r="L74" s="29"/>
      <c r="M74" s="39"/>
      <c r="N74" s="34"/>
      <c r="O74" s="34"/>
      <c r="P74" s="30"/>
    </row>
    <row r="75" spans="2:31" x14ac:dyDescent="0.2">
      <c r="B75" s="32" t="s">
        <v>276</v>
      </c>
      <c r="E75" s="10"/>
      <c r="M75" s="39"/>
      <c r="N75" s="34"/>
      <c r="O75" s="34"/>
      <c r="P75" s="30"/>
    </row>
    <row r="76" spans="2:31" x14ac:dyDescent="0.2">
      <c r="B76" s="379">
        <v>2015</v>
      </c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41"/>
      <c r="N76" s="34"/>
      <c r="O76" s="34"/>
      <c r="P76" s="30"/>
    </row>
    <row r="77" spans="2:31" ht="40.5" hidden="1" customHeight="1" x14ac:dyDescent="0.2">
      <c r="B77" s="51" t="s">
        <v>105</v>
      </c>
      <c r="C77" s="50" t="s">
        <v>104</v>
      </c>
      <c r="D77" s="50" t="s">
        <v>174</v>
      </c>
      <c r="E77" s="50" t="s">
        <v>173</v>
      </c>
      <c r="F77" s="50" t="s">
        <v>175</v>
      </c>
      <c r="G77" s="50" t="s">
        <v>172</v>
      </c>
      <c r="H77" s="50" t="s">
        <v>103</v>
      </c>
      <c r="I77" s="50" t="s">
        <v>102</v>
      </c>
      <c r="J77" s="50" t="s">
        <v>101</v>
      </c>
      <c r="K77" s="50" t="s">
        <v>100</v>
      </c>
      <c r="L77" s="50" t="s">
        <v>99</v>
      </c>
      <c r="M77" s="50" t="s">
        <v>98</v>
      </c>
      <c r="N77" s="50" t="s">
        <v>280</v>
      </c>
      <c r="O77" s="50" t="s">
        <v>97</v>
      </c>
      <c r="P77" s="50" t="s">
        <v>279</v>
      </c>
      <c r="Q77" s="50" t="s">
        <v>277</v>
      </c>
      <c r="R77" s="50" t="s">
        <v>278</v>
      </c>
    </row>
    <row r="78" spans="2:31" hidden="1" x14ac:dyDescent="0.2">
      <c r="B78" s="46" t="s">
        <v>208</v>
      </c>
      <c r="C78" s="103" t="s">
        <v>72</v>
      </c>
      <c r="D78" s="73" t="s">
        <v>51</v>
      </c>
      <c r="E78" s="43" t="e">
        <f ca="1">F78*_xll.BDP(C78,"PX_LAST")</f>
        <v>#NAME?</v>
      </c>
      <c r="F78" s="43">
        <v>165000</v>
      </c>
      <c r="G78" s="43">
        <v>165000</v>
      </c>
      <c r="H78" s="47">
        <f t="shared" ref="H78:H83" si="20">G78/F78</f>
        <v>1</v>
      </c>
      <c r="I78" s="43">
        <f t="shared" ref="I78:I83" si="21">G78*K78</f>
        <v>6253500</v>
      </c>
      <c r="J78" s="45">
        <f t="shared" ref="J78:J83" si="22">G78*L78</f>
        <v>12713250</v>
      </c>
      <c r="K78" s="105">
        <v>37.9</v>
      </c>
      <c r="L78" s="105">
        <v>77.05</v>
      </c>
      <c r="M78" s="44">
        <f t="shared" ref="M78:M83" si="23">L78/K78-1</f>
        <v>1.0329815303430081</v>
      </c>
      <c r="N78" s="43">
        <f t="shared" ref="N78:N83" si="24">J78-I78</f>
        <v>6459750</v>
      </c>
      <c r="O78" s="106" t="e">
        <f ca="1">_xll.BDP($C78,"CRNCY")</f>
        <v>#NAME?</v>
      </c>
      <c r="P78" s="43" t="e">
        <f t="shared" ref="P78:P90" ca="1" si="25">N78/R78</f>
        <v>#NAME?</v>
      </c>
      <c r="Q78" s="14">
        <v>42048</v>
      </c>
      <c r="R78" s="22" t="e">
        <f ca="1">_xll.BDH("RUB curncy","PX_LAST",$Q78)</f>
        <v>#NAME?</v>
      </c>
    </row>
    <row r="79" spans="2:31" hidden="1" x14ac:dyDescent="0.2">
      <c r="B79" s="46" t="s">
        <v>188</v>
      </c>
      <c r="C79" s="103" t="s">
        <v>23</v>
      </c>
      <c r="D79" s="73" t="s">
        <v>51</v>
      </c>
      <c r="E79" s="43" t="e">
        <f ca="1">F79*_xll.BDP(C79,"PX_LAST")</f>
        <v>#NAME?</v>
      </c>
      <c r="F79" s="43">
        <v>158500</v>
      </c>
      <c r="G79" s="43">
        <v>112820</v>
      </c>
      <c r="H79" s="47">
        <f t="shared" si="20"/>
        <v>0.71179810725552051</v>
      </c>
      <c r="I79" s="43">
        <f t="shared" si="21"/>
        <v>5798948</v>
      </c>
      <c r="J79" s="45">
        <f t="shared" si="22"/>
        <v>9960336.2640000004</v>
      </c>
      <c r="K79" s="105">
        <v>51.4</v>
      </c>
      <c r="L79" s="105">
        <v>88.285200000000003</v>
      </c>
      <c r="M79" s="44">
        <f t="shared" si="23"/>
        <v>0.71761089494163444</v>
      </c>
      <c r="N79" s="43">
        <f t="shared" si="24"/>
        <v>4161388.2640000004</v>
      </c>
      <c r="O79" s="106" t="e">
        <f ca="1">_xll.BDP($C79,"CRNCY")</f>
        <v>#NAME?</v>
      </c>
      <c r="P79" s="43" t="e">
        <f t="shared" ca="1" si="25"/>
        <v>#NAME?</v>
      </c>
      <c r="Q79" s="14">
        <v>42048</v>
      </c>
      <c r="R79" s="22" t="e">
        <f ca="1">_xll.BDH("RUB curncy","PX_LAST",$Q79)</f>
        <v>#NAME?</v>
      </c>
    </row>
    <row r="80" spans="2:31" hidden="1" x14ac:dyDescent="0.2">
      <c r="B80" s="46" t="s">
        <v>261</v>
      </c>
      <c r="C80" s="103" t="s">
        <v>19</v>
      </c>
      <c r="D80" s="73" t="s">
        <v>51</v>
      </c>
      <c r="E80" s="43" t="e">
        <f ca="1">F80*_xll.BDP(C80,"PX_LAST")</f>
        <v>#NAME?</v>
      </c>
      <c r="F80" s="43">
        <v>10000</v>
      </c>
      <c r="G80" s="43">
        <v>10000</v>
      </c>
      <c r="H80" s="47">
        <f t="shared" si="20"/>
        <v>1</v>
      </c>
      <c r="I80" s="43">
        <f t="shared" si="21"/>
        <v>3340000</v>
      </c>
      <c r="J80" s="45">
        <f t="shared" si="22"/>
        <v>4000000</v>
      </c>
      <c r="K80" s="105">
        <v>334</v>
      </c>
      <c r="L80" s="105">
        <v>400</v>
      </c>
      <c r="M80" s="44">
        <f t="shared" si="23"/>
        <v>0.19760479041916157</v>
      </c>
      <c r="N80" s="43">
        <f t="shared" si="24"/>
        <v>660000</v>
      </c>
      <c r="O80" s="106" t="e">
        <f ca="1">_xll.BDP($C80,"CRNCY")</f>
        <v>#NAME?</v>
      </c>
      <c r="P80" s="43" t="e">
        <f t="shared" ca="1" si="25"/>
        <v>#NAME?</v>
      </c>
      <c r="Q80" s="14">
        <v>42048</v>
      </c>
      <c r="R80" s="22" t="e">
        <f ca="1">_xll.BDH("RUB curncy","PX_LAST",$Q80)</f>
        <v>#NAME?</v>
      </c>
    </row>
    <row r="81" spans="2:18" hidden="1" x14ac:dyDescent="0.2">
      <c r="B81" s="46" t="s">
        <v>187</v>
      </c>
      <c r="C81" s="103" t="s">
        <v>17</v>
      </c>
      <c r="D81" s="73" t="s">
        <v>51</v>
      </c>
      <c r="E81" s="43" t="e">
        <f ca="1">F81*_xll.BDP(C81,"PX_LAST")</f>
        <v>#NAME?</v>
      </c>
      <c r="F81" s="43">
        <v>984500</v>
      </c>
      <c r="G81" s="43">
        <v>434500</v>
      </c>
      <c r="H81" s="47">
        <f t="shared" si="20"/>
        <v>0.44134078212290501</v>
      </c>
      <c r="I81" s="43">
        <f t="shared" si="21"/>
        <v>2821543.477775</v>
      </c>
      <c r="J81" s="45">
        <f t="shared" si="22"/>
        <v>6193276.0999999996</v>
      </c>
      <c r="K81" s="105">
        <v>6.49377095</v>
      </c>
      <c r="L81" s="105">
        <v>14.2538</v>
      </c>
      <c r="M81" s="44">
        <f t="shared" si="23"/>
        <v>1.1949958059423085</v>
      </c>
      <c r="N81" s="43">
        <f t="shared" si="24"/>
        <v>3371732.6222249996</v>
      </c>
      <c r="O81" s="106" t="e">
        <f ca="1">_xll.BDP($C81,"CRNCY")</f>
        <v>#NAME?</v>
      </c>
      <c r="P81" s="43" t="e">
        <f t="shared" ca="1" si="25"/>
        <v>#NAME?</v>
      </c>
      <c r="Q81" s="14">
        <v>42048</v>
      </c>
      <c r="R81" s="22" t="e">
        <f ca="1">_xll.BDH("RUB curncy","PX_LAST",$Q81)</f>
        <v>#NAME?</v>
      </c>
    </row>
    <row r="82" spans="2:18" hidden="1" x14ac:dyDescent="0.2">
      <c r="B82" s="46" t="s">
        <v>320</v>
      </c>
      <c r="C82" s="103" t="s">
        <v>44</v>
      </c>
      <c r="D82" s="73" t="s">
        <v>51</v>
      </c>
      <c r="E82" s="43" t="e">
        <f ca="1">F82*_xll.BDP(C82,"PX_LAST")</f>
        <v>#NAME?</v>
      </c>
      <c r="F82" s="43">
        <v>2279100</v>
      </c>
      <c r="G82" s="43">
        <v>1505300</v>
      </c>
      <c r="H82" s="47">
        <f t="shared" si="20"/>
        <v>0.66048001404063006</v>
      </c>
      <c r="I82" s="43">
        <f t="shared" si="21"/>
        <v>35088209.530891001</v>
      </c>
      <c r="J82" s="45">
        <f t="shared" si="22"/>
        <v>53801378.890000001</v>
      </c>
      <c r="K82" s="105">
        <v>23.309778470000001</v>
      </c>
      <c r="L82" s="105">
        <v>35.741300000000003</v>
      </c>
      <c r="M82" s="44">
        <f t="shared" si="23"/>
        <v>0.53331787541436904</v>
      </c>
      <c r="N82" s="43">
        <f t="shared" si="24"/>
        <v>18713169.359108999</v>
      </c>
      <c r="O82" s="106" t="e">
        <f ca="1">_xll.BDP($C82,"CRNCY")</f>
        <v>#NAME?</v>
      </c>
      <c r="P82" s="43" t="e">
        <f t="shared" ca="1" si="25"/>
        <v>#NAME?</v>
      </c>
      <c r="Q82" s="14">
        <v>42048</v>
      </c>
      <c r="R82" s="22" t="e">
        <f ca="1">_xll.BDH("RUB curncy","PX_LAST",$Q82)</f>
        <v>#NAME?</v>
      </c>
    </row>
    <row r="83" spans="2:18" hidden="1" x14ac:dyDescent="0.2">
      <c r="B83" s="46" t="s">
        <v>147</v>
      </c>
      <c r="C83" s="103" t="s">
        <v>63</v>
      </c>
      <c r="D83" s="73" t="s">
        <v>51</v>
      </c>
      <c r="E83" s="43" t="e">
        <f ca="1">F83*_xll.BDP(C83,"PX_LAST")</f>
        <v>#NAME?</v>
      </c>
      <c r="F83" s="43">
        <v>45493</v>
      </c>
      <c r="G83" s="43">
        <v>1140</v>
      </c>
      <c r="H83" s="47">
        <f t="shared" si="20"/>
        <v>2.5058800254984283E-2</v>
      </c>
      <c r="I83" s="43">
        <f t="shared" si="21"/>
        <v>2256793.932</v>
      </c>
      <c r="J83" s="45">
        <f t="shared" si="22"/>
        <v>3591000</v>
      </c>
      <c r="K83" s="105">
        <v>1979.6438000000001</v>
      </c>
      <c r="L83" s="105">
        <v>3150</v>
      </c>
      <c r="M83" s="44">
        <f t="shared" si="23"/>
        <v>0.59119534534445028</v>
      </c>
      <c r="N83" s="43">
        <f t="shared" si="24"/>
        <v>1334206.068</v>
      </c>
      <c r="O83" s="106" t="e">
        <f ca="1">_xll.BDP($C83,"CRNCY")</f>
        <v>#NAME?</v>
      </c>
      <c r="P83" s="43" t="e">
        <f t="shared" ca="1" si="25"/>
        <v>#NAME?</v>
      </c>
      <c r="Q83" s="14">
        <v>42048</v>
      </c>
      <c r="R83" s="22" t="e">
        <f ca="1">_xll.BDH("RUB curncy","PX_LAST",$Q83)</f>
        <v>#NAME?</v>
      </c>
    </row>
    <row r="84" spans="2:18" hidden="1" x14ac:dyDescent="0.2">
      <c r="B84" s="46" t="e">
        <f ca="1">_xll.BDP(C84,"SECURITY_NAME")</f>
        <v>#NAME?</v>
      </c>
      <c r="C84" s="41" t="s">
        <v>275</v>
      </c>
      <c r="D84" s="73" t="s">
        <v>51</v>
      </c>
      <c r="E84" s="43" t="e">
        <f ca="1">F84*_xll.BDP(C84,"PX_LAST")/100</f>
        <v>#NAME?</v>
      </c>
      <c r="F84" s="43">
        <v>1000000</v>
      </c>
      <c r="G84" s="43">
        <v>200000</v>
      </c>
      <c r="H84" s="47">
        <f t="shared" ref="H84:H90" si="26">G84/F84</f>
        <v>0.2</v>
      </c>
      <c r="I84" s="43">
        <f>G84*K84/100</f>
        <v>191820</v>
      </c>
      <c r="J84" s="45">
        <f>G84*L84/100</f>
        <v>197500</v>
      </c>
      <c r="K84" s="105">
        <v>95.91</v>
      </c>
      <c r="L84" s="105">
        <v>98.75</v>
      </c>
      <c r="M84" s="44">
        <f t="shared" ref="M84:M90" si="27">L84/K84-1</f>
        <v>2.9611093733708627E-2</v>
      </c>
      <c r="N84" s="43" t="e">
        <f ca="1">(J84-I84)*R84</f>
        <v>#NAME?</v>
      </c>
      <c r="O84" s="106" t="e">
        <f ca="1">_xll.BDP($C84,"CRNCY")</f>
        <v>#NAME?</v>
      </c>
      <c r="P84" s="43" t="e">
        <f t="shared" ca="1" si="25"/>
        <v>#NAME?</v>
      </c>
      <c r="Q84" s="14">
        <v>42055</v>
      </c>
      <c r="R84" s="22" t="e">
        <f ca="1">_xll.BDH("RUB curncy","PX_LAST",$Q84)</f>
        <v>#NAME?</v>
      </c>
    </row>
    <row r="85" spans="2:18" hidden="1" x14ac:dyDescent="0.2">
      <c r="B85" s="46" t="s">
        <v>322</v>
      </c>
      <c r="C85" s="41"/>
      <c r="D85" s="73" t="s">
        <v>51</v>
      </c>
      <c r="E85" s="43"/>
      <c r="F85" s="43">
        <v>340</v>
      </c>
      <c r="G85" s="43">
        <v>340</v>
      </c>
      <c r="H85" s="47">
        <f t="shared" si="26"/>
        <v>1</v>
      </c>
      <c r="I85" s="43">
        <f>G85*K85</f>
        <v>21470558</v>
      </c>
      <c r="J85" s="45">
        <f>G85*L85</f>
        <v>22735399.520000014</v>
      </c>
      <c r="K85" s="130">
        <v>63148.7</v>
      </c>
      <c r="L85" s="130">
        <v>66868.822117647098</v>
      </c>
      <c r="M85" s="44">
        <f t="shared" si="27"/>
        <v>5.8910509917814657E-2</v>
      </c>
      <c r="N85" s="114">
        <f>J85-I85</f>
        <v>1264841.5200000145</v>
      </c>
      <c r="O85" s="106" t="s">
        <v>73</v>
      </c>
      <c r="P85" s="43" t="e">
        <f t="shared" ca="1" si="25"/>
        <v>#NAME?</v>
      </c>
      <c r="Q85" s="14">
        <v>42073</v>
      </c>
      <c r="R85" s="22" t="e">
        <f ca="1">_xll.BDH("RUB curncy","PX_LAST",$Q85)</f>
        <v>#NAME?</v>
      </c>
    </row>
    <row r="86" spans="2:18" hidden="1" x14ac:dyDescent="0.2">
      <c r="B86" s="46" t="s">
        <v>323</v>
      </c>
      <c r="C86" s="41"/>
      <c r="D86" s="73" t="s">
        <v>51</v>
      </c>
      <c r="E86" s="43"/>
      <c r="F86" s="43">
        <v>5500</v>
      </c>
      <c r="G86" s="43">
        <v>5500</v>
      </c>
      <c r="H86" s="47">
        <f t="shared" si="26"/>
        <v>1</v>
      </c>
      <c r="I86" s="43">
        <f>G86*K86</f>
        <v>36054645.650000013</v>
      </c>
      <c r="J86" s="45">
        <f>G86*L86</f>
        <v>37211926.160000019</v>
      </c>
      <c r="K86" s="130">
        <v>6555.3901181818201</v>
      </c>
      <c r="L86" s="131">
        <v>6765.8047563636401</v>
      </c>
      <c r="M86" s="44">
        <f t="shared" si="27"/>
        <v>3.2097958228026746E-2</v>
      </c>
      <c r="N86" s="114">
        <f>J86-I86</f>
        <v>1157280.5100000054</v>
      </c>
      <c r="O86" s="106" t="s">
        <v>73</v>
      </c>
      <c r="P86" s="43" t="e">
        <f t="shared" ca="1" si="25"/>
        <v>#NAME?</v>
      </c>
      <c r="Q86" s="14">
        <v>42073</v>
      </c>
      <c r="R86" s="22" t="e">
        <f ca="1">_xll.BDH("RUB curncy","PX_LAST",$Q86)</f>
        <v>#NAME?</v>
      </c>
    </row>
    <row r="87" spans="2:18" hidden="1" x14ac:dyDescent="0.2">
      <c r="B87" s="46" t="e">
        <f ca="1">_xll.BDP(C87,"SECURITY_NAME")</f>
        <v>#NAME?</v>
      </c>
      <c r="C87" s="41" t="s">
        <v>241</v>
      </c>
      <c r="D87" s="73" t="s">
        <v>51</v>
      </c>
      <c r="E87" s="43" t="e">
        <f ca="1">F87*_xll.BDP(C87,"PX_LAST")/100</f>
        <v>#NAME?</v>
      </c>
      <c r="F87" s="43">
        <v>367000</v>
      </c>
      <c r="G87" s="43">
        <v>367000</v>
      </c>
      <c r="H87" s="47">
        <f t="shared" si="26"/>
        <v>1</v>
      </c>
      <c r="I87" s="43">
        <f>G87*K87/100</f>
        <v>319400.09999999998</v>
      </c>
      <c r="J87" s="45">
        <f>G87*L87/100</f>
        <v>382597.5</v>
      </c>
      <c r="K87" s="105">
        <v>87.03</v>
      </c>
      <c r="L87" s="105">
        <v>104.25</v>
      </c>
      <c r="M87" s="44">
        <f t="shared" si="27"/>
        <v>0.19786280592898997</v>
      </c>
      <c r="N87" s="43" t="e">
        <f ca="1">(J87-I87)*R87</f>
        <v>#NAME?</v>
      </c>
      <c r="O87" s="106" t="e">
        <f ca="1">_xll.BDP($C87,"CRNCY")</f>
        <v>#NAME?</v>
      </c>
      <c r="P87" s="43" t="e">
        <f t="shared" ca="1" si="25"/>
        <v>#NAME?</v>
      </c>
      <c r="Q87" s="14">
        <v>42096</v>
      </c>
      <c r="R87" s="22" t="e">
        <f ca="1">_xll.BDH("RUB curncy","PX_LAST",$Q87)</f>
        <v>#NAME?</v>
      </c>
    </row>
    <row r="88" spans="2:18" hidden="1" x14ac:dyDescent="0.2">
      <c r="B88" s="46" t="e">
        <f ca="1">_xll.BDP(C88,"SECURITY_NAME")</f>
        <v>#NAME?</v>
      </c>
      <c r="C88" s="41" t="s">
        <v>243</v>
      </c>
      <c r="D88" s="73" t="s">
        <v>51</v>
      </c>
      <c r="E88" s="43" t="e">
        <f ca="1">F88*_xll.BDP(C88,"PX_LAST")/100</f>
        <v>#NAME?</v>
      </c>
      <c r="F88" s="43">
        <v>500000</v>
      </c>
      <c r="G88" s="43">
        <v>500000</v>
      </c>
      <c r="H88" s="47">
        <f t="shared" si="26"/>
        <v>1</v>
      </c>
      <c r="I88" s="43">
        <f>G88*K88/100</f>
        <v>461400</v>
      </c>
      <c r="J88" s="45">
        <f>G88*L88/100</f>
        <v>502500</v>
      </c>
      <c r="K88" s="105">
        <v>92.28</v>
      </c>
      <c r="L88" s="105">
        <v>100.5</v>
      </c>
      <c r="M88" s="44">
        <f t="shared" si="27"/>
        <v>8.9076723016905168E-2</v>
      </c>
      <c r="N88" s="43" t="e">
        <f ca="1">(J88-I88)*R88</f>
        <v>#NAME?</v>
      </c>
      <c r="O88" s="106" t="e">
        <f ca="1">_xll.BDP($C88,"CRNCY")</f>
        <v>#NAME?</v>
      </c>
      <c r="P88" s="43" t="e">
        <f t="shared" ca="1" si="25"/>
        <v>#NAME?</v>
      </c>
      <c r="Q88" s="14">
        <v>42096</v>
      </c>
      <c r="R88" s="22" t="e">
        <f ca="1">_xll.BDH("RUB curncy","PX_LAST",$Q88)</f>
        <v>#NAME?</v>
      </c>
    </row>
    <row r="89" spans="2:18" hidden="1" x14ac:dyDescent="0.2">
      <c r="B89" s="46" t="e">
        <f ca="1">_xll.BDP(C89,"SECURITY_NAME")</f>
        <v>#NAME?</v>
      </c>
      <c r="C89" s="41" t="s">
        <v>238</v>
      </c>
      <c r="D89" s="73" t="s">
        <v>51</v>
      </c>
      <c r="E89" s="43" t="e">
        <f ca="1">F89*_xll.BDP(C89,"PX_LAST")/100</f>
        <v>#NAME?</v>
      </c>
      <c r="F89" s="43">
        <v>800000</v>
      </c>
      <c r="G89" s="43">
        <v>800000</v>
      </c>
      <c r="H89" s="47">
        <f t="shared" si="26"/>
        <v>1</v>
      </c>
      <c r="I89" s="43">
        <f>G89*K89/100</f>
        <v>668240</v>
      </c>
      <c r="J89" s="45">
        <f>G89*L89/100</f>
        <v>788000</v>
      </c>
      <c r="K89" s="105">
        <v>83.53</v>
      </c>
      <c r="L89" s="105">
        <v>98.5</v>
      </c>
      <c r="M89" s="44">
        <f t="shared" si="27"/>
        <v>0.17921704776726921</v>
      </c>
      <c r="N89" s="43" t="e">
        <f ca="1">(J89-I89)*R89</f>
        <v>#NAME?</v>
      </c>
      <c r="O89" s="106" t="e">
        <f ca="1">_xll.BDP($C89,"CRNCY")</f>
        <v>#NAME?</v>
      </c>
      <c r="P89" s="43" t="e">
        <f t="shared" ca="1" si="25"/>
        <v>#NAME?</v>
      </c>
      <c r="Q89" s="14">
        <v>42096</v>
      </c>
      <c r="R89" s="22" t="e">
        <f ca="1">_xll.BDH("RUB curncy","PX_LAST",$Q89)</f>
        <v>#NAME?</v>
      </c>
    </row>
    <row r="90" spans="2:18" hidden="1" x14ac:dyDescent="0.2">
      <c r="B90" s="46" t="s">
        <v>327</v>
      </c>
      <c r="C90" s="103" t="s">
        <v>328</v>
      </c>
      <c r="D90" s="73" t="s">
        <v>51</v>
      </c>
      <c r="E90" s="43" t="e">
        <f ca="1">F90*_xll.BDP(C90,"PX_LAST")</f>
        <v>#NAME?</v>
      </c>
      <c r="F90" s="43">
        <v>12000</v>
      </c>
      <c r="G90" s="43">
        <v>12000</v>
      </c>
      <c r="H90" s="47">
        <f t="shared" si="26"/>
        <v>1</v>
      </c>
      <c r="I90" s="43">
        <f>G90*K90</f>
        <v>232320</v>
      </c>
      <c r="J90" s="45">
        <f>G90*L90</f>
        <v>261600</v>
      </c>
      <c r="K90" s="105">
        <v>19.36</v>
      </c>
      <c r="L90" s="105">
        <v>21.8</v>
      </c>
      <c r="M90" s="44">
        <f t="shared" si="27"/>
        <v>0.12603305785123964</v>
      </c>
      <c r="N90" s="43" t="e">
        <f ca="1">(J90-I90)*R90</f>
        <v>#NAME?</v>
      </c>
      <c r="O90" s="106" t="e">
        <f ca="1">_xll.BDP($C90,"CRNCY")</f>
        <v>#NAME?</v>
      </c>
      <c r="P90" s="43" t="e">
        <f t="shared" ca="1" si="25"/>
        <v>#NAME?</v>
      </c>
      <c r="Q90" s="14">
        <v>42103</v>
      </c>
      <c r="R90" s="22" t="e">
        <f ca="1">_xll.BDH("RUB curncy","PX_LAST",$Q90)</f>
        <v>#NAME?</v>
      </c>
    </row>
    <row r="91" spans="2:18" hidden="1" x14ac:dyDescent="0.2">
      <c r="B91" s="46" t="e">
        <f ca="1">_xll.BDP(C91,"SECURITY_NAME")</f>
        <v>#NAME?</v>
      </c>
      <c r="C91" s="41" t="s">
        <v>263</v>
      </c>
      <c r="D91" s="73" t="s">
        <v>51</v>
      </c>
      <c r="E91" s="43" t="e">
        <f ca="1">F91*_xll.BDP(C91,"PX_LAST")/100</f>
        <v>#NAME?</v>
      </c>
      <c r="F91" s="43">
        <v>50000000</v>
      </c>
      <c r="G91" s="43">
        <v>33000000</v>
      </c>
      <c r="H91" s="47">
        <f>G91/F91</f>
        <v>0.66</v>
      </c>
      <c r="I91" s="43">
        <f t="shared" ref="I91:I96" si="28">G91*K91/100</f>
        <v>27918000</v>
      </c>
      <c r="J91" s="45">
        <f t="shared" ref="J91:J96" si="29">G91*L91/100</f>
        <v>31218000</v>
      </c>
      <c r="K91" s="105">
        <v>84.6</v>
      </c>
      <c r="L91" s="105">
        <v>94.6</v>
      </c>
      <c r="M91" s="44">
        <f>L91/K91-1</f>
        <v>0.11820330969267134</v>
      </c>
      <c r="N91" s="43">
        <f>(J91-I91)</f>
        <v>3300000</v>
      </c>
      <c r="O91" s="106" t="e">
        <f ca="1">_xll.BDP($C91,"CRNCY")</f>
        <v>#NAME?</v>
      </c>
      <c r="P91" s="43" t="e">
        <f ca="1">N91/R91</f>
        <v>#NAME?</v>
      </c>
      <c r="Q91" s="14">
        <v>42104</v>
      </c>
      <c r="R91" s="22" t="e">
        <f ca="1">_xll.BDH("RUB curncy","PX_LAST",$Q91)</f>
        <v>#NAME?</v>
      </c>
    </row>
    <row r="92" spans="2:18" hidden="1" x14ac:dyDescent="0.2">
      <c r="B92" s="46" t="e">
        <f ca="1">_xll.BDP(C92,"SECURITY_NAME")</f>
        <v>#NAME?</v>
      </c>
      <c r="C92" s="41" t="s">
        <v>265</v>
      </c>
      <c r="D92" s="73" t="s">
        <v>51</v>
      </c>
      <c r="E92" s="43" t="e">
        <f ca="1">F92*_xll.BDP(C92,"PX_LAST")/100</f>
        <v>#NAME?</v>
      </c>
      <c r="F92" s="43">
        <v>93700000</v>
      </c>
      <c r="G92" s="43">
        <v>61700000</v>
      </c>
      <c r="H92" s="47">
        <f>G92/F92</f>
        <v>0.65848452508004274</v>
      </c>
      <c r="I92" s="43">
        <f t="shared" si="28"/>
        <v>52136500</v>
      </c>
      <c r="J92" s="45">
        <f t="shared" si="29"/>
        <v>58769250</v>
      </c>
      <c r="K92" s="105">
        <v>84.5</v>
      </c>
      <c r="L92" s="105">
        <v>95.25</v>
      </c>
      <c r="M92" s="44">
        <f>L92/K92-1</f>
        <v>0.1272189349112427</v>
      </c>
      <c r="N92" s="43">
        <f>(J92-I92)</f>
        <v>6632750</v>
      </c>
      <c r="O92" s="106" t="e">
        <f ca="1">_xll.BDP($C92,"CRNCY")</f>
        <v>#NAME?</v>
      </c>
      <c r="P92" s="43" t="e">
        <f ca="1">N92/R92</f>
        <v>#NAME?</v>
      </c>
      <c r="Q92" s="14">
        <v>42104</v>
      </c>
      <c r="R92" s="22" t="e">
        <f ca="1">_xll.BDH("RUB curncy","PX_LAST",$Q92)</f>
        <v>#NAME?</v>
      </c>
    </row>
    <row r="93" spans="2:18" hidden="1" x14ac:dyDescent="0.2">
      <c r="B93" s="46" t="e">
        <f ca="1">_xll.BDP(C93,"SECURITY_NAME")</f>
        <v>#NAME?</v>
      </c>
      <c r="C93" s="41" t="s">
        <v>272</v>
      </c>
      <c r="D93" s="73" t="s">
        <v>51</v>
      </c>
      <c r="E93" s="43" t="e">
        <f ca="1">F93*_xll.BDP(C93,"PX_LAST")/100</f>
        <v>#NAME?</v>
      </c>
      <c r="F93" s="43">
        <v>50000000</v>
      </c>
      <c r="G93" s="43">
        <v>33000000</v>
      </c>
      <c r="H93" s="47">
        <f>G93/F93</f>
        <v>0.66</v>
      </c>
      <c r="I93" s="43">
        <f t="shared" si="28"/>
        <v>28901400</v>
      </c>
      <c r="J93" s="45">
        <f t="shared" si="29"/>
        <v>31762500</v>
      </c>
      <c r="K93" s="105">
        <v>87.58</v>
      </c>
      <c r="L93" s="105">
        <v>96.25</v>
      </c>
      <c r="M93" s="44">
        <f>L93/K93-1</f>
        <v>9.8995204384562774E-2</v>
      </c>
      <c r="N93" s="43">
        <f>(J93-I93)</f>
        <v>2861100</v>
      </c>
      <c r="O93" s="106" t="e">
        <f ca="1">_xll.BDP($C93,"CRNCY")</f>
        <v>#NAME?</v>
      </c>
      <c r="P93" s="43" t="e">
        <f ca="1">N93/R93</f>
        <v>#NAME?</v>
      </c>
      <c r="Q93" s="14">
        <v>42104</v>
      </c>
      <c r="R93" s="22" t="e">
        <f ca="1">_xll.BDH("RUB curncy","PX_LAST",$Q93)</f>
        <v>#NAME?</v>
      </c>
    </row>
    <row r="94" spans="2:18" hidden="1" x14ac:dyDescent="0.2">
      <c r="B94" s="46" t="e">
        <f ca="1">_xll.BDP(C94,"SECURITY_NAME")</f>
        <v>#NAME?</v>
      </c>
      <c r="C94" s="41" t="s">
        <v>266</v>
      </c>
      <c r="D94" s="73" t="s">
        <v>51</v>
      </c>
      <c r="E94" s="43" t="e">
        <f ca="1">F94*_xll.BDP(C94,"PX_LAST")/100</f>
        <v>#NAME?</v>
      </c>
      <c r="F94" s="43">
        <v>50000000</v>
      </c>
      <c r="G94" s="43">
        <v>33000000</v>
      </c>
      <c r="H94" s="47">
        <f>G94/F94</f>
        <v>0.66</v>
      </c>
      <c r="I94" s="43">
        <f t="shared" si="28"/>
        <v>26739900</v>
      </c>
      <c r="J94" s="45">
        <f t="shared" si="29"/>
        <v>30525000</v>
      </c>
      <c r="K94" s="105">
        <v>81.03</v>
      </c>
      <c r="L94" s="105">
        <v>92.5</v>
      </c>
      <c r="M94" s="44">
        <f>L94/K94-1</f>
        <v>0.14155251141552516</v>
      </c>
      <c r="N94" s="43">
        <f>(J94-I94)</f>
        <v>3785100</v>
      </c>
      <c r="O94" s="106" t="e">
        <f ca="1">_xll.BDP($C94,"CRNCY")</f>
        <v>#NAME?</v>
      </c>
      <c r="P94" s="43" t="e">
        <f ca="1">N94/R94</f>
        <v>#NAME?</v>
      </c>
      <c r="Q94" s="14">
        <v>42104</v>
      </c>
      <c r="R94" s="22" t="e">
        <f ca="1">_xll.BDH("RUB curncy","PX_LAST",$Q94)</f>
        <v>#NAME?</v>
      </c>
    </row>
    <row r="95" spans="2:18" hidden="1" x14ac:dyDescent="0.2">
      <c r="B95" s="46" t="e">
        <f ca="1">_xll.BDP(C95,"SECURITY_NAME")</f>
        <v>#NAME?</v>
      </c>
      <c r="C95" s="41" t="s">
        <v>275</v>
      </c>
      <c r="D95" s="73" t="s">
        <v>51</v>
      </c>
      <c r="E95" s="43" t="e">
        <f ca="1">F95*_xll.BDP(C95,"PX_LAST")/100</f>
        <v>#NAME?</v>
      </c>
      <c r="F95" s="43">
        <v>1000000</v>
      </c>
      <c r="G95" s="43">
        <v>800000</v>
      </c>
      <c r="H95" s="47">
        <f>G95/F95</f>
        <v>0.8</v>
      </c>
      <c r="I95" s="43">
        <f t="shared" si="28"/>
        <v>767280</v>
      </c>
      <c r="J95" s="45">
        <f t="shared" si="29"/>
        <v>798800</v>
      </c>
      <c r="K95" s="105">
        <v>95.91</v>
      </c>
      <c r="L95" s="105">
        <v>99.85</v>
      </c>
      <c r="M95" s="44">
        <f>L95/K95-1</f>
        <v>4.1080179334793021E-2</v>
      </c>
      <c r="N95" s="43" t="e">
        <f ca="1">(J95-I95)*R95</f>
        <v>#NAME?</v>
      </c>
      <c r="O95" s="106" t="e">
        <f ca="1">_xll.BDP($C95,"CRNCY")</f>
        <v>#NAME?</v>
      </c>
      <c r="P95" s="43" t="e">
        <f ca="1">N95/R95</f>
        <v>#NAME?</v>
      </c>
      <c r="Q95" s="14">
        <v>42143</v>
      </c>
      <c r="R95" s="22" t="e">
        <f ca="1">_xll.BDH("RUB curncy","PX_LAST",$Q95)</f>
        <v>#NAME?</v>
      </c>
    </row>
    <row r="96" spans="2:18" hidden="1" x14ac:dyDescent="0.2">
      <c r="B96" s="46" t="e">
        <f ca="1">_xll.BDP(C96,"SECURITY_NAME")</f>
        <v>#NAME?</v>
      </c>
      <c r="C96" s="41" t="s">
        <v>346</v>
      </c>
      <c r="D96" s="73" t="s">
        <v>51</v>
      </c>
      <c r="E96" s="43" t="e">
        <f ca="1">F96*_xll.BDP(C96,"PX_LAST")/100</f>
        <v>#NAME?</v>
      </c>
      <c r="F96" s="43">
        <v>300000</v>
      </c>
      <c r="G96" s="43">
        <v>300000</v>
      </c>
      <c r="H96" s="47">
        <f t="shared" ref="H96:H101" si="30">G96/F96</f>
        <v>1</v>
      </c>
      <c r="I96" s="43">
        <f t="shared" si="28"/>
        <v>300900</v>
      </c>
      <c r="J96" s="45">
        <f t="shared" si="29"/>
        <v>297750</v>
      </c>
      <c r="K96" s="105">
        <v>100.3</v>
      </c>
      <c r="L96" s="105">
        <v>99.25</v>
      </c>
      <c r="M96" s="44">
        <f t="shared" ref="M96:M101" si="31">L96/K96-1</f>
        <v>-1.0468594217347915E-2</v>
      </c>
      <c r="N96" s="43" t="e">
        <f ca="1">(J96-I96)*R96</f>
        <v>#NAME?</v>
      </c>
      <c r="O96" s="106" t="e">
        <f ca="1">_xll.BDP($C96,"CRNCY")</f>
        <v>#NAME?</v>
      </c>
      <c r="P96" s="43" t="e">
        <f t="shared" ref="P96:P101" ca="1" si="32">N96/R96</f>
        <v>#NAME?</v>
      </c>
      <c r="Q96" s="14">
        <v>42144</v>
      </c>
      <c r="R96" s="22" t="e">
        <f ca="1">_xll.BDH("RUB curncy","PX_LAST",$Q96)</f>
        <v>#NAME?</v>
      </c>
    </row>
    <row r="97" spans="2:18" hidden="1" x14ac:dyDescent="0.2">
      <c r="B97" s="46" t="s">
        <v>150</v>
      </c>
      <c r="C97" s="103" t="s">
        <v>69</v>
      </c>
      <c r="D97" s="73" t="s">
        <v>51</v>
      </c>
      <c r="E97" s="43" t="e">
        <f ca="1">F97*_xll.BDP(C97,"PX_LAST")</f>
        <v>#NAME?</v>
      </c>
      <c r="F97" s="43">
        <v>12623000</v>
      </c>
      <c r="G97" s="43">
        <v>1193000</v>
      </c>
      <c r="H97" s="47">
        <f t="shared" si="30"/>
        <v>9.4510021389527049E-2</v>
      </c>
      <c r="I97" s="43">
        <f>G97*K97</f>
        <v>2928815</v>
      </c>
      <c r="J97" s="45">
        <f>G97*L97</f>
        <v>3651176.5000000005</v>
      </c>
      <c r="K97" s="105">
        <v>2.4550000000000001</v>
      </c>
      <c r="L97" s="105">
        <v>3.0605000000000002</v>
      </c>
      <c r="M97" s="44">
        <f t="shared" si="31"/>
        <v>0.2466395112016293</v>
      </c>
      <c r="N97" s="43">
        <f>J97-I97</f>
        <v>722361.50000000047</v>
      </c>
      <c r="O97" s="106" t="e">
        <f ca="1">_xll.BDP($C97,"CRNCY")</f>
        <v>#NAME?</v>
      </c>
      <c r="P97" s="43" t="e">
        <f t="shared" ca="1" si="32"/>
        <v>#NAME?</v>
      </c>
      <c r="Q97" s="14">
        <v>42144</v>
      </c>
      <c r="R97" s="22" t="e">
        <f ca="1">_xll.BDH("RUB curncy","PX_LAST",$Q97)</f>
        <v>#NAME?</v>
      </c>
    </row>
    <row r="98" spans="2:18" hidden="1" x14ac:dyDescent="0.2">
      <c r="B98" s="46" t="s">
        <v>187</v>
      </c>
      <c r="C98" s="103" t="s">
        <v>17</v>
      </c>
      <c r="D98" s="73" t="s">
        <v>51</v>
      </c>
      <c r="E98" s="43" t="e">
        <f ca="1">F98*_xll.BDP(C98,"PX_LAST")</f>
        <v>#NAME?</v>
      </c>
      <c r="F98" s="43">
        <v>984500</v>
      </c>
      <c r="G98" s="43">
        <v>550000</v>
      </c>
      <c r="H98" s="47">
        <f t="shared" si="30"/>
        <v>0.55865921787709494</v>
      </c>
      <c r="I98" s="43">
        <f>G98*K98</f>
        <v>3571574.0225</v>
      </c>
      <c r="J98" s="45">
        <f>G98*L98</f>
        <v>8384497.5499999998</v>
      </c>
      <c r="K98" s="105">
        <v>6.49377095</v>
      </c>
      <c r="L98" s="105">
        <v>15.244541</v>
      </c>
      <c r="M98" s="44">
        <f t="shared" si="31"/>
        <v>1.3475637064162234</v>
      </c>
      <c r="N98" s="43">
        <f>J98-I98</f>
        <v>4812923.5274999999</v>
      </c>
      <c r="O98" s="106" t="e">
        <f ca="1">_xll.BDP($C98,"CRNCY")</f>
        <v>#NAME?</v>
      </c>
      <c r="P98" s="43" t="e">
        <f t="shared" ca="1" si="32"/>
        <v>#NAME?</v>
      </c>
      <c r="Q98" s="14">
        <v>42144</v>
      </c>
      <c r="R98" s="22" t="e">
        <f ca="1">_xll.BDH("RUB curncy","PX_LAST",$Q98)</f>
        <v>#NAME?</v>
      </c>
    </row>
    <row r="99" spans="2:18" hidden="1" x14ac:dyDescent="0.2">
      <c r="B99" s="46" t="s">
        <v>320</v>
      </c>
      <c r="C99" s="103" t="s">
        <v>44</v>
      </c>
      <c r="D99" s="73" t="s">
        <v>51</v>
      </c>
      <c r="E99" s="43" t="e">
        <f ca="1">F99*_xll.BDP(C99,"PX_LAST")</f>
        <v>#NAME?</v>
      </c>
      <c r="F99" s="43">
        <v>2279100</v>
      </c>
      <c r="G99" s="43">
        <v>400000</v>
      </c>
      <c r="H99" s="47">
        <f t="shared" si="30"/>
        <v>0.17550787591593173</v>
      </c>
      <c r="I99" s="43">
        <f>G99*K99</f>
        <v>9323911.3880000003</v>
      </c>
      <c r="J99" s="45">
        <f>G99*L99</f>
        <v>18046500</v>
      </c>
      <c r="K99" s="105">
        <v>23.309778470000001</v>
      </c>
      <c r="L99" s="105">
        <v>45.116250000000001</v>
      </c>
      <c r="M99" s="44">
        <f t="shared" si="31"/>
        <v>0.93550745486771669</v>
      </c>
      <c r="N99" s="43">
        <f>J99-I99</f>
        <v>8722588.6119999997</v>
      </c>
      <c r="O99" s="106" t="e">
        <f ca="1">_xll.BDP($C99,"CRNCY")</f>
        <v>#NAME?</v>
      </c>
      <c r="P99" s="43" t="e">
        <f t="shared" ca="1" si="32"/>
        <v>#NAME?</v>
      </c>
      <c r="Q99" s="14">
        <v>42048</v>
      </c>
      <c r="R99" s="22" t="e">
        <f ca="1">_xll.BDH("RUB curncy","PX_LAST",$Q99)</f>
        <v>#NAME?</v>
      </c>
    </row>
    <row r="100" spans="2:18" hidden="1" x14ac:dyDescent="0.2">
      <c r="B100" s="46" t="e">
        <f ca="1">_xll.BDP(C100,"SECURITY_NAME")</f>
        <v>#NAME?</v>
      </c>
      <c r="C100" s="41" t="s">
        <v>272</v>
      </c>
      <c r="D100" s="73" t="s">
        <v>51</v>
      </c>
      <c r="E100" s="43" t="e">
        <f ca="1">F100*_xll.BDP(C100,"PX_LAST")/100</f>
        <v>#NAME?</v>
      </c>
      <c r="F100" s="43">
        <v>50000000</v>
      </c>
      <c r="G100" s="43">
        <v>17000000</v>
      </c>
      <c r="H100" s="47">
        <f t="shared" si="30"/>
        <v>0.34</v>
      </c>
      <c r="I100" s="43">
        <f t="shared" ref="I100:I105" si="33">G100*K100/100</f>
        <v>14888600</v>
      </c>
      <c r="J100" s="45">
        <f t="shared" ref="J100:J105" si="34">G100*L100/100</f>
        <v>16745000</v>
      </c>
      <c r="K100" s="105">
        <v>87.58</v>
      </c>
      <c r="L100" s="105">
        <v>98.5</v>
      </c>
      <c r="M100" s="44">
        <f t="shared" si="31"/>
        <v>0.12468600137017583</v>
      </c>
      <c r="N100" s="43">
        <f t="shared" ref="N100:N105" si="35">(J100-I100)</f>
        <v>1856400</v>
      </c>
      <c r="O100" s="106" t="e">
        <f ca="1">_xll.BDP($C100,"CRNCY")</f>
        <v>#NAME?</v>
      </c>
      <c r="P100" s="43" t="e">
        <f t="shared" ca="1" si="32"/>
        <v>#NAME?</v>
      </c>
      <c r="Q100" s="14">
        <v>42212</v>
      </c>
      <c r="R100" s="22" t="e">
        <f ca="1">_xll.BDH("RUB curncy","PX_LAST",$Q100)</f>
        <v>#NAME?</v>
      </c>
    </row>
    <row r="101" spans="2:18" hidden="1" x14ac:dyDescent="0.2">
      <c r="B101" s="46" t="e">
        <f ca="1">_xll.BDP(C101,"SECURITY_NAME")</f>
        <v>#NAME?</v>
      </c>
      <c r="C101" s="41" t="s">
        <v>29</v>
      </c>
      <c r="D101" s="73" t="s">
        <v>51</v>
      </c>
      <c r="E101" s="43" t="e">
        <f ca="1">F101*_xll.BDP(C101,"PX_LAST")/100</f>
        <v>#NAME?</v>
      </c>
      <c r="F101" s="43">
        <v>50000000</v>
      </c>
      <c r="G101" s="43">
        <v>50000000</v>
      </c>
      <c r="H101" s="47">
        <f t="shared" si="30"/>
        <v>1</v>
      </c>
      <c r="I101" s="43">
        <f t="shared" si="33"/>
        <v>45765000</v>
      </c>
      <c r="J101" s="45">
        <f t="shared" si="34"/>
        <v>49375000</v>
      </c>
      <c r="K101" s="105">
        <v>91.53</v>
      </c>
      <c r="L101" s="105">
        <v>98.75</v>
      </c>
      <c r="M101" s="44">
        <f t="shared" si="31"/>
        <v>7.8881241123128998E-2</v>
      </c>
      <c r="N101" s="43">
        <f t="shared" si="35"/>
        <v>3610000</v>
      </c>
      <c r="O101" s="106" t="e">
        <f ca="1">_xll.BDP($C101,"CRNCY")</f>
        <v>#NAME?</v>
      </c>
      <c r="P101" s="43" t="e">
        <f t="shared" ca="1" si="32"/>
        <v>#NAME?</v>
      </c>
      <c r="Q101" s="14">
        <v>42212</v>
      </c>
      <c r="R101" s="22" t="e">
        <f ca="1">_xll.BDH("RUB curncy","PX_LAST",$Q101)</f>
        <v>#NAME?</v>
      </c>
    </row>
    <row r="102" spans="2:18" hidden="1" x14ac:dyDescent="0.2">
      <c r="B102" s="46" t="e">
        <f ca="1">_xll.BDP(C102,"SECURITY_NAME")</f>
        <v>#NAME?</v>
      </c>
      <c r="C102" s="41" t="s">
        <v>28</v>
      </c>
      <c r="D102" s="73" t="s">
        <v>51</v>
      </c>
      <c r="E102" s="43" t="e">
        <f ca="1">F102*_xll.BDP(C102,"PX_LAST")/100</f>
        <v>#NAME?</v>
      </c>
      <c r="F102" s="43">
        <v>30000000</v>
      </c>
      <c r="G102" s="43">
        <v>30000000</v>
      </c>
      <c r="H102" s="47">
        <f t="shared" ref="H102:H108" si="36">G102/F102</f>
        <v>1</v>
      </c>
      <c r="I102" s="43">
        <f t="shared" si="33"/>
        <v>28950000</v>
      </c>
      <c r="J102" s="45">
        <f t="shared" si="34"/>
        <v>29820000</v>
      </c>
      <c r="K102" s="105">
        <v>96.5</v>
      </c>
      <c r="L102" s="105">
        <v>99.4</v>
      </c>
      <c r="M102" s="44">
        <f t="shared" ref="M102:M108" si="37">L102/K102-1</f>
        <v>3.0051813471502653E-2</v>
      </c>
      <c r="N102" s="43">
        <f t="shared" si="35"/>
        <v>870000</v>
      </c>
      <c r="O102" s="106" t="e">
        <f ca="1">_xll.BDP($C102,"CRNCY")</f>
        <v>#NAME?</v>
      </c>
      <c r="P102" s="43" t="e">
        <f t="shared" ref="P102:P108" ca="1" si="38">N102/R102</f>
        <v>#NAME?</v>
      </c>
      <c r="Q102" s="14">
        <v>42212</v>
      </c>
      <c r="R102" s="22" t="e">
        <f ca="1">_xll.BDH("RUB curncy","PX_LAST",$Q102)</f>
        <v>#NAME?</v>
      </c>
    </row>
    <row r="103" spans="2:18" hidden="1" x14ac:dyDescent="0.2">
      <c r="B103" s="46" t="e">
        <f ca="1">_xll.BDP(C103,"SECURITY_NAME")</f>
        <v>#NAME?</v>
      </c>
      <c r="C103" s="41" t="s">
        <v>267</v>
      </c>
      <c r="D103" s="73" t="s">
        <v>51</v>
      </c>
      <c r="E103" s="43" t="e">
        <f ca="1">F103*_xll.BDP(C103,"PX_LAST")/100</f>
        <v>#NAME?</v>
      </c>
      <c r="F103" s="43">
        <v>50000000</v>
      </c>
      <c r="G103" s="43">
        <v>17000000</v>
      </c>
      <c r="H103" s="47">
        <f t="shared" si="36"/>
        <v>0.34</v>
      </c>
      <c r="I103" s="43">
        <f t="shared" si="33"/>
        <v>13775100</v>
      </c>
      <c r="J103" s="45">
        <f t="shared" si="34"/>
        <v>16331900</v>
      </c>
      <c r="K103" s="105">
        <v>81.03</v>
      </c>
      <c r="L103" s="105">
        <v>96.07</v>
      </c>
      <c r="M103" s="44">
        <f t="shared" si="37"/>
        <v>0.18561026780204859</v>
      </c>
      <c r="N103" s="43">
        <f t="shared" si="35"/>
        <v>2556800</v>
      </c>
      <c r="O103" s="106" t="e">
        <f ca="1">_xll.BDP($C103,"CRNCY")</f>
        <v>#NAME?</v>
      </c>
      <c r="P103" s="43" t="e">
        <f t="shared" ca="1" si="38"/>
        <v>#NAME?</v>
      </c>
      <c r="Q103" s="14">
        <v>42213</v>
      </c>
      <c r="R103" s="22" t="e">
        <f ca="1">_xll.BDH("RUB curncy","PX_LAST",$Q103)</f>
        <v>#NAME?</v>
      </c>
    </row>
    <row r="104" spans="2:18" hidden="1" x14ac:dyDescent="0.2">
      <c r="B104" s="46" t="e">
        <f ca="1">_xll.BDP(C104,"SECURITY_NAME")</f>
        <v>#NAME?</v>
      </c>
      <c r="C104" s="41" t="s">
        <v>263</v>
      </c>
      <c r="D104" s="73" t="s">
        <v>51</v>
      </c>
      <c r="E104" s="43" t="e">
        <f ca="1">F104*_xll.BDP(C104,"PX_LAST")/100</f>
        <v>#NAME?</v>
      </c>
      <c r="F104" s="43">
        <v>50000000</v>
      </c>
      <c r="G104" s="43">
        <v>17000000</v>
      </c>
      <c r="H104" s="47">
        <f t="shared" si="36"/>
        <v>0.34</v>
      </c>
      <c r="I104" s="43">
        <f t="shared" si="33"/>
        <v>14382000</v>
      </c>
      <c r="J104" s="45">
        <f t="shared" si="34"/>
        <v>16549500</v>
      </c>
      <c r="K104" s="105">
        <v>84.6</v>
      </c>
      <c r="L104" s="105">
        <v>97.35</v>
      </c>
      <c r="M104" s="44">
        <f t="shared" si="37"/>
        <v>0.15070921985815611</v>
      </c>
      <c r="N104" s="43">
        <f t="shared" si="35"/>
        <v>2167500</v>
      </c>
      <c r="O104" s="106" t="e">
        <f ca="1">_xll.BDP($C104,"CRNCY")</f>
        <v>#NAME?</v>
      </c>
      <c r="P104" s="43" t="e">
        <f t="shared" ca="1" si="38"/>
        <v>#NAME?</v>
      </c>
      <c r="Q104" s="14">
        <v>42213</v>
      </c>
      <c r="R104" s="22" t="e">
        <f ca="1">_xll.BDH("RUB curncy","PX_LAST",$Q104)</f>
        <v>#NAME?</v>
      </c>
    </row>
    <row r="105" spans="2:18" hidden="1" x14ac:dyDescent="0.2">
      <c r="B105" s="46" t="e">
        <f ca="1">_xll.BDP(C105,"SECURITY_NAME")</f>
        <v>#NAME?</v>
      </c>
      <c r="C105" s="41" t="s">
        <v>265</v>
      </c>
      <c r="D105" s="73" t="s">
        <v>51</v>
      </c>
      <c r="E105" s="43" t="e">
        <f ca="1">F105*_xll.BDP(C105,"PX_LAST")/100</f>
        <v>#NAME?</v>
      </c>
      <c r="F105" s="43">
        <v>93700000</v>
      </c>
      <c r="G105" s="43">
        <v>32000000</v>
      </c>
      <c r="H105" s="47">
        <f t="shared" si="36"/>
        <v>0.34151547491995732</v>
      </c>
      <c r="I105" s="43">
        <f t="shared" si="33"/>
        <v>27040000</v>
      </c>
      <c r="J105" s="45">
        <f t="shared" si="34"/>
        <v>31152000</v>
      </c>
      <c r="K105" s="105">
        <v>84.5</v>
      </c>
      <c r="L105" s="105">
        <v>97.35</v>
      </c>
      <c r="M105" s="44">
        <f t="shared" si="37"/>
        <v>0.15207100591715972</v>
      </c>
      <c r="N105" s="43">
        <f t="shared" si="35"/>
        <v>4112000</v>
      </c>
      <c r="O105" s="106" t="e">
        <f ca="1">_xll.BDP($C105,"CRNCY")</f>
        <v>#NAME?</v>
      </c>
      <c r="P105" s="43" t="e">
        <f t="shared" ca="1" si="38"/>
        <v>#NAME?</v>
      </c>
      <c r="Q105" s="14">
        <v>42212</v>
      </c>
      <c r="R105" s="22" t="e">
        <f ca="1">_xll.BDH("RUB curncy","PX_LAST",$Q105)</f>
        <v>#NAME?</v>
      </c>
    </row>
    <row r="106" spans="2:18" hidden="1" x14ac:dyDescent="0.2">
      <c r="B106" s="46" t="s">
        <v>198</v>
      </c>
      <c r="C106" s="103" t="s">
        <v>26</v>
      </c>
      <c r="D106" s="73" t="s">
        <v>51</v>
      </c>
      <c r="E106" s="43" t="e">
        <f ca="1">F106*_xll.BDP(C106,"PX_LAST")</f>
        <v>#NAME?</v>
      </c>
      <c r="F106" s="43">
        <v>196420</v>
      </c>
      <c r="G106" s="43">
        <v>196420</v>
      </c>
      <c r="H106" s="47">
        <f t="shared" si="36"/>
        <v>1</v>
      </c>
      <c r="I106" s="43">
        <f t="shared" ref="I106:I112" si="39">G106*K106</f>
        <v>16107968.6995402</v>
      </c>
      <c r="J106" s="45">
        <f t="shared" ref="J106:J112" si="40">G106*L106</f>
        <v>18096174.599999998</v>
      </c>
      <c r="K106" s="105">
        <v>82.007782809999995</v>
      </c>
      <c r="L106" s="105">
        <v>92.13</v>
      </c>
      <c r="M106" s="44">
        <f t="shared" si="37"/>
        <v>0.12342995802546808</v>
      </c>
      <c r="N106" s="43">
        <f>J106-I106</f>
        <v>1988205.9004597981</v>
      </c>
      <c r="O106" s="106" t="e">
        <f ca="1">_xll.BDP($C106,"CRNCY")</f>
        <v>#NAME?</v>
      </c>
      <c r="P106" s="43" t="e">
        <f t="shared" ca="1" si="38"/>
        <v>#NAME?</v>
      </c>
      <c r="Q106" s="14">
        <v>42228</v>
      </c>
      <c r="R106" s="22" t="e">
        <f ca="1">_xll.BDH("RUB curncy","PX_LAST",$Q106)</f>
        <v>#NAME?</v>
      </c>
    </row>
    <row r="107" spans="2:18" hidden="1" x14ac:dyDescent="0.2">
      <c r="B107" s="46" t="s">
        <v>171</v>
      </c>
      <c r="C107" s="103" t="s">
        <v>397</v>
      </c>
      <c r="D107" s="73" t="s">
        <v>51</v>
      </c>
      <c r="E107" s="43" t="e">
        <f ca="1">F107*_xll.BDP(C107,"PX_LAST")</f>
        <v>#NAME?</v>
      </c>
      <c r="F107" s="43">
        <v>45000</v>
      </c>
      <c r="G107" s="43">
        <v>7965</v>
      </c>
      <c r="H107" s="47">
        <f t="shared" si="36"/>
        <v>0.17699999999999999</v>
      </c>
      <c r="I107" s="43">
        <f t="shared" si="39"/>
        <v>21505.5</v>
      </c>
      <c r="J107" s="45">
        <f t="shared" si="40"/>
        <v>16407.900000000001</v>
      </c>
      <c r="K107" s="105">
        <v>2.7</v>
      </c>
      <c r="L107" s="105">
        <v>2.06</v>
      </c>
      <c r="M107" s="44">
        <f t="shared" si="37"/>
        <v>-0.23703703703703705</v>
      </c>
      <c r="N107" s="43" t="e">
        <f ca="1">(J107-I107)*R107</f>
        <v>#NAME?</v>
      </c>
      <c r="O107" s="106" t="e">
        <f ca="1">_xll.BDP($C107,"CRNCY")</f>
        <v>#NAME?</v>
      </c>
      <c r="P107" s="43" t="e">
        <f t="shared" ca="1" si="38"/>
        <v>#NAME?</v>
      </c>
      <c r="Q107" s="14">
        <v>42230</v>
      </c>
      <c r="R107" s="22" t="e">
        <f ca="1">_xll.BDH("RUB curncy","PX_LAST",$Q107)</f>
        <v>#NAME?</v>
      </c>
    </row>
    <row r="108" spans="2:18" hidden="1" x14ac:dyDescent="0.2">
      <c r="B108" s="46" t="s">
        <v>176</v>
      </c>
      <c r="C108" s="103" t="s">
        <v>5</v>
      </c>
      <c r="D108" s="73" t="s">
        <v>51</v>
      </c>
      <c r="E108" s="43" t="e">
        <f ca="1">F108*_xll.BDP(C108,"PX_LAST")</f>
        <v>#NAME?</v>
      </c>
      <c r="F108" s="43">
        <v>1218700</v>
      </c>
      <c r="G108" s="43">
        <v>200000</v>
      </c>
      <c r="H108" s="47">
        <f t="shared" si="36"/>
        <v>0.16410929679166325</v>
      </c>
      <c r="I108" s="43">
        <f t="shared" si="39"/>
        <v>7040000.0000000009</v>
      </c>
      <c r="J108" s="45">
        <f t="shared" si="40"/>
        <v>9250000</v>
      </c>
      <c r="K108" s="105">
        <v>35.200000000000003</v>
      </c>
      <c r="L108" s="105">
        <v>46.25</v>
      </c>
      <c r="M108" s="44">
        <f t="shared" si="37"/>
        <v>0.31392045454545436</v>
      </c>
      <c r="N108" s="43">
        <f>J108-I108</f>
        <v>2209999.9999999991</v>
      </c>
      <c r="O108" s="106" t="e">
        <f ca="1">_xll.BDP($C108,"CRNCY")</f>
        <v>#NAME?</v>
      </c>
      <c r="P108" s="43" t="e">
        <f t="shared" ca="1" si="38"/>
        <v>#NAME?</v>
      </c>
      <c r="Q108" s="14">
        <v>42291</v>
      </c>
      <c r="R108" s="22" t="e">
        <f ca="1">_xll.BDH("RUB curncy","PX_LAST",$Q108)</f>
        <v>#NAME?</v>
      </c>
    </row>
    <row r="109" spans="2:18" hidden="1" x14ac:dyDescent="0.2">
      <c r="B109" s="46" t="s">
        <v>176</v>
      </c>
      <c r="C109" s="103" t="s">
        <v>5</v>
      </c>
      <c r="D109" s="73" t="s">
        <v>51</v>
      </c>
      <c r="E109" s="43" t="e">
        <f ca="1">F109*_xll.BDP(C109,"PX_LAST")</f>
        <v>#NAME?</v>
      </c>
      <c r="F109" s="43">
        <v>1218700</v>
      </c>
      <c r="G109" s="43">
        <v>100000</v>
      </c>
      <c r="H109" s="47">
        <f t="shared" ref="H109:H122" si="41">G109/F109</f>
        <v>8.2054648395831625E-2</v>
      </c>
      <c r="I109" s="43">
        <f t="shared" si="39"/>
        <v>3520000.0000000005</v>
      </c>
      <c r="J109" s="45">
        <f t="shared" si="40"/>
        <v>4840000</v>
      </c>
      <c r="K109" s="105">
        <v>35.200000000000003</v>
      </c>
      <c r="L109" s="105">
        <v>48.4</v>
      </c>
      <c r="M109" s="44">
        <f t="shared" ref="M109:M122" si="42">L109/K109-1</f>
        <v>0.37499999999999978</v>
      </c>
      <c r="N109" s="43">
        <f>J109-I109</f>
        <v>1319999.9999999995</v>
      </c>
      <c r="O109" s="106" t="e">
        <f ca="1">_xll.BDP($C109,"CRNCY")</f>
        <v>#NAME?</v>
      </c>
      <c r="P109" s="43" t="e">
        <f t="shared" ref="P109:P122" ca="1" si="43">N109/R109</f>
        <v>#NAME?</v>
      </c>
      <c r="Q109" s="14">
        <v>42292</v>
      </c>
      <c r="R109" s="22" t="e">
        <f ca="1">_xll.BDH("RUB curncy","PX_LAST",$Q109)</f>
        <v>#NAME?</v>
      </c>
    </row>
    <row r="110" spans="2:18" hidden="1" x14ac:dyDescent="0.2">
      <c r="B110" s="46" t="s">
        <v>152</v>
      </c>
      <c r="C110" s="103" t="s">
        <v>6</v>
      </c>
      <c r="D110" s="73" t="s">
        <v>51</v>
      </c>
      <c r="E110" s="43" t="e">
        <f ca="1">F110*_xll.BDP(C110,"PX_LAST")</f>
        <v>#NAME?</v>
      </c>
      <c r="F110" s="43">
        <v>1081300</v>
      </c>
      <c r="G110" s="43">
        <v>81300</v>
      </c>
      <c r="H110" s="47">
        <f t="shared" si="41"/>
        <v>7.518727457689818E-2</v>
      </c>
      <c r="I110" s="43">
        <f t="shared" si="39"/>
        <v>5678235.9000000004</v>
      </c>
      <c r="J110" s="45">
        <f t="shared" si="40"/>
        <v>7205074.29</v>
      </c>
      <c r="K110" s="105">
        <v>69.843000000000004</v>
      </c>
      <c r="L110" s="105">
        <v>88.6233</v>
      </c>
      <c r="M110" s="44">
        <f t="shared" si="42"/>
        <v>0.26889308878484597</v>
      </c>
      <c r="N110" s="43">
        <f>J110-I110</f>
        <v>1526838.3899999997</v>
      </c>
      <c r="O110" s="106" t="e">
        <f ca="1">_xll.BDP($C110,"CRNCY")</f>
        <v>#NAME?</v>
      </c>
      <c r="P110" s="43" t="e">
        <f t="shared" ca="1" si="43"/>
        <v>#NAME?</v>
      </c>
      <c r="Q110" s="14">
        <v>42292</v>
      </c>
      <c r="R110" s="22" t="e">
        <f ca="1">_xll.BDH("RUB curncy","PX_LAST",$Q110)</f>
        <v>#NAME?</v>
      </c>
    </row>
    <row r="111" spans="2:18" hidden="1" x14ac:dyDescent="0.2">
      <c r="B111" s="46" t="s">
        <v>152</v>
      </c>
      <c r="C111" s="103" t="s">
        <v>6</v>
      </c>
      <c r="D111" s="73" t="s">
        <v>51</v>
      </c>
      <c r="E111" s="43" t="e">
        <f ca="1">F111*_xll.BDP(C111,"PX_LAST")</f>
        <v>#NAME?</v>
      </c>
      <c r="F111" s="43">
        <v>1081300</v>
      </c>
      <c r="G111" s="43">
        <v>50000</v>
      </c>
      <c r="H111" s="47">
        <f t="shared" si="41"/>
        <v>4.6240636271155093E-2</v>
      </c>
      <c r="I111" s="43">
        <f t="shared" si="39"/>
        <v>3492150</v>
      </c>
      <c r="J111" s="45">
        <f t="shared" si="40"/>
        <v>4500000</v>
      </c>
      <c r="K111" s="105">
        <v>69.843000000000004</v>
      </c>
      <c r="L111" s="105">
        <v>90</v>
      </c>
      <c r="M111" s="44">
        <f t="shared" si="42"/>
        <v>0.28860444138997465</v>
      </c>
      <c r="N111" s="43">
        <f>J111-I111</f>
        <v>1007850</v>
      </c>
      <c r="O111" s="106" t="e">
        <f ca="1">_xll.BDP($C111,"CRNCY")</f>
        <v>#NAME?</v>
      </c>
      <c r="P111" s="43" t="e">
        <f t="shared" ca="1" si="43"/>
        <v>#NAME?</v>
      </c>
      <c r="Q111" s="14">
        <v>42293</v>
      </c>
      <c r="R111" s="22" t="e">
        <f ca="1">_xll.BDH("RUB curncy","PX_LAST",$Q111)</f>
        <v>#NAME?</v>
      </c>
    </row>
    <row r="112" spans="2:18" hidden="1" x14ac:dyDescent="0.2">
      <c r="B112" s="46" t="s">
        <v>176</v>
      </c>
      <c r="C112" s="103" t="s">
        <v>5</v>
      </c>
      <c r="D112" s="73" t="s">
        <v>51</v>
      </c>
      <c r="E112" s="43" t="e">
        <f ca="1">F112*_xll.BDP(C112,"PX_LAST")</f>
        <v>#NAME?</v>
      </c>
      <c r="F112" s="43">
        <v>1218700</v>
      </c>
      <c r="G112" s="43">
        <v>100000</v>
      </c>
      <c r="H112" s="47">
        <f t="shared" si="41"/>
        <v>8.2054648395831625E-2</v>
      </c>
      <c r="I112" s="43">
        <f t="shared" si="39"/>
        <v>3520000.0000000005</v>
      </c>
      <c r="J112" s="45">
        <f t="shared" si="40"/>
        <v>4816035</v>
      </c>
      <c r="K112" s="105">
        <v>35.200000000000003</v>
      </c>
      <c r="L112" s="105">
        <v>48.160350000000001</v>
      </c>
      <c r="M112" s="44">
        <f t="shared" si="42"/>
        <v>0.36819176136363629</v>
      </c>
      <c r="N112" s="43">
        <f>J112-I112</f>
        <v>1296034.9999999995</v>
      </c>
      <c r="O112" s="106" t="e">
        <f ca="1">_xll.BDP($C112,"CRNCY")</f>
        <v>#NAME?</v>
      </c>
      <c r="P112" s="43" t="e">
        <f t="shared" ca="1" si="43"/>
        <v>#NAME?</v>
      </c>
      <c r="Q112" s="14">
        <v>42299</v>
      </c>
      <c r="R112" s="22" t="e">
        <f ca="1">_xll.BDH("RUB curncy","PX_LAST",$Q112)</f>
        <v>#NAME?</v>
      </c>
    </row>
    <row r="113" spans="2:18" hidden="1" x14ac:dyDescent="0.2">
      <c r="B113" s="46" t="e">
        <f ca="1">_xll.BDP(C113,"SECURITY_NAME")</f>
        <v>#NAME?</v>
      </c>
      <c r="C113" s="41" t="s">
        <v>234</v>
      </c>
      <c r="D113" s="73" t="s">
        <v>51</v>
      </c>
      <c r="E113" s="43" t="e">
        <f ca="1">F113*_xll.BDP(C113,"PX_LAST")/100</f>
        <v>#NAME?</v>
      </c>
      <c r="F113" s="43">
        <v>700000</v>
      </c>
      <c r="G113" s="43">
        <v>200000</v>
      </c>
      <c r="H113" s="47">
        <f t="shared" si="41"/>
        <v>0.2857142857142857</v>
      </c>
      <c r="I113" s="43">
        <f>G113*K113/100</f>
        <v>167560</v>
      </c>
      <c r="J113" s="45">
        <f>G113*L113/100</f>
        <v>199000</v>
      </c>
      <c r="K113" s="105">
        <v>83.78</v>
      </c>
      <c r="L113" s="105">
        <v>99.5</v>
      </c>
      <c r="M113" s="44">
        <f t="shared" si="42"/>
        <v>0.18763428025781814</v>
      </c>
      <c r="N113" s="43" t="e">
        <f ca="1">(J113-I113)*R113</f>
        <v>#NAME?</v>
      </c>
      <c r="O113" s="106" t="e">
        <f ca="1">_xll.BDP($C113,"CRNCY")</f>
        <v>#NAME?</v>
      </c>
      <c r="P113" s="43" t="e">
        <f t="shared" ca="1" si="43"/>
        <v>#NAME?</v>
      </c>
      <c r="Q113" s="14">
        <v>42300</v>
      </c>
      <c r="R113" s="22" t="e">
        <f ca="1">_xll.BDH("RUB curncy","PX_LAST",$Q113)</f>
        <v>#NAME?</v>
      </c>
    </row>
    <row r="114" spans="2:18" hidden="1" x14ac:dyDescent="0.2">
      <c r="B114" s="46" t="s">
        <v>152</v>
      </c>
      <c r="C114" s="103" t="s">
        <v>6</v>
      </c>
      <c r="D114" s="73" t="s">
        <v>51</v>
      </c>
      <c r="E114" s="43" t="e">
        <f ca="1">F114*_xll.BDP(C114,"PX_LAST")</f>
        <v>#NAME?</v>
      </c>
      <c r="F114" s="43">
        <v>1081300</v>
      </c>
      <c r="G114" s="43">
        <v>100000</v>
      </c>
      <c r="H114" s="47">
        <f t="shared" si="41"/>
        <v>9.2481272542310186E-2</v>
      </c>
      <c r="I114" s="43">
        <f>G114*K114</f>
        <v>6984300</v>
      </c>
      <c r="J114" s="45">
        <f>G114*L114</f>
        <v>9079211.4000000004</v>
      </c>
      <c r="K114" s="105">
        <v>69.843000000000004</v>
      </c>
      <c r="L114" s="105">
        <v>90.792113999999998</v>
      </c>
      <c r="M114" s="44">
        <f t="shared" si="42"/>
        <v>0.29994579270649879</v>
      </c>
      <c r="N114" s="43">
        <f>J114-I114</f>
        <v>2094911.4000000004</v>
      </c>
      <c r="O114" s="106" t="e">
        <f ca="1">_xll.BDP($C114,"CRNCY")</f>
        <v>#NAME?</v>
      </c>
      <c r="P114" s="43" t="e">
        <f t="shared" ca="1" si="43"/>
        <v>#NAME?</v>
      </c>
      <c r="Q114" s="14">
        <v>42303</v>
      </c>
      <c r="R114" s="22" t="e">
        <f ca="1">_xll.BDH("RUB curncy","PX_LAST",$Q114)</f>
        <v>#NAME?</v>
      </c>
    </row>
    <row r="115" spans="2:18" hidden="1" x14ac:dyDescent="0.2">
      <c r="B115" s="46" t="s">
        <v>152</v>
      </c>
      <c r="C115" s="103" t="s">
        <v>6</v>
      </c>
      <c r="D115" s="73" t="s">
        <v>51</v>
      </c>
      <c r="E115" s="43" t="e">
        <f ca="1">F115*_xll.BDP(C115,"PX_LAST")</f>
        <v>#NAME?</v>
      </c>
      <c r="F115" s="43">
        <v>1081300</v>
      </c>
      <c r="G115" s="43">
        <v>50000</v>
      </c>
      <c r="H115" s="47">
        <f t="shared" si="41"/>
        <v>4.6240636271155093E-2</v>
      </c>
      <c r="I115" s="43">
        <f>G115*K115</f>
        <v>3492150</v>
      </c>
      <c r="J115" s="45">
        <f>G115*L115</f>
        <v>4500000</v>
      </c>
      <c r="K115" s="105">
        <v>69.843000000000004</v>
      </c>
      <c r="L115" s="105">
        <v>90</v>
      </c>
      <c r="M115" s="44">
        <f t="shared" si="42"/>
        <v>0.28860444138997465</v>
      </c>
      <c r="N115" s="43">
        <f>J115-I115</f>
        <v>1007850</v>
      </c>
      <c r="O115" s="106" t="e">
        <f ca="1">_xll.BDP($C115,"CRNCY")</f>
        <v>#NAME?</v>
      </c>
      <c r="P115" s="43" t="e">
        <f t="shared" ca="1" si="43"/>
        <v>#NAME?</v>
      </c>
      <c r="Q115" s="14">
        <v>42304</v>
      </c>
      <c r="R115" s="22" t="e">
        <f ca="1">_xll.BDH("RUB curncy","PX_LAST",$Q115)</f>
        <v>#NAME?</v>
      </c>
    </row>
    <row r="116" spans="2:18" hidden="1" x14ac:dyDescent="0.2">
      <c r="B116" s="46" t="e">
        <f ca="1">_xll.BDP(C116,"SECURITY_NAME")</f>
        <v>#NAME?</v>
      </c>
      <c r="C116" s="41" t="s">
        <v>234</v>
      </c>
      <c r="D116" s="73" t="s">
        <v>51</v>
      </c>
      <c r="E116" s="43" t="e">
        <f ca="1">F116*_xll.BDP(C116,"PX_LAST")/100</f>
        <v>#NAME?</v>
      </c>
      <c r="F116" s="43">
        <v>700000</v>
      </c>
      <c r="G116" s="43">
        <v>500000</v>
      </c>
      <c r="H116" s="47">
        <f t="shared" si="41"/>
        <v>0.7142857142857143</v>
      </c>
      <c r="I116" s="43">
        <f>G116*K116/100</f>
        <v>418900</v>
      </c>
      <c r="J116" s="45">
        <f>G116*L116/100</f>
        <v>500000</v>
      </c>
      <c r="K116" s="105">
        <v>83.78</v>
      </c>
      <c r="L116" s="105">
        <v>100</v>
      </c>
      <c r="M116" s="44">
        <f t="shared" si="42"/>
        <v>0.19360229171639998</v>
      </c>
      <c r="N116" s="43" t="e">
        <f ca="1">(J116-I116)*R116</f>
        <v>#NAME?</v>
      </c>
      <c r="O116" s="106" t="e">
        <f ca="1">_xll.BDP($C116,"CRNCY")</f>
        <v>#NAME?</v>
      </c>
      <c r="P116" s="43" t="e">
        <f t="shared" ca="1" si="43"/>
        <v>#NAME?</v>
      </c>
      <c r="Q116" s="14">
        <v>42307</v>
      </c>
      <c r="R116" s="22" t="e">
        <f ca="1">_xll.BDH("RUB curncy","PX_LAST",$Q116)</f>
        <v>#NAME?</v>
      </c>
    </row>
    <row r="117" spans="2:18" hidden="1" x14ac:dyDescent="0.2">
      <c r="B117" s="46" t="s">
        <v>152</v>
      </c>
      <c r="C117" s="103" t="s">
        <v>6</v>
      </c>
      <c r="D117" s="73" t="s">
        <v>51</v>
      </c>
      <c r="E117" s="43" t="e">
        <f ca="1">F117*_xll.BDP(C117,"PX_LAST")</f>
        <v>#NAME?</v>
      </c>
      <c r="F117" s="43">
        <v>1081300</v>
      </c>
      <c r="G117" s="43">
        <v>50000</v>
      </c>
      <c r="H117" s="47">
        <f t="shared" si="41"/>
        <v>4.6240636271155093E-2</v>
      </c>
      <c r="I117" s="43">
        <f>G117*K117</f>
        <v>3492150</v>
      </c>
      <c r="J117" s="45">
        <f>G117*L117</f>
        <v>4750000</v>
      </c>
      <c r="K117" s="105">
        <v>69.843000000000004</v>
      </c>
      <c r="L117" s="105">
        <v>95</v>
      </c>
      <c r="M117" s="44">
        <f t="shared" si="42"/>
        <v>0.3601935770227509</v>
      </c>
      <c r="N117" s="43">
        <f>J117-I117</f>
        <v>1257850</v>
      </c>
      <c r="O117" s="106" t="e">
        <f ca="1">_xll.BDP($C117,"CRNCY")</f>
        <v>#NAME?</v>
      </c>
      <c r="P117" s="43" t="e">
        <f t="shared" ca="1" si="43"/>
        <v>#NAME?</v>
      </c>
      <c r="Q117" s="14">
        <v>42311</v>
      </c>
      <c r="R117" s="22" t="e">
        <f ca="1">_xll.BDH("RUB curncy","PX_LAST",$Q117)</f>
        <v>#NAME?</v>
      </c>
    </row>
    <row r="118" spans="2:18" hidden="1" x14ac:dyDescent="0.2">
      <c r="B118" s="46" t="s">
        <v>152</v>
      </c>
      <c r="C118" s="103" t="s">
        <v>68</v>
      </c>
      <c r="D118" s="73" t="s">
        <v>51</v>
      </c>
      <c r="E118" s="43" t="e">
        <f ca="1">F118*_xll.BDP(C118,"PX_LAST")</f>
        <v>#NAME?</v>
      </c>
      <c r="F118" s="43">
        <v>221500</v>
      </c>
      <c r="G118" s="43">
        <v>50000</v>
      </c>
      <c r="H118" s="47">
        <f t="shared" si="41"/>
        <v>0.22573363431151242</v>
      </c>
      <c r="I118" s="43">
        <f>G118*K118</f>
        <v>2960350</v>
      </c>
      <c r="J118" s="45">
        <f>G118*L118</f>
        <v>3512690</v>
      </c>
      <c r="K118" s="105">
        <v>59.207000000000001</v>
      </c>
      <c r="L118" s="105">
        <v>70.253799999999998</v>
      </c>
      <c r="M118" s="44">
        <f t="shared" si="42"/>
        <v>0.18657928961102566</v>
      </c>
      <c r="N118" s="43">
        <f>J118-I118</f>
        <v>552340</v>
      </c>
      <c r="O118" s="106" t="e">
        <f ca="1">_xll.BDP($C118,"CRNCY")</f>
        <v>#NAME?</v>
      </c>
      <c r="P118" s="43" t="e">
        <f t="shared" ca="1" si="43"/>
        <v>#NAME?</v>
      </c>
      <c r="Q118" s="14">
        <v>42311</v>
      </c>
      <c r="R118" s="22" t="e">
        <f ca="1">_xll.BDH("RUB curncy","PX_LAST",$Q118)</f>
        <v>#NAME?</v>
      </c>
    </row>
    <row r="119" spans="2:18" hidden="1" x14ac:dyDescent="0.2">
      <c r="B119" s="46" t="s">
        <v>176</v>
      </c>
      <c r="C119" s="103" t="s">
        <v>5</v>
      </c>
      <c r="D119" s="73" t="s">
        <v>51</v>
      </c>
      <c r="E119" s="43" t="e">
        <f ca="1">F119*_xll.BDP(C119,"PX_LAST")</f>
        <v>#NAME?</v>
      </c>
      <c r="F119" s="43">
        <v>1218700</v>
      </c>
      <c r="G119" s="43">
        <v>50000</v>
      </c>
      <c r="H119" s="47">
        <f t="shared" si="41"/>
        <v>4.1027324197915813E-2</v>
      </c>
      <c r="I119" s="43">
        <f>G119*K119</f>
        <v>1760000.0000000002</v>
      </c>
      <c r="J119" s="45">
        <f>G119*L119</f>
        <v>2655065</v>
      </c>
      <c r="K119" s="105">
        <v>35.200000000000003</v>
      </c>
      <c r="L119" s="105">
        <v>53.101300000000002</v>
      </c>
      <c r="M119" s="44">
        <f t="shared" si="42"/>
        <v>0.50855965909090894</v>
      </c>
      <c r="N119" s="43">
        <f>J119-I119</f>
        <v>895064.99999999977</v>
      </c>
      <c r="O119" s="106" t="e">
        <f ca="1">_xll.BDP($C119,"CRNCY")</f>
        <v>#NAME?</v>
      </c>
      <c r="P119" s="43" t="e">
        <f t="shared" ca="1" si="43"/>
        <v>#NAME?</v>
      </c>
      <c r="Q119" s="14">
        <v>42311</v>
      </c>
      <c r="R119" s="22" t="e">
        <f ca="1">_xll.BDH("RUB curncy","PX_LAST",$Q119)</f>
        <v>#NAME?</v>
      </c>
    </row>
    <row r="120" spans="2:18" hidden="1" x14ac:dyDescent="0.2">
      <c r="B120" s="46" t="s">
        <v>152</v>
      </c>
      <c r="C120" s="103" t="s">
        <v>6</v>
      </c>
      <c r="D120" s="73" t="s">
        <v>51</v>
      </c>
      <c r="E120" s="43" t="e">
        <f ca="1">F120*_xll.BDP(C120,"PX_LAST")</f>
        <v>#NAME?</v>
      </c>
      <c r="F120" s="43">
        <v>1081300</v>
      </c>
      <c r="G120" s="43">
        <v>50000</v>
      </c>
      <c r="H120" s="47">
        <f t="shared" si="41"/>
        <v>4.6240636271155093E-2</v>
      </c>
      <c r="I120" s="43">
        <f>G120*K120</f>
        <v>3492150</v>
      </c>
      <c r="J120" s="45">
        <f>G120*L120</f>
        <v>4705000</v>
      </c>
      <c r="K120" s="105">
        <v>69.843000000000004</v>
      </c>
      <c r="L120" s="105">
        <v>94.1</v>
      </c>
      <c r="M120" s="44">
        <f t="shared" si="42"/>
        <v>0.34730753260885106</v>
      </c>
      <c r="N120" s="43">
        <f>J120-I120</f>
        <v>1212850</v>
      </c>
      <c r="O120" s="106" t="e">
        <f ca="1">_xll.BDP($C120,"CRNCY")</f>
        <v>#NAME?</v>
      </c>
      <c r="P120" s="43" t="e">
        <f t="shared" ca="1" si="43"/>
        <v>#NAME?</v>
      </c>
      <c r="Q120" s="14">
        <v>42314</v>
      </c>
      <c r="R120" s="22" t="e">
        <f ca="1">_xll.BDH("RUB curncy","PX_LAST",$Q120)</f>
        <v>#NAME?</v>
      </c>
    </row>
    <row r="121" spans="2:18" hidden="1" x14ac:dyDescent="0.2">
      <c r="B121" s="46" t="e">
        <f ca="1">_xll.BDP(C121,"SECURITY_NAME")</f>
        <v>#NAME?</v>
      </c>
      <c r="C121" s="41" t="s">
        <v>148</v>
      </c>
      <c r="D121" s="73" t="s">
        <v>51</v>
      </c>
      <c r="E121" s="43" t="e">
        <f ca="1">F121*_xll.BDP(C121,"PX_LAST")/100</f>
        <v>#NAME?</v>
      </c>
      <c r="F121" s="43">
        <v>500000</v>
      </c>
      <c r="G121" s="43">
        <v>90000</v>
      </c>
      <c r="H121" s="47">
        <f t="shared" si="41"/>
        <v>0.18</v>
      </c>
      <c r="I121" s="43">
        <f>G121*K121/100</f>
        <v>90900</v>
      </c>
      <c r="J121" s="45">
        <f>G121*L121/100</f>
        <v>90000</v>
      </c>
      <c r="K121" s="105">
        <v>101</v>
      </c>
      <c r="L121" s="105">
        <v>100</v>
      </c>
      <c r="M121" s="44">
        <f t="shared" si="42"/>
        <v>-9.9009900990099098E-3</v>
      </c>
      <c r="N121" s="43" t="e">
        <f ca="1">(J121-I121)*R121</f>
        <v>#NAME?</v>
      </c>
      <c r="O121" s="106" t="e">
        <f ca="1">_xll.BDP($C121,"CRNCY")</f>
        <v>#NAME?</v>
      </c>
      <c r="P121" s="43" t="e">
        <f t="shared" ca="1" si="43"/>
        <v>#NAME?</v>
      </c>
      <c r="Q121" s="14">
        <v>42314</v>
      </c>
      <c r="R121" s="22" t="e">
        <f ca="1">_xll.BDH("RUB curncy","PX_LAST",$Q121)</f>
        <v>#NAME?</v>
      </c>
    </row>
    <row r="122" spans="2:18" hidden="1" x14ac:dyDescent="0.2">
      <c r="B122" s="46" t="e">
        <f ca="1">_xll.BDP(C122,"SECURITY_NAME")</f>
        <v>#NAME?</v>
      </c>
      <c r="C122" s="41" t="s">
        <v>221</v>
      </c>
      <c r="D122" s="73" t="s">
        <v>51</v>
      </c>
      <c r="E122" s="43" t="e">
        <f ca="1">F122*_xll.BDP(C122,"PX_LAST")/100</f>
        <v>#NAME?</v>
      </c>
      <c r="F122" s="43">
        <v>200000</v>
      </c>
      <c r="G122" s="43">
        <v>200000</v>
      </c>
      <c r="H122" s="47">
        <f t="shared" si="41"/>
        <v>1</v>
      </c>
      <c r="I122" s="43">
        <f>G122*K122/100</f>
        <v>175400</v>
      </c>
      <c r="J122" s="45">
        <f>G122*L122/100</f>
        <v>194500</v>
      </c>
      <c r="K122" s="105">
        <v>87.7</v>
      </c>
      <c r="L122" s="105">
        <v>97.25</v>
      </c>
      <c r="M122" s="44">
        <f t="shared" si="42"/>
        <v>0.10889395667046742</v>
      </c>
      <c r="N122" s="43" t="e">
        <f ca="1">(J122-I122)*R122</f>
        <v>#NAME?</v>
      </c>
      <c r="O122" s="106" t="e">
        <f ca="1">_xll.BDP($C122,"CRNCY")</f>
        <v>#NAME?</v>
      </c>
      <c r="P122" s="43" t="e">
        <f t="shared" ca="1" si="43"/>
        <v>#NAME?</v>
      </c>
      <c r="Q122" s="14">
        <v>42318</v>
      </c>
      <c r="R122" s="22" t="e">
        <f ca="1">_xll.BDH("RUB curncy","PX_LAST",$Q122)</f>
        <v>#NAME?</v>
      </c>
    </row>
    <row r="123" spans="2:18" hidden="1" x14ac:dyDescent="0.2">
      <c r="B123" s="46" t="s">
        <v>152</v>
      </c>
      <c r="C123" s="103" t="s">
        <v>68</v>
      </c>
      <c r="D123" s="73" t="s">
        <v>51</v>
      </c>
      <c r="E123" s="43" t="e">
        <f ca="1">F123*_xll.BDP(C123,"PX_LAST")</f>
        <v>#NAME?</v>
      </c>
      <c r="F123" s="43">
        <v>221500</v>
      </c>
      <c r="G123" s="43">
        <v>50000</v>
      </c>
      <c r="H123" s="47">
        <f t="shared" ref="H123:H128" si="44">G123/F123</f>
        <v>0.22573363431151242</v>
      </c>
      <c r="I123" s="43">
        <f t="shared" ref="I123:I133" si="45">G123*K123</f>
        <v>2960350</v>
      </c>
      <c r="J123" s="45">
        <f t="shared" ref="J123:J133" si="46">G123*L123</f>
        <v>3750000</v>
      </c>
      <c r="K123" s="105">
        <v>59.207000000000001</v>
      </c>
      <c r="L123" s="105">
        <v>75</v>
      </c>
      <c r="M123" s="44">
        <f t="shared" ref="M123:M128" si="47">L123/K123-1</f>
        <v>0.26674210819666588</v>
      </c>
      <c r="N123" s="43">
        <f t="shared" ref="N123:N128" si="48">J123-I123</f>
        <v>789650</v>
      </c>
      <c r="O123" s="106" t="e">
        <f ca="1">_xll.BDP($C123,"CRNCY")</f>
        <v>#NAME?</v>
      </c>
      <c r="P123" s="43" t="e">
        <f t="shared" ref="P123:P128" ca="1" si="49">N123/R123</f>
        <v>#NAME?</v>
      </c>
      <c r="Q123" s="14">
        <v>42325</v>
      </c>
      <c r="R123" s="22" t="e">
        <f ca="1">_xll.BDH("RUB curncy","PX_LAST",$Q123)</f>
        <v>#NAME?</v>
      </c>
    </row>
    <row r="124" spans="2:18" hidden="1" x14ac:dyDescent="0.2">
      <c r="B124" s="46" t="s">
        <v>152</v>
      </c>
      <c r="C124" s="103" t="s">
        <v>6</v>
      </c>
      <c r="D124" s="73" t="s">
        <v>51</v>
      </c>
      <c r="E124" s="43" t="e">
        <f ca="1">F124*_xll.BDP(C124,"PX_LAST")</f>
        <v>#NAME?</v>
      </c>
      <c r="F124" s="43">
        <v>1081300</v>
      </c>
      <c r="G124" s="43">
        <v>300000</v>
      </c>
      <c r="H124" s="47">
        <f t="shared" si="44"/>
        <v>0.27744381762693054</v>
      </c>
      <c r="I124" s="43">
        <f t="shared" si="45"/>
        <v>20952900</v>
      </c>
      <c r="J124" s="45">
        <f t="shared" si="46"/>
        <v>29996499.899999999</v>
      </c>
      <c r="K124" s="105">
        <v>69.843000000000004</v>
      </c>
      <c r="L124" s="105">
        <v>99.988332999999997</v>
      </c>
      <c r="M124" s="44">
        <f t="shared" si="47"/>
        <v>0.43161566656644168</v>
      </c>
      <c r="N124" s="43">
        <f t="shared" si="48"/>
        <v>9043599.8999999985</v>
      </c>
      <c r="O124" s="106" t="e">
        <f ca="1">_xll.BDP($C124,"CRNCY")</f>
        <v>#NAME?</v>
      </c>
      <c r="P124" s="43" t="e">
        <f t="shared" ca="1" si="49"/>
        <v>#NAME?</v>
      </c>
      <c r="Q124" s="14">
        <v>42325</v>
      </c>
      <c r="R124" s="22" t="e">
        <f ca="1">_xll.BDH("RUB curncy","PX_LAST",$Q124)</f>
        <v>#NAME?</v>
      </c>
    </row>
    <row r="125" spans="2:18" hidden="1" x14ac:dyDescent="0.2">
      <c r="B125" s="46" t="s">
        <v>176</v>
      </c>
      <c r="C125" s="103" t="s">
        <v>5</v>
      </c>
      <c r="D125" s="73" t="s">
        <v>51</v>
      </c>
      <c r="E125" s="43" t="e">
        <f ca="1">F125*_xll.BDP(C125,"PX_LAST")</f>
        <v>#NAME?</v>
      </c>
      <c r="F125" s="43">
        <v>1218700</v>
      </c>
      <c r="G125" s="43">
        <v>68700</v>
      </c>
      <c r="H125" s="47">
        <f t="shared" si="44"/>
        <v>5.6371543447936323E-2</v>
      </c>
      <c r="I125" s="43">
        <f t="shared" si="45"/>
        <v>2418240</v>
      </c>
      <c r="J125" s="45">
        <f t="shared" si="46"/>
        <v>3778500</v>
      </c>
      <c r="K125" s="105">
        <v>35.200000000000003</v>
      </c>
      <c r="L125" s="105">
        <v>55</v>
      </c>
      <c r="M125" s="44">
        <f t="shared" si="47"/>
        <v>0.56249999999999978</v>
      </c>
      <c r="N125" s="43">
        <f t="shared" si="48"/>
        <v>1360260</v>
      </c>
      <c r="O125" s="106" t="e">
        <f ca="1">_xll.BDP($C125,"CRNCY")</f>
        <v>#NAME?</v>
      </c>
      <c r="P125" s="43" t="e">
        <f t="shared" ca="1" si="49"/>
        <v>#NAME?</v>
      </c>
      <c r="Q125" s="14">
        <v>42325</v>
      </c>
      <c r="R125" s="22" t="e">
        <f ca="1">_xll.BDH("RUB curncy","PX_LAST",$Q125)</f>
        <v>#NAME?</v>
      </c>
    </row>
    <row r="126" spans="2:18" hidden="1" x14ac:dyDescent="0.2">
      <c r="B126" s="46" t="s">
        <v>152</v>
      </c>
      <c r="C126" s="103" t="s">
        <v>6</v>
      </c>
      <c r="D126" s="73" t="s">
        <v>51</v>
      </c>
      <c r="E126" s="43" t="e">
        <f ca="1">F126*_xll.BDP(C126,"PX_LAST")</f>
        <v>#NAME?</v>
      </c>
      <c r="F126" s="43">
        <v>1081300</v>
      </c>
      <c r="G126" s="43">
        <v>150000</v>
      </c>
      <c r="H126" s="47">
        <f t="shared" si="44"/>
        <v>0.13872190881346527</v>
      </c>
      <c r="I126" s="43">
        <f t="shared" si="45"/>
        <v>10476450</v>
      </c>
      <c r="J126" s="45">
        <f t="shared" si="46"/>
        <v>15850530</v>
      </c>
      <c r="K126" s="105">
        <v>69.843000000000004</v>
      </c>
      <c r="L126" s="105">
        <v>105.67019999999999</v>
      </c>
      <c r="M126" s="44">
        <f t="shared" si="47"/>
        <v>0.51296765602852101</v>
      </c>
      <c r="N126" s="43">
        <f t="shared" si="48"/>
        <v>5374080</v>
      </c>
      <c r="O126" s="106" t="e">
        <f ca="1">_xll.BDP($C126,"CRNCY")</f>
        <v>#NAME?</v>
      </c>
      <c r="P126" s="43" t="e">
        <f t="shared" ca="1" si="49"/>
        <v>#NAME?</v>
      </c>
      <c r="Q126" s="14">
        <v>42327</v>
      </c>
      <c r="R126" s="22" t="e">
        <f ca="1">_xll.BDH("RUB curncy","PX_LAST",$Q126)</f>
        <v>#NAME?</v>
      </c>
    </row>
    <row r="127" spans="2:18" hidden="1" x14ac:dyDescent="0.2">
      <c r="B127" s="46" t="s">
        <v>152</v>
      </c>
      <c r="C127" s="103" t="s">
        <v>68</v>
      </c>
      <c r="D127" s="73" t="s">
        <v>51</v>
      </c>
      <c r="E127" s="43" t="e">
        <f ca="1">F127*_xll.BDP(C127,"PX_LAST")</f>
        <v>#NAME?</v>
      </c>
      <c r="F127" s="43">
        <v>221500</v>
      </c>
      <c r="G127" s="43">
        <v>50000</v>
      </c>
      <c r="H127" s="47">
        <f t="shared" si="44"/>
        <v>0.22573363431151242</v>
      </c>
      <c r="I127" s="43">
        <f t="shared" si="45"/>
        <v>2960350</v>
      </c>
      <c r="J127" s="45">
        <f t="shared" si="46"/>
        <v>3776455</v>
      </c>
      <c r="K127" s="105">
        <v>59.207000000000001</v>
      </c>
      <c r="L127" s="105">
        <v>75.5291</v>
      </c>
      <c r="M127" s="44">
        <f t="shared" si="47"/>
        <v>0.27567855152262388</v>
      </c>
      <c r="N127" s="43">
        <f t="shared" si="48"/>
        <v>816105</v>
      </c>
      <c r="O127" s="106" t="e">
        <f ca="1">_xll.BDP($C127,"CRNCY")</f>
        <v>#NAME?</v>
      </c>
      <c r="P127" s="43" t="e">
        <f t="shared" ca="1" si="49"/>
        <v>#NAME?</v>
      </c>
      <c r="Q127" s="14">
        <v>42327</v>
      </c>
      <c r="R127" s="22" t="e">
        <f ca="1">_xll.BDH("RUB curncy","PX_LAST",$Q127)</f>
        <v>#NAME?</v>
      </c>
    </row>
    <row r="128" spans="2:18" hidden="1" x14ac:dyDescent="0.2">
      <c r="B128" s="46" t="s">
        <v>176</v>
      </c>
      <c r="C128" s="103" t="s">
        <v>5</v>
      </c>
      <c r="D128" s="73" t="s">
        <v>51</v>
      </c>
      <c r="E128" s="43" t="e">
        <f ca="1">F128*_xll.BDP(C128,"PX_LAST")</f>
        <v>#NAME?</v>
      </c>
      <c r="F128" s="43">
        <v>1218700</v>
      </c>
      <c r="G128" s="43">
        <v>60000</v>
      </c>
      <c r="H128" s="47">
        <f t="shared" si="44"/>
        <v>4.9232789037498975E-2</v>
      </c>
      <c r="I128" s="43">
        <f t="shared" si="45"/>
        <v>2112000</v>
      </c>
      <c r="J128" s="45">
        <f t="shared" si="46"/>
        <v>3480000</v>
      </c>
      <c r="K128" s="105">
        <v>35.200000000000003</v>
      </c>
      <c r="L128" s="105">
        <v>58</v>
      </c>
      <c r="M128" s="44">
        <f t="shared" si="47"/>
        <v>0.64772727272727249</v>
      </c>
      <c r="N128" s="43">
        <f t="shared" si="48"/>
        <v>1368000</v>
      </c>
      <c r="O128" s="106" t="e">
        <f ca="1">_xll.BDP($C128,"CRNCY")</f>
        <v>#NAME?</v>
      </c>
      <c r="P128" s="43" t="e">
        <f t="shared" ca="1" si="49"/>
        <v>#NAME?</v>
      </c>
      <c r="Q128" s="14">
        <v>42331</v>
      </c>
      <c r="R128" s="22" t="e">
        <f ca="1">_xll.BDH("RUB curncy","PX_LAST",$Q128)</f>
        <v>#NAME?</v>
      </c>
    </row>
    <row r="129" spans="2:18" hidden="1" x14ac:dyDescent="0.2">
      <c r="B129" s="46" t="s">
        <v>191</v>
      </c>
      <c r="C129" s="103" t="s">
        <v>49</v>
      </c>
      <c r="D129" s="73" t="s">
        <v>51</v>
      </c>
      <c r="E129" s="43" t="e">
        <f ca="1">F129*_xll.BDP(C129,"PX_LAST")</f>
        <v>#NAME?</v>
      </c>
      <c r="F129" s="43">
        <v>88641</v>
      </c>
      <c r="G129" s="43">
        <v>88641</v>
      </c>
      <c r="H129" s="47">
        <f t="shared" ref="H129:H135" si="50">G129/F129</f>
        <v>1</v>
      </c>
      <c r="I129" s="43">
        <f t="shared" si="45"/>
        <v>1445790.41023158</v>
      </c>
      <c r="J129" s="45">
        <f t="shared" si="46"/>
        <v>1041531.75</v>
      </c>
      <c r="K129" s="105">
        <v>16.310628380000001</v>
      </c>
      <c r="L129" s="105">
        <v>11.75</v>
      </c>
      <c r="M129" s="44">
        <f t="shared" ref="M129:M135" si="51">L129/K129-1</f>
        <v>-0.27961083250429619</v>
      </c>
      <c r="N129" s="43" t="e">
        <f ca="1">(J129-I129)*R129</f>
        <v>#NAME?</v>
      </c>
      <c r="O129" s="106" t="e">
        <f ca="1">_xll.BDP($C129,"CRNCY")</f>
        <v>#NAME?</v>
      </c>
      <c r="P129" s="43" t="e">
        <f t="shared" ref="P129:P135" ca="1" si="52">N129/R129</f>
        <v>#NAME?</v>
      </c>
      <c r="Q129" s="14">
        <v>42335</v>
      </c>
      <c r="R129" s="22" t="e">
        <f ca="1">_xll.BDH("RUB curncy","PX_LAST",$Q129)</f>
        <v>#NAME?</v>
      </c>
    </row>
    <row r="130" spans="2:18" hidden="1" x14ac:dyDescent="0.2">
      <c r="B130" s="46" t="s">
        <v>150</v>
      </c>
      <c r="C130" s="103" t="s">
        <v>69</v>
      </c>
      <c r="D130" s="73" t="s">
        <v>51</v>
      </c>
      <c r="E130" s="43" t="e">
        <f ca="1">F130*_xll.BDP(C130,"PX_LAST")</f>
        <v>#NAME?</v>
      </c>
      <c r="F130" s="43">
        <v>12623000</v>
      </c>
      <c r="G130" s="43">
        <v>750000</v>
      </c>
      <c r="H130" s="47">
        <f t="shared" si="50"/>
        <v>5.9415352927196387E-2</v>
      </c>
      <c r="I130" s="43">
        <f t="shared" si="45"/>
        <v>1841250</v>
      </c>
      <c r="J130" s="45">
        <f t="shared" si="46"/>
        <v>2475000</v>
      </c>
      <c r="K130" s="105">
        <v>2.4550000000000001</v>
      </c>
      <c r="L130" s="105">
        <v>3.3</v>
      </c>
      <c r="M130" s="44">
        <f t="shared" si="51"/>
        <v>0.34419551934826864</v>
      </c>
      <c r="N130" s="43">
        <f>J130-I130</f>
        <v>633750</v>
      </c>
      <c r="O130" s="106" t="e">
        <f ca="1">_xll.BDP($C130,"CRNCY")</f>
        <v>#NAME?</v>
      </c>
      <c r="P130" s="43" t="e">
        <f t="shared" ca="1" si="52"/>
        <v>#NAME?</v>
      </c>
      <c r="Q130" s="14">
        <v>42335</v>
      </c>
      <c r="R130" s="22" t="e">
        <f ca="1">_xll.BDH("RUB curncy","PX_LAST",$Q130)</f>
        <v>#NAME?</v>
      </c>
    </row>
    <row r="131" spans="2:18" hidden="1" x14ac:dyDescent="0.2">
      <c r="B131" s="46" t="s">
        <v>152</v>
      </c>
      <c r="C131" s="103" t="s">
        <v>6</v>
      </c>
      <c r="D131" s="73" t="s">
        <v>51</v>
      </c>
      <c r="E131" s="43" t="e">
        <f ca="1">F131*_xll.BDP(C131,"PX_LAST")</f>
        <v>#NAME?</v>
      </c>
      <c r="F131" s="43">
        <v>1081300</v>
      </c>
      <c r="G131" s="43">
        <v>250000</v>
      </c>
      <c r="H131" s="47">
        <f t="shared" si="50"/>
        <v>0.23120318135577544</v>
      </c>
      <c r="I131" s="43">
        <f t="shared" si="45"/>
        <v>17460750</v>
      </c>
      <c r="J131" s="45">
        <f t="shared" si="46"/>
        <v>27007082.75</v>
      </c>
      <c r="K131" s="105">
        <v>69.843000000000004</v>
      </c>
      <c r="L131" s="105">
        <v>108.02833099999999</v>
      </c>
      <c r="M131" s="44">
        <f t="shared" si="51"/>
        <v>0.54673096802829191</v>
      </c>
      <c r="N131" s="43">
        <f>J131-I131</f>
        <v>9546332.75</v>
      </c>
      <c r="O131" s="106" t="e">
        <f ca="1">_xll.BDP($C131,"CRNCY")</f>
        <v>#NAME?</v>
      </c>
      <c r="P131" s="43" t="e">
        <f t="shared" ca="1" si="52"/>
        <v>#NAME?</v>
      </c>
      <c r="Q131" s="14">
        <v>42332</v>
      </c>
      <c r="R131" s="22" t="e">
        <f ca="1">_xll.BDH("RUB curncy","PX_LAST",$Q131)</f>
        <v>#NAME?</v>
      </c>
    </row>
    <row r="132" spans="2:18" hidden="1" x14ac:dyDescent="0.2">
      <c r="B132" s="46" t="s">
        <v>152</v>
      </c>
      <c r="C132" s="103" t="s">
        <v>68</v>
      </c>
      <c r="D132" s="73" t="s">
        <v>51</v>
      </c>
      <c r="E132" s="43" t="e">
        <f ca="1">F132*_xll.BDP(C132,"PX_LAST")</f>
        <v>#NAME?</v>
      </c>
      <c r="F132" s="43">
        <v>221500</v>
      </c>
      <c r="G132" s="43">
        <v>71500</v>
      </c>
      <c r="H132" s="47">
        <f t="shared" si="50"/>
        <v>0.32279909706546278</v>
      </c>
      <c r="I132" s="43">
        <f t="shared" si="45"/>
        <v>4233300.5</v>
      </c>
      <c r="J132" s="45">
        <f t="shared" si="46"/>
        <v>5635558.5</v>
      </c>
      <c r="K132" s="105">
        <v>59.207000000000001</v>
      </c>
      <c r="L132" s="105">
        <v>78.819000000000003</v>
      </c>
      <c r="M132" s="44">
        <f t="shared" si="51"/>
        <v>0.3312446163460403</v>
      </c>
      <c r="N132" s="43">
        <f>J132-I132</f>
        <v>1402258</v>
      </c>
      <c r="O132" s="106" t="e">
        <f ca="1">_xll.BDP($C132,"CRNCY")</f>
        <v>#NAME?</v>
      </c>
      <c r="P132" s="43" t="e">
        <f t="shared" ca="1" si="52"/>
        <v>#NAME?</v>
      </c>
      <c r="Q132" s="14">
        <v>42332</v>
      </c>
      <c r="R132" s="22" t="e">
        <f ca="1">_xll.BDH("RUB curncy","PX_LAST",$Q132)</f>
        <v>#NAME?</v>
      </c>
    </row>
    <row r="133" spans="2:18" hidden="1" x14ac:dyDescent="0.2">
      <c r="B133" s="46" t="s">
        <v>176</v>
      </c>
      <c r="C133" s="103" t="s">
        <v>5</v>
      </c>
      <c r="D133" s="73" t="s">
        <v>51</v>
      </c>
      <c r="E133" s="43" t="e">
        <f ca="1">F133*_xll.BDP(C133,"PX_LAST")</f>
        <v>#NAME?</v>
      </c>
      <c r="F133" s="43">
        <v>1218700</v>
      </c>
      <c r="G133" s="43">
        <v>149600</v>
      </c>
      <c r="H133" s="47">
        <f t="shared" si="50"/>
        <v>0.12275375400016411</v>
      </c>
      <c r="I133" s="43">
        <f t="shared" si="45"/>
        <v>5265920</v>
      </c>
      <c r="J133" s="45">
        <f t="shared" si="46"/>
        <v>9150954.9560000002</v>
      </c>
      <c r="K133" s="105">
        <v>35.200000000000003</v>
      </c>
      <c r="L133" s="105">
        <v>61.169485000000002</v>
      </c>
      <c r="M133" s="44">
        <f t="shared" si="51"/>
        <v>0.73776946022727263</v>
      </c>
      <c r="N133" s="43">
        <f>J133-I133</f>
        <v>3885034.9560000002</v>
      </c>
      <c r="O133" s="106" t="e">
        <f ca="1">_xll.BDP($C133,"CRNCY")</f>
        <v>#NAME?</v>
      </c>
      <c r="P133" s="43" t="e">
        <f t="shared" ca="1" si="52"/>
        <v>#NAME?</v>
      </c>
      <c r="Q133" s="14">
        <v>42339</v>
      </c>
      <c r="R133" s="22" t="e">
        <f ca="1">_xll.BDH("RUB curncy","PX_LAST",$Q133)</f>
        <v>#NAME?</v>
      </c>
    </row>
    <row r="134" spans="2:18" hidden="1" x14ac:dyDescent="0.2">
      <c r="B134" s="46" t="e">
        <f ca="1">_xll.BDP(C134,"SECURITY_NAME")</f>
        <v>#NAME?</v>
      </c>
      <c r="C134" s="41" t="s">
        <v>60</v>
      </c>
      <c r="D134" s="73" t="s">
        <v>51</v>
      </c>
      <c r="E134" s="43" t="e">
        <f ca="1">F134*_xll.BDP(C134,"PX_LAST")/100</f>
        <v>#NAME?</v>
      </c>
      <c r="F134" s="43">
        <v>1050000</v>
      </c>
      <c r="G134" s="43">
        <v>250000</v>
      </c>
      <c r="H134" s="47">
        <f t="shared" si="50"/>
        <v>0.23809523809523808</v>
      </c>
      <c r="I134" s="43">
        <f>G134*K134/100</f>
        <v>240250</v>
      </c>
      <c r="J134" s="45">
        <f>G134*L134/100</f>
        <v>268375</v>
      </c>
      <c r="K134" s="105">
        <v>96.1</v>
      </c>
      <c r="L134" s="105">
        <v>107.35</v>
      </c>
      <c r="M134" s="44">
        <f t="shared" si="51"/>
        <v>0.11706555671175867</v>
      </c>
      <c r="N134" s="43" t="e">
        <f ca="1">(J134-I134)*R134</f>
        <v>#NAME?</v>
      </c>
      <c r="O134" s="106" t="e">
        <f ca="1">_xll.BDP($C134,"CRNCY")</f>
        <v>#NAME?</v>
      </c>
      <c r="P134" s="43" t="e">
        <f t="shared" ca="1" si="52"/>
        <v>#NAME?</v>
      </c>
      <c r="Q134" s="14">
        <v>42339</v>
      </c>
      <c r="R134" s="22" t="e">
        <f ca="1">_xll.BDH("RUB curncy","PX_LAST",$Q134)</f>
        <v>#NAME?</v>
      </c>
    </row>
    <row r="135" spans="2:18" hidden="1" x14ac:dyDescent="0.2">
      <c r="B135" s="46" t="e">
        <f ca="1">_xll.BDP(C135,"SECURITY_NAME")</f>
        <v>#NAME?</v>
      </c>
      <c r="C135" s="41" t="s">
        <v>217</v>
      </c>
      <c r="D135" s="73" t="s">
        <v>51</v>
      </c>
      <c r="E135" s="43" t="e">
        <f ca="1">F135*_xll.BDP(C135,"PX_LAST")/100</f>
        <v>#NAME?</v>
      </c>
      <c r="F135" s="43">
        <v>200000</v>
      </c>
      <c r="G135" s="43">
        <v>200000</v>
      </c>
      <c r="H135" s="47">
        <f t="shared" si="50"/>
        <v>1</v>
      </c>
      <c r="I135" s="43">
        <f>G135*K135/100</f>
        <v>175500</v>
      </c>
      <c r="J135" s="45">
        <f>G135*L135/100</f>
        <v>196800</v>
      </c>
      <c r="K135" s="105">
        <v>87.75</v>
      </c>
      <c r="L135" s="105">
        <v>98.4</v>
      </c>
      <c r="M135" s="44">
        <f t="shared" si="51"/>
        <v>0.12136752136752138</v>
      </c>
      <c r="N135" s="43" t="e">
        <f ca="1">(J135-I135)*R135</f>
        <v>#NAME?</v>
      </c>
      <c r="O135" s="106" t="e">
        <f ca="1">_xll.BDP($C135,"CRNCY")</f>
        <v>#NAME?</v>
      </c>
      <c r="P135" s="43" t="e">
        <f t="shared" ca="1" si="52"/>
        <v>#NAME?</v>
      </c>
      <c r="Q135" s="14">
        <v>42340</v>
      </c>
      <c r="R135" s="22" t="e">
        <f ca="1">_xll.BDH("RUB curncy","PX_LAST",$Q135)</f>
        <v>#NAME?</v>
      </c>
    </row>
    <row r="136" spans="2:18" x14ac:dyDescent="0.2">
      <c r="B136" s="41"/>
      <c r="C136" s="41"/>
      <c r="D136" s="42"/>
      <c r="F136" s="9" t="s">
        <v>329</v>
      </c>
      <c r="G136" s="41"/>
      <c r="H136" s="126"/>
      <c r="I136" s="41"/>
      <c r="J136" s="41"/>
      <c r="K136" s="41"/>
      <c r="L136" s="41"/>
      <c r="M136" s="35" t="s">
        <v>94</v>
      </c>
      <c r="N136" s="130" t="e">
        <f ca="1">SUM(N78:N135)</f>
        <v>#NAME?</v>
      </c>
      <c r="O136" s="106" t="s">
        <v>73</v>
      </c>
      <c r="P136" s="130" t="e">
        <f ca="1">SUM(P78:P135)</f>
        <v>#NAME?</v>
      </c>
      <c r="Q136" s="34" t="s">
        <v>75</v>
      </c>
    </row>
    <row r="137" spans="2:18" x14ac:dyDescent="0.2">
      <c r="B137" s="32" t="s">
        <v>276</v>
      </c>
      <c r="E137" s="10"/>
      <c r="M137" s="39"/>
      <c r="N137" s="34"/>
      <c r="O137" s="34"/>
      <c r="P137" s="30"/>
    </row>
    <row r="138" spans="2:18" x14ac:dyDescent="0.2">
      <c r="B138" s="379">
        <v>2016</v>
      </c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41"/>
      <c r="N138" s="34"/>
      <c r="O138" s="34"/>
      <c r="P138" s="30"/>
    </row>
    <row r="139" spans="2:18" ht="51" hidden="1" x14ac:dyDescent="0.2">
      <c r="B139" s="51" t="s">
        <v>105</v>
      </c>
      <c r="C139" s="50" t="s">
        <v>104</v>
      </c>
      <c r="D139" s="50" t="s">
        <v>174</v>
      </c>
      <c r="E139" s="50" t="s">
        <v>173</v>
      </c>
      <c r="F139" s="50" t="s">
        <v>175</v>
      </c>
      <c r="G139" s="50" t="s">
        <v>172</v>
      </c>
      <c r="H139" s="50" t="s">
        <v>103</v>
      </c>
      <c r="I139" s="50" t="s">
        <v>102</v>
      </c>
      <c r="J139" s="50" t="s">
        <v>101</v>
      </c>
      <c r="K139" s="50" t="s">
        <v>100</v>
      </c>
      <c r="L139" s="50" t="s">
        <v>99</v>
      </c>
      <c r="M139" s="50" t="s">
        <v>98</v>
      </c>
      <c r="N139" s="50" t="s">
        <v>280</v>
      </c>
      <c r="O139" s="50" t="s">
        <v>97</v>
      </c>
      <c r="P139" s="50" t="s">
        <v>279</v>
      </c>
      <c r="Q139" s="50" t="s">
        <v>277</v>
      </c>
      <c r="R139" s="50" t="s">
        <v>278</v>
      </c>
    </row>
    <row r="140" spans="2:18" hidden="1" x14ac:dyDescent="0.2">
      <c r="B140" s="103" t="s">
        <v>190</v>
      </c>
      <c r="C140" s="103" t="s">
        <v>133</v>
      </c>
      <c r="D140" s="73" t="s">
        <v>51</v>
      </c>
      <c r="E140" s="43" t="e">
        <f ca="1">F140*_xll.BDP(C140,"PX_LAST")</f>
        <v>#NAME?</v>
      </c>
      <c r="F140" s="43">
        <v>294817</v>
      </c>
      <c r="G140" s="43">
        <v>50000</v>
      </c>
      <c r="H140" s="47">
        <f t="shared" ref="H140:H152" si="53">G140/F140</f>
        <v>0.16959673288853763</v>
      </c>
      <c r="I140" s="43">
        <f>G140*K140</f>
        <v>2489650</v>
      </c>
      <c r="J140" s="45">
        <f>G140*L140</f>
        <v>2146052</v>
      </c>
      <c r="K140" s="38">
        <v>49.792999999999999</v>
      </c>
      <c r="L140" s="38">
        <v>42.921039999999998</v>
      </c>
      <c r="M140" s="44">
        <f t="shared" ref="M140:M152" si="54">L140/K140-1</f>
        <v>-0.13801056373385823</v>
      </c>
      <c r="N140" s="43">
        <f>J140-I140</f>
        <v>-343598</v>
      </c>
      <c r="O140" s="106" t="e">
        <f ca="1">_xll.BDP($C140,"CRNCY")</f>
        <v>#NAME?</v>
      </c>
      <c r="P140" s="43" t="e">
        <f t="shared" ref="P140:P152" ca="1" si="55">N140/R140</f>
        <v>#NAME?</v>
      </c>
      <c r="Q140" s="14">
        <v>42433</v>
      </c>
      <c r="R140" s="22" t="e">
        <f ca="1">_xll.BDH("RUB curncy","PX_LAST",$Q140)</f>
        <v>#NAME?</v>
      </c>
    </row>
    <row r="141" spans="2:18" hidden="1" x14ac:dyDescent="0.2">
      <c r="B141" s="103" t="s">
        <v>176</v>
      </c>
      <c r="C141" s="103" t="s">
        <v>5</v>
      </c>
      <c r="D141" s="73" t="s">
        <v>51</v>
      </c>
      <c r="E141" s="43" t="e">
        <f ca="1">F141*_xll.BDP(C141,"PX_LAST")</f>
        <v>#NAME?</v>
      </c>
      <c r="F141" s="43">
        <v>1218700</v>
      </c>
      <c r="G141" s="43">
        <v>90400</v>
      </c>
      <c r="H141" s="47">
        <f t="shared" si="53"/>
        <v>7.4177402149831789E-2</v>
      </c>
      <c r="I141" s="43">
        <f>G141*K141</f>
        <v>3182080.0000000005</v>
      </c>
      <c r="J141" s="45">
        <f>G141*L141</f>
        <v>6272810.7999999998</v>
      </c>
      <c r="K141" s="38">
        <v>35.200000000000003</v>
      </c>
      <c r="L141" s="38">
        <v>69.389499999999998</v>
      </c>
      <c r="M141" s="44">
        <f t="shared" si="54"/>
        <v>0.97129261363636332</v>
      </c>
      <c r="N141" s="43">
        <f>J141-I141</f>
        <v>3090730.7999999993</v>
      </c>
      <c r="O141" s="106" t="e">
        <f ca="1">_xll.BDP($C141,"CRNCY")</f>
        <v>#NAME?</v>
      </c>
      <c r="P141" s="43" t="e">
        <f t="shared" ca="1" si="55"/>
        <v>#NAME?</v>
      </c>
      <c r="Q141" s="14">
        <v>42445</v>
      </c>
      <c r="R141" s="22" t="e">
        <f ca="1">_xll.BDH("RUB curncy","PX_LAST",$Q141)</f>
        <v>#NAME?</v>
      </c>
    </row>
    <row r="142" spans="2:18" hidden="1" x14ac:dyDescent="0.2">
      <c r="B142" s="103" t="e">
        <f ca="1">_xll.BDP(C142,"SECURITY_NAME")</f>
        <v>#NAME?</v>
      </c>
      <c r="C142" s="103" t="s">
        <v>410</v>
      </c>
      <c r="D142" s="73" t="s">
        <v>51</v>
      </c>
      <c r="E142" s="43" t="e">
        <f ca="1">F142*_xll.BDP(C142,"PX_LAST")/100</f>
        <v>#NAME?</v>
      </c>
      <c r="F142" s="43">
        <v>2600000</v>
      </c>
      <c r="G142" s="43">
        <v>1000000</v>
      </c>
      <c r="H142" s="47">
        <f t="shared" si="53"/>
        <v>0.38461538461538464</v>
      </c>
      <c r="I142" s="43">
        <f>G142*K142/100</f>
        <v>973700</v>
      </c>
      <c r="J142" s="45">
        <f>G142*L142/100</f>
        <v>1017500</v>
      </c>
      <c r="K142" s="38">
        <v>97.37</v>
      </c>
      <c r="L142" s="38">
        <v>101.75</v>
      </c>
      <c r="M142" s="44">
        <f t="shared" si="54"/>
        <v>4.4983054328848748E-2</v>
      </c>
      <c r="N142" s="43" t="e">
        <f ca="1">(J142-I142)*R142</f>
        <v>#NAME?</v>
      </c>
      <c r="O142" s="106" t="e">
        <f ca="1">_xll.BDP($C142,"CRNCY")</f>
        <v>#NAME?</v>
      </c>
      <c r="P142" s="43" t="e">
        <f t="shared" ca="1" si="55"/>
        <v>#NAME?</v>
      </c>
      <c r="Q142" s="14">
        <v>42446</v>
      </c>
      <c r="R142" s="22" t="e">
        <f ca="1">_xll.BDH("RUB curncy","PX_LAST",$Q142)</f>
        <v>#NAME?</v>
      </c>
    </row>
    <row r="143" spans="2:18" hidden="1" x14ac:dyDescent="0.2">
      <c r="B143" s="103" t="e">
        <f ca="1">_xll.BDP(C143,"SECURITY_NAME")</f>
        <v>#NAME?</v>
      </c>
      <c r="C143" s="103" t="s">
        <v>410</v>
      </c>
      <c r="D143" s="73" t="s">
        <v>51</v>
      </c>
      <c r="E143" s="43" t="e">
        <f ca="1">F143*_xll.BDP(C143,"PX_LAST")/100</f>
        <v>#NAME?</v>
      </c>
      <c r="F143" s="43">
        <v>2600000</v>
      </c>
      <c r="G143" s="43">
        <v>1000000</v>
      </c>
      <c r="H143" s="47">
        <f t="shared" si="53"/>
        <v>0.38461538461538464</v>
      </c>
      <c r="I143" s="43">
        <f>G143*K143/100</f>
        <v>973700</v>
      </c>
      <c r="J143" s="45">
        <f>G143*L143/100</f>
        <v>1020000</v>
      </c>
      <c r="K143" s="38">
        <v>97.37</v>
      </c>
      <c r="L143" s="38">
        <v>102</v>
      </c>
      <c r="M143" s="44">
        <f t="shared" si="54"/>
        <v>4.7550580260860675E-2</v>
      </c>
      <c r="N143" s="43" t="e">
        <f ca="1">(J143-I143)*R143</f>
        <v>#NAME?</v>
      </c>
      <c r="O143" s="106" t="e">
        <f ca="1">_xll.BDP($C143,"CRNCY")</f>
        <v>#NAME?</v>
      </c>
      <c r="P143" s="43" t="e">
        <f t="shared" ca="1" si="55"/>
        <v>#NAME?</v>
      </c>
      <c r="Q143" s="14">
        <v>42447</v>
      </c>
      <c r="R143" s="22" t="e">
        <f ca="1">_xll.BDH("RUB curncy","PX_LAST",$Q143)</f>
        <v>#NAME?</v>
      </c>
    </row>
    <row r="144" spans="2:18" hidden="1" x14ac:dyDescent="0.2">
      <c r="B144" s="103" t="s">
        <v>176</v>
      </c>
      <c r="C144" s="103" t="s">
        <v>5</v>
      </c>
      <c r="D144" s="73" t="s">
        <v>51</v>
      </c>
      <c r="E144" s="43" t="e">
        <f ca="1">F144*_xll.BDP(C144,"PX_LAST")</f>
        <v>#NAME?</v>
      </c>
      <c r="F144" s="43">
        <v>1218700</v>
      </c>
      <c r="G144" s="43">
        <v>100000</v>
      </c>
      <c r="H144" s="47">
        <f t="shared" si="53"/>
        <v>8.2054648395831625E-2</v>
      </c>
      <c r="I144" s="43">
        <f>G144*K144</f>
        <v>3520000.0000000005</v>
      </c>
      <c r="J144" s="45">
        <f>G144*L144</f>
        <v>7400000</v>
      </c>
      <c r="K144" s="38">
        <v>35.200000000000003</v>
      </c>
      <c r="L144" s="38">
        <v>74</v>
      </c>
      <c r="M144" s="44">
        <f t="shared" si="54"/>
        <v>1.1022727272727271</v>
      </c>
      <c r="N144" s="43">
        <f>J144-I144</f>
        <v>3879999.9999999995</v>
      </c>
      <c r="O144" s="106" t="e">
        <f ca="1">_xll.BDP($C144,"CRNCY")</f>
        <v>#NAME?</v>
      </c>
      <c r="P144" s="43" t="e">
        <f t="shared" ca="1" si="55"/>
        <v>#NAME?</v>
      </c>
      <c r="Q144" s="14">
        <v>42451</v>
      </c>
      <c r="R144" s="22" t="e">
        <f ca="1">_xll.BDH("RUB curncy","PX_LAST",$Q144)</f>
        <v>#NAME?</v>
      </c>
    </row>
    <row r="145" spans="2:18" hidden="1" x14ac:dyDescent="0.2">
      <c r="B145" s="103" t="e">
        <f ca="1">_xll.BDP(C145,"SECURITY_NAME")</f>
        <v>#NAME?</v>
      </c>
      <c r="C145" s="41" t="s">
        <v>180</v>
      </c>
      <c r="D145" s="73" t="s">
        <v>51</v>
      </c>
      <c r="E145" s="43" t="e">
        <f ca="1">F145*_xll.BDP(C145,"PX_LAST")/100</f>
        <v>#NAME?</v>
      </c>
      <c r="F145" s="43">
        <v>400000</v>
      </c>
      <c r="G145" s="43">
        <v>400000</v>
      </c>
      <c r="H145" s="47">
        <f t="shared" si="53"/>
        <v>1</v>
      </c>
      <c r="I145" s="43">
        <f>G145*K145/100</f>
        <v>401240</v>
      </c>
      <c r="J145" s="45">
        <f>G145*L145/100</f>
        <v>420000</v>
      </c>
      <c r="K145" s="38">
        <v>100.31</v>
      </c>
      <c r="L145" s="38">
        <v>105</v>
      </c>
      <c r="M145" s="44">
        <f t="shared" si="54"/>
        <v>4.6755059316119896E-2</v>
      </c>
      <c r="N145" s="43" t="e">
        <f ca="1">(J145-I145)*R145</f>
        <v>#NAME?</v>
      </c>
      <c r="O145" s="106" t="e">
        <f ca="1">_xll.BDP($C145,"CRNCY")</f>
        <v>#NAME?</v>
      </c>
      <c r="P145" s="43" t="e">
        <f t="shared" ca="1" si="55"/>
        <v>#NAME?</v>
      </c>
      <c r="Q145" s="14">
        <v>42447</v>
      </c>
      <c r="R145" s="22" t="e">
        <f ca="1">_xll.BDH("RUB curncy","PX_LAST",$Q145)</f>
        <v>#NAME?</v>
      </c>
    </row>
    <row r="146" spans="2:18" hidden="1" x14ac:dyDescent="0.2">
      <c r="B146" s="103" t="s">
        <v>685</v>
      </c>
      <c r="C146" s="103" t="s">
        <v>23</v>
      </c>
      <c r="D146" s="73" t="s">
        <v>51</v>
      </c>
      <c r="E146" s="43" t="e">
        <f ca="1">F146*_xll.BDP(C146,"PX_LAST")</f>
        <v>#NAME?</v>
      </c>
      <c r="F146" s="43">
        <v>158500</v>
      </c>
      <c r="G146" s="43">
        <v>45680</v>
      </c>
      <c r="H146" s="47">
        <f t="shared" si="53"/>
        <v>0.28820189274447949</v>
      </c>
      <c r="I146" s="43">
        <f>G146*K146</f>
        <v>2323741.6</v>
      </c>
      <c r="J146" s="45">
        <f>G146*L146</f>
        <v>3882800</v>
      </c>
      <c r="K146" s="38">
        <v>50.87</v>
      </c>
      <c r="L146" s="38">
        <v>85</v>
      </c>
      <c r="M146" s="44">
        <f t="shared" si="54"/>
        <v>0.6709258895223118</v>
      </c>
      <c r="N146" s="43">
        <f>J146-I146</f>
        <v>1559058.4</v>
      </c>
      <c r="O146" s="106" t="e">
        <f ca="1">_xll.BDP($C146,"CRNCY")</f>
        <v>#NAME?</v>
      </c>
      <c r="P146" s="43" t="e">
        <f t="shared" ca="1" si="55"/>
        <v>#NAME?</v>
      </c>
      <c r="Q146" s="14">
        <v>42461</v>
      </c>
      <c r="R146" s="22" t="e">
        <f ca="1">_xll.BDH("RUB curncy","PX_LAST",$Q146)</f>
        <v>#NAME?</v>
      </c>
    </row>
    <row r="147" spans="2:18" hidden="1" x14ac:dyDescent="0.2">
      <c r="B147" s="103" t="s">
        <v>176</v>
      </c>
      <c r="C147" s="103" t="s">
        <v>5</v>
      </c>
      <c r="D147" s="73" t="s">
        <v>51</v>
      </c>
      <c r="E147" s="43" t="e">
        <f ca="1">F147*_xll.BDP(C147,"PX_LAST")</f>
        <v>#NAME?</v>
      </c>
      <c r="F147" s="43">
        <v>1218700</v>
      </c>
      <c r="G147" s="43">
        <v>85000</v>
      </c>
      <c r="H147" s="47">
        <f t="shared" si="53"/>
        <v>6.9746451136456875E-2</v>
      </c>
      <c r="I147" s="43">
        <f>G147*K147</f>
        <v>2992000.0000000005</v>
      </c>
      <c r="J147" s="45">
        <f>G147*L147</f>
        <v>6425999.9999999991</v>
      </c>
      <c r="K147" s="38">
        <v>35.200000000000003</v>
      </c>
      <c r="L147" s="38">
        <v>75.599999999999994</v>
      </c>
      <c r="M147" s="44">
        <f t="shared" si="54"/>
        <v>1.1477272727272725</v>
      </c>
      <c r="N147" s="43">
        <f>J147-I147</f>
        <v>3433999.9999999986</v>
      </c>
      <c r="O147" s="106" t="e">
        <f ca="1">_xll.BDP($C147,"CRNCY")</f>
        <v>#NAME?</v>
      </c>
      <c r="P147" s="43" t="e">
        <f t="shared" ca="1" si="55"/>
        <v>#NAME?</v>
      </c>
      <c r="Q147" s="14">
        <v>42461</v>
      </c>
      <c r="R147" s="22" t="e">
        <f ca="1">_xll.BDH("RUB curncy","PX_LAST",$Q147)</f>
        <v>#NAME?</v>
      </c>
    </row>
    <row r="148" spans="2:18" hidden="1" x14ac:dyDescent="0.2">
      <c r="B148" s="103" t="s">
        <v>176</v>
      </c>
      <c r="C148" s="103" t="s">
        <v>5</v>
      </c>
      <c r="D148" s="73" t="s">
        <v>51</v>
      </c>
      <c r="E148" s="43" t="e">
        <f ca="1">F148*_xll.BDP(C148,"PX_LAST")</f>
        <v>#NAME?</v>
      </c>
      <c r="F148" s="43">
        <v>1218700</v>
      </c>
      <c r="G148" s="43">
        <v>37600</v>
      </c>
      <c r="H148" s="47">
        <f t="shared" si="53"/>
        <v>3.0852547796832691E-2</v>
      </c>
      <c r="I148" s="43">
        <f>G148*K148</f>
        <v>1323520</v>
      </c>
      <c r="J148" s="45">
        <f>G148*L148</f>
        <v>2822083.04</v>
      </c>
      <c r="K148" s="38">
        <v>35.200000000000003</v>
      </c>
      <c r="L148" s="38">
        <v>75.055400000000006</v>
      </c>
      <c r="M148" s="44">
        <f t="shared" si="54"/>
        <v>1.1322556818181817</v>
      </c>
      <c r="N148" s="43">
        <f>J148-I148</f>
        <v>1498563.04</v>
      </c>
      <c r="O148" s="106" t="e">
        <f ca="1">_xll.BDP($C148,"CRNCY")</f>
        <v>#NAME?</v>
      </c>
      <c r="P148" s="43" t="e">
        <f t="shared" ca="1" si="55"/>
        <v>#NAME?</v>
      </c>
      <c r="Q148" s="14">
        <v>42464</v>
      </c>
      <c r="R148" s="22" t="e">
        <f ca="1">_xll.BDH("RUB curncy","PX_LAST",$Q148)</f>
        <v>#NAME?</v>
      </c>
    </row>
    <row r="149" spans="2:18" hidden="1" x14ac:dyDescent="0.2">
      <c r="B149" s="103" t="s">
        <v>176</v>
      </c>
      <c r="C149" s="103" t="s">
        <v>5</v>
      </c>
      <c r="D149" s="73" t="s">
        <v>51</v>
      </c>
      <c r="E149" s="43" t="e">
        <f ca="1">F149*_xll.BDP(C149,"PX_LAST")</f>
        <v>#NAME?</v>
      </c>
      <c r="F149" s="43">
        <v>1218700</v>
      </c>
      <c r="G149" s="43">
        <v>77400</v>
      </c>
      <c r="H149" s="47">
        <f t="shared" si="53"/>
        <v>6.3510297858373671E-2</v>
      </c>
      <c r="I149" s="43">
        <f>G149*K149</f>
        <v>2724480</v>
      </c>
      <c r="J149" s="45">
        <f>G149*L149</f>
        <v>6283200.0330000008</v>
      </c>
      <c r="K149" s="38">
        <v>35.200000000000003</v>
      </c>
      <c r="L149" s="38">
        <v>81.178295000000006</v>
      </c>
      <c r="M149" s="44">
        <f t="shared" si="54"/>
        <v>1.3062015625000001</v>
      </c>
      <c r="N149" s="43">
        <f>J149-I149</f>
        <v>3558720.0330000008</v>
      </c>
      <c r="O149" s="106" t="e">
        <f ca="1">_xll.BDP($C149,"CRNCY")</f>
        <v>#NAME?</v>
      </c>
      <c r="P149" s="43" t="e">
        <f t="shared" ca="1" si="55"/>
        <v>#NAME?</v>
      </c>
      <c r="Q149" s="14">
        <v>42471</v>
      </c>
      <c r="R149" s="22" t="e">
        <f ca="1">_xll.BDH("RUB curncy","PX_LAST",$Q149)</f>
        <v>#NAME?</v>
      </c>
    </row>
    <row r="150" spans="2:18" hidden="1" x14ac:dyDescent="0.2">
      <c r="B150" s="103" t="s">
        <v>190</v>
      </c>
      <c r="C150" s="103" t="s">
        <v>133</v>
      </c>
      <c r="D150" s="73" t="s">
        <v>51</v>
      </c>
      <c r="E150" s="43" t="e">
        <f ca="1">F150*_xll.BDP(C150,"PX_LAST")</f>
        <v>#NAME?</v>
      </c>
      <c r="F150" s="43">
        <v>294817</v>
      </c>
      <c r="G150" s="43">
        <v>122400</v>
      </c>
      <c r="H150" s="47">
        <f t="shared" si="53"/>
        <v>0.4151728021111401</v>
      </c>
      <c r="I150" s="43">
        <f>G150*K150</f>
        <v>6094663.2000000002</v>
      </c>
      <c r="J150" s="45">
        <f>G150*L150</f>
        <v>6517805.9975999994</v>
      </c>
      <c r="K150" s="38">
        <v>49.792999999999999</v>
      </c>
      <c r="L150" s="38">
        <v>53.250048999999997</v>
      </c>
      <c r="M150" s="44">
        <f t="shared" si="54"/>
        <v>6.9428413632438346E-2</v>
      </c>
      <c r="N150" s="43">
        <f>J150-I150</f>
        <v>423142.79759999923</v>
      </c>
      <c r="O150" s="106" t="e">
        <f ca="1">_xll.BDP($C150,"CRNCY")</f>
        <v>#NAME?</v>
      </c>
      <c r="P150" s="43" t="e">
        <f t="shared" ca="1" si="55"/>
        <v>#NAME?</v>
      </c>
      <c r="Q150" s="14">
        <v>42474</v>
      </c>
      <c r="R150" s="22" t="e">
        <f ca="1">_xll.BDH("RUB curncy","PX_LAST",$Q150)</f>
        <v>#NAME?</v>
      </c>
    </row>
    <row r="151" spans="2:18" hidden="1" x14ac:dyDescent="0.2">
      <c r="B151" s="103" t="e">
        <f ca="1">_xll.BDP(C151,"SECURITY_NAME")</f>
        <v>#NAME?</v>
      </c>
      <c r="C151" s="103" t="s">
        <v>410</v>
      </c>
      <c r="D151" s="73" t="s">
        <v>51</v>
      </c>
      <c r="E151" s="43" t="e">
        <f ca="1">F151*_xll.BDP(C151,"PX_LAST")/100</f>
        <v>#NAME?</v>
      </c>
      <c r="F151" s="43">
        <v>2600000</v>
      </c>
      <c r="G151" s="43">
        <v>600000</v>
      </c>
      <c r="H151" s="47">
        <f t="shared" si="53"/>
        <v>0.23076923076923078</v>
      </c>
      <c r="I151" s="43">
        <f>G151*K151/100</f>
        <v>584220</v>
      </c>
      <c r="J151" s="45">
        <f>G151*L151/100</f>
        <v>630000</v>
      </c>
      <c r="K151" s="38">
        <v>97.37</v>
      </c>
      <c r="L151" s="38">
        <v>105</v>
      </c>
      <c r="M151" s="44">
        <f t="shared" si="54"/>
        <v>7.8360891445003578E-2</v>
      </c>
      <c r="N151" s="43" t="e">
        <f t="shared" ref="N151:N157" ca="1" si="56">(J151-I151)*R151</f>
        <v>#NAME?</v>
      </c>
      <c r="O151" s="106" t="e">
        <f ca="1">_xll.BDP($C151,"CRNCY")</f>
        <v>#NAME?</v>
      </c>
      <c r="P151" s="43" t="e">
        <f t="shared" ca="1" si="55"/>
        <v>#NAME?</v>
      </c>
      <c r="Q151" s="14">
        <v>42474</v>
      </c>
      <c r="R151" s="22" t="e">
        <f ca="1">_xll.BDH("RUB curncy","PX_LAST",$Q151)</f>
        <v>#NAME?</v>
      </c>
    </row>
    <row r="152" spans="2:18" hidden="1" x14ac:dyDescent="0.2">
      <c r="B152" s="103" t="e">
        <f ca="1">_xll.BDP(C152,"SECURITY_NAME")</f>
        <v>#NAME?</v>
      </c>
      <c r="C152" s="41" t="s">
        <v>159</v>
      </c>
      <c r="D152" s="73" t="s">
        <v>51</v>
      </c>
      <c r="E152" s="43" t="e">
        <f ca="1">F152*_xll.BDP(C152,"PX_LAST")/100</f>
        <v>#NAME?</v>
      </c>
      <c r="F152" s="43">
        <v>300000</v>
      </c>
      <c r="G152" s="43">
        <v>300000</v>
      </c>
      <c r="H152" s="47">
        <f t="shared" si="53"/>
        <v>1</v>
      </c>
      <c r="I152" s="43">
        <f>G152*K152/100</f>
        <v>303000</v>
      </c>
      <c r="J152" s="45">
        <f>G152*L152/100</f>
        <v>294838.56</v>
      </c>
      <c r="K152" s="38">
        <v>101</v>
      </c>
      <c r="L152" s="38">
        <v>98.279520000000005</v>
      </c>
      <c r="M152" s="44">
        <f t="shared" si="54"/>
        <v>-2.6935445544554404E-2</v>
      </c>
      <c r="N152" s="43" t="e">
        <f ca="1">(J152-I152)*R152</f>
        <v>#NAME?</v>
      </c>
      <c r="O152" s="106" t="e">
        <f ca="1">_xll.BDP($C152,"CRNCY")</f>
        <v>#NAME?</v>
      </c>
      <c r="P152" s="43" t="e">
        <f t="shared" ca="1" si="55"/>
        <v>#NAME?</v>
      </c>
      <c r="Q152" s="14">
        <v>42489</v>
      </c>
      <c r="R152" s="22" t="e">
        <f ca="1">_xll.BDH("RUB curncy","PX_LAST",$Q152)</f>
        <v>#NAME?</v>
      </c>
    </row>
    <row r="153" spans="2:18" hidden="1" x14ac:dyDescent="0.2">
      <c r="B153" s="103" t="e">
        <f ca="1">_xll.BDP(C153,"SECURITY_NAME")</f>
        <v>#NAME?</v>
      </c>
      <c r="C153" s="118" t="s">
        <v>376</v>
      </c>
      <c r="D153" s="73" t="s">
        <v>51</v>
      </c>
      <c r="E153" s="43" t="e">
        <f ca="1">F153*_xll.BDP(C153,"PX_LAST")/100</f>
        <v>#NAME?</v>
      </c>
      <c r="F153" s="43">
        <v>1830000</v>
      </c>
      <c r="G153" s="43">
        <v>200000</v>
      </c>
      <c r="H153" s="47">
        <f t="shared" ref="H153:H165" si="57">G153/F153</f>
        <v>0.10928961748633879</v>
      </c>
      <c r="I153" s="43">
        <f>G153*K153/100</f>
        <v>192780</v>
      </c>
      <c r="J153" s="45">
        <f>G153*L153/100</f>
        <v>203000</v>
      </c>
      <c r="K153" s="38">
        <v>96.39</v>
      </c>
      <c r="L153" s="38">
        <v>101.5</v>
      </c>
      <c r="M153" s="44">
        <f t="shared" ref="M153:M165" si="58">L153/K153-1</f>
        <v>5.3013798111837263E-2</v>
      </c>
      <c r="N153" s="43" t="e">
        <f t="shared" ca="1" si="56"/>
        <v>#NAME?</v>
      </c>
      <c r="O153" s="106" t="e">
        <f ca="1">_xll.BDP($C153,"CRNCY")</f>
        <v>#NAME?</v>
      </c>
      <c r="P153" s="43" t="e">
        <f t="shared" ref="P153:P165" ca="1" si="59">N153/R153</f>
        <v>#NAME?</v>
      </c>
      <c r="Q153" s="14">
        <v>42510</v>
      </c>
      <c r="R153" s="22" t="e">
        <f ca="1">_xll.BDH("RUB curncy","PX_LAST",$Q153)</f>
        <v>#NAME?</v>
      </c>
    </row>
    <row r="154" spans="2:18" hidden="1" x14ac:dyDescent="0.2">
      <c r="B154" s="103" t="s">
        <v>171</v>
      </c>
      <c r="C154" s="103" t="s">
        <v>14</v>
      </c>
      <c r="D154" s="73" t="s">
        <v>51</v>
      </c>
      <c r="E154" s="43" t="e">
        <f ca="1">F154*_xll.BDP(C154,"PX_LAST")</f>
        <v>#NAME?</v>
      </c>
      <c r="F154" s="43">
        <v>37035</v>
      </c>
      <c r="G154" s="43">
        <v>29400</v>
      </c>
      <c r="H154" s="47">
        <f t="shared" si="57"/>
        <v>0.79384366140137708</v>
      </c>
      <c r="I154" s="43">
        <f>G154*K154</f>
        <v>79380</v>
      </c>
      <c r="J154" s="45">
        <f>G154*L154</f>
        <v>62768.999999999993</v>
      </c>
      <c r="K154" s="38">
        <v>2.7</v>
      </c>
      <c r="L154" s="38">
        <v>2.1349999999999998</v>
      </c>
      <c r="M154" s="44">
        <f t="shared" si="58"/>
        <v>-0.20925925925925937</v>
      </c>
      <c r="N154" s="43" t="e">
        <f t="shared" ca="1" si="56"/>
        <v>#NAME?</v>
      </c>
      <c r="O154" s="106" t="e">
        <f ca="1">_xll.BDP($C154,"CRNCY")</f>
        <v>#NAME?</v>
      </c>
      <c r="P154" s="43" t="e">
        <f t="shared" ca="1" si="59"/>
        <v>#NAME?</v>
      </c>
      <c r="Q154" s="14">
        <v>42513</v>
      </c>
      <c r="R154" s="22" t="e">
        <f ca="1">_xll.BDH("RUB curncy","PX_LAST",$Q154)</f>
        <v>#NAME?</v>
      </c>
    </row>
    <row r="155" spans="2:18" hidden="1" x14ac:dyDescent="0.2">
      <c r="B155" s="103" t="s">
        <v>171</v>
      </c>
      <c r="C155" s="103" t="s">
        <v>14</v>
      </c>
      <c r="D155" s="73" t="s">
        <v>51</v>
      </c>
      <c r="E155" s="43" t="e">
        <f ca="1">F155*_xll.BDP(C155,"PX_LAST")</f>
        <v>#NAME?</v>
      </c>
      <c r="F155" s="43">
        <v>37035</v>
      </c>
      <c r="G155" s="43">
        <v>7635</v>
      </c>
      <c r="H155" s="47">
        <f t="shared" si="57"/>
        <v>0.20615633859862292</v>
      </c>
      <c r="I155" s="43">
        <f>G155*K155</f>
        <v>20614.5</v>
      </c>
      <c r="J155" s="45">
        <f>G155*L155</f>
        <v>16621.395</v>
      </c>
      <c r="K155" s="38">
        <v>2.7</v>
      </c>
      <c r="L155" s="38">
        <v>2.177</v>
      </c>
      <c r="M155" s="44">
        <f t="shared" si="58"/>
        <v>-0.19370370370370371</v>
      </c>
      <c r="N155" s="43" t="e">
        <f t="shared" ca="1" si="56"/>
        <v>#NAME?</v>
      </c>
      <c r="O155" s="106" t="e">
        <f ca="1">_xll.BDP($C155,"CRNCY")</f>
        <v>#NAME?</v>
      </c>
      <c r="P155" s="43" t="e">
        <f t="shared" ca="1" si="59"/>
        <v>#NAME?</v>
      </c>
      <c r="Q155" s="14">
        <v>42514</v>
      </c>
      <c r="R155" s="22" t="e">
        <f ca="1">_xll.BDH("RUB curncy","PX_LAST",$Q155)</f>
        <v>#NAME?</v>
      </c>
    </row>
    <row r="156" spans="2:18" hidden="1" x14ac:dyDescent="0.2">
      <c r="B156" s="103" t="s">
        <v>358</v>
      </c>
      <c r="C156" s="103" t="s">
        <v>359</v>
      </c>
      <c r="D156" s="73" t="s">
        <v>51</v>
      </c>
      <c r="E156" s="43" t="e">
        <f ca="1">F156*_xll.BDP(C156,"PX_LAST")</f>
        <v>#NAME?</v>
      </c>
      <c r="F156" s="43">
        <v>6300</v>
      </c>
      <c r="G156" s="43">
        <v>6300</v>
      </c>
      <c r="H156" s="47">
        <f t="shared" si="57"/>
        <v>1</v>
      </c>
      <c r="I156" s="43">
        <f>G156*K156</f>
        <v>100044</v>
      </c>
      <c r="J156" s="45">
        <f>G156*L156</f>
        <v>86688</v>
      </c>
      <c r="K156" s="38">
        <v>15.88</v>
      </c>
      <c r="L156" s="38">
        <v>13.76</v>
      </c>
      <c r="M156" s="44">
        <f t="shared" si="58"/>
        <v>-0.1335012594458439</v>
      </c>
      <c r="N156" s="43" t="e">
        <f t="shared" ca="1" si="56"/>
        <v>#NAME?</v>
      </c>
      <c r="O156" s="106" t="e">
        <f ca="1">_xll.BDP($C156,"CRNCY")</f>
        <v>#NAME?</v>
      </c>
      <c r="P156" s="43" t="e">
        <f t="shared" ca="1" si="59"/>
        <v>#NAME?</v>
      </c>
      <c r="Q156" s="14">
        <v>42514</v>
      </c>
      <c r="R156" s="22" t="e">
        <f ca="1">_xll.BDH("RUB curncy","PX_LAST",$Q156)</f>
        <v>#NAME?</v>
      </c>
    </row>
    <row r="157" spans="2:18" hidden="1" x14ac:dyDescent="0.2">
      <c r="B157" s="103" t="e">
        <f ca="1">_xll.BDP(C157,"SECURITY_NAME")</f>
        <v>#NAME?</v>
      </c>
      <c r="C157" s="118" t="s">
        <v>376</v>
      </c>
      <c r="D157" s="73" t="s">
        <v>51</v>
      </c>
      <c r="E157" s="43" t="e">
        <f ca="1">F157*_xll.BDP(C157,"PX_LAST")/100</f>
        <v>#NAME?</v>
      </c>
      <c r="F157" s="43">
        <v>1830000</v>
      </c>
      <c r="G157" s="43">
        <v>200000</v>
      </c>
      <c r="H157" s="47">
        <f t="shared" si="57"/>
        <v>0.10928961748633879</v>
      </c>
      <c r="I157" s="43">
        <f>G157*K157/100</f>
        <v>192780</v>
      </c>
      <c r="J157" s="45">
        <f>G157*L157/100</f>
        <v>203000</v>
      </c>
      <c r="K157" s="38">
        <v>96.39</v>
      </c>
      <c r="L157" s="38">
        <v>101.5</v>
      </c>
      <c r="M157" s="44">
        <f t="shared" si="58"/>
        <v>5.3013798111837263E-2</v>
      </c>
      <c r="N157" s="43" t="e">
        <f t="shared" ca="1" si="56"/>
        <v>#NAME?</v>
      </c>
      <c r="O157" s="106" t="e">
        <f ca="1">_xll.BDP($C157,"CRNCY")</f>
        <v>#NAME?</v>
      </c>
      <c r="P157" s="43" t="e">
        <f t="shared" ca="1" si="59"/>
        <v>#NAME?</v>
      </c>
      <c r="Q157" s="14">
        <v>42517</v>
      </c>
      <c r="R157" s="22" t="e">
        <f ca="1">_xll.BDH("RUB curncy","PX_LAST",$Q157)</f>
        <v>#NAME?</v>
      </c>
    </row>
    <row r="158" spans="2:18" hidden="1" x14ac:dyDescent="0.2">
      <c r="B158" s="103" t="s">
        <v>147</v>
      </c>
      <c r="C158" s="103" t="s">
        <v>64</v>
      </c>
      <c r="D158" s="73" t="s">
        <v>51</v>
      </c>
      <c r="E158" s="43" t="e">
        <f ca="1">F158*_xll.BDP(C158,"PX_LAST")</f>
        <v>#NAME?</v>
      </c>
      <c r="F158" s="43">
        <v>10000</v>
      </c>
      <c r="G158" s="43">
        <v>4900</v>
      </c>
      <c r="H158" s="47">
        <f t="shared" si="57"/>
        <v>0.49</v>
      </c>
      <c r="I158" s="43">
        <f>G158*K158</f>
        <v>296254</v>
      </c>
      <c r="J158" s="45">
        <f>G158*L158</f>
        <v>200704</v>
      </c>
      <c r="K158" s="38">
        <v>60.46</v>
      </c>
      <c r="L158" s="38">
        <v>40.96</v>
      </c>
      <c r="M158" s="44">
        <f t="shared" si="58"/>
        <v>-0.32252729077075748</v>
      </c>
      <c r="N158" s="43" t="e">
        <f ca="1">(J158-I158)*R158</f>
        <v>#NAME?</v>
      </c>
      <c r="O158" s="106" t="e">
        <f ca="1">_xll.BDP($C158,"CRNCY")</f>
        <v>#NAME?</v>
      </c>
      <c r="P158" s="43" t="e">
        <f t="shared" ca="1" si="59"/>
        <v>#NAME?</v>
      </c>
      <c r="Q158" s="14">
        <v>42515</v>
      </c>
      <c r="R158" s="22" t="e">
        <f ca="1">_xll.BDH("RUB curncy","PX_LAST",$Q158)</f>
        <v>#NAME?</v>
      </c>
    </row>
    <row r="159" spans="2:18" hidden="1" x14ac:dyDescent="0.2">
      <c r="B159" s="103" t="s">
        <v>147</v>
      </c>
      <c r="C159" s="103" t="s">
        <v>64</v>
      </c>
      <c r="D159" s="73" t="s">
        <v>51</v>
      </c>
      <c r="E159" s="43" t="e">
        <f ca="1">F159*_xll.BDP(C159,"PX_LAST")</f>
        <v>#NAME?</v>
      </c>
      <c r="F159" s="43">
        <v>10000</v>
      </c>
      <c r="G159" s="43">
        <v>5100</v>
      </c>
      <c r="H159" s="47">
        <f t="shared" si="57"/>
        <v>0.51</v>
      </c>
      <c r="I159" s="43">
        <f>G159*K159</f>
        <v>308346</v>
      </c>
      <c r="J159" s="45">
        <f>G159*L159</f>
        <v>205275</v>
      </c>
      <c r="K159" s="38">
        <v>60.46</v>
      </c>
      <c r="L159" s="38">
        <v>40.25</v>
      </c>
      <c r="M159" s="44">
        <f t="shared" si="58"/>
        <v>-0.33427059212702614</v>
      </c>
      <c r="N159" s="43" t="e">
        <f ca="1">(J159-I159)*R159</f>
        <v>#NAME?</v>
      </c>
      <c r="O159" s="106" t="e">
        <f ca="1">_xll.BDP($C159,"CRNCY")</f>
        <v>#NAME?</v>
      </c>
      <c r="P159" s="43" t="e">
        <f t="shared" ca="1" si="59"/>
        <v>#NAME?</v>
      </c>
      <c r="Q159" s="14">
        <v>42521</v>
      </c>
      <c r="R159" s="22" t="e">
        <f ca="1">_xll.BDH("RUB curncy","PX_LAST",$Q159)</f>
        <v>#NAME?</v>
      </c>
    </row>
    <row r="160" spans="2:18" hidden="1" x14ac:dyDescent="0.2">
      <c r="B160" s="103" t="e">
        <f ca="1">_xll.BDP(C160,"SECURITY_NAME")</f>
        <v>#NAME?</v>
      </c>
      <c r="C160" s="41" t="s">
        <v>156</v>
      </c>
      <c r="D160" s="73" t="s">
        <v>51</v>
      </c>
      <c r="E160" s="43" t="e">
        <f ca="1">F160*_xll.BDP(C160,"PX_LAST")/100</f>
        <v>#NAME?</v>
      </c>
      <c r="F160" s="43">
        <v>500000</v>
      </c>
      <c r="G160" s="43">
        <v>500000</v>
      </c>
      <c r="H160" s="47">
        <f t="shared" si="57"/>
        <v>1</v>
      </c>
      <c r="I160" s="43">
        <f>G160*K160/100</f>
        <v>500000</v>
      </c>
      <c r="J160" s="45">
        <f>G160*L160/100</f>
        <v>490000</v>
      </c>
      <c r="K160" s="38">
        <v>100</v>
      </c>
      <c r="L160" s="38">
        <v>98</v>
      </c>
      <c r="M160" s="44">
        <f t="shared" si="58"/>
        <v>-2.0000000000000018E-2</v>
      </c>
      <c r="N160" s="43" t="e">
        <f ca="1">(J160-I160)*R160</f>
        <v>#NAME?</v>
      </c>
      <c r="O160" s="106" t="e">
        <f ca="1">_xll.BDP($C160,"CRNCY")</f>
        <v>#NAME?</v>
      </c>
      <c r="P160" s="43" t="e">
        <f t="shared" ca="1" si="59"/>
        <v>#NAME?</v>
      </c>
      <c r="Q160" s="14">
        <v>42522</v>
      </c>
      <c r="R160" s="22" t="e">
        <f ca="1">_xll.BDH("RUB curncy","PX_LAST",$Q160)</f>
        <v>#NAME?</v>
      </c>
    </row>
    <row r="161" spans="2:18" hidden="1" x14ac:dyDescent="0.2">
      <c r="B161" s="103" t="e">
        <f ca="1">_xll.BDP(C161,"SECURITY_NAME")</f>
        <v>#NAME?</v>
      </c>
      <c r="C161" s="118" t="s">
        <v>148</v>
      </c>
      <c r="D161" s="73" t="s">
        <v>51</v>
      </c>
      <c r="E161" s="43" t="e">
        <f ca="1">F161*_xll.BDP(C161,"PX_LAST")/100</f>
        <v>#NAME?</v>
      </c>
      <c r="F161" s="43">
        <v>410000</v>
      </c>
      <c r="G161" s="43">
        <v>410000</v>
      </c>
      <c r="H161" s="47">
        <f t="shared" si="57"/>
        <v>1</v>
      </c>
      <c r="I161" s="43">
        <f>G161*K161/100</f>
        <v>414100</v>
      </c>
      <c r="J161" s="45">
        <f>G161*L161/100</f>
        <v>97457</v>
      </c>
      <c r="K161" s="38">
        <v>101</v>
      </c>
      <c r="L161" s="38">
        <v>23.77</v>
      </c>
      <c r="M161" s="44">
        <f t="shared" si="58"/>
        <v>-0.76465346534653467</v>
      </c>
      <c r="N161" s="43" t="e">
        <f ca="1">(J161-I161)*R161</f>
        <v>#NAME?</v>
      </c>
      <c r="O161" s="106" t="e">
        <f ca="1">_xll.BDP($C161,"CRNCY")</f>
        <v>#NAME?</v>
      </c>
      <c r="P161" s="43" t="e">
        <f t="shared" ca="1" si="59"/>
        <v>#NAME?</v>
      </c>
      <c r="Q161" s="14">
        <v>42527</v>
      </c>
      <c r="R161" s="22" t="e">
        <f ca="1">_xll.BDH("RUB curncy","PX_LAST",$Q161)</f>
        <v>#NAME?</v>
      </c>
    </row>
    <row r="162" spans="2:18" hidden="1" x14ac:dyDescent="0.2">
      <c r="B162" s="103" t="s">
        <v>317</v>
      </c>
      <c r="C162" s="103" t="s">
        <v>253</v>
      </c>
      <c r="D162" s="73" t="s">
        <v>51</v>
      </c>
      <c r="E162" s="43" t="e">
        <f ca="1">F162*_xll.BDP(C162,"PX_LAST")</f>
        <v>#NAME?</v>
      </c>
      <c r="F162" s="43">
        <v>125100</v>
      </c>
      <c r="G162" s="43">
        <v>41700</v>
      </c>
      <c r="H162" s="47">
        <f t="shared" si="57"/>
        <v>0.33333333333333331</v>
      </c>
      <c r="I162" s="43">
        <f>G162*K162</f>
        <v>6686595</v>
      </c>
      <c r="J162" s="45">
        <f>G162*L162</f>
        <v>7964700</v>
      </c>
      <c r="K162" s="38">
        <v>160.35</v>
      </c>
      <c r="L162" s="38">
        <v>191</v>
      </c>
      <c r="M162" s="44">
        <f t="shared" si="58"/>
        <v>0.19114437168693477</v>
      </c>
      <c r="N162" s="43">
        <f>(J162-I162)</f>
        <v>1278105</v>
      </c>
      <c r="O162" s="106" t="e">
        <f ca="1">_xll.BDP($C162,"CRNCY")</f>
        <v>#NAME?</v>
      </c>
      <c r="P162" s="43" t="e">
        <f t="shared" ca="1" si="59"/>
        <v>#NAME?</v>
      </c>
      <c r="Q162" s="14">
        <v>42542</v>
      </c>
      <c r="R162" s="22" t="e">
        <f ca="1">_xll.BDH("RUB curncy","PX_LAST",$Q162)</f>
        <v>#NAME?</v>
      </c>
    </row>
    <row r="163" spans="2:18" hidden="1" x14ac:dyDescent="0.2">
      <c r="B163" s="103" t="e">
        <f ca="1">_xll.BDP(C163,"SECURITY_NAME")</f>
        <v>#NAME?</v>
      </c>
      <c r="C163" s="41" t="s">
        <v>214</v>
      </c>
      <c r="D163" s="73" t="s">
        <v>51</v>
      </c>
      <c r="E163" s="43" t="e">
        <f ca="1">F163*_xll.BDP(C163,"PX_LAST")/100</f>
        <v>#NAME?</v>
      </c>
      <c r="F163" s="43">
        <v>100000</v>
      </c>
      <c r="G163" s="43">
        <v>100000</v>
      </c>
      <c r="H163" s="47">
        <f t="shared" si="57"/>
        <v>1</v>
      </c>
      <c r="I163" s="43">
        <f t="shared" ref="I163:I170" si="60">G163*K163/100</f>
        <v>108250</v>
      </c>
      <c r="J163" s="45">
        <f t="shared" ref="J163:J170" si="61">G163*L163/100</f>
        <v>117500</v>
      </c>
      <c r="K163" s="38">
        <v>108.25</v>
      </c>
      <c r="L163" s="38">
        <v>117.5</v>
      </c>
      <c r="M163" s="44">
        <f t="shared" si="58"/>
        <v>8.5450346420323342E-2</v>
      </c>
      <c r="N163" s="43" t="e">
        <f t="shared" ref="N163:N170" ca="1" si="62">(J163-I163)*R163</f>
        <v>#NAME?</v>
      </c>
      <c r="O163" s="106" t="e">
        <f ca="1">_xll.BDP($C163,"CRNCY")</f>
        <v>#NAME?</v>
      </c>
      <c r="P163" s="43" t="e">
        <f t="shared" ca="1" si="59"/>
        <v>#NAME?</v>
      </c>
      <c r="Q163" s="14">
        <v>42557</v>
      </c>
      <c r="R163" s="22" t="e">
        <f ca="1">_xll.BDH("RUB curncy","PX_LAST",$Q163)</f>
        <v>#NAME?</v>
      </c>
    </row>
    <row r="164" spans="2:18" hidden="1" x14ac:dyDescent="0.2">
      <c r="B164" s="103" t="e">
        <f ca="1">_xll.BDP(C164,"SECURITY_NAME")</f>
        <v>#NAME?</v>
      </c>
      <c r="C164" s="118" t="s">
        <v>376</v>
      </c>
      <c r="D164" s="73" t="s">
        <v>51</v>
      </c>
      <c r="E164" s="43" t="e">
        <f ca="1">F164*_xll.BDP(C164,"PX_LAST")/100</f>
        <v>#NAME?</v>
      </c>
      <c r="F164" s="43">
        <v>1830000</v>
      </c>
      <c r="G164" s="43">
        <v>200000</v>
      </c>
      <c r="H164" s="47">
        <f t="shared" si="57"/>
        <v>0.10928961748633879</v>
      </c>
      <c r="I164" s="43">
        <f t="shared" si="60"/>
        <v>192780</v>
      </c>
      <c r="J164" s="45">
        <f t="shared" si="61"/>
        <v>208500</v>
      </c>
      <c r="K164" s="38">
        <v>96.39</v>
      </c>
      <c r="L164" s="38">
        <v>104.25</v>
      </c>
      <c r="M164" s="44">
        <f t="shared" si="58"/>
        <v>8.1543728602552212E-2</v>
      </c>
      <c r="N164" s="43" t="e">
        <f t="shared" ca="1" si="62"/>
        <v>#NAME?</v>
      </c>
      <c r="O164" s="106" t="e">
        <f ca="1">_xll.BDP($C164,"CRNCY")</f>
        <v>#NAME?</v>
      </c>
      <c r="P164" s="43" t="e">
        <f t="shared" ca="1" si="59"/>
        <v>#NAME?</v>
      </c>
      <c r="Q164" s="14">
        <v>42570</v>
      </c>
      <c r="R164" s="22" t="e">
        <f ca="1">_xll.BDH("RUB curncy","PX_LAST",$Q164)</f>
        <v>#NAME?</v>
      </c>
    </row>
    <row r="165" spans="2:18" hidden="1" x14ac:dyDescent="0.2">
      <c r="B165" s="103" t="e">
        <f ca="1">_xll.BDP(C165,"SECURITY_NAME")</f>
        <v>#NAME?</v>
      </c>
      <c r="C165" s="118" t="s">
        <v>376</v>
      </c>
      <c r="D165" s="73" t="s">
        <v>51</v>
      </c>
      <c r="E165" s="43" t="e">
        <f ca="1">F165*_xll.BDP(C165,"PX_LAST")/100</f>
        <v>#NAME?</v>
      </c>
      <c r="F165" s="43">
        <v>1830000</v>
      </c>
      <c r="G165" s="43">
        <v>300000</v>
      </c>
      <c r="H165" s="47">
        <f t="shared" si="57"/>
        <v>0.16393442622950818</v>
      </c>
      <c r="I165" s="43">
        <f t="shared" si="60"/>
        <v>289170</v>
      </c>
      <c r="J165" s="45">
        <f t="shared" si="61"/>
        <v>317100</v>
      </c>
      <c r="K165" s="38">
        <v>96.39</v>
      </c>
      <c r="L165" s="38">
        <v>105.7</v>
      </c>
      <c r="M165" s="44">
        <f t="shared" si="58"/>
        <v>9.6586782861292741E-2</v>
      </c>
      <c r="N165" s="43" t="e">
        <f t="shared" ca="1" si="62"/>
        <v>#NAME?</v>
      </c>
      <c r="O165" s="106" t="e">
        <f ca="1">_xll.BDP($C165,"CRNCY")</f>
        <v>#NAME?</v>
      </c>
      <c r="P165" s="43" t="e">
        <f t="shared" ca="1" si="59"/>
        <v>#NAME?</v>
      </c>
      <c r="Q165" s="14">
        <v>42576</v>
      </c>
      <c r="R165" s="22" t="e">
        <f ca="1">_xll.BDH("RUB curncy","PX_LAST",$Q165)</f>
        <v>#NAME?</v>
      </c>
    </row>
    <row r="166" spans="2:18" hidden="1" x14ac:dyDescent="0.2">
      <c r="B166" s="103" t="e">
        <f ca="1">_xll.BDP(C166,"SECURITY_NAME")</f>
        <v>#NAME?</v>
      </c>
      <c r="C166" s="41" t="s">
        <v>647</v>
      </c>
      <c r="D166" s="73" t="s">
        <v>51</v>
      </c>
      <c r="E166" s="43" t="e">
        <f ca="1">F166*_xll.BDP(C166,"PX_LAST")/100</f>
        <v>#NAME?</v>
      </c>
      <c r="F166" s="43">
        <v>100000</v>
      </c>
      <c r="G166" s="43">
        <v>100000</v>
      </c>
      <c r="H166" s="47">
        <f t="shared" ref="H166:H176" si="63">G166/F166</f>
        <v>1</v>
      </c>
      <c r="I166" s="43">
        <f t="shared" si="60"/>
        <v>96280</v>
      </c>
      <c r="J166" s="45">
        <f t="shared" si="61"/>
        <v>107000</v>
      </c>
      <c r="K166" s="38">
        <v>96.28</v>
      </c>
      <c r="L166" s="38">
        <v>107</v>
      </c>
      <c r="M166" s="44">
        <f t="shared" ref="M166:M176" si="64">L166/K166-1</f>
        <v>0.11134191940174487</v>
      </c>
      <c r="N166" s="43" t="e">
        <f t="shared" ca="1" si="62"/>
        <v>#NAME?</v>
      </c>
      <c r="O166" s="106" t="e">
        <f ca="1">_xll.BDP($C166,"CRNCY")</f>
        <v>#NAME?</v>
      </c>
      <c r="P166" s="43" t="e">
        <f t="shared" ref="P166:P176" ca="1" si="65">N166/R166</f>
        <v>#NAME?</v>
      </c>
      <c r="Q166" s="14">
        <v>42600</v>
      </c>
      <c r="R166" s="22" t="e">
        <f ca="1">_xll.BDH("RUB curncy","PX_LAST",$Q166)</f>
        <v>#NAME?</v>
      </c>
    </row>
    <row r="167" spans="2:18" hidden="1" x14ac:dyDescent="0.2">
      <c r="B167" s="103" t="e">
        <f ca="1">_xll.BDP(C167,"SECURITY_NAME")</f>
        <v>#NAME?</v>
      </c>
      <c r="C167" s="41" t="s">
        <v>236</v>
      </c>
      <c r="D167" s="73" t="s">
        <v>51</v>
      </c>
      <c r="E167" s="43" t="e">
        <f ca="1">F167*_xll.BDP(C167,"PX_LAST")/100</f>
        <v>#NAME?</v>
      </c>
      <c r="F167" s="43">
        <v>129000</v>
      </c>
      <c r="G167" s="43">
        <v>129000</v>
      </c>
      <c r="H167" s="47">
        <f t="shared" si="63"/>
        <v>1</v>
      </c>
      <c r="I167" s="43">
        <f t="shared" si="60"/>
        <v>113520</v>
      </c>
      <c r="J167" s="45">
        <f t="shared" si="61"/>
        <v>132418.5</v>
      </c>
      <c r="K167" s="38">
        <v>88</v>
      </c>
      <c r="L167" s="38">
        <v>102.65</v>
      </c>
      <c r="M167" s="44">
        <f t="shared" si="64"/>
        <v>0.16647727272727275</v>
      </c>
      <c r="N167" s="43" t="e">
        <f t="shared" ca="1" si="62"/>
        <v>#NAME?</v>
      </c>
      <c r="O167" s="106" t="e">
        <f ca="1">_xll.BDP($C167,"CRNCY")</f>
        <v>#NAME?</v>
      </c>
      <c r="P167" s="43" t="e">
        <f t="shared" ca="1" si="65"/>
        <v>#NAME?</v>
      </c>
      <c r="Q167" s="14">
        <v>42635</v>
      </c>
      <c r="R167" s="22" t="e">
        <f ca="1">_xll.BDH("RUB curncy","PX_LAST",$Q167)</f>
        <v>#NAME?</v>
      </c>
    </row>
    <row r="168" spans="2:18" hidden="1" x14ac:dyDescent="0.2">
      <c r="B168" s="103" t="e">
        <f ca="1">_xll.BDP(C168,"SECURITY_NAME")</f>
        <v>#NAME?</v>
      </c>
      <c r="C168" s="41" t="s">
        <v>61</v>
      </c>
      <c r="D168" s="73" t="s">
        <v>51</v>
      </c>
      <c r="E168" s="43" t="e">
        <f ca="1">F168*_xll.BDP(C168,"PX_LAST")/100</f>
        <v>#NAME?</v>
      </c>
      <c r="F168" s="43">
        <v>200000</v>
      </c>
      <c r="G168" s="43">
        <v>200000</v>
      </c>
      <c r="H168" s="47">
        <f t="shared" si="63"/>
        <v>1</v>
      </c>
      <c r="I168" s="43">
        <f t="shared" si="60"/>
        <v>198000</v>
      </c>
      <c r="J168" s="45">
        <f t="shared" si="61"/>
        <v>208900</v>
      </c>
      <c r="K168" s="38">
        <v>99</v>
      </c>
      <c r="L168" s="38">
        <v>104.45</v>
      </c>
      <c r="M168" s="44">
        <f t="shared" si="64"/>
        <v>5.5050505050505016E-2</v>
      </c>
      <c r="N168" s="43" t="e">
        <f t="shared" ca="1" si="62"/>
        <v>#NAME?</v>
      </c>
      <c r="O168" s="106" t="e">
        <f ca="1">_xll.BDP($C168,"CRNCY")</f>
        <v>#NAME?</v>
      </c>
      <c r="P168" s="43" t="e">
        <f t="shared" ca="1" si="65"/>
        <v>#NAME?</v>
      </c>
      <c r="Q168" s="14">
        <v>42635</v>
      </c>
      <c r="R168" s="22" t="e">
        <f ca="1">_xll.BDH("RUB curncy","PX_LAST",$Q168)</f>
        <v>#NAME?</v>
      </c>
    </row>
    <row r="169" spans="2:18" hidden="1" x14ac:dyDescent="0.2">
      <c r="B169" s="103" t="e">
        <f ca="1">_xll.BDP(C169,"SECURITY_NAME")</f>
        <v>#NAME?</v>
      </c>
      <c r="C169" s="41" t="s">
        <v>60</v>
      </c>
      <c r="D169" s="73" t="s">
        <v>51</v>
      </c>
      <c r="E169" s="43" t="e">
        <f ca="1">F169*_xll.BDP(C169,"PX_LAST")/100</f>
        <v>#NAME?</v>
      </c>
      <c r="F169" s="43">
        <v>800000</v>
      </c>
      <c r="G169" s="43">
        <v>800000</v>
      </c>
      <c r="H169" s="47">
        <f t="shared" si="63"/>
        <v>1</v>
      </c>
      <c r="I169" s="43">
        <f t="shared" si="60"/>
        <v>768800</v>
      </c>
      <c r="J169" s="45">
        <f t="shared" si="61"/>
        <v>916000</v>
      </c>
      <c r="K169" s="38">
        <v>96.1</v>
      </c>
      <c r="L169" s="38">
        <v>114.5</v>
      </c>
      <c r="M169" s="44">
        <f t="shared" si="64"/>
        <v>0.19146722164412089</v>
      </c>
      <c r="N169" s="43" t="e">
        <f t="shared" ca="1" si="62"/>
        <v>#NAME?</v>
      </c>
      <c r="O169" s="106" t="e">
        <f ca="1">_xll.BDP($C169,"CRNCY")</f>
        <v>#NAME?</v>
      </c>
      <c r="P169" s="43" t="e">
        <f t="shared" ca="1" si="65"/>
        <v>#NAME?</v>
      </c>
      <c r="Q169" s="14">
        <v>42635</v>
      </c>
      <c r="R169" s="22" t="e">
        <f ca="1">_xll.BDH("RUB curncy","PX_LAST",$Q169)</f>
        <v>#NAME?</v>
      </c>
    </row>
    <row r="170" spans="2:18" hidden="1" x14ac:dyDescent="0.2">
      <c r="B170" s="103" t="e">
        <f ca="1">_xll.BDP(C170,"SECURITY_NAME")</f>
        <v>#NAME?</v>
      </c>
      <c r="C170" s="41" t="s">
        <v>219</v>
      </c>
      <c r="D170" s="73" t="s">
        <v>51</v>
      </c>
      <c r="E170" s="43" t="e">
        <f ca="1">F170*_xll.BDP(C170,"PX_LAST")/100</f>
        <v>#NAME?</v>
      </c>
      <c r="F170" s="43">
        <v>260000</v>
      </c>
      <c r="G170" s="43">
        <v>260000</v>
      </c>
      <c r="H170" s="47">
        <f t="shared" si="63"/>
        <v>1</v>
      </c>
      <c r="I170" s="43">
        <f t="shared" si="60"/>
        <v>235378</v>
      </c>
      <c r="J170" s="45">
        <f t="shared" si="61"/>
        <v>260390</v>
      </c>
      <c r="K170" s="38">
        <v>90.53</v>
      </c>
      <c r="L170" s="38">
        <v>100.15</v>
      </c>
      <c r="M170" s="44">
        <f t="shared" si="64"/>
        <v>0.10626311719871873</v>
      </c>
      <c r="N170" s="43" t="e">
        <f t="shared" ca="1" si="62"/>
        <v>#NAME?</v>
      </c>
      <c r="O170" s="106" t="e">
        <f ca="1">_xll.BDP($C170,"CRNCY")</f>
        <v>#NAME?</v>
      </c>
      <c r="P170" s="43" t="e">
        <f t="shared" ca="1" si="65"/>
        <v>#NAME?</v>
      </c>
      <c r="Q170" s="14">
        <v>42640</v>
      </c>
      <c r="R170" s="22" t="e">
        <f ca="1">_xll.BDH("RUB curncy","PX_LAST",$Q170)</f>
        <v>#NAME?</v>
      </c>
    </row>
    <row r="171" spans="2:18" hidden="1" x14ac:dyDescent="0.2">
      <c r="B171" s="103" t="s">
        <v>176</v>
      </c>
      <c r="C171" s="103" t="s">
        <v>5</v>
      </c>
      <c r="D171" s="73" t="s">
        <v>51</v>
      </c>
      <c r="E171" s="43" t="e">
        <f ca="1">F171*_xll.BDP(C171,"PX_LAST")</f>
        <v>#NAME?</v>
      </c>
      <c r="F171" s="43">
        <v>1218700</v>
      </c>
      <c r="G171" s="43">
        <v>50000</v>
      </c>
      <c r="H171" s="47">
        <f t="shared" si="63"/>
        <v>4.1027324197915813E-2</v>
      </c>
      <c r="I171" s="43">
        <f t="shared" ref="I171:I176" si="66">G171*K171</f>
        <v>1760000.0000000002</v>
      </c>
      <c r="J171" s="45">
        <f t="shared" ref="J171:J176" si="67">G171*L171</f>
        <v>5955000</v>
      </c>
      <c r="K171" s="38">
        <v>35.200000000000003</v>
      </c>
      <c r="L171" s="38">
        <v>119.1</v>
      </c>
      <c r="M171" s="44">
        <f t="shared" si="64"/>
        <v>2.3835227272727266</v>
      </c>
      <c r="N171" s="43">
        <f>(J171-I171)</f>
        <v>4195000</v>
      </c>
      <c r="O171" s="106" t="e">
        <f ca="1">_xll.BDP($C171,"CRNCY")</f>
        <v>#NAME?</v>
      </c>
      <c r="P171" s="43" t="e">
        <f t="shared" ca="1" si="65"/>
        <v>#NAME?</v>
      </c>
      <c r="Q171" s="14">
        <v>42647</v>
      </c>
      <c r="R171" s="22" t="e">
        <f ca="1">_xll.BDH("RUB curncy","PX_LAST",$Q171)</f>
        <v>#NAME?</v>
      </c>
    </row>
    <row r="172" spans="2:18" hidden="1" x14ac:dyDescent="0.2">
      <c r="B172" s="103" t="s">
        <v>176</v>
      </c>
      <c r="C172" s="103" t="s">
        <v>5</v>
      </c>
      <c r="D172" s="73" t="s">
        <v>51</v>
      </c>
      <c r="E172" s="43" t="e">
        <f ca="1">F172*_xll.BDP(C172,"PX_LAST")</f>
        <v>#NAME?</v>
      </c>
      <c r="F172" s="43">
        <v>1218700</v>
      </c>
      <c r="G172" s="43">
        <v>50000</v>
      </c>
      <c r="H172" s="47">
        <f t="shared" si="63"/>
        <v>4.1027324197915813E-2</v>
      </c>
      <c r="I172" s="43">
        <f t="shared" si="66"/>
        <v>1760000.0000000002</v>
      </c>
      <c r="J172" s="45">
        <f t="shared" si="67"/>
        <v>6237500</v>
      </c>
      <c r="K172" s="38">
        <v>35.200000000000003</v>
      </c>
      <c r="L172" s="38">
        <v>124.75</v>
      </c>
      <c r="M172" s="44">
        <f t="shared" si="64"/>
        <v>2.5440340909090908</v>
      </c>
      <c r="N172" s="43">
        <f>(J172-I172)</f>
        <v>4477500</v>
      </c>
      <c r="O172" s="106" t="e">
        <f ca="1">_xll.BDP($C172,"CRNCY")</f>
        <v>#NAME?</v>
      </c>
      <c r="P172" s="43" t="e">
        <f t="shared" ca="1" si="65"/>
        <v>#NAME?</v>
      </c>
      <c r="Q172" s="14">
        <v>42648</v>
      </c>
      <c r="R172" s="22" t="e">
        <f ca="1">_xll.BDH("RUB curncy","PX_LAST",$Q172)</f>
        <v>#NAME?</v>
      </c>
    </row>
    <row r="173" spans="2:18" hidden="1" x14ac:dyDescent="0.2">
      <c r="B173" s="103" t="s">
        <v>177</v>
      </c>
      <c r="C173" s="103" t="s">
        <v>48</v>
      </c>
      <c r="D173" s="73" t="s">
        <v>51</v>
      </c>
      <c r="E173" s="43" t="e">
        <f ca="1">F173*_xll.BDP(C173,"PX_LAST")</f>
        <v>#NAME?</v>
      </c>
      <c r="F173" s="43">
        <v>202000</v>
      </c>
      <c r="G173" s="43">
        <v>202000</v>
      </c>
      <c r="H173" s="47">
        <f t="shared" si="63"/>
        <v>1</v>
      </c>
      <c r="I173" s="43">
        <f t="shared" si="66"/>
        <v>230279.99999999997</v>
      </c>
      <c r="J173" s="45">
        <f t="shared" si="67"/>
        <v>16160</v>
      </c>
      <c r="K173" s="38">
        <v>1.1399999999999999</v>
      </c>
      <c r="L173" s="38">
        <v>0.08</v>
      </c>
      <c r="M173" s="44">
        <f t="shared" si="64"/>
        <v>-0.92982456140350878</v>
      </c>
      <c r="N173" s="43" t="e">
        <f ca="1">(J173-I173)*R173/_xll.BDH("CAD curncy","PX_LAST",$Q173)</f>
        <v>#NAME?</v>
      </c>
      <c r="O173" s="106" t="e">
        <f ca="1">_xll.BDP($C173,"CRNCY")</f>
        <v>#NAME?</v>
      </c>
      <c r="P173" s="43" t="e">
        <f t="shared" ca="1" si="65"/>
        <v>#NAME?</v>
      </c>
      <c r="Q173" s="14">
        <v>42649</v>
      </c>
      <c r="R173" s="22" t="e">
        <f ca="1">_xll.BDH("RUB curncy","PX_LAST",$Q173)</f>
        <v>#NAME?</v>
      </c>
    </row>
    <row r="174" spans="2:18" hidden="1" x14ac:dyDescent="0.2">
      <c r="B174" s="103" t="s">
        <v>201</v>
      </c>
      <c r="C174" s="103" t="s">
        <v>65</v>
      </c>
      <c r="D174" s="73" t="s">
        <v>51</v>
      </c>
      <c r="E174" s="43" t="e">
        <f ca="1">F174*_xll.BDP(C174,"PX_LAST")</f>
        <v>#NAME?</v>
      </c>
      <c r="F174" s="43">
        <v>17308</v>
      </c>
      <c r="G174" s="43">
        <v>344</v>
      </c>
      <c r="H174" s="47">
        <f t="shared" si="63"/>
        <v>1.9875202218627225E-2</v>
      </c>
      <c r="I174" s="43">
        <f t="shared" si="66"/>
        <v>410632.8</v>
      </c>
      <c r="J174" s="45">
        <f t="shared" si="67"/>
        <v>1106648</v>
      </c>
      <c r="K174" s="38">
        <v>1193.7</v>
      </c>
      <c r="L174" s="38">
        <v>3217</v>
      </c>
      <c r="M174" s="44">
        <f t="shared" si="64"/>
        <v>1.6949819887743987</v>
      </c>
      <c r="N174" s="43">
        <f>(J174-I174)</f>
        <v>696015.2</v>
      </c>
      <c r="O174" s="106" t="e">
        <f ca="1">_xll.BDP($C174,"CRNCY")</f>
        <v>#NAME?</v>
      </c>
      <c r="P174" s="43" t="e">
        <f t="shared" ca="1" si="65"/>
        <v>#NAME?</v>
      </c>
      <c r="Q174" s="14">
        <v>42649</v>
      </c>
      <c r="R174" s="22" t="e">
        <f ca="1">_xll.BDH("RUB curncy","PX_LAST",$Q174)</f>
        <v>#NAME?</v>
      </c>
    </row>
    <row r="175" spans="2:18" hidden="1" x14ac:dyDescent="0.2">
      <c r="B175" s="103" t="s">
        <v>201</v>
      </c>
      <c r="C175" s="103" t="s">
        <v>65</v>
      </c>
      <c r="D175" s="73" t="s">
        <v>51</v>
      </c>
      <c r="E175" s="43" t="e">
        <f ca="1">F175*_xll.BDP(C175,"PX_LAST")</f>
        <v>#NAME?</v>
      </c>
      <c r="F175" s="43">
        <v>17308</v>
      </c>
      <c r="G175" s="43">
        <v>1000</v>
      </c>
      <c r="H175" s="47">
        <f t="shared" si="63"/>
        <v>5.7776750635544258E-2</v>
      </c>
      <c r="I175" s="43">
        <f t="shared" si="66"/>
        <v>1193700</v>
      </c>
      <c r="J175" s="45" t="e">
        <f t="shared" ca="1" si="67"/>
        <v>#NAME?</v>
      </c>
      <c r="K175" s="38">
        <v>1193.7</v>
      </c>
      <c r="L175" s="38" t="e">
        <f ca="1">_xll.BDH(C175,"PX_LAST",Q175)</f>
        <v>#NAME?</v>
      </c>
      <c r="M175" s="44" t="e">
        <f t="shared" ca="1" si="64"/>
        <v>#NAME?</v>
      </c>
      <c r="N175" s="43" t="e">
        <f ca="1">(J175-I175)</f>
        <v>#NAME?</v>
      </c>
      <c r="O175" s="106" t="e">
        <f ca="1">_xll.BDP($C175,"CRNCY")</f>
        <v>#NAME?</v>
      </c>
      <c r="P175" s="43" t="e">
        <f t="shared" ca="1" si="65"/>
        <v>#NAME?</v>
      </c>
      <c r="Q175" s="14">
        <v>42650</v>
      </c>
      <c r="R175" s="22" t="e">
        <f ca="1">_xll.BDH("RUB curncy","PX_LAST",$Q175)</f>
        <v>#NAME?</v>
      </c>
    </row>
    <row r="176" spans="2:18" hidden="1" x14ac:dyDescent="0.2">
      <c r="B176" s="103" t="s">
        <v>201</v>
      </c>
      <c r="C176" s="103" t="s">
        <v>65</v>
      </c>
      <c r="D176" s="73" t="s">
        <v>51</v>
      </c>
      <c r="E176" s="43" t="e">
        <f ca="1">F176*_xll.BDP(C176,"PX_LAST")</f>
        <v>#NAME?</v>
      </c>
      <c r="F176" s="43">
        <v>17308</v>
      </c>
      <c r="G176" s="43">
        <v>1000</v>
      </c>
      <c r="H176" s="47">
        <f t="shared" si="63"/>
        <v>5.7776750635544258E-2</v>
      </c>
      <c r="I176" s="43">
        <f t="shared" si="66"/>
        <v>1193700</v>
      </c>
      <c r="J176" s="45">
        <f t="shared" si="67"/>
        <v>2900000</v>
      </c>
      <c r="K176" s="38">
        <v>1193.7</v>
      </c>
      <c r="L176" s="38">
        <v>2900</v>
      </c>
      <c r="M176" s="44">
        <f t="shared" si="64"/>
        <v>1.4294211275864956</v>
      </c>
      <c r="N176" s="43">
        <f>(J176-I176)</f>
        <v>1706300</v>
      </c>
      <c r="O176" s="106" t="e">
        <f ca="1">_xll.BDP($C176,"CRNCY")</f>
        <v>#NAME?</v>
      </c>
      <c r="P176" s="43" t="e">
        <f t="shared" ca="1" si="65"/>
        <v>#NAME?</v>
      </c>
      <c r="Q176" s="14">
        <v>42657</v>
      </c>
      <c r="R176" s="22" t="e">
        <f ca="1">_xll.BDH("RUB curncy","PX_LAST",$Q176)</f>
        <v>#NAME?</v>
      </c>
    </row>
    <row r="177" spans="2:18" hidden="1" x14ac:dyDescent="0.2">
      <c r="B177" s="103" t="e">
        <f ca="1">_xll.BDP(C177,"SECURITY_NAME")</f>
        <v>#NAME?</v>
      </c>
      <c r="C177" s="41" t="s">
        <v>158</v>
      </c>
      <c r="D177" s="73" t="s">
        <v>51</v>
      </c>
      <c r="E177" s="43" t="e">
        <f ca="1">F177*_xll.BDP(C177,"PX_LAST")/100</f>
        <v>#NAME?</v>
      </c>
      <c r="F177" s="43">
        <v>200000</v>
      </c>
      <c r="G177" s="43">
        <v>200000</v>
      </c>
      <c r="H177" s="47">
        <f t="shared" ref="H177" si="68">G177/F177</f>
        <v>1</v>
      </c>
      <c r="I177" s="43">
        <f t="shared" ref="I177" si="69">G177*K177/100</f>
        <v>199100</v>
      </c>
      <c r="J177" s="45">
        <f t="shared" ref="J177" si="70">G177*L177/100</f>
        <v>200000</v>
      </c>
      <c r="K177" s="38">
        <v>99.55</v>
      </c>
      <c r="L177" s="38">
        <v>100</v>
      </c>
      <c r="M177" s="44">
        <f t="shared" ref="M177" si="71">L177/K177-1</f>
        <v>4.5203415369161615E-3</v>
      </c>
      <c r="N177" s="43" t="e">
        <f t="shared" ref="N177" ca="1" si="72">(J177-I177)*R177</f>
        <v>#NAME?</v>
      </c>
      <c r="O177" s="106" t="e">
        <f ca="1">_xll.BDP($C177,"CRNCY")</f>
        <v>#NAME?</v>
      </c>
      <c r="P177" s="43" t="e">
        <f t="shared" ref="P177" ca="1" si="73">N177/R177</f>
        <v>#NAME?</v>
      </c>
      <c r="Q177" s="14">
        <v>42724</v>
      </c>
      <c r="R177" s="22" t="e">
        <f ca="1">_xll.BDH("RUB curncy","PX_LAST",$Q177)</f>
        <v>#NAME?</v>
      </c>
    </row>
    <row r="178" spans="2:18" hidden="1" x14ac:dyDescent="0.2">
      <c r="B178" s="103" t="e">
        <f ca="1">_xll.BDP(C178,"SECURITY_NAME")</f>
        <v>#NAME?</v>
      </c>
      <c r="C178" s="41" t="s">
        <v>163</v>
      </c>
      <c r="D178" s="73" t="s">
        <v>51</v>
      </c>
      <c r="E178" s="43" t="e">
        <f ca="1">F178*_xll.BDP(C178,"PX_LAST")/100</f>
        <v>#NAME?</v>
      </c>
      <c r="F178" s="43">
        <v>500000</v>
      </c>
      <c r="G178" s="43">
        <v>500000</v>
      </c>
      <c r="H178" s="47">
        <f t="shared" ref="H178:H179" si="74">G178/F178</f>
        <v>1</v>
      </c>
      <c r="I178" s="43">
        <f t="shared" ref="I178" si="75">G178*K178/100</f>
        <v>494750</v>
      </c>
      <c r="J178" s="45">
        <f t="shared" ref="J178" si="76">G178*L178/100</f>
        <v>515625</v>
      </c>
      <c r="K178" s="38">
        <v>98.95</v>
      </c>
      <c r="L178" s="38">
        <v>103.125</v>
      </c>
      <c r="M178" s="44">
        <f t="shared" ref="M178:M179" si="77">L178/K178-1</f>
        <v>4.2193026781202514E-2</v>
      </c>
      <c r="N178" s="43" t="e">
        <f t="shared" ref="N178" ca="1" si="78">(J178-I178)*R178</f>
        <v>#NAME?</v>
      </c>
      <c r="O178" s="106" t="e">
        <f ca="1">_xll.BDP($C178,"CRNCY")</f>
        <v>#NAME?</v>
      </c>
      <c r="P178" s="43" t="e">
        <f t="shared" ref="P178:P179" ca="1" si="79">N178/R178</f>
        <v>#NAME?</v>
      </c>
      <c r="Q178" s="14">
        <v>42724</v>
      </c>
      <c r="R178" s="22" t="e">
        <f ca="1">_xll.BDH("RUB curncy","PX_LAST",$Q178)</f>
        <v>#NAME?</v>
      </c>
    </row>
    <row r="179" spans="2:18" hidden="1" x14ac:dyDescent="0.2">
      <c r="B179" s="103" t="s">
        <v>320</v>
      </c>
      <c r="C179" s="103" t="s">
        <v>44</v>
      </c>
      <c r="D179" s="73" t="s">
        <v>51</v>
      </c>
      <c r="E179" s="43" t="e">
        <f ca="1">F179*_xll.BDP(C179,"PX_LAST")</f>
        <v>#NAME?</v>
      </c>
      <c r="F179" s="43">
        <v>724300</v>
      </c>
      <c r="G179" s="43">
        <v>504000</v>
      </c>
      <c r="H179" s="47">
        <f t="shared" si="74"/>
        <v>0.69584426342675687</v>
      </c>
      <c r="I179" s="43">
        <f t="shared" ref="I179" si="80">G179*K179</f>
        <v>11667600</v>
      </c>
      <c r="J179" s="45">
        <f t="shared" ref="J179" si="81">G179*L179</f>
        <v>15810614.9208</v>
      </c>
      <c r="K179" s="38">
        <v>23.15</v>
      </c>
      <c r="L179" s="38">
        <v>31.370267699999999</v>
      </c>
      <c r="M179" s="44">
        <f t="shared" si="77"/>
        <v>0.35508715766738663</v>
      </c>
      <c r="N179" s="43">
        <f>(J179-I179)</f>
        <v>4143014.9208000004</v>
      </c>
      <c r="O179" s="106" t="e">
        <f ca="1">_xll.BDP($C179,"CRNCY")</f>
        <v>#NAME?</v>
      </c>
      <c r="P179" s="43" t="e">
        <f t="shared" ca="1" si="79"/>
        <v>#NAME?</v>
      </c>
      <c r="Q179" s="14">
        <v>42725</v>
      </c>
      <c r="R179" s="22" t="e">
        <f ca="1">_xll.BDH("RUB curncy","PX_LAST",$Q179)</f>
        <v>#NAME?</v>
      </c>
    </row>
    <row r="180" spans="2:18" hidden="1" x14ac:dyDescent="0.2">
      <c r="B180" s="103" t="s">
        <v>320</v>
      </c>
      <c r="C180" s="103" t="s">
        <v>44</v>
      </c>
      <c r="D180" s="73" t="s">
        <v>51</v>
      </c>
      <c r="E180" s="43" t="e">
        <f ca="1">F180*_xll.BDP(C180,"PX_LAST")</f>
        <v>#NAME?</v>
      </c>
      <c r="F180" s="43">
        <v>724300</v>
      </c>
      <c r="G180" s="43">
        <v>220300</v>
      </c>
      <c r="H180" s="47">
        <f t="shared" ref="H180:H185" si="82">G180/F180</f>
        <v>0.30415573657324313</v>
      </c>
      <c r="I180" s="43">
        <f t="shared" ref="I180" si="83">G180*K180</f>
        <v>5099945</v>
      </c>
      <c r="J180" s="45">
        <f t="shared" ref="J180" si="84">G180*L180</f>
        <v>6854656.5300000003</v>
      </c>
      <c r="K180" s="38">
        <v>23.15</v>
      </c>
      <c r="L180" s="38">
        <v>31.115100000000002</v>
      </c>
      <c r="M180" s="44">
        <f t="shared" ref="M180:M185" si="85">L180/K180-1</f>
        <v>0.34406479481641483</v>
      </c>
      <c r="N180" s="43">
        <f>(J180-I180)</f>
        <v>1754711.5300000003</v>
      </c>
      <c r="O180" s="106" t="e">
        <f ca="1">_xll.BDP($C180,"CRNCY")</f>
        <v>#NAME?</v>
      </c>
      <c r="P180" s="43" t="e">
        <f t="shared" ref="P180:P185" ca="1" si="86">N180/R180</f>
        <v>#NAME?</v>
      </c>
      <c r="Q180" s="14">
        <v>42730</v>
      </c>
      <c r="R180" s="22" t="e">
        <f ca="1">_xll.BDH("RUB curncy","PX_LAST",$Q180)</f>
        <v>#NAME?</v>
      </c>
    </row>
    <row r="181" spans="2:18" x14ac:dyDescent="0.2">
      <c r="B181" s="103"/>
      <c r="C181" s="103"/>
      <c r="D181" s="73"/>
      <c r="E181" s="43"/>
      <c r="F181" s="43"/>
      <c r="G181" s="43"/>
      <c r="H181" s="47"/>
      <c r="I181" s="43"/>
      <c r="J181" s="45"/>
      <c r="K181" s="38"/>
      <c r="L181" s="38"/>
      <c r="M181" s="35" t="s">
        <v>94</v>
      </c>
      <c r="N181" s="130" t="e">
        <f ca="1">SUM(N140:N180)</f>
        <v>#NAME?</v>
      </c>
      <c r="O181" s="106"/>
      <c r="P181" s="130" t="e">
        <f ca="1">SUM(P140:P180)</f>
        <v>#NAME?</v>
      </c>
      <c r="Q181" s="14"/>
      <c r="R181" s="22"/>
    </row>
    <row r="182" spans="2:18" x14ac:dyDescent="0.2">
      <c r="B182" s="32" t="s">
        <v>276</v>
      </c>
      <c r="C182" s="103"/>
      <c r="D182" s="73"/>
      <c r="E182" s="43"/>
      <c r="F182" s="43"/>
      <c r="G182" s="43"/>
      <c r="H182" s="47"/>
      <c r="I182" s="43"/>
      <c r="J182" s="45"/>
      <c r="K182" s="38"/>
      <c r="L182" s="38"/>
      <c r="M182" s="44"/>
      <c r="N182" s="43"/>
      <c r="O182" s="106"/>
      <c r="P182" s="43"/>
      <c r="Q182" s="14"/>
      <c r="R182" s="22"/>
    </row>
    <row r="183" spans="2:18" x14ac:dyDescent="0.2">
      <c r="B183" s="379">
        <v>2017</v>
      </c>
      <c r="C183" s="103"/>
      <c r="D183" s="73"/>
      <c r="E183" s="43"/>
      <c r="F183" s="43"/>
      <c r="G183" s="43"/>
      <c r="H183" s="47"/>
      <c r="I183" s="43"/>
      <c r="J183" s="45"/>
      <c r="K183" s="38"/>
      <c r="L183" s="38"/>
      <c r="M183" s="44"/>
      <c r="N183" s="43"/>
      <c r="O183" s="106"/>
      <c r="P183" s="43"/>
      <c r="Q183" s="14"/>
      <c r="R183" s="22"/>
    </row>
    <row r="184" spans="2:18" ht="51" x14ac:dyDescent="0.2">
      <c r="B184" s="51" t="s">
        <v>105</v>
      </c>
      <c r="C184" s="50" t="s">
        <v>104</v>
      </c>
      <c r="D184" s="50" t="s">
        <v>174</v>
      </c>
      <c r="E184" s="50" t="s">
        <v>173</v>
      </c>
      <c r="F184" s="50" t="s">
        <v>175</v>
      </c>
      <c r="G184" s="50" t="s">
        <v>172</v>
      </c>
      <c r="H184" s="50" t="s">
        <v>103</v>
      </c>
      <c r="I184" s="50" t="s">
        <v>102</v>
      </c>
      <c r="J184" s="50" t="s">
        <v>101</v>
      </c>
      <c r="K184" s="50" t="s">
        <v>100</v>
      </c>
      <c r="L184" s="50" t="s">
        <v>99</v>
      </c>
      <c r="M184" s="50" t="s">
        <v>98</v>
      </c>
      <c r="N184" s="50" t="s">
        <v>280</v>
      </c>
      <c r="O184" s="50" t="s">
        <v>97</v>
      </c>
      <c r="P184" s="50" t="s">
        <v>279</v>
      </c>
      <c r="Q184" s="50" t="s">
        <v>277</v>
      </c>
      <c r="R184" s="50" t="s">
        <v>278</v>
      </c>
    </row>
    <row r="185" spans="2:18" x14ac:dyDescent="0.2">
      <c r="B185" s="103" t="e">
        <f ca="1">_xll.BDP(C185,"SECURITY_NAME")</f>
        <v>#NAME?</v>
      </c>
      <c r="C185" s="41" t="s">
        <v>160</v>
      </c>
      <c r="D185" s="73" t="s">
        <v>51</v>
      </c>
      <c r="E185" s="43" t="e">
        <f ca="1">F185*_xll.BDP(C185,"PX_LAST")/100</f>
        <v>#NAME?</v>
      </c>
      <c r="F185" s="43">
        <v>500000</v>
      </c>
      <c r="G185" s="43">
        <v>500000</v>
      </c>
      <c r="H185" s="47">
        <f t="shared" si="82"/>
        <v>1</v>
      </c>
      <c r="I185" s="43">
        <f t="shared" ref="I185" si="87">G185*K185/100</f>
        <v>452500</v>
      </c>
      <c r="J185" s="45">
        <f t="shared" ref="J185" si="88">G185*L185/100</f>
        <v>461100</v>
      </c>
      <c r="K185" s="38">
        <v>90.5</v>
      </c>
      <c r="L185" s="38">
        <v>92.22</v>
      </c>
      <c r="M185" s="44">
        <f t="shared" si="85"/>
        <v>1.9005524861878342E-2</v>
      </c>
      <c r="N185" s="43" t="e">
        <f t="shared" ref="N185" ca="1" si="89">(J185-I185)*R185</f>
        <v>#NAME?</v>
      </c>
      <c r="O185" s="106" t="e">
        <f ca="1">_xll.BDP($C185,"CRNCY")</f>
        <v>#NAME?</v>
      </c>
      <c r="P185" s="43" t="e">
        <f t="shared" ca="1" si="86"/>
        <v>#NAME?</v>
      </c>
      <c r="Q185" s="14">
        <v>42740</v>
      </c>
      <c r="R185" s="22" t="e">
        <f ca="1">_xll.BDH("RUB curncy","PX_LAST",$Q185)</f>
        <v>#NAME?</v>
      </c>
    </row>
    <row r="186" spans="2:18" x14ac:dyDescent="0.2">
      <c r="B186" s="103" t="e">
        <f ca="1">_xll.BDP(C186,"SECURITY_NAME")</f>
        <v>#NAME?</v>
      </c>
      <c r="C186" s="41" t="s">
        <v>225</v>
      </c>
      <c r="D186" s="73" t="s">
        <v>51</v>
      </c>
      <c r="E186" s="43" t="e">
        <f ca="1">F186*_xll.BDP(C186,"PX_LAST")/100</f>
        <v>#NAME?</v>
      </c>
      <c r="F186" s="43">
        <v>200000</v>
      </c>
      <c r="G186" s="43">
        <v>200000</v>
      </c>
      <c r="H186" s="47">
        <f t="shared" ref="H186" si="90">G186/F186</f>
        <v>1</v>
      </c>
      <c r="I186" s="43">
        <f t="shared" ref="I186" si="91">G186*K186/100</f>
        <v>163000</v>
      </c>
      <c r="J186" s="45">
        <f t="shared" ref="J186" si="92">G186*L186/100</f>
        <v>205500</v>
      </c>
      <c r="K186" s="38">
        <v>81.5</v>
      </c>
      <c r="L186" s="38">
        <v>102.75</v>
      </c>
      <c r="M186" s="44">
        <f t="shared" ref="M186" si="93">L186/K186-1</f>
        <v>0.26073619631901845</v>
      </c>
      <c r="N186" s="43" t="e">
        <f t="shared" ref="N186" ca="1" si="94">(J186-I186)*R186</f>
        <v>#NAME?</v>
      </c>
      <c r="O186" s="106" t="e">
        <f ca="1">_xll.BDP($C186,"CRNCY")</f>
        <v>#NAME?</v>
      </c>
      <c r="P186" s="43" t="e">
        <f t="shared" ref="P186" ca="1" si="95">N186/R186</f>
        <v>#NAME?</v>
      </c>
      <c r="Q186" s="14">
        <v>42745</v>
      </c>
      <c r="R186" s="22" t="e">
        <f ca="1">_xll.BDH("RUB curncy","PX_LAST",$Q186)</f>
        <v>#NAME?</v>
      </c>
    </row>
    <row r="187" spans="2:18" x14ac:dyDescent="0.2">
      <c r="B187" s="103" t="e">
        <f ca="1">_xll.BDP(C187,"SECURITY_NAME")</f>
        <v>#NAME?</v>
      </c>
      <c r="C187" s="41" t="s">
        <v>225</v>
      </c>
      <c r="D187" s="73" t="s">
        <v>51</v>
      </c>
      <c r="E187" s="43" t="e">
        <f ca="1">F187*_xll.BDP(C187,"PX_LAST")/100</f>
        <v>#NAME?</v>
      </c>
      <c r="F187" s="43">
        <v>200000</v>
      </c>
      <c r="G187" s="43">
        <v>200000</v>
      </c>
      <c r="H187" s="47">
        <f t="shared" ref="H187" si="96">G187/F187</f>
        <v>1</v>
      </c>
      <c r="I187" s="43">
        <f t="shared" ref="I187" si="97">G187*K187/100</f>
        <v>163000</v>
      </c>
      <c r="J187" s="45">
        <f t="shared" ref="J187" si="98">G187*L187/100</f>
        <v>205500</v>
      </c>
      <c r="K187" s="38">
        <v>81.5</v>
      </c>
      <c r="L187" s="38">
        <v>102.75</v>
      </c>
      <c r="M187" s="44">
        <f t="shared" ref="M187" si="99">L187/K187-1</f>
        <v>0.26073619631901845</v>
      </c>
      <c r="N187" s="43" t="e">
        <f t="shared" ref="N187" ca="1" si="100">(J187-I187)*R187</f>
        <v>#NAME?</v>
      </c>
      <c r="O187" s="106" t="e">
        <f ca="1">_xll.BDP($C187,"CRNCY")</f>
        <v>#NAME?</v>
      </c>
      <c r="P187" s="43" t="e">
        <f t="shared" ref="P187" ca="1" si="101">N187/R187</f>
        <v>#NAME?</v>
      </c>
      <c r="Q187" s="14">
        <v>42745</v>
      </c>
      <c r="R187" s="22" t="e">
        <f ca="1">_xll.BDH("RUB curncy","PX_LAST",$Q187)</f>
        <v>#NAME?</v>
      </c>
    </row>
    <row r="188" spans="2:18" x14ac:dyDescent="0.2">
      <c r="B188" s="33"/>
      <c r="C188" s="33"/>
      <c r="D188" s="33"/>
      <c r="G188" s="33"/>
      <c r="H188" s="12"/>
      <c r="I188" s="33"/>
      <c r="J188" s="33"/>
      <c r="K188" s="37"/>
      <c r="L188" s="36"/>
      <c r="M188" s="35" t="s">
        <v>94</v>
      </c>
      <c r="N188" s="130" t="e">
        <f ca="1">SUM(N185:N186)</f>
        <v>#NAME?</v>
      </c>
      <c r="O188" s="106" t="s">
        <v>73</v>
      </c>
      <c r="P188" s="130" t="e">
        <f ca="1">SUM(P185:P186)</f>
        <v>#NAME?</v>
      </c>
      <c r="Q188" s="34"/>
      <c r="R188" s="39"/>
    </row>
    <row r="189" spans="2:18" x14ac:dyDescent="0.2">
      <c r="B189" s="33"/>
      <c r="C189" s="33"/>
      <c r="D189" s="33"/>
      <c r="G189" s="33"/>
      <c r="H189" s="12"/>
      <c r="I189" s="33"/>
      <c r="J189" s="33"/>
      <c r="K189" s="37"/>
      <c r="L189" s="36"/>
      <c r="M189" s="35"/>
      <c r="N189" s="30"/>
      <c r="O189" s="30"/>
      <c r="P189" s="34"/>
      <c r="R189" s="39"/>
    </row>
    <row r="190" spans="2:18" x14ac:dyDescent="0.2">
      <c r="B190" s="33"/>
      <c r="C190" s="33"/>
      <c r="D190" s="33"/>
      <c r="G190" s="33"/>
      <c r="H190" s="12"/>
      <c r="I190" s="33"/>
      <c r="J190" s="33"/>
      <c r="K190" s="37"/>
      <c r="L190" s="36"/>
      <c r="M190" s="35"/>
      <c r="N190" s="30"/>
      <c r="O190" s="30"/>
      <c r="P190" s="34"/>
      <c r="R190" s="39"/>
    </row>
    <row r="191" spans="2:18" x14ac:dyDescent="0.2">
      <c r="B191" s="33"/>
      <c r="C191" s="33"/>
      <c r="D191" s="33"/>
      <c r="E191" s="33"/>
      <c r="F191" s="33"/>
      <c r="G191" s="33"/>
      <c r="H191" s="127"/>
      <c r="I191" s="37"/>
      <c r="J191" s="41"/>
      <c r="K191" s="35"/>
      <c r="L191" s="30"/>
      <c r="M191" s="34"/>
      <c r="N191" s="33"/>
    </row>
    <row r="192" spans="2:18" x14ac:dyDescent="0.2">
      <c r="B192" s="32" t="s">
        <v>93</v>
      </c>
      <c r="C192" s="10"/>
      <c r="D192" s="31"/>
      <c r="H192" s="128"/>
      <c r="I192" s="10"/>
      <c r="J192" s="128"/>
      <c r="K192" s="29"/>
    </row>
    <row r="193" spans="2:14" ht="13.5" thickBot="1" x14ac:dyDescent="0.25">
      <c r="C193" s="29"/>
      <c r="D193" s="29"/>
      <c r="G193" s="29"/>
      <c r="H193" s="10"/>
      <c r="I193" s="30"/>
      <c r="J193" s="10"/>
      <c r="K193" s="29"/>
    </row>
    <row r="194" spans="2:14" ht="15" x14ac:dyDescent="0.35">
      <c r="B194" s="26"/>
      <c r="C194" s="26"/>
      <c r="D194" s="26"/>
      <c r="E194" s="26"/>
      <c r="F194" s="26"/>
      <c r="G194" s="26"/>
      <c r="H194" s="28" t="s">
        <v>92</v>
      </c>
      <c r="I194" s="27" t="s">
        <v>91</v>
      </c>
      <c r="J194" s="27" t="s">
        <v>90</v>
      </c>
      <c r="K194" s="27"/>
      <c r="L194" s="26"/>
      <c r="M194" s="26"/>
      <c r="N194" s="26"/>
    </row>
    <row r="195" spans="2:14" ht="15" x14ac:dyDescent="0.35">
      <c r="B195" s="23" t="s">
        <v>89</v>
      </c>
      <c r="C195" s="23" t="s">
        <v>88</v>
      </c>
      <c r="D195" s="23" t="s">
        <v>87</v>
      </c>
      <c r="E195" s="23" t="s">
        <v>86</v>
      </c>
      <c r="F195" s="23" t="s">
        <v>85</v>
      </c>
      <c r="G195" s="23" t="s">
        <v>84</v>
      </c>
      <c r="H195" s="25" t="s">
        <v>83</v>
      </c>
      <c r="I195" s="24" t="s">
        <v>83</v>
      </c>
      <c r="J195" s="24" t="s">
        <v>75</v>
      </c>
      <c r="K195" s="24" t="s">
        <v>73</v>
      </c>
      <c r="L195" s="23" t="s">
        <v>82</v>
      </c>
      <c r="M195" s="23" t="s">
        <v>81</v>
      </c>
      <c r="N195" s="23" t="s">
        <v>80</v>
      </c>
    </row>
    <row r="196" spans="2:14" x14ac:dyDescent="0.2">
      <c r="B196" s="21" t="s">
        <v>126</v>
      </c>
      <c r="C196" s="118" t="s">
        <v>707</v>
      </c>
      <c r="D196" s="18" t="e">
        <f ca="1">_xll.BDP(C196,"SECURITY_NAME")</f>
        <v>#NAME?</v>
      </c>
      <c r="E196" s="18" t="s">
        <v>50</v>
      </c>
      <c r="F196" s="19">
        <v>50000000</v>
      </c>
      <c r="G196" s="18" t="e">
        <f ca="1">_xll.BDP(C196,"CRNCY")</f>
        <v>#NAME?</v>
      </c>
      <c r="H196" s="22">
        <v>100</v>
      </c>
      <c r="I196" s="15">
        <f>F196*H196/100</f>
        <v>50000000</v>
      </c>
      <c r="J196" s="16" t="e">
        <f ca="1">I196/L196</f>
        <v>#NAME?</v>
      </c>
      <c r="K196" s="15" t="e">
        <f ca="1">J196*L196</f>
        <v>#NAME?</v>
      </c>
      <c r="L196" s="22" t="e">
        <f ca="1">_xll.BDH("RUB curncy","PX_LAST",$N196)</f>
        <v>#NAME?</v>
      </c>
      <c r="M196" s="85" t="e">
        <f ca="1">1/_xll.BDH("RUB curncy","PX_LAST",$N196)</f>
        <v>#NAME?</v>
      </c>
      <c r="N196" s="14">
        <v>42495</v>
      </c>
    </row>
    <row r="197" spans="2:14" x14ac:dyDescent="0.2">
      <c r="B197" s="71"/>
      <c r="C197" s="72"/>
      <c r="D197" s="73"/>
      <c r="E197" s="73"/>
      <c r="F197" s="79">
        <f>SUM(F196)</f>
        <v>50000000</v>
      </c>
      <c r="G197" s="87"/>
      <c r="H197" s="99">
        <f>I197/F197*100</f>
        <v>100</v>
      </c>
      <c r="I197" s="79">
        <f>SUM(I196)</f>
        <v>50000000</v>
      </c>
      <c r="J197" s="79" t="e">
        <f ca="1">SUM(J196)</f>
        <v>#NAME?</v>
      </c>
      <c r="K197" s="79" t="e">
        <f ca="1">SUM(K196)</f>
        <v>#NAME?</v>
      </c>
      <c r="L197" s="75"/>
      <c r="M197" s="86"/>
      <c r="N197" s="14"/>
    </row>
    <row r="198" spans="2:14" x14ac:dyDescent="0.2">
      <c r="B198" s="71"/>
      <c r="C198" s="72"/>
      <c r="D198" s="73"/>
      <c r="E198" s="73"/>
      <c r="F198" s="79"/>
      <c r="G198" s="87"/>
      <c r="H198" s="99"/>
      <c r="I198" s="79"/>
      <c r="J198" s="79"/>
      <c r="K198" s="79"/>
      <c r="L198" s="75"/>
      <c r="M198" s="86"/>
      <c r="N198" s="14"/>
    </row>
    <row r="199" spans="2:14" x14ac:dyDescent="0.2">
      <c r="B199" s="21" t="s">
        <v>126</v>
      </c>
      <c r="C199" s="118" t="s">
        <v>699</v>
      </c>
      <c r="D199" s="18" t="e">
        <f ca="1">_xll.BDP(C199,"SECURITY_NAME")</f>
        <v>#NAME?</v>
      </c>
      <c r="E199" s="18" t="s">
        <v>50</v>
      </c>
      <c r="F199" s="19">
        <v>150000000</v>
      </c>
      <c r="G199" s="18" t="e">
        <f ca="1">_xll.BDP(C199,"CRNCY")</f>
        <v>#NAME?</v>
      </c>
      <c r="H199" s="22">
        <v>100</v>
      </c>
      <c r="I199" s="15">
        <f>F199*H199/100</f>
        <v>150000000</v>
      </c>
      <c r="J199" s="16" t="e">
        <f ca="1">I199/L199</f>
        <v>#NAME?</v>
      </c>
      <c r="K199" s="15" t="e">
        <f ca="1">J199*L199</f>
        <v>#NAME?</v>
      </c>
      <c r="L199" s="22" t="e">
        <f ca="1">_xll.BDH("RUB curncy","PX_LAST",$N199)</f>
        <v>#NAME?</v>
      </c>
      <c r="M199" s="85" t="e">
        <f ca="1">1/_xll.BDH("RUB curncy","PX_LAST",$N199)</f>
        <v>#NAME?</v>
      </c>
      <c r="N199" s="14">
        <v>42479</v>
      </c>
    </row>
    <row r="200" spans="2:14" x14ac:dyDescent="0.2">
      <c r="B200" s="71"/>
      <c r="C200" s="72"/>
      <c r="D200" s="73"/>
      <c r="E200" s="73"/>
      <c r="F200" s="79">
        <f>SUM(F199)</f>
        <v>150000000</v>
      </c>
      <c r="G200" s="87"/>
      <c r="H200" s="99">
        <f>I200/F200*100</f>
        <v>100</v>
      </c>
      <c r="I200" s="79">
        <f>SUM(I199)</f>
        <v>150000000</v>
      </c>
      <c r="J200" s="79" t="e">
        <f ca="1">SUM(J199)</f>
        <v>#NAME?</v>
      </c>
      <c r="K200" s="79" t="e">
        <f ca="1">SUM(K199)</f>
        <v>#NAME?</v>
      </c>
      <c r="L200" s="75"/>
      <c r="M200" s="86"/>
      <c r="N200" s="14"/>
    </row>
    <row r="201" spans="2:14" x14ac:dyDescent="0.2">
      <c r="B201" s="71"/>
      <c r="C201" s="72"/>
      <c r="D201" s="73"/>
      <c r="E201" s="73"/>
      <c r="F201" s="79"/>
      <c r="G201" s="87"/>
      <c r="H201" s="99"/>
      <c r="I201" s="79"/>
      <c r="J201" s="79"/>
      <c r="K201" s="79"/>
      <c r="L201" s="75"/>
      <c r="M201" s="86"/>
      <c r="N201" s="14"/>
    </row>
    <row r="202" spans="2:14" x14ac:dyDescent="0.2">
      <c r="B202" s="21" t="s">
        <v>126</v>
      </c>
      <c r="C202" s="118" t="s">
        <v>698</v>
      </c>
      <c r="D202" s="18" t="e">
        <f ca="1">_xll.BDP(C202,"SECURITY_NAME")</f>
        <v>#NAME?</v>
      </c>
      <c r="E202" s="18" t="s">
        <v>50</v>
      </c>
      <c r="F202" s="19">
        <v>74000000</v>
      </c>
      <c r="G202" s="18" t="e">
        <f ca="1">_xll.BDP(C202,"CRNCY")</f>
        <v>#NAME?</v>
      </c>
      <c r="H202" s="22">
        <v>100</v>
      </c>
      <c r="I202" s="15">
        <f>F202*H202/100</f>
        <v>74000000</v>
      </c>
      <c r="J202" s="16" t="e">
        <f ca="1">I202/L202</f>
        <v>#NAME?</v>
      </c>
      <c r="K202" s="15" t="e">
        <f ca="1">J202*L202</f>
        <v>#NAME?</v>
      </c>
      <c r="L202" s="22" t="e">
        <f ca="1">_xll.BDH("RUB curncy","PX_LAST",$N202)</f>
        <v>#NAME?</v>
      </c>
      <c r="M202" s="85" t="e">
        <f ca="1">1/_xll.BDH("RUB curncy","PX_LAST",$N202)</f>
        <v>#NAME?</v>
      </c>
      <c r="N202" s="14">
        <v>42479</v>
      </c>
    </row>
    <row r="203" spans="2:14" x14ac:dyDescent="0.2">
      <c r="B203" s="71"/>
      <c r="C203" s="72"/>
      <c r="D203" s="73"/>
      <c r="E203" s="73"/>
      <c r="F203" s="79">
        <f>SUM(F202)</f>
        <v>74000000</v>
      </c>
      <c r="G203" s="87"/>
      <c r="H203" s="99">
        <f>I203/F203*100</f>
        <v>100</v>
      </c>
      <c r="I203" s="79">
        <f>SUM(I202)</f>
        <v>74000000</v>
      </c>
      <c r="J203" s="79" t="e">
        <f ca="1">SUM(J202)</f>
        <v>#NAME?</v>
      </c>
      <c r="K203" s="79" t="e">
        <f ca="1">SUM(K202)</f>
        <v>#NAME?</v>
      </c>
      <c r="L203" s="75"/>
      <c r="M203" s="86"/>
      <c r="N203" s="14"/>
    </row>
    <row r="204" spans="2:14" x14ac:dyDescent="0.2">
      <c r="B204" s="71"/>
      <c r="C204" s="72"/>
      <c r="D204" s="73"/>
      <c r="E204" s="73"/>
      <c r="F204" s="79"/>
      <c r="G204" s="87"/>
      <c r="H204" s="99"/>
      <c r="I204" s="79"/>
      <c r="J204" s="79"/>
      <c r="K204" s="79"/>
      <c r="L204" s="75"/>
      <c r="M204" s="86"/>
      <c r="N204" s="14"/>
    </row>
    <row r="205" spans="2:14" x14ac:dyDescent="0.2">
      <c r="B205" s="21" t="s">
        <v>126</v>
      </c>
      <c r="C205" s="118" t="s">
        <v>689</v>
      </c>
      <c r="D205" s="18" t="e">
        <f ca="1">_xll.BDP(C205,"SECURITY_NAME")</f>
        <v>#NAME?</v>
      </c>
      <c r="E205" s="18" t="s">
        <v>50</v>
      </c>
      <c r="F205" s="19">
        <v>50000000</v>
      </c>
      <c r="G205" s="18" t="e">
        <f ca="1">_xll.BDP(C205,"CRNCY")</f>
        <v>#NAME?</v>
      </c>
      <c r="H205" s="22">
        <v>100</v>
      </c>
      <c r="I205" s="15">
        <f>F205*H205/100</f>
        <v>50000000</v>
      </c>
      <c r="J205" s="16" t="e">
        <f ca="1">I205/L205</f>
        <v>#NAME?</v>
      </c>
      <c r="K205" s="15" t="e">
        <f ca="1">J205*L205</f>
        <v>#NAME?</v>
      </c>
      <c r="L205" s="22" t="e">
        <f ca="1">_xll.BDH("RUB curncy","PX_LAST",$N205)</f>
        <v>#NAME?</v>
      </c>
      <c r="M205" s="85" t="e">
        <f ca="1">1/_xll.BDH("RUB curncy","PX_LAST",$N205)</f>
        <v>#NAME?</v>
      </c>
      <c r="N205" s="14">
        <v>42466</v>
      </c>
    </row>
    <row r="206" spans="2:14" x14ac:dyDescent="0.2">
      <c r="B206" s="71"/>
      <c r="C206" s="72"/>
      <c r="D206" s="73"/>
      <c r="E206" s="73"/>
      <c r="F206" s="79">
        <f>SUM(F205)</f>
        <v>50000000</v>
      </c>
      <c r="G206" s="87"/>
      <c r="H206" s="99">
        <f>I206/F206*100</f>
        <v>100</v>
      </c>
      <c r="I206" s="79">
        <f>SUM(I205)</f>
        <v>50000000</v>
      </c>
      <c r="J206" s="79" t="e">
        <f ca="1">SUM(J205)</f>
        <v>#NAME?</v>
      </c>
      <c r="K206" s="79" t="e">
        <f ca="1">SUM(K205)</f>
        <v>#NAME?</v>
      </c>
      <c r="L206" s="75"/>
      <c r="M206" s="86"/>
      <c r="N206" s="14"/>
    </row>
    <row r="207" spans="2:14" x14ac:dyDescent="0.2">
      <c r="B207" s="71"/>
      <c r="C207" s="72"/>
      <c r="D207" s="73"/>
      <c r="E207" s="73"/>
      <c r="F207" s="79"/>
      <c r="G207" s="87"/>
      <c r="H207" s="99"/>
      <c r="I207" s="79"/>
      <c r="J207" s="79"/>
      <c r="K207" s="79"/>
      <c r="L207" s="75"/>
      <c r="M207" s="86"/>
      <c r="N207" s="14"/>
    </row>
    <row r="208" spans="2:14" x14ac:dyDescent="0.2">
      <c r="B208" s="21" t="s">
        <v>126</v>
      </c>
      <c r="C208" s="118" t="s">
        <v>688</v>
      </c>
      <c r="D208" s="18" t="e">
        <f ca="1">_xll.BDP(C208,"SECURITY_NAME")</f>
        <v>#NAME?</v>
      </c>
      <c r="E208" s="18" t="s">
        <v>50</v>
      </c>
      <c r="F208" s="19">
        <v>20000000</v>
      </c>
      <c r="G208" s="18" t="e">
        <f ca="1">_xll.BDP(C208,"CRNCY")</f>
        <v>#NAME?</v>
      </c>
      <c r="H208" s="22">
        <v>100</v>
      </c>
      <c r="I208" s="15">
        <f>F208*H208/100</f>
        <v>20000000</v>
      </c>
      <c r="J208" s="16" t="e">
        <f ca="1">I208/L208</f>
        <v>#NAME?</v>
      </c>
      <c r="K208" s="15" t="e">
        <f ca="1">J208*L208</f>
        <v>#NAME?</v>
      </c>
      <c r="L208" s="22" t="e">
        <f ca="1">_xll.BDH("RUB curncy","PX_LAST",$N208)</f>
        <v>#NAME?</v>
      </c>
      <c r="M208" s="85" t="e">
        <f ca="1">1/_xll.BDH("RUB curncy","PX_LAST",$N208)</f>
        <v>#NAME?</v>
      </c>
      <c r="N208" s="14">
        <v>42458</v>
      </c>
    </row>
    <row r="209" spans="2:14" x14ac:dyDescent="0.2">
      <c r="B209" s="71"/>
      <c r="C209" s="72"/>
      <c r="D209" s="73"/>
      <c r="E209" s="73"/>
      <c r="F209" s="79">
        <f>SUM(F208)</f>
        <v>20000000</v>
      </c>
      <c r="G209" s="87"/>
      <c r="H209" s="99">
        <f>I209/F209*100</f>
        <v>100</v>
      </c>
      <c r="I209" s="79">
        <f>SUM(I208)</f>
        <v>20000000</v>
      </c>
      <c r="J209" s="79" t="e">
        <f ca="1">SUM(J208)</f>
        <v>#NAME?</v>
      </c>
      <c r="K209" s="79" t="e">
        <f ca="1">SUM(K208)</f>
        <v>#NAME?</v>
      </c>
      <c r="L209" s="75"/>
      <c r="M209" s="86"/>
      <c r="N209" s="14"/>
    </row>
    <row r="210" spans="2:14" x14ac:dyDescent="0.2">
      <c r="B210" s="71"/>
      <c r="C210" s="72"/>
      <c r="D210" s="73"/>
      <c r="E210" s="73"/>
      <c r="F210" s="79"/>
      <c r="G210" s="87"/>
      <c r="H210" s="99"/>
      <c r="I210" s="79"/>
      <c r="J210" s="79"/>
      <c r="K210" s="79"/>
      <c r="L210" s="75"/>
      <c r="M210" s="86"/>
      <c r="N210" s="14"/>
    </row>
    <row r="211" spans="2:14" x14ac:dyDescent="0.2">
      <c r="B211" s="21" t="s">
        <v>126</v>
      </c>
      <c r="C211" s="118" t="s">
        <v>376</v>
      </c>
      <c r="D211" s="18" t="e">
        <f ca="1">_xll.BDP(C211,"SECURITY_NAME")</f>
        <v>#NAME?</v>
      </c>
      <c r="E211" s="18" t="s">
        <v>50</v>
      </c>
      <c r="F211" s="19">
        <v>1830000</v>
      </c>
      <c r="G211" s="18" t="e">
        <f ca="1">_xll.BDP(C211,"CRNCY")</f>
        <v>#NAME?</v>
      </c>
      <c r="H211" s="22">
        <v>96.39</v>
      </c>
      <c r="I211" s="15">
        <f>F211*H211/100</f>
        <v>1763937</v>
      </c>
      <c r="J211" s="16">
        <f>I211</f>
        <v>1763937</v>
      </c>
      <c r="K211" s="15" t="e">
        <f ca="1">J211*L211</f>
        <v>#NAME?</v>
      </c>
      <c r="L211" s="22" t="e">
        <f ca="1">_xll.BDH("RUB curncy","PX_LAST",$N211)</f>
        <v>#NAME?</v>
      </c>
      <c r="M211" s="85" t="e">
        <f ca="1">1/_xll.BDH("RUB curncy","PX_LAST",$N211)</f>
        <v>#NAME?</v>
      </c>
      <c r="N211" s="14">
        <v>42348</v>
      </c>
    </row>
    <row r="212" spans="2:14" x14ac:dyDescent="0.2">
      <c r="B212" s="71"/>
      <c r="C212" s="72"/>
      <c r="D212" s="73"/>
      <c r="E212" s="73">
        <f>930000/F212</f>
        <v>0.50819672131147542</v>
      </c>
      <c r="F212" s="79">
        <f>SUM(F211)</f>
        <v>1830000</v>
      </c>
      <c r="G212" s="87"/>
      <c r="H212" s="99">
        <f>I212/F212*100</f>
        <v>96.39</v>
      </c>
      <c r="I212" s="79">
        <f>SUM(I211)</f>
        <v>1763937</v>
      </c>
      <c r="J212" s="79">
        <f>SUM(J211)</f>
        <v>1763937</v>
      </c>
      <c r="K212" s="79" t="e">
        <f ca="1">SUM(K211)*E212</f>
        <v>#NAME?</v>
      </c>
      <c r="L212" s="75"/>
      <c r="M212" s="86"/>
      <c r="N212" s="14"/>
    </row>
    <row r="213" spans="2:14" x14ac:dyDescent="0.2">
      <c r="B213" s="71"/>
      <c r="C213" s="72"/>
      <c r="D213" s="73"/>
      <c r="E213" s="73"/>
      <c r="F213" s="79"/>
      <c r="G213" s="87"/>
      <c r="H213" s="99"/>
      <c r="I213" s="79"/>
      <c r="J213" s="79"/>
      <c r="K213" s="79"/>
      <c r="L213" s="75"/>
      <c r="M213" s="86"/>
      <c r="N213" s="14"/>
    </row>
    <row r="214" spans="2:14" x14ac:dyDescent="0.2">
      <c r="B214" s="21" t="s">
        <v>126</v>
      </c>
      <c r="C214" s="118" t="s">
        <v>378</v>
      </c>
      <c r="D214" s="18" t="e">
        <f ca="1">_xll.BDP(C214,"SECURITY_NAME")</f>
        <v>#NAME?</v>
      </c>
      <c r="E214" s="18" t="s">
        <v>50</v>
      </c>
      <c r="F214" s="19">
        <v>3200000</v>
      </c>
      <c r="G214" s="18" t="e">
        <f ca="1">_xll.BDP(C214,"CRNCY")</f>
        <v>#NAME?</v>
      </c>
      <c r="H214" s="22">
        <v>67.03</v>
      </c>
      <c r="I214" s="15">
        <f>F214*H214/100</f>
        <v>2144960</v>
      </c>
      <c r="J214" s="16">
        <f>I214</f>
        <v>2144960</v>
      </c>
      <c r="K214" s="15" t="e">
        <f ca="1">J214*L214</f>
        <v>#NAME?</v>
      </c>
      <c r="L214" s="22" t="e">
        <f ca="1">_xll.BDH("RUB curncy","PX_LAST",$N214)</f>
        <v>#NAME?</v>
      </c>
      <c r="M214" s="85" t="e">
        <f ca="1">1/_xll.BDH("RUB curncy","PX_LAST",$N214)</f>
        <v>#NAME?</v>
      </c>
      <c r="N214" s="14">
        <v>42044</v>
      </c>
    </row>
    <row r="215" spans="2:14" x14ac:dyDescent="0.2">
      <c r="B215" s="71"/>
      <c r="C215" s="72"/>
      <c r="D215" s="73"/>
      <c r="E215" s="73"/>
      <c r="F215" s="79">
        <f>SUM(F214)</f>
        <v>3200000</v>
      </c>
      <c r="G215" s="87"/>
      <c r="H215" s="99">
        <f>I215/F215*100</f>
        <v>67.03</v>
      </c>
      <c r="I215" s="79">
        <f>SUM(I214)</f>
        <v>2144960</v>
      </c>
      <c r="J215" s="79">
        <f>SUM(J214)</f>
        <v>2144960</v>
      </c>
      <c r="K215" s="79" t="e">
        <f ca="1">SUM(K214)</f>
        <v>#NAME?</v>
      </c>
      <c r="L215" s="75"/>
      <c r="M215" s="86"/>
      <c r="N215" s="14"/>
    </row>
    <row r="216" spans="2:14" x14ac:dyDescent="0.2">
      <c r="B216" s="71"/>
      <c r="C216" s="72"/>
      <c r="D216" s="73"/>
      <c r="E216" s="73"/>
      <c r="F216" s="79"/>
      <c r="G216" s="87"/>
      <c r="H216" s="99"/>
      <c r="I216" s="79"/>
      <c r="J216" s="79"/>
      <c r="K216" s="79"/>
      <c r="L216" s="75"/>
      <c r="M216" s="86"/>
      <c r="N216" s="14"/>
    </row>
    <row r="217" spans="2:14" x14ac:dyDescent="0.2">
      <c r="B217" s="21" t="s">
        <v>126</v>
      </c>
      <c r="C217" s="20" t="s">
        <v>72</v>
      </c>
      <c r="D217" s="18" t="e">
        <f ca="1">_xll.BDP(C217,"SECURITY_NAME")</f>
        <v>#NAME?</v>
      </c>
      <c r="E217" s="18" t="s">
        <v>50</v>
      </c>
      <c r="F217" s="19">
        <v>144200</v>
      </c>
      <c r="G217" s="18" t="e">
        <f ca="1">_xll.BDP(C217,"CRNCY")</f>
        <v>#NAME?</v>
      </c>
      <c r="H217" s="22">
        <v>50</v>
      </c>
      <c r="I217" s="15">
        <f>F217*H217</f>
        <v>7210000</v>
      </c>
      <c r="J217" s="16" t="e">
        <f ca="1">I217/L217</f>
        <v>#NAME?</v>
      </c>
      <c r="K217" s="15" t="e">
        <f ca="1">J217*L217</f>
        <v>#NAME?</v>
      </c>
      <c r="L217" s="22" t="e">
        <f ca="1">_xll.BDH("RUB curncy","PX_LAST",$N217)</f>
        <v>#NAME?</v>
      </c>
      <c r="M217" s="85" t="e">
        <f ca="1">1/_xll.BDH("RUB curncy","PX_LAST",$N217)</f>
        <v>#NAME?</v>
      </c>
      <c r="N217" s="14">
        <v>42349</v>
      </c>
    </row>
    <row r="218" spans="2:14" x14ac:dyDescent="0.2">
      <c r="B218" s="21" t="s">
        <v>126</v>
      </c>
      <c r="C218" s="20" t="s">
        <v>72</v>
      </c>
      <c r="D218" s="18" t="e">
        <f ca="1">_xll.BDP(C218,"SECURITY_NAME")</f>
        <v>#NAME?</v>
      </c>
      <c r="E218" s="18" t="s">
        <v>50</v>
      </c>
      <c r="F218" s="19">
        <v>200000</v>
      </c>
      <c r="G218" s="18" t="e">
        <f ca="1">_xll.BDP(C218,"CRNCY")</f>
        <v>#NAME?</v>
      </c>
      <c r="H218" s="22">
        <v>49.970300000000002</v>
      </c>
      <c r="I218" s="15">
        <f>F218*H218</f>
        <v>9994060</v>
      </c>
      <c r="J218" s="16" t="e">
        <f ca="1">I218/L218</f>
        <v>#NAME?</v>
      </c>
      <c r="K218" s="15" t="e">
        <f ca="1">J218*L218</f>
        <v>#NAME?</v>
      </c>
      <c r="L218" s="22" t="e">
        <f ca="1">_xll.BDH("RUB curncy","PX_LAST",$N218)</f>
        <v>#NAME?</v>
      </c>
      <c r="M218" s="85" t="e">
        <f ca="1">1/_xll.BDH("RUB curncy","PX_LAST",$N218)</f>
        <v>#NAME?</v>
      </c>
      <c r="N218" s="14">
        <v>42349</v>
      </c>
    </row>
    <row r="219" spans="2:14" x14ac:dyDescent="0.2">
      <c r="B219" s="21" t="s">
        <v>126</v>
      </c>
      <c r="C219" s="20" t="s">
        <v>72</v>
      </c>
      <c r="D219" s="18" t="e">
        <f ca="1">_xll.BDP(C219,"SECURITY_NAME")</f>
        <v>#NAME?</v>
      </c>
      <c r="E219" s="18" t="s">
        <v>50</v>
      </c>
      <c r="F219" s="19">
        <v>140000</v>
      </c>
      <c r="G219" s="18" t="e">
        <f ca="1">_xll.BDP(C219,"CRNCY")</f>
        <v>#NAME?</v>
      </c>
      <c r="H219" s="22">
        <v>50</v>
      </c>
      <c r="I219" s="15">
        <f>F219*H219</f>
        <v>7000000</v>
      </c>
      <c r="J219" s="16" t="e">
        <f ca="1">I219/L219</f>
        <v>#NAME?</v>
      </c>
      <c r="K219" s="15" t="e">
        <f ca="1">J219*L219</f>
        <v>#NAME?</v>
      </c>
      <c r="L219" s="22" t="e">
        <f ca="1">_xll.BDH("RUB curncy","PX_LAST",$N219)</f>
        <v>#NAME?</v>
      </c>
      <c r="M219" s="85" t="e">
        <f ca="1">1/_xll.BDH("RUB curncy","PX_LAST",$N219)</f>
        <v>#NAME?</v>
      </c>
      <c r="N219" s="14">
        <v>42348</v>
      </c>
    </row>
    <row r="220" spans="2:14" x14ac:dyDescent="0.2">
      <c r="B220" s="21" t="s">
        <v>126</v>
      </c>
      <c r="C220" s="20" t="s">
        <v>72</v>
      </c>
      <c r="D220" s="18" t="e">
        <f ca="1">_xll.BDP(C220,"SECURITY_NAME")</f>
        <v>#NAME?</v>
      </c>
      <c r="E220" s="18" t="s">
        <v>50</v>
      </c>
      <c r="F220" s="19">
        <v>70000</v>
      </c>
      <c r="G220" s="18" t="e">
        <f ca="1">_xll.BDP(C220,"CRNCY")</f>
        <v>#NAME?</v>
      </c>
      <c r="H220" s="22">
        <v>57</v>
      </c>
      <c r="I220" s="15">
        <f>F220*H220</f>
        <v>3990000</v>
      </c>
      <c r="J220" s="16" t="e">
        <f ca="1">I220/L220</f>
        <v>#NAME?</v>
      </c>
      <c r="K220" s="15" t="e">
        <f ca="1">J220*L220</f>
        <v>#NAME?</v>
      </c>
      <c r="L220" s="22" t="e">
        <f ca="1">_xll.BDH("RUB curncy","PX_LAST",$N220)</f>
        <v>#NAME?</v>
      </c>
      <c r="M220" s="85" t="e">
        <f ca="1">1/_xll.BDH("RUB curncy","PX_LAST",$N220)</f>
        <v>#NAME?</v>
      </c>
      <c r="N220" s="14">
        <v>42277</v>
      </c>
    </row>
    <row r="221" spans="2:14" x14ac:dyDescent="0.2">
      <c r="B221" s="21" t="s">
        <v>126</v>
      </c>
      <c r="C221" s="20" t="s">
        <v>72</v>
      </c>
      <c r="D221" s="18" t="e">
        <f ca="1">_xll.BDP(C221,"SECURITY_NAME")</f>
        <v>#NAME?</v>
      </c>
      <c r="E221" s="18" t="s">
        <v>50</v>
      </c>
      <c r="F221" s="19">
        <v>76100</v>
      </c>
      <c r="G221" s="18" t="e">
        <f ca="1">_xll.BDP(C221,"CRNCY")</f>
        <v>#NAME?</v>
      </c>
      <c r="H221" s="22">
        <v>66</v>
      </c>
      <c r="I221" s="15">
        <f>F221*H221</f>
        <v>5022600</v>
      </c>
      <c r="J221" s="16" t="e">
        <f ca="1">I221/L221</f>
        <v>#NAME?</v>
      </c>
      <c r="K221" s="15" t="e">
        <f ca="1">J221*L221</f>
        <v>#NAME?</v>
      </c>
      <c r="L221" s="22" t="e">
        <f ca="1">_xll.BDH("RUB curncy","PX_LAST",$N221)</f>
        <v>#NAME?</v>
      </c>
      <c r="M221" s="85" t="e">
        <f ca="1">1/_xll.BDH("RUB curncy","PX_LAST",$N221)</f>
        <v>#NAME?</v>
      </c>
      <c r="N221" s="14">
        <v>42237</v>
      </c>
    </row>
    <row r="222" spans="2:14" x14ac:dyDescent="0.2">
      <c r="B222" s="71"/>
      <c r="C222" s="33"/>
      <c r="D222" s="73"/>
      <c r="E222" s="73"/>
      <c r="F222" s="79">
        <f>SUM(F217:F221)</f>
        <v>630300</v>
      </c>
      <c r="G222" s="73"/>
      <c r="H222" s="80">
        <f>I222/F222</f>
        <v>52.699762018086624</v>
      </c>
      <c r="I222" s="79">
        <f>SUM(I217:I221)</f>
        <v>33216660</v>
      </c>
      <c r="J222" s="79" t="e">
        <f ca="1">SUM(J217:J221)</f>
        <v>#NAME?</v>
      </c>
      <c r="K222" s="79" t="e">
        <f ca="1">SUM(K217:K221)</f>
        <v>#NAME?</v>
      </c>
      <c r="L222" s="75"/>
      <c r="M222" s="86"/>
      <c r="N222" s="14"/>
    </row>
    <row r="223" spans="2:14" x14ac:dyDescent="0.2">
      <c r="B223" s="71"/>
      <c r="C223" s="33"/>
      <c r="D223" s="73"/>
      <c r="E223" s="73"/>
      <c r="F223" s="79"/>
      <c r="G223" s="73"/>
      <c r="H223" s="80"/>
      <c r="I223" s="79"/>
      <c r="J223" s="79"/>
      <c r="K223" s="79"/>
      <c r="L223" s="75"/>
      <c r="M223" s="86"/>
      <c r="N223" s="14"/>
    </row>
    <row r="224" spans="2:14" x14ac:dyDescent="0.2">
      <c r="B224" s="21" t="s">
        <v>126</v>
      </c>
      <c r="C224" s="20" t="s">
        <v>253</v>
      </c>
      <c r="D224" s="18" t="e">
        <f ca="1">_xll.BDP(C224,"SECURITY_NAME")</f>
        <v>#NAME?</v>
      </c>
      <c r="E224" s="18" t="s">
        <v>50</v>
      </c>
      <c r="F224" s="19">
        <v>62500</v>
      </c>
      <c r="G224" s="18" t="e">
        <f ca="1">_xll.BDP(C224,"CRNCY")</f>
        <v>#NAME?</v>
      </c>
      <c r="H224" s="22">
        <v>160.69390000000001</v>
      </c>
      <c r="I224" s="15">
        <f>F224*H224</f>
        <v>10043368.75</v>
      </c>
      <c r="J224" s="16" t="e">
        <f ca="1">I224/L224</f>
        <v>#NAME?</v>
      </c>
      <c r="K224" s="15" t="e">
        <f ca="1">J224*L224</f>
        <v>#NAME?</v>
      </c>
      <c r="L224" s="22" t="e">
        <f ca="1">_xll.BDH("RUB curncy","PX_LAST",$N224)</f>
        <v>#NAME?</v>
      </c>
      <c r="M224" s="85" t="e">
        <f ca="1">1/_xll.BDH("RUB curncy","PX_LAST",$N224)</f>
        <v>#NAME?</v>
      </c>
      <c r="N224" s="14">
        <v>42429</v>
      </c>
    </row>
    <row r="225" spans="2:14" x14ac:dyDescent="0.2">
      <c r="B225" s="21" t="s">
        <v>126</v>
      </c>
      <c r="C225" s="20" t="s">
        <v>253</v>
      </c>
      <c r="D225" s="18" t="e">
        <f ca="1">_xll.BDP(C225,"SECURITY_NAME")</f>
        <v>#NAME?</v>
      </c>
      <c r="E225" s="18" t="s">
        <v>50</v>
      </c>
      <c r="F225" s="19">
        <v>62600</v>
      </c>
      <c r="G225" s="18" t="e">
        <f ca="1">_xll.BDP(C225,"CRNCY")</f>
        <v>#NAME?</v>
      </c>
      <c r="H225" s="22">
        <v>160</v>
      </c>
      <c r="I225" s="15">
        <f>F225*H225</f>
        <v>10016000</v>
      </c>
      <c r="J225" s="16" t="e">
        <f ca="1">I225/L225</f>
        <v>#NAME?</v>
      </c>
      <c r="K225" s="15" t="e">
        <f ca="1">J225*L225</f>
        <v>#NAME?</v>
      </c>
      <c r="L225" s="22" t="e">
        <f ca="1">_xll.BDH("RUB curncy","PX_LAST",$N225)</f>
        <v>#NAME?</v>
      </c>
      <c r="M225" s="85" t="e">
        <f ca="1">1/_xll.BDH("RUB curncy","PX_LAST",$N225)</f>
        <v>#NAME?</v>
      </c>
      <c r="N225" s="14">
        <v>42419</v>
      </c>
    </row>
    <row r="226" spans="2:14" x14ac:dyDescent="0.2">
      <c r="B226" s="71"/>
      <c r="C226" s="72"/>
      <c r="D226" s="73"/>
      <c r="E226" s="73">
        <f>83400/F226</f>
        <v>0.66666666666666663</v>
      </c>
      <c r="F226" s="79">
        <f>SUM(F224:F225)</f>
        <v>125100</v>
      </c>
      <c r="G226" s="87"/>
      <c r="H226" s="99">
        <f>I226/F226</f>
        <v>160.34667266187051</v>
      </c>
      <c r="I226" s="79">
        <f>SUM(I224:I225)</f>
        <v>20059368.75</v>
      </c>
      <c r="J226" s="79" t="e">
        <f ca="1">SUM(J224:J225)*E226</f>
        <v>#NAME?</v>
      </c>
      <c r="K226" s="79" t="e">
        <f ca="1">SUM(K224:K225)</f>
        <v>#NAME?</v>
      </c>
      <c r="L226" s="75"/>
      <c r="M226" s="86"/>
      <c r="N226" s="14"/>
    </row>
    <row r="227" spans="2:14" x14ac:dyDescent="0.2">
      <c r="B227" s="71"/>
      <c r="C227" s="33"/>
      <c r="D227" s="73"/>
      <c r="E227" s="73"/>
      <c r="F227" s="79"/>
      <c r="G227" s="73"/>
      <c r="H227" s="80"/>
      <c r="I227" s="79"/>
      <c r="J227" s="79"/>
      <c r="K227" s="79"/>
      <c r="L227" s="75"/>
      <c r="M227" s="86"/>
      <c r="N227" s="14"/>
    </row>
    <row r="228" spans="2:14" x14ac:dyDescent="0.2">
      <c r="B228" s="21" t="s">
        <v>126</v>
      </c>
      <c r="C228" s="20" t="s">
        <v>35</v>
      </c>
      <c r="D228" s="18" t="e">
        <f ca="1">_xll.BDP(C228,"SECURITY_NAME")</f>
        <v>#NAME?</v>
      </c>
      <c r="E228" s="18" t="s">
        <v>50</v>
      </c>
      <c r="F228" s="19">
        <v>483</v>
      </c>
      <c r="G228" s="18" t="e">
        <f ca="1">_xll.BDP(C228,"CRNCY")</f>
        <v>#NAME?</v>
      </c>
      <c r="H228" s="411">
        <v>8280</v>
      </c>
      <c r="I228" s="15">
        <f>F228*H228</f>
        <v>3999240</v>
      </c>
      <c r="J228" s="16" t="e">
        <f ca="1">I228/L228</f>
        <v>#NAME?</v>
      </c>
      <c r="K228" s="15" t="e">
        <f ca="1">J228*L228</f>
        <v>#NAME?</v>
      </c>
      <c r="L228" s="22" t="e">
        <f ca="1">_xll.BDH("RUB curncy","PX_LAST",$N228)</f>
        <v>#NAME?</v>
      </c>
      <c r="M228" s="85" t="e">
        <f ca="1">1/_xll.BDH("RUB curncy","PX_LAST",$N228)</f>
        <v>#NAME?</v>
      </c>
      <c r="N228" s="14">
        <v>42542</v>
      </c>
    </row>
    <row r="229" spans="2:14" x14ac:dyDescent="0.2">
      <c r="B229" s="21" t="s">
        <v>126</v>
      </c>
      <c r="C229" s="20" t="s">
        <v>35</v>
      </c>
      <c r="D229" s="18" t="e">
        <f ca="1">_xll.BDP(C229,"SECURITY_NAME")</f>
        <v>#NAME?</v>
      </c>
      <c r="E229" s="18" t="s">
        <v>50</v>
      </c>
      <c r="F229" s="19">
        <v>750</v>
      </c>
      <c r="G229" s="18" t="e">
        <f ca="1">_xll.BDP(C229,"CRNCY")</f>
        <v>#NAME?</v>
      </c>
      <c r="H229" s="411">
        <v>8560</v>
      </c>
      <c r="I229" s="15">
        <f>F229*H229</f>
        <v>6420000</v>
      </c>
      <c r="J229" s="16" t="e">
        <f ca="1">I229/L229</f>
        <v>#NAME?</v>
      </c>
      <c r="K229" s="15" t="e">
        <f ca="1">J229*L229</f>
        <v>#NAME?</v>
      </c>
      <c r="L229" s="22" t="e">
        <f ca="1">_xll.BDH("RUB curncy","PX_LAST",$N229)</f>
        <v>#NAME?</v>
      </c>
      <c r="M229" s="85" t="e">
        <f ca="1">1/_xll.BDH("RUB curncy","PX_LAST",$N229)</f>
        <v>#NAME?</v>
      </c>
      <c r="N229" s="14">
        <v>42536</v>
      </c>
    </row>
    <row r="230" spans="2:14" x14ac:dyDescent="0.2">
      <c r="B230" s="21" t="s">
        <v>126</v>
      </c>
      <c r="C230" s="20" t="s">
        <v>35</v>
      </c>
      <c r="D230" s="18" t="e">
        <f ca="1">_xll.BDP(C230,"SECURITY_NAME")</f>
        <v>#NAME?</v>
      </c>
      <c r="E230" s="18" t="s">
        <v>50</v>
      </c>
      <c r="F230" s="19">
        <v>1000</v>
      </c>
      <c r="G230" s="18" t="e">
        <f ca="1">_xll.BDP(C230,"CRNCY")</f>
        <v>#NAME?</v>
      </c>
      <c r="H230" s="411">
        <v>9170</v>
      </c>
      <c r="I230" s="15">
        <f>F230*H230</f>
        <v>9170000</v>
      </c>
      <c r="J230" s="16" t="e">
        <f ca="1">I230/L230</f>
        <v>#NAME?</v>
      </c>
      <c r="K230" s="15" t="e">
        <f ca="1">J230*L230</f>
        <v>#NAME?</v>
      </c>
      <c r="L230" s="22" t="e">
        <f ca="1">_xll.BDH("RUB curncy","PX_LAST",$N230)</f>
        <v>#NAME?</v>
      </c>
      <c r="M230" s="85" t="e">
        <f ca="1">1/_xll.BDH("RUB curncy","PX_LAST",$N230)</f>
        <v>#NAME?</v>
      </c>
      <c r="N230" s="14">
        <v>42517</v>
      </c>
    </row>
    <row r="231" spans="2:14" x14ac:dyDescent="0.2">
      <c r="B231" s="21" t="s">
        <v>126</v>
      </c>
      <c r="C231" s="20" t="s">
        <v>35</v>
      </c>
      <c r="D231" s="18" t="e">
        <f ca="1">_xll.BDP(C231,"SECURITY_NAME")</f>
        <v>#NAME?</v>
      </c>
      <c r="E231" s="18" t="s">
        <v>50</v>
      </c>
      <c r="F231" s="19">
        <v>630</v>
      </c>
      <c r="G231" s="18" t="e">
        <f ca="1">_xll.BDP(C231,"CRNCY")</f>
        <v>#NAME?</v>
      </c>
      <c r="H231" s="411">
        <v>9008.4680000000008</v>
      </c>
      <c r="I231" s="15">
        <f>F231*H231</f>
        <v>5675334.8400000008</v>
      </c>
      <c r="J231" s="16" t="e">
        <f ca="1">I231/L231</f>
        <v>#NAME?</v>
      </c>
      <c r="K231" s="15" t="e">
        <f ca="1">J231*L231</f>
        <v>#NAME?</v>
      </c>
      <c r="L231" s="22" t="e">
        <f ca="1">_xll.BDH("RUB curncy","PX_LAST",$N231)</f>
        <v>#NAME?</v>
      </c>
      <c r="M231" s="85" t="e">
        <f ca="1">1/_xll.BDH("RUB curncy","PX_LAST",$N231)</f>
        <v>#NAME?</v>
      </c>
      <c r="N231" s="14">
        <v>42514</v>
      </c>
    </row>
    <row r="232" spans="2:14" x14ac:dyDescent="0.2">
      <c r="B232" s="21" t="s">
        <v>126</v>
      </c>
      <c r="C232" s="20" t="s">
        <v>35</v>
      </c>
      <c r="D232" s="18" t="e">
        <f ca="1">_xll.BDP(C232,"SECURITY_NAME")</f>
        <v>#NAME?</v>
      </c>
      <c r="E232" s="18" t="s">
        <v>50</v>
      </c>
      <c r="F232" s="19">
        <v>1250</v>
      </c>
      <c r="G232" s="18" t="e">
        <f ca="1">_xll.BDP(C232,"CRNCY")</f>
        <v>#NAME?</v>
      </c>
      <c r="H232" s="411">
        <v>7980.3927999999996</v>
      </c>
      <c r="I232" s="15">
        <f>F232*H232</f>
        <v>9975491</v>
      </c>
      <c r="J232" s="16" t="e">
        <f ca="1">I232/L232</f>
        <v>#NAME?</v>
      </c>
      <c r="K232" s="15" t="e">
        <f ca="1">J232*L232</f>
        <v>#NAME?</v>
      </c>
      <c r="L232" s="22" t="e">
        <f ca="1">_xll.BDH("RUB curncy","PX_LAST",$N232)</f>
        <v>#NAME?</v>
      </c>
      <c r="M232" s="85" t="e">
        <f ca="1">1/_xll.BDH("RUB curncy","PX_LAST",$N232)</f>
        <v>#NAME?</v>
      </c>
      <c r="N232" s="14">
        <v>42387</v>
      </c>
    </row>
    <row r="233" spans="2:14" x14ac:dyDescent="0.2">
      <c r="B233" s="71"/>
      <c r="C233" s="72"/>
      <c r="D233" s="73"/>
      <c r="E233" s="73"/>
      <c r="F233" s="79">
        <f>SUM(F228:F232)</f>
        <v>4113</v>
      </c>
      <c r="G233" s="87"/>
      <c r="H233" s="412">
        <f>I233/F233</f>
        <v>8567.9712715779242</v>
      </c>
      <c r="I233" s="79">
        <f>SUM(I228:I232)</f>
        <v>35240065.840000004</v>
      </c>
      <c r="J233" s="79" t="e">
        <f ca="1">SUM(J228:J232)</f>
        <v>#NAME?</v>
      </c>
      <c r="K233" s="79" t="e">
        <f ca="1">SUM(K228:K232)</f>
        <v>#NAME?</v>
      </c>
      <c r="L233" s="75"/>
      <c r="M233" s="86"/>
      <c r="N233" s="14"/>
    </row>
    <row r="234" spans="2:14" x14ac:dyDescent="0.2">
      <c r="B234" s="71"/>
      <c r="C234" s="72"/>
      <c r="D234" s="73"/>
      <c r="E234" s="73"/>
      <c r="F234" s="79"/>
      <c r="G234" s="87"/>
      <c r="H234" s="412"/>
      <c r="I234" s="79"/>
      <c r="J234" s="79"/>
      <c r="K234" s="79"/>
      <c r="L234" s="75"/>
      <c r="M234" s="86"/>
      <c r="N234" s="14"/>
    </row>
    <row r="235" spans="2:14" x14ac:dyDescent="0.2">
      <c r="B235" s="21" t="s">
        <v>126</v>
      </c>
      <c r="C235" s="20" t="s">
        <v>336</v>
      </c>
      <c r="D235" s="18" t="e">
        <f ca="1">_xll.BDP(C235,"SECURITY_NAME")</f>
        <v>#NAME?</v>
      </c>
      <c r="E235" s="18" t="s">
        <v>50</v>
      </c>
      <c r="F235" s="19">
        <v>9468</v>
      </c>
      <c r="G235" s="18" t="e">
        <f ca="1">_xll.BDP(C235,"CRNCY")</f>
        <v>#NAME?</v>
      </c>
      <c r="H235" s="22">
        <v>520</v>
      </c>
      <c r="I235" s="15">
        <f>F235*H235</f>
        <v>4923360</v>
      </c>
      <c r="J235" s="16" t="e">
        <f ca="1">I235/L235</f>
        <v>#NAME?</v>
      </c>
      <c r="K235" s="15" t="e">
        <f ca="1">J235*L235</f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42346</v>
      </c>
    </row>
    <row r="236" spans="2:14" x14ac:dyDescent="0.2">
      <c r="B236" s="71"/>
      <c r="C236" s="72"/>
      <c r="D236" s="73"/>
      <c r="E236" s="73"/>
      <c r="F236" s="79">
        <f>SUM(F235)</f>
        <v>9468</v>
      </c>
      <c r="G236" s="87"/>
      <c r="H236" s="99">
        <f>I236/F236</f>
        <v>520</v>
      </c>
      <c r="I236" s="79">
        <f>SUM(I235)</f>
        <v>4923360</v>
      </c>
      <c r="J236" s="79" t="e">
        <f ca="1">SUM(J235)</f>
        <v>#NAME?</v>
      </c>
      <c r="K236" s="79" t="e">
        <f ca="1">SUM(K235)</f>
        <v>#NAME?</v>
      </c>
      <c r="L236" s="75"/>
      <c r="M236" s="86"/>
      <c r="N236" s="14"/>
    </row>
    <row r="238" spans="2:14" x14ac:dyDescent="0.2">
      <c r="B238" s="21" t="s">
        <v>126</v>
      </c>
      <c r="C238" s="20" t="s">
        <v>359</v>
      </c>
      <c r="D238" s="18" t="e">
        <f ca="1">_xll.BDP(C238,"SECURITY_NAME")</f>
        <v>#NAME?</v>
      </c>
      <c r="E238" s="18" t="s">
        <v>50</v>
      </c>
      <c r="F238" s="19">
        <v>6300</v>
      </c>
      <c r="G238" s="18" t="e">
        <f ca="1">_xll.BDP(C238,"CRNCY")</f>
        <v>#NAME?</v>
      </c>
      <c r="H238" s="22">
        <v>15.88</v>
      </c>
      <c r="I238" s="15">
        <f>F238*H238</f>
        <v>100044</v>
      </c>
      <c r="J238" s="16">
        <f>I238</f>
        <v>100044</v>
      </c>
      <c r="K238" s="15" t="e">
        <f ca="1">J238*L238</f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42193</v>
      </c>
    </row>
    <row r="239" spans="2:14" x14ac:dyDescent="0.2">
      <c r="B239" s="71"/>
      <c r="C239" s="72"/>
      <c r="D239" s="73"/>
      <c r="E239" s="73"/>
      <c r="F239" s="79">
        <f>SUM(F238)</f>
        <v>6300</v>
      </c>
      <c r="G239" s="87"/>
      <c r="H239" s="99">
        <f>I239/F239</f>
        <v>15.88</v>
      </c>
      <c r="I239" s="79">
        <f>SUM(I238)</f>
        <v>100044</v>
      </c>
      <c r="J239" s="79">
        <f>SUM(J238)</f>
        <v>100044</v>
      </c>
      <c r="K239" s="79" t="e">
        <f ca="1">SUM(K238)</f>
        <v>#NAME?</v>
      </c>
      <c r="L239" s="75"/>
      <c r="M239" s="86"/>
      <c r="N239" s="14"/>
    </row>
    <row r="240" spans="2:14" x14ac:dyDescent="0.2">
      <c r="B240" s="71"/>
      <c r="C240" s="72"/>
      <c r="D240" s="73"/>
      <c r="E240" s="73"/>
      <c r="F240" s="79"/>
      <c r="G240" s="87"/>
      <c r="H240" s="99"/>
      <c r="I240" s="79"/>
      <c r="J240" s="79"/>
      <c r="K240" s="79"/>
      <c r="L240" s="75"/>
      <c r="M240" s="86"/>
      <c r="N240" s="14"/>
    </row>
    <row r="241" spans="2:14" x14ac:dyDescent="0.2">
      <c r="B241" s="21" t="s">
        <v>126</v>
      </c>
      <c r="C241" s="20" t="s">
        <v>461</v>
      </c>
      <c r="D241" s="18" t="e">
        <f ca="1">_xll.BDP(C241,"SECURITY_NAME")</f>
        <v>#NAME?</v>
      </c>
      <c r="E241" s="18" t="s">
        <v>50</v>
      </c>
      <c r="F241" s="19">
        <v>24000</v>
      </c>
      <c r="G241" s="18" t="e">
        <f ca="1">_xll.BDP(C241,"CRNCY")</f>
        <v>#NAME?</v>
      </c>
      <c r="H241" s="22">
        <v>3.1</v>
      </c>
      <c r="I241" s="15">
        <f>F241*H241</f>
        <v>74400</v>
      </c>
      <c r="J241" s="16">
        <f>I241</f>
        <v>74400</v>
      </c>
      <c r="K241" s="15" t="e">
        <f ca="1">J241*L241</f>
        <v>#NAME?</v>
      </c>
      <c r="L241" s="22" t="e">
        <f ca="1">_xll.BDH("RUB curncy","PX_LAST",$N241)</f>
        <v>#NAME?</v>
      </c>
      <c r="M241" s="85" t="e">
        <f ca="1">1/_xll.BDH("RUB curncy","PX_LAST",$N241)</f>
        <v>#NAME?</v>
      </c>
      <c r="N241" s="14">
        <v>42709</v>
      </c>
    </row>
    <row r="242" spans="2:14" x14ac:dyDescent="0.2">
      <c r="B242" s="21" t="s">
        <v>126</v>
      </c>
      <c r="C242" s="20" t="s">
        <v>461</v>
      </c>
      <c r="D242" s="18" t="e">
        <f ca="1">_xll.BDP(C242,"SECURITY_NAME")</f>
        <v>#NAME?</v>
      </c>
      <c r="E242" s="18" t="s">
        <v>50</v>
      </c>
      <c r="F242" s="19">
        <v>60000</v>
      </c>
      <c r="G242" s="18" t="e">
        <f ca="1">_xll.BDP(C242,"CRNCY")</f>
        <v>#NAME?</v>
      </c>
      <c r="H242" s="22">
        <v>3.1</v>
      </c>
      <c r="I242" s="15">
        <f>F242*H242</f>
        <v>186000</v>
      </c>
      <c r="J242" s="16">
        <f>I242</f>
        <v>186000</v>
      </c>
      <c r="K242" s="15" t="e">
        <f ca="1">J242*L242</f>
        <v>#NAME?</v>
      </c>
      <c r="L242" s="22" t="e">
        <f ca="1">_xll.BDH("RUB curncy","PX_LAST",$N242)</f>
        <v>#NAME?</v>
      </c>
      <c r="M242" s="85" t="e">
        <f ca="1">1/_xll.BDH("RUB curncy","PX_LAST",$N242)</f>
        <v>#NAME?</v>
      </c>
      <c r="N242" s="14">
        <v>42502</v>
      </c>
    </row>
    <row r="243" spans="2:14" x14ac:dyDescent="0.2">
      <c r="B243" s="21" t="s">
        <v>126</v>
      </c>
      <c r="C243" s="20" t="s">
        <v>461</v>
      </c>
      <c r="D243" s="18" t="e">
        <f ca="1">_xll.BDP(C243,"SECURITY_NAME")</f>
        <v>#NAME?</v>
      </c>
      <c r="E243" s="18" t="s">
        <v>50</v>
      </c>
      <c r="F243" s="19">
        <v>49961</v>
      </c>
      <c r="G243" s="18" t="e">
        <f ca="1">_xll.BDP(C243,"CRNCY")</f>
        <v>#NAME?</v>
      </c>
      <c r="H243" s="22">
        <v>3.1377000000000002</v>
      </c>
      <c r="I243" s="15">
        <f t="shared" ref="I243:I248" si="102">F243*H243</f>
        <v>156762.62970000002</v>
      </c>
      <c r="J243" s="16">
        <f t="shared" ref="J243:J248" si="103">I243</f>
        <v>156762.62970000002</v>
      </c>
      <c r="K243" s="15" t="e">
        <f t="shared" ref="K243:K248" ca="1" si="104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42381</v>
      </c>
    </row>
    <row r="244" spans="2:14" x14ac:dyDescent="0.2">
      <c r="B244" s="21" t="s">
        <v>126</v>
      </c>
      <c r="C244" s="20" t="s">
        <v>461</v>
      </c>
      <c r="D244" s="18" t="e">
        <f ca="1">_xll.BDP(C244,"SECURITY_NAME")</f>
        <v>#NAME?</v>
      </c>
      <c r="E244" s="18" t="s">
        <v>50</v>
      </c>
      <c r="F244" s="19">
        <v>48736</v>
      </c>
      <c r="G244" s="18" t="e">
        <f ca="1">_xll.BDP(C244,"CRNCY")</f>
        <v>#NAME?</v>
      </c>
      <c r="H244" s="22">
        <v>3.8422307944845699</v>
      </c>
      <c r="I244" s="15">
        <f t="shared" si="102"/>
        <v>187254.96</v>
      </c>
      <c r="J244" s="16">
        <f t="shared" si="103"/>
        <v>187254.96</v>
      </c>
      <c r="K244" s="15" t="e">
        <f t="shared" ca="1" si="104"/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42360</v>
      </c>
    </row>
    <row r="245" spans="2:14" x14ac:dyDescent="0.2">
      <c r="B245" s="21" t="s">
        <v>126</v>
      </c>
      <c r="C245" s="20" t="s">
        <v>461</v>
      </c>
      <c r="D245" s="18" t="e">
        <f ca="1">_xll.BDP(C245,"SECURITY_NAME")</f>
        <v>#NAME?</v>
      </c>
      <c r="E245" s="18" t="s">
        <v>50</v>
      </c>
      <c r="F245" s="19">
        <v>10697</v>
      </c>
      <c r="G245" s="18" t="e">
        <f ca="1">_xll.BDP(C245,"CRNCY")</f>
        <v>#NAME?</v>
      </c>
      <c r="H245" s="22">
        <v>4.03</v>
      </c>
      <c r="I245" s="15">
        <f t="shared" si="102"/>
        <v>43108.91</v>
      </c>
      <c r="J245" s="16">
        <f t="shared" si="103"/>
        <v>43108.91</v>
      </c>
      <c r="K245" s="15" t="e">
        <f t="shared" ca="1" si="104"/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42352</v>
      </c>
    </row>
    <row r="246" spans="2:14" x14ac:dyDescent="0.2">
      <c r="B246" s="21" t="s">
        <v>126</v>
      </c>
      <c r="C246" s="20" t="s">
        <v>461</v>
      </c>
      <c r="D246" s="18" t="e">
        <f ca="1">_xll.BDP(C246,"SECURITY_NAME")</f>
        <v>#NAME?</v>
      </c>
      <c r="E246" s="18" t="s">
        <v>50</v>
      </c>
      <c r="F246" s="19">
        <v>14300</v>
      </c>
      <c r="G246" s="18" t="e">
        <f ca="1">_xll.BDP(C246,"CRNCY")</f>
        <v>#NAME?</v>
      </c>
      <c r="H246" s="22">
        <v>4.2</v>
      </c>
      <c r="I246" s="15">
        <f t="shared" si="102"/>
        <v>60060</v>
      </c>
      <c r="J246" s="16">
        <f t="shared" si="103"/>
        <v>60060</v>
      </c>
      <c r="K246" s="15" t="e">
        <f t="shared" ca="1" si="104"/>
        <v>#NAME?</v>
      </c>
      <c r="L246" s="22" t="e">
        <f ca="1">_xll.BDH("RUB curncy","PX_LAST",$N246)</f>
        <v>#NAME?</v>
      </c>
      <c r="M246" s="85" t="e">
        <f ca="1">1/_xll.BDH("RUB curncy","PX_LAST",$N246)</f>
        <v>#NAME?</v>
      </c>
      <c r="N246" s="14">
        <v>42335</v>
      </c>
    </row>
    <row r="247" spans="2:14" x14ac:dyDescent="0.2">
      <c r="B247" s="21" t="s">
        <v>126</v>
      </c>
      <c r="C247" s="20" t="s">
        <v>461</v>
      </c>
      <c r="D247" s="18" t="e">
        <f ca="1">_xll.BDP(C247,"SECURITY_NAME")</f>
        <v>#NAME?</v>
      </c>
      <c r="E247" s="18" t="s">
        <v>50</v>
      </c>
      <c r="F247" s="19">
        <v>9634</v>
      </c>
      <c r="G247" s="18" t="e">
        <f ca="1">_xll.BDP(C247,"CRNCY")</f>
        <v>#NAME?</v>
      </c>
      <c r="H247" s="22">
        <v>4.1500000000000004</v>
      </c>
      <c r="I247" s="15">
        <f t="shared" si="102"/>
        <v>39981.100000000006</v>
      </c>
      <c r="J247" s="16">
        <f t="shared" si="103"/>
        <v>39981.100000000006</v>
      </c>
      <c r="K247" s="15" t="e">
        <f t="shared" ca="1" si="104"/>
        <v>#NAME?</v>
      </c>
      <c r="L247" s="22" t="e">
        <f ca="1">_xll.BDH("RUB curncy","PX_LAST",$N247)</f>
        <v>#NAME?</v>
      </c>
      <c r="M247" s="85" t="e">
        <f ca="1">1/_xll.BDH("RUB curncy","PX_LAST",$N247)</f>
        <v>#NAME?</v>
      </c>
      <c r="N247" s="14">
        <v>42335</v>
      </c>
    </row>
    <row r="248" spans="2:14" x14ac:dyDescent="0.2">
      <c r="B248" s="21" t="s">
        <v>126</v>
      </c>
      <c r="C248" s="20" t="s">
        <v>461</v>
      </c>
      <c r="D248" s="18" t="e">
        <f ca="1">_xll.BDP(C248,"SECURITY_NAME")</f>
        <v>#NAME?</v>
      </c>
      <c r="E248" s="18" t="s">
        <v>50</v>
      </c>
      <c r="F248" s="19">
        <v>16633</v>
      </c>
      <c r="G248" s="18" t="e">
        <f ca="1">_xll.BDP(C248,"CRNCY")</f>
        <v>#NAME?</v>
      </c>
      <c r="H248" s="22">
        <v>4.903988</v>
      </c>
      <c r="I248" s="15">
        <f t="shared" si="102"/>
        <v>81568.032403999998</v>
      </c>
      <c r="J248" s="16">
        <f t="shared" si="103"/>
        <v>81568.032403999998</v>
      </c>
      <c r="K248" s="15" t="e">
        <f t="shared" ca="1" si="104"/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42314</v>
      </c>
    </row>
    <row r="249" spans="2:14" x14ac:dyDescent="0.2">
      <c r="B249" s="71"/>
      <c r="C249" s="72"/>
      <c r="D249" s="73"/>
      <c r="E249" s="73"/>
      <c r="F249" s="79">
        <f>SUM(F241:F248)</f>
        <v>233961</v>
      </c>
      <c r="G249" s="87"/>
      <c r="H249" s="99">
        <f>I249/F249</f>
        <v>3.5439053179974445</v>
      </c>
      <c r="I249" s="79">
        <f>SUM(I241:I248)</f>
        <v>829135.63210400008</v>
      </c>
      <c r="J249" s="79">
        <f>SUM(J241:J248)</f>
        <v>829135.63210400008</v>
      </c>
      <c r="K249" s="79" t="e">
        <f ca="1">SUM(K241:K248)</f>
        <v>#NAME?</v>
      </c>
      <c r="L249" s="75"/>
      <c r="M249" s="86"/>
      <c r="N249" s="14"/>
    </row>
    <row r="250" spans="2:14" x14ac:dyDescent="0.2">
      <c r="B250" s="71"/>
      <c r="C250" s="72"/>
      <c r="D250" s="73"/>
      <c r="E250" s="73"/>
      <c r="F250" s="79"/>
      <c r="G250" s="87"/>
      <c r="H250" s="99"/>
      <c r="I250" s="79"/>
      <c r="J250" s="79"/>
      <c r="K250" s="79"/>
      <c r="L250" s="75"/>
      <c r="M250" s="86"/>
      <c r="N250" s="14"/>
    </row>
    <row r="251" spans="2:14" x14ac:dyDescent="0.2">
      <c r="B251" s="21" t="s">
        <v>126</v>
      </c>
      <c r="C251" s="20" t="s">
        <v>15</v>
      </c>
      <c r="D251" s="18" t="e">
        <f ca="1">_xll.BDP(C251,"SECURITY_NAME")</f>
        <v>#NAME?</v>
      </c>
      <c r="E251" s="18" t="s">
        <v>50</v>
      </c>
      <c r="F251" s="19">
        <v>1000</v>
      </c>
      <c r="G251" s="18" t="e">
        <f ca="1">_xll.BDP(C251,"CRNCY")</f>
        <v>#NAME?</v>
      </c>
      <c r="H251" s="22">
        <v>51</v>
      </c>
      <c r="I251" s="15">
        <f>F251*H251</f>
        <v>51000</v>
      </c>
      <c r="J251" s="16">
        <f>I251</f>
        <v>51000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42234</v>
      </c>
    </row>
    <row r="252" spans="2:14" x14ac:dyDescent="0.2">
      <c r="B252" s="71"/>
      <c r="C252" s="72"/>
      <c r="D252" s="73"/>
      <c r="E252" s="73"/>
      <c r="F252" s="79">
        <f>SUM(F251)</f>
        <v>1000</v>
      </c>
      <c r="G252" s="87"/>
      <c r="H252" s="99">
        <f>I252/F252</f>
        <v>51</v>
      </c>
      <c r="I252" s="79">
        <f>SUM(I251)</f>
        <v>51000</v>
      </c>
      <c r="J252" s="79">
        <f>SUM(J251)</f>
        <v>51000</v>
      </c>
      <c r="K252" s="79" t="e">
        <f ca="1">SUM(K251)</f>
        <v>#NAME?</v>
      </c>
      <c r="L252" s="75"/>
      <c r="M252" s="86"/>
      <c r="N252" s="14"/>
    </row>
    <row r="253" spans="2:14" x14ac:dyDescent="0.2">
      <c r="B253" s="71"/>
      <c r="C253" s="72"/>
      <c r="D253" s="73"/>
      <c r="E253" s="73"/>
      <c r="F253" s="79"/>
      <c r="G253" s="87"/>
      <c r="H253" s="99"/>
      <c r="I253" s="79"/>
      <c r="J253" s="79"/>
      <c r="K253" s="79"/>
      <c r="L253" s="75"/>
      <c r="M253" s="86"/>
      <c r="N253" s="14"/>
    </row>
    <row r="254" spans="2:14" x14ac:dyDescent="0.2">
      <c r="B254" s="21" t="s">
        <v>126</v>
      </c>
      <c r="C254" s="20" t="s">
        <v>12</v>
      </c>
      <c r="D254" s="18" t="e">
        <f ca="1">_xll.BDP(C254,"SECURITY_NAME")</f>
        <v>#NAME?</v>
      </c>
      <c r="E254" s="18" t="s">
        <v>50</v>
      </c>
      <c r="F254" s="19">
        <v>7800</v>
      </c>
      <c r="G254" s="18" t="e">
        <f ca="1">_xll.BDP(C254,"CRNCY")</f>
        <v>#NAME?</v>
      </c>
      <c r="H254" s="22">
        <v>12.8</v>
      </c>
      <c r="I254" s="15">
        <f>F254*H254</f>
        <v>99840</v>
      </c>
      <c r="J254" s="16">
        <f>I254</f>
        <v>99840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42199</v>
      </c>
    </row>
    <row r="255" spans="2:14" x14ac:dyDescent="0.2">
      <c r="B255" s="21" t="s">
        <v>126</v>
      </c>
      <c r="C255" s="20" t="s">
        <v>12</v>
      </c>
      <c r="D255" s="18" t="e">
        <f ca="1">_xll.BDP(C255,"SECURITY_NAME")</f>
        <v>#NAME?</v>
      </c>
      <c r="E255" s="18" t="s">
        <v>50</v>
      </c>
      <c r="F255" s="19">
        <v>2000</v>
      </c>
      <c r="G255" s="18" t="e">
        <f ca="1">_xll.BDP(C255,"CRNCY")</f>
        <v>#NAME?</v>
      </c>
      <c r="H255" s="22">
        <v>24.96</v>
      </c>
      <c r="I255" s="15">
        <f>F255*H255</f>
        <v>49920</v>
      </c>
      <c r="J255" s="16">
        <f>I255</f>
        <v>49920</v>
      </c>
      <c r="K255" s="15" t="e">
        <f ca="1">J255*L255</f>
        <v>#NAME?</v>
      </c>
      <c r="L255" s="22" t="e">
        <f ca="1">_xll.BDH("RUB curncy","PX_LAST",$N255)</f>
        <v>#NAME?</v>
      </c>
      <c r="M255" s="85" t="e">
        <f ca="1">1/_xll.BDH("RUB curncy","PX_LAST",$N255)</f>
        <v>#NAME?</v>
      </c>
      <c r="N255" s="14">
        <v>42193</v>
      </c>
    </row>
    <row r="256" spans="2:14" x14ac:dyDescent="0.2">
      <c r="B256" s="71"/>
      <c r="C256" s="72"/>
      <c r="D256" s="73"/>
      <c r="E256" s="73"/>
      <c r="F256" s="79">
        <f>SUM(F254:F255)</f>
        <v>9800</v>
      </c>
      <c r="G256" s="87"/>
      <c r="H256" s="99">
        <f>I256/F256</f>
        <v>15.281632653061225</v>
      </c>
      <c r="I256" s="79">
        <f>SUM(I254:I255)</f>
        <v>149760</v>
      </c>
      <c r="J256" s="79">
        <f>SUM(J254:J255)</f>
        <v>149760</v>
      </c>
      <c r="K256" s="79" t="e">
        <f ca="1">SUM(K254:K255)</f>
        <v>#NAME?</v>
      </c>
      <c r="L256" s="75"/>
      <c r="M256" s="86"/>
      <c r="N256" s="14"/>
    </row>
    <row r="257" spans="2:14" x14ac:dyDescent="0.2">
      <c r="B257" s="71"/>
      <c r="C257" s="72"/>
      <c r="D257" s="73"/>
      <c r="E257" s="73"/>
      <c r="F257" s="79"/>
      <c r="G257" s="87"/>
      <c r="H257" s="99"/>
      <c r="I257" s="79"/>
      <c r="J257" s="79"/>
      <c r="K257" s="79"/>
      <c r="L257" s="75"/>
      <c r="M257" s="86"/>
      <c r="N257" s="14"/>
    </row>
    <row r="258" spans="2:14" x14ac:dyDescent="0.2">
      <c r="B258" s="21" t="s">
        <v>126</v>
      </c>
      <c r="C258" s="20" t="s">
        <v>255</v>
      </c>
      <c r="D258" s="18" t="e">
        <f ca="1">_xll.BDP(C258,"SECURITY_NAME")</f>
        <v>#NAME?</v>
      </c>
      <c r="E258" s="18" t="s">
        <v>50</v>
      </c>
      <c r="F258" s="19">
        <v>2000</v>
      </c>
      <c r="G258" s="18" t="e">
        <f ca="1">_xll.BDP(C258,"CRNCY")</f>
        <v>#NAME?</v>
      </c>
      <c r="H258" s="22">
        <v>2535</v>
      </c>
      <c r="I258" s="15">
        <f>F258*H258</f>
        <v>5070000</v>
      </c>
      <c r="J258" s="16" t="e">
        <f ca="1">I258/L258</f>
        <v>#NAME?</v>
      </c>
      <c r="K258" s="15" t="e">
        <f ca="1">J258*L258</f>
        <v>#NAME?</v>
      </c>
      <c r="L258" s="22" t="e">
        <f ca="1">_xll.BDH("RUB curncy","PX_LAST",$N258)</f>
        <v>#NAME?</v>
      </c>
      <c r="M258" s="85" t="e">
        <f ca="1">1/_xll.BDH("RUB curncy","PX_LAST",$N258)</f>
        <v>#NAME?</v>
      </c>
      <c r="N258" s="14">
        <v>42641</v>
      </c>
    </row>
    <row r="259" spans="2:14" x14ac:dyDescent="0.2">
      <c r="B259" s="71"/>
      <c r="C259" s="33"/>
      <c r="D259" s="73"/>
      <c r="E259" s="73"/>
      <c r="F259" s="79">
        <f>SUM(F258:F258)</f>
        <v>2000</v>
      </c>
      <c r="G259" s="73"/>
      <c r="H259" s="80">
        <f>I259/F259</f>
        <v>2535</v>
      </c>
      <c r="I259" s="79">
        <f>SUM(I258:I258)</f>
        <v>5070000</v>
      </c>
      <c r="J259" s="79" t="e">
        <f ca="1">SUM(J258:J258)</f>
        <v>#NAME?</v>
      </c>
      <c r="K259" s="79" t="e">
        <f ca="1">SUM(K258:K258)</f>
        <v>#NAME?</v>
      </c>
      <c r="L259" s="75"/>
      <c r="M259" s="86"/>
      <c r="N259" s="14"/>
    </row>
    <row r="261" spans="2:14" x14ac:dyDescent="0.2">
      <c r="B261" s="21" t="s">
        <v>126</v>
      </c>
      <c r="C261" s="20" t="s">
        <v>19</v>
      </c>
      <c r="D261" s="18" t="e">
        <f ca="1">_xll.BDP(C261,"SECURITY_NAME")</f>
        <v>#NAME?</v>
      </c>
      <c r="E261" s="18" t="s">
        <v>50</v>
      </c>
      <c r="F261" s="19">
        <v>29400</v>
      </c>
      <c r="G261" s="18" t="e">
        <f ca="1">_xll.BDP(C261,"CRNCY")</f>
        <v>#NAME?</v>
      </c>
      <c r="H261" s="22">
        <v>340</v>
      </c>
      <c r="I261" s="15">
        <f>F261*H261</f>
        <v>9996000</v>
      </c>
      <c r="J261" s="16" t="e">
        <f ca="1">I261/L261</f>
        <v>#NAME?</v>
      </c>
      <c r="K261" s="15" t="e">
        <f ca="1">J261*L261</f>
        <v>#NAME?</v>
      </c>
      <c r="L261" s="22" t="e">
        <f ca="1">_xll.BDH("RUB curncy","PX_LAST",$N261)</f>
        <v>#NAME?</v>
      </c>
      <c r="M261" s="85" t="e">
        <f ca="1">1/_xll.BDH("RUB curncy","PX_LAST",$N261)</f>
        <v>#NAME?</v>
      </c>
      <c r="N261" s="14">
        <v>42627</v>
      </c>
    </row>
    <row r="262" spans="2:14" x14ac:dyDescent="0.2">
      <c r="B262" s="71"/>
      <c r="C262" s="33"/>
      <c r="D262" s="73"/>
      <c r="E262" s="73">
        <f>22100/29400</f>
        <v>0.75170068027210879</v>
      </c>
      <c r="F262" s="79">
        <f>SUM(F261:F261)</f>
        <v>29400</v>
      </c>
      <c r="G262" s="73"/>
      <c r="H262" s="80">
        <f>I262/F262</f>
        <v>340</v>
      </c>
      <c r="I262" s="79">
        <f>SUM(I261:I261)</f>
        <v>9996000</v>
      </c>
      <c r="J262" s="79" t="e">
        <f ca="1">SUM(J261:J261)*E262</f>
        <v>#NAME?</v>
      </c>
      <c r="K262" s="79" t="e">
        <f ca="1">SUM(K261:K261)</f>
        <v>#NAME?</v>
      </c>
      <c r="L262" s="75"/>
      <c r="M262" s="86"/>
      <c r="N262" s="14"/>
    </row>
    <row r="263" spans="2:14" x14ac:dyDescent="0.2">
      <c r="B263" s="71"/>
      <c r="C263" s="33"/>
      <c r="D263" s="73"/>
      <c r="E263" s="73"/>
      <c r="F263" s="79"/>
      <c r="G263" s="73"/>
      <c r="H263" s="80"/>
      <c r="I263" s="79"/>
      <c r="J263" s="79"/>
      <c r="K263" s="79"/>
      <c r="L263" s="75"/>
      <c r="M263" s="86"/>
      <c r="N263" s="14"/>
    </row>
    <row r="264" spans="2:14" x14ac:dyDescent="0.2">
      <c r="B264" s="21" t="s">
        <v>126</v>
      </c>
      <c r="C264" s="20" t="s">
        <v>27</v>
      </c>
      <c r="D264" s="18" t="e">
        <f ca="1">_xll.BDP(C264,"SECURITY_NAME")</f>
        <v>#NAME?</v>
      </c>
      <c r="E264" s="18" t="s">
        <v>50</v>
      </c>
      <c r="F264" s="19">
        <v>35000</v>
      </c>
      <c r="G264" s="18" t="e">
        <f ca="1">_xll.BDP(C264,"CRNCY")</f>
        <v>#NAME?</v>
      </c>
      <c r="H264" s="22">
        <v>146</v>
      </c>
      <c r="I264" s="15">
        <f>F264*H264</f>
        <v>5110000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42430</v>
      </c>
    </row>
    <row r="265" spans="2:14" x14ac:dyDescent="0.2">
      <c r="B265" s="21" t="s">
        <v>126</v>
      </c>
      <c r="C265" s="20" t="s">
        <v>27</v>
      </c>
      <c r="D265" s="18" t="e">
        <f ca="1">_xll.BDP(C265,"SECURITY_NAME")</f>
        <v>#NAME?</v>
      </c>
      <c r="E265" s="18" t="s">
        <v>50</v>
      </c>
      <c r="F265" s="19">
        <v>68000</v>
      </c>
      <c r="G265" s="18" t="e">
        <f ca="1">_xll.BDP(C265,"CRNCY")</f>
        <v>#NAME?</v>
      </c>
      <c r="H265" s="22">
        <v>149</v>
      </c>
      <c r="I265" s="15">
        <f>F265*H265</f>
        <v>10132000</v>
      </c>
      <c r="J265" s="16" t="e">
        <f ca="1">I265/L265</f>
        <v>#NAME?</v>
      </c>
      <c r="K265" s="15" t="e">
        <f ca="1">J265*L265</f>
        <v>#NAME?</v>
      </c>
      <c r="L265" s="22" t="e">
        <f ca="1">_xll.BDH("RUB curncy","PX_LAST",$N265)</f>
        <v>#NAME?</v>
      </c>
      <c r="M265" s="85" t="e">
        <f ca="1">1/_xll.BDH("RUB curncy","PX_LAST",$N265)</f>
        <v>#NAME?</v>
      </c>
      <c r="N265" s="14">
        <v>42430</v>
      </c>
    </row>
    <row r="266" spans="2:14" x14ac:dyDescent="0.2">
      <c r="B266" s="21" t="s">
        <v>126</v>
      </c>
      <c r="C266" s="20" t="s">
        <v>27</v>
      </c>
      <c r="D266" s="18" t="e">
        <f ca="1">_xll.BDP(C266,"SECURITY_NAME")</f>
        <v>#NAME?</v>
      </c>
      <c r="E266" s="18" t="s">
        <v>50</v>
      </c>
      <c r="F266" s="19">
        <v>13200</v>
      </c>
      <c r="G266" s="18" t="e">
        <f ca="1">_xll.BDP(C266,"CRNCY")</f>
        <v>#NAME?</v>
      </c>
      <c r="H266" s="22">
        <v>135.5</v>
      </c>
      <c r="I266" s="15">
        <f t="shared" ref="I266:I271" si="105">F266*H266</f>
        <v>1788600</v>
      </c>
      <c r="J266" s="16" t="e">
        <f t="shared" ref="J266:J271" ca="1" si="106">I266/L266</f>
        <v>#NAME?</v>
      </c>
      <c r="K266" s="15" t="e">
        <f t="shared" ref="K266:K271" ca="1" si="107">J266*L266</f>
        <v>#NAME?</v>
      </c>
      <c r="L266" s="22" t="e">
        <f ca="1">_xll.BDH("RUB curncy","PX_LAST",$N266)</f>
        <v>#NAME?</v>
      </c>
      <c r="M266" s="85" t="e">
        <f ca="1">1/_xll.BDH("RUB curncy","PX_LAST",$N266)</f>
        <v>#NAME?</v>
      </c>
      <c r="N266" s="14">
        <v>42180</v>
      </c>
    </row>
    <row r="267" spans="2:14" x14ac:dyDescent="0.2">
      <c r="B267" s="21" t="s">
        <v>126</v>
      </c>
      <c r="C267" s="20" t="s">
        <v>27</v>
      </c>
      <c r="D267" s="18" t="e">
        <f ca="1">_xll.BDP(C267,"SECURITY_NAME")</f>
        <v>#NAME?</v>
      </c>
      <c r="E267" s="18" t="s">
        <v>50</v>
      </c>
      <c r="F267" s="19">
        <v>41750</v>
      </c>
      <c r="G267" s="18" t="e">
        <f ca="1">_xll.BDP(C267,"CRNCY")</f>
        <v>#NAME?</v>
      </c>
      <c r="H267" s="22">
        <v>135</v>
      </c>
      <c r="I267" s="15">
        <f t="shared" si="105"/>
        <v>5636250</v>
      </c>
      <c r="J267" s="16" t="e">
        <f t="shared" ca="1" si="106"/>
        <v>#NAME?</v>
      </c>
      <c r="K267" s="15" t="e">
        <f t="shared" ca="1" si="107"/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42163</v>
      </c>
    </row>
    <row r="268" spans="2:14" x14ac:dyDescent="0.2">
      <c r="B268" s="21" t="s">
        <v>126</v>
      </c>
      <c r="C268" s="20" t="s">
        <v>27</v>
      </c>
      <c r="D268" s="18" t="e">
        <f ca="1">_xll.BDP(C268,"SECURITY_NAME")</f>
        <v>#NAME?</v>
      </c>
      <c r="E268" s="18" t="s">
        <v>50</v>
      </c>
      <c r="F268" s="19">
        <v>68550</v>
      </c>
      <c r="G268" s="18" t="e">
        <f ca="1">_xll.BDP(C268,"CRNCY")</f>
        <v>#NAME?</v>
      </c>
      <c r="H268" s="22">
        <v>139.5</v>
      </c>
      <c r="I268" s="15">
        <f t="shared" si="105"/>
        <v>9562725</v>
      </c>
      <c r="J268" s="16" t="e">
        <f t="shared" ca="1" si="106"/>
        <v>#NAME?</v>
      </c>
      <c r="K268" s="15" t="e">
        <f t="shared" ca="1" si="107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42149</v>
      </c>
    </row>
    <row r="269" spans="2:14" x14ac:dyDescent="0.2">
      <c r="B269" s="21" t="s">
        <v>126</v>
      </c>
      <c r="C269" s="20" t="s">
        <v>27</v>
      </c>
      <c r="D269" s="18" t="e">
        <f ca="1">_xll.BDP(C269,"SECURITY_NAME")</f>
        <v>#NAME?</v>
      </c>
      <c r="E269" s="18" t="s">
        <v>50</v>
      </c>
      <c r="F269" s="19">
        <v>23000</v>
      </c>
      <c r="G269" s="18" t="e">
        <f ca="1">_xll.BDP(C269,"CRNCY")</f>
        <v>#NAME?</v>
      </c>
      <c r="H269" s="22">
        <v>140.9</v>
      </c>
      <c r="I269" s="15">
        <f t="shared" si="105"/>
        <v>3240700</v>
      </c>
      <c r="J269" s="16" t="e">
        <f t="shared" ca="1" si="106"/>
        <v>#NAME?</v>
      </c>
      <c r="K269" s="15" t="e">
        <f t="shared" ca="1" si="107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42139</v>
      </c>
    </row>
    <row r="270" spans="2:14" x14ac:dyDescent="0.2">
      <c r="B270" s="21" t="s">
        <v>126</v>
      </c>
      <c r="C270" s="20" t="s">
        <v>27</v>
      </c>
      <c r="D270" s="18" t="e">
        <f ca="1">_xll.BDP(C270,"SECURITY_NAME")</f>
        <v>#NAME?</v>
      </c>
      <c r="E270" s="18" t="s">
        <v>50</v>
      </c>
      <c r="F270" s="19">
        <v>90000</v>
      </c>
      <c r="G270" s="18" t="e">
        <f ca="1">_xll.BDP(C270,"CRNCY")</f>
        <v>#NAME?</v>
      </c>
      <c r="H270" s="22">
        <v>143.05000000000001</v>
      </c>
      <c r="I270" s="15">
        <f t="shared" si="105"/>
        <v>12874500.000000002</v>
      </c>
      <c r="J270" s="16" t="e">
        <f t="shared" ca="1" si="106"/>
        <v>#NAME?</v>
      </c>
      <c r="K270" s="15" t="e">
        <f t="shared" ca="1" si="107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42123</v>
      </c>
    </row>
    <row r="271" spans="2:14" x14ac:dyDescent="0.2">
      <c r="B271" s="21" t="s">
        <v>126</v>
      </c>
      <c r="C271" s="20" t="s">
        <v>27</v>
      </c>
      <c r="D271" s="18" t="e">
        <f ca="1">_xll.BDP(C271,"SECURITY_NAME")</f>
        <v>#NAME?</v>
      </c>
      <c r="E271" s="18" t="s">
        <v>50</v>
      </c>
      <c r="F271" s="19">
        <v>33000</v>
      </c>
      <c r="G271" s="18" t="e">
        <f ca="1">_xll.BDP(C271,"CRNCY")</f>
        <v>#NAME?</v>
      </c>
      <c r="H271" s="22">
        <v>149.5</v>
      </c>
      <c r="I271" s="15">
        <f t="shared" si="105"/>
        <v>4933500</v>
      </c>
      <c r="J271" s="16" t="e">
        <f t="shared" ca="1" si="106"/>
        <v>#NAME?</v>
      </c>
      <c r="K271" s="15" t="e">
        <f t="shared" ca="1" si="107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42104</v>
      </c>
    </row>
    <row r="272" spans="2:14" x14ac:dyDescent="0.2">
      <c r="B272" s="71"/>
      <c r="C272" s="33"/>
      <c r="D272" s="73"/>
      <c r="E272" s="73"/>
      <c r="F272" s="79">
        <f>SUM(F264:F271)</f>
        <v>372500</v>
      </c>
      <c r="G272" s="73"/>
      <c r="H272" s="80">
        <f>I272/F272</f>
        <v>143.02892617449663</v>
      </c>
      <c r="I272" s="79">
        <f>SUM(I264:I271)</f>
        <v>53278275</v>
      </c>
      <c r="J272" s="79" t="e">
        <f ca="1">SUM(J264:J271)</f>
        <v>#NAME?</v>
      </c>
      <c r="K272" s="79" t="e">
        <f ca="1">SUM(K264:K271)</f>
        <v>#NAME?</v>
      </c>
      <c r="L272" s="75"/>
      <c r="M272" s="86"/>
      <c r="N272" s="14"/>
    </row>
    <row r="273" spans="2:14" x14ac:dyDescent="0.2">
      <c r="B273" s="71"/>
      <c r="C273" s="33"/>
      <c r="D273" s="73"/>
      <c r="E273" s="73"/>
      <c r="F273" s="79"/>
      <c r="G273" s="73"/>
      <c r="H273" s="80"/>
      <c r="I273" s="79"/>
      <c r="J273" s="79"/>
      <c r="K273" s="79"/>
      <c r="L273" s="75"/>
      <c r="M273" s="86"/>
      <c r="N273" s="14"/>
    </row>
    <row r="274" spans="2:14" x14ac:dyDescent="0.2">
      <c r="B274" s="21" t="s">
        <v>126</v>
      </c>
      <c r="C274" s="20" t="s">
        <v>334</v>
      </c>
      <c r="D274" s="18" t="e">
        <f ca="1">_xll.BDP(C274,"SECURITY_NAME")</f>
        <v>#NAME?</v>
      </c>
      <c r="E274" s="18" t="s">
        <v>50</v>
      </c>
      <c r="F274" s="19">
        <v>23400</v>
      </c>
      <c r="G274" s="18" t="e">
        <f ca="1">_xll.BDP(C274,"CRNCY")</f>
        <v>#NAME?</v>
      </c>
      <c r="H274" s="22">
        <v>213</v>
      </c>
      <c r="I274" s="15">
        <f t="shared" ref="I274:I279" si="108">F274*H274</f>
        <v>4984200</v>
      </c>
      <c r="J274" s="16" t="e">
        <f t="shared" ref="J274:J279" ca="1" si="109">I274/L274</f>
        <v>#NAME?</v>
      </c>
      <c r="K274" s="15" t="e">
        <f ca="1">J274*L274</f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42565</v>
      </c>
    </row>
    <row r="275" spans="2:14" x14ac:dyDescent="0.2">
      <c r="B275" s="21" t="s">
        <v>126</v>
      </c>
      <c r="C275" s="20" t="s">
        <v>334</v>
      </c>
      <c r="D275" s="18" t="e">
        <f ca="1">_xll.BDP(C275,"SECURITY_NAME")</f>
        <v>#NAME?</v>
      </c>
      <c r="E275" s="18" t="s">
        <v>50</v>
      </c>
      <c r="F275" s="19">
        <v>23970</v>
      </c>
      <c r="G275" s="18" t="e">
        <f ca="1">_xll.BDP(C275,"CRNCY")</f>
        <v>#NAME?</v>
      </c>
      <c r="H275" s="22">
        <v>187.5</v>
      </c>
      <c r="I275" s="15">
        <f t="shared" si="108"/>
        <v>4494375</v>
      </c>
      <c r="J275" s="16" t="e">
        <f t="shared" ca="1" si="109"/>
        <v>#NAME?</v>
      </c>
      <c r="K275" s="15" t="e">
        <f ca="1">J275*L275</f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42549</v>
      </c>
    </row>
    <row r="276" spans="2:14" x14ac:dyDescent="0.2">
      <c r="B276" s="21" t="s">
        <v>126</v>
      </c>
      <c r="C276" s="20" t="s">
        <v>334</v>
      </c>
      <c r="D276" s="18" t="e">
        <f ca="1">_xll.BDP(C276,"SECURITY_NAME")</f>
        <v>#NAME?</v>
      </c>
      <c r="E276" s="18" t="s">
        <v>50</v>
      </c>
      <c r="F276" s="19">
        <v>21100</v>
      </c>
      <c r="G276" s="18" t="e">
        <f ca="1">_xll.BDP(C276,"CRNCY")</f>
        <v>#NAME?</v>
      </c>
      <c r="H276" s="22">
        <v>189</v>
      </c>
      <c r="I276" s="15">
        <f t="shared" si="108"/>
        <v>3987900</v>
      </c>
      <c r="J276" s="16" t="e">
        <f t="shared" ca="1" si="109"/>
        <v>#NAME?</v>
      </c>
      <c r="K276" s="15" t="e">
        <f ca="1">J276*L276</f>
        <v>#NAME?</v>
      </c>
      <c r="L276" s="22" t="e">
        <f ca="1">_xll.BDH("RUB curncy","PX_LAST",$N276)</f>
        <v>#NAME?</v>
      </c>
      <c r="M276" s="85" t="e">
        <f ca="1">1/_xll.BDH("RUB curncy","PX_LAST",$N276)</f>
        <v>#NAME?</v>
      </c>
      <c r="N276" s="14">
        <v>42542</v>
      </c>
    </row>
    <row r="277" spans="2:14" x14ac:dyDescent="0.2">
      <c r="B277" s="21" t="s">
        <v>126</v>
      </c>
      <c r="C277" s="20" t="s">
        <v>334</v>
      </c>
      <c r="D277" s="18" t="e">
        <f ca="1">_xll.BDP(C277,"SECURITY_NAME")</f>
        <v>#NAME?</v>
      </c>
      <c r="E277" s="18" t="s">
        <v>50</v>
      </c>
      <c r="F277" s="19">
        <v>79000</v>
      </c>
      <c r="G277" s="18" t="e">
        <f ca="1">_xll.BDP(C277,"CRNCY")</f>
        <v>#NAME?</v>
      </c>
      <c r="H277" s="22">
        <v>220.8</v>
      </c>
      <c r="I277" s="15">
        <f t="shared" si="108"/>
        <v>17443200</v>
      </c>
      <c r="J277" s="16" t="e">
        <f t="shared" ca="1" si="109"/>
        <v>#NAME?</v>
      </c>
      <c r="K277" s="15" t="e">
        <f t="shared" ref="K277:K282" ca="1" si="110">J277*L277</f>
        <v>#NAME?</v>
      </c>
      <c r="L277" s="22" t="e">
        <f ca="1">_xll.BDH("RUB curncy","PX_LAST",$N277)</f>
        <v>#NAME?</v>
      </c>
      <c r="M277" s="85" t="e">
        <f ca="1">1/_xll.BDH("RUB curncy","PX_LAST",$N277)</f>
        <v>#NAME?</v>
      </c>
      <c r="N277" s="14">
        <v>42501</v>
      </c>
    </row>
    <row r="278" spans="2:14" x14ac:dyDescent="0.2">
      <c r="B278" s="21" t="s">
        <v>126</v>
      </c>
      <c r="C278" s="20" t="s">
        <v>334</v>
      </c>
      <c r="D278" s="18" t="e">
        <f ca="1">_xll.BDP(C278,"SECURITY_NAME")</f>
        <v>#NAME?</v>
      </c>
      <c r="E278" s="18" t="s">
        <v>50</v>
      </c>
      <c r="F278" s="19">
        <v>100000</v>
      </c>
      <c r="G278" s="18" t="e">
        <f ca="1">_xll.BDP(C278,"CRNCY")</f>
        <v>#NAME?</v>
      </c>
      <c r="H278" s="22">
        <v>246</v>
      </c>
      <c r="I278" s="15">
        <f t="shared" si="108"/>
        <v>24600000</v>
      </c>
      <c r="J278" s="16" t="e">
        <f t="shared" ca="1" si="109"/>
        <v>#NAME?</v>
      </c>
      <c r="K278" s="15" t="e">
        <f t="shared" ca="1" si="110"/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42482</v>
      </c>
    </row>
    <row r="279" spans="2:14" x14ac:dyDescent="0.2">
      <c r="B279" s="21" t="s">
        <v>126</v>
      </c>
      <c r="C279" s="20" t="s">
        <v>334</v>
      </c>
      <c r="D279" s="18" t="e">
        <f ca="1">_xll.BDP(C279,"SECURITY_NAME")</f>
        <v>#NAME?</v>
      </c>
      <c r="E279" s="18" t="s">
        <v>50</v>
      </c>
      <c r="F279" s="19">
        <v>53887</v>
      </c>
      <c r="G279" s="18" t="e">
        <f ca="1">_xll.BDP(C279,"CRNCY")</f>
        <v>#NAME?</v>
      </c>
      <c r="H279" s="22">
        <v>232</v>
      </c>
      <c r="I279" s="15">
        <f t="shared" si="108"/>
        <v>12501784</v>
      </c>
      <c r="J279" s="16" t="e">
        <f t="shared" ca="1" si="109"/>
        <v>#NAME?</v>
      </c>
      <c r="K279" s="15" t="e">
        <f t="shared" ca="1" si="110"/>
        <v>#NAME?</v>
      </c>
      <c r="L279" s="22" t="e">
        <f ca="1">_xll.BDH("RUB curncy","PX_LAST",$N279)</f>
        <v>#NAME?</v>
      </c>
      <c r="M279" s="85" t="e">
        <f ca="1">1/_xll.BDH("RUB curncy","PX_LAST",$N279)</f>
        <v>#NAME?</v>
      </c>
      <c r="N279" s="14">
        <v>42467</v>
      </c>
    </row>
    <row r="280" spans="2:14" x14ac:dyDescent="0.2">
      <c r="B280" s="21" t="s">
        <v>126</v>
      </c>
      <c r="C280" s="20" t="s">
        <v>334</v>
      </c>
      <c r="D280" s="18" t="e">
        <f ca="1">_xll.BDP(C280,"SECURITY_NAME")</f>
        <v>#NAME?</v>
      </c>
      <c r="E280" s="18" t="s">
        <v>50</v>
      </c>
      <c r="F280" s="19">
        <v>22780</v>
      </c>
      <c r="G280" s="18" t="e">
        <f ca="1">_xll.BDP(C280,"CRNCY")</f>
        <v>#NAME?</v>
      </c>
      <c r="H280" s="22">
        <v>223.53380200000001</v>
      </c>
      <c r="I280" s="15">
        <f t="shared" ref="I280:I285" si="111">F280*H280</f>
        <v>5092100.0095600002</v>
      </c>
      <c r="J280" s="16" t="e">
        <f t="shared" ref="J280:J285" ca="1" si="112">I280/L280</f>
        <v>#NAME?</v>
      </c>
      <c r="K280" s="15" t="e">
        <f t="shared" ca="1" si="110"/>
        <v>#NAME?</v>
      </c>
      <c r="L280" s="22" t="e">
        <f ca="1">_xll.BDH("RUB curncy","PX_LAST",$N280)</f>
        <v>#NAME?</v>
      </c>
      <c r="M280" s="85" t="e">
        <f ca="1">1/_xll.BDH("RUB curncy","PX_LAST",$N280)</f>
        <v>#NAME?</v>
      </c>
      <c r="N280" s="14">
        <v>42384</v>
      </c>
    </row>
    <row r="281" spans="2:14" x14ac:dyDescent="0.2">
      <c r="B281" s="21" t="s">
        <v>126</v>
      </c>
      <c r="C281" s="20" t="s">
        <v>334</v>
      </c>
      <c r="D281" s="18" t="e">
        <f ca="1">_xll.BDP(C281,"SECURITY_NAME")</f>
        <v>#NAME?</v>
      </c>
      <c r="E281" s="18" t="s">
        <v>50</v>
      </c>
      <c r="F281" s="19">
        <v>47900</v>
      </c>
      <c r="G281" s="18" t="e">
        <f ca="1">_xll.BDP(C281,"CRNCY")</f>
        <v>#NAME?</v>
      </c>
      <c r="H281" s="22">
        <v>225.92161999999999</v>
      </c>
      <c r="I281" s="15">
        <f t="shared" si="111"/>
        <v>10821645.597999999</v>
      </c>
      <c r="J281" s="16" t="e">
        <f t="shared" ca="1" si="112"/>
        <v>#NAME?</v>
      </c>
      <c r="K281" s="15" t="e">
        <f t="shared" ca="1" si="110"/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42374</v>
      </c>
    </row>
    <row r="282" spans="2:14" x14ac:dyDescent="0.2">
      <c r="B282" s="21" t="s">
        <v>126</v>
      </c>
      <c r="C282" s="20" t="s">
        <v>334</v>
      </c>
      <c r="D282" s="18" t="e">
        <f ca="1">_xll.BDP(C282,"SECURITY_NAME")</f>
        <v>#NAME?</v>
      </c>
      <c r="E282" s="18" t="s">
        <v>50</v>
      </c>
      <c r="F282" s="19">
        <v>40000</v>
      </c>
      <c r="G282" s="18" t="e">
        <f ca="1">_xll.BDP(C282,"CRNCY")</f>
        <v>#NAME?</v>
      </c>
      <c r="H282" s="22">
        <v>226.5</v>
      </c>
      <c r="I282" s="15">
        <f t="shared" si="111"/>
        <v>9060000</v>
      </c>
      <c r="J282" s="16" t="e">
        <f t="shared" ca="1" si="112"/>
        <v>#NAME?</v>
      </c>
      <c r="K282" s="15" t="e">
        <f t="shared" ca="1" si="110"/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42354</v>
      </c>
    </row>
    <row r="283" spans="2:14" x14ac:dyDescent="0.2">
      <c r="B283" s="21" t="s">
        <v>126</v>
      </c>
      <c r="C283" s="20" t="s">
        <v>334</v>
      </c>
      <c r="D283" s="18" t="e">
        <f ca="1">_xll.BDP(C283,"SECURITY_NAME")</f>
        <v>#NAME?</v>
      </c>
      <c r="E283" s="18" t="s">
        <v>50</v>
      </c>
      <c r="F283" s="19">
        <v>15850</v>
      </c>
      <c r="G283" s="18" t="e">
        <f ca="1">_xll.BDP(C283,"CRNCY")</f>
        <v>#NAME?</v>
      </c>
      <c r="H283" s="22">
        <v>236.8</v>
      </c>
      <c r="I283" s="15">
        <f t="shared" si="111"/>
        <v>3753280</v>
      </c>
      <c r="J283" s="16" t="e">
        <f t="shared" ca="1" si="112"/>
        <v>#NAME?</v>
      </c>
      <c r="K283" s="15" t="e">
        <f t="shared" ref="K283:K291" ca="1" si="113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42335</v>
      </c>
    </row>
    <row r="284" spans="2:14" x14ac:dyDescent="0.2">
      <c r="B284" s="21" t="s">
        <v>126</v>
      </c>
      <c r="C284" s="20" t="s">
        <v>334</v>
      </c>
      <c r="D284" s="18" t="e">
        <f ca="1">_xll.BDP(C284,"SECURITY_NAME")</f>
        <v>#NAME?</v>
      </c>
      <c r="E284" s="18" t="s">
        <v>50</v>
      </c>
      <c r="F284" s="19">
        <v>17110</v>
      </c>
      <c r="G284" s="18" t="e">
        <f ca="1">_xll.BDP(C284,"CRNCY")</f>
        <v>#NAME?</v>
      </c>
      <c r="H284" s="22">
        <v>235</v>
      </c>
      <c r="I284" s="15">
        <f t="shared" si="111"/>
        <v>4020850</v>
      </c>
      <c r="J284" s="16" t="e">
        <f t="shared" ca="1" si="112"/>
        <v>#NAME?</v>
      </c>
      <c r="K284" s="15" t="e">
        <f t="shared" ca="1" si="113"/>
        <v>#NAME?</v>
      </c>
      <c r="L284" s="22" t="e">
        <f ca="1">_xll.BDH("RUB curncy","PX_LAST",$N284)</f>
        <v>#NAME?</v>
      </c>
      <c r="M284" s="85" t="e">
        <f ca="1">1/_xll.BDH("RUB curncy","PX_LAST",$N284)</f>
        <v>#NAME?</v>
      </c>
      <c r="N284" s="14">
        <v>42333</v>
      </c>
    </row>
    <row r="285" spans="2:14" x14ac:dyDescent="0.2">
      <c r="B285" s="21" t="s">
        <v>126</v>
      </c>
      <c r="C285" s="20" t="s">
        <v>334</v>
      </c>
      <c r="D285" s="18" t="e">
        <f ca="1">_xll.BDP(C285,"SECURITY_NAME")</f>
        <v>#NAME?</v>
      </c>
      <c r="E285" s="18" t="s">
        <v>50</v>
      </c>
      <c r="F285" s="19">
        <v>35450</v>
      </c>
      <c r="G285" s="18" t="e">
        <f ca="1">_xll.BDP(C285,"CRNCY")</f>
        <v>#NAME?</v>
      </c>
      <c r="H285" s="22">
        <v>240</v>
      </c>
      <c r="I285" s="15">
        <f t="shared" si="111"/>
        <v>8508000</v>
      </c>
      <c r="J285" s="16" t="e">
        <f t="shared" ca="1" si="112"/>
        <v>#NAME?</v>
      </c>
      <c r="K285" s="15" t="e">
        <f t="shared" ca="1" si="113"/>
        <v>#NAME?</v>
      </c>
      <c r="L285" s="22" t="e">
        <f ca="1">_xll.BDH("RUB curncy","PX_LAST",$N285)</f>
        <v>#NAME?</v>
      </c>
      <c r="M285" s="85" t="e">
        <f ca="1">1/_xll.BDH("RUB curncy","PX_LAST",$N285)</f>
        <v>#NAME?</v>
      </c>
      <c r="N285" s="14">
        <v>42325</v>
      </c>
    </row>
    <row r="286" spans="2:14" x14ac:dyDescent="0.2">
      <c r="B286" s="21" t="s">
        <v>126</v>
      </c>
      <c r="C286" s="20" t="s">
        <v>334</v>
      </c>
      <c r="D286" s="18" t="e">
        <f ca="1">_xll.BDP(C286,"SECURITY_NAME")</f>
        <v>#NAME?</v>
      </c>
      <c r="E286" s="18" t="s">
        <v>50</v>
      </c>
      <c r="F286" s="19">
        <v>20000</v>
      </c>
      <c r="G286" s="18" t="e">
        <f ca="1">_xll.BDP(C286,"CRNCY")</f>
        <v>#NAME?</v>
      </c>
      <c r="H286" s="22">
        <v>249.70237499999999</v>
      </c>
      <c r="I286" s="15">
        <f t="shared" ref="I286:I291" si="114">F286*H286</f>
        <v>4994047.5</v>
      </c>
      <c r="J286" s="16" t="e">
        <f t="shared" ref="J286:J291" ca="1" si="115">I286/L286</f>
        <v>#NAME?</v>
      </c>
      <c r="K286" s="15" t="e">
        <f t="shared" ca="1" si="113"/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42311</v>
      </c>
    </row>
    <row r="287" spans="2:14" x14ac:dyDescent="0.2">
      <c r="B287" s="21" t="s">
        <v>126</v>
      </c>
      <c r="C287" s="20" t="s">
        <v>334</v>
      </c>
      <c r="D287" s="18" t="e">
        <f ca="1">_xll.BDP(C287,"SECURITY_NAME")</f>
        <v>#NAME?</v>
      </c>
      <c r="E287" s="18" t="s">
        <v>50</v>
      </c>
      <c r="F287" s="19">
        <v>3150</v>
      </c>
      <c r="G287" s="18" t="e">
        <f ca="1">_xll.BDP(C287,"CRNCY")</f>
        <v>#NAME?</v>
      </c>
      <c r="H287" s="22">
        <v>259.30952400000001</v>
      </c>
      <c r="I287" s="15">
        <f t="shared" si="114"/>
        <v>816825.00060000003</v>
      </c>
      <c r="J287" s="16" t="e">
        <f t="shared" ca="1" si="115"/>
        <v>#NAME?</v>
      </c>
      <c r="K287" s="15" t="e">
        <f t="shared" ca="1" si="113"/>
        <v>#NAME?</v>
      </c>
      <c r="L287" s="22" t="e">
        <f ca="1">_xll.BDH("RUB curncy","PX_LAST",$N287)</f>
        <v>#NAME?</v>
      </c>
      <c r="M287" s="85" t="e">
        <f ca="1">1/_xll.BDH("RUB curncy","PX_LAST",$N287)</f>
        <v>#NAME?</v>
      </c>
      <c r="N287" s="14">
        <v>42304</v>
      </c>
    </row>
    <row r="288" spans="2:14" x14ac:dyDescent="0.2">
      <c r="B288" s="21" t="s">
        <v>126</v>
      </c>
      <c r="C288" s="20" t="s">
        <v>334</v>
      </c>
      <c r="D288" s="18" t="e">
        <f ca="1">_xll.BDP(C288,"SECURITY_NAME")</f>
        <v>#NAME?</v>
      </c>
      <c r="E288" s="18" t="s">
        <v>50</v>
      </c>
      <c r="F288" s="19">
        <v>17000</v>
      </c>
      <c r="G288" s="18" t="e">
        <f ca="1">_xll.BDP(C288,"CRNCY")</f>
        <v>#NAME?</v>
      </c>
      <c r="H288" s="22">
        <v>299.86823500000003</v>
      </c>
      <c r="I288" s="15">
        <f t="shared" si="114"/>
        <v>5097759.9950000001</v>
      </c>
      <c r="J288" s="16" t="e">
        <f t="shared" ca="1" si="115"/>
        <v>#NAME?</v>
      </c>
      <c r="K288" s="15" t="e">
        <f t="shared" ca="1" si="113"/>
        <v>#NAME?</v>
      </c>
      <c r="L288" s="22" t="e">
        <f ca="1">_xll.BDH("RUB curncy","PX_LAST",$N288)</f>
        <v>#NAME?</v>
      </c>
      <c r="M288" s="85" t="e">
        <f ca="1">1/_xll.BDH("RUB curncy","PX_LAST",$N288)</f>
        <v>#NAME?</v>
      </c>
      <c r="N288" s="14">
        <v>42250</v>
      </c>
    </row>
    <row r="289" spans="2:14" x14ac:dyDescent="0.2">
      <c r="B289" s="21" t="s">
        <v>126</v>
      </c>
      <c r="C289" s="20" t="s">
        <v>334</v>
      </c>
      <c r="D289" s="18" t="e">
        <f ca="1">_xll.BDP(C289,"SECURITY_NAME")</f>
        <v>#NAME?</v>
      </c>
      <c r="E289" s="18" t="s">
        <v>50</v>
      </c>
      <c r="F289" s="19">
        <v>7450</v>
      </c>
      <c r="G289" s="18" t="e">
        <f ca="1">_xll.BDP(C289,"CRNCY")</f>
        <v>#NAME?</v>
      </c>
      <c r="H289" s="22">
        <v>300</v>
      </c>
      <c r="I289" s="15">
        <f t="shared" si="114"/>
        <v>2235000</v>
      </c>
      <c r="J289" s="16" t="e">
        <f t="shared" ca="1" si="115"/>
        <v>#NAME?</v>
      </c>
      <c r="K289" s="15" t="e">
        <f t="shared" ca="1" si="113"/>
        <v>#NAME?</v>
      </c>
      <c r="L289" s="22" t="e">
        <f ca="1">_xll.BDH("RUB curncy","PX_LAST",$N289)</f>
        <v>#NAME?</v>
      </c>
      <c r="M289" s="85" t="e">
        <f ca="1">1/_xll.BDH("RUB curncy","PX_LAST",$N289)</f>
        <v>#NAME?</v>
      </c>
      <c r="N289" s="14">
        <v>42244</v>
      </c>
    </row>
    <row r="290" spans="2:14" x14ac:dyDescent="0.2">
      <c r="B290" s="21" t="s">
        <v>126</v>
      </c>
      <c r="C290" s="20" t="s">
        <v>334</v>
      </c>
      <c r="D290" s="18" t="e">
        <f ca="1">_xll.BDP(C290,"SECURITY_NAME")</f>
        <v>#NAME?</v>
      </c>
      <c r="E290" s="18" t="s">
        <v>50</v>
      </c>
      <c r="F290" s="19">
        <v>42300</v>
      </c>
      <c r="G290" s="18" t="e">
        <f ca="1">_xll.BDP(C290,"CRNCY")</f>
        <v>#NAME?</v>
      </c>
      <c r="H290" s="22">
        <v>302</v>
      </c>
      <c r="I290" s="15">
        <f t="shared" si="114"/>
        <v>12774600</v>
      </c>
      <c r="J290" s="16" t="e">
        <f t="shared" ca="1" si="115"/>
        <v>#NAME?</v>
      </c>
      <c r="K290" s="15" t="e">
        <f t="shared" ca="1" si="113"/>
        <v>#NAME?</v>
      </c>
      <c r="L290" s="22" t="e">
        <f ca="1">_xll.BDH("RUB curncy","PX_LAST",$N290)</f>
        <v>#NAME?</v>
      </c>
      <c r="M290" s="85" t="e">
        <f ca="1">1/_xll.BDH("RUB curncy","PX_LAST",$N290)</f>
        <v>#NAME?</v>
      </c>
      <c r="N290" s="14">
        <v>42145</v>
      </c>
    </row>
    <row r="291" spans="2:14" x14ac:dyDescent="0.2">
      <c r="B291" s="21" t="s">
        <v>126</v>
      </c>
      <c r="C291" s="20" t="s">
        <v>334</v>
      </c>
      <c r="D291" s="18" t="e">
        <f ca="1">_xll.BDP(C291,"SECURITY_NAME")</f>
        <v>#NAME?</v>
      </c>
      <c r="E291" s="18" t="s">
        <v>50</v>
      </c>
      <c r="F291" s="19">
        <v>40790</v>
      </c>
      <c r="G291" s="18" t="e">
        <f ca="1">_xll.BDP(C291,"CRNCY")</f>
        <v>#NAME?</v>
      </c>
      <c r="H291" s="22">
        <v>312.55</v>
      </c>
      <c r="I291" s="15">
        <f t="shared" si="114"/>
        <v>12748914.5</v>
      </c>
      <c r="J291" s="16" t="e">
        <f t="shared" ca="1" si="115"/>
        <v>#NAME?</v>
      </c>
      <c r="K291" s="15" t="e">
        <f t="shared" ca="1" si="113"/>
        <v>#NAME?</v>
      </c>
      <c r="L291" s="22" t="e">
        <f ca="1">_xll.BDH("RUB curncy","PX_LAST",$N291)</f>
        <v>#NAME?</v>
      </c>
      <c r="M291" s="85" t="e">
        <f ca="1">1/_xll.BDH("RUB curncy","PX_LAST",$N291)</f>
        <v>#NAME?</v>
      </c>
      <c r="N291" s="14">
        <v>42129</v>
      </c>
    </row>
    <row r="292" spans="2:14" x14ac:dyDescent="0.2">
      <c r="B292" s="21" t="s">
        <v>126</v>
      </c>
      <c r="C292" s="20" t="s">
        <v>334</v>
      </c>
      <c r="D292" s="18" t="e">
        <f ca="1">_xll.BDP(C292,"SECURITY_NAME")</f>
        <v>#NAME?</v>
      </c>
      <c r="E292" s="18" t="s">
        <v>50</v>
      </c>
      <c r="F292" s="19">
        <v>20000</v>
      </c>
      <c r="G292" s="18" t="e">
        <f ca="1">_xll.BDP(C292,"CRNCY")</f>
        <v>#NAME?</v>
      </c>
      <c r="H292" s="22">
        <v>315.8648</v>
      </c>
      <c r="I292" s="15">
        <f>F292*H292</f>
        <v>6317296</v>
      </c>
      <c r="J292" s="16" t="e">
        <f ca="1">I292/L292</f>
        <v>#NAME?</v>
      </c>
      <c r="K292" s="15" t="e">
        <f ca="1">J292*L292</f>
        <v>#NAME?</v>
      </c>
      <c r="L292" s="22" t="e">
        <f ca="1">_xll.BDH("RUB curncy","PX_LAST",$N292)</f>
        <v>#NAME?</v>
      </c>
      <c r="M292" s="85" t="e">
        <f ca="1">1/_xll.BDH("RUB curncy","PX_LAST",$N292)</f>
        <v>#NAME?</v>
      </c>
      <c r="N292" s="14">
        <v>42118</v>
      </c>
    </row>
    <row r="293" spans="2:14" x14ac:dyDescent="0.2">
      <c r="B293" s="21" t="s">
        <v>126</v>
      </c>
      <c r="C293" s="20" t="s">
        <v>334</v>
      </c>
      <c r="D293" s="18" t="e">
        <f ca="1">_xll.BDP(C293,"SECURITY_NAME")</f>
        <v>#NAME?</v>
      </c>
      <c r="E293" s="18" t="s">
        <v>50</v>
      </c>
      <c r="F293" s="19">
        <v>10640</v>
      </c>
      <c r="G293" s="18" t="e">
        <f ca="1">_xll.BDP(C293,"CRNCY")</f>
        <v>#NAME?</v>
      </c>
      <c r="H293" s="22">
        <v>306</v>
      </c>
      <c r="I293" s="15">
        <f>F293*H293</f>
        <v>3255840</v>
      </c>
      <c r="J293" s="16" t="e">
        <f ca="1">I293/L293</f>
        <v>#NAME?</v>
      </c>
      <c r="K293" s="15" t="e">
        <f ca="1">J293*L293</f>
        <v>#NAME?</v>
      </c>
      <c r="L293" s="22" t="e">
        <f ca="1">_xll.BDH("RUB curncy","PX_LAST",$N293)</f>
        <v>#NAME?</v>
      </c>
      <c r="M293" s="85" t="e">
        <f ca="1">1/_xll.BDH("RUB curncy","PX_LAST",$N293)</f>
        <v>#NAME?</v>
      </c>
      <c r="N293" s="14">
        <v>42118</v>
      </c>
    </row>
    <row r="294" spans="2:14" x14ac:dyDescent="0.2">
      <c r="B294" s="71"/>
      <c r="C294" s="33"/>
      <c r="D294" s="73"/>
      <c r="E294" s="73"/>
      <c r="F294" s="79">
        <f>SUM(F274:F293)</f>
        <v>641777</v>
      </c>
      <c r="G294" s="73"/>
      <c r="H294" s="80">
        <f>I294/F294</f>
        <v>245.42421682790132</v>
      </c>
      <c r="I294" s="79">
        <f>SUM(I274:I293)</f>
        <v>157507617.60316002</v>
      </c>
      <c r="J294" s="79" t="e">
        <f ca="1">SUM(J274:J293)</f>
        <v>#NAME?</v>
      </c>
      <c r="K294" s="79" t="e">
        <f ca="1">SUM(K274:K293)</f>
        <v>#NAME?</v>
      </c>
      <c r="L294" s="75"/>
      <c r="M294" s="86"/>
      <c r="N294" s="14"/>
    </row>
    <row r="296" spans="2:14" x14ac:dyDescent="0.2">
      <c r="B296" s="21" t="s">
        <v>126</v>
      </c>
      <c r="C296" s="20" t="s">
        <v>257</v>
      </c>
      <c r="D296" s="18" t="e">
        <f ca="1">_xll.BDP(C296,"SECURITY_NAME")</f>
        <v>#NAME?</v>
      </c>
      <c r="E296" s="18" t="s">
        <v>50</v>
      </c>
      <c r="F296" s="19">
        <v>11549000</v>
      </c>
      <c r="G296" s="18" t="e">
        <f ca="1">_xll.BDP(C296,"CRNCY")</f>
        <v>#NAME?</v>
      </c>
      <c r="H296" s="22" t="e">
        <f ca="1">_xll.BDH(C296,"PX_LAST",N296)</f>
        <v>#NAME?</v>
      </c>
      <c r="I296" s="15" t="e">
        <f ca="1">F296*H296</f>
        <v>#NAME?</v>
      </c>
      <c r="J296" s="16" t="e">
        <f ca="1">I296/L296</f>
        <v>#NAME?</v>
      </c>
      <c r="K296" s="15" t="e">
        <f ca="1">J296*L296</f>
        <v>#NAME?</v>
      </c>
      <c r="L296" s="22" t="e">
        <f ca="1">_xll.BDH("RUB curncy","PX_LAST",$N296)</f>
        <v>#NAME?</v>
      </c>
      <c r="M296" s="85" t="e">
        <f ca="1">1/_xll.BDH("RUB curncy","PX_LAST",$N296)</f>
        <v>#NAME?</v>
      </c>
      <c r="N296" s="14">
        <v>42096</v>
      </c>
    </row>
    <row r="297" spans="2:14" x14ac:dyDescent="0.2">
      <c r="B297" s="21" t="s">
        <v>126</v>
      </c>
      <c r="C297" s="20" t="s">
        <v>257</v>
      </c>
      <c r="D297" s="18" t="e">
        <f ca="1">_xll.BDP(C297,"SECURITY_NAME")</f>
        <v>#NAME?</v>
      </c>
      <c r="E297" s="18" t="s">
        <v>50</v>
      </c>
      <c r="F297" s="19">
        <v>1506000</v>
      </c>
      <c r="G297" s="18" t="e">
        <f ca="1">_xll.BDP(C297,"CRNCY")</f>
        <v>#NAME?</v>
      </c>
      <c r="H297" s="22" t="e">
        <f ca="1">_xll.BDH(C297,"PX_LAST",N297)</f>
        <v>#NAME?</v>
      </c>
      <c r="I297" s="15" t="e">
        <f ca="1">F297*H297</f>
        <v>#NAME?</v>
      </c>
      <c r="J297" s="16" t="e">
        <f ca="1">I297/L297</f>
        <v>#NAME?</v>
      </c>
      <c r="K297" s="15" t="e">
        <f ca="1">J297*L297</f>
        <v>#NAME?</v>
      </c>
      <c r="L297" s="22" t="e">
        <f ca="1">_xll.BDH("RUB curncy","PX_LAST",$N297)</f>
        <v>#NAME?</v>
      </c>
      <c r="M297" s="85" t="e">
        <f ca="1">1/_xll.BDH("RUB curncy","PX_LAST",$N297)</f>
        <v>#NAME?</v>
      </c>
      <c r="N297" s="14">
        <v>42082</v>
      </c>
    </row>
    <row r="298" spans="2:14" x14ac:dyDescent="0.2">
      <c r="B298" s="21" t="s">
        <v>126</v>
      </c>
      <c r="C298" s="20" t="s">
        <v>257</v>
      </c>
      <c r="D298" s="18" t="e">
        <f ca="1">_xll.BDP(C298,"SECURITY_NAME")</f>
        <v>#NAME?</v>
      </c>
      <c r="E298" s="18" t="s">
        <v>50</v>
      </c>
      <c r="F298" s="19">
        <v>1185000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42055</v>
      </c>
    </row>
    <row r="299" spans="2:14" x14ac:dyDescent="0.2">
      <c r="B299" s="21" t="s">
        <v>126</v>
      </c>
      <c r="C299" s="20" t="s">
        <v>257</v>
      </c>
      <c r="D299" s="18" t="e">
        <f ca="1">_xll.BDP(C299,"SECURITY_NAME")</f>
        <v>#NAME?</v>
      </c>
      <c r="E299" s="18" t="s">
        <v>50</v>
      </c>
      <c r="F299" s="19">
        <v>1000000</v>
      </c>
      <c r="G299" s="18" t="e">
        <f ca="1">_xll.BDP(C299,"CRNCY")</f>
        <v>#NAME?</v>
      </c>
      <c r="H299" s="22" t="e">
        <f ca="1">_xll.BDH(C299,"PX_LAST",N299)</f>
        <v>#NAME?</v>
      </c>
      <c r="I299" s="15" t="e">
        <f ca="1">F299*H299</f>
        <v>#NAME?</v>
      </c>
      <c r="J299" s="16" t="e">
        <f ca="1">I299/L299</f>
        <v>#NAME?</v>
      </c>
      <c r="K299" s="15" t="e">
        <f ca="1">J299*L299</f>
        <v>#NAME?</v>
      </c>
      <c r="L299" s="22" t="e">
        <f ca="1">_xll.BDH("RUB curncy","PX_LAST",$N299)</f>
        <v>#NAME?</v>
      </c>
      <c r="M299" s="85" t="e">
        <f ca="1">1/_xll.BDH("RUB curncy","PX_LAST",$N299)</f>
        <v>#NAME?</v>
      </c>
      <c r="N299" s="14">
        <v>41990</v>
      </c>
    </row>
    <row r="300" spans="2:14" x14ac:dyDescent="0.2">
      <c r="B300" s="71"/>
      <c r="C300" s="33"/>
      <c r="D300" s="73"/>
      <c r="E300" s="73"/>
      <c r="F300" s="79">
        <f>SUM(F296:F299)</f>
        <v>15240000</v>
      </c>
      <c r="G300" s="73"/>
      <c r="H300" s="80">
        <v>1.4648000000000001</v>
      </c>
      <c r="I300" s="79" t="e">
        <f ca="1">SUM(I296:I299)</f>
        <v>#NAME?</v>
      </c>
      <c r="J300" s="79" t="e">
        <f ca="1">SUM(J296:J299)</f>
        <v>#NAME?</v>
      </c>
      <c r="K300" s="79" t="e">
        <f ca="1">SUM(K296:K299)</f>
        <v>#NAME?</v>
      </c>
      <c r="L300" s="75"/>
      <c r="M300" s="86"/>
      <c r="N300" s="14"/>
    </row>
    <row r="302" spans="2:14" x14ac:dyDescent="0.2">
      <c r="B302" s="21" t="s">
        <v>126</v>
      </c>
      <c r="C302" s="20" t="s">
        <v>228</v>
      </c>
      <c r="D302" s="18" t="e">
        <f ca="1">_xll.BDP(C302,"SECURITY_NAME")</f>
        <v>#NAME?</v>
      </c>
      <c r="E302" s="18" t="s">
        <v>50</v>
      </c>
      <c r="F302" s="19">
        <v>3770</v>
      </c>
      <c r="G302" s="18" t="e">
        <f ca="1">_xll.BDP(C302,"CRNCY")</f>
        <v>#NAME?</v>
      </c>
      <c r="H302" s="22" t="e">
        <f ca="1">_xll.BDH(C302,"PX_LAST",N302)</f>
        <v>#NAME?</v>
      </c>
      <c r="I302" s="15" t="e">
        <f ca="1">F302*H302</f>
        <v>#NAME?</v>
      </c>
      <c r="J302" s="16" t="e">
        <f ca="1">I302/L302</f>
        <v>#NAME?</v>
      </c>
      <c r="K302" s="15" t="e">
        <f ca="1">J302*L302</f>
        <v>#NAME?</v>
      </c>
      <c r="L302" s="22" t="e">
        <f ca="1">_xll.BDH("RUB curncy","PX_LAST",$N302)</f>
        <v>#NAME?</v>
      </c>
      <c r="M302" s="85" t="e">
        <f ca="1">1/_xll.BDH("RUB curncy","PX_LAST",$N302)</f>
        <v>#NAME?</v>
      </c>
      <c r="N302" s="14">
        <v>41974</v>
      </c>
    </row>
    <row r="303" spans="2:14" x14ac:dyDescent="0.2">
      <c r="B303" s="71"/>
      <c r="C303" s="33"/>
      <c r="D303" s="73"/>
      <c r="E303" s="73"/>
      <c r="F303" s="79">
        <f>SUM(F302)</f>
        <v>3770</v>
      </c>
      <c r="G303" s="73"/>
      <c r="H303" s="80" t="e">
        <f ca="1">I303/F303</f>
        <v>#NAME?</v>
      </c>
      <c r="I303" s="79" t="e">
        <f ca="1">SUM(I302)</f>
        <v>#NAME?</v>
      </c>
      <c r="J303" s="79" t="e">
        <f ca="1">SUM(J302)</f>
        <v>#NAME?</v>
      </c>
      <c r="K303" s="79" t="e">
        <f ca="1">SUM(K302)</f>
        <v>#NAME?</v>
      </c>
      <c r="L303" s="75"/>
      <c r="M303" s="86"/>
      <c r="N303" s="14"/>
    </row>
    <row r="304" spans="2:14" x14ac:dyDescent="0.2">
      <c r="B304" s="71"/>
      <c r="C304" s="33"/>
      <c r="D304" s="73"/>
      <c r="E304" s="73"/>
      <c r="F304" s="79"/>
      <c r="G304" s="73"/>
      <c r="H304" s="80"/>
      <c r="I304" s="79"/>
      <c r="J304" s="79"/>
      <c r="K304" s="79"/>
      <c r="L304" s="75"/>
      <c r="M304" s="86"/>
      <c r="N304" s="14"/>
    </row>
    <row r="305" spans="2:14" x14ac:dyDescent="0.2">
      <c r="B305" s="21" t="s">
        <v>126</v>
      </c>
      <c r="C305" s="20" t="s">
        <v>66</v>
      </c>
      <c r="D305" s="18" t="e">
        <f ca="1">_xll.BDP(C305,"SECURITY_NAME")</f>
        <v>#NAME?</v>
      </c>
      <c r="E305" s="18" t="s">
        <v>50</v>
      </c>
      <c r="F305" s="19">
        <v>40000</v>
      </c>
      <c r="G305" s="18" t="e">
        <f ca="1">_xll.BDP(C305,"CRNCY")</f>
        <v>#NAME?</v>
      </c>
      <c r="H305" s="22">
        <v>7.5</v>
      </c>
      <c r="I305" s="15">
        <f>F305*H305</f>
        <v>300000</v>
      </c>
      <c r="J305" s="16">
        <f>I305</f>
        <v>300000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42677</v>
      </c>
    </row>
    <row r="306" spans="2:14" x14ac:dyDescent="0.2">
      <c r="B306" s="21" t="s">
        <v>126</v>
      </c>
      <c r="C306" s="20" t="s">
        <v>66</v>
      </c>
      <c r="D306" s="18" t="e">
        <f ca="1">_xll.BDP(C306,"SECURITY_NAME")</f>
        <v>#NAME?</v>
      </c>
      <c r="E306" s="18" t="s">
        <v>50</v>
      </c>
      <c r="F306" s="19">
        <v>14700</v>
      </c>
      <c r="G306" s="18" t="e">
        <f ca="1">_xll.BDP(C306,"CRNCY")</f>
        <v>#NAME?</v>
      </c>
      <c r="H306" s="22">
        <v>11.1</v>
      </c>
      <c r="I306" s="15">
        <f>F306*H306</f>
        <v>163170</v>
      </c>
      <c r="J306" s="16">
        <f>I306</f>
        <v>163170</v>
      </c>
      <c r="K306" s="15" t="e">
        <f ca="1">J306*L306</f>
        <v>#NAME?</v>
      </c>
      <c r="L306" s="22" t="e">
        <f ca="1">_xll.BDH("RUB curncy","PX_LAST",$N306)</f>
        <v>#NAME?</v>
      </c>
      <c r="M306" s="85" t="e">
        <f ca="1">1/_xll.BDH("RUB curncy","PX_LAST",$N306)</f>
        <v>#NAME?</v>
      </c>
      <c r="N306" s="14">
        <v>42152</v>
      </c>
    </row>
    <row r="307" spans="2:14" x14ac:dyDescent="0.2">
      <c r="B307" s="21" t="s">
        <v>126</v>
      </c>
      <c r="C307" s="20" t="s">
        <v>66</v>
      </c>
      <c r="D307" s="18" t="e">
        <f ca="1">_xll.BDP(C307,"SECURITY_NAME")</f>
        <v>#NAME?</v>
      </c>
      <c r="E307" s="18" t="s">
        <v>50</v>
      </c>
      <c r="F307" s="19">
        <v>25000</v>
      </c>
      <c r="G307" s="18" t="e">
        <f ca="1">_xll.BDP(C307,"CRNCY")</f>
        <v>#NAME?</v>
      </c>
      <c r="H307" s="22">
        <v>12.12</v>
      </c>
      <c r="I307" s="15">
        <f>F307*H307</f>
        <v>303000</v>
      </c>
      <c r="J307" s="16">
        <f>I307</f>
        <v>303000</v>
      </c>
      <c r="K307" s="15" t="e">
        <f ca="1">J307*L307</f>
        <v>#NAME?</v>
      </c>
      <c r="L307" s="22" t="e">
        <f ca="1">_xll.BDH("RUB curncy","PX_LAST",$N307)</f>
        <v>#NAME?</v>
      </c>
      <c r="M307" s="85" t="e">
        <f ca="1">1/_xll.BDH("RUB curncy","PX_LAST",$N307)</f>
        <v>#NAME?</v>
      </c>
      <c r="N307" s="14">
        <v>42118</v>
      </c>
    </row>
    <row r="308" spans="2:14" x14ac:dyDescent="0.2">
      <c r="B308" s="71"/>
      <c r="C308" s="72"/>
      <c r="D308" s="73"/>
      <c r="E308" s="73"/>
      <c r="F308" s="79">
        <f>SUM(F305:F307)</f>
        <v>79700</v>
      </c>
      <c r="G308" s="87"/>
      <c r="H308" s="99">
        <f>I308/F308</f>
        <v>9.6131744040150569</v>
      </c>
      <c r="I308" s="79">
        <f>SUM(I305:I307)</f>
        <v>766170</v>
      </c>
      <c r="J308" s="79">
        <f>SUM(J305:J307)</f>
        <v>766170</v>
      </c>
      <c r="K308" s="79" t="e">
        <f ca="1">SUM(K305:K307)</f>
        <v>#NAME?</v>
      </c>
      <c r="L308" s="75"/>
      <c r="M308" s="86"/>
      <c r="N308" s="14"/>
    </row>
    <row r="310" spans="2:14" x14ac:dyDescent="0.2">
      <c r="B310" s="21" t="s">
        <v>126</v>
      </c>
      <c r="C310" s="20" t="s">
        <v>10</v>
      </c>
      <c r="D310" s="18" t="e">
        <f ca="1">_xll.BDP(C310,"SECURITY_NAME")</f>
        <v>#NAME?</v>
      </c>
      <c r="E310" s="18" t="s">
        <v>50</v>
      </c>
      <c r="F310" s="19">
        <v>6700</v>
      </c>
      <c r="G310" s="18" t="e">
        <f ca="1">_xll.BDP(C310,"CRNCY")</f>
        <v>#NAME?</v>
      </c>
      <c r="H310" s="22" t="e">
        <f ca="1">_xll.BDH(C310,"PX_LAST",N310)</f>
        <v>#NAME?</v>
      </c>
      <c r="I310" s="15" t="e">
        <f ca="1">F310*H310</f>
        <v>#NAME?</v>
      </c>
      <c r="J310" s="16" t="e">
        <f ca="1">I310</f>
        <v>#NAME?</v>
      </c>
      <c r="K310" s="15" t="e">
        <f ca="1">J310*L310</f>
        <v>#NAME?</v>
      </c>
      <c r="L310" s="22" t="e">
        <f ca="1">_xll.BDH("RUB curncy","PX_LAST",$N310)</f>
        <v>#NAME?</v>
      </c>
      <c r="M310" s="85" t="e">
        <f ca="1">1/_xll.BDH("RUB curncy","PX_LAST",$N310)</f>
        <v>#NAME?</v>
      </c>
      <c r="N310" s="14">
        <v>42241</v>
      </c>
    </row>
    <row r="311" spans="2:14" x14ac:dyDescent="0.2">
      <c r="B311" s="21" t="s">
        <v>126</v>
      </c>
      <c r="C311" s="20" t="s">
        <v>10</v>
      </c>
      <c r="D311" s="18" t="e">
        <f ca="1">_xll.BDP(C311,"SECURITY_NAME")</f>
        <v>#NAME?</v>
      </c>
      <c r="E311" s="18" t="s">
        <v>50</v>
      </c>
      <c r="F311" s="19">
        <v>6250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ca="1">F311*H311</f>
        <v>#NAME?</v>
      </c>
      <c r="J311" s="16" t="e">
        <f ca="1">I311</f>
        <v>#NAME?</v>
      </c>
      <c r="K311" s="15" t="e">
        <f ca="1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42235</v>
      </c>
    </row>
    <row r="312" spans="2:14" x14ac:dyDescent="0.2">
      <c r="B312" s="21" t="s">
        <v>126</v>
      </c>
      <c r="C312" s="20" t="s">
        <v>10</v>
      </c>
      <c r="D312" s="18" t="e">
        <f ca="1">_xll.BDP(C312,"SECURITY_NAME")</f>
        <v>#NAME?</v>
      </c>
      <c r="E312" s="18" t="s">
        <v>50</v>
      </c>
      <c r="F312" s="19">
        <v>11650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ca="1">F312*H312</f>
        <v>#NAME?</v>
      </c>
      <c r="J312" s="16" t="e">
        <f ca="1">I312</f>
        <v>#NAME?</v>
      </c>
      <c r="K312" s="15" t="e">
        <f ca="1">J312*L312</f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42228</v>
      </c>
    </row>
    <row r="313" spans="2:14" x14ac:dyDescent="0.2">
      <c r="B313" s="21" t="s">
        <v>126</v>
      </c>
      <c r="C313" s="20" t="s">
        <v>10</v>
      </c>
      <c r="D313" s="18" t="e">
        <f ca="1">_xll.BDP(C313,"SECURITY_NAME")</f>
        <v>#NAME?</v>
      </c>
      <c r="E313" s="18" t="s">
        <v>50</v>
      </c>
      <c r="F313" s="19">
        <v>11600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ca="1">F313*H313</f>
        <v>#NAME?</v>
      </c>
      <c r="J313" s="16" t="e">
        <f ca="1">I313</f>
        <v>#NAME?</v>
      </c>
      <c r="K313" s="15" t="e">
        <f ca="1">J313*L313</f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42227</v>
      </c>
    </row>
    <row r="314" spans="2:14" x14ac:dyDescent="0.2">
      <c r="B314" s="21" t="s">
        <v>126</v>
      </c>
      <c r="C314" s="20" t="s">
        <v>10</v>
      </c>
      <c r="D314" s="18" t="e">
        <f ca="1">_xll.BDP(C314,"SECURITY_NAME")</f>
        <v>#NAME?</v>
      </c>
      <c r="E314" s="18" t="s">
        <v>50</v>
      </c>
      <c r="F314" s="19">
        <v>5800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ca="1">F314*H314</f>
        <v>#NAME?</v>
      </c>
      <c r="J314" s="16" t="e">
        <f ca="1">I314</f>
        <v>#NAME?</v>
      </c>
      <c r="K314" s="15" t="e">
        <f ca="1">J314*L314</f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42222</v>
      </c>
    </row>
    <row r="315" spans="2:14" x14ac:dyDescent="0.2">
      <c r="B315" s="21" t="s">
        <v>126</v>
      </c>
      <c r="C315" s="20" t="s">
        <v>10</v>
      </c>
      <c r="D315" s="18" t="e">
        <f ca="1">_xll.BDP(C315,"SECURITY_NAME")</f>
        <v>#NAME?</v>
      </c>
      <c r="E315" s="18" t="s">
        <v>50</v>
      </c>
      <c r="F315" s="19">
        <v>4300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ref="I315:I320" ca="1" si="116">F315*H315</f>
        <v>#NAME?</v>
      </c>
      <c r="J315" s="16" t="e">
        <f t="shared" ref="J315:J320" ca="1" si="117">I315</f>
        <v>#NAME?</v>
      </c>
      <c r="K315" s="15" t="e">
        <f t="shared" ref="K315:K320" ca="1" si="118">J315*L315</f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42082</v>
      </c>
    </row>
    <row r="316" spans="2:14" x14ac:dyDescent="0.2">
      <c r="B316" s="21" t="s">
        <v>126</v>
      </c>
      <c r="C316" s="20" t="s">
        <v>10</v>
      </c>
      <c r="D316" s="18" t="e">
        <f ca="1">_xll.BDP(C316,"SECURITY_NAME")</f>
        <v>#NAME?</v>
      </c>
      <c r="E316" s="18" t="s">
        <v>50</v>
      </c>
      <c r="F316" s="19">
        <v>10000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116"/>
        <v>#NAME?</v>
      </c>
      <c r="J316" s="16" t="e">
        <f t="shared" ca="1" si="117"/>
        <v>#NAME?</v>
      </c>
      <c r="K316" s="15" t="e">
        <f t="shared" ca="1" si="118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42041</v>
      </c>
    </row>
    <row r="317" spans="2:14" x14ac:dyDescent="0.2">
      <c r="B317" s="21" t="s">
        <v>126</v>
      </c>
      <c r="C317" s="20" t="s">
        <v>10</v>
      </c>
      <c r="D317" s="18" t="e">
        <f ca="1">_xll.BDP(C317,"SECURITY_NAME")</f>
        <v>#NAME?</v>
      </c>
      <c r="E317" s="18" t="s">
        <v>50</v>
      </c>
      <c r="F317" s="19">
        <v>2000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116"/>
        <v>#NAME?</v>
      </c>
      <c r="J317" s="16" t="e">
        <f t="shared" ca="1" si="117"/>
        <v>#NAME?</v>
      </c>
      <c r="K317" s="15" t="e">
        <f t="shared" ca="1" si="118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41981</v>
      </c>
    </row>
    <row r="318" spans="2:14" x14ac:dyDescent="0.2">
      <c r="B318" s="21" t="s">
        <v>126</v>
      </c>
      <c r="C318" s="20" t="s">
        <v>10</v>
      </c>
      <c r="D318" s="18" t="e">
        <f ca="1">_xll.BDP(C318,"SECURITY_NAME")</f>
        <v>#NAME?</v>
      </c>
      <c r="E318" s="18" t="s">
        <v>50</v>
      </c>
      <c r="F318" s="19">
        <v>2000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116"/>
        <v>#NAME?</v>
      </c>
      <c r="J318" s="16" t="e">
        <f t="shared" ca="1" si="117"/>
        <v>#NAME?</v>
      </c>
      <c r="K318" s="15" t="e">
        <f t="shared" ca="1" si="118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41978</v>
      </c>
    </row>
    <row r="319" spans="2:14" x14ac:dyDescent="0.2">
      <c r="B319" s="21" t="s">
        <v>126</v>
      </c>
      <c r="C319" s="20" t="s">
        <v>10</v>
      </c>
      <c r="D319" s="18" t="e">
        <f ca="1">_xll.BDP(C319,"SECURITY_NAME")</f>
        <v>#NAME?</v>
      </c>
      <c r="E319" s="18" t="s">
        <v>50</v>
      </c>
      <c r="F319" s="19">
        <v>4000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116"/>
        <v>#NAME?</v>
      </c>
      <c r="J319" s="16" t="e">
        <f t="shared" ca="1" si="117"/>
        <v>#NAME?</v>
      </c>
      <c r="K319" s="15" t="e">
        <f t="shared" ca="1" si="118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41974</v>
      </c>
    </row>
    <row r="320" spans="2:14" x14ac:dyDescent="0.2">
      <c r="B320" s="21" t="s">
        <v>126</v>
      </c>
      <c r="C320" s="20" t="s">
        <v>10</v>
      </c>
      <c r="D320" s="18" t="e">
        <f ca="1">_xll.BDP(C320,"SECURITY_NAME")</f>
        <v>#NAME?</v>
      </c>
      <c r="E320" s="18" t="s">
        <v>50</v>
      </c>
      <c r="F320" s="19">
        <v>2000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116"/>
        <v>#NAME?</v>
      </c>
      <c r="J320" s="16" t="e">
        <f t="shared" ca="1" si="117"/>
        <v>#NAME?</v>
      </c>
      <c r="K320" s="15" t="e">
        <f t="shared" ca="1" si="118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41971</v>
      </c>
    </row>
    <row r="321" spans="2:14" x14ac:dyDescent="0.2">
      <c r="B321" s="71"/>
      <c r="C321" s="72"/>
      <c r="D321" s="73"/>
      <c r="E321" s="73"/>
      <c r="F321" s="79">
        <f>SUM(F310:F320)</f>
        <v>66300</v>
      </c>
      <c r="G321" s="87"/>
      <c r="H321" s="99" t="e">
        <f ca="1">I321/F321</f>
        <v>#NAME?</v>
      </c>
      <c r="I321" s="79" t="e">
        <f ca="1">SUM(I310:I320)</f>
        <v>#NAME?</v>
      </c>
      <c r="J321" s="79" t="e">
        <f ca="1">SUM(J310:J320)</f>
        <v>#NAME?</v>
      </c>
      <c r="K321" s="79" t="e">
        <f ca="1">SUM(K310:K320)</f>
        <v>#NAME?</v>
      </c>
      <c r="L321" s="75"/>
      <c r="M321" s="86"/>
      <c r="N321" s="14"/>
    </row>
    <row r="322" spans="2:14" x14ac:dyDescent="0.2">
      <c r="B322" s="71"/>
      <c r="C322" s="72"/>
      <c r="D322" s="73"/>
      <c r="E322" s="73"/>
      <c r="F322" s="79"/>
      <c r="G322" s="87"/>
      <c r="H322" s="99"/>
      <c r="I322" s="79"/>
      <c r="J322" s="79"/>
      <c r="K322" s="79"/>
      <c r="L322" s="75"/>
      <c r="M322" s="86"/>
      <c r="N322" s="14"/>
    </row>
    <row r="323" spans="2:14" x14ac:dyDescent="0.2">
      <c r="B323" s="21" t="s">
        <v>126</v>
      </c>
      <c r="C323" s="20" t="s">
        <v>646</v>
      </c>
      <c r="D323" s="18" t="e">
        <f ca="1">_xll.BDP(C323,"SECURITY_NAME")</f>
        <v>#NAME?</v>
      </c>
      <c r="E323" s="18" t="s">
        <v>50</v>
      </c>
      <c r="F323" s="19">
        <v>300000</v>
      </c>
      <c r="G323" s="18" t="e">
        <f ca="1">_xll.BDP(C323,"CRNCY")</f>
        <v>#NAME?</v>
      </c>
      <c r="H323" s="22">
        <v>96.23</v>
      </c>
      <c r="I323" s="15">
        <f>F323*H323/100</f>
        <v>288690</v>
      </c>
      <c r="J323" s="16" t="e">
        <f ca="1">I323/L323</f>
        <v>#NAME?</v>
      </c>
      <c r="K323" s="15" t="e">
        <f ca="1">J323*L323</f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42354</v>
      </c>
    </row>
    <row r="324" spans="2:14" x14ac:dyDescent="0.2">
      <c r="B324" s="21" t="s">
        <v>126</v>
      </c>
      <c r="C324" s="20" t="s">
        <v>646</v>
      </c>
      <c r="D324" s="18" t="e">
        <f ca="1">_xll.BDP(C324,"SECURITY_NAME")</f>
        <v>#NAME?</v>
      </c>
      <c r="E324" s="18" t="s">
        <v>50</v>
      </c>
      <c r="F324" s="19">
        <v>28000000</v>
      </c>
      <c r="G324" s="18" t="e">
        <f ca="1">_xll.BDP(C324,"CRNCY")</f>
        <v>#NAME?</v>
      </c>
      <c r="H324" s="22">
        <v>96.2</v>
      </c>
      <c r="I324" s="15">
        <f>F324*H324/100</f>
        <v>26936000</v>
      </c>
      <c r="J324" s="16" t="e">
        <f ca="1">I324/L324</f>
        <v>#NAME?</v>
      </c>
      <c r="K324" s="15" t="e">
        <f ca="1">J324*L324</f>
        <v>#NAME?</v>
      </c>
      <c r="L324" s="22" t="e">
        <f ca="1">_xll.BDH("RUB curncy","PX_LAST",$N324)</f>
        <v>#NAME?</v>
      </c>
      <c r="M324" s="85" t="e">
        <f ca="1">1/_xll.BDH("RUB curncy","PX_LAST",$N324)</f>
        <v>#NAME?</v>
      </c>
      <c r="N324" s="14">
        <v>42354</v>
      </c>
    </row>
    <row r="325" spans="2:14" x14ac:dyDescent="0.2">
      <c r="B325" s="21" t="s">
        <v>126</v>
      </c>
      <c r="C325" s="20" t="s">
        <v>646</v>
      </c>
      <c r="D325" s="18" t="e">
        <f ca="1">_xll.BDP(C325,"SECURITY_NAME")</f>
        <v>#NAME?</v>
      </c>
      <c r="E325" s="18" t="s">
        <v>50</v>
      </c>
      <c r="F325" s="19">
        <v>3270000</v>
      </c>
      <c r="G325" s="18" t="e">
        <f ca="1">_xll.BDP(C325,"CRNCY")</f>
        <v>#NAME?</v>
      </c>
      <c r="H325" s="22">
        <v>96.17</v>
      </c>
      <c r="I325" s="15">
        <f>F325*H325/100</f>
        <v>3144759</v>
      </c>
      <c r="J325" s="16" t="e">
        <f ca="1">I325/L325</f>
        <v>#NAME?</v>
      </c>
      <c r="K325" s="15" t="e">
        <f ca="1">J325*L325</f>
        <v>#NAME?</v>
      </c>
      <c r="L325" s="22" t="e">
        <f ca="1">_xll.BDH("RUB curncy","PX_LAST",$N325)</f>
        <v>#NAME?</v>
      </c>
      <c r="M325" s="85" t="e">
        <f ca="1">1/_xll.BDH("RUB curncy","PX_LAST",$N325)</f>
        <v>#NAME?</v>
      </c>
      <c r="N325" s="14">
        <v>42353</v>
      </c>
    </row>
    <row r="326" spans="2:14" x14ac:dyDescent="0.2">
      <c r="B326" s="21" t="s">
        <v>126</v>
      </c>
      <c r="C326" s="20" t="s">
        <v>646</v>
      </c>
      <c r="D326" s="18" t="e">
        <f ca="1">_xll.BDP(C326,"SECURITY_NAME")</f>
        <v>#NAME?</v>
      </c>
      <c r="E326" s="18" t="s">
        <v>50</v>
      </c>
      <c r="F326" s="19">
        <v>17000000</v>
      </c>
      <c r="G326" s="18" t="e">
        <f ca="1">_xll.BDP(C326,"CRNCY")</f>
        <v>#NAME?</v>
      </c>
      <c r="H326" s="22">
        <v>96.2</v>
      </c>
      <c r="I326" s="15">
        <f>F326*H326/100</f>
        <v>16354000</v>
      </c>
      <c r="J326" s="16" t="e">
        <f ca="1">I326/L326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42353</v>
      </c>
    </row>
    <row r="327" spans="2:14" x14ac:dyDescent="0.2">
      <c r="B327" s="71"/>
      <c r="C327" s="72"/>
      <c r="D327" s="73"/>
      <c r="E327" s="73"/>
      <c r="F327" s="79">
        <f>SUM(F323:F326)</f>
        <v>48570000</v>
      </c>
      <c r="G327" s="87"/>
      <c r="H327" s="99">
        <f>I327/F327*100</f>
        <v>96.19816553428042</v>
      </c>
      <c r="I327" s="79">
        <f>SUM(I323:I326)</f>
        <v>46723449</v>
      </c>
      <c r="J327" s="79" t="e">
        <f ca="1">SUM(J323:J326)</f>
        <v>#NAME?</v>
      </c>
      <c r="K327" s="79" t="e">
        <f ca="1">SUM(K323:K326)</f>
        <v>#NAME?</v>
      </c>
      <c r="L327" s="75"/>
      <c r="M327" s="86"/>
      <c r="N327" s="14"/>
    </row>
    <row r="328" spans="2:14" x14ac:dyDescent="0.2">
      <c r="B328" s="71"/>
      <c r="C328" s="72"/>
      <c r="D328" s="73"/>
      <c r="E328" s="73"/>
      <c r="F328" s="79"/>
      <c r="G328" s="87"/>
      <c r="H328" s="99"/>
      <c r="I328" s="79"/>
      <c r="J328" s="79"/>
      <c r="K328" s="79"/>
      <c r="L328" s="75"/>
      <c r="M328" s="86"/>
      <c r="N328" s="14"/>
    </row>
    <row r="329" spans="2:14" x14ac:dyDescent="0.2">
      <c r="B329" s="21" t="s">
        <v>126</v>
      </c>
      <c r="C329" s="20" t="s">
        <v>686</v>
      </c>
      <c r="D329" s="18" t="e">
        <f ca="1">_xll.BDP(C329,"SECURITY_NAME")</f>
        <v>#NAME?</v>
      </c>
      <c r="E329" s="18" t="s">
        <v>50</v>
      </c>
      <c r="F329" s="19">
        <v>30000000</v>
      </c>
      <c r="G329" s="18" t="e">
        <f ca="1">_xll.BDP(C329,"CRNCY")</f>
        <v>#NAME?</v>
      </c>
      <c r="H329" s="22">
        <v>100</v>
      </c>
      <c r="I329" s="15">
        <f>F329*H329/100</f>
        <v>30000000</v>
      </c>
      <c r="J329" s="16" t="e">
        <f ca="1">I329/L329</f>
        <v>#NAME?</v>
      </c>
      <c r="K329" s="15" t="e">
        <f ca="1">J329*L329</f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42454</v>
      </c>
    </row>
    <row r="330" spans="2:14" x14ac:dyDescent="0.2">
      <c r="B330" s="71"/>
      <c r="C330" s="72"/>
      <c r="D330" s="73"/>
      <c r="E330" s="73"/>
      <c r="F330" s="79">
        <f>SUM(F329:F329)</f>
        <v>30000000</v>
      </c>
      <c r="G330" s="87"/>
      <c r="H330" s="99">
        <f>I330/F330*100</f>
        <v>100</v>
      </c>
      <c r="I330" s="79">
        <f>SUM(I329:I329)</f>
        <v>30000000</v>
      </c>
      <c r="J330" s="79" t="e">
        <f ca="1">SUM(J329:J329)</f>
        <v>#NAME?</v>
      </c>
      <c r="K330" s="79" t="e">
        <f ca="1">SUM(K329:K329)</f>
        <v>#NAME?</v>
      </c>
      <c r="L330" s="75"/>
      <c r="M330" s="86"/>
      <c r="N330" s="14"/>
    </row>
    <row r="331" spans="2:14" x14ac:dyDescent="0.2">
      <c r="B331" s="71"/>
      <c r="C331" s="72"/>
      <c r="D331" s="73"/>
      <c r="E331" s="73"/>
      <c r="F331" s="79"/>
      <c r="G331" s="87"/>
      <c r="H331" s="99"/>
      <c r="I331" s="79"/>
      <c r="J331" s="79"/>
      <c r="K331" s="79"/>
      <c r="L331" s="75"/>
      <c r="M331" s="86"/>
      <c r="N331" s="14"/>
    </row>
    <row r="332" spans="2:14" x14ac:dyDescent="0.2">
      <c r="B332" s="21" t="s">
        <v>126</v>
      </c>
      <c r="C332" s="20" t="s">
        <v>687</v>
      </c>
      <c r="D332" s="18" t="e">
        <f ca="1">_xll.BDP(C332,"SECURITY_NAME")</f>
        <v>#NAME?</v>
      </c>
      <c r="E332" s="18" t="s">
        <v>50</v>
      </c>
      <c r="F332" s="19">
        <v>20000000</v>
      </c>
      <c r="G332" s="18" t="e">
        <f ca="1">_xll.BDP(C332,"CRNCY")</f>
        <v>#NAME?</v>
      </c>
      <c r="H332" s="22">
        <v>100</v>
      </c>
      <c r="I332" s="15">
        <f>F332*H332/100</f>
        <v>20000000</v>
      </c>
      <c r="J332" s="16" t="e">
        <f ca="1">I332/L332</f>
        <v>#NAME?</v>
      </c>
      <c r="K332" s="15" t="e">
        <f ca="1">J332*L332</f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42454</v>
      </c>
    </row>
    <row r="333" spans="2:14" x14ac:dyDescent="0.2">
      <c r="B333" s="71"/>
      <c r="C333" s="72"/>
      <c r="D333" s="73"/>
      <c r="E333" s="73"/>
      <c r="F333" s="79">
        <f>SUM(F332:F332)</f>
        <v>20000000</v>
      </c>
      <c r="G333" s="87"/>
      <c r="H333" s="99">
        <f>I333/F333*100</f>
        <v>100</v>
      </c>
      <c r="I333" s="79">
        <f>SUM(I332:I332)</f>
        <v>20000000</v>
      </c>
      <c r="J333" s="79" t="e">
        <f ca="1">SUM(J332:J332)</f>
        <v>#NAME?</v>
      </c>
      <c r="K333" s="79" t="e">
        <f ca="1">SUM(K332:K332)</f>
        <v>#NAME?</v>
      </c>
      <c r="L333" s="75"/>
      <c r="M333" s="86"/>
      <c r="N333" s="14"/>
    </row>
    <row r="334" spans="2:14" x14ac:dyDescent="0.2">
      <c r="B334" s="71"/>
      <c r="C334" s="72"/>
      <c r="D334" s="73"/>
      <c r="E334" s="73"/>
      <c r="F334" s="79"/>
      <c r="G334" s="87"/>
      <c r="H334" s="99"/>
      <c r="I334" s="79"/>
      <c r="J334" s="79"/>
      <c r="K334" s="79"/>
      <c r="L334" s="75"/>
      <c r="M334" s="86"/>
      <c r="N334" s="14"/>
    </row>
    <row r="335" spans="2:14" x14ac:dyDescent="0.2">
      <c r="B335" s="21" t="s">
        <v>126</v>
      </c>
      <c r="C335" s="20" t="s">
        <v>645</v>
      </c>
      <c r="D335" s="18" t="e">
        <f ca="1">_xll.BDP(C335,"SECURITY_NAME")</f>
        <v>#NAME?</v>
      </c>
      <c r="E335" s="18" t="s">
        <v>50</v>
      </c>
      <c r="F335" s="19">
        <v>3000000</v>
      </c>
      <c r="G335" s="18" t="e">
        <f ca="1">_xll.BDP(C335,"CRNCY")</f>
        <v>#NAME?</v>
      </c>
      <c r="H335" s="22">
        <v>92.46</v>
      </c>
      <c r="I335" s="15">
        <f>F335*H335/100</f>
        <v>2773800</v>
      </c>
      <c r="J335" s="16" t="e">
        <f ca="1">I335/L335</f>
        <v>#NAME?</v>
      </c>
      <c r="K335" s="15" t="e">
        <f ca="1">J335*L335</f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42349</v>
      </c>
    </row>
    <row r="336" spans="2:14" x14ac:dyDescent="0.2">
      <c r="B336" s="71"/>
      <c r="C336" s="72"/>
      <c r="D336" s="73"/>
      <c r="E336" s="73"/>
      <c r="F336" s="79">
        <f>SUM(F335:F335)</f>
        <v>3000000</v>
      </c>
      <c r="G336" s="87"/>
      <c r="H336" s="99">
        <f>I336/F336*100</f>
        <v>92.46</v>
      </c>
      <c r="I336" s="79">
        <f>SUM(I335:I335)</f>
        <v>2773800</v>
      </c>
      <c r="J336" s="79" t="e">
        <f ca="1">SUM(J335:J335)</f>
        <v>#NAME?</v>
      </c>
      <c r="K336" s="79" t="e">
        <f ca="1">SUM(K335:K335)</f>
        <v>#NAME?</v>
      </c>
      <c r="L336" s="75"/>
      <c r="M336" s="86"/>
      <c r="N336" s="14"/>
    </row>
    <row r="337" spans="2:14" x14ac:dyDescent="0.2">
      <c r="B337" s="71"/>
      <c r="C337" s="72"/>
      <c r="D337" s="73"/>
      <c r="E337" s="73"/>
      <c r="F337" s="79"/>
      <c r="G337" s="87"/>
      <c r="H337" s="99"/>
      <c r="I337" s="79"/>
      <c r="J337" s="79"/>
      <c r="K337" s="79"/>
      <c r="L337" s="75"/>
      <c r="M337" s="86"/>
      <c r="N337" s="14"/>
    </row>
    <row r="338" spans="2:14" x14ac:dyDescent="0.2">
      <c r="B338" s="21" t="s">
        <v>126</v>
      </c>
      <c r="C338" s="20" t="s">
        <v>462</v>
      </c>
      <c r="D338" s="18" t="e">
        <f ca="1">_xll.BDP(C338,"SECURITY_NAME")</f>
        <v>#NAME?</v>
      </c>
      <c r="E338" s="18" t="s">
        <v>50</v>
      </c>
      <c r="F338" s="19">
        <v>50000000</v>
      </c>
      <c r="G338" s="18" t="e">
        <f ca="1">_xll.BDP(C338,"CRNCY")</f>
        <v>#NAME?</v>
      </c>
      <c r="H338" s="22">
        <v>98.05</v>
      </c>
      <c r="I338" s="15">
        <f>F338*H338/100</f>
        <v>49025000</v>
      </c>
      <c r="J338" s="16" t="e">
        <f ca="1">I338/L338</f>
        <v>#NAME?</v>
      </c>
      <c r="K338" s="15" t="e">
        <f ca="1">J338*L338</f>
        <v>#NAME?</v>
      </c>
      <c r="L338" s="22" t="e">
        <f ca="1">_xll.BDH("RUB curncy","PX_LAST",$N338)</f>
        <v>#NAME?</v>
      </c>
      <c r="M338" s="85" t="e">
        <f ca="1">1/_xll.BDH("RUB curncy","PX_LAST",$N338)</f>
        <v>#NAME?</v>
      </c>
      <c r="N338" s="14">
        <v>42313</v>
      </c>
    </row>
    <row r="339" spans="2:14" x14ac:dyDescent="0.2">
      <c r="B339" s="71"/>
      <c r="C339" s="72"/>
      <c r="D339" s="73"/>
      <c r="E339" s="73"/>
      <c r="F339" s="79">
        <f>SUM(F338:F338)</f>
        <v>50000000</v>
      </c>
      <c r="G339" s="87"/>
      <c r="H339" s="99">
        <f>I339/F339*100</f>
        <v>98.05</v>
      </c>
      <c r="I339" s="79">
        <f>SUM(I338:I338)</f>
        <v>49025000</v>
      </c>
      <c r="J339" s="79" t="e">
        <f ca="1">SUM(J338:J338)</f>
        <v>#NAME?</v>
      </c>
      <c r="K339" s="79" t="e">
        <f ca="1">SUM(K338:K338)</f>
        <v>#NAME?</v>
      </c>
      <c r="L339" s="75"/>
      <c r="M339" s="86"/>
      <c r="N339" s="14"/>
    </row>
    <row r="340" spans="2:14" x14ac:dyDescent="0.2">
      <c r="B340" s="71"/>
      <c r="C340" s="72"/>
      <c r="D340" s="73"/>
      <c r="E340" s="73"/>
      <c r="F340" s="79"/>
      <c r="G340" s="87"/>
      <c r="H340" s="99"/>
      <c r="I340" s="79"/>
      <c r="J340" s="79"/>
      <c r="K340" s="79"/>
      <c r="L340" s="75"/>
      <c r="M340" s="86"/>
      <c r="N340" s="14"/>
    </row>
    <row r="341" spans="2:14" x14ac:dyDescent="0.2">
      <c r="B341" s="21" t="s">
        <v>126</v>
      </c>
      <c r="C341" s="20" t="s">
        <v>264</v>
      </c>
      <c r="D341" s="18" t="e">
        <f ca="1">_xll.BDP(C341,"SECURITY_NAME")</f>
        <v>#NAME?</v>
      </c>
      <c r="E341" s="18" t="s">
        <v>50</v>
      </c>
      <c r="F341" s="19">
        <v>32000000</v>
      </c>
      <c r="G341" s="18" t="e">
        <f ca="1">_xll.BDP(C341,"CRNCY")</f>
        <v>#NAME?</v>
      </c>
      <c r="H341" s="22">
        <v>84.03</v>
      </c>
      <c r="I341" s="15">
        <f>F341*H341/100</f>
        <v>26889600</v>
      </c>
      <c r="J341" s="16" t="e">
        <f ca="1">I341/L341</f>
        <v>#NAME?</v>
      </c>
      <c r="K341" s="15" t="e">
        <f ca="1">J341*L341</f>
        <v>#NAME?</v>
      </c>
      <c r="L341" s="22" t="e">
        <f ca="1">_xll.BDH("RUB curncy","PX_LAST",$N341)</f>
        <v>#NAME?</v>
      </c>
      <c r="M341" s="85" t="e">
        <f ca="1">1/_xll.BDH("RUB curncy","PX_LAST",$N341)</f>
        <v>#NAME?</v>
      </c>
      <c r="N341" s="14">
        <v>41992</v>
      </c>
    </row>
    <row r="342" spans="2:14" x14ac:dyDescent="0.2">
      <c r="B342" s="71"/>
      <c r="C342" s="72"/>
      <c r="D342" s="73"/>
      <c r="E342" s="73"/>
      <c r="F342" s="79">
        <f>SUM(F341:F341)</f>
        <v>32000000</v>
      </c>
      <c r="G342" s="87"/>
      <c r="H342" s="99">
        <f>I342/F342*100</f>
        <v>84.03</v>
      </c>
      <c r="I342" s="79">
        <f>SUM(I341:I341)</f>
        <v>26889600</v>
      </c>
      <c r="J342" s="79" t="e">
        <f ca="1">SUM(J341:J341)</f>
        <v>#NAME?</v>
      </c>
      <c r="K342" s="79" t="e">
        <f ca="1">SUM(K341:K341)</f>
        <v>#NAME?</v>
      </c>
      <c r="L342" s="75"/>
      <c r="M342" s="86"/>
      <c r="N342" s="14"/>
    </row>
    <row r="343" spans="2:14" x14ac:dyDescent="0.2">
      <c r="B343" s="71"/>
      <c r="C343" s="72"/>
      <c r="D343" s="73"/>
      <c r="E343" s="73"/>
      <c r="F343" s="79"/>
      <c r="G343" s="87"/>
      <c r="H343" s="99"/>
      <c r="I343" s="79"/>
      <c r="J343" s="79"/>
      <c r="K343" s="79"/>
      <c r="L343" s="75"/>
      <c r="M343" s="86"/>
      <c r="N343" s="14"/>
    </row>
    <row r="344" spans="2:14" x14ac:dyDescent="0.2">
      <c r="B344" s="21" t="s">
        <v>126</v>
      </c>
      <c r="C344" s="20" t="s">
        <v>266</v>
      </c>
      <c r="D344" s="18" t="e">
        <f ca="1">_xll.BDP(C344,"SECURITY_NAME")</f>
        <v>#NAME?</v>
      </c>
      <c r="E344" s="18" t="s">
        <v>50</v>
      </c>
      <c r="F344" s="19">
        <v>50000000</v>
      </c>
      <c r="G344" s="18" t="e">
        <f ca="1">_xll.BDP(C344,"CRNCY")</f>
        <v>#NAME?</v>
      </c>
      <c r="H344" s="22">
        <v>81.03</v>
      </c>
      <c r="I344" s="15">
        <f>F344*H344/100</f>
        <v>40515000</v>
      </c>
      <c r="J344" s="16" t="e">
        <f ca="1">I344/L344</f>
        <v>#NAME?</v>
      </c>
      <c r="K344" s="15" t="e">
        <f ca="1">J344*L344</f>
        <v>#NAME?</v>
      </c>
      <c r="L344" s="22" t="e">
        <f ca="1">_xll.BDH("RUB curncy","PX_LAST",$N344)</f>
        <v>#NAME?</v>
      </c>
      <c r="M344" s="85" t="e">
        <f ca="1">1/_xll.BDH("RUB curncy","PX_LAST",$N344)</f>
        <v>#NAME?</v>
      </c>
      <c r="N344" s="14">
        <v>41992</v>
      </c>
    </row>
    <row r="345" spans="2:14" x14ac:dyDescent="0.2">
      <c r="B345" s="71"/>
      <c r="C345" s="72"/>
      <c r="D345" s="73"/>
      <c r="E345" s="73"/>
      <c r="F345" s="79">
        <f>SUM(F344)</f>
        <v>50000000</v>
      </c>
      <c r="G345" s="87"/>
      <c r="H345" s="99">
        <f>I345/F345*100</f>
        <v>81.03</v>
      </c>
      <c r="I345" s="79">
        <f>SUM(I344)</f>
        <v>40515000</v>
      </c>
      <c r="J345" s="79" t="e">
        <f ca="1">SUM(J344)</f>
        <v>#NAME?</v>
      </c>
      <c r="K345" s="79" t="e">
        <f ca="1">SUM(K344)</f>
        <v>#NAME?</v>
      </c>
      <c r="L345" s="75"/>
      <c r="M345" s="86"/>
      <c r="N345" s="14"/>
    </row>
    <row r="346" spans="2:14" x14ac:dyDescent="0.2">
      <c r="B346" s="71"/>
      <c r="C346" s="72"/>
      <c r="D346" s="73"/>
      <c r="E346" s="73"/>
      <c r="F346" s="79"/>
      <c r="G346" s="87"/>
      <c r="H346" s="99"/>
      <c r="I346" s="79"/>
      <c r="J346" s="79"/>
      <c r="K346" s="79"/>
      <c r="L346" s="75"/>
      <c r="M346" s="86"/>
      <c r="N346" s="14"/>
    </row>
    <row r="347" spans="2:14" x14ac:dyDescent="0.2">
      <c r="B347" s="21" t="s">
        <v>126</v>
      </c>
      <c r="C347" s="20" t="s">
        <v>268</v>
      </c>
      <c r="D347" s="18" t="e">
        <f ca="1">_xll.BDP(C347,"SECURITY_NAME")</f>
        <v>#NAME?</v>
      </c>
      <c r="E347" s="18" t="s">
        <v>50</v>
      </c>
      <c r="F347" s="19">
        <v>50000000</v>
      </c>
      <c r="G347" s="18" t="e">
        <f ca="1">_xll.BDP(C347,"CRNCY")</f>
        <v>#NAME?</v>
      </c>
      <c r="H347" s="22">
        <v>70.03</v>
      </c>
      <c r="I347" s="15">
        <f>F347*H347/100</f>
        <v>35015000</v>
      </c>
      <c r="J347" s="16" t="e">
        <f ca="1">I347/L347</f>
        <v>#NAME?</v>
      </c>
      <c r="K347" s="15" t="e">
        <f ca="1">J347*L347</f>
        <v>#NAME?</v>
      </c>
      <c r="L347" s="22" t="e">
        <f ca="1">_xll.BDH("RUB curncy","PX_LAST",$N347)</f>
        <v>#NAME?</v>
      </c>
      <c r="M347" s="85" t="e">
        <f ca="1">1/_xll.BDH("RUB curncy","PX_LAST",$N347)</f>
        <v>#NAME?</v>
      </c>
      <c r="N347" s="14">
        <v>41992</v>
      </c>
    </row>
    <row r="348" spans="2:14" x14ac:dyDescent="0.2">
      <c r="B348" s="71"/>
      <c r="C348" s="72"/>
      <c r="D348" s="73"/>
      <c r="E348" s="73"/>
      <c r="F348" s="79">
        <f>SUM(F347)</f>
        <v>50000000</v>
      </c>
      <c r="G348" s="87"/>
      <c r="H348" s="99">
        <f>I348/F348*100</f>
        <v>70.03</v>
      </c>
      <c r="I348" s="79">
        <f>SUM(I347)</f>
        <v>35015000</v>
      </c>
      <c r="J348" s="79" t="e">
        <f ca="1">SUM(J347)</f>
        <v>#NAME?</v>
      </c>
      <c r="K348" s="79" t="e">
        <f ca="1">SUM(K347)</f>
        <v>#NAME?</v>
      </c>
      <c r="L348" s="75"/>
      <c r="M348" s="86"/>
      <c r="N348" s="14"/>
    </row>
    <row r="349" spans="2:14" x14ac:dyDescent="0.2">
      <c r="B349" s="71"/>
      <c r="C349" s="72"/>
      <c r="D349" s="73"/>
      <c r="E349" s="73"/>
      <c r="F349" s="79"/>
      <c r="G349" s="87"/>
      <c r="H349" s="99"/>
      <c r="I349" s="79"/>
      <c r="J349" s="79"/>
      <c r="K349" s="79"/>
      <c r="L349" s="75"/>
      <c r="M349" s="86"/>
      <c r="N349" s="14"/>
    </row>
    <row r="350" spans="2:14" x14ac:dyDescent="0.2">
      <c r="B350" s="21" t="s">
        <v>126</v>
      </c>
      <c r="C350" s="20" t="s">
        <v>270</v>
      </c>
      <c r="D350" s="18" t="e">
        <f ca="1">_xll.BDP(C350,"SECURITY_NAME")</f>
        <v>#NAME?</v>
      </c>
      <c r="E350" s="18" t="s">
        <v>50</v>
      </c>
      <c r="F350" s="19">
        <v>30000000</v>
      </c>
      <c r="G350" s="18" t="e">
        <f ca="1">_xll.BDP(C350,"CRNCY")</f>
        <v>#NAME?</v>
      </c>
      <c r="H350" s="22">
        <v>91.73</v>
      </c>
      <c r="I350" s="15">
        <f>F350*H350/100</f>
        <v>27519000</v>
      </c>
      <c r="J350" s="16" t="e">
        <f ca="1">I350/L350</f>
        <v>#NAME?</v>
      </c>
      <c r="K350" s="15" t="e">
        <f ca="1">J350*L350</f>
        <v>#NAME?</v>
      </c>
      <c r="L350" s="22" t="e">
        <f ca="1">_xll.BDH("RUB curncy","PX_LAST",$N350)</f>
        <v>#NAME?</v>
      </c>
      <c r="M350" s="85" t="e">
        <f ca="1">1/_xll.BDH("RUB curncy","PX_LAST",$N350)</f>
        <v>#NAME?</v>
      </c>
      <c r="N350" s="14">
        <v>42303</v>
      </c>
    </row>
    <row r="351" spans="2:14" x14ac:dyDescent="0.2">
      <c r="B351" s="21" t="s">
        <v>126</v>
      </c>
      <c r="C351" s="20" t="s">
        <v>270</v>
      </c>
      <c r="D351" s="18" t="e">
        <f ca="1">_xll.BDP(C351,"SECURITY_NAME")</f>
        <v>#NAME?</v>
      </c>
      <c r="E351" s="18" t="s">
        <v>50</v>
      </c>
      <c r="F351" s="19">
        <v>50000000</v>
      </c>
      <c r="G351" s="18" t="e">
        <f ca="1">_xll.BDP(C351,"CRNCY")</f>
        <v>#NAME?</v>
      </c>
      <c r="H351" s="22">
        <v>67.03</v>
      </c>
      <c r="I351" s="15">
        <f>F351*H351/100</f>
        <v>33515000</v>
      </c>
      <c r="J351" s="16" t="e">
        <f ca="1">I351/L351</f>
        <v>#NAME?</v>
      </c>
      <c r="K351" s="15" t="e">
        <f ca="1">J351*L351</f>
        <v>#NAME?</v>
      </c>
      <c r="L351" s="22" t="e">
        <f ca="1">_xll.BDH("RUB curncy","PX_LAST",$N351)</f>
        <v>#NAME?</v>
      </c>
      <c r="M351" s="85" t="e">
        <f ca="1">1/_xll.BDH("RUB curncy","PX_LAST",$N351)</f>
        <v>#NAME?</v>
      </c>
      <c r="N351" s="14">
        <v>41992</v>
      </c>
    </row>
    <row r="352" spans="2:14" x14ac:dyDescent="0.2">
      <c r="B352" s="71"/>
      <c r="C352" s="72"/>
      <c r="D352" s="73"/>
      <c r="E352" s="73"/>
      <c r="F352" s="79">
        <f>SUM(F350:F351)</f>
        <v>80000000</v>
      </c>
      <c r="G352" s="87"/>
      <c r="H352" s="99">
        <f>I352/F352*100</f>
        <v>76.29249999999999</v>
      </c>
      <c r="I352" s="79">
        <f>SUM(I350:I351)</f>
        <v>61034000</v>
      </c>
      <c r="J352" s="79" t="e">
        <f ca="1">SUM(J350:J351)</f>
        <v>#NAME?</v>
      </c>
      <c r="K352" s="79" t="e">
        <f ca="1">SUM(K350:K351)</f>
        <v>#NAME?</v>
      </c>
      <c r="L352" s="75"/>
      <c r="M352" s="86"/>
      <c r="N352" s="14"/>
    </row>
    <row r="353" spans="2:14" x14ac:dyDescent="0.2">
      <c r="B353" s="71"/>
      <c r="C353" s="72"/>
      <c r="D353" s="73"/>
      <c r="E353" s="73"/>
      <c r="F353" s="79"/>
      <c r="G353" s="87"/>
      <c r="H353" s="99"/>
      <c r="I353" s="79"/>
      <c r="J353" s="79"/>
      <c r="K353" s="79"/>
      <c r="L353" s="75"/>
      <c r="M353" s="86"/>
      <c r="N353" s="14"/>
    </row>
    <row r="354" spans="2:14" x14ac:dyDescent="0.2">
      <c r="B354" s="21" t="s">
        <v>126</v>
      </c>
      <c r="C354" s="20" t="s">
        <v>271</v>
      </c>
      <c r="D354" s="18" t="e">
        <f ca="1">_xll.BDP(C354,"SECURITY_NAME")</f>
        <v>#NAME?</v>
      </c>
      <c r="E354" s="18" t="s">
        <v>50</v>
      </c>
      <c r="F354" s="19">
        <v>17000000</v>
      </c>
      <c r="G354" s="18" t="e">
        <f ca="1">_xll.BDP(C354,"CRNCY")</f>
        <v>#NAME?</v>
      </c>
      <c r="H354" s="22">
        <v>87.58</v>
      </c>
      <c r="I354" s="15">
        <f>F354*H354/100</f>
        <v>14888600</v>
      </c>
      <c r="J354" s="16" t="e">
        <f ca="1">I354/L354</f>
        <v>#NAME?</v>
      </c>
      <c r="K354" s="15" t="e">
        <f ca="1">J354*L354</f>
        <v>#NAME?</v>
      </c>
      <c r="L354" s="22" t="e">
        <f ca="1">_xll.BDH("RUB curncy","PX_LAST",$N354)</f>
        <v>#NAME?</v>
      </c>
      <c r="M354" s="85" t="e">
        <f ca="1">1/_xll.BDH("RUB curncy","PX_LAST",$N354)</f>
        <v>#NAME?</v>
      </c>
      <c r="N354" s="14">
        <v>41992</v>
      </c>
    </row>
    <row r="355" spans="2:14" x14ac:dyDescent="0.2">
      <c r="B355" s="71"/>
      <c r="C355" s="72"/>
      <c r="D355" s="73"/>
      <c r="E355" s="73"/>
      <c r="F355" s="79">
        <f>SUM(F354)</f>
        <v>17000000</v>
      </c>
      <c r="G355" s="87"/>
      <c r="H355" s="99">
        <f>I355/F355*100</f>
        <v>87.58</v>
      </c>
      <c r="I355" s="79">
        <f>SUM(I354)</f>
        <v>14888600</v>
      </c>
      <c r="J355" s="79" t="e">
        <f ca="1">SUM(J354)</f>
        <v>#NAME?</v>
      </c>
      <c r="K355" s="79" t="e">
        <f ca="1">SUM(K354)</f>
        <v>#NAME?</v>
      </c>
      <c r="L355" s="75"/>
      <c r="M355" s="86"/>
      <c r="N355" s="14"/>
    </row>
    <row r="356" spans="2:14" x14ac:dyDescent="0.2">
      <c r="B356" s="71"/>
      <c r="C356" s="72"/>
      <c r="D356" s="73"/>
      <c r="E356" s="73"/>
      <c r="F356" s="79"/>
      <c r="G356" s="87"/>
      <c r="H356" s="99"/>
      <c r="I356" s="79"/>
      <c r="J356" s="79"/>
      <c r="K356" s="79"/>
      <c r="L356" s="75"/>
      <c r="M356" s="86"/>
      <c r="N356" s="14"/>
    </row>
    <row r="357" spans="2:14" x14ac:dyDescent="0.2">
      <c r="B357" s="21" t="s">
        <v>126</v>
      </c>
      <c r="C357" s="20" t="s">
        <v>273</v>
      </c>
      <c r="D357" s="18" t="e">
        <f ca="1">_xll.BDP(C357,"SECURITY_NAME")</f>
        <v>#NAME?</v>
      </c>
      <c r="E357" s="18" t="s">
        <v>50</v>
      </c>
      <c r="F357" s="19">
        <v>50000000</v>
      </c>
      <c r="G357" s="18" t="e">
        <f ca="1">_xll.BDP(C357,"CRNCY")</f>
        <v>#NAME?</v>
      </c>
      <c r="H357" s="22">
        <v>91.53</v>
      </c>
      <c r="I357" s="15">
        <f>F357*H357/100</f>
        <v>45765000</v>
      </c>
      <c r="J357" s="16" t="e">
        <f ca="1">I357/L357</f>
        <v>#NAME?</v>
      </c>
      <c r="K357" s="15" t="e">
        <f ca="1">J357*L357</f>
        <v>#NAME?</v>
      </c>
      <c r="L357" s="22" t="e">
        <f ca="1">_xll.BDH("RUB curncy","PX_LAST",$N357)</f>
        <v>#NAME?</v>
      </c>
      <c r="M357" s="85" t="e">
        <f ca="1">1/_xll.BDH("RUB curncy","PX_LAST",$N357)</f>
        <v>#NAME?</v>
      </c>
      <c r="N357" s="14">
        <v>41995</v>
      </c>
    </row>
    <row r="358" spans="2:14" x14ac:dyDescent="0.2">
      <c r="B358" s="71"/>
      <c r="C358" s="72"/>
      <c r="D358" s="73"/>
      <c r="E358" s="73"/>
      <c r="F358" s="79">
        <f>SUM(F357)</f>
        <v>50000000</v>
      </c>
      <c r="G358" s="87"/>
      <c r="H358" s="99">
        <f>I358/F358*100</f>
        <v>91.53</v>
      </c>
      <c r="I358" s="79">
        <f>SUM(I357)</f>
        <v>45765000</v>
      </c>
      <c r="J358" s="79" t="e">
        <f ca="1">SUM(J357)</f>
        <v>#NAME?</v>
      </c>
      <c r="K358" s="79" t="e">
        <f ca="1">SUM(K357)</f>
        <v>#NAME?</v>
      </c>
      <c r="L358" s="75"/>
      <c r="M358" s="86"/>
      <c r="N358" s="14"/>
    </row>
    <row r="359" spans="2:14" x14ac:dyDescent="0.2">
      <c r="B359" s="71"/>
      <c r="C359" s="72"/>
      <c r="D359" s="73"/>
      <c r="E359" s="73"/>
      <c r="F359" s="79"/>
      <c r="G359" s="87"/>
      <c r="H359" s="99"/>
      <c r="I359" s="79"/>
      <c r="J359" s="79"/>
      <c r="K359" s="79"/>
      <c r="L359" s="75"/>
      <c r="M359" s="86"/>
      <c r="N359" s="14"/>
    </row>
    <row r="360" spans="2:14" x14ac:dyDescent="0.2">
      <c r="B360" s="21" t="s">
        <v>126</v>
      </c>
      <c r="C360" s="20" t="s">
        <v>262</v>
      </c>
      <c r="D360" s="18" t="e">
        <f ca="1">_xll.BDP(C360,"SECURITY_NAME")</f>
        <v>#NAME?</v>
      </c>
      <c r="E360" s="18" t="s">
        <v>50</v>
      </c>
      <c r="F360" s="19">
        <v>17000000</v>
      </c>
      <c r="G360" s="18" t="e">
        <f ca="1">_xll.BDP(C360,"CRNCY")</f>
        <v>#NAME?</v>
      </c>
      <c r="H360" s="22">
        <v>84.6</v>
      </c>
      <c r="I360" s="15">
        <f>F360*H360/100</f>
        <v>14382000</v>
      </c>
      <c r="J360" s="16" t="e">
        <f ca="1">I360/L360</f>
        <v>#NAME?</v>
      </c>
      <c r="K360" s="15" t="e">
        <f ca="1">J360*L360</f>
        <v>#NAME?</v>
      </c>
      <c r="L360" s="22" t="e">
        <f ca="1">_xll.BDH("RUB curncy","PX_LAST",$N360)</f>
        <v>#NAME?</v>
      </c>
      <c r="M360" s="85" t="e">
        <f ca="1">1/_xll.BDH("RUB curncy","PX_LAST",$N360)</f>
        <v>#NAME?</v>
      </c>
      <c r="N360" s="14">
        <v>41992</v>
      </c>
    </row>
    <row r="361" spans="2:14" x14ac:dyDescent="0.2">
      <c r="B361" s="71"/>
      <c r="C361" s="72"/>
      <c r="D361" s="73"/>
      <c r="E361" s="73"/>
      <c r="F361" s="79">
        <f>SUM(F360)</f>
        <v>17000000</v>
      </c>
      <c r="G361" s="87"/>
      <c r="H361" s="99">
        <f>I361/F361*100</f>
        <v>84.6</v>
      </c>
      <c r="I361" s="79">
        <f>SUM(I360)</f>
        <v>14382000</v>
      </c>
      <c r="J361" s="79" t="e">
        <f ca="1">SUM(J360)</f>
        <v>#NAME?</v>
      </c>
      <c r="K361" s="79" t="e">
        <f ca="1">SUM(K360)</f>
        <v>#NAME?</v>
      </c>
      <c r="L361" s="75"/>
      <c r="M361" s="86"/>
      <c r="N361" s="14"/>
    </row>
    <row r="362" spans="2:14" x14ac:dyDescent="0.2">
      <c r="B362" s="71"/>
      <c r="C362" s="72"/>
      <c r="D362" s="73"/>
      <c r="E362" s="73"/>
      <c r="F362" s="79"/>
      <c r="G362" s="87"/>
      <c r="H362" s="99"/>
      <c r="I362" s="79"/>
      <c r="J362" s="79"/>
      <c r="K362" s="79"/>
      <c r="L362" s="75"/>
      <c r="M362" s="86"/>
      <c r="N362" s="14"/>
    </row>
    <row r="363" spans="2:14" x14ac:dyDescent="0.2">
      <c r="B363" s="21" t="s">
        <v>126</v>
      </c>
      <c r="C363" s="20" t="s">
        <v>281</v>
      </c>
      <c r="D363" s="18" t="e">
        <f ca="1">_xll.BDP(C363,"SECURITY_NAME")</f>
        <v>#NAME?</v>
      </c>
      <c r="E363" s="18" t="s">
        <v>50</v>
      </c>
      <c r="F363" s="19">
        <v>430000</v>
      </c>
      <c r="G363" s="18" t="e">
        <f ca="1">_xll.BDP(C363,"CRNCY")</f>
        <v>#NAME?</v>
      </c>
      <c r="H363" s="22">
        <v>100</v>
      </c>
      <c r="I363" s="15">
        <f>F363*H363/100</f>
        <v>430000</v>
      </c>
      <c r="J363" s="16">
        <f>I363</f>
        <v>430000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41968</v>
      </c>
    </row>
    <row r="364" spans="2:14" x14ac:dyDescent="0.2">
      <c r="B364" s="71"/>
      <c r="C364" s="72"/>
      <c r="D364" s="73"/>
      <c r="E364" s="73">
        <f>344000/F364</f>
        <v>0.8</v>
      </c>
      <c r="F364" s="79">
        <f>SUM(F363)</f>
        <v>430000</v>
      </c>
      <c r="G364" s="87"/>
      <c r="H364" s="99">
        <f>I364/F364*100</f>
        <v>100</v>
      </c>
      <c r="I364" s="79">
        <f>SUM(I363)</f>
        <v>430000</v>
      </c>
      <c r="J364" s="79">
        <f>SUM(J363)</f>
        <v>430000</v>
      </c>
      <c r="K364" s="79" t="e">
        <f ca="1">SUM(K363)*E364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87"/>
      <c r="H365" s="99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282</v>
      </c>
      <c r="D366" s="18" t="e">
        <f ca="1">_xll.BDP(C366,"SECURITY_NAME")</f>
        <v>#NAME?</v>
      </c>
      <c r="E366" s="18" t="s">
        <v>50</v>
      </c>
      <c r="F366" s="19">
        <v>400000</v>
      </c>
      <c r="G366" s="18" t="e">
        <f ca="1">_xll.BDP(C366,"CRNCY")</f>
        <v>#NAME?</v>
      </c>
      <c r="H366" s="22">
        <v>101.25</v>
      </c>
      <c r="I366" s="15">
        <f>F366*H366/100</f>
        <v>405000</v>
      </c>
      <c r="J366" s="16">
        <f>I366</f>
        <v>405000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41968</v>
      </c>
    </row>
    <row r="367" spans="2:14" x14ac:dyDescent="0.2">
      <c r="B367" s="71"/>
      <c r="C367" s="72"/>
      <c r="D367" s="73"/>
      <c r="E367" s="73"/>
      <c r="F367" s="79">
        <f>SUM(F366)</f>
        <v>400000</v>
      </c>
      <c r="G367" s="87"/>
      <c r="H367" s="99">
        <f>I367/F367*100</f>
        <v>101.25</v>
      </c>
      <c r="I367" s="79">
        <f>SUM(I366)</f>
        <v>405000</v>
      </c>
      <c r="J367" s="79">
        <f>SUM(J366)</f>
        <v>405000</v>
      </c>
      <c r="K367" s="79" t="e">
        <f ca="1">SUM(K366)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87"/>
      <c r="H368" s="99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242</v>
      </c>
      <c r="D369" s="18" t="e">
        <f ca="1">_xll.BDP(C369,"SECURITY_NAME")</f>
        <v>#NAME?</v>
      </c>
      <c r="E369" s="18" t="s">
        <v>50</v>
      </c>
      <c r="F369" s="19">
        <v>500000</v>
      </c>
      <c r="G369" s="18" t="e">
        <f ca="1">_xll.BDP(C369,"CRNCY")</f>
        <v>#NAME?</v>
      </c>
      <c r="H369" s="22">
        <v>92.28</v>
      </c>
      <c r="I369" s="15">
        <f>F369*H369/100</f>
        <v>461400</v>
      </c>
      <c r="J369" s="16">
        <f>I369</f>
        <v>461400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41991</v>
      </c>
    </row>
    <row r="370" spans="2:14" x14ac:dyDescent="0.2">
      <c r="B370" s="71"/>
      <c r="C370" s="72"/>
      <c r="D370" s="73"/>
      <c r="E370" s="73"/>
      <c r="F370" s="79">
        <f>SUM(F369)</f>
        <v>500000</v>
      </c>
      <c r="G370" s="87"/>
      <c r="H370" s="99">
        <f>I370/F370*100</f>
        <v>92.28</v>
      </c>
      <c r="I370" s="79">
        <f>SUM(I369)</f>
        <v>461400</v>
      </c>
      <c r="J370" s="79">
        <f>SUM(J369)</f>
        <v>461400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87"/>
      <c r="H371" s="99"/>
      <c r="I371" s="79"/>
      <c r="J371" s="79"/>
      <c r="K371" s="79"/>
      <c r="L371" s="75"/>
      <c r="M371" s="86"/>
      <c r="N371" s="14"/>
    </row>
    <row r="372" spans="2:14" x14ac:dyDescent="0.2">
      <c r="B372" s="21" t="s">
        <v>126</v>
      </c>
      <c r="C372" s="20" t="s">
        <v>321</v>
      </c>
      <c r="D372" s="18" t="e">
        <f ca="1">_xll.BDP(C372,"SECURITY_NAME")</f>
        <v>#NAME?</v>
      </c>
      <c r="E372" s="18" t="s">
        <v>50</v>
      </c>
      <c r="F372" s="19">
        <v>400000</v>
      </c>
      <c r="G372" s="18" t="e">
        <f ca="1">_xll.BDP(C372,"CRNCY")</f>
        <v>#NAME?</v>
      </c>
      <c r="H372" s="22">
        <v>85.65</v>
      </c>
      <c r="I372" s="15">
        <f>F372*H372/100</f>
        <v>342600</v>
      </c>
      <c r="J372" s="16">
        <f>I372</f>
        <v>342600</v>
      </c>
      <c r="K372" s="15" t="e">
        <f ca="1">J372*L372</f>
        <v>#NAME?</v>
      </c>
      <c r="L372" s="22" t="e">
        <f ca="1">_xll.BDH("RUB curncy","PX_LAST",$N372)</f>
        <v>#NAME?</v>
      </c>
      <c r="M372" s="85" t="e">
        <f ca="1">1/_xll.BDH("RUB curncy","PX_LAST",$N372)</f>
        <v>#NAME?</v>
      </c>
      <c r="N372" s="14">
        <v>42278</v>
      </c>
    </row>
    <row r="373" spans="2:14" x14ac:dyDescent="0.2">
      <c r="B373" s="21" t="s">
        <v>126</v>
      </c>
      <c r="C373" s="20" t="s">
        <v>321</v>
      </c>
      <c r="D373" s="18" t="e">
        <f ca="1">_xll.BDP(C373,"SECURITY_NAME")</f>
        <v>#NAME?</v>
      </c>
      <c r="E373" s="18" t="s">
        <v>50</v>
      </c>
      <c r="F373" s="19">
        <v>200000</v>
      </c>
      <c r="G373" s="18" t="e">
        <f ca="1">_xll.BDP(C373,"CRNCY")</f>
        <v>#NAME?</v>
      </c>
      <c r="H373" s="22">
        <v>79.78</v>
      </c>
      <c r="I373" s="15">
        <f>F373*H373/100</f>
        <v>159560</v>
      </c>
      <c r="J373" s="16">
        <f>I373</f>
        <v>159560</v>
      </c>
      <c r="K373" s="15" t="e">
        <f ca="1">J373*L373</f>
        <v>#NAME?</v>
      </c>
      <c r="L373" s="22" t="e">
        <f ca="1">_xll.BDH("RUB curncy","PX_LAST",$N373)</f>
        <v>#NAME?</v>
      </c>
      <c r="M373" s="85" t="e">
        <f ca="1">1/_xll.BDH("RUB curncy","PX_LAST",$N373)</f>
        <v>#NAME?</v>
      </c>
      <c r="N373" s="14">
        <v>42051</v>
      </c>
    </row>
    <row r="374" spans="2:14" x14ac:dyDescent="0.2">
      <c r="B374" s="21" t="s">
        <v>126</v>
      </c>
      <c r="C374" s="20" t="s">
        <v>321</v>
      </c>
      <c r="D374" s="18" t="e">
        <f ca="1">_xll.BDP(C374,"SECURITY_NAME")</f>
        <v>#NAME?</v>
      </c>
      <c r="E374" s="18" t="s">
        <v>50</v>
      </c>
      <c r="F374" s="19">
        <v>400000</v>
      </c>
      <c r="G374" s="18" t="e">
        <f ca="1">_xll.BDP(C374,"CRNCY")</f>
        <v>#NAME?</v>
      </c>
      <c r="H374" s="22">
        <v>83.78</v>
      </c>
      <c r="I374" s="15">
        <f>F374*H374/100</f>
        <v>335120</v>
      </c>
      <c r="J374" s="16">
        <f>I374</f>
        <v>335120</v>
      </c>
      <c r="K374" s="15" t="e">
        <f ca="1">J374*L374</f>
        <v>#NAME?</v>
      </c>
      <c r="L374" s="22" t="e">
        <f ca="1">_xll.BDH("RUB curncy","PX_LAST",$N374)</f>
        <v>#NAME?</v>
      </c>
      <c r="M374" s="85" t="e">
        <f ca="1">1/_xll.BDH("RUB curncy","PX_LAST",$N374)</f>
        <v>#NAME?</v>
      </c>
      <c r="N374" s="14">
        <v>42024</v>
      </c>
    </row>
    <row r="375" spans="2:14" x14ac:dyDescent="0.2">
      <c r="B375" s="71"/>
      <c r="C375" s="72"/>
      <c r="D375" s="73"/>
      <c r="E375" s="73"/>
      <c r="F375" s="79">
        <f>SUM(F372:F374)</f>
        <v>1000000</v>
      </c>
      <c r="G375" s="87"/>
      <c r="H375" s="99">
        <f>I375/F375*100</f>
        <v>83.728000000000009</v>
      </c>
      <c r="I375" s="79">
        <f>SUM(I372:I374)</f>
        <v>837280</v>
      </c>
      <c r="J375" s="79">
        <f>SUM(J372:J374)</f>
        <v>837280</v>
      </c>
      <c r="K375" s="79" t="e">
        <f ca="1">SUM(K372:K374)</f>
        <v>#NAME?</v>
      </c>
      <c r="L375" s="75"/>
      <c r="M375" s="86"/>
      <c r="N375" s="14"/>
    </row>
    <row r="376" spans="2:14" x14ac:dyDescent="0.2">
      <c r="B376" s="71"/>
      <c r="C376" s="72"/>
      <c r="D376" s="73"/>
      <c r="E376" s="73"/>
      <c r="F376" s="79"/>
      <c r="G376" s="87"/>
      <c r="H376" s="99"/>
      <c r="I376" s="79"/>
      <c r="J376" s="79"/>
      <c r="K376" s="79"/>
      <c r="L376" s="75"/>
      <c r="M376" s="86"/>
      <c r="N376" s="14"/>
    </row>
    <row r="377" spans="2:14" x14ac:dyDescent="0.2">
      <c r="B377" s="21" t="s">
        <v>126</v>
      </c>
      <c r="C377" s="20" t="s">
        <v>240</v>
      </c>
      <c r="D377" s="18" t="e">
        <f ca="1">_xll.BDP(C377,"SECURITY_NAME")</f>
        <v>#NAME?</v>
      </c>
      <c r="E377" s="18" t="s">
        <v>50</v>
      </c>
      <c r="F377" s="19">
        <v>367000</v>
      </c>
      <c r="G377" s="18" t="e">
        <f ca="1">_xll.BDP(C377,"CRNCY")</f>
        <v>#NAME?</v>
      </c>
      <c r="H377" s="22">
        <v>87.03</v>
      </c>
      <c r="I377" s="15">
        <f>F377*H377/100</f>
        <v>319400.09999999998</v>
      </c>
      <c r="J377" s="16">
        <f>I377</f>
        <v>319400.09999999998</v>
      </c>
      <c r="K377" s="15" t="e">
        <f ca="1">J377*L377</f>
        <v>#NAME?</v>
      </c>
      <c r="L377" s="22" t="e">
        <f ca="1">_xll.BDH("RUB curncy","PX_LAST",$N377)</f>
        <v>#NAME?</v>
      </c>
      <c r="M377" s="85" t="e">
        <f ca="1">1/_xll.BDH("RUB curncy","PX_LAST",$N377)</f>
        <v>#NAME?</v>
      </c>
      <c r="N377" s="14">
        <v>41991</v>
      </c>
    </row>
    <row r="378" spans="2:14" x14ac:dyDescent="0.2">
      <c r="B378" s="71"/>
      <c r="C378" s="72"/>
      <c r="D378" s="73"/>
      <c r="E378" s="73"/>
      <c r="F378" s="79">
        <f>SUM(F377)</f>
        <v>367000</v>
      </c>
      <c r="G378" s="87"/>
      <c r="H378" s="99">
        <f>I378/F378*100</f>
        <v>87.03</v>
      </c>
      <c r="I378" s="79">
        <f>SUM(I377)</f>
        <v>319400.09999999998</v>
      </c>
      <c r="J378" s="79">
        <f>SUM(J377)</f>
        <v>319400.09999999998</v>
      </c>
      <c r="K378" s="79" t="e">
        <f ca="1">SUM(K377)</f>
        <v>#NAME?</v>
      </c>
      <c r="L378" s="75"/>
      <c r="M378" s="86"/>
      <c r="N378" s="14"/>
    </row>
    <row r="379" spans="2:14" x14ac:dyDescent="0.2">
      <c r="B379" s="71"/>
      <c r="C379" s="72"/>
      <c r="D379" s="73"/>
      <c r="E379" s="73"/>
      <c r="F379" s="79"/>
      <c r="G379" s="87"/>
      <c r="H379" s="99"/>
      <c r="I379" s="79"/>
      <c r="J379" s="79"/>
      <c r="K379" s="79"/>
      <c r="L379" s="75"/>
      <c r="M379" s="86"/>
      <c r="N379" s="14"/>
    </row>
    <row r="380" spans="2:14" x14ac:dyDescent="0.2">
      <c r="B380" s="21" t="s">
        <v>126</v>
      </c>
      <c r="C380" s="20" t="s">
        <v>239</v>
      </c>
      <c r="D380" s="18" t="e">
        <f ca="1">_xll.BDP(C380,"SECURITY_NAME")</f>
        <v>#NAME?</v>
      </c>
      <c r="E380" s="18" t="s">
        <v>50</v>
      </c>
      <c r="F380" s="19">
        <v>800000</v>
      </c>
      <c r="G380" s="18" t="e">
        <f ca="1">_xll.BDP(C380,"CRNCY")</f>
        <v>#NAME?</v>
      </c>
      <c r="H380" s="22">
        <v>71</v>
      </c>
      <c r="I380" s="15">
        <f>F380*H380/100</f>
        <v>568000</v>
      </c>
      <c r="J380" s="16">
        <f>I380</f>
        <v>568000</v>
      </c>
      <c r="K380" s="15" t="e">
        <f ca="1">J380*L380</f>
        <v>#NAME?</v>
      </c>
      <c r="L380" s="22" t="e">
        <f ca="1">_xll.BDH("RUB curncy","PX_LAST",$N380)</f>
        <v>#NAME?</v>
      </c>
      <c r="M380" s="85" t="e">
        <f ca="1">1/_xll.BDH("RUB curncy","PX_LAST",$N380)</f>
        <v>#NAME?</v>
      </c>
      <c r="N380" s="14">
        <v>41989</v>
      </c>
    </row>
    <row r="381" spans="2:14" x14ac:dyDescent="0.2">
      <c r="B381" s="71"/>
      <c r="C381" s="72"/>
      <c r="D381" s="73"/>
      <c r="E381" s="73"/>
      <c r="F381" s="79">
        <f>SUM(F380)</f>
        <v>800000</v>
      </c>
      <c r="G381" s="87"/>
      <c r="H381" s="99">
        <f>I381/F381*100</f>
        <v>71</v>
      </c>
      <c r="I381" s="79">
        <f>SUM(I380)</f>
        <v>568000</v>
      </c>
      <c r="J381" s="79">
        <f>SUM(J380)</f>
        <v>568000</v>
      </c>
      <c r="K381" s="79" t="e">
        <f ca="1">SUM(K380)</f>
        <v>#NAME?</v>
      </c>
      <c r="L381" s="75"/>
      <c r="M381" s="86"/>
      <c r="N381" s="14"/>
    </row>
    <row r="382" spans="2:14" x14ac:dyDescent="0.2">
      <c r="B382" s="71"/>
      <c r="C382" s="72"/>
      <c r="D382" s="73"/>
      <c r="E382" s="73"/>
      <c r="F382" s="79"/>
      <c r="G382" s="87"/>
      <c r="H382" s="99"/>
      <c r="I382" s="79"/>
      <c r="J382" s="79"/>
      <c r="K382" s="79"/>
      <c r="L382" s="75"/>
      <c r="M382" s="86"/>
      <c r="N382" s="14"/>
    </row>
    <row r="383" spans="2:14" x14ac:dyDescent="0.2">
      <c r="B383" s="21" t="s">
        <v>126</v>
      </c>
      <c r="C383" s="20" t="s">
        <v>237</v>
      </c>
      <c r="D383" s="18" t="e">
        <f ca="1">_xll.BDP(C383,"SECURITY_NAME")</f>
        <v>#NAME?</v>
      </c>
      <c r="E383" s="18" t="s">
        <v>50</v>
      </c>
      <c r="F383" s="19">
        <v>800000</v>
      </c>
      <c r="G383" s="18" t="e">
        <f ca="1">_xll.BDP(C383,"CRNCY")</f>
        <v>#NAME?</v>
      </c>
      <c r="H383" s="22">
        <v>83.53</v>
      </c>
      <c r="I383" s="15">
        <f>F383*H383/100</f>
        <v>668240</v>
      </c>
      <c r="J383" s="16">
        <f>I383</f>
        <v>668240</v>
      </c>
      <c r="K383" s="15" t="e">
        <f ca="1">J383*L383</f>
        <v>#NAME?</v>
      </c>
      <c r="L383" s="22" t="e">
        <f ca="1">_xll.BDH("RUB curncy","PX_LAST",$N383)</f>
        <v>#NAME?</v>
      </c>
      <c r="M383" s="85" t="e">
        <f ca="1">1/_xll.BDH("RUB curncy","PX_LAST",$N383)</f>
        <v>#NAME?</v>
      </c>
      <c r="N383" s="14">
        <v>41990</v>
      </c>
    </row>
    <row r="384" spans="2:14" x14ac:dyDescent="0.2">
      <c r="B384" s="71"/>
      <c r="C384" s="72"/>
      <c r="D384" s="73"/>
      <c r="E384" s="73"/>
      <c r="F384" s="79">
        <f>SUM(F383)</f>
        <v>800000</v>
      </c>
      <c r="G384" s="87"/>
      <c r="H384" s="99">
        <f>I384/F384*100</f>
        <v>83.53</v>
      </c>
      <c r="I384" s="79">
        <f>SUM(I383)</f>
        <v>668240</v>
      </c>
      <c r="J384" s="79">
        <f>SUM(J383)</f>
        <v>668240</v>
      </c>
      <c r="K384" s="79" t="e">
        <f ca="1">SUM(K383)</f>
        <v>#NAME?</v>
      </c>
      <c r="L384" s="75"/>
      <c r="M384" s="86"/>
      <c r="N384" s="14"/>
    </row>
    <row r="385" spans="2:14" x14ac:dyDescent="0.2">
      <c r="B385" s="71"/>
      <c r="C385" s="72"/>
      <c r="D385" s="73"/>
      <c r="E385" s="73"/>
      <c r="F385" s="79"/>
      <c r="G385" s="87"/>
      <c r="H385" s="99"/>
      <c r="I385" s="79"/>
      <c r="J385" s="79"/>
      <c r="K385" s="79"/>
      <c r="L385" s="75"/>
      <c r="M385" s="86"/>
      <c r="N385" s="14"/>
    </row>
    <row r="386" spans="2:14" x14ac:dyDescent="0.2">
      <c r="B386" s="21" t="s">
        <v>126</v>
      </c>
      <c r="C386" s="20" t="s">
        <v>34</v>
      </c>
      <c r="D386" s="18" t="e">
        <f ca="1">_xll.BDP(C386,"SECURITY_NAME")</f>
        <v>#NAME?</v>
      </c>
      <c r="E386" s="18" t="s">
        <v>50</v>
      </c>
      <c r="F386" s="19">
        <v>93230</v>
      </c>
      <c r="G386" s="18" t="e">
        <f ca="1">_xll.BDP(C386,"CRNCY")</f>
        <v>#NAME?</v>
      </c>
      <c r="H386" s="22">
        <v>44.1</v>
      </c>
      <c r="I386" s="15">
        <f>F386*H386</f>
        <v>4111443</v>
      </c>
      <c r="J386" s="16" t="e">
        <f ca="1">I386/L386</f>
        <v>#NAME?</v>
      </c>
      <c r="K386" s="15" t="e">
        <f ca="1">J386*L386</f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42599</v>
      </c>
    </row>
    <row r="387" spans="2:14" x14ac:dyDescent="0.2">
      <c r="B387" s="21" t="s">
        <v>126</v>
      </c>
      <c r="C387" s="20" t="s">
        <v>34</v>
      </c>
      <c r="D387" s="18" t="e">
        <f ca="1">_xll.BDP(C387,"SECURITY_NAME")</f>
        <v>#NAME?</v>
      </c>
      <c r="E387" s="18" t="s">
        <v>50</v>
      </c>
      <c r="F387" s="19">
        <v>111000</v>
      </c>
      <c r="G387" s="18" t="e">
        <f ca="1">_xll.BDP(C387,"CRNCY")</f>
        <v>#NAME?</v>
      </c>
      <c r="H387" s="22">
        <v>45.2</v>
      </c>
      <c r="I387" s="15">
        <f>F387*H387</f>
        <v>5017200</v>
      </c>
      <c r="J387" s="16" t="e">
        <f ca="1">I387/L387</f>
        <v>#NAME?</v>
      </c>
      <c r="K387" s="15" t="e">
        <f ca="1">J387*L387</f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42586</v>
      </c>
    </row>
    <row r="388" spans="2:14" x14ac:dyDescent="0.2">
      <c r="B388" s="21" t="s">
        <v>126</v>
      </c>
      <c r="C388" s="20" t="s">
        <v>34</v>
      </c>
      <c r="D388" s="18" t="e">
        <f ca="1">_xll.BDP(C388,"SECURITY_NAME")</f>
        <v>#NAME?</v>
      </c>
      <c r="E388" s="18" t="s">
        <v>50</v>
      </c>
      <c r="F388" s="19">
        <v>100000</v>
      </c>
      <c r="G388" s="18" t="e">
        <f ca="1">_xll.BDP(C388,"CRNCY")</f>
        <v>#NAME?</v>
      </c>
      <c r="H388" s="22">
        <v>47.85</v>
      </c>
      <c r="I388" s="15">
        <f>F388*H388</f>
        <v>4785000</v>
      </c>
      <c r="J388" s="16" t="e">
        <f ca="1">I388/L388</f>
        <v>#NAME?</v>
      </c>
      <c r="K388" s="15" t="e">
        <f ca="1">J388*L388</f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42502</v>
      </c>
    </row>
    <row r="389" spans="2:14" x14ac:dyDescent="0.2">
      <c r="B389" s="21" t="s">
        <v>126</v>
      </c>
      <c r="C389" s="20" t="s">
        <v>34</v>
      </c>
      <c r="D389" s="18" t="e">
        <f ca="1">_xll.BDP(C389,"SECURITY_NAME")</f>
        <v>#NAME?</v>
      </c>
      <c r="E389" s="18" t="s">
        <v>50</v>
      </c>
      <c r="F389" s="19">
        <v>20000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ca="1">F389*H389</f>
        <v>#NAME?</v>
      </c>
      <c r="J389" s="16" t="e">
        <f ca="1">I389/L389</f>
        <v>#NAME?</v>
      </c>
      <c r="K389" s="15" t="e">
        <f ca="1">J389*L389</f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41975</v>
      </c>
    </row>
    <row r="390" spans="2:14" x14ac:dyDescent="0.2">
      <c r="B390" s="21" t="s">
        <v>126</v>
      </c>
      <c r="C390" s="20" t="s">
        <v>34</v>
      </c>
      <c r="D390" s="18" t="e">
        <f ca="1">_xll.BDP(C390,"SECURITY_NAME")</f>
        <v>#NAME?</v>
      </c>
      <c r="E390" s="18" t="s">
        <v>50</v>
      </c>
      <c r="F390" s="19">
        <v>46000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ca="1">F390*H390</f>
        <v>#NAME?</v>
      </c>
      <c r="J390" s="16" t="e">
        <f ca="1">I390/L390</f>
        <v>#NAME?</v>
      </c>
      <c r="K390" s="15" t="e">
        <f ca="1">J390*L390</f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41971</v>
      </c>
    </row>
    <row r="391" spans="2:14" x14ac:dyDescent="0.2">
      <c r="B391" s="71"/>
      <c r="C391" s="33"/>
      <c r="D391" s="73"/>
      <c r="E391" s="73"/>
      <c r="F391" s="79">
        <f>SUM(F386:F390)</f>
        <v>370230</v>
      </c>
      <c r="G391" s="73"/>
      <c r="H391" s="80" t="e">
        <f ca="1">I391/F391</f>
        <v>#NAME?</v>
      </c>
      <c r="I391" s="79" t="e">
        <f ca="1">SUM(I386:I390)</f>
        <v>#NAME?</v>
      </c>
      <c r="J391" s="79" t="e">
        <f ca="1">SUM(J386:J390)</f>
        <v>#NAME?</v>
      </c>
      <c r="K391" s="79" t="e">
        <f ca="1">SUM(K386:K390)</f>
        <v>#NAME?</v>
      </c>
      <c r="L391" s="75"/>
      <c r="M391" s="86"/>
      <c r="N391" s="14"/>
    </row>
    <row r="393" spans="2:14" x14ac:dyDescent="0.2">
      <c r="B393" s="21" t="s">
        <v>126</v>
      </c>
      <c r="C393" s="20" t="s">
        <v>220</v>
      </c>
      <c r="D393" s="18" t="e">
        <f ca="1">_xll.BDP(C393,"SECURITY_NAME")</f>
        <v>#NAME?</v>
      </c>
      <c r="E393" s="18" t="s">
        <v>50</v>
      </c>
      <c r="F393" s="19">
        <v>200000</v>
      </c>
      <c r="G393" s="18" t="e">
        <f ca="1">_xll.BDP(C393,"CRNCY")</f>
        <v>#NAME?</v>
      </c>
      <c r="H393" s="22">
        <v>87.7</v>
      </c>
      <c r="I393" s="15">
        <f>F393*H393/100</f>
        <v>175400</v>
      </c>
      <c r="J393" s="16">
        <f>I393</f>
        <v>175400</v>
      </c>
      <c r="K393" s="15" t="e">
        <f ca="1">J393*L393</f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41968</v>
      </c>
    </row>
    <row r="394" spans="2:14" x14ac:dyDescent="0.2">
      <c r="B394" s="71"/>
      <c r="C394" s="72"/>
      <c r="D394" s="73"/>
      <c r="E394" s="73"/>
      <c r="F394" s="79">
        <f>SUM(F393)</f>
        <v>200000</v>
      </c>
      <c r="G394" s="87"/>
      <c r="H394" s="99">
        <f>H393</f>
        <v>87.7</v>
      </c>
      <c r="I394" s="79">
        <f>SUM(I393)</f>
        <v>175400</v>
      </c>
      <c r="J394" s="79">
        <f>SUM(J393)</f>
        <v>175400</v>
      </c>
      <c r="K394" s="79" t="e">
        <f ca="1">SUM(K393)</f>
        <v>#NAME?</v>
      </c>
      <c r="L394" s="75"/>
      <c r="M394" s="86"/>
      <c r="N394" s="14"/>
    </row>
    <row r="396" spans="2:14" x14ac:dyDescent="0.2">
      <c r="B396" s="21" t="s">
        <v>126</v>
      </c>
      <c r="C396" s="20" t="s">
        <v>218</v>
      </c>
      <c r="D396" s="18" t="e">
        <f ca="1">_xll.BDP(C396,"SECURITY_NAME")</f>
        <v>#NAME?</v>
      </c>
      <c r="E396" s="18" t="s">
        <v>50</v>
      </c>
      <c r="F396" s="19">
        <v>260000</v>
      </c>
      <c r="G396" s="18" t="e">
        <f ca="1">_xll.BDP(C396,"CRNCY")</f>
        <v>#NAME?</v>
      </c>
      <c r="H396" s="22">
        <v>90.53</v>
      </c>
      <c r="I396" s="15">
        <f>F396*H396/100</f>
        <v>235378</v>
      </c>
      <c r="J396" s="16">
        <f>I396</f>
        <v>235378</v>
      </c>
      <c r="K396" s="15" t="e">
        <f ca="1">J396*L396</f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41967</v>
      </c>
    </row>
    <row r="397" spans="2:14" x14ac:dyDescent="0.2">
      <c r="B397" s="71"/>
      <c r="C397" s="72"/>
      <c r="D397" s="73"/>
      <c r="E397" s="73"/>
      <c r="F397" s="79">
        <f>SUM(F396)</f>
        <v>260000</v>
      </c>
      <c r="G397" s="87"/>
      <c r="H397" s="99">
        <f>H396</f>
        <v>90.53</v>
      </c>
      <c r="I397" s="79">
        <f>SUM(I396)</f>
        <v>235378</v>
      </c>
      <c r="J397" s="79">
        <f>SUM(J396)</f>
        <v>235378</v>
      </c>
      <c r="K397" s="79" t="e">
        <f ca="1">SUM(K396)</f>
        <v>#NAME?</v>
      </c>
      <c r="L397" s="75"/>
      <c r="M397" s="86"/>
      <c r="N397" s="14"/>
    </row>
    <row r="399" spans="2:14" x14ac:dyDescent="0.2">
      <c r="B399" s="21" t="s">
        <v>126</v>
      </c>
      <c r="C399" s="20" t="s">
        <v>216</v>
      </c>
      <c r="D399" s="18" t="e">
        <f ca="1">_xll.BDP(C399,"SECURITY_NAME")</f>
        <v>#NAME?</v>
      </c>
      <c r="E399" s="18" t="s">
        <v>50</v>
      </c>
      <c r="F399" s="19">
        <v>200000</v>
      </c>
      <c r="G399" s="18" t="e">
        <f ca="1">_xll.BDP(C399,"CRNCY")</f>
        <v>#NAME?</v>
      </c>
      <c r="H399" s="22">
        <v>87.75</v>
      </c>
      <c r="I399" s="15">
        <f>F399*H399/100</f>
        <v>175500</v>
      </c>
      <c r="J399" s="16">
        <f>I399</f>
        <v>175500</v>
      </c>
      <c r="K399" s="15" t="e">
        <f ca="1">J399*L399</f>
        <v>#NAME?</v>
      </c>
      <c r="L399" s="22" t="e">
        <f ca="1">_xll.BDH("RUB curncy","PX_LAST",$N399)</f>
        <v>#NAME?</v>
      </c>
      <c r="M399" s="85" t="e">
        <f ca="1">1/_xll.BDH("RUB curncy","PX_LAST",$N399)</f>
        <v>#NAME?</v>
      </c>
      <c r="N399" s="14">
        <v>41964</v>
      </c>
    </row>
    <row r="400" spans="2:14" x14ac:dyDescent="0.2">
      <c r="B400" s="71"/>
      <c r="C400" s="72"/>
      <c r="D400" s="73"/>
      <c r="E400" s="73"/>
      <c r="F400" s="79">
        <f>SUM(F399)</f>
        <v>200000</v>
      </c>
      <c r="G400" s="87"/>
      <c r="H400" s="99">
        <f>H399</f>
        <v>87.75</v>
      </c>
      <c r="I400" s="79">
        <f>SUM(I399)</f>
        <v>175500</v>
      </c>
      <c r="J400" s="79">
        <f>SUM(J399)</f>
        <v>175500</v>
      </c>
      <c r="K400" s="79" t="e">
        <f ca="1">SUM(K399)</f>
        <v>#NAME?</v>
      </c>
      <c r="L400" s="75"/>
      <c r="M400" s="86"/>
      <c r="N400" s="14"/>
    </row>
    <row r="402" spans="2:14" x14ac:dyDescent="0.2">
      <c r="B402" s="21" t="s">
        <v>126</v>
      </c>
      <c r="C402" s="20" t="s">
        <v>215</v>
      </c>
      <c r="D402" s="18" t="e">
        <f ca="1">_xll.BDP(C402,"SECURITY_NAME")</f>
        <v>#NAME?</v>
      </c>
      <c r="E402" s="18" t="s">
        <v>50</v>
      </c>
      <c r="F402" s="19">
        <v>30000000</v>
      </c>
      <c r="G402" s="18" t="e">
        <f ca="1">_xll.BDP(C402,"CRNCY")</f>
        <v>#NAME?</v>
      </c>
      <c r="H402" s="22">
        <v>96.5</v>
      </c>
      <c r="I402" s="15">
        <f>F402*H402/100</f>
        <v>28950000</v>
      </c>
      <c r="J402" s="16" t="e">
        <f ca="1">I402/$L$402</f>
        <v>#NAME?</v>
      </c>
      <c r="K402" s="15" t="e">
        <f ca="1">J402*$L$402</f>
        <v>#NAME?</v>
      </c>
      <c r="L402" s="22" t="e">
        <f ca="1">_xll.BDH("RUB curncy","PX_LAST",$N402)</f>
        <v>#NAME?</v>
      </c>
      <c r="M402" s="85" t="e">
        <f ca="1">1/_xll.BDH("RUB curncy","PX_LAST",$N402)</f>
        <v>#NAME?</v>
      </c>
      <c r="N402" s="14">
        <v>41961</v>
      </c>
    </row>
    <row r="403" spans="2:14" x14ac:dyDescent="0.2">
      <c r="B403" s="71"/>
      <c r="C403" s="72"/>
      <c r="D403" s="73"/>
      <c r="E403" s="73"/>
      <c r="F403" s="79">
        <f>SUM(F402)</f>
        <v>30000000</v>
      </c>
      <c r="G403" s="87"/>
      <c r="H403" s="100">
        <v>96.5</v>
      </c>
      <c r="I403" s="79">
        <f>SUM(I402)</f>
        <v>28950000</v>
      </c>
      <c r="J403" s="79" t="e">
        <f ca="1">SUM(J402)</f>
        <v>#NAME?</v>
      </c>
      <c r="K403" s="79" t="e">
        <f ca="1">SUM(K402)</f>
        <v>#NAME?</v>
      </c>
      <c r="L403" s="75"/>
      <c r="M403" s="86"/>
      <c r="N403" s="14"/>
    </row>
    <row r="405" spans="2:14" x14ac:dyDescent="0.2">
      <c r="B405" s="21" t="s">
        <v>126</v>
      </c>
      <c r="C405" s="20" t="s">
        <v>123</v>
      </c>
      <c r="D405" s="18" t="e">
        <f ca="1">_xll.BDP(C405,"SECURITY_NAME")</f>
        <v>#NAME?</v>
      </c>
      <c r="E405" s="18" t="s">
        <v>50</v>
      </c>
      <c r="F405" s="19">
        <v>13600</v>
      </c>
      <c r="G405" s="18" t="e">
        <f ca="1">_xll.BDP(C405,"CRNCY")</f>
        <v>#NAME?</v>
      </c>
      <c r="H405" s="22">
        <v>36.81</v>
      </c>
      <c r="I405" s="15">
        <f t="shared" ref="I405:I410" si="119">F405*H405</f>
        <v>500616.00000000006</v>
      </c>
      <c r="J405" s="16" t="e">
        <f t="shared" ref="J405:J410" ca="1" si="120">I405/L405</f>
        <v>#NAME?</v>
      </c>
      <c r="K405" s="15" t="e">
        <f t="shared" ref="K405:K410" ca="1" si="12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42633</v>
      </c>
    </row>
    <row r="406" spans="2:14" x14ac:dyDescent="0.2">
      <c r="B406" s="21" t="s">
        <v>126</v>
      </c>
      <c r="C406" s="20" t="s">
        <v>123</v>
      </c>
      <c r="D406" s="18" t="e">
        <f ca="1">_xll.BDP(C406,"SECURITY_NAME")</f>
        <v>#NAME?</v>
      </c>
      <c r="E406" s="18" t="s">
        <v>50</v>
      </c>
      <c r="F406" s="19">
        <v>67000</v>
      </c>
      <c r="G406" s="18" t="e">
        <f ca="1">_xll.BDP(C406,"CRNCY")</f>
        <v>#NAME?</v>
      </c>
      <c r="H406" s="22">
        <v>35</v>
      </c>
      <c r="I406" s="15">
        <f t="shared" si="119"/>
        <v>2345000</v>
      </c>
      <c r="J406" s="16" t="e">
        <f t="shared" ca="1" si="120"/>
        <v>#NAME?</v>
      </c>
      <c r="K406" s="15" t="e">
        <f t="shared" ca="1" si="121"/>
        <v>#NAME?</v>
      </c>
      <c r="L406" s="22" t="e">
        <f ca="1">_xll.BDH("RUB curncy","PX_LAST",$N406)</f>
        <v>#NAME?</v>
      </c>
      <c r="M406" s="85" t="e">
        <f ca="1">1/_xll.BDH("RUB curncy","PX_LAST",$N406)</f>
        <v>#NAME?</v>
      </c>
      <c r="N406" s="14">
        <v>42236</v>
      </c>
    </row>
    <row r="407" spans="2:14" x14ac:dyDescent="0.2">
      <c r="B407" s="21" t="s">
        <v>126</v>
      </c>
      <c r="C407" s="20" t="s">
        <v>123</v>
      </c>
      <c r="D407" s="18" t="e">
        <f ca="1">_xll.BDP(C407,"SECURITY_NAME")</f>
        <v>#NAME?</v>
      </c>
      <c r="E407" s="18" t="s">
        <v>50</v>
      </c>
      <c r="F407" s="19">
        <v>62500</v>
      </c>
      <c r="G407" s="18" t="e">
        <f ca="1">_xll.BDP(C407,"CRNCY")</f>
        <v>#NAME?</v>
      </c>
      <c r="H407" s="22" t="e">
        <f ca="1">_xll.BDH(C407,"PX_LAST",N407)</f>
        <v>#NAME?</v>
      </c>
      <c r="I407" s="15" t="e">
        <f t="shared" ca="1" si="119"/>
        <v>#NAME?</v>
      </c>
      <c r="J407" s="16" t="e">
        <f t="shared" ca="1" si="120"/>
        <v>#NAME?</v>
      </c>
      <c r="K407" s="15" t="e">
        <f t="shared" ca="1" si="121"/>
        <v>#NAME?</v>
      </c>
      <c r="L407" s="22" t="e">
        <f ca="1">_xll.BDH("RUB curncy","PX_LAST",$N407)</f>
        <v>#NAME?</v>
      </c>
      <c r="M407" s="85" t="e">
        <f ca="1">1/_xll.BDH("RUB curncy","PX_LAST",$N407)</f>
        <v>#NAME?</v>
      </c>
      <c r="N407" s="14">
        <v>42059</v>
      </c>
    </row>
    <row r="408" spans="2:14" x14ac:dyDescent="0.2">
      <c r="B408" s="21" t="s">
        <v>126</v>
      </c>
      <c r="C408" s="20" t="s">
        <v>123</v>
      </c>
      <c r="D408" s="18" t="e">
        <f ca="1">_xll.BDP(C408,"SECURITY_NAME")</f>
        <v>#NAME?</v>
      </c>
      <c r="E408" s="18" t="s">
        <v>50</v>
      </c>
      <c r="F408" s="19">
        <v>2200</v>
      </c>
      <c r="G408" s="18" t="e">
        <f ca="1">_xll.BDP(C408,"CRNCY")</f>
        <v>#NAME?</v>
      </c>
      <c r="H408" s="22" t="e">
        <f ca="1">_xll.BDH(C408,"PX_LAST",N408)</f>
        <v>#NAME?</v>
      </c>
      <c r="I408" s="15" t="e">
        <f t="shared" ca="1" si="119"/>
        <v>#NAME?</v>
      </c>
      <c r="J408" s="16" t="e">
        <f t="shared" ca="1" si="120"/>
        <v>#NAME?</v>
      </c>
      <c r="K408" s="15" t="e">
        <f t="shared" ca="1" si="121"/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41992</v>
      </c>
    </row>
    <row r="409" spans="2:14" x14ac:dyDescent="0.2">
      <c r="B409" s="21" t="s">
        <v>126</v>
      </c>
      <c r="C409" s="20" t="s">
        <v>123</v>
      </c>
      <c r="D409" s="18" t="e">
        <f ca="1">_xll.BDP(C409,"SECURITY_NAME")</f>
        <v>#NAME?</v>
      </c>
      <c r="E409" s="18" t="s">
        <v>50</v>
      </c>
      <c r="F409" s="19">
        <v>100000</v>
      </c>
      <c r="G409" s="18" t="e">
        <f ca="1">_xll.BDP(C409,"CRNCY")</f>
        <v>#NAME?</v>
      </c>
      <c r="H409" s="22" t="e">
        <f ca="1">_xll.BDH(C409,"PX_LAST",N409)</f>
        <v>#NAME?</v>
      </c>
      <c r="I409" s="15" t="e">
        <f t="shared" ca="1" si="119"/>
        <v>#NAME?</v>
      </c>
      <c r="J409" s="16" t="e">
        <f t="shared" ca="1" si="120"/>
        <v>#NAME?</v>
      </c>
      <c r="K409" s="15" t="e">
        <f t="shared" ca="1" si="121"/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41943</v>
      </c>
    </row>
    <row r="410" spans="2:14" x14ac:dyDescent="0.2">
      <c r="B410" s="21" t="s">
        <v>126</v>
      </c>
      <c r="C410" s="20" t="s">
        <v>123</v>
      </c>
      <c r="D410" s="18" t="e">
        <f ca="1">_xll.BDP(C410,"SECURITY_NAME")</f>
        <v>#NAME?</v>
      </c>
      <c r="E410" s="18" t="s">
        <v>50</v>
      </c>
      <c r="F410" s="19">
        <v>163500</v>
      </c>
      <c r="G410" s="18" t="e">
        <f ca="1">_xll.BDP(C410,"CRNCY")</f>
        <v>#NAME?</v>
      </c>
      <c r="H410" s="22" t="e">
        <f ca="1">_xll.BDH(C410,"PX_LAST",N410)</f>
        <v>#NAME?</v>
      </c>
      <c r="I410" s="15" t="e">
        <f t="shared" ca="1" si="119"/>
        <v>#NAME?</v>
      </c>
      <c r="J410" s="16" t="e">
        <f t="shared" ca="1" si="120"/>
        <v>#NAME?</v>
      </c>
      <c r="K410" s="15" t="e">
        <f t="shared" ca="1" si="121"/>
        <v>#NAME?</v>
      </c>
      <c r="L410" s="22" t="e">
        <f ca="1">_xll.BDH("RUB curncy","PX_LAST",$N410)</f>
        <v>#NAME?</v>
      </c>
      <c r="M410" s="85" t="e">
        <f ca="1">1/_xll.BDH("RUB curncy","PX_LAST",$N410)</f>
        <v>#NAME?</v>
      </c>
      <c r="N410" s="14">
        <v>41942</v>
      </c>
    </row>
    <row r="411" spans="2:14" x14ac:dyDescent="0.2">
      <c r="B411" s="71"/>
      <c r="C411" s="33"/>
      <c r="D411" s="73"/>
      <c r="E411" s="73"/>
      <c r="F411" s="79">
        <f>SUM(F405:F410)</f>
        <v>408800</v>
      </c>
      <c r="G411" s="73"/>
      <c r="H411" s="80" t="e">
        <f ca="1">I411/F411</f>
        <v>#NAME?</v>
      </c>
      <c r="I411" s="79" t="e">
        <f ca="1">SUM(I405:I410)</f>
        <v>#NAME?</v>
      </c>
      <c r="J411" s="79" t="e">
        <f ca="1">SUM(J405:J410)</f>
        <v>#NAME?</v>
      </c>
      <c r="K411" s="79" t="e">
        <f ca="1">SUM(K405:K410)</f>
        <v>#NAME?</v>
      </c>
      <c r="L411" s="75"/>
      <c r="M411" s="86"/>
      <c r="N411" s="14"/>
    </row>
    <row r="413" spans="2:14" x14ac:dyDescent="0.2">
      <c r="B413" s="21" t="s">
        <v>126</v>
      </c>
      <c r="C413" s="20" t="s">
        <v>42</v>
      </c>
      <c r="D413" s="18" t="e">
        <f ca="1">_xll.BDP(C413,"SECURITY_NAME")</f>
        <v>#NAME?</v>
      </c>
      <c r="E413" s="18" t="s">
        <v>50</v>
      </c>
      <c r="F413" s="19">
        <v>30300</v>
      </c>
      <c r="G413" s="18" t="e">
        <f ca="1">_xll.BDP(C413,"CRNCY")</f>
        <v>#NAME?</v>
      </c>
      <c r="H413" s="22" t="e">
        <f ca="1">_xll.BDH(C413,"PX_LAST",N413)</f>
        <v>#NAME?</v>
      </c>
      <c r="I413" s="15" t="e">
        <f ca="1">F413*H413</f>
        <v>#NAME?</v>
      </c>
      <c r="J413" s="16" t="e">
        <f ca="1">I413</f>
        <v>#NAME?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42657</v>
      </c>
    </row>
    <row r="414" spans="2:14" x14ac:dyDescent="0.2">
      <c r="B414" s="21" t="s">
        <v>126</v>
      </c>
      <c r="C414" s="20" t="s">
        <v>42</v>
      </c>
      <c r="D414" s="18" t="e">
        <f ca="1">_xll.BDP(C414,"SECURITY_NAME")</f>
        <v>#NAME?</v>
      </c>
      <c r="E414" s="18" t="s">
        <v>50</v>
      </c>
      <c r="F414" s="19">
        <v>33300</v>
      </c>
      <c r="G414" s="18" t="e">
        <f ca="1">_xll.BDP(C414,"CRNCY")</f>
        <v>#NAME?</v>
      </c>
      <c r="H414" s="22">
        <v>3</v>
      </c>
      <c r="I414" s="15">
        <f>F414*H414</f>
        <v>99900</v>
      </c>
      <c r="J414" s="16">
        <f>I414</f>
        <v>99900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42355</v>
      </c>
    </row>
    <row r="415" spans="2:14" x14ac:dyDescent="0.2">
      <c r="B415" s="21" t="s">
        <v>126</v>
      </c>
      <c r="C415" s="20" t="s">
        <v>42</v>
      </c>
      <c r="D415" s="18" t="e">
        <f ca="1">_xll.BDP(C415,"SECURITY_NAME")</f>
        <v>#NAME?</v>
      </c>
      <c r="E415" s="18" t="s">
        <v>50</v>
      </c>
      <c r="F415" s="19">
        <v>32400</v>
      </c>
      <c r="G415" s="18" t="e">
        <f ca="1">_xll.BDP(C415,"CRNCY")</f>
        <v>#NAME?</v>
      </c>
      <c r="H415" s="22">
        <v>3.09</v>
      </c>
      <c r="I415" s="15">
        <f>F415*H415</f>
        <v>100116</v>
      </c>
      <c r="J415" s="16">
        <f>I415</f>
        <v>100116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42349</v>
      </c>
    </row>
    <row r="416" spans="2:14" x14ac:dyDescent="0.2">
      <c r="B416" s="21" t="s">
        <v>126</v>
      </c>
      <c r="C416" s="20" t="s">
        <v>42</v>
      </c>
      <c r="D416" s="18" t="e">
        <f ca="1">_xll.BDP(C416,"SECURITY_NAME")</f>
        <v>#NAME?</v>
      </c>
      <c r="E416" s="18" t="s">
        <v>50</v>
      </c>
      <c r="F416" s="19">
        <v>27000</v>
      </c>
      <c r="G416" s="18" t="e">
        <f ca="1">_xll.BDP(C416,"CRNCY")</f>
        <v>#NAME?</v>
      </c>
      <c r="H416" s="22">
        <v>3.7</v>
      </c>
      <c r="I416" s="15">
        <f t="shared" ref="I416:I421" si="122">F416*H416</f>
        <v>99900</v>
      </c>
      <c r="J416" s="16">
        <f t="shared" ref="J416:J421" si="123">I416</f>
        <v>99900</v>
      </c>
      <c r="K416" s="15" t="e">
        <f t="shared" ref="K416:K421" ca="1" si="124">J416*L416</f>
        <v>#NAME?</v>
      </c>
      <c r="L416" s="22" t="e">
        <f ca="1">_xll.BDH("RUB curncy","PX_LAST",$N416)</f>
        <v>#NAME?</v>
      </c>
      <c r="M416" s="85" t="e">
        <f ca="1">1/_xll.BDH("RUB curncy","PX_LAST",$N416)</f>
        <v>#NAME?</v>
      </c>
      <c r="N416" s="14">
        <v>42331</v>
      </c>
    </row>
    <row r="417" spans="2:14" x14ac:dyDescent="0.2">
      <c r="B417" s="21" t="s">
        <v>126</v>
      </c>
      <c r="C417" s="20" t="s">
        <v>42</v>
      </c>
      <c r="D417" s="18" t="e">
        <f ca="1">_xll.BDP(C417,"SECURITY_NAME")</f>
        <v>#NAME?</v>
      </c>
      <c r="E417" s="18" t="s">
        <v>50</v>
      </c>
      <c r="F417" s="19">
        <v>20976</v>
      </c>
      <c r="G417" s="18" t="e">
        <f ca="1">_xll.BDP(C417,"CRNCY")</f>
        <v>#NAME?</v>
      </c>
      <c r="H417" s="22" t="e">
        <f ca="1">_xll.BDH(C417,"PX_LAST",N417)</f>
        <v>#NAME?</v>
      </c>
      <c r="I417" s="15" t="e">
        <f t="shared" ca="1" si="122"/>
        <v>#NAME?</v>
      </c>
      <c r="J417" s="16" t="e">
        <f t="shared" ca="1" si="123"/>
        <v>#NAME?</v>
      </c>
      <c r="K417" s="15" t="e">
        <f t="shared" ca="1" si="124"/>
        <v>#NAME?</v>
      </c>
      <c r="L417" s="22" t="e">
        <f ca="1">_xll.BDH("RUB curncy","PX_LAST",$N417)</f>
        <v>#NAME?</v>
      </c>
      <c r="M417" s="85" t="e">
        <f ca="1">1/_xll.BDH("RUB curncy","PX_LAST",$N417)</f>
        <v>#NAME?</v>
      </c>
      <c r="N417" s="14">
        <v>42020</v>
      </c>
    </row>
    <row r="418" spans="2:14" x14ac:dyDescent="0.2">
      <c r="B418" s="21" t="s">
        <v>126</v>
      </c>
      <c r="C418" s="20" t="s">
        <v>42</v>
      </c>
      <c r="D418" s="18" t="e">
        <f ca="1">_xll.BDP(C418,"SECURITY_NAME")</f>
        <v>#NAME?</v>
      </c>
      <c r="E418" s="18" t="s">
        <v>50</v>
      </c>
      <c r="F418" s="19">
        <v>20400</v>
      </c>
      <c r="G418" s="18" t="e">
        <f ca="1">_xll.BDP(C418,"CRNCY")</f>
        <v>#NAME?</v>
      </c>
      <c r="H418" s="22" t="e">
        <f ca="1">_xll.BDH(C418,"PX_LAST",N418)</f>
        <v>#NAME?</v>
      </c>
      <c r="I418" s="15" t="e">
        <f t="shared" ca="1" si="122"/>
        <v>#NAME?</v>
      </c>
      <c r="J418" s="16" t="e">
        <f t="shared" ca="1" si="123"/>
        <v>#NAME?</v>
      </c>
      <c r="K418" s="15" t="e">
        <f t="shared" ca="1" si="124"/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41974</v>
      </c>
    </row>
    <row r="419" spans="2:14" x14ac:dyDescent="0.2">
      <c r="B419" s="21" t="s">
        <v>126</v>
      </c>
      <c r="C419" s="20" t="s">
        <v>42</v>
      </c>
      <c r="D419" s="18" t="e">
        <f ca="1">_xll.BDP(C419,"SECURITY_NAME")</f>
        <v>#NAME?</v>
      </c>
      <c r="E419" s="18" t="s">
        <v>50</v>
      </c>
      <c r="F419" s="19">
        <v>25000</v>
      </c>
      <c r="G419" s="18" t="e">
        <f ca="1">_xll.BDP(C419,"CRNCY")</f>
        <v>#NAME?</v>
      </c>
      <c r="H419" s="22" t="e">
        <f ca="1">_xll.BDH(C419,"PX_LAST",N419)</f>
        <v>#NAME?</v>
      </c>
      <c r="I419" s="15" t="e">
        <f t="shared" ca="1" si="122"/>
        <v>#NAME?</v>
      </c>
      <c r="J419" s="16" t="e">
        <f t="shared" ca="1" si="123"/>
        <v>#NAME?</v>
      </c>
      <c r="K419" s="15" t="e">
        <f t="shared" ca="1" si="124"/>
        <v>#NAME?</v>
      </c>
      <c r="L419" s="22" t="e">
        <f ca="1">_xll.BDH("RUB curncy","PX_LAST",$N419)</f>
        <v>#NAME?</v>
      </c>
      <c r="M419" s="85" t="e">
        <f ca="1">1/_xll.BDH("RUB curncy","PX_LAST",$N419)</f>
        <v>#NAME?</v>
      </c>
      <c r="N419" s="14">
        <v>41954</v>
      </c>
    </row>
    <row r="420" spans="2:14" x14ac:dyDescent="0.2">
      <c r="B420" s="21" t="s">
        <v>126</v>
      </c>
      <c r="C420" s="20" t="s">
        <v>42</v>
      </c>
      <c r="D420" s="18" t="e">
        <f ca="1">_xll.BDP(C420,"SECURITY_NAME")</f>
        <v>#NAME?</v>
      </c>
      <c r="E420" s="18" t="s">
        <v>50</v>
      </c>
      <c r="F420" s="19">
        <v>44000</v>
      </c>
      <c r="G420" s="18" t="e">
        <f ca="1">_xll.BDP(C420,"CRNCY")</f>
        <v>#NAME?</v>
      </c>
      <c r="H420" s="22" t="e">
        <f ca="1">_xll.BDH(C420,"PX_LAST",N420)</f>
        <v>#NAME?</v>
      </c>
      <c r="I420" s="15" t="e">
        <f t="shared" ca="1" si="122"/>
        <v>#NAME?</v>
      </c>
      <c r="J420" s="16" t="e">
        <f t="shared" ca="1" si="123"/>
        <v>#NAME?</v>
      </c>
      <c r="K420" s="15" t="e">
        <f t="shared" ca="1" si="124"/>
        <v>#NAME?</v>
      </c>
      <c r="L420" s="22" t="e">
        <f ca="1">_xll.BDH("RUB curncy","PX_LAST",$N420)</f>
        <v>#NAME?</v>
      </c>
      <c r="M420" s="85" t="e">
        <f ca="1">1/_xll.BDH("RUB curncy","PX_LAST",$N420)</f>
        <v>#NAME?</v>
      </c>
      <c r="N420" s="14">
        <v>41942</v>
      </c>
    </row>
    <row r="421" spans="2:14" x14ac:dyDescent="0.2">
      <c r="B421" s="21" t="s">
        <v>126</v>
      </c>
      <c r="C421" s="20" t="s">
        <v>42</v>
      </c>
      <c r="D421" s="18" t="e">
        <f ca="1">_xll.BDP(C421,"SECURITY_NAME")</f>
        <v>#NAME?</v>
      </c>
      <c r="E421" s="18" t="s">
        <v>50</v>
      </c>
      <c r="F421" s="19">
        <v>10600</v>
      </c>
      <c r="G421" s="18" t="e">
        <f ca="1">_xll.BDP(C421,"CRNCY")</f>
        <v>#NAME?</v>
      </c>
      <c r="H421" s="22" t="e">
        <f ca="1">_xll.BDH(C421,"PX_LAST",N421)</f>
        <v>#NAME?</v>
      </c>
      <c r="I421" s="15" t="e">
        <f t="shared" ca="1" si="122"/>
        <v>#NAME?</v>
      </c>
      <c r="J421" s="16" t="e">
        <f t="shared" ca="1" si="123"/>
        <v>#NAME?</v>
      </c>
      <c r="K421" s="15" t="e">
        <f t="shared" ca="1" si="124"/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41929</v>
      </c>
    </row>
    <row r="422" spans="2:14" x14ac:dyDescent="0.2">
      <c r="F422" s="79">
        <f>SUM(F413:F421)</f>
        <v>243976</v>
      </c>
      <c r="H422" s="80" t="e">
        <f ca="1">I422/F422</f>
        <v>#NAME?</v>
      </c>
      <c r="I422" s="79" t="e">
        <f ca="1">SUM(I413:I421)</f>
        <v>#NAME?</v>
      </c>
      <c r="J422" s="79" t="e">
        <f ca="1">SUM(J413:J421)</f>
        <v>#NAME?</v>
      </c>
      <c r="K422" s="79" t="e">
        <f ca="1">SUM(K413:K421)</f>
        <v>#NAME?</v>
      </c>
    </row>
    <row r="423" spans="2:14" x14ac:dyDescent="0.2">
      <c r="B423" s="71"/>
      <c r="C423" s="33"/>
      <c r="D423" s="73"/>
      <c r="E423" s="73"/>
      <c r="F423" s="79"/>
      <c r="G423" s="73"/>
      <c r="H423" s="88"/>
      <c r="I423" s="79"/>
      <c r="J423" s="79"/>
      <c r="K423" s="79"/>
      <c r="L423" s="75"/>
      <c r="M423" s="86"/>
      <c r="N423" s="14"/>
    </row>
    <row r="424" spans="2:14" x14ac:dyDescent="0.2">
      <c r="B424" s="21" t="s">
        <v>126</v>
      </c>
      <c r="C424" s="20" t="s">
        <v>46</v>
      </c>
      <c r="D424" s="18" t="e">
        <f ca="1">_xll.BDP(C424,"SECURITY_NAME")</f>
        <v>#NAME?</v>
      </c>
      <c r="E424" s="18" t="s">
        <v>50</v>
      </c>
      <c r="F424" s="19">
        <v>3333</v>
      </c>
      <c r="G424" s="18" t="e">
        <f ca="1">_xll.BDP(C424,"CRNCY")</f>
        <v>#NAME?</v>
      </c>
      <c r="H424" s="22">
        <v>1490</v>
      </c>
      <c r="I424" s="15">
        <f t="shared" ref="I424:I429" si="125">F424*H424</f>
        <v>4966170</v>
      </c>
      <c r="J424" s="16" t="e">
        <f t="shared" ref="J424:J429" ca="1" si="126">I424/L424</f>
        <v>#NAME?</v>
      </c>
      <c r="K424" s="15" t="e">
        <f t="shared" ref="K424:K429" ca="1" si="127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42663</v>
      </c>
    </row>
    <row r="425" spans="2:14" x14ac:dyDescent="0.2">
      <c r="B425" s="21" t="s">
        <v>126</v>
      </c>
      <c r="C425" s="20" t="s">
        <v>46</v>
      </c>
      <c r="D425" s="18" t="e">
        <f ca="1">_xll.BDP(C425,"SECURITY_NAME")</f>
        <v>#NAME?</v>
      </c>
      <c r="E425" s="18" t="s">
        <v>50</v>
      </c>
      <c r="F425" s="19">
        <v>2071</v>
      </c>
      <c r="G425" s="18" t="e">
        <f ca="1">_xll.BDP(C425,"CRNCY")</f>
        <v>#NAME?</v>
      </c>
      <c r="H425" s="22">
        <v>1400</v>
      </c>
      <c r="I425" s="15">
        <f t="shared" si="125"/>
        <v>2899400</v>
      </c>
      <c r="J425" s="16" t="e">
        <f t="shared" ca="1" si="126"/>
        <v>#NAME?</v>
      </c>
      <c r="K425" s="15" t="e">
        <f t="shared" ca="1" si="127"/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42657</v>
      </c>
    </row>
    <row r="426" spans="2:14" x14ac:dyDescent="0.2">
      <c r="B426" s="21" t="s">
        <v>126</v>
      </c>
      <c r="C426" s="20" t="s">
        <v>46</v>
      </c>
      <c r="D426" s="18" t="e">
        <f ca="1">_xll.BDP(C426,"SECURITY_NAME")</f>
        <v>#NAME?</v>
      </c>
      <c r="E426" s="18" t="s">
        <v>50</v>
      </c>
      <c r="F426" s="19">
        <v>1434</v>
      </c>
      <c r="G426" s="18" t="e">
        <f ca="1">_xll.BDP(C426,"CRNCY")</f>
        <v>#NAME?</v>
      </c>
      <c r="H426" s="22" t="e">
        <f ca="1">_xll.BDH(C426,"PX_LAST",N426)</f>
        <v>#NAME?</v>
      </c>
      <c r="I426" s="15" t="e">
        <f t="shared" ca="1" si="125"/>
        <v>#NAME?</v>
      </c>
      <c r="J426" s="16" t="e">
        <f t="shared" ca="1" si="126"/>
        <v>#NAME?</v>
      </c>
      <c r="K426" s="15" t="e">
        <f t="shared" ca="1" si="127"/>
        <v>#NAME?</v>
      </c>
      <c r="L426" s="22" t="e">
        <f ca="1">_xll.BDH("RUB curncy","PX_LAST",$N426)</f>
        <v>#NAME?</v>
      </c>
      <c r="M426" s="85" t="e">
        <f ca="1">1/_xll.BDH("RUB curncy","PX_LAST",$N426)</f>
        <v>#NAME?</v>
      </c>
      <c r="N426" s="14">
        <v>41991</v>
      </c>
    </row>
    <row r="427" spans="2:14" x14ac:dyDescent="0.2">
      <c r="B427" s="21" t="s">
        <v>126</v>
      </c>
      <c r="C427" s="20" t="s">
        <v>46</v>
      </c>
      <c r="D427" s="18" t="e">
        <f ca="1">_xll.BDP(C427,"SECURITY_NAME")</f>
        <v>#NAME?</v>
      </c>
      <c r="E427" s="18" t="s">
        <v>50</v>
      </c>
      <c r="F427" s="19">
        <v>12911</v>
      </c>
      <c r="G427" s="18" t="e">
        <f ca="1">_xll.BDP(C427,"CRNCY")</f>
        <v>#NAME?</v>
      </c>
      <c r="H427" s="22" t="e">
        <f ca="1">_xll.BDH(C427,"PX_LAST",N427)</f>
        <v>#NAME?</v>
      </c>
      <c r="I427" s="15" t="e">
        <f t="shared" ca="1" si="125"/>
        <v>#NAME?</v>
      </c>
      <c r="J427" s="16" t="e">
        <f t="shared" ca="1" si="126"/>
        <v>#NAME?</v>
      </c>
      <c r="K427" s="15" t="e">
        <f t="shared" ca="1" si="127"/>
        <v>#NAME?</v>
      </c>
      <c r="L427" s="22" t="e">
        <f ca="1">_xll.BDH("RUB curncy","PX_LAST",$N427)</f>
        <v>#NAME?</v>
      </c>
      <c r="M427" s="85" t="e">
        <f ca="1">1/_xll.BDH("RUB curncy","PX_LAST",$N427)</f>
        <v>#NAME?</v>
      </c>
      <c r="N427" s="14">
        <v>41943</v>
      </c>
    </row>
    <row r="428" spans="2:14" x14ac:dyDescent="0.2">
      <c r="B428" s="21" t="s">
        <v>126</v>
      </c>
      <c r="C428" s="20" t="s">
        <v>46</v>
      </c>
      <c r="D428" s="18" t="e">
        <f ca="1">_xll.BDP(C428,"SECURITY_NAME")</f>
        <v>#NAME?</v>
      </c>
      <c r="E428" s="18" t="s">
        <v>50</v>
      </c>
      <c r="F428" s="19">
        <v>3000</v>
      </c>
      <c r="G428" s="18" t="e">
        <f ca="1">_xll.BDP(C428,"CRNCY")</f>
        <v>#NAME?</v>
      </c>
      <c r="H428" s="22" t="e">
        <f ca="1">_xll.BDH(C428,"PX_LAST",N428)</f>
        <v>#NAME?</v>
      </c>
      <c r="I428" s="15" t="e">
        <f t="shared" ca="1" si="125"/>
        <v>#NAME?</v>
      </c>
      <c r="J428" s="16" t="e">
        <f t="shared" ca="1" si="126"/>
        <v>#NAME?</v>
      </c>
      <c r="K428" s="15" t="e">
        <f t="shared" ca="1" si="127"/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41942</v>
      </c>
    </row>
    <row r="429" spans="2:14" x14ac:dyDescent="0.2">
      <c r="B429" s="21" t="s">
        <v>126</v>
      </c>
      <c r="C429" s="20" t="s">
        <v>46</v>
      </c>
      <c r="D429" s="18" t="e">
        <f ca="1">_xll.BDP(C429,"SECURITY_NAME")</f>
        <v>#NAME?</v>
      </c>
      <c r="E429" s="18" t="s">
        <v>50</v>
      </c>
      <c r="F429" s="19">
        <v>13800</v>
      </c>
      <c r="G429" s="18" t="e">
        <f ca="1">_xll.BDP(C429,"CRNCY")</f>
        <v>#NAME?</v>
      </c>
      <c r="H429" s="22" t="e">
        <f ca="1">_xll.BDH(C429,"PX_LAST",N429)</f>
        <v>#NAME?</v>
      </c>
      <c r="I429" s="15" t="e">
        <f t="shared" ca="1" si="125"/>
        <v>#NAME?</v>
      </c>
      <c r="J429" s="16" t="e">
        <f t="shared" ca="1" si="126"/>
        <v>#NAME?</v>
      </c>
      <c r="K429" s="15" t="e">
        <f t="shared" ca="1" si="127"/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41933</v>
      </c>
    </row>
    <row r="430" spans="2:14" x14ac:dyDescent="0.2">
      <c r="B430" s="71"/>
      <c r="C430" s="33"/>
      <c r="D430" s="73"/>
      <c r="E430" s="73"/>
      <c r="F430" s="79">
        <f>SUM(F424:F429)</f>
        <v>36549</v>
      </c>
      <c r="G430" s="73"/>
      <c r="H430" s="80" t="e">
        <f ca="1">I430/F430</f>
        <v>#NAME?</v>
      </c>
      <c r="I430" s="79" t="e">
        <f ca="1">SUM(I424:I429)</f>
        <v>#NAME?</v>
      </c>
      <c r="J430" s="79" t="e">
        <f ca="1">SUM(J424:J429)</f>
        <v>#NAME?</v>
      </c>
      <c r="K430" s="79" t="e">
        <f ca="1">SUM(K424:K429)</f>
        <v>#NAME?</v>
      </c>
      <c r="L430" s="75"/>
      <c r="M430" s="86"/>
      <c r="N430" s="14"/>
    </row>
    <row r="432" spans="2:14" x14ac:dyDescent="0.2">
      <c r="B432" s="21" t="s">
        <v>126</v>
      </c>
      <c r="C432" s="20" t="s">
        <v>65</v>
      </c>
      <c r="D432" s="18" t="e">
        <f ca="1">_xll.BDP(C432,"SECURITY_NAME")</f>
        <v>#NAME?</v>
      </c>
      <c r="E432" s="18" t="s">
        <v>50</v>
      </c>
      <c r="F432" s="19">
        <v>1035</v>
      </c>
      <c r="G432" s="18" t="e">
        <f ca="1">_xll.BDP(C432,"CRNCY")</f>
        <v>#NAME?</v>
      </c>
      <c r="H432" s="22" t="e">
        <f ca="1">_xll.BDH(C432,"PX_LAST",N432)</f>
        <v>#NAME?</v>
      </c>
      <c r="I432" s="15" t="e">
        <f t="shared" ref="I432:I437" ca="1" si="128">F432*H432</f>
        <v>#NAME?</v>
      </c>
      <c r="J432" s="16" t="e">
        <f t="shared" ref="J432:J437" ca="1" si="129">I432/L432</f>
        <v>#NAME?</v>
      </c>
      <c r="K432" s="15" t="e">
        <f t="shared" ref="K432:K437" ca="1" si="130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41991</v>
      </c>
    </row>
    <row r="433" spans="2:14" x14ac:dyDescent="0.2">
      <c r="B433" s="21" t="s">
        <v>126</v>
      </c>
      <c r="C433" s="20" t="s">
        <v>65</v>
      </c>
      <c r="D433" s="18" t="e">
        <f ca="1">_xll.BDP(C433,"SECURITY_NAME")</f>
        <v>#NAME?</v>
      </c>
      <c r="E433" s="18" t="s">
        <v>50</v>
      </c>
      <c r="F433" s="19">
        <v>2000</v>
      </c>
      <c r="G433" s="18" t="e">
        <f ca="1">_xll.BDP(C433,"CRNCY")</f>
        <v>#NAME?</v>
      </c>
      <c r="H433" s="22" t="e">
        <f ca="1">_xll.BDH(C433,"PX_LAST",N433)</f>
        <v>#NAME?</v>
      </c>
      <c r="I433" s="15" t="e">
        <f t="shared" ca="1" si="128"/>
        <v>#NAME?</v>
      </c>
      <c r="J433" s="16" t="e">
        <f t="shared" ca="1" si="129"/>
        <v>#NAME?</v>
      </c>
      <c r="K433" s="15" t="e">
        <f t="shared" ca="1" si="130"/>
        <v>#NAME?</v>
      </c>
      <c r="L433" s="22" t="e">
        <f ca="1">_xll.BDH("RUB curncy","PX_LAST",$N433)</f>
        <v>#NAME?</v>
      </c>
      <c r="M433" s="85" t="e">
        <f ca="1">1/_xll.BDH("RUB curncy","PX_LAST",$N433)</f>
        <v>#NAME?</v>
      </c>
      <c r="N433" s="14">
        <v>41950</v>
      </c>
    </row>
    <row r="434" spans="2:14" x14ac:dyDescent="0.2">
      <c r="B434" s="21" t="s">
        <v>126</v>
      </c>
      <c r="C434" s="20" t="s">
        <v>65</v>
      </c>
      <c r="D434" s="18" t="e">
        <f ca="1">_xll.BDP(C434,"SECURITY_NAME")</f>
        <v>#NAME?</v>
      </c>
      <c r="E434" s="18" t="s">
        <v>50</v>
      </c>
      <c r="F434" s="19">
        <v>3173</v>
      </c>
      <c r="G434" s="18" t="e">
        <f ca="1">_xll.BDP(C434,"CRNCY")</f>
        <v>#NAME?</v>
      </c>
      <c r="H434" s="22" t="e">
        <f ca="1">_xll.BDH(C434,"PX_LAST",N434)</f>
        <v>#NAME?</v>
      </c>
      <c r="I434" s="15" t="e">
        <f t="shared" ca="1" si="128"/>
        <v>#NAME?</v>
      </c>
      <c r="J434" s="16" t="e">
        <f t="shared" ca="1" si="129"/>
        <v>#NAME?</v>
      </c>
      <c r="K434" s="15" t="e">
        <f t="shared" ca="1" si="130"/>
        <v>#NAME?</v>
      </c>
      <c r="L434" s="22" t="e">
        <f ca="1">_xll.BDH("RUB curncy","PX_LAST",$N434)</f>
        <v>#NAME?</v>
      </c>
      <c r="M434" s="85" t="e">
        <f ca="1">1/_xll.BDH("RUB curncy","PX_LAST",$N434)</f>
        <v>#NAME?</v>
      </c>
      <c r="N434" s="14">
        <v>41943</v>
      </c>
    </row>
    <row r="435" spans="2:14" x14ac:dyDescent="0.2">
      <c r="B435" s="21" t="s">
        <v>126</v>
      </c>
      <c r="C435" s="20" t="s">
        <v>65</v>
      </c>
      <c r="D435" s="18" t="e">
        <f ca="1">_xll.BDP(C435,"SECURITY_NAME")</f>
        <v>#NAME?</v>
      </c>
      <c r="E435" s="18" t="s">
        <v>50</v>
      </c>
      <c r="F435" s="19">
        <v>4400</v>
      </c>
      <c r="G435" s="18" t="e">
        <f ca="1">_xll.BDP(C435,"CRNCY")</f>
        <v>#NAME?</v>
      </c>
      <c r="H435" s="22" t="e">
        <f ca="1">_xll.BDH(C435,"PX_LAST",N435)</f>
        <v>#NAME?</v>
      </c>
      <c r="I435" s="15" t="e">
        <f t="shared" ca="1" si="128"/>
        <v>#NAME?</v>
      </c>
      <c r="J435" s="16" t="e">
        <f t="shared" ca="1" si="129"/>
        <v>#NAME?</v>
      </c>
      <c r="K435" s="15" t="e">
        <f t="shared" ca="1" si="130"/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41942</v>
      </c>
    </row>
    <row r="436" spans="2:14" x14ac:dyDescent="0.2">
      <c r="B436" s="21" t="s">
        <v>126</v>
      </c>
      <c r="C436" s="20" t="s">
        <v>65</v>
      </c>
      <c r="D436" s="18" t="e">
        <f ca="1">_xll.BDP(C436,"SECURITY_NAME")</f>
        <v>#NAME?</v>
      </c>
      <c r="E436" s="18" t="s">
        <v>50</v>
      </c>
      <c r="F436" s="19">
        <v>4700</v>
      </c>
      <c r="G436" s="18" t="e">
        <f ca="1">_xll.BDP(C436,"CRNCY")</f>
        <v>#NAME?</v>
      </c>
      <c r="H436" s="22" t="e">
        <f ca="1">_xll.BDH(C436,"PX_LAST",N436)</f>
        <v>#NAME?</v>
      </c>
      <c r="I436" s="15" t="e">
        <f t="shared" ca="1" si="128"/>
        <v>#NAME?</v>
      </c>
      <c r="J436" s="16" t="e">
        <f t="shared" ca="1" si="129"/>
        <v>#NAME?</v>
      </c>
      <c r="K436" s="15" t="e">
        <f t="shared" ca="1" si="130"/>
        <v>#NAME?</v>
      </c>
      <c r="L436" s="22" t="e">
        <f ca="1">_xll.BDH("RUB curncy","PX_LAST",$N436)</f>
        <v>#NAME?</v>
      </c>
      <c r="M436" s="85" t="e">
        <f ca="1">1/_xll.BDH("RUB curncy","PX_LAST",$N436)</f>
        <v>#NAME?</v>
      </c>
      <c r="N436" s="14">
        <v>41941</v>
      </c>
    </row>
    <row r="437" spans="2:14" x14ac:dyDescent="0.2">
      <c r="B437" s="21" t="s">
        <v>126</v>
      </c>
      <c r="C437" s="20" t="s">
        <v>65</v>
      </c>
      <c r="D437" s="18" t="e">
        <f ca="1">_xll.BDP(C437,"SECURITY_NAME")</f>
        <v>#NAME?</v>
      </c>
      <c r="E437" s="18" t="s">
        <v>50</v>
      </c>
      <c r="F437" s="19">
        <v>2000</v>
      </c>
      <c r="G437" s="18" t="e">
        <f ca="1">_xll.BDP(C437,"CRNCY")</f>
        <v>#NAME?</v>
      </c>
      <c r="H437" s="22" t="e">
        <f ca="1">_xll.BDH(C437,"PX_LAST",N437)</f>
        <v>#NAME?</v>
      </c>
      <c r="I437" s="15" t="e">
        <f t="shared" ca="1" si="128"/>
        <v>#NAME?</v>
      </c>
      <c r="J437" s="16" t="e">
        <f t="shared" ca="1" si="129"/>
        <v>#NAME?</v>
      </c>
      <c r="K437" s="15" t="e">
        <f t="shared" ca="1" si="130"/>
        <v>#NAME?</v>
      </c>
      <c r="L437" s="22" t="e">
        <f ca="1">_xll.BDH("RUB curncy","PX_LAST",$N437)</f>
        <v>#NAME?</v>
      </c>
      <c r="M437" s="85" t="e">
        <f ca="1">1/_xll.BDH("RUB curncy","PX_LAST",$N437)</f>
        <v>#NAME?</v>
      </c>
      <c r="N437" s="14">
        <v>41911</v>
      </c>
    </row>
    <row r="438" spans="2:14" x14ac:dyDescent="0.2">
      <c r="E438" s="9">
        <f>(F438-2344)/F438</f>
        <v>0.8645712965102843</v>
      </c>
      <c r="F438" s="79">
        <f>SUM(F432:F437)</f>
        <v>17308</v>
      </c>
      <c r="H438" s="80" t="e">
        <f ca="1">I438/F438</f>
        <v>#NAME?</v>
      </c>
      <c r="I438" s="79" t="e">
        <f ca="1">SUM(I432:I437)</f>
        <v>#NAME?</v>
      </c>
      <c r="J438" s="79" t="e">
        <f ca="1">SUM(J432:J437)*E438</f>
        <v>#NAME?</v>
      </c>
      <c r="K438" s="79" t="e">
        <f ca="1">SUM(K432:K437)</f>
        <v>#NAME?</v>
      </c>
    </row>
    <row r="439" spans="2:14" x14ac:dyDescent="0.2">
      <c r="G439" s="79"/>
      <c r="H439" s="80"/>
      <c r="I439" s="79"/>
      <c r="J439" s="79"/>
      <c r="K439" s="79"/>
    </row>
    <row r="440" spans="2:14" x14ac:dyDescent="0.2">
      <c r="B440" s="21" t="s">
        <v>126</v>
      </c>
      <c r="C440" s="20" t="s">
        <v>2</v>
      </c>
      <c r="D440" s="18" t="e">
        <f ca="1">_xll.BDP(C440,"SECURITY_NAME")</f>
        <v>#NAME?</v>
      </c>
      <c r="E440" s="18" t="s">
        <v>50</v>
      </c>
      <c r="F440" s="19">
        <v>9800</v>
      </c>
      <c r="G440" s="18" t="e">
        <f ca="1">_xll.BDP(C440,"CRNCY")</f>
        <v>#NAME?</v>
      </c>
      <c r="H440" s="22">
        <v>541</v>
      </c>
      <c r="I440" s="15">
        <f t="shared" ref="I440" si="131">F440*H440</f>
        <v>5301800</v>
      </c>
      <c r="J440" s="16" t="e">
        <f t="shared" ref="J440" ca="1" si="132">I440/L440</f>
        <v>#NAME?</v>
      </c>
      <c r="K440" s="15" t="e">
        <f t="shared" ref="K440" ca="1" si="133">J440*L440</f>
        <v>#NAME?</v>
      </c>
      <c r="L440" s="22" t="e">
        <f ca="1">_xll.BDH("RUB curncy","PX_LAST",$N440)</f>
        <v>#NAME?</v>
      </c>
      <c r="M440" s="85" t="e">
        <f ca="1">1/_xll.BDH("RUB curncy","PX_LAST",$N440)</f>
        <v>#NAME?</v>
      </c>
      <c r="N440" s="14">
        <v>42696</v>
      </c>
    </row>
    <row r="441" spans="2:14" x14ac:dyDescent="0.2">
      <c r="B441" s="21" t="s">
        <v>126</v>
      </c>
      <c r="C441" s="20" t="s">
        <v>2</v>
      </c>
      <c r="D441" s="18" t="e">
        <f ca="1">_xll.BDP(C441,"SECURITY_NAME")</f>
        <v>#NAME?</v>
      </c>
      <c r="E441" s="18" t="s">
        <v>50</v>
      </c>
      <c r="F441" s="19">
        <v>8600</v>
      </c>
      <c r="G441" s="18" t="e">
        <f ca="1">_xll.BDP(C441,"CRNCY")</f>
        <v>#NAME?</v>
      </c>
      <c r="H441" s="22">
        <v>580</v>
      </c>
      <c r="I441" s="15">
        <f t="shared" ref="I441:I446" si="134">F441*H441</f>
        <v>4988000</v>
      </c>
      <c r="J441" s="16" t="e">
        <f t="shared" ref="J441:J446" ca="1" si="135">I441/L441</f>
        <v>#NAME?</v>
      </c>
      <c r="K441" s="15" t="e">
        <f t="shared" ref="K441:K446" ca="1" si="136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42671</v>
      </c>
    </row>
    <row r="442" spans="2:14" x14ac:dyDescent="0.2">
      <c r="B442" s="21" t="s">
        <v>126</v>
      </c>
      <c r="C442" s="20" t="s">
        <v>2</v>
      </c>
      <c r="D442" s="18" t="e">
        <f ca="1">_xll.BDP(C442,"SECURITY_NAME")</f>
        <v>#NAME?</v>
      </c>
      <c r="E442" s="18" t="s">
        <v>50</v>
      </c>
      <c r="F442" s="19">
        <v>8900</v>
      </c>
      <c r="G442" s="18" t="e">
        <f ca="1">_xll.BDP(C442,"CRNCY")</f>
        <v>#NAME?</v>
      </c>
      <c r="H442" s="22">
        <v>563.5</v>
      </c>
      <c r="I442" s="15">
        <f t="shared" si="134"/>
        <v>5015150</v>
      </c>
      <c r="J442" s="16" t="e">
        <f t="shared" ca="1" si="135"/>
        <v>#NAME?</v>
      </c>
      <c r="K442" s="15" t="e">
        <f t="shared" ca="1" si="136"/>
        <v>#NAME?</v>
      </c>
      <c r="L442" s="22" t="e">
        <f ca="1">_xll.BDH("RUB curncy","PX_LAST",$N442)</f>
        <v>#NAME?</v>
      </c>
      <c r="M442" s="85" t="e">
        <f ca="1">1/_xll.BDH("RUB curncy","PX_LAST",$N442)</f>
        <v>#NAME?</v>
      </c>
      <c r="N442" s="14">
        <v>42668</v>
      </c>
    </row>
    <row r="443" spans="2:14" x14ac:dyDescent="0.2">
      <c r="B443" s="21" t="s">
        <v>126</v>
      </c>
      <c r="C443" s="20" t="s">
        <v>2</v>
      </c>
      <c r="D443" s="18" t="e">
        <f ca="1">_xll.BDP(C443,"SECURITY_NAME")</f>
        <v>#NAME?</v>
      </c>
      <c r="E443" s="18" t="s">
        <v>50</v>
      </c>
      <c r="F443" s="19">
        <v>7310</v>
      </c>
      <c r="G443" s="18" t="e">
        <f ca="1">_xll.BDP(C443,"CRNCY")</f>
        <v>#NAME?</v>
      </c>
      <c r="H443" s="22">
        <v>658.87</v>
      </c>
      <c r="I443" s="15">
        <f t="shared" si="134"/>
        <v>4816339.7</v>
      </c>
      <c r="J443" s="16" t="e">
        <f t="shared" ca="1" si="135"/>
        <v>#NAME?</v>
      </c>
      <c r="K443" s="15" t="e">
        <f t="shared" ca="1" si="136"/>
        <v>#NAME?</v>
      </c>
      <c r="L443" s="22" t="e">
        <f ca="1">_xll.BDH("RUB curncy","PX_LAST",$N443)</f>
        <v>#NAME?</v>
      </c>
      <c r="M443" s="85" t="e">
        <f ca="1">1/_xll.BDH("RUB curncy","PX_LAST",$N443)</f>
        <v>#NAME?</v>
      </c>
      <c r="N443" s="14">
        <v>42584</v>
      </c>
    </row>
    <row r="444" spans="2:14" x14ac:dyDescent="0.2">
      <c r="B444" s="21" t="s">
        <v>126</v>
      </c>
      <c r="C444" s="20" t="s">
        <v>2</v>
      </c>
      <c r="D444" s="18" t="e">
        <f ca="1">_xll.BDP(C444,"SECURITY_NAME")</f>
        <v>#NAME?</v>
      </c>
      <c r="E444" s="18" t="s">
        <v>50</v>
      </c>
      <c r="F444" s="19">
        <v>10000</v>
      </c>
      <c r="G444" s="18" t="e">
        <f ca="1">_xll.BDP(C444,"CRNCY")</f>
        <v>#NAME?</v>
      </c>
      <c r="H444" s="22">
        <v>662</v>
      </c>
      <c r="I444" s="15">
        <f t="shared" si="134"/>
        <v>6620000</v>
      </c>
      <c r="J444" s="16" t="e">
        <f t="shared" ca="1" si="135"/>
        <v>#NAME?</v>
      </c>
      <c r="K444" s="15" t="e">
        <f t="shared" ca="1" si="136"/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42549</v>
      </c>
    </row>
    <row r="445" spans="2:14" x14ac:dyDescent="0.2">
      <c r="B445" s="21" t="s">
        <v>126</v>
      </c>
      <c r="C445" s="20" t="s">
        <v>2</v>
      </c>
      <c r="D445" s="18" t="e">
        <f ca="1">_xll.BDP(C445,"SECURITY_NAME")</f>
        <v>#NAME?</v>
      </c>
      <c r="E445" s="18" t="s">
        <v>50</v>
      </c>
      <c r="F445" s="19">
        <v>6720</v>
      </c>
      <c r="G445" s="18" t="e">
        <f ca="1">_xll.BDP(C445,"CRNCY")</f>
        <v>#NAME?</v>
      </c>
      <c r="H445" s="22">
        <v>660</v>
      </c>
      <c r="I445" s="15">
        <f t="shared" si="134"/>
        <v>4435200</v>
      </c>
      <c r="J445" s="16" t="e">
        <f t="shared" ca="1" si="135"/>
        <v>#NAME?</v>
      </c>
      <c r="K445" s="15" t="e">
        <f t="shared" ca="1" si="136"/>
        <v>#NAME?</v>
      </c>
      <c r="L445" s="22" t="e">
        <f ca="1">_xll.BDH("RUB curncy","PX_LAST",$N445)</f>
        <v>#NAME?</v>
      </c>
      <c r="M445" s="85" t="e">
        <f ca="1">1/_xll.BDH("RUB curncy","PX_LAST",$N445)</f>
        <v>#NAME?</v>
      </c>
      <c r="N445" s="14">
        <v>42548</v>
      </c>
    </row>
    <row r="446" spans="2:14" x14ac:dyDescent="0.2">
      <c r="B446" s="21" t="s">
        <v>126</v>
      </c>
      <c r="C446" s="20" t="s">
        <v>2</v>
      </c>
      <c r="D446" s="18" t="e">
        <f ca="1">_xll.BDP(C446,"SECURITY_NAME")</f>
        <v>#NAME?</v>
      </c>
      <c r="E446" s="18" t="s">
        <v>50</v>
      </c>
      <c r="F446" s="19">
        <v>28600</v>
      </c>
      <c r="G446" s="18" t="e">
        <f ca="1">_xll.BDP(C446,"CRNCY")</f>
        <v>#NAME?</v>
      </c>
      <c r="H446" s="22">
        <v>700</v>
      </c>
      <c r="I446" s="15">
        <f t="shared" si="134"/>
        <v>20020000</v>
      </c>
      <c r="J446" s="16" t="e">
        <f t="shared" ca="1" si="135"/>
        <v>#NAME?</v>
      </c>
      <c r="K446" s="15" t="e">
        <f t="shared" ca="1" si="136"/>
        <v>#NAME?</v>
      </c>
      <c r="L446" s="22" t="e">
        <f ca="1">_xll.BDH("RUB curncy","PX_LAST",$N446)</f>
        <v>#NAME?</v>
      </c>
      <c r="M446" s="85" t="e">
        <f ca="1">1/_xll.BDH("RUB curncy","PX_LAST",$N446)</f>
        <v>#NAME?</v>
      </c>
      <c r="N446" s="14">
        <v>42465</v>
      </c>
    </row>
    <row r="447" spans="2:14" x14ac:dyDescent="0.2">
      <c r="B447" s="21" t="s">
        <v>126</v>
      </c>
      <c r="C447" s="20" t="s">
        <v>2</v>
      </c>
      <c r="D447" s="18" t="e">
        <f ca="1">_xll.BDP(C447,"SECURITY_NAME")</f>
        <v>#NAME?</v>
      </c>
      <c r="E447" s="18" t="s">
        <v>50</v>
      </c>
      <c r="F447" s="19">
        <v>6100</v>
      </c>
      <c r="G447" s="18" t="e">
        <f ca="1">_xll.BDP(C447,"CRNCY")</f>
        <v>#NAME?</v>
      </c>
      <c r="H447" s="22">
        <v>820</v>
      </c>
      <c r="I447" s="15">
        <f t="shared" ref="I447:I453" si="137">F447*H447</f>
        <v>5002000</v>
      </c>
      <c r="J447" s="16" t="e">
        <f t="shared" ref="J447:J453" ca="1" si="138">I447/L447</f>
        <v>#NAME?</v>
      </c>
      <c r="K447" s="15" t="e">
        <f t="shared" ref="K447:K453" ca="1" si="139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42306</v>
      </c>
    </row>
    <row r="448" spans="2:14" x14ac:dyDescent="0.2">
      <c r="B448" s="21" t="s">
        <v>126</v>
      </c>
      <c r="C448" s="20" t="s">
        <v>2</v>
      </c>
      <c r="D448" s="18" t="e">
        <f ca="1">_xll.BDP(C448,"SECURITY_NAME")</f>
        <v>#NAME?</v>
      </c>
      <c r="E448" s="18" t="s">
        <v>50</v>
      </c>
      <c r="F448" s="19">
        <v>4340</v>
      </c>
      <c r="G448" s="18" t="e">
        <f ca="1">_xll.BDP(C448,"CRNCY")</f>
        <v>#NAME?</v>
      </c>
      <c r="H448" s="22">
        <v>800</v>
      </c>
      <c r="I448" s="15">
        <f t="shared" si="137"/>
        <v>3472000</v>
      </c>
      <c r="J448" s="16" t="e">
        <f t="shared" ca="1" si="138"/>
        <v>#NAME?</v>
      </c>
      <c r="K448" s="15" t="e">
        <f t="shared" ca="1" si="139"/>
        <v>#NAME?</v>
      </c>
      <c r="L448" s="22" t="e">
        <f ca="1">_xll.BDH("RUB curncy","PX_LAST",$N448)</f>
        <v>#NAME?</v>
      </c>
      <c r="M448" s="85" t="e">
        <f ca="1">1/_xll.BDH("RUB curncy","PX_LAST",$N448)</f>
        <v>#NAME?</v>
      </c>
      <c r="N448" s="14">
        <v>42304</v>
      </c>
    </row>
    <row r="449" spans="2:14" x14ac:dyDescent="0.2">
      <c r="B449" s="21" t="s">
        <v>126</v>
      </c>
      <c r="C449" s="20" t="s">
        <v>2</v>
      </c>
      <c r="D449" s="18" t="e">
        <f ca="1">_xll.BDP(C449,"SECURITY_NAME")</f>
        <v>#NAME?</v>
      </c>
      <c r="E449" s="18" t="s">
        <v>50</v>
      </c>
      <c r="F449" s="19">
        <v>6250</v>
      </c>
      <c r="G449" s="18" t="e">
        <f ca="1">_xll.BDP(C449,"CRNCY")</f>
        <v>#NAME?</v>
      </c>
      <c r="H449" s="22">
        <v>800</v>
      </c>
      <c r="I449" s="15">
        <f t="shared" si="137"/>
        <v>5000000</v>
      </c>
      <c r="J449" s="16" t="e">
        <f t="shared" ca="1" si="138"/>
        <v>#NAME?</v>
      </c>
      <c r="K449" s="15" t="e">
        <f t="shared" ca="1" si="139"/>
        <v>#NAME?</v>
      </c>
      <c r="L449" s="22" t="e">
        <f ca="1">_xll.BDH("RUB curncy","PX_LAST",$N449)</f>
        <v>#NAME?</v>
      </c>
      <c r="M449" s="85" t="e">
        <f ca="1">1/_xll.BDH("RUB curncy","PX_LAST",$N449)</f>
        <v>#NAME?</v>
      </c>
      <c r="N449" s="14">
        <v>42243</v>
      </c>
    </row>
    <row r="450" spans="2:14" x14ac:dyDescent="0.2">
      <c r="B450" s="21" t="s">
        <v>126</v>
      </c>
      <c r="C450" s="20" t="s">
        <v>2</v>
      </c>
      <c r="D450" s="18" t="e">
        <f ca="1">_xll.BDP(C450,"SECURITY_NAME")</f>
        <v>#NAME?</v>
      </c>
      <c r="E450" s="18" t="s">
        <v>50</v>
      </c>
      <c r="F450" s="19">
        <v>8400</v>
      </c>
      <c r="G450" s="18" t="e">
        <f ca="1">_xll.BDP(C450,"CRNCY")</f>
        <v>#NAME?</v>
      </c>
      <c r="H450" s="22">
        <v>720</v>
      </c>
      <c r="I450" s="15">
        <f t="shared" si="137"/>
        <v>6048000</v>
      </c>
      <c r="J450" s="16" t="e">
        <f t="shared" ca="1" si="138"/>
        <v>#NAME?</v>
      </c>
      <c r="K450" s="15" t="e">
        <f t="shared" ca="1" si="139"/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42214</v>
      </c>
    </row>
    <row r="451" spans="2:14" x14ac:dyDescent="0.2">
      <c r="B451" s="21" t="s">
        <v>126</v>
      </c>
      <c r="C451" s="20" t="s">
        <v>2</v>
      </c>
      <c r="D451" s="18" t="e">
        <f ca="1">_xll.BDP(C451,"SECURITY_NAME")</f>
        <v>#NAME?</v>
      </c>
      <c r="E451" s="18" t="s">
        <v>50</v>
      </c>
      <c r="F451" s="19">
        <v>2700</v>
      </c>
      <c r="G451" s="18" t="e">
        <f ca="1">_xll.BDP(C451,"CRNCY")</f>
        <v>#NAME?</v>
      </c>
      <c r="H451" s="22" t="e">
        <f ca="1">_xll.BDH(C451,"PX_LAST",N451)</f>
        <v>#NAME?</v>
      </c>
      <c r="I451" s="15" t="e">
        <f t="shared" ca="1" si="137"/>
        <v>#NAME?</v>
      </c>
      <c r="J451" s="16" t="e">
        <f t="shared" ca="1" si="138"/>
        <v>#NAME?</v>
      </c>
      <c r="K451" s="15" t="e">
        <f t="shared" ca="1" si="139"/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41929</v>
      </c>
    </row>
    <row r="452" spans="2:14" x14ac:dyDescent="0.2">
      <c r="B452" s="21" t="s">
        <v>126</v>
      </c>
      <c r="C452" s="20" t="s">
        <v>2</v>
      </c>
      <c r="D452" s="18" t="e">
        <f ca="1">_xll.BDP(C452,"SECURITY_NAME")</f>
        <v>#NAME?</v>
      </c>
      <c r="E452" s="18" t="s">
        <v>50</v>
      </c>
      <c r="F452" s="19">
        <v>3280</v>
      </c>
      <c r="G452" s="18" t="e">
        <f ca="1">_xll.BDP(C452,"CRNCY")</f>
        <v>#NAME?</v>
      </c>
      <c r="H452" s="22" t="e">
        <f ca="1">_xll.BDH(C452,"PX_LAST",N452)</f>
        <v>#NAME?</v>
      </c>
      <c r="I452" s="15" t="e">
        <f t="shared" ca="1" si="137"/>
        <v>#NAME?</v>
      </c>
      <c r="J452" s="16" t="e">
        <f t="shared" ca="1" si="138"/>
        <v>#NAME?</v>
      </c>
      <c r="K452" s="15" t="e">
        <f t="shared" ca="1" si="139"/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41663</v>
      </c>
    </row>
    <row r="453" spans="2:14" x14ac:dyDescent="0.2">
      <c r="B453" s="21" t="s">
        <v>126</v>
      </c>
      <c r="C453" s="20" t="s">
        <v>2</v>
      </c>
      <c r="D453" s="18" t="e">
        <f ca="1">_xll.BDP(C453,"SECURITY_NAME")</f>
        <v>#NAME?</v>
      </c>
      <c r="E453" s="18" t="s">
        <v>50</v>
      </c>
      <c r="F453" s="19">
        <v>4700</v>
      </c>
      <c r="G453" s="18" t="e">
        <f ca="1">_xll.BDP(C453,"CRNCY")</f>
        <v>#NAME?</v>
      </c>
      <c r="H453" s="22" t="e">
        <f ca="1">_xll.BDH(C453,"PX_LAST",N453)</f>
        <v>#NAME?</v>
      </c>
      <c r="I453" s="15" t="e">
        <f t="shared" ca="1" si="137"/>
        <v>#NAME?</v>
      </c>
      <c r="J453" s="16" t="e">
        <f t="shared" ca="1" si="138"/>
        <v>#NAME?</v>
      </c>
      <c r="K453" s="15" t="e">
        <f t="shared" ca="1" si="139"/>
        <v>#NAME?</v>
      </c>
      <c r="L453" s="22" t="e">
        <f ca="1">_xll.BDH("RUB curncy","PX_LAST",$N453)</f>
        <v>#NAME?</v>
      </c>
      <c r="M453" s="85" t="e">
        <f ca="1">1/_xll.BDH("RUB curncy","PX_LAST",$N453)</f>
        <v>#NAME?</v>
      </c>
      <c r="N453" s="14">
        <v>41653</v>
      </c>
    </row>
    <row r="454" spans="2:14" x14ac:dyDescent="0.2">
      <c r="B454" s="71"/>
      <c r="C454" s="72"/>
      <c r="D454" s="73"/>
      <c r="E454" s="73"/>
      <c r="F454" s="79">
        <f>SUM(F440:F453)</f>
        <v>115700</v>
      </c>
      <c r="G454" s="87"/>
      <c r="H454" s="80" t="e">
        <f ca="1">I454/F454</f>
        <v>#NAME?</v>
      </c>
      <c r="I454" s="79" t="e">
        <f ca="1">SUM(I440:I453)</f>
        <v>#NAME?</v>
      </c>
      <c r="J454" s="79" t="e">
        <f ca="1">SUM(J440:J453)</f>
        <v>#NAME?</v>
      </c>
      <c r="K454" s="79" t="e">
        <f ca="1">SUM(K440:K453)</f>
        <v>#NAME?</v>
      </c>
      <c r="L454" s="75"/>
      <c r="M454" s="86"/>
      <c r="N454" s="14"/>
    </row>
    <row r="455" spans="2:14" x14ac:dyDescent="0.2">
      <c r="B455" s="71"/>
      <c r="C455" s="72"/>
      <c r="D455" s="73"/>
      <c r="E455" s="73"/>
      <c r="F455" s="79"/>
      <c r="G455" s="87"/>
      <c r="H455" s="80"/>
      <c r="I455" s="79"/>
      <c r="J455" s="79"/>
      <c r="K455" s="79"/>
      <c r="L455" s="75"/>
      <c r="M455" s="86"/>
      <c r="N455" s="14"/>
    </row>
    <row r="456" spans="2:14" x14ac:dyDescent="0.2">
      <c r="B456" s="21" t="s">
        <v>126</v>
      </c>
      <c r="C456" s="20" t="s">
        <v>3</v>
      </c>
      <c r="D456" s="18" t="e">
        <f ca="1">_xll.BDP(C456,"SECURITY_NAME")</f>
        <v>#NAME?</v>
      </c>
      <c r="E456" s="18" t="s">
        <v>50</v>
      </c>
      <c r="F456" s="19">
        <v>1527</v>
      </c>
      <c r="G456" s="18" t="e">
        <f ca="1">_xll.BDP(C456,"CRNCY")</f>
        <v>#NAME?</v>
      </c>
      <c r="H456" s="22">
        <v>677.01800000000003</v>
      </c>
      <c r="I456" s="15">
        <f t="shared" ref="I456:I461" si="140">F456*H456</f>
        <v>1033806.486</v>
      </c>
      <c r="J456" s="16" t="e">
        <f t="shared" ref="J456:J461" ca="1" si="141">I456/L456</f>
        <v>#NAME?</v>
      </c>
      <c r="K456" s="15" t="e">
        <f t="shared" ref="K456:K461" ca="1" si="142">J456*L456</f>
        <v>#NAME?</v>
      </c>
      <c r="L456" s="22" t="e">
        <f ca="1">_xll.BDH("RUB curncy","PX_LAST",$N456)</f>
        <v>#NAME?</v>
      </c>
      <c r="M456" s="85" t="e">
        <f ca="1">1/_xll.BDH("RUB curncy","PX_LAST",$N456)</f>
        <v>#NAME?</v>
      </c>
      <c r="N456" s="14">
        <v>42514</v>
      </c>
    </row>
    <row r="457" spans="2:14" x14ac:dyDescent="0.2">
      <c r="B457" s="21" t="s">
        <v>126</v>
      </c>
      <c r="C457" s="20" t="s">
        <v>3</v>
      </c>
      <c r="D457" s="18" t="e">
        <f ca="1">_xll.BDP(C457,"SECURITY_NAME")</f>
        <v>#NAME?</v>
      </c>
      <c r="E457" s="18" t="s">
        <v>50</v>
      </c>
      <c r="F457" s="19">
        <v>5880</v>
      </c>
      <c r="G457" s="18" t="e">
        <f ca="1">_xll.BDP(C457,"CRNCY")</f>
        <v>#NAME?</v>
      </c>
      <c r="H457" s="22">
        <v>665.47125000000005</v>
      </c>
      <c r="I457" s="15">
        <f t="shared" si="140"/>
        <v>3912970.95</v>
      </c>
      <c r="J457" s="16" t="e">
        <f t="shared" ca="1" si="141"/>
        <v>#NAME?</v>
      </c>
      <c r="K457" s="15" t="e">
        <f t="shared" ca="1" si="142"/>
        <v>#NAME?</v>
      </c>
      <c r="L457" s="22" t="e">
        <f ca="1">_xll.BDH("RUB curncy","PX_LAST",$N457)</f>
        <v>#NAME?</v>
      </c>
      <c r="M457" s="85" t="e">
        <f ca="1">1/_xll.BDH("RUB curncy","PX_LAST",$N457)</f>
        <v>#NAME?</v>
      </c>
      <c r="N457" s="14">
        <v>42513</v>
      </c>
    </row>
    <row r="458" spans="2:14" x14ac:dyDescent="0.2">
      <c r="B458" s="21" t="s">
        <v>126</v>
      </c>
      <c r="C458" s="20" t="s">
        <v>3</v>
      </c>
      <c r="D458" s="18" t="e">
        <f ca="1">_xll.BDP(C458,"SECURITY_NAME")</f>
        <v>#NAME?</v>
      </c>
      <c r="E458" s="18" t="s">
        <v>50</v>
      </c>
      <c r="F458" s="19">
        <v>17000</v>
      </c>
      <c r="G458" s="18" t="e">
        <f ca="1">_xll.BDP(C458,"CRNCY")</f>
        <v>#NAME?</v>
      </c>
      <c r="H458" s="22">
        <v>594</v>
      </c>
      <c r="I458" s="15">
        <f t="shared" si="140"/>
        <v>10098000</v>
      </c>
      <c r="J458" s="16" t="e">
        <f t="shared" ca="1" si="141"/>
        <v>#NAME?</v>
      </c>
      <c r="K458" s="15" t="e">
        <f t="shared" ca="1" si="142"/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42430</v>
      </c>
    </row>
    <row r="459" spans="2:14" x14ac:dyDescent="0.2">
      <c r="B459" s="21" t="s">
        <v>126</v>
      </c>
      <c r="C459" s="20" t="s">
        <v>3</v>
      </c>
      <c r="D459" s="18" t="e">
        <f ca="1">_xll.BDP(C459,"SECURITY_NAME")</f>
        <v>#NAME?</v>
      </c>
      <c r="E459" s="18" t="s">
        <v>50</v>
      </c>
      <c r="F459" s="19">
        <v>17000</v>
      </c>
      <c r="G459" s="18" t="e">
        <f ca="1">_xll.BDP(C459,"CRNCY")</f>
        <v>#NAME?</v>
      </c>
      <c r="H459" s="22">
        <v>594.25</v>
      </c>
      <c r="I459" s="15">
        <f t="shared" si="140"/>
        <v>10102250</v>
      </c>
      <c r="J459" s="16" t="e">
        <f t="shared" ca="1" si="141"/>
        <v>#NAME?</v>
      </c>
      <c r="K459" s="15" t="e">
        <f t="shared" ca="1" si="142"/>
        <v>#NAME?</v>
      </c>
      <c r="L459" s="22" t="e">
        <f ca="1">_xll.BDH("RUB curncy","PX_LAST",$N459)</f>
        <v>#NAME?</v>
      </c>
      <c r="M459" s="85" t="e">
        <f ca="1">1/_xll.BDH("RUB curncy","PX_LAST",$N459)</f>
        <v>#NAME?</v>
      </c>
      <c r="N459" s="14">
        <v>42429</v>
      </c>
    </row>
    <row r="460" spans="2:14" x14ac:dyDescent="0.2">
      <c r="B460" s="21" t="s">
        <v>126</v>
      </c>
      <c r="C460" s="20" t="s">
        <v>3</v>
      </c>
      <c r="D460" s="18" t="e">
        <f ca="1">_xll.BDP(C460,"SECURITY_NAME")</f>
        <v>#NAME?</v>
      </c>
      <c r="E460" s="18" t="s">
        <v>50</v>
      </c>
      <c r="F460" s="19">
        <v>1593</v>
      </c>
      <c r="G460" s="18" t="e">
        <f ca="1">_xll.BDP(C460,"CRNCY")</f>
        <v>#NAME?</v>
      </c>
      <c r="H460" s="22">
        <v>600</v>
      </c>
      <c r="I460" s="15">
        <f t="shared" si="140"/>
        <v>955800</v>
      </c>
      <c r="J460" s="16" t="e">
        <f t="shared" ca="1" si="141"/>
        <v>#NAME?</v>
      </c>
      <c r="K460" s="15" t="e">
        <f t="shared" ca="1" si="142"/>
        <v>#NAME?</v>
      </c>
      <c r="L460" s="22" t="e">
        <f ca="1">_xll.BDH("RUB curncy","PX_LAST",$N460)</f>
        <v>#NAME?</v>
      </c>
      <c r="M460" s="85" t="e">
        <f ca="1">1/_xll.BDH("RUB curncy","PX_LAST",$N460)</f>
        <v>#NAME?</v>
      </c>
      <c r="N460" s="14">
        <v>42230</v>
      </c>
    </row>
    <row r="461" spans="2:14" x14ac:dyDescent="0.2">
      <c r="B461" s="21" t="s">
        <v>126</v>
      </c>
      <c r="C461" s="20" t="s">
        <v>3</v>
      </c>
      <c r="D461" s="18" t="e">
        <f ca="1">_xll.BDP(C461,"SECURITY_NAME")</f>
        <v>#NAME?</v>
      </c>
      <c r="E461" s="18" t="s">
        <v>50</v>
      </c>
      <c r="F461" s="19">
        <v>6750</v>
      </c>
      <c r="G461" s="18" t="e">
        <f ca="1">_xll.BDP(C461,"CRNCY")</f>
        <v>#NAME?</v>
      </c>
      <c r="H461" s="22" t="e">
        <f ca="1">_xll.BDH(C461,"PX_LAST",N461)</f>
        <v>#NAME?</v>
      </c>
      <c r="I461" s="15" t="e">
        <f t="shared" ca="1" si="140"/>
        <v>#NAME?</v>
      </c>
      <c r="J461" s="16" t="e">
        <f t="shared" ca="1" si="141"/>
        <v>#NAME?</v>
      </c>
      <c r="K461" s="15" t="e">
        <f t="shared" ca="1" si="142"/>
        <v>#NAME?</v>
      </c>
      <c r="L461" s="22" t="e">
        <f ca="1">_xll.BDH("RUB curncy","PX_LAST",$N461)</f>
        <v>#NAME?</v>
      </c>
      <c r="M461" s="85" t="e">
        <f ca="1">1/_xll.BDH("RUB curncy","PX_LAST",$N461)</f>
        <v>#NAME?</v>
      </c>
      <c r="N461" s="14">
        <v>41663</v>
      </c>
    </row>
    <row r="462" spans="2:14" x14ac:dyDescent="0.2">
      <c r="B462" s="71"/>
      <c r="C462" s="72"/>
      <c r="D462" s="73"/>
      <c r="E462" s="73"/>
      <c r="F462" s="79">
        <f>SUM(F456:F461)</f>
        <v>49750</v>
      </c>
      <c r="G462" s="87"/>
      <c r="H462" s="79" t="e">
        <f ca="1">I462/F462</f>
        <v>#NAME?</v>
      </c>
      <c r="I462" s="79" t="e">
        <f ca="1">SUM(I456:I461)</f>
        <v>#NAME?</v>
      </c>
      <c r="J462" s="79" t="e">
        <f ca="1">SUM(J456:J461)</f>
        <v>#NAME?</v>
      </c>
      <c r="K462" s="79" t="e">
        <f ca="1">SUM(K456:K461)</f>
        <v>#NAME?</v>
      </c>
      <c r="L462" s="75"/>
      <c r="M462" s="86"/>
      <c r="N462" s="14"/>
    </row>
    <row r="463" spans="2:14" x14ac:dyDescent="0.2">
      <c r="B463" s="71"/>
      <c r="C463" s="72"/>
      <c r="D463" s="73"/>
      <c r="E463" s="73"/>
      <c r="F463" s="79"/>
      <c r="G463" s="87"/>
      <c r="H463" s="80"/>
      <c r="I463" s="79"/>
      <c r="J463" s="79"/>
      <c r="K463" s="79"/>
      <c r="L463" s="75"/>
      <c r="M463" s="86"/>
      <c r="N463" s="14"/>
    </row>
    <row r="464" spans="2:14" x14ac:dyDescent="0.2">
      <c r="B464" s="21" t="s">
        <v>126</v>
      </c>
      <c r="C464" s="20" t="s">
        <v>14</v>
      </c>
      <c r="D464" s="18" t="e">
        <f ca="1">_xll.BDP(C464,"SECURITY_NAME")</f>
        <v>#NAME?</v>
      </c>
      <c r="E464" s="18" t="s">
        <v>50</v>
      </c>
      <c r="F464" s="19">
        <v>45000</v>
      </c>
      <c r="G464" s="18" t="e">
        <f ca="1">_xll.BDP(C464,"CRNCY")</f>
        <v>#NAME?</v>
      </c>
      <c r="H464" s="22" t="e">
        <f ca="1">_xll.BDH(C464,"PX_LAST",N464)</f>
        <v>#NAME?</v>
      </c>
      <c r="I464" s="15" t="e">
        <f ca="1">F464*H464</f>
        <v>#NAME?</v>
      </c>
      <c r="J464" s="16" t="e">
        <f ca="1">I464</f>
        <v>#NAME?</v>
      </c>
      <c r="K464" s="15" t="e">
        <f ca="1">J464*L464</f>
        <v>#NAME?</v>
      </c>
      <c r="L464" s="22" t="e">
        <f ca="1">_xll.BDH("RUB curncy","PX_LAST",$N464)</f>
        <v>#NAME?</v>
      </c>
      <c r="M464" s="85" t="e">
        <f ca="1">1/_xll.BDH("RUB curncy","PX_LAST",$N464)</f>
        <v>#NAME?</v>
      </c>
      <c r="N464" s="14">
        <v>41702</v>
      </c>
    </row>
    <row r="465" spans="2:14" x14ac:dyDescent="0.2">
      <c r="B465" s="71"/>
      <c r="C465" s="72"/>
      <c r="D465" s="73"/>
      <c r="E465" s="73"/>
      <c r="F465" s="79">
        <f>SUM(F464)</f>
        <v>45000</v>
      </c>
      <c r="G465" s="87"/>
      <c r="H465" s="80" t="e">
        <f ca="1">I465/F465</f>
        <v>#NAME?</v>
      </c>
      <c r="I465" s="79" t="e">
        <f ca="1">SUM(I464)</f>
        <v>#NAME?</v>
      </c>
      <c r="J465" s="79" t="e">
        <f ca="1">SUM(J464)</f>
        <v>#NAME?</v>
      </c>
      <c r="K465" s="79" t="e">
        <f ca="1">SUM(K464)</f>
        <v>#NAME?</v>
      </c>
      <c r="L465" s="75"/>
      <c r="M465" s="86"/>
      <c r="N465" s="14"/>
    </row>
    <row r="467" spans="2:14" x14ac:dyDescent="0.2">
      <c r="B467" s="21" t="s">
        <v>126</v>
      </c>
      <c r="C467" s="20" t="s">
        <v>4</v>
      </c>
      <c r="D467" s="18" t="e">
        <f ca="1">_xll.BDP(C467,"SECURITY_NAME")</f>
        <v>#NAME?</v>
      </c>
      <c r="E467" s="18" t="s">
        <v>50</v>
      </c>
      <c r="F467" s="19">
        <v>23745</v>
      </c>
      <c r="G467" s="18" t="e">
        <f ca="1">_xll.BDP(C467,"CRNCY")</f>
        <v>#NAME?</v>
      </c>
      <c r="H467" s="22">
        <v>1.997357</v>
      </c>
      <c r="I467" s="15">
        <f>F467*H467</f>
        <v>47427.241965000001</v>
      </c>
      <c r="J467" s="16">
        <f>I467</f>
        <v>47427.241965000001</v>
      </c>
      <c r="K467" s="15" t="e">
        <f ca="1">J467*L467</f>
        <v>#NAME?</v>
      </c>
      <c r="L467" s="22" t="e">
        <f ca="1">_xll.BDH("RUB curncy","PX_LAST",$N467)</f>
        <v>#NAME?</v>
      </c>
      <c r="M467" s="85" t="e">
        <f ca="1">1/_xll.BDH("RUB curncy","PX_LAST",$N467)</f>
        <v>#NAME?</v>
      </c>
      <c r="N467" s="14">
        <v>42230</v>
      </c>
    </row>
    <row r="468" spans="2:14" x14ac:dyDescent="0.2">
      <c r="B468" s="21" t="s">
        <v>126</v>
      </c>
      <c r="C468" s="20" t="s">
        <v>4</v>
      </c>
      <c r="D468" s="18" t="e">
        <f ca="1">_xll.BDP(C468,"SECURITY_NAME")</f>
        <v>#NAME?</v>
      </c>
      <c r="E468" s="18" t="s">
        <v>50</v>
      </c>
      <c r="F468" s="19">
        <v>100000</v>
      </c>
      <c r="G468" s="18" t="e">
        <f ca="1">_xll.BDP(C468,"CRNCY")</f>
        <v>#NAME?</v>
      </c>
      <c r="H468" s="22">
        <v>2</v>
      </c>
      <c r="I468" s="15">
        <f t="shared" ref="I468:I473" si="143">F468*H468</f>
        <v>200000</v>
      </c>
      <c r="J468" s="16">
        <f t="shared" ref="J468:J473" si="144">I468</f>
        <v>200000</v>
      </c>
      <c r="K468" s="15" t="e">
        <f t="shared" ref="K468:K473" ca="1" si="145">J468*L468</f>
        <v>#NAME?</v>
      </c>
      <c r="L468" s="22" t="e">
        <f ca="1">_xll.BDH("RUB curncy","PX_LAST",$N468)</f>
        <v>#NAME?</v>
      </c>
      <c r="M468" s="85" t="e">
        <f ca="1">1/_xll.BDH("RUB curncy","PX_LAST",$N468)</f>
        <v>#NAME?</v>
      </c>
      <c r="N468" s="14">
        <v>42159</v>
      </c>
    </row>
    <row r="469" spans="2:14" x14ac:dyDescent="0.2">
      <c r="B469" s="21" t="s">
        <v>126</v>
      </c>
      <c r="C469" s="20" t="s">
        <v>4</v>
      </c>
      <c r="D469" s="18" t="e">
        <f ca="1">_xll.BDP(C469,"SECURITY_NAME")</f>
        <v>#NAME?</v>
      </c>
      <c r="E469" s="18" t="s">
        <v>50</v>
      </c>
      <c r="F469" s="19">
        <v>79000</v>
      </c>
      <c r="G469" s="18" t="e">
        <f ca="1">_xll.BDP(C469,"CRNCY")</f>
        <v>#NAME?</v>
      </c>
      <c r="H469" s="22">
        <v>2.16</v>
      </c>
      <c r="I469" s="15">
        <f t="shared" si="143"/>
        <v>170640</v>
      </c>
      <c r="J469" s="16">
        <f t="shared" si="144"/>
        <v>170640</v>
      </c>
      <c r="K469" s="15" t="e">
        <f t="shared" ca="1" si="145"/>
        <v>#NAME?</v>
      </c>
      <c r="L469" s="22" t="e">
        <f ca="1">_xll.BDH("RUB curncy","PX_LAST",$N469)</f>
        <v>#NAME?</v>
      </c>
      <c r="M469" s="85" t="e">
        <f ca="1">1/_xll.BDH("RUB curncy","PX_LAST",$N469)</f>
        <v>#NAME?</v>
      </c>
      <c r="N469" s="14">
        <v>42159</v>
      </c>
    </row>
    <row r="470" spans="2:14" x14ac:dyDescent="0.2">
      <c r="B470" s="21" t="s">
        <v>126</v>
      </c>
      <c r="C470" s="20" t="s">
        <v>4</v>
      </c>
      <c r="D470" s="18" t="e">
        <f ca="1">_xll.BDP(C470,"SECURITY_NAME")</f>
        <v>#NAME?</v>
      </c>
      <c r="E470" s="18" t="s">
        <v>50</v>
      </c>
      <c r="F470" s="19">
        <v>21000</v>
      </c>
      <c r="G470" s="18" t="e">
        <f ca="1">_xll.BDP(C470,"CRNCY")</f>
        <v>#NAME?</v>
      </c>
      <c r="H470" s="22">
        <v>2.35</v>
      </c>
      <c r="I470" s="15">
        <f t="shared" si="143"/>
        <v>49350</v>
      </c>
      <c r="J470" s="16">
        <f t="shared" si="144"/>
        <v>49350</v>
      </c>
      <c r="K470" s="15" t="e">
        <f t="shared" ca="1" si="145"/>
        <v>#NAME?</v>
      </c>
      <c r="L470" s="22" t="e">
        <f ca="1">_xll.BDH("RUB curncy","PX_LAST",$N470)</f>
        <v>#NAME?</v>
      </c>
      <c r="M470" s="85" t="e">
        <f ca="1">1/_xll.BDH("RUB curncy","PX_LAST",$N470)</f>
        <v>#NAME?</v>
      </c>
      <c r="N470" s="14">
        <v>42153</v>
      </c>
    </row>
    <row r="471" spans="2:14" x14ac:dyDescent="0.2">
      <c r="B471" s="21" t="s">
        <v>126</v>
      </c>
      <c r="C471" s="20" t="s">
        <v>4</v>
      </c>
      <c r="D471" s="18" t="e">
        <f ca="1">_xll.BDP(C471,"SECURITY_NAME")</f>
        <v>#NAME?</v>
      </c>
      <c r="E471" s="18" t="s">
        <v>50</v>
      </c>
      <c r="F471" s="19">
        <v>26100</v>
      </c>
      <c r="G471" s="18" t="e">
        <f ca="1">_xll.BDP(C471,"CRNCY")</f>
        <v>#NAME?</v>
      </c>
      <c r="H471" s="22" t="e">
        <f ca="1">_xll.BDH(C471,"PX_LAST",N471)</f>
        <v>#NAME?</v>
      </c>
      <c r="I471" s="15" t="e">
        <f t="shared" ca="1" si="143"/>
        <v>#NAME?</v>
      </c>
      <c r="J471" s="16" t="e">
        <f t="shared" ca="1" si="144"/>
        <v>#NAME?</v>
      </c>
      <c r="K471" s="15" t="e">
        <f t="shared" ca="1" si="145"/>
        <v>#NAME?</v>
      </c>
      <c r="L471" s="22" t="e">
        <f ca="1">_xll.BDH("RUB curncy","PX_LAST",$N471)</f>
        <v>#NAME?</v>
      </c>
      <c r="M471" s="85" t="e">
        <f ca="1">1/_xll.BDH("RUB curncy","PX_LAST",$N471)</f>
        <v>#NAME?</v>
      </c>
      <c r="N471" s="14">
        <v>41974</v>
      </c>
    </row>
    <row r="472" spans="2:14" x14ac:dyDescent="0.2">
      <c r="B472" s="21" t="s">
        <v>126</v>
      </c>
      <c r="C472" s="20" t="s">
        <v>4</v>
      </c>
      <c r="D472" s="18" t="e">
        <f ca="1">_xll.BDP(C472,"SECURITY_NAME")</f>
        <v>#NAME?</v>
      </c>
      <c r="E472" s="18" t="s">
        <v>50</v>
      </c>
      <c r="F472" s="19">
        <v>38900</v>
      </c>
      <c r="G472" s="18" t="e">
        <f ca="1">_xll.BDP(C472,"CRNCY")</f>
        <v>#NAME?</v>
      </c>
      <c r="H472" s="22" t="e">
        <f ca="1">_xll.BDH(C472,"PX_LAST",N472)</f>
        <v>#NAME?</v>
      </c>
      <c r="I472" s="15" t="e">
        <f t="shared" ca="1" si="143"/>
        <v>#NAME?</v>
      </c>
      <c r="J472" s="16" t="e">
        <f t="shared" ca="1" si="144"/>
        <v>#NAME?</v>
      </c>
      <c r="K472" s="15" t="e">
        <f t="shared" ca="1" si="145"/>
        <v>#NAME?</v>
      </c>
      <c r="L472" s="22" t="e">
        <f ca="1">_xll.BDH("RUB curncy","PX_LAST",$N472)</f>
        <v>#NAME?</v>
      </c>
      <c r="M472" s="85" t="e">
        <f ca="1">1/_xll.BDH("RUB curncy","PX_LAST",$N472)</f>
        <v>#NAME?</v>
      </c>
      <c r="N472" s="14">
        <v>41934</v>
      </c>
    </row>
    <row r="473" spans="2:14" x14ac:dyDescent="0.2">
      <c r="B473" s="21" t="s">
        <v>126</v>
      </c>
      <c r="C473" s="20" t="s">
        <v>4</v>
      </c>
      <c r="D473" s="18" t="e">
        <f ca="1">_xll.BDP(C473,"SECURITY_NAME")</f>
        <v>#NAME?</v>
      </c>
      <c r="E473" s="18" t="s">
        <v>50</v>
      </c>
      <c r="F473" s="19">
        <v>35000</v>
      </c>
      <c r="G473" s="18" t="e">
        <f ca="1">_xll.BDP(C473,"CRNCY")</f>
        <v>#NAME?</v>
      </c>
      <c r="H473" s="22" t="e">
        <f ca="1">_xll.BDH(C473,"PX_LAST",N473)</f>
        <v>#NAME?</v>
      </c>
      <c r="I473" s="15" t="e">
        <f t="shared" ca="1" si="143"/>
        <v>#NAME?</v>
      </c>
      <c r="J473" s="16" t="e">
        <f t="shared" ca="1" si="144"/>
        <v>#NAME?</v>
      </c>
      <c r="K473" s="15" t="e">
        <f t="shared" ca="1" si="145"/>
        <v>#NAME?</v>
      </c>
      <c r="L473" s="22" t="e">
        <f ca="1">_xll.BDH("RUB curncy","PX_LAST",$N473)</f>
        <v>#NAME?</v>
      </c>
      <c r="M473" s="85" t="e">
        <f ca="1">1/_xll.BDH("RUB curncy","PX_LAST",$N473)</f>
        <v>#NAME?</v>
      </c>
      <c r="N473" s="14">
        <v>41702</v>
      </c>
    </row>
    <row r="474" spans="2:14" x14ac:dyDescent="0.2">
      <c r="B474" s="71"/>
      <c r="C474" s="72"/>
      <c r="D474" s="73"/>
      <c r="E474" s="73"/>
      <c r="F474" s="79">
        <f>SUM(F467:F473)</f>
        <v>323745</v>
      </c>
      <c r="G474" s="87"/>
      <c r="H474" s="80">
        <v>2.4195264299999999</v>
      </c>
      <c r="I474" s="79" t="e">
        <f ca="1">SUM(I467:I473)</f>
        <v>#NAME?</v>
      </c>
      <c r="J474" s="79" t="e">
        <f ca="1">SUM(J467:J473)</f>
        <v>#NAME?</v>
      </c>
      <c r="K474" s="79" t="e">
        <f ca="1">SUM(K467:K473)</f>
        <v>#NAME?</v>
      </c>
      <c r="L474" s="75"/>
      <c r="M474" s="86"/>
      <c r="N474" s="14"/>
    </row>
    <row r="475" spans="2:14" x14ac:dyDescent="0.2">
      <c r="B475" s="71"/>
      <c r="C475" s="72"/>
      <c r="D475" s="73"/>
      <c r="E475" s="73"/>
      <c r="F475" s="79"/>
      <c r="G475" s="87"/>
      <c r="H475" s="80"/>
      <c r="I475" s="79"/>
      <c r="J475" s="79"/>
      <c r="K475" s="79"/>
      <c r="L475" s="75"/>
      <c r="M475" s="86"/>
      <c r="N475" s="14"/>
    </row>
    <row r="476" spans="2:14" x14ac:dyDescent="0.2">
      <c r="B476" s="21" t="s">
        <v>126</v>
      </c>
      <c r="C476" s="20" t="s">
        <v>701</v>
      </c>
      <c r="D476" s="18" t="e">
        <f ca="1">_xll.BDP(C476,"SECURITY_NAME")</f>
        <v>#NAME?</v>
      </c>
      <c r="E476" s="18" t="s">
        <v>50</v>
      </c>
      <c r="F476" s="19">
        <v>2650</v>
      </c>
      <c r="G476" s="18" t="e">
        <f ca="1">_xll.BDP(C476,"CRNCY")</f>
        <v>#NAME?</v>
      </c>
      <c r="H476" s="22">
        <v>57.703848999999998</v>
      </c>
      <c r="I476" s="15">
        <f>F476*H476</f>
        <v>152915.19985</v>
      </c>
      <c r="J476" s="16">
        <f>I476</f>
        <v>152915.19985</v>
      </c>
      <c r="K476" s="15" t="e">
        <f ca="1">J476*L476</f>
        <v>#NAME?</v>
      </c>
      <c r="L476" s="22" t="e">
        <f ca="1">_xll.BDH("RUB curncy","PX_LAST",$N476)</f>
        <v>#NAME?</v>
      </c>
      <c r="M476" s="85" t="e">
        <f ca="1">1/_xll.BDH("RUB curncy","PX_LAST",$N476)</f>
        <v>#NAME?</v>
      </c>
      <c r="N476" s="14">
        <v>42487</v>
      </c>
    </row>
    <row r="477" spans="2:14" x14ac:dyDescent="0.2">
      <c r="B477" s="71"/>
      <c r="C477" s="72"/>
      <c r="D477" s="73"/>
      <c r="E477" s="73"/>
      <c r="F477" s="79">
        <f>SUM(F476:F476)</f>
        <v>2650</v>
      </c>
      <c r="G477" s="87"/>
      <c r="H477" s="80">
        <f>I477/F477</f>
        <v>57.703848999999998</v>
      </c>
      <c r="I477" s="79">
        <f>SUM(I476:I476)</f>
        <v>152915.19985</v>
      </c>
      <c r="J477" s="79">
        <f>SUM(J476:J476)</f>
        <v>152915.19985</v>
      </c>
      <c r="K477" s="79" t="e">
        <f ca="1">SUM(K476:K476)</f>
        <v>#NAME?</v>
      </c>
      <c r="L477" s="75"/>
      <c r="M477" s="86"/>
      <c r="N477" s="14"/>
    </row>
    <row r="478" spans="2:14" x14ac:dyDescent="0.2">
      <c r="B478" s="71"/>
      <c r="C478" s="72"/>
      <c r="D478" s="73"/>
      <c r="E478" s="73"/>
      <c r="F478" s="79"/>
      <c r="G478" s="87"/>
      <c r="H478" s="80"/>
      <c r="I478" s="79"/>
      <c r="J478" s="79"/>
      <c r="K478" s="79"/>
      <c r="L478" s="75"/>
      <c r="M478" s="86"/>
      <c r="N478" s="14"/>
    </row>
    <row r="479" spans="2:14" x14ac:dyDescent="0.2">
      <c r="B479" s="21" t="s">
        <v>126</v>
      </c>
      <c r="C479" s="20" t="s">
        <v>700</v>
      </c>
      <c r="D479" s="18" t="e">
        <f ca="1">_xll.BDP(C479,"SECURITY_NAME")</f>
        <v>#NAME?</v>
      </c>
      <c r="E479" s="18" t="s">
        <v>50</v>
      </c>
      <c r="F479" s="19">
        <v>9200</v>
      </c>
      <c r="G479" s="18" t="e">
        <f ca="1">_xll.BDP(C479,"CRNCY")</f>
        <v>#NAME?</v>
      </c>
      <c r="H479" s="22">
        <v>16.634799999999998</v>
      </c>
      <c r="I479" s="15">
        <f>F479*H479</f>
        <v>153040.15999999997</v>
      </c>
      <c r="J479" s="16">
        <f>I479</f>
        <v>153040.15999999997</v>
      </c>
      <c r="K479" s="15" t="e">
        <f ca="1">J479*L479</f>
        <v>#NAME?</v>
      </c>
      <c r="L479" s="22" t="e">
        <f ca="1">_xll.BDH("RUB curncy","PX_LAST",$N479)</f>
        <v>#NAME?</v>
      </c>
      <c r="M479" s="85" t="e">
        <f ca="1">1/_xll.BDH("RUB curncy","PX_LAST",$N479)</f>
        <v>#NAME?</v>
      </c>
      <c r="N479" s="14">
        <v>42487</v>
      </c>
    </row>
    <row r="480" spans="2:14" x14ac:dyDescent="0.2">
      <c r="B480" s="71"/>
      <c r="C480" s="72"/>
      <c r="D480" s="73"/>
      <c r="E480" s="73"/>
      <c r="F480" s="79">
        <f>SUM(F479:F479)</f>
        <v>9200</v>
      </c>
      <c r="G480" s="87"/>
      <c r="H480" s="80">
        <f>I480/F480</f>
        <v>16.634799999999998</v>
      </c>
      <c r="I480" s="79">
        <f>SUM(I479:I479)</f>
        <v>153040.15999999997</v>
      </c>
      <c r="J480" s="79">
        <f>SUM(J479:J479)</f>
        <v>153040.15999999997</v>
      </c>
      <c r="K480" s="79" t="e">
        <f ca="1">SUM(K479:K479)</f>
        <v>#NAME?</v>
      </c>
      <c r="L480" s="75"/>
      <c r="M480" s="86"/>
      <c r="N480" s="14"/>
    </row>
    <row r="482" spans="2:14" x14ac:dyDescent="0.2">
      <c r="B482" s="21" t="s">
        <v>126</v>
      </c>
      <c r="C482" s="20" t="s">
        <v>154</v>
      </c>
      <c r="D482" s="18" t="e">
        <f ca="1">_xll.BDP(C482,"SECURITY_NAME")</f>
        <v>#NAME?</v>
      </c>
      <c r="E482" s="18" t="s">
        <v>50</v>
      </c>
      <c r="F482" s="19">
        <v>2550</v>
      </c>
      <c r="G482" s="18" t="e">
        <f ca="1">_xll.BDP(C482,"CRNCY")</f>
        <v>#NAME?</v>
      </c>
      <c r="H482" s="22">
        <v>120.292157</v>
      </c>
      <c r="I482" s="15">
        <f>F482*H482</f>
        <v>306745.00034999999</v>
      </c>
      <c r="J482" s="16">
        <f>I482</f>
        <v>306745.00034999999</v>
      </c>
      <c r="K482" s="15" t="e">
        <f ca="1">J482*L482</f>
        <v>#NAME?</v>
      </c>
      <c r="L482" s="22" t="e">
        <f ca="1">_xll.BDH("RUB curncy","PX_LAST",$N482)</f>
        <v>#NAME?</v>
      </c>
      <c r="M482" s="85" t="e">
        <f ca="1">1/_xll.BDH("RUB curncy","PX_LAST",$N482)</f>
        <v>#NAME?</v>
      </c>
      <c r="N482" s="14">
        <v>42487</v>
      </c>
    </row>
    <row r="483" spans="2:14" x14ac:dyDescent="0.2">
      <c r="B483" s="21" t="s">
        <v>126</v>
      </c>
      <c r="C483" s="20" t="s">
        <v>154</v>
      </c>
      <c r="D483" s="18" t="e">
        <f ca="1">_xll.BDP(C483,"SECURITY_NAME")</f>
        <v>#NAME?</v>
      </c>
      <c r="E483" s="18" t="s">
        <v>50</v>
      </c>
      <c r="F483" s="19">
        <v>708</v>
      </c>
      <c r="G483" s="18" t="e">
        <f ca="1">_xll.BDP(C483,"CRNCY")</f>
        <v>#NAME?</v>
      </c>
      <c r="H483" s="22" t="e">
        <f ca="1">_xll.BDH(C483,"PX_LAST",N483)</f>
        <v>#NAME?</v>
      </c>
      <c r="I483" s="15" t="e">
        <f ca="1">F483*H483</f>
        <v>#NAME?</v>
      </c>
      <c r="J483" s="16" t="e">
        <f ca="1">I483</f>
        <v>#NAME?</v>
      </c>
      <c r="K483" s="15" t="e">
        <f ca="1">J483*L483</f>
        <v>#NAME?</v>
      </c>
      <c r="L483" s="22" t="e">
        <f ca="1">_xll.BDH("RUB curncy","PX_LAST",$N483)</f>
        <v>#NAME?</v>
      </c>
      <c r="M483" s="85" t="e">
        <f ca="1">1/_xll.BDH("RUB curncy","PX_LAST",$N483)</f>
        <v>#NAME?</v>
      </c>
      <c r="N483" s="14">
        <v>41332</v>
      </c>
    </row>
    <row r="484" spans="2:14" x14ac:dyDescent="0.2">
      <c r="B484" s="71"/>
      <c r="C484" s="72"/>
      <c r="D484" s="73"/>
      <c r="E484" s="73"/>
      <c r="F484" s="79">
        <f>SUM(F482:F483)</f>
        <v>3258</v>
      </c>
      <c r="G484" s="87"/>
      <c r="H484" s="80" t="e">
        <f ca="1">I484/F484</f>
        <v>#NAME?</v>
      </c>
      <c r="I484" s="79" t="e">
        <f ca="1">SUM(I482:I483)</f>
        <v>#NAME?</v>
      </c>
      <c r="J484" s="79" t="e">
        <f ca="1">SUM(J482:J483)</f>
        <v>#NAME?</v>
      </c>
      <c r="K484" s="79" t="e">
        <f ca="1">SUM(K482:K483)</f>
        <v>#NAME?</v>
      </c>
      <c r="L484" s="75"/>
      <c r="M484" s="86"/>
      <c r="N484" s="14"/>
    </row>
    <row r="485" spans="2:14" x14ac:dyDescent="0.2">
      <c r="B485" s="71"/>
      <c r="C485" s="72"/>
      <c r="D485" s="73"/>
      <c r="E485" s="73"/>
      <c r="F485" s="79"/>
      <c r="G485" s="87"/>
      <c r="H485" s="80"/>
      <c r="I485" s="79"/>
      <c r="J485" s="79"/>
      <c r="K485" s="79"/>
      <c r="L485" s="75"/>
      <c r="M485" s="86"/>
      <c r="N485" s="14"/>
    </row>
    <row r="486" spans="2:14" x14ac:dyDescent="0.2">
      <c r="B486" s="21" t="s">
        <v>126</v>
      </c>
      <c r="C486" s="20" t="s">
        <v>7</v>
      </c>
      <c r="D486" s="18" t="e">
        <f ca="1">_xll.BDP(C486,"SECURITY_NAME")</f>
        <v>#NAME?</v>
      </c>
      <c r="E486" s="18" t="s">
        <v>50</v>
      </c>
      <c r="F486" s="19">
        <v>38000</v>
      </c>
      <c r="G486" s="18" t="e">
        <f ca="1">_xll.BDP(C486,"CRNCY")</f>
        <v>#NAME?</v>
      </c>
      <c r="H486" s="22" t="e">
        <f ca="1">_xll.BDH(C486,"PX_LAST",N486)</f>
        <v>#NAME?</v>
      </c>
      <c r="I486" s="15" t="e">
        <f ca="1">F486*H486</f>
        <v>#NAME?</v>
      </c>
      <c r="J486" s="16" t="e">
        <f ca="1">I486/L486</f>
        <v>#NAME?</v>
      </c>
      <c r="K486" s="15" t="e">
        <f ca="1">J486*L486</f>
        <v>#NAME?</v>
      </c>
      <c r="L486" s="22" t="e">
        <f ca="1">_xll.BDH("RUB curncy","PX_LAST",$N486)</f>
        <v>#NAME?</v>
      </c>
      <c r="M486" s="85" t="e">
        <f ca="1">1/_xll.BDH("RUB curncy","PX_LAST",$N486)</f>
        <v>#NAME?</v>
      </c>
      <c r="N486" s="14">
        <v>41990</v>
      </c>
    </row>
    <row r="487" spans="2:14" x14ac:dyDescent="0.2">
      <c r="B487" s="21" t="s">
        <v>126</v>
      </c>
      <c r="C487" s="20" t="s">
        <v>7</v>
      </c>
      <c r="D487" s="18" t="e">
        <f ca="1">_xll.BDP(C487,"SECURITY_NAME")</f>
        <v>#NAME?</v>
      </c>
      <c r="E487" s="18" t="s">
        <v>50</v>
      </c>
      <c r="F487" s="19">
        <v>148700</v>
      </c>
      <c r="G487" s="18" t="e">
        <f ca="1">_xll.BDP(C487,"CRNCY")</f>
        <v>#NAME?</v>
      </c>
      <c r="H487" s="22" t="e">
        <f ca="1">_xll.BDH(C487,"PX_LAST",N487)</f>
        <v>#NAME?</v>
      </c>
      <c r="I487" s="15" t="e">
        <f t="shared" ref="I487:I493" ca="1" si="146">F487*H487</f>
        <v>#NAME?</v>
      </c>
      <c r="J487" s="16" t="e">
        <f t="shared" ref="J487:J493" ca="1" si="147">I487/L487</f>
        <v>#NAME?</v>
      </c>
      <c r="K487" s="15" t="e">
        <f t="shared" ref="K487:K493" ca="1" si="148">J487*L487</f>
        <v>#NAME?</v>
      </c>
      <c r="L487" s="22" t="e">
        <f ca="1">_xll.BDH("RUB curncy","PX_LAST",$N487)</f>
        <v>#NAME?</v>
      </c>
      <c r="M487" s="85" t="e">
        <f ca="1">1/_xll.BDH("RUB curncy","PX_LAST",$N487)</f>
        <v>#NAME?</v>
      </c>
      <c r="N487" s="14">
        <v>41933</v>
      </c>
    </row>
    <row r="488" spans="2:14" x14ac:dyDescent="0.2">
      <c r="B488" s="21" t="s">
        <v>126</v>
      </c>
      <c r="C488" s="20" t="s">
        <v>7</v>
      </c>
      <c r="D488" s="18" t="e">
        <f ca="1">_xll.BDP(C488,"SECURITY_NAME")</f>
        <v>#NAME?</v>
      </c>
      <c r="E488" s="18" t="s">
        <v>51</v>
      </c>
      <c r="F488" s="19">
        <v>-10000</v>
      </c>
      <c r="G488" s="18" t="e">
        <f ca="1">_xll.BDP(C488,"CRNCY")</f>
        <v>#NAME?</v>
      </c>
      <c r="H488" s="22" t="e">
        <f ca="1">_xll.BDH(C488,"PX_LAST",N488)</f>
        <v>#NAME?</v>
      </c>
      <c r="I488" s="15" t="e">
        <f t="shared" ca="1" si="146"/>
        <v>#NAME?</v>
      </c>
      <c r="J488" s="16" t="e">
        <f t="shared" ca="1" si="147"/>
        <v>#NAME?</v>
      </c>
      <c r="K488" s="15" t="e">
        <f t="shared" ca="1" si="148"/>
        <v>#NAME?</v>
      </c>
      <c r="L488" s="22" t="e">
        <f ca="1">_xll.BDH("RUB curncy","PX_LAST",$N488)</f>
        <v>#NAME?</v>
      </c>
      <c r="M488" s="85" t="e">
        <f ca="1">1/_xll.BDH("RUB curncy","PX_LAST",$N488)</f>
        <v>#NAME?</v>
      </c>
      <c r="N488" s="14">
        <v>41814</v>
      </c>
    </row>
    <row r="489" spans="2:14" x14ac:dyDescent="0.2">
      <c r="B489" s="21" t="s">
        <v>126</v>
      </c>
      <c r="C489" s="20" t="s">
        <v>7</v>
      </c>
      <c r="D489" s="18" t="e">
        <f ca="1">_xll.BDP(C489,"SECURITY_NAME")</f>
        <v>#NAME?</v>
      </c>
      <c r="E489" s="18" t="s">
        <v>50</v>
      </c>
      <c r="F489" s="19">
        <v>24300</v>
      </c>
      <c r="G489" s="18" t="e">
        <f ca="1">_xll.BDP(C489,"CRNCY")</f>
        <v>#NAME?</v>
      </c>
      <c r="H489" s="22" t="e">
        <f ca="1">_xll.BDH(C489,"PX_LAST",N489)</f>
        <v>#NAME?</v>
      </c>
      <c r="I489" s="15" t="e">
        <f t="shared" ca="1" si="146"/>
        <v>#NAME?</v>
      </c>
      <c r="J489" s="16" t="e">
        <f t="shared" ca="1" si="147"/>
        <v>#NAME?</v>
      </c>
      <c r="K489" s="15" t="e">
        <f t="shared" ca="1" si="148"/>
        <v>#NAME?</v>
      </c>
      <c r="L489" s="22" t="e">
        <f ca="1">_xll.BDH("RUB curncy","PX_LAST",$N489)</f>
        <v>#NAME?</v>
      </c>
      <c r="M489" s="85" t="e">
        <f ca="1">1/_xll.BDH("RUB curncy","PX_LAST",$N489)</f>
        <v>#NAME?</v>
      </c>
      <c r="N489" s="14">
        <v>41655</v>
      </c>
    </row>
    <row r="490" spans="2:14" x14ac:dyDescent="0.2">
      <c r="B490" s="21" t="s">
        <v>126</v>
      </c>
      <c r="C490" s="20" t="s">
        <v>7</v>
      </c>
      <c r="D490" s="18" t="e">
        <f ca="1">_xll.BDP(C490,"SECURITY_NAME")</f>
        <v>#NAME?</v>
      </c>
      <c r="E490" s="18" t="s">
        <v>50</v>
      </c>
      <c r="F490" s="19">
        <v>80000</v>
      </c>
      <c r="G490" s="18" t="e">
        <f ca="1">_xll.BDP(C490,"CRNCY")</f>
        <v>#NAME?</v>
      </c>
      <c r="H490" s="22" t="e">
        <f ca="1">_xll.BDH(C490,"PX_LAST",N490)</f>
        <v>#NAME?</v>
      </c>
      <c r="I490" s="15" t="e">
        <f t="shared" ca="1" si="146"/>
        <v>#NAME?</v>
      </c>
      <c r="J490" s="16" t="e">
        <f t="shared" ca="1" si="147"/>
        <v>#NAME?</v>
      </c>
      <c r="K490" s="15" t="e">
        <f t="shared" ca="1" si="148"/>
        <v>#NAME?</v>
      </c>
      <c r="L490" s="22" t="e">
        <f ca="1">_xll.BDH("RUB curncy","PX_LAST",$N490)</f>
        <v>#NAME?</v>
      </c>
      <c r="M490" s="85" t="e">
        <f ca="1">1/_xll.BDH("RUB curncy","PX_LAST",$N490)</f>
        <v>#NAME?</v>
      </c>
      <c r="N490" s="14">
        <v>41702</v>
      </c>
    </row>
    <row r="491" spans="2:14" x14ac:dyDescent="0.2">
      <c r="B491" s="21" t="s">
        <v>126</v>
      </c>
      <c r="C491" s="20" t="s">
        <v>7</v>
      </c>
      <c r="D491" s="18" t="e">
        <f ca="1">_xll.BDP(C491,"SECURITY_NAME")</f>
        <v>#NAME?</v>
      </c>
      <c r="E491" s="18" t="s">
        <v>50</v>
      </c>
      <c r="F491" s="19">
        <v>26489</v>
      </c>
      <c r="G491" s="18" t="e">
        <f ca="1">_xll.BDP(C491,"CRNCY")</f>
        <v>#NAME?</v>
      </c>
      <c r="H491" s="22" t="e">
        <f ca="1">_xll.BDH(C491,"PX_LAST",N491)</f>
        <v>#NAME?</v>
      </c>
      <c r="I491" s="15" t="e">
        <f t="shared" ca="1" si="146"/>
        <v>#NAME?</v>
      </c>
      <c r="J491" s="16" t="e">
        <f t="shared" ca="1" si="147"/>
        <v>#NAME?</v>
      </c>
      <c r="K491" s="15" t="e">
        <f t="shared" ca="1" si="148"/>
        <v>#NAME?</v>
      </c>
      <c r="L491" s="22" t="e">
        <f ca="1">_xll.BDH("RUB curncy","PX_LAST",$N491)</f>
        <v>#NAME?</v>
      </c>
      <c r="M491" s="85" t="e">
        <f ca="1">1/_xll.BDH("RUB curncy","PX_LAST",$N491)</f>
        <v>#NAME?</v>
      </c>
      <c r="N491" s="14">
        <v>41439</v>
      </c>
    </row>
    <row r="492" spans="2:14" x14ac:dyDescent="0.2">
      <c r="B492" s="21" t="s">
        <v>126</v>
      </c>
      <c r="C492" s="20" t="s">
        <v>7</v>
      </c>
      <c r="D492" s="18" t="e">
        <f ca="1">_xll.BDP(C492,"SECURITY_NAME")</f>
        <v>#NAME?</v>
      </c>
      <c r="E492" s="18" t="s">
        <v>50</v>
      </c>
      <c r="F492" s="19">
        <v>18400</v>
      </c>
      <c r="G492" s="18" t="e">
        <f ca="1">_xll.BDP(C492,"CRNCY")</f>
        <v>#NAME?</v>
      </c>
      <c r="H492" s="22" t="e">
        <f ca="1">_xll.BDH(C492,"PX_LAST",N492)</f>
        <v>#NAME?</v>
      </c>
      <c r="I492" s="15" t="e">
        <f t="shared" ca="1" si="146"/>
        <v>#NAME?</v>
      </c>
      <c r="J492" s="16" t="e">
        <f t="shared" ca="1" si="147"/>
        <v>#NAME?</v>
      </c>
      <c r="K492" s="15" t="e">
        <f t="shared" ca="1" si="148"/>
        <v>#NAME?</v>
      </c>
      <c r="L492" s="22" t="e">
        <f ca="1">_xll.BDH("RUB curncy","PX_LAST",$N492)</f>
        <v>#NAME?</v>
      </c>
      <c r="M492" s="85" t="e">
        <f ca="1">1/_xll.BDH("RUB curncy","PX_LAST",$N492)</f>
        <v>#NAME?</v>
      </c>
      <c r="N492" s="14">
        <v>41438</v>
      </c>
    </row>
    <row r="493" spans="2:14" x14ac:dyDescent="0.2">
      <c r="B493" s="21" t="s">
        <v>126</v>
      </c>
      <c r="C493" s="20" t="s">
        <v>7</v>
      </c>
      <c r="D493" s="18" t="e">
        <f ca="1">_xll.BDP(C493,"SECURITY_NAME")</f>
        <v>#NAME?</v>
      </c>
      <c r="E493" s="18" t="s">
        <v>50</v>
      </c>
      <c r="F493" s="19">
        <v>112000</v>
      </c>
      <c r="G493" s="18" t="e">
        <f ca="1">_xll.BDP(C493,"CRNCY")</f>
        <v>#NAME?</v>
      </c>
      <c r="H493" s="22" t="e">
        <f ca="1">_xll.BDH(C493,"PX_LAST",N493)</f>
        <v>#NAME?</v>
      </c>
      <c r="I493" s="15" t="e">
        <f t="shared" ca="1" si="146"/>
        <v>#NAME?</v>
      </c>
      <c r="J493" s="16" t="e">
        <f t="shared" ca="1" si="147"/>
        <v>#NAME?</v>
      </c>
      <c r="K493" s="15" t="e">
        <f t="shared" ca="1" si="148"/>
        <v>#NAME?</v>
      </c>
      <c r="L493" s="22" t="e">
        <f ca="1">_xll.BDH("RUB curncy","PX_LAST",$N493)</f>
        <v>#NAME?</v>
      </c>
      <c r="M493" s="85" t="e">
        <f ca="1">1/_xll.BDH("RUB curncy","PX_LAST",$N493)</f>
        <v>#NAME?</v>
      </c>
      <c r="N493" s="14">
        <v>41318</v>
      </c>
    </row>
    <row r="494" spans="2:14" x14ac:dyDescent="0.2">
      <c r="F494" s="79">
        <f>SUM(F486:F493)</f>
        <v>437889</v>
      </c>
      <c r="G494" s="114">
        <f>SUM(F489:F493)+SUM(F486:F487)</f>
        <v>447889</v>
      </c>
      <c r="H494" s="88" t="e">
        <f ca="1">I494/G494</f>
        <v>#NAME?</v>
      </c>
      <c r="I494" s="79" t="e">
        <f ca="1">SUM(I489:I493)+SUM(I486:I487)</f>
        <v>#NAME?</v>
      </c>
      <c r="J494" s="79" t="e">
        <f ca="1">SUM(J489:J493)+SUM(J486:J487)</f>
        <v>#NAME?</v>
      </c>
      <c r="K494" s="79" t="e">
        <f ca="1">SUM(K489:K493)+SUM(K486:K487)</f>
        <v>#NAME?</v>
      </c>
    </row>
    <row r="496" spans="2:14" x14ac:dyDescent="0.2">
      <c r="B496" s="21" t="s">
        <v>126</v>
      </c>
      <c r="C496" s="20" t="s">
        <v>124</v>
      </c>
      <c r="D496" s="18" t="e">
        <f ca="1">_xll.BDP(C496,"SECURITY_NAME")</f>
        <v>#NAME?</v>
      </c>
      <c r="E496" s="18" t="s">
        <v>50</v>
      </c>
      <c r="F496" s="19">
        <v>54100</v>
      </c>
      <c r="G496" s="18" t="e">
        <f ca="1">_xll.BDP(C496,"CRNCY")</f>
        <v>#NAME?</v>
      </c>
      <c r="H496" s="22" t="e">
        <f ca="1">_xll.BDH(C496,"PX_LAST",N496)</f>
        <v>#NAME?</v>
      </c>
      <c r="I496" s="15" t="e">
        <f t="shared" ref="I496:I525" ca="1" si="149">F496*H496</f>
        <v>#NAME?</v>
      </c>
      <c r="J496" s="16" t="e">
        <f t="shared" ref="J496:J525" ca="1" si="150">I496/L496</f>
        <v>#NAME?</v>
      </c>
      <c r="K496" s="15" t="e">
        <f t="shared" ref="K496:K525" ca="1" si="151">J496*L496</f>
        <v>#NAME?</v>
      </c>
      <c r="L496" s="22" t="e">
        <f ca="1">_xll.BDH("RUB curncy","PX_LAST",$N496)</f>
        <v>#NAME?</v>
      </c>
      <c r="M496" s="85" t="e">
        <f ca="1">1/_xll.BDH("RUB curncy","PX_LAST",$N496)</f>
        <v>#NAME?</v>
      </c>
      <c r="N496" s="14">
        <v>41633</v>
      </c>
    </row>
    <row r="497" spans="2:14" x14ac:dyDescent="0.2">
      <c r="B497" s="21" t="s">
        <v>126</v>
      </c>
      <c r="C497" s="20" t="s">
        <v>124</v>
      </c>
      <c r="D497" s="18" t="e">
        <f ca="1">_xll.BDP(C497,"SECURITY_NAME")</f>
        <v>#NAME?</v>
      </c>
      <c r="E497" s="18" t="s">
        <v>50</v>
      </c>
      <c r="F497" s="19">
        <v>42000</v>
      </c>
      <c r="G497" s="18" t="e">
        <f ca="1">_xll.BDP(C497,"CRNCY")</f>
        <v>#NAME?</v>
      </c>
      <c r="H497" s="22" t="e">
        <f ca="1">_xll.BDH(C497,"PX_LAST",N497)</f>
        <v>#NAME?</v>
      </c>
      <c r="I497" s="15" t="e">
        <f t="shared" ca="1" si="149"/>
        <v>#NAME?</v>
      </c>
      <c r="J497" s="16" t="e">
        <f t="shared" ca="1" si="150"/>
        <v>#NAME?</v>
      </c>
      <c r="K497" s="15" t="e">
        <f t="shared" ca="1" si="151"/>
        <v>#NAME?</v>
      </c>
      <c r="L497" s="22" t="e">
        <f ca="1">_xll.BDH("RUB curncy","PX_LAST",$N497)</f>
        <v>#NAME?</v>
      </c>
      <c r="M497" s="85" t="e">
        <f ca="1">1/_xll.BDH("RUB curncy","PX_LAST",$N497)</f>
        <v>#NAME?</v>
      </c>
      <c r="N497" s="14">
        <v>41536</v>
      </c>
    </row>
    <row r="498" spans="2:14" x14ac:dyDescent="0.2">
      <c r="B498" s="21" t="s">
        <v>126</v>
      </c>
      <c r="C498" s="20" t="s">
        <v>124</v>
      </c>
      <c r="D498" s="18" t="e">
        <f ca="1">_xll.BDP(C498,"SECURITY_NAME")</f>
        <v>#NAME?</v>
      </c>
      <c r="E498" s="18" t="s">
        <v>50</v>
      </c>
      <c r="F498" s="19">
        <v>42000</v>
      </c>
      <c r="G498" s="18" t="e">
        <f ca="1">_xll.BDP(C498,"CRNCY")</f>
        <v>#NAME?</v>
      </c>
      <c r="H498" s="22" t="e">
        <f ca="1">_xll.BDH(C498,"PX_LAST",N498)</f>
        <v>#NAME?</v>
      </c>
      <c r="I498" s="15" t="e">
        <f t="shared" ca="1" si="149"/>
        <v>#NAME?</v>
      </c>
      <c r="J498" s="16" t="e">
        <f t="shared" ca="1" si="150"/>
        <v>#NAME?</v>
      </c>
      <c r="K498" s="15" t="e">
        <f t="shared" ca="1" si="151"/>
        <v>#NAME?</v>
      </c>
      <c r="L498" s="22" t="e">
        <f ca="1">_xll.BDH("RUB curncy","PX_LAST",$N498)</f>
        <v>#NAME?</v>
      </c>
      <c r="M498" s="85" t="e">
        <f ca="1">1/_xll.BDH("RUB curncy","PX_LAST",$N498)</f>
        <v>#NAME?</v>
      </c>
      <c r="N498" s="14">
        <v>41533</v>
      </c>
    </row>
    <row r="499" spans="2:14" x14ac:dyDescent="0.2">
      <c r="B499" s="21" t="s">
        <v>126</v>
      </c>
      <c r="C499" s="20" t="s">
        <v>124</v>
      </c>
      <c r="D499" s="18" t="e">
        <f ca="1">_xll.BDP(C499,"SECURITY_NAME")</f>
        <v>#NAME?</v>
      </c>
      <c r="E499" s="18" t="s">
        <v>50</v>
      </c>
      <c r="F499" s="19">
        <v>42000</v>
      </c>
      <c r="G499" s="18" t="e">
        <f ca="1">_xll.BDP(C499,"CRNCY")</f>
        <v>#NAME?</v>
      </c>
      <c r="H499" s="22" t="e">
        <f ca="1">_xll.BDH(C499,"PX_LAST",N499)</f>
        <v>#NAME?</v>
      </c>
      <c r="I499" s="15" t="e">
        <f t="shared" ca="1" si="149"/>
        <v>#NAME?</v>
      </c>
      <c r="J499" s="16" t="e">
        <f t="shared" ca="1" si="150"/>
        <v>#NAME?</v>
      </c>
      <c r="K499" s="15" t="e">
        <f t="shared" ca="1" si="151"/>
        <v>#NAME?</v>
      </c>
      <c r="L499" s="22" t="e">
        <f ca="1">_xll.BDH("RUB curncy","PX_LAST",$N499)</f>
        <v>#NAME?</v>
      </c>
      <c r="M499" s="85" t="e">
        <f ca="1">1/_xll.BDH("RUB curncy","PX_LAST",$N499)</f>
        <v>#NAME?</v>
      </c>
      <c r="N499" s="14">
        <v>41527</v>
      </c>
    </row>
    <row r="500" spans="2:14" x14ac:dyDescent="0.2">
      <c r="B500" s="21" t="s">
        <v>126</v>
      </c>
      <c r="C500" s="20" t="s">
        <v>124</v>
      </c>
      <c r="D500" s="18" t="e">
        <f ca="1">_xll.BDP(C500,"SECURITY_NAME")</f>
        <v>#NAME?</v>
      </c>
      <c r="E500" s="18" t="s">
        <v>50</v>
      </c>
      <c r="F500" s="19">
        <v>42000</v>
      </c>
      <c r="G500" s="18" t="e">
        <f ca="1">_xll.BDP(C500,"CRNCY")</f>
        <v>#NAME?</v>
      </c>
      <c r="H500" s="22" t="e">
        <f ca="1">_xll.BDH(C500,"PX_LAST",N500)</f>
        <v>#NAME?</v>
      </c>
      <c r="I500" s="15" t="e">
        <f t="shared" ca="1" si="149"/>
        <v>#NAME?</v>
      </c>
      <c r="J500" s="16" t="e">
        <f t="shared" ca="1" si="150"/>
        <v>#NAME?</v>
      </c>
      <c r="K500" s="15" t="e">
        <f t="shared" ca="1" si="151"/>
        <v>#NAME?</v>
      </c>
      <c r="L500" s="22" t="e">
        <f ca="1">_xll.BDH("RUB curncy","PX_LAST",$N500)</f>
        <v>#NAME?</v>
      </c>
      <c r="M500" s="85" t="e">
        <f ca="1">1/_xll.BDH("RUB curncy","PX_LAST",$N500)</f>
        <v>#NAME?</v>
      </c>
      <c r="N500" s="14">
        <v>41523</v>
      </c>
    </row>
    <row r="501" spans="2:14" x14ac:dyDescent="0.2">
      <c r="B501" s="21" t="s">
        <v>126</v>
      </c>
      <c r="C501" s="20" t="s">
        <v>124</v>
      </c>
      <c r="D501" s="18" t="e">
        <f ca="1">_xll.BDP(C501,"SECURITY_NAME")</f>
        <v>#NAME?</v>
      </c>
      <c r="E501" s="18" t="s">
        <v>50</v>
      </c>
      <c r="F501" s="19">
        <v>42000</v>
      </c>
      <c r="G501" s="18" t="e">
        <f ca="1">_xll.BDP(C501,"CRNCY")</f>
        <v>#NAME?</v>
      </c>
      <c r="H501" s="22" t="e">
        <f ca="1">_xll.BDH(C501,"PX_LAST",N501)</f>
        <v>#NAME?</v>
      </c>
      <c r="I501" s="15" t="e">
        <f t="shared" ca="1" si="149"/>
        <v>#NAME?</v>
      </c>
      <c r="J501" s="16" t="e">
        <f t="shared" ca="1" si="150"/>
        <v>#NAME?</v>
      </c>
      <c r="K501" s="15" t="e">
        <f t="shared" ca="1" si="151"/>
        <v>#NAME?</v>
      </c>
      <c r="L501" s="22" t="e">
        <f ca="1">_xll.BDH("RUB curncy","PX_LAST",$N501)</f>
        <v>#NAME?</v>
      </c>
      <c r="M501" s="85" t="e">
        <f ca="1">1/_xll.BDH("RUB curncy","PX_LAST",$N501)</f>
        <v>#NAME?</v>
      </c>
      <c r="N501" s="14">
        <v>41522</v>
      </c>
    </row>
    <row r="502" spans="2:14" x14ac:dyDescent="0.2">
      <c r="B502" s="21" t="s">
        <v>126</v>
      </c>
      <c r="C502" s="20" t="s">
        <v>124</v>
      </c>
      <c r="D502" s="18" t="e">
        <f ca="1">_xll.BDP(C502,"SECURITY_NAME")</f>
        <v>#NAME?</v>
      </c>
      <c r="E502" s="18" t="s">
        <v>50</v>
      </c>
      <c r="F502" s="19">
        <v>84000</v>
      </c>
      <c r="G502" s="18" t="e">
        <f ca="1">_xll.BDP(C502,"CRNCY")</f>
        <v>#NAME?</v>
      </c>
      <c r="H502" s="22" t="e">
        <f ca="1">_xll.BDH(C502,"PX_LAST",N502)</f>
        <v>#NAME?</v>
      </c>
      <c r="I502" s="15" t="e">
        <f t="shared" ca="1" si="149"/>
        <v>#NAME?</v>
      </c>
      <c r="J502" s="16" t="e">
        <f t="shared" ca="1" si="150"/>
        <v>#NAME?</v>
      </c>
      <c r="K502" s="15" t="e">
        <f t="shared" ca="1" si="151"/>
        <v>#NAME?</v>
      </c>
      <c r="L502" s="22" t="e">
        <f ca="1">_xll.BDH("RUB curncy","PX_LAST",$N502)</f>
        <v>#NAME?</v>
      </c>
      <c r="M502" s="85" t="e">
        <f ca="1">1/_xll.BDH("RUB curncy","PX_LAST",$N502)</f>
        <v>#NAME?</v>
      </c>
      <c r="N502" s="14">
        <v>41520</v>
      </c>
    </row>
    <row r="503" spans="2:14" x14ac:dyDescent="0.2">
      <c r="B503" s="21" t="s">
        <v>126</v>
      </c>
      <c r="C503" s="20" t="s">
        <v>124</v>
      </c>
      <c r="D503" s="18" t="e">
        <f ca="1">_xll.BDP(C503,"SECURITY_NAME")</f>
        <v>#NAME?</v>
      </c>
      <c r="E503" s="18" t="s">
        <v>50</v>
      </c>
      <c r="F503" s="19">
        <v>42000</v>
      </c>
      <c r="G503" s="18" t="e">
        <f ca="1">_xll.BDP(C503,"CRNCY")</f>
        <v>#NAME?</v>
      </c>
      <c r="H503" s="22" t="e">
        <f ca="1">_xll.BDH(C503,"PX_LAST",N503)</f>
        <v>#NAME?</v>
      </c>
      <c r="I503" s="15" t="e">
        <f t="shared" ca="1" si="149"/>
        <v>#NAME?</v>
      </c>
      <c r="J503" s="16" t="e">
        <f t="shared" ca="1" si="150"/>
        <v>#NAME?</v>
      </c>
      <c r="K503" s="15" t="e">
        <f t="shared" ca="1" si="151"/>
        <v>#NAME?</v>
      </c>
      <c r="L503" s="22" t="e">
        <f ca="1">_xll.BDH("RUB curncy","PX_LAST",$N503)</f>
        <v>#NAME?</v>
      </c>
      <c r="M503" s="85" t="e">
        <f ca="1">1/_xll.BDH("RUB curncy","PX_LAST",$N503)</f>
        <v>#NAME?</v>
      </c>
      <c r="N503" s="14">
        <v>41519</v>
      </c>
    </row>
    <row r="504" spans="2:14" x14ac:dyDescent="0.2">
      <c r="B504" s="21" t="s">
        <v>126</v>
      </c>
      <c r="C504" s="20" t="s">
        <v>124</v>
      </c>
      <c r="D504" s="18" t="e">
        <f ca="1">_xll.BDP(C504,"SECURITY_NAME")</f>
        <v>#NAME?</v>
      </c>
      <c r="E504" s="18" t="s">
        <v>50</v>
      </c>
      <c r="F504" s="19">
        <v>94800</v>
      </c>
      <c r="G504" s="18" t="e">
        <f ca="1">_xll.BDP(C504,"CRNCY")</f>
        <v>#NAME?</v>
      </c>
      <c r="H504" s="22" t="e">
        <f ca="1">_xll.BDH(C504,"PX_LAST",N504)</f>
        <v>#NAME?</v>
      </c>
      <c r="I504" s="15" t="e">
        <f t="shared" ca="1" si="149"/>
        <v>#NAME?</v>
      </c>
      <c r="J504" s="16" t="e">
        <f t="shared" ca="1" si="150"/>
        <v>#NAME?</v>
      </c>
      <c r="K504" s="15" t="e">
        <f t="shared" ca="1" si="151"/>
        <v>#NAME?</v>
      </c>
      <c r="L504" s="22" t="e">
        <f ca="1">_xll.BDH("RUB curncy","PX_LAST",$N504)</f>
        <v>#NAME?</v>
      </c>
      <c r="M504" s="85" t="e">
        <f ca="1">1/_xll.BDH("RUB curncy","PX_LAST",$N504)</f>
        <v>#NAME?</v>
      </c>
      <c r="N504" s="14">
        <v>41516</v>
      </c>
    </row>
    <row r="505" spans="2:14" x14ac:dyDescent="0.2">
      <c r="B505" s="21" t="s">
        <v>126</v>
      </c>
      <c r="C505" s="20" t="s">
        <v>124</v>
      </c>
      <c r="D505" s="18" t="e">
        <f ca="1">_xll.BDP(C505,"SECURITY_NAME")</f>
        <v>#NAME?</v>
      </c>
      <c r="E505" s="18" t="s">
        <v>50</v>
      </c>
      <c r="F505" s="19">
        <v>11900</v>
      </c>
      <c r="G505" s="18" t="e">
        <f ca="1">_xll.BDP(C505,"CRNCY")</f>
        <v>#NAME?</v>
      </c>
      <c r="H505" s="22" t="e">
        <f ca="1">_xll.BDH(C505,"PX_LAST",N505)</f>
        <v>#NAME?</v>
      </c>
      <c r="I505" s="15" t="e">
        <f t="shared" ca="1" si="149"/>
        <v>#NAME?</v>
      </c>
      <c r="J505" s="16" t="e">
        <f t="shared" ca="1" si="150"/>
        <v>#NAME?</v>
      </c>
      <c r="K505" s="15" t="e">
        <f t="shared" ca="1" si="151"/>
        <v>#NAME?</v>
      </c>
      <c r="L505" s="22" t="e">
        <f ca="1">_xll.BDH("RUB curncy","PX_LAST",$N505)</f>
        <v>#NAME?</v>
      </c>
      <c r="M505" s="85" t="e">
        <f ca="1">1/_xll.BDH("RUB curncy","PX_LAST",$N505)</f>
        <v>#NAME?</v>
      </c>
      <c r="N505" s="14">
        <v>41512</v>
      </c>
    </row>
    <row r="506" spans="2:14" x14ac:dyDescent="0.2">
      <c r="B506" s="21" t="s">
        <v>126</v>
      </c>
      <c r="C506" s="20" t="s">
        <v>124</v>
      </c>
      <c r="D506" s="18" t="e">
        <f ca="1">_xll.BDP(C506,"SECURITY_NAME")</f>
        <v>#NAME?</v>
      </c>
      <c r="E506" s="18" t="s">
        <v>50</v>
      </c>
      <c r="F506" s="19">
        <v>40800</v>
      </c>
      <c r="G506" s="18" t="e">
        <f ca="1">_xll.BDP(C506,"CRNCY")</f>
        <v>#NAME?</v>
      </c>
      <c r="H506" s="22" t="e">
        <f ca="1">_xll.BDH(C506,"PX_LAST",N506)</f>
        <v>#NAME?</v>
      </c>
      <c r="I506" s="15" t="e">
        <f t="shared" ca="1" si="149"/>
        <v>#NAME?</v>
      </c>
      <c r="J506" s="16" t="e">
        <f t="shared" ca="1" si="150"/>
        <v>#NAME?</v>
      </c>
      <c r="K506" s="15" t="e">
        <f t="shared" ca="1" si="151"/>
        <v>#NAME?</v>
      </c>
      <c r="L506" s="22" t="e">
        <f ca="1">_xll.BDH("RUB curncy","PX_LAST",$N506)</f>
        <v>#NAME?</v>
      </c>
      <c r="M506" s="85" t="e">
        <f ca="1">1/_xll.BDH("RUB curncy","PX_LAST",$N506)</f>
        <v>#NAME?</v>
      </c>
      <c r="N506" s="14">
        <v>41508</v>
      </c>
    </row>
    <row r="507" spans="2:14" x14ac:dyDescent="0.2">
      <c r="B507" s="21" t="s">
        <v>126</v>
      </c>
      <c r="C507" s="20" t="s">
        <v>124</v>
      </c>
      <c r="D507" s="18" t="e">
        <f ca="1">_xll.BDP(C507,"SECURITY_NAME")</f>
        <v>#NAME?</v>
      </c>
      <c r="E507" s="18" t="s">
        <v>50</v>
      </c>
      <c r="F507" s="19">
        <v>40800</v>
      </c>
      <c r="G507" s="18" t="e">
        <f ca="1">_xll.BDP(C507,"CRNCY")</f>
        <v>#NAME?</v>
      </c>
      <c r="H507" s="22" t="e">
        <f ca="1">_xll.BDH(C507,"PX_LAST",N507)</f>
        <v>#NAME?</v>
      </c>
      <c r="I507" s="15" t="e">
        <f t="shared" ca="1" si="149"/>
        <v>#NAME?</v>
      </c>
      <c r="J507" s="16" t="e">
        <f t="shared" ca="1" si="150"/>
        <v>#NAME?</v>
      </c>
      <c r="K507" s="15" t="e">
        <f t="shared" ca="1" si="151"/>
        <v>#NAME?</v>
      </c>
      <c r="L507" s="22" t="e">
        <f ca="1">_xll.BDH("RUB curncy","PX_LAST",$N507)</f>
        <v>#NAME?</v>
      </c>
      <c r="M507" s="85" t="e">
        <f ca="1">1/_xll.BDH("RUB curncy","PX_LAST",$N507)</f>
        <v>#NAME?</v>
      </c>
      <c r="N507" s="14">
        <v>41507</v>
      </c>
    </row>
    <row r="508" spans="2:14" x14ac:dyDescent="0.2">
      <c r="B508" s="21" t="s">
        <v>126</v>
      </c>
      <c r="C508" s="20" t="s">
        <v>124</v>
      </c>
      <c r="D508" s="18" t="e">
        <f ca="1">_xll.BDP(C508,"SECURITY_NAME")</f>
        <v>#NAME?</v>
      </c>
      <c r="E508" s="18" t="s">
        <v>50</v>
      </c>
      <c r="F508" s="19">
        <v>4800</v>
      </c>
      <c r="G508" s="18" t="e">
        <f ca="1">_xll.BDP(C508,"CRNCY")</f>
        <v>#NAME?</v>
      </c>
      <c r="H508" s="22" t="e">
        <f ca="1">_xll.BDH(C508,"PX_LAST",N508)</f>
        <v>#NAME?</v>
      </c>
      <c r="I508" s="15" t="e">
        <f t="shared" ca="1" si="149"/>
        <v>#NAME?</v>
      </c>
      <c r="J508" s="16" t="e">
        <f t="shared" ca="1" si="150"/>
        <v>#NAME?</v>
      </c>
      <c r="K508" s="15" t="e">
        <f t="shared" ca="1" si="151"/>
        <v>#NAME?</v>
      </c>
      <c r="L508" s="22" t="e">
        <f ca="1">_xll.BDH("RUB curncy","PX_LAST",$N508)</f>
        <v>#NAME?</v>
      </c>
      <c r="M508" s="85" t="e">
        <f ca="1">1/_xll.BDH("RUB curncy","PX_LAST",$N508)</f>
        <v>#NAME?</v>
      </c>
      <c r="N508" s="14">
        <v>41400</v>
      </c>
    </row>
    <row r="509" spans="2:14" x14ac:dyDescent="0.2">
      <c r="B509" s="21" t="s">
        <v>126</v>
      </c>
      <c r="C509" s="20" t="s">
        <v>124</v>
      </c>
      <c r="D509" s="18" t="e">
        <f ca="1">_xll.BDP(C509,"SECURITY_NAME")</f>
        <v>#NAME?</v>
      </c>
      <c r="E509" s="18" t="s">
        <v>50</v>
      </c>
      <c r="F509" s="19">
        <v>60000</v>
      </c>
      <c r="G509" s="18" t="e">
        <f ca="1">_xll.BDP(C509,"CRNCY")</f>
        <v>#NAME?</v>
      </c>
      <c r="H509" s="22" t="e">
        <f ca="1">_xll.BDH(C509,"PX_LAST",N509)</f>
        <v>#NAME?</v>
      </c>
      <c r="I509" s="15" t="e">
        <f t="shared" ca="1" si="149"/>
        <v>#NAME?</v>
      </c>
      <c r="J509" s="16" t="e">
        <f t="shared" ca="1" si="150"/>
        <v>#NAME?</v>
      </c>
      <c r="K509" s="15" t="e">
        <f t="shared" ca="1" si="151"/>
        <v>#NAME?</v>
      </c>
      <c r="L509" s="22" t="e">
        <f ca="1">_xll.BDH("RUB curncy","PX_LAST",$N509)</f>
        <v>#NAME?</v>
      </c>
      <c r="M509" s="85" t="e">
        <f ca="1">1/_xll.BDH("RUB curncy","PX_LAST",$N509)</f>
        <v>#NAME?</v>
      </c>
      <c r="N509" s="14">
        <v>41394</v>
      </c>
    </row>
    <row r="510" spans="2:14" x14ac:dyDescent="0.2">
      <c r="B510" s="21" t="s">
        <v>126</v>
      </c>
      <c r="C510" s="20" t="s">
        <v>124</v>
      </c>
      <c r="D510" s="18" t="e">
        <f ca="1">_xll.BDP(C510,"SECURITY_NAME")</f>
        <v>#NAME?</v>
      </c>
      <c r="E510" s="18" t="s">
        <v>50</v>
      </c>
      <c r="F510" s="19">
        <v>65000</v>
      </c>
      <c r="G510" s="18" t="e">
        <f ca="1">_xll.BDP(C510,"CRNCY")</f>
        <v>#NAME?</v>
      </c>
      <c r="H510" s="22" t="e">
        <f ca="1">_xll.BDH(C510,"PX_LAST",N510)</f>
        <v>#NAME?</v>
      </c>
      <c r="I510" s="15" t="e">
        <f t="shared" ca="1" si="149"/>
        <v>#NAME?</v>
      </c>
      <c r="J510" s="16" t="e">
        <f t="shared" ca="1" si="150"/>
        <v>#NAME?</v>
      </c>
      <c r="K510" s="15" t="e">
        <f t="shared" ca="1" si="151"/>
        <v>#NAME?</v>
      </c>
      <c r="L510" s="22" t="e">
        <f ca="1">_xll.BDH("RUB curncy","PX_LAST",$N510)</f>
        <v>#NAME?</v>
      </c>
      <c r="M510" s="85" t="e">
        <f ca="1">1/_xll.BDH("RUB curncy","PX_LAST",$N510)</f>
        <v>#NAME?</v>
      </c>
      <c r="N510" s="14">
        <v>41387</v>
      </c>
    </row>
    <row r="511" spans="2:14" x14ac:dyDescent="0.2">
      <c r="B511" s="21" t="s">
        <v>126</v>
      </c>
      <c r="C511" s="20" t="s">
        <v>124</v>
      </c>
      <c r="D511" s="18" t="e">
        <f ca="1">_xll.BDP(C511,"SECURITY_NAME")</f>
        <v>#NAME?</v>
      </c>
      <c r="E511" s="18" t="s">
        <v>50</v>
      </c>
      <c r="F511" s="19">
        <v>30300</v>
      </c>
      <c r="G511" s="18" t="e">
        <f ca="1">_xll.BDP(C511,"CRNCY")</f>
        <v>#NAME?</v>
      </c>
      <c r="H511" s="22" t="e">
        <f ca="1">_xll.BDH(C511,"PX_LAST",N511)</f>
        <v>#NAME?</v>
      </c>
      <c r="I511" s="15" t="e">
        <f t="shared" ca="1" si="149"/>
        <v>#NAME?</v>
      </c>
      <c r="J511" s="16" t="e">
        <f t="shared" ca="1" si="150"/>
        <v>#NAME?</v>
      </c>
      <c r="K511" s="15" t="e">
        <f t="shared" ca="1" si="151"/>
        <v>#NAME?</v>
      </c>
      <c r="L511" s="22" t="e">
        <f ca="1">_xll.BDH("RUB curncy","PX_LAST",$N511)</f>
        <v>#NAME?</v>
      </c>
      <c r="M511" s="85" t="e">
        <f ca="1">1/_xll.BDH("RUB curncy","PX_LAST",$N511)</f>
        <v>#NAME?</v>
      </c>
      <c r="N511" s="14">
        <v>41374</v>
      </c>
    </row>
    <row r="512" spans="2:14" x14ac:dyDescent="0.2">
      <c r="B512" s="21" t="s">
        <v>126</v>
      </c>
      <c r="C512" s="20" t="s">
        <v>124</v>
      </c>
      <c r="D512" s="18" t="e">
        <f ca="1">_xll.BDP(C512,"SECURITY_NAME")</f>
        <v>#NAME?</v>
      </c>
      <c r="E512" s="18" t="s">
        <v>50</v>
      </c>
      <c r="F512" s="19">
        <v>11500</v>
      </c>
      <c r="G512" s="18" t="e">
        <f ca="1">_xll.BDP(C512,"CRNCY")</f>
        <v>#NAME?</v>
      </c>
      <c r="H512" s="22" t="e">
        <f ca="1">_xll.BDH(C512,"PX_LAST",N512)</f>
        <v>#NAME?</v>
      </c>
      <c r="I512" s="15" t="e">
        <f t="shared" ca="1" si="149"/>
        <v>#NAME?</v>
      </c>
      <c r="J512" s="16" t="e">
        <f t="shared" ca="1" si="150"/>
        <v>#NAME?</v>
      </c>
      <c r="K512" s="15" t="e">
        <f t="shared" ca="1" si="151"/>
        <v>#NAME?</v>
      </c>
      <c r="L512" s="22" t="e">
        <f ca="1">_xll.BDH("RUB curncy","PX_LAST",$N512)</f>
        <v>#NAME?</v>
      </c>
      <c r="M512" s="85" t="e">
        <f ca="1">1/_xll.BDH("RUB curncy","PX_LAST",$N512)</f>
        <v>#NAME?</v>
      </c>
      <c r="N512" s="14">
        <v>41355</v>
      </c>
    </row>
    <row r="513" spans="2:14" x14ac:dyDescent="0.2">
      <c r="B513" s="21" t="s">
        <v>126</v>
      </c>
      <c r="C513" s="20" t="s">
        <v>124</v>
      </c>
      <c r="D513" s="18" t="e">
        <f ca="1">_xll.BDP(C513,"SECURITY_NAME")</f>
        <v>#NAME?</v>
      </c>
      <c r="E513" s="18" t="s">
        <v>50</v>
      </c>
      <c r="F513" s="19">
        <v>21400</v>
      </c>
      <c r="G513" s="18" t="e">
        <f ca="1">_xll.BDP(C513,"CRNCY")</f>
        <v>#NAME?</v>
      </c>
      <c r="H513" s="22" t="e">
        <f ca="1">_xll.BDH(C513,"PX_LAST",N513)</f>
        <v>#NAME?</v>
      </c>
      <c r="I513" s="15" t="e">
        <f t="shared" ca="1" si="149"/>
        <v>#NAME?</v>
      </c>
      <c r="J513" s="16" t="e">
        <f t="shared" ca="1" si="150"/>
        <v>#NAME?</v>
      </c>
      <c r="K513" s="15" t="e">
        <f t="shared" ca="1" si="151"/>
        <v>#NAME?</v>
      </c>
      <c r="L513" s="22" t="e">
        <f ca="1">_xll.BDH("RUB curncy","PX_LAST",$N513)</f>
        <v>#NAME?</v>
      </c>
      <c r="M513" s="85" t="e">
        <f ca="1">1/_xll.BDH("RUB curncy","PX_LAST",$N513)</f>
        <v>#NAME?</v>
      </c>
      <c r="N513" s="14">
        <v>41226</v>
      </c>
    </row>
    <row r="514" spans="2:14" x14ac:dyDescent="0.2">
      <c r="B514" s="21" t="s">
        <v>126</v>
      </c>
      <c r="C514" s="20" t="s">
        <v>124</v>
      </c>
      <c r="D514" s="18" t="e">
        <f ca="1">_xll.BDP(C514,"SECURITY_NAME")</f>
        <v>#NAME?</v>
      </c>
      <c r="E514" s="18" t="s">
        <v>50</v>
      </c>
      <c r="F514" s="19">
        <v>30200</v>
      </c>
      <c r="G514" s="18" t="e">
        <f ca="1">_xll.BDP(C514,"CRNCY")</f>
        <v>#NAME?</v>
      </c>
      <c r="H514" s="22" t="e">
        <f ca="1">_xll.BDH(C514,"PX_LAST",N514)</f>
        <v>#NAME?</v>
      </c>
      <c r="I514" s="15" t="e">
        <f t="shared" ca="1" si="149"/>
        <v>#NAME?</v>
      </c>
      <c r="J514" s="16" t="e">
        <f t="shared" ca="1" si="150"/>
        <v>#NAME?</v>
      </c>
      <c r="K514" s="15" t="e">
        <f t="shared" ca="1" si="151"/>
        <v>#NAME?</v>
      </c>
      <c r="L514" s="22" t="e">
        <f ca="1">_xll.BDH("RUB curncy","PX_LAST",$N514)</f>
        <v>#NAME?</v>
      </c>
      <c r="M514" s="85" t="e">
        <f ca="1">1/_xll.BDH("RUB curncy","PX_LAST",$N514)</f>
        <v>#NAME?</v>
      </c>
      <c r="N514" s="14">
        <v>41151</v>
      </c>
    </row>
    <row r="515" spans="2:14" x14ac:dyDescent="0.2">
      <c r="B515" s="21" t="s">
        <v>126</v>
      </c>
      <c r="C515" s="20" t="s">
        <v>124</v>
      </c>
      <c r="D515" s="18" t="e">
        <f ca="1">_xll.BDP(C515,"SECURITY_NAME")</f>
        <v>#NAME?</v>
      </c>
      <c r="E515" s="18" t="s">
        <v>50</v>
      </c>
      <c r="F515" s="19">
        <v>1000</v>
      </c>
      <c r="G515" s="18" t="e">
        <f ca="1">_xll.BDP(C515,"CRNCY")</f>
        <v>#NAME?</v>
      </c>
      <c r="H515" s="22" t="e">
        <f ca="1">_xll.BDH(C515,"PX_LAST",N515)</f>
        <v>#NAME?</v>
      </c>
      <c r="I515" s="15" t="e">
        <f t="shared" ca="1" si="149"/>
        <v>#NAME?</v>
      </c>
      <c r="J515" s="16" t="e">
        <f t="shared" ca="1" si="150"/>
        <v>#NAME?</v>
      </c>
      <c r="K515" s="15" t="e">
        <f t="shared" ca="1" si="151"/>
        <v>#NAME?</v>
      </c>
      <c r="L515" s="22" t="e">
        <f ca="1">_xll.BDH("RUB curncy","PX_LAST",$N515)</f>
        <v>#NAME?</v>
      </c>
      <c r="M515" s="85" t="e">
        <f ca="1">1/_xll.BDH("RUB curncy","PX_LAST",$N515)</f>
        <v>#NAME?</v>
      </c>
      <c r="N515" s="14">
        <v>41115</v>
      </c>
    </row>
    <row r="516" spans="2:14" x14ac:dyDescent="0.2">
      <c r="B516" s="21" t="s">
        <v>126</v>
      </c>
      <c r="C516" s="20" t="s">
        <v>124</v>
      </c>
      <c r="D516" s="18" t="e">
        <f ca="1">_xll.BDP(C516,"SECURITY_NAME")</f>
        <v>#NAME?</v>
      </c>
      <c r="E516" s="18" t="s">
        <v>50</v>
      </c>
      <c r="F516" s="19">
        <v>19100</v>
      </c>
      <c r="G516" s="18" t="e">
        <f ca="1">_xll.BDP(C516,"CRNCY")</f>
        <v>#NAME?</v>
      </c>
      <c r="H516" s="22" t="e">
        <f ca="1">_xll.BDH(C516,"PX_LAST",N516)</f>
        <v>#NAME?</v>
      </c>
      <c r="I516" s="15" t="e">
        <f t="shared" ca="1" si="149"/>
        <v>#NAME?</v>
      </c>
      <c r="J516" s="16" t="e">
        <f t="shared" ca="1" si="150"/>
        <v>#NAME?</v>
      </c>
      <c r="K516" s="15" t="e">
        <f t="shared" ca="1" si="151"/>
        <v>#NAME?</v>
      </c>
      <c r="L516" s="22" t="e">
        <f ca="1">_xll.BDH("RUB curncy","PX_LAST",$N516)</f>
        <v>#NAME?</v>
      </c>
      <c r="M516" s="85" t="e">
        <f ca="1">1/_xll.BDH("RUB curncy","PX_LAST",$N516)</f>
        <v>#NAME?</v>
      </c>
      <c r="N516" s="14">
        <v>41110</v>
      </c>
    </row>
    <row r="517" spans="2:14" x14ac:dyDescent="0.2">
      <c r="B517" s="21" t="s">
        <v>126</v>
      </c>
      <c r="C517" s="20" t="s">
        <v>124</v>
      </c>
      <c r="D517" s="18" t="e">
        <f ca="1">_xll.BDP(C517,"SECURITY_NAME")</f>
        <v>#NAME?</v>
      </c>
      <c r="E517" s="18" t="s">
        <v>50</v>
      </c>
      <c r="F517" s="19">
        <v>55000</v>
      </c>
      <c r="G517" s="18" t="e">
        <f ca="1">_xll.BDP(C517,"CRNCY")</f>
        <v>#NAME?</v>
      </c>
      <c r="H517" s="22" t="e">
        <f ca="1">_xll.BDH(C517,"PX_LAST",N517)</f>
        <v>#NAME?</v>
      </c>
      <c r="I517" s="15" t="e">
        <f t="shared" ca="1" si="149"/>
        <v>#NAME?</v>
      </c>
      <c r="J517" s="16" t="e">
        <f t="shared" ca="1" si="150"/>
        <v>#NAME?</v>
      </c>
      <c r="K517" s="15" t="e">
        <f t="shared" ca="1" si="151"/>
        <v>#NAME?</v>
      </c>
      <c r="L517" s="22" t="e">
        <f ca="1">_xll.BDH("RUB curncy","PX_LAST",$N517)</f>
        <v>#NAME?</v>
      </c>
      <c r="M517" s="85" t="e">
        <f ca="1">1/_xll.BDH("RUB curncy","PX_LAST",$N517)</f>
        <v>#NAME?</v>
      </c>
      <c r="N517" s="14">
        <v>41108</v>
      </c>
    </row>
    <row r="518" spans="2:14" x14ac:dyDescent="0.2">
      <c r="B518" s="21" t="s">
        <v>126</v>
      </c>
      <c r="C518" s="20" t="s">
        <v>124</v>
      </c>
      <c r="D518" s="18" t="e">
        <f ca="1">_xll.BDP(C518,"SECURITY_NAME")</f>
        <v>#NAME?</v>
      </c>
      <c r="E518" s="18" t="s">
        <v>50</v>
      </c>
      <c r="F518" s="19">
        <v>39000</v>
      </c>
      <c r="G518" s="18" t="e">
        <f ca="1">_xll.BDP(C518,"CRNCY")</f>
        <v>#NAME?</v>
      </c>
      <c r="H518" s="22" t="e">
        <f ca="1">_xll.BDH(C518,"PX_LAST",N518)</f>
        <v>#NAME?</v>
      </c>
      <c r="I518" s="15" t="e">
        <f t="shared" ca="1" si="149"/>
        <v>#NAME?</v>
      </c>
      <c r="J518" s="16" t="e">
        <f t="shared" ca="1" si="150"/>
        <v>#NAME?</v>
      </c>
      <c r="K518" s="15" t="e">
        <f t="shared" ca="1" si="151"/>
        <v>#NAME?</v>
      </c>
      <c r="L518" s="22" t="e">
        <f ca="1">_xll.BDH("RUB curncy","PX_LAST",$N518)</f>
        <v>#NAME?</v>
      </c>
      <c r="M518" s="85" t="e">
        <f ca="1">1/_xll.BDH("RUB curncy","PX_LAST",$N518)</f>
        <v>#NAME?</v>
      </c>
      <c r="N518" s="14">
        <v>41107</v>
      </c>
    </row>
    <row r="519" spans="2:14" x14ac:dyDescent="0.2">
      <c r="B519" s="21" t="s">
        <v>126</v>
      </c>
      <c r="C519" s="20" t="s">
        <v>124</v>
      </c>
      <c r="D519" s="18" t="e">
        <f ca="1">_xll.BDP(C519,"SECURITY_NAME")</f>
        <v>#NAME?</v>
      </c>
      <c r="E519" s="18" t="s">
        <v>50</v>
      </c>
      <c r="F519" s="19">
        <v>5000</v>
      </c>
      <c r="G519" s="18" t="e">
        <f ca="1">_xll.BDP(C519,"CRNCY")</f>
        <v>#NAME?</v>
      </c>
      <c r="H519" s="22" t="e">
        <f ca="1">_xll.BDH(C519,"PX_LAST",N519)</f>
        <v>#NAME?</v>
      </c>
      <c r="I519" s="15" t="e">
        <f t="shared" ca="1" si="149"/>
        <v>#NAME?</v>
      </c>
      <c r="J519" s="16" t="e">
        <f t="shared" ca="1" si="150"/>
        <v>#NAME?</v>
      </c>
      <c r="K519" s="15" t="e">
        <f t="shared" ca="1" si="151"/>
        <v>#NAME?</v>
      </c>
      <c r="L519" s="22" t="e">
        <f ca="1">_xll.BDH("RUB curncy","PX_LAST",$N519)</f>
        <v>#NAME?</v>
      </c>
      <c r="M519" s="85" t="e">
        <f ca="1">1/_xll.BDH("RUB curncy","PX_LAST",$N519)</f>
        <v>#NAME?</v>
      </c>
      <c r="N519" s="14">
        <v>41106</v>
      </c>
    </row>
    <row r="520" spans="2:14" x14ac:dyDescent="0.2">
      <c r="B520" s="21" t="s">
        <v>126</v>
      </c>
      <c r="C520" s="20" t="s">
        <v>124</v>
      </c>
      <c r="D520" s="18" t="e">
        <f ca="1">_xll.BDP(C520,"SECURITY_NAME")</f>
        <v>#NAME?</v>
      </c>
      <c r="E520" s="18" t="s">
        <v>50</v>
      </c>
      <c r="F520" s="19">
        <v>118000</v>
      </c>
      <c r="G520" s="18" t="e">
        <f ca="1">_xll.BDP(C520,"CRNCY")</f>
        <v>#NAME?</v>
      </c>
      <c r="H520" s="22" t="e">
        <f ca="1">_xll.BDH(C520,"PX_LAST",N520)</f>
        <v>#NAME?</v>
      </c>
      <c r="I520" s="15" t="e">
        <f t="shared" ca="1" si="149"/>
        <v>#NAME?</v>
      </c>
      <c r="J520" s="16" t="e">
        <f t="shared" ca="1" si="150"/>
        <v>#NAME?</v>
      </c>
      <c r="K520" s="15" t="e">
        <f t="shared" ca="1" si="151"/>
        <v>#NAME?</v>
      </c>
      <c r="L520" s="22" t="e">
        <f ca="1">_xll.BDH("RUB curncy","PX_LAST",$N520)</f>
        <v>#NAME?</v>
      </c>
      <c r="M520" s="85" t="e">
        <f ca="1">1/_xll.BDH("RUB curncy","PX_LAST",$N520)</f>
        <v>#NAME?</v>
      </c>
      <c r="N520" s="14">
        <v>41075</v>
      </c>
    </row>
    <row r="521" spans="2:14" x14ac:dyDescent="0.2">
      <c r="B521" s="21" t="s">
        <v>126</v>
      </c>
      <c r="C521" s="20" t="s">
        <v>124</v>
      </c>
      <c r="D521" s="18" t="e">
        <f ca="1">_xll.BDP(C521,"SECURITY_NAME")</f>
        <v>#NAME?</v>
      </c>
      <c r="E521" s="18" t="s">
        <v>50</v>
      </c>
      <c r="F521" s="19">
        <v>60000</v>
      </c>
      <c r="G521" s="18" t="e">
        <f ca="1">_xll.BDP(C521,"CRNCY")</f>
        <v>#NAME?</v>
      </c>
      <c r="H521" s="22" t="e">
        <f ca="1">_xll.BDH(C521,"PX_LAST",N521)</f>
        <v>#NAME?</v>
      </c>
      <c r="I521" s="15" t="e">
        <f t="shared" ca="1" si="149"/>
        <v>#NAME?</v>
      </c>
      <c r="J521" s="16" t="e">
        <f t="shared" ca="1" si="150"/>
        <v>#NAME?</v>
      </c>
      <c r="K521" s="15" t="e">
        <f t="shared" ca="1" si="151"/>
        <v>#NAME?</v>
      </c>
      <c r="L521" s="22" t="e">
        <f ca="1">_xll.BDH("RUB curncy","PX_LAST",$N521)</f>
        <v>#NAME?</v>
      </c>
      <c r="M521" s="85" t="e">
        <f ca="1">1/_xll.BDH("RUB curncy","PX_LAST",$N521)</f>
        <v>#NAME?</v>
      </c>
      <c r="N521" s="14">
        <v>41068</v>
      </c>
    </row>
    <row r="522" spans="2:14" x14ac:dyDescent="0.2">
      <c r="B522" s="21" t="s">
        <v>126</v>
      </c>
      <c r="C522" s="20" t="s">
        <v>124</v>
      </c>
      <c r="D522" s="18" t="e">
        <f ca="1">_xll.BDP(C522,"SECURITY_NAME")</f>
        <v>#NAME?</v>
      </c>
      <c r="E522" s="18" t="s">
        <v>50</v>
      </c>
      <c r="F522" s="19">
        <v>12500</v>
      </c>
      <c r="G522" s="18" t="e">
        <f ca="1">_xll.BDP(C522,"CRNCY")</f>
        <v>#NAME?</v>
      </c>
      <c r="H522" s="22" t="e">
        <f ca="1">_xll.BDH(C522,"PX_LAST",N522)</f>
        <v>#NAME?</v>
      </c>
      <c r="I522" s="15" t="e">
        <f t="shared" ca="1" si="149"/>
        <v>#NAME?</v>
      </c>
      <c r="J522" s="16" t="e">
        <f t="shared" ca="1" si="150"/>
        <v>#NAME?</v>
      </c>
      <c r="K522" s="15" t="e">
        <f t="shared" ca="1" si="151"/>
        <v>#NAME?</v>
      </c>
      <c r="L522" s="22" t="e">
        <f ca="1">_xll.BDH("RUB curncy","PX_LAST",$N522)</f>
        <v>#NAME?</v>
      </c>
      <c r="M522" s="85" t="e">
        <f ca="1">1/_xll.BDH("RUB curncy","PX_LAST",$N522)</f>
        <v>#NAME?</v>
      </c>
      <c r="N522" s="14">
        <v>41066</v>
      </c>
    </row>
    <row r="523" spans="2:14" x14ac:dyDescent="0.2">
      <c r="B523" s="21" t="s">
        <v>126</v>
      </c>
      <c r="C523" s="20" t="s">
        <v>124</v>
      </c>
      <c r="D523" s="18" t="e">
        <f ca="1">_xll.BDP(C523,"SECURITY_NAME")</f>
        <v>#NAME?</v>
      </c>
      <c r="E523" s="18" t="s">
        <v>50</v>
      </c>
      <c r="F523" s="19">
        <v>19000</v>
      </c>
      <c r="G523" s="18" t="e">
        <f ca="1">_xll.BDP(C523,"CRNCY")</f>
        <v>#NAME?</v>
      </c>
      <c r="H523" s="22" t="e">
        <f ca="1">_xll.BDH(C523,"PX_LAST",N523)</f>
        <v>#NAME?</v>
      </c>
      <c r="I523" s="15" t="e">
        <f t="shared" ca="1" si="149"/>
        <v>#NAME?</v>
      </c>
      <c r="J523" s="16" t="e">
        <f t="shared" ca="1" si="150"/>
        <v>#NAME?</v>
      </c>
      <c r="K523" s="15" t="e">
        <f t="shared" ca="1" si="151"/>
        <v>#NAME?</v>
      </c>
      <c r="L523" s="22" t="e">
        <f ca="1">_xll.BDH("RUB curncy","PX_LAST",$N523)</f>
        <v>#NAME?</v>
      </c>
      <c r="M523" s="85" t="e">
        <f ca="1">1/_xll.BDH("RUB curncy","PX_LAST",$N523)</f>
        <v>#NAME?</v>
      </c>
      <c r="N523" s="14">
        <v>40981</v>
      </c>
    </row>
    <row r="524" spans="2:14" x14ac:dyDescent="0.2">
      <c r="B524" s="21" t="s">
        <v>126</v>
      </c>
      <c r="C524" s="20" t="s">
        <v>124</v>
      </c>
      <c r="D524" s="18" t="e">
        <f ca="1">_xll.BDP(C524,"SECURITY_NAME")</f>
        <v>#NAME?</v>
      </c>
      <c r="E524" s="18" t="s">
        <v>50</v>
      </c>
      <c r="F524" s="19">
        <v>110000</v>
      </c>
      <c r="G524" s="18" t="e">
        <f ca="1">_xll.BDP(C524,"CRNCY")</f>
        <v>#NAME?</v>
      </c>
      <c r="H524" s="22" t="e">
        <f ca="1">_xll.BDH(C524,"PX_LAST",N524)</f>
        <v>#NAME?</v>
      </c>
      <c r="I524" s="15" t="e">
        <f t="shared" ca="1" si="149"/>
        <v>#NAME?</v>
      </c>
      <c r="J524" s="16" t="e">
        <f t="shared" ca="1" si="150"/>
        <v>#NAME?</v>
      </c>
      <c r="K524" s="15" t="e">
        <f t="shared" ca="1" si="151"/>
        <v>#NAME?</v>
      </c>
      <c r="L524" s="22" t="e">
        <f ca="1">_xll.BDH("RUB curncy","PX_LAST",$N524)</f>
        <v>#NAME?</v>
      </c>
      <c r="M524" s="85" t="e">
        <f ca="1">1/_xll.BDH("RUB curncy","PX_LAST",$N524)</f>
        <v>#NAME?</v>
      </c>
      <c r="N524" s="14">
        <v>40955</v>
      </c>
    </row>
    <row r="525" spans="2:14" x14ac:dyDescent="0.2">
      <c r="B525" s="21" t="s">
        <v>126</v>
      </c>
      <c r="C525" s="20" t="s">
        <v>124</v>
      </c>
      <c r="D525" s="18" t="e">
        <f ca="1">_xll.BDP(C525,"SECURITY_NAME")</f>
        <v>#NAME?</v>
      </c>
      <c r="E525" s="18" t="s">
        <v>50</v>
      </c>
      <c r="F525" s="19">
        <v>116900</v>
      </c>
      <c r="G525" s="18" t="e">
        <f ca="1">_xll.BDP(C525,"CRNCY")</f>
        <v>#NAME?</v>
      </c>
      <c r="H525" s="22" t="e">
        <f ca="1">_xll.BDH(C525,"PX_LAST",N525)</f>
        <v>#NAME?</v>
      </c>
      <c r="I525" s="15" t="e">
        <f t="shared" ca="1" si="149"/>
        <v>#NAME?</v>
      </c>
      <c r="J525" s="16" t="e">
        <f t="shared" ca="1" si="150"/>
        <v>#NAME?</v>
      </c>
      <c r="K525" s="15" t="e">
        <f t="shared" ca="1" si="151"/>
        <v>#NAME?</v>
      </c>
      <c r="L525" s="22" t="e">
        <f ca="1">_xll.BDH("RUB curncy","PX_LAST",$N525)</f>
        <v>#NAME?</v>
      </c>
      <c r="M525" s="85" t="e">
        <f ca="1">1/_xll.BDH("RUB curncy","PX_LAST",$N525)</f>
        <v>#NAME?</v>
      </c>
      <c r="N525" s="14">
        <v>40793</v>
      </c>
    </row>
    <row r="526" spans="2:14" x14ac:dyDescent="0.2">
      <c r="B526" s="71"/>
      <c r="C526" s="72"/>
      <c r="D526" s="73"/>
      <c r="E526" s="73"/>
      <c r="F526" s="79">
        <f>SUM(F496:F525)</f>
        <v>1357100</v>
      </c>
      <c r="G526" s="73"/>
      <c r="H526" s="80" t="e">
        <f ca="1">I526/F526</f>
        <v>#NAME?</v>
      </c>
      <c r="I526" s="79" t="e">
        <f ca="1">SUM(I496:I525)</f>
        <v>#NAME?</v>
      </c>
      <c r="J526" s="79" t="e">
        <f ca="1">SUM(J496:J525)</f>
        <v>#NAME?</v>
      </c>
      <c r="K526" s="81"/>
      <c r="L526" s="75"/>
      <c r="M526" s="78"/>
      <c r="N526" s="14"/>
    </row>
    <row r="527" spans="2:14" x14ac:dyDescent="0.2">
      <c r="B527" s="71"/>
      <c r="C527" s="72"/>
      <c r="D527" s="73"/>
      <c r="E527" s="73"/>
      <c r="F527" s="79"/>
      <c r="G527" s="73"/>
      <c r="H527" s="75"/>
      <c r="I527" s="76"/>
      <c r="J527" s="77"/>
      <c r="K527" s="76"/>
      <c r="L527" s="75"/>
      <c r="M527" s="78"/>
      <c r="N527" s="14"/>
    </row>
    <row r="528" spans="2:14" x14ac:dyDescent="0.2">
      <c r="B528" s="21" t="s">
        <v>126</v>
      </c>
      <c r="C528" s="20" t="s">
        <v>125</v>
      </c>
      <c r="D528" s="18" t="e">
        <f ca="1">_xll.BDP(C528,"SECURITY_NAME")</f>
        <v>#NAME?</v>
      </c>
      <c r="E528" s="18" t="s">
        <v>50</v>
      </c>
      <c r="F528" s="19">
        <v>71000</v>
      </c>
      <c r="G528" s="18" t="e">
        <f ca="1">_xll.BDP(C528,"CRNCY")</f>
        <v>#NAME?</v>
      </c>
      <c r="H528" s="22">
        <v>20</v>
      </c>
      <c r="I528" s="15">
        <f>F528*H528</f>
        <v>1420000</v>
      </c>
      <c r="J528" s="16" t="e">
        <f ca="1">I528/L528</f>
        <v>#NAME?</v>
      </c>
      <c r="K528" s="15" t="e">
        <f ca="1">J528*L528</f>
        <v>#NAME?</v>
      </c>
      <c r="L528" s="22" t="e">
        <f ca="1">_xll.BDH("RUB curncy","PX_LAST",$N528)</f>
        <v>#NAME?</v>
      </c>
      <c r="M528" s="85" t="e">
        <f ca="1">1/_xll.BDH("RUB curncy","PX_LAST",$N528)</f>
        <v>#NAME?</v>
      </c>
      <c r="N528" s="14">
        <v>42277</v>
      </c>
    </row>
    <row r="529" spans="2:14" x14ac:dyDescent="0.2">
      <c r="B529" s="21" t="s">
        <v>126</v>
      </c>
      <c r="C529" s="20" t="s">
        <v>125</v>
      </c>
      <c r="D529" s="18" t="e">
        <f ca="1">_xll.BDP(C529,"SECURITY_NAME")</f>
        <v>#NAME?</v>
      </c>
      <c r="E529" s="18" t="s">
        <v>50</v>
      </c>
      <c r="F529" s="19">
        <v>347600</v>
      </c>
      <c r="G529" s="18" t="e">
        <f ca="1">_xll.BDP(C529,"CRNCY")</f>
        <v>#NAME?</v>
      </c>
      <c r="H529" s="22" t="e">
        <f ca="1">_xll.BDH(C529,"PX_LAST",N529)</f>
        <v>#NAME?</v>
      </c>
      <c r="I529" s="15" t="e">
        <f t="shared" ref="I529:I574" ca="1" si="152">F529*H529</f>
        <v>#NAME?</v>
      </c>
      <c r="J529" s="16" t="e">
        <f t="shared" ref="J529:J574" ca="1" si="153">I529/L529</f>
        <v>#NAME?</v>
      </c>
      <c r="K529" s="15" t="e">
        <f t="shared" ref="K529:K574" ca="1" si="154">J529*L529</f>
        <v>#NAME?</v>
      </c>
      <c r="L529" s="22" t="e">
        <f ca="1">_xll.BDH("RUB curncy","PX_LAST",$N529)</f>
        <v>#NAME?</v>
      </c>
      <c r="M529" s="85" t="e">
        <f ca="1">1/_xll.BDH("RUB curncy","PX_LAST",$N529)</f>
        <v>#NAME?</v>
      </c>
      <c r="N529" s="14">
        <v>41940</v>
      </c>
    </row>
    <row r="530" spans="2:14" x14ac:dyDescent="0.2">
      <c r="B530" s="21" t="s">
        <v>126</v>
      </c>
      <c r="C530" s="20" t="s">
        <v>125</v>
      </c>
      <c r="D530" s="18" t="e">
        <f ca="1">_xll.BDP(C530,"SECURITY_NAME")</f>
        <v>#NAME?</v>
      </c>
      <c r="E530" s="18" t="s">
        <v>50</v>
      </c>
      <c r="F530" s="19">
        <v>10000</v>
      </c>
      <c r="G530" s="18" t="e">
        <f ca="1">_xll.BDP(C530,"CRNCY")</f>
        <v>#NAME?</v>
      </c>
      <c r="H530" s="22" t="e">
        <f ca="1">_xll.BDH(C530,"PX_LAST",N530)</f>
        <v>#NAME?</v>
      </c>
      <c r="I530" s="15" t="e">
        <f t="shared" ca="1" si="152"/>
        <v>#NAME?</v>
      </c>
      <c r="J530" s="16" t="e">
        <f t="shared" ca="1" si="153"/>
        <v>#NAME?</v>
      </c>
      <c r="K530" s="15" t="e">
        <f t="shared" ca="1" si="154"/>
        <v>#NAME?</v>
      </c>
      <c r="L530" s="22" t="e">
        <f ca="1">_xll.BDH("RUB curncy","PX_LAST",$N530)</f>
        <v>#NAME?</v>
      </c>
      <c r="M530" s="85" t="e">
        <f ca="1">1/_xll.BDH("RUB curncy","PX_LAST",$N530)</f>
        <v>#NAME?</v>
      </c>
      <c r="N530" s="14">
        <v>41936</v>
      </c>
    </row>
    <row r="531" spans="2:14" x14ac:dyDescent="0.2">
      <c r="B531" s="21" t="s">
        <v>126</v>
      </c>
      <c r="C531" s="20" t="s">
        <v>125</v>
      </c>
      <c r="D531" s="18" t="e">
        <f ca="1">_xll.BDP(C531,"SECURITY_NAME")</f>
        <v>#NAME?</v>
      </c>
      <c r="E531" s="18" t="s">
        <v>50</v>
      </c>
      <c r="F531" s="19">
        <v>45600</v>
      </c>
      <c r="G531" s="18" t="e">
        <f ca="1">_xll.BDP(C531,"CRNCY")</f>
        <v>#NAME?</v>
      </c>
      <c r="H531" s="22" t="e">
        <f ca="1">_xll.BDH(C531,"PX_LAST",N531)</f>
        <v>#NAME?</v>
      </c>
      <c r="I531" s="15" t="e">
        <f t="shared" ca="1" si="152"/>
        <v>#NAME?</v>
      </c>
      <c r="J531" s="16" t="e">
        <f t="shared" ca="1" si="153"/>
        <v>#NAME?</v>
      </c>
      <c r="K531" s="15" t="e">
        <f t="shared" ca="1" si="154"/>
        <v>#NAME?</v>
      </c>
      <c r="L531" s="22" t="e">
        <f ca="1">_xll.BDH("RUB curncy","PX_LAST",$N531)</f>
        <v>#NAME?</v>
      </c>
      <c r="M531" s="85" t="e">
        <f ca="1">1/_xll.BDH("RUB curncy","PX_LAST",$N531)</f>
        <v>#NAME?</v>
      </c>
      <c r="N531" s="14">
        <v>41633</v>
      </c>
    </row>
    <row r="532" spans="2:14" x14ac:dyDescent="0.2">
      <c r="B532" s="21" t="s">
        <v>126</v>
      </c>
      <c r="C532" s="20" t="s">
        <v>125</v>
      </c>
      <c r="D532" s="18" t="e">
        <f ca="1">_xll.BDP(C532,"SECURITY_NAME")</f>
        <v>#NAME?</v>
      </c>
      <c r="E532" s="18" t="s">
        <v>50</v>
      </c>
      <c r="F532" s="19">
        <v>400000</v>
      </c>
      <c r="G532" s="18" t="e">
        <f ca="1">_xll.BDP(C532,"CRNCY")</f>
        <v>#NAME?</v>
      </c>
      <c r="H532" s="22" t="e">
        <f ca="1">_xll.BDH(C532,"PX_LAST",N532)</f>
        <v>#NAME?</v>
      </c>
      <c r="I532" s="15" t="e">
        <f t="shared" ca="1" si="152"/>
        <v>#NAME?</v>
      </c>
      <c r="J532" s="16" t="e">
        <f t="shared" ca="1" si="153"/>
        <v>#NAME?</v>
      </c>
      <c r="K532" s="15" t="e">
        <f t="shared" ca="1" si="154"/>
        <v>#NAME?</v>
      </c>
      <c r="L532" s="22" t="e">
        <f ca="1">_xll.BDH("RUB curncy","PX_LAST",$N532)</f>
        <v>#NAME?</v>
      </c>
      <c r="M532" s="85" t="e">
        <f ca="1">1/_xll.BDH("RUB curncy","PX_LAST",$N532)</f>
        <v>#NAME?</v>
      </c>
      <c r="N532" s="14">
        <v>41611</v>
      </c>
    </row>
    <row r="533" spans="2:14" x14ac:dyDescent="0.2">
      <c r="B533" s="21" t="s">
        <v>126</v>
      </c>
      <c r="C533" s="20" t="s">
        <v>125</v>
      </c>
      <c r="D533" s="18" t="e">
        <f ca="1">_xll.BDP(C533,"SECURITY_NAME")</f>
        <v>#NAME?</v>
      </c>
      <c r="E533" s="18" t="s">
        <v>50</v>
      </c>
      <c r="F533" s="19">
        <v>250000</v>
      </c>
      <c r="G533" s="18" t="e">
        <f ca="1">_xll.BDP(C533,"CRNCY")</f>
        <v>#NAME?</v>
      </c>
      <c r="H533" s="22" t="e">
        <f ca="1">_xll.BDH(C533,"PX_LAST",N533)</f>
        <v>#NAME?</v>
      </c>
      <c r="I533" s="15" t="e">
        <f t="shared" ca="1" si="152"/>
        <v>#NAME?</v>
      </c>
      <c r="J533" s="16" t="e">
        <f t="shared" ca="1" si="153"/>
        <v>#NAME?</v>
      </c>
      <c r="K533" s="15" t="e">
        <f t="shared" ca="1" si="154"/>
        <v>#NAME?</v>
      </c>
      <c r="L533" s="22" t="e">
        <f ca="1">_xll.BDH("RUB curncy","PX_LAST",$N533)</f>
        <v>#NAME?</v>
      </c>
      <c r="M533" s="85" t="e">
        <f ca="1">1/_xll.BDH("RUB curncy","PX_LAST",$N533)</f>
        <v>#NAME?</v>
      </c>
      <c r="N533" s="14">
        <v>41603</v>
      </c>
    </row>
    <row r="534" spans="2:14" x14ac:dyDescent="0.2">
      <c r="B534" s="21" t="s">
        <v>126</v>
      </c>
      <c r="C534" s="20" t="s">
        <v>125</v>
      </c>
      <c r="D534" s="18" t="e">
        <f ca="1">_xll.BDP(C534,"SECURITY_NAME")</f>
        <v>#NAME?</v>
      </c>
      <c r="E534" s="18" t="s">
        <v>50</v>
      </c>
      <c r="F534" s="19">
        <v>250250</v>
      </c>
      <c r="G534" s="18" t="e">
        <f ca="1">_xll.BDP(C534,"CRNCY")</f>
        <v>#NAME?</v>
      </c>
      <c r="H534" s="22" t="e">
        <f ca="1">_xll.BDH(C534,"PX_LAST",N534)</f>
        <v>#NAME?</v>
      </c>
      <c r="I534" s="15" t="e">
        <f t="shared" ca="1" si="152"/>
        <v>#NAME?</v>
      </c>
      <c r="J534" s="16" t="e">
        <f t="shared" ca="1" si="153"/>
        <v>#NAME?</v>
      </c>
      <c r="K534" s="15" t="e">
        <f t="shared" ca="1" si="154"/>
        <v>#NAME?</v>
      </c>
      <c r="L534" s="22" t="e">
        <f ca="1">_xll.BDH("RUB curncy","PX_LAST",$N534)</f>
        <v>#NAME?</v>
      </c>
      <c r="M534" s="85" t="e">
        <f ca="1">1/_xll.BDH("RUB curncy","PX_LAST",$N534)</f>
        <v>#NAME?</v>
      </c>
      <c r="N534" s="14">
        <v>41592</v>
      </c>
    </row>
    <row r="535" spans="2:14" x14ac:dyDescent="0.2">
      <c r="B535" s="21" t="s">
        <v>126</v>
      </c>
      <c r="C535" s="20" t="s">
        <v>125</v>
      </c>
      <c r="D535" s="18" t="e">
        <f ca="1">_xll.BDP(C535,"SECURITY_NAME")</f>
        <v>#NAME?</v>
      </c>
      <c r="E535" s="18" t="s">
        <v>50</v>
      </c>
      <c r="F535" s="19">
        <v>488000</v>
      </c>
      <c r="G535" s="18" t="e">
        <f ca="1">_xll.BDP(C535,"CRNCY")</f>
        <v>#NAME?</v>
      </c>
      <c r="H535" s="22" t="e">
        <f ca="1">_xll.BDH(C535,"PX_LAST",N535)</f>
        <v>#NAME?</v>
      </c>
      <c r="I535" s="15" t="e">
        <f t="shared" ca="1" si="152"/>
        <v>#NAME?</v>
      </c>
      <c r="J535" s="16" t="e">
        <f t="shared" ca="1" si="153"/>
        <v>#NAME?</v>
      </c>
      <c r="K535" s="15" t="e">
        <f t="shared" ca="1" si="154"/>
        <v>#NAME?</v>
      </c>
      <c r="L535" s="22" t="e">
        <f ca="1">_xll.BDH("RUB curncy","PX_LAST",$N535)</f>
        <v>#NAME?</v>
      </c>
      <c r="M535" s="85" t="e">
        <f ca="1">1/_xll.BDH("RUB curncy","PX_LAST",$N535)</f>
        <v>#NAME?</v>
      </c>
      <c r="N535" s="14">
        <v>41564</v>
      </c>
    </row>
    <row r="536" spans="2:14" x14ac:dyDescent="0.2">
      <c r="B536" s="21" t="s">
        <v>126</v>
      </c>
      <c r="C536" s="20" t="s">
        <v>125</v>
      </c>
      <c r="D536" s="18" t="e">
        <f ca="1">_xll.BDP(C536,"SECURITY_NAME")</f>
        <v>#NAME?</v>
      </c>
      <c r="E536" s="18" t="s">
        <v>50</v>
      </c>
      <c r="F536" s="19">
        <v>146400</v>
      </c>
      <c r="G536" s="18" t="e">
        <f ca="1">_xll.BDP(C536,"CRNCY")</f>
        <v>#NAME?</v>
      </c>
      <c r="H536" s="22" t="e">
        <f ca="1">_xll.BDH(C536,"PX_LAST",N536)</f>
        <v>#NAME?</v>
      </c>
      <c r="I536" s="15" t="e">
        <f t="shared" ca="1" si="152"/>
        <v>#NAME?</v>
      </c>
      <c r="J536" s="16" t="e">
        <f t="shared" ca="1" si="153"/>
        <v>#NAME?</v>
      </c>
      <c r="K536" s="15" t="e">
        <f t="shared" ca="1" si="154"/>
        <v>#NAME?</v>
      </c>
      <c r="L536" s="22" t="e">
        <f ca="1">_xll.BDH("RUB curncy","PX_LAST",$N536)</f>
        <v>#NAME?</v>
      </c>
      <c r="M536" s="85" t="e">
        <f ca="1">1/_xll.BDH("RUB curncy","PX_LAST",$N536)</f>
        <v>#NAME?</v>
      </c>
      <c r="N536" s="14">
        <v>41536</v>
      </c>
    </row>
    <row r="537" spans="2:14" x14ac:dyDescent="0.2">
      <c r="B537" s="21" t="s">
        <v>126</v>
      </c>
      <c r="C537" s="20" t="s">
        <v>125</v>
      </c>
      <c r="D537" s="18" t="e">
        <f ca="1">_xll.BDP(C537,"SECURITY_NAME")</f>
        <v>#NAME?</v>
      </c>
      <c r="E537" s="18" t="s">
        <v>50</v>
      </c>
      <c r="F537" s="19">
        <v>195200</v>
      </c>
      <c r="G537" s="18" t="e">
        <f ca="1">_xll.BDP(C537,"CRNCY")</f>
        <v>#NAME?</v>
      </c>
      <c r="H537" s="22" t="e">
        <f ca="1">_xll.BDH(C537,"PX_LAST",N537)</f>
        <v>#NAME?</v>
      </c>
      <c r="I537" s="15" t="e">
        <f t="shared" ca="1" si="152"/>
        <v>#NAME?</v>
      </c>
      <c r="J537" s="16" t="e">
        <f t="shared" ca="1" si="153"/>
        <v>#NAME?</v>
      </c>
      <c r="K537" s="15" t="e">
        <f t="shared" ca="1" si="154"/>
        <v>#NAME?</v>
      </c>
      <c r="L537" s="22" t="e">
        <f ca="1">_xll.BDH("RUB curncy","PX_LAST",$N537)</f>
        <v>#NAME?</v>
      </c>
      <c r="M537" s="85" t="e">
        <f ca="1">1/_xll.BDH("RUB curncy","PX_LAST",$N537)</f>
        <v>#NAME?</v>
      </c>
      <c r="N537" s="14">
        <v>41535</v>
      </c>
    </row>
    <row r="538" spans="2:14" x14ac:dyDescent="0.2">
      <c r="B538" s="21" t="s">
        <v>126</v>
      </c>
      <c r="C538" s="20" t="s">
        <v>125</v>
      </c>
      <c r="D538" s="18" t="e">
        <f ca="1">_xll.BDP(C538,"SECURITY_NAME")</f>
        <v>#NAME?</v>
      </c>
      <c r="E538" s="18" t="s">
        <v>50</v>
      </c>
      <c r="F538" s="19">
        <v>48800</v>
      </c>
      <c r="G538" s="18" t="e">
        <f ca="1">_xll.BDP(C538,"CRNCY")</f>
        <v>#NAME?</v>
      </c>
      <c r="H538" s="22" t="e">
        <f ca="1">_xll.BDH(C538,"PX_LAST",N538)</f>
        <v>#NAME?</v>
      </c>
      <c r="I538" s="15" t="e">
        <f t="shared" ca="1" si="152"/>
        <v>#NAME?</v>
      </c>
      <c r="J538" s="16" t="e">
        <f t="shared" ca="1" si="153"/>
        <v>#NAME?</v>
      </c>
      <c r="K538" s="15" t="e">
        <f t="shared" ca="1" si="154"/>
        <v>#NAME?</v>
      </c>
      <c r="L538" s="22" t="e">
        <f ca="1">_xll.BDH("RUB curncy","PX_LAST",$N538)</f>
        <v>#NAME?</v>
      </c>
      <c r="M538" s="85" t="e">
        <f ca="1">1/_xll.BDH("RUB curncy","PX_LAST",$N538)</f>
        <v>#NAME?</v>
      </c>
      <c r="N538" s="14">
        <v>41534</v>
      </c>
    </row>
    <row r="539" spans="2:14" x14ac:dyDescent="0.2">
      <c r="B539" s="21" t="s">
        <v>126</v>
      </c>
      <c r="C539" s="20" t="s">
        <v>125</v>
      </c>
      <c r="D539" s="18" t="e">
        <f ca="1">_xll.BDP(C539,"SECURITY_NAME")</f>
        <v>#NAME?</v>
      </c>
      <c r="E539" s="18" t="s">
        <v>50</v>
      </c>
      <c r="F539" s="19">
        <v>97600</v>
      </c>
      <c r="G539" s="18" t="e">
        <f ca="1">_xll.BDP(C539,"CRNCY")</f>
        <v>#NAME?</v>
      </c>
      <c r="H539" s="22" t="e">
        <f ca="1">_xll.BDH(C539,"PX_LAST",N539)</f>
        <v>#NAME?</v>
      </c>
      <c r="I539" s="15" t="e">
        <f t="shared" ca="1" si="152"/>
        <v>#NAME?</v>
      </c>
      <c r="J539" s="16" t="e">
        <f t="shared" ca="1" si="153"/>
        <v>#NAME?</v>
      </c>
      <c r="K539" s="15" t="e">
        <f t="shared" ca="1" si="154"/>
        <v>#NAME?</v>
      </c>
      <c r="L539" s="22" t="e">
        <f ca="1">_xll.BDH("RUB curncy","PX_LAST",$N539)</f>
        <v>#NAME?</v>
      </c>
      <c r="M539" s="85" t="e">
        <f ca="1">1/_xll.BDH("RUB curncy","PX_LAST",$N539)</f>
        <v>#NAME?</v>
      </c>
      <c r="N539" s="14">
        <v>41533</v>
      </c>
    </row>
    <row r="540" spans="2:14" x14ac:dyDescent="0.2">
      <c r="B540" s="21" t="s">
        <v>126</v>
      </c>
      <c r="C540" s="20" t="s">
        <v>125</v>
      </c>
      <c r="D540" s="18" t="e">
        <f ca="1">_xll.BDP(C540,"SECURITY_NAME")</f>
        <v>#NAME?</v>
      </c>
      <c r="E540" s="18" t="s">
        <v>50</v>
      </c>
      <c r="F540" s="19">
        <v>97600</v>
      </c>
      <c r="G540" s="18" t="e">
        <f ca="1">_xll.BDP(C540,"CRNCY")</f>
        <v>#NAME?</v>
      </c>
      <c r="H540" s="22" t="e">
        <f ca="1">_xll.BDH(C540,"PX_LAST",N540)</f>
        <v>#NAME?</v>
      </c>
      <c r="I540" s="15" t="e">
        <f t="shared" ca="1" si="152"/>
        <v>#NAME?</v>
      </c>
      <c r="J540" s="16" t="e">
        <f t="shared" ca="1" si="153"/>
        <v>#NAME?</v>
      </c>
      <c r="K540" s="15" t="e">
        <f t="shared" ca="1" si="154"/>
        <v>#NAME?</v>
      </c>
      <c r="L540" s="22" t="e">
        <f ca="1">_xll.BDH("RUB curncy","PX_LAST",$N540)</f>
        <v>#NAME?</v>
      </c>
      <c r="M540" s="85" t="e">
        <f ca="1">1/_xll.BDH("RUB curncy","PX_LAST",$N540)</f>
        <v>#NAME?</v>
      </c>
      <c r="N540" s="14">
        <v>41529</v>
      </c>
    </row>
    <row r="541" spans="2:14" x14ac:dyDescent="0.2">
      <c r="B541" s="21" t="s">
        <v>126</v>
      </c>
      <c r="C541" s="20" t="s">
        <v>125</v>
      </c>
      <c r="D541" s="18" t="e">
        <f ca="1">_xll.BDP(C541,"SECURITY_NAME")</f>
        <v>#NAME?</v>
      </c>
      <c r="E541" s="18" t="s">
        <v>50</v>
      </c>
      <c r="F541" s="19">
        <v>48800</v>
      </c>
      <c r="G541" s="18" t="e">
        <f ca="1">_xll.BDP(C541,"CRNCY")</f>
        <v>#NAME?</v>
      </c>
      <c r="H541" s="22" t="e">
        <f ca="1">_xll.BDH(C541,"PX_LAST",N541)</f>
        <v>#NAME?</v>
      </c>
      <c r="I541" s="15" t="e">
        <f t="shared" ca="1" si="152"/>
        <v>#NAME?</v>
      </c>
      <c r="J541" s="16" t="e">
        <f t="shared" ca="1" si="153"/>
        <v>#NAME?</v>
      </c>
      <c r="K541" s="15" t="e">
        <f t="shared" ca="1" si="154"/>
        <v>#NAME?</v>
      </c>
      <c r="L541" s="22" t="e">
        <f ca="1">_xll.BDH("RUB curncy","PX_LAST",$N541)</f>
        <v>#NAME?</v>
      </c>
      <c r="M541" s="85" t="e">
        <f ca="1">1/_xll.BDH("RUB curncy","PX_LAST",$N541)</f>
        <v>#NAME?</v>
      </c>
      <c r="N541" s="14">
        <v>41522</v>
      </c>
    </row>
    <row r="542" spans="2:14" x14ac:dyDescent="0.2">
      <c r="B542" s="21" t="s">
        <v>126</v>
      </c>
      <c r="C542" s="20" t="s">
        <v>125</v>
      </c>
      <c r="D542" s="18" t="e">
        <f ca="1">_xll.BDP(C542,"SECURITY_NAME")</f>
        <v>#NAME?</v>
      </c>
      <c r="E542" s="18" t="s">
        <v>50</v>
      </c>
      <c r="F542" s="19">
        <v>48800</v>
      </c>
      <c r="G542" s="18" t="e">
        <f ca="1">_xll.BDP(C542,"CRNCY")</f>
        <v>#NAME?</v>
      </c>
      <c r="H542" s="22" t="e">
        <f ca="1">_xll.BDH(C542,"PX_LAST",N542)</f>
        <v>#NAME?</v>
      </c>
      <c r="I542" s="15" t="e">
        <f t="shared" ca="1" si="152"/>
        <v>#NAME?</v>
      </c>
      <c r="J542" s="16" t="e">
        <f t="shared" ca="1" si="153"/>
        <v>#NAME?</v>
      </c>
      <c r="K542" s="15" t="e">
        <f t="shared" ca="1" si="154"/>
        <v>#NAME?</v>
      </c>
      <c r="L542" s="22" t="e">
        <f ca="1">_xll.BDH("RUB curncy","PX_LAST",$N542)</f>
        <v>#NAME?</v>
      </c>
      <c r="M542" s="85" t="e">
        <f ca="1">1/_xll.BDH("RUB curncy","PX_LAST",$N542)</f>
        <v>#NAME?</v>
      </c>
      <c r="N542" s="14">
        <v>41519</v>
      </c>
    </row>
    <row r="543" spans="2:14" x14ac:dyDescent="0.2">
      <c r="B543" s="21" t="s">
        <v>126</v>
      </c>
      <c r="C543" s="20" t="s">
        <v>125</v>
      </c>
      <c r="D543" s="18" t="e">
        <f ca="1">_xll.BDP(C543,"SECURITY_NAME")</f>
        <v>#NAME?</v>
      </c>
      <c r="E543" s="18" t="s">
        <v>50</v>
      </c>
      <c r="F543" s="19">
        <v>146400</v>
      </c>
      <c r="G543" s="18" t="e">
        <f ca="1">_xll.BDP(C543,"CRNCY")</f>
        <v>#NAME?</v>
      </c>
      <c r="H543" s="22" t="e">
        <f ca="1">_xll.BDH(C543,"PX_LAST",N543)</f>
        <v>#NAME?</v>
      </c>
      <c r="I543" s="15" t="e">
        <f t="shared" ca="1" si="152"/>
        <v>#NAME?</v>
      </c>
      <c r="J543" s="16" t="e">
        <f t="shared" ca="1" si="153"/>
        <v>#NAME?</v>
      </c>
      <c r="K543" s="15" t="e">
        <f t="shared" ca="1" si="154"/>
        <v>#NAME?</v>
      </c>
      <c r="L543" s="22" t="e">
        <f ca="1">_xll.BDH("RUB curncy","PX_LAST",$N543)</f>
        <v>#NAME?</v>
      </c>
      <c r="M543" s="85" t="e">
        <f ca="1">1/_xll.BDH("RUB curncy","PX_LAST",$N543)</f>
        <v>#NAME?</v>
      </c>
      <c r="N543" s="14">
        <v>41516</v>
      </c>
    </row>
    <row r="544" spans="2:14" x14ac:dyDescent="0.2">
      <c r="B544" s="21" t="s">
        <v>126</v>
      </c>
      <c r="C544" s="20" t="s">
        <v>125</v>
      </c>
      <c r="D544" s="18" t="e">
        <f ca="1">_xll.BDP(C544,"SECURITY_NAME")</f>
        <v>#NAME?</v>
      </c>
      <c r="E544" s="18" t="s">
        <v>50</v>
      </c>
      <c r="F544" s="19">
        <v>48800</v>
      </c>
      <c r="G544" s="18" t="e">
        <f ca="1">_xll.BDP(C544,"CRNCY")</f>
        <v>#NAME?</v>
      </c>
      <c r="H544" s="22" t="e">
        <f ca="1">_xll.BDH(C544,"PX_LAST",N544)</f>
        <v>#NAME?</v>
      </c>
      <c r="I544" s="15" t="e">
        <f t="shared" ca="1" si="152"/>
        <v>#NAME?</v>
      </c>
      <c r="J544" s="16" t="e">
        <f t="shared" ca="1" si="153"/>
        <v>#NAME?</v>
      </c>
      <c r="K544" s="15" t="e">
        <f t="shared" ca="1" si="154"/>
        <v>#NAME?</v>
      </c>
      <c r="L544" s="22" t="e">
        <f ca="1">_xll.BDH("RUB curncy","PX_LAST",$N544)</f>
        <v>#NAME?</v>
      </c>
      <c r="M544" s="85" t="e">
        <f ca="1">1/_xll.BDH("RUB curncy","PX_LAST",$N544)</f>
        <v>#NAME?</v>
      </c>
      <c r="N544" s="14">
        <v>41515</v>
      </c>
    </row>
    <row r="545" spans="2:14" x14ac:dyDescent="0.2">
      <c r="B545" s="21" t="s">
        <v>126</v>
      </c>
      <c r="C545" s="20" t="s">
        <v>125</v>
      </c>
      <c r="D545" s="18" t="e">
        <f ca="1">_xll.BDP(C545,"SECURITY_NAME")</f>
        <v>#NAME?</v>
      </c>
      <c r="E545" s="18" t="s">
        <v>50</v>
      </c>
      <c r="F545" s="19">
        <v>146400</v>
      </c>
      <c r="G545" s="18" t="e">
        <f ca="1">_xll.BDP(C545,"CRNCY")</f>
        <v>#NAME?</v>
      </c>
      <c r="H545" s="22" t="e">
        <f ca="1">_xll.BDH(C545,"PX_LAST",N545)</f>
        <v>#NAME?</v>
      </c>
      <c r="I545" s="15" t="e">
        <f t="shared" ca="1" si="152"/>
        <v>#NAME?</v>
      </c>
      <c r="J545" s="16" t="e">
        <f t="shared" ca="1" si="153"/>
        <v>#NAME?</v>
      </c>
      <c r="K545" s="15" t="e">
        <f t="shared" ca="1" si="154"/>
        <v>#NAME?</v>
      </c>
      <c r="L545" s="22" t="e">
        <f ca="1">_xll.BDH("RUB curncy","PX_LAST",$N545)</f>
        <v>#NAME?</v>
      </c>
      <c r="M545" s="85" t="e">
        <f ca="1">1/_xll.BDH("RUB curncy","PX_LAST",$N545)</f>
        <v>#NAME?</v>
      </c>
      <c r="N545" s="14">
        <v>41514</v>
      </c>
    </row>
    <row r="546" spans="2:14" x14ac:dyDescent="0.2">
      <c r="B546" s="21" t="s">
        <v>126</v>
      </c>
      <c r="C546" s="20" t="s">
        <v>125</v>
      </c>
      <c r="D546" s="18" t="e">
        <f ca="1">_xll.BDP(C546,"SECURITY_NAME")</f>
        <v>#NAME?</v>
      </c>
      <c r="E546" s="18" t="s">
        <v>50</v>
      </c>
      <c r="F546" s="19">
        <v>27200</v>
      </c>
      <c r="G546" s="18" t="e">
        <f ca="1">_xll.BDP(C546,"CRNCY")</f>
        <v>#NAME?</v>
      </c>
      <c r="H546" s="22" t="e">
        <f ca="1">_xll.BDH(C546,"PX_LAST",N546)</f>
        <v>#NAME?</v>
      </c>
      <c r="I546" s="15" t="e">
        <f t="shared" ca="1" si="152"/>
        <v>#NAME?</v>
      </c>
      <c r="J546" s="16" t="e">
        <f t="shared" ca="1" si="153"/>
        <v>#NAME?</v>
      </c>
      <c r="K546" s="15" t="e">
        <f t="shared" ca="1" si="154"/>
        <v>#NAME?</v>
      </c>
      <c r="L546" s="22" t="e">
        <f ca="1">_xll.BDH("RUB curncy","PX_LAST",$N546)</f>
        <v>#NAME?</v>
      </c>
      <c r="M546" s="85" t="e">
        <f ca="1">1/_xll.BDH("RUB curncy","PX_LAST",$N546)</f>
        <v>#NAME?</v>
      </c>
      <c r="N546" s="14">
        <v>41513</v>
      </c>
    </row>
    <row r="547" spans="2:14" x14ac:dyDescent="0.2">
      <c r="B547" s="21" t="s">
        <v>126</v>
      </c>
      <c r="C547" s="20" t="s">
        <v>125</v>
      </c>
      <c r="D547" s="18" t="e">
        <f ca="1">_xll.BDP(C547,"SECURITY_NAME")</f>
        <v>#NAME?</v>
      </c>
      <c r="E547" s="18" t="s">
        <v>50</v>
      </c>
      <c r="F547" s="19">
        <v>21600</v>
      </c>
      <c r="G547" s="18" t="e">
        <f ca="1">_xll.BDP(C547,"CRNCY")</f>
        <v>#NAME?</v>
      </c>
      <c r="H547" s="22" t="e">
        <f ca="1">_xll.BDH(C547,"PX_LAST",N547)</f>
        <v>#NAME?</v>
      </c>
      <c r="I547" s="15" t="e">
        <f t="shared" ca="1" si="152"/>
        <v>#NAME?</v>
      </c>
      <c r="J547" s="16" t="e">
        <f t="shared" ca="1" si="153"/>
        <v>#NAME?</v>
      </c>
      <c r="K547" s="15" t="e">
        <f t="shared" ca="1" si="154"/>
        <v>#NAME?</v>
      </c>
      <c r="L547" s="22" t="e">
        <f ca="1">_xll.BDH("RUB curncy","PX_LAST",$N547)</f>
        <v>#NAME?</v>
      </c>
      <c r="M547" s="85" t="e">
        <f ca="1">1/_xll.BDH("RUB curncy","PX_LAST",$N547)</f>
        <v>#NAME?</v>
      </c>
      <c r="N547" s="14">
        <v>41512</v>
      </c>
    </row>
    <row r="548" spans="2:14" x14ac:dyDescent="0.2">
      <c r="B548" s="21" t="s">
        <v>126</v>
      </c>
      <c r="C548" s="20" t="s">
        <v>125</v>
      </c>
      <c r="D548" s="18" t="e">
        <f ca="1">_xll.BDP(C548,"SECURITY_NAME")</f>
        <v>#NAME?</v>
      </c>
      <c r="E548" s="18" t="s">
        <v>50</v>
      </c>
      <c r="F548" s="19">
        <v>148000</v>
      </c>
      <c r="G548" s="18" t="e">
        <f ca="1">_xll.BDP(C548,"CRNCY")</f>
        <v>#NAME?</v>
      </c>
      <c r="H548" s="22" t="e">
        <f ca="1">_xll.BDH(C548,"PX_LAST",N548)</f>
        <v>#NAME?</v>
      </c>
      <c r="I548" s="15" t="e">
        <f t="shared" ca="1" si="152"/>
        <v>#NAME?</v>
      </c>
      <c r="J548" s="16" t="e">
        <f t="shared" ca="1" si="153"/>
        <v>#NAME?</v>
      </c>
      <c r="K548" s="15" t="e">
        <f t="shared" ca="1" si="154"/>
        <v>#NAME?</v>
      </c>
      <c r="L548" s="22" t="e">
        <f ca="1">_xll.BDH("RUB curncy","PX_LAST",$N548)</f>
        <v>#NAME?</v>
      </c>
      <c r="M548" s="85" t="e">
        <f ca="1">1/_xll.BDH("RUB curncy","PX_LAST",$N548)</f>
        <v>#NAME?</v>
      </c>
      <c r="N548" s="14">
        <v>41444</v>
      </c>
    </row>
    <row r="549" spans="2:14" x14ac:dyDescent="0.2">
      <c r="B549" s="21" t="s">
        <v>126</v>
      </c>
      <c r="C549" s="20" t="s">
        <v>125</v>
      </c>
      <c r="D549" s="18" t="e">
        <f ca="1">_xll.BDP(C549,"SECURITY_NAME")</f>
        <v>#NAME?</v>
      </c>
      <c r="E549" s="18" t="s">
        <v>50</v>
      </c>
      <c r="F549" s="19">
        <v>44000</v>
      </c>
      <c r="G549" s="18" t="e">
        <f ca="1">_xll.BDP(C549,"CRNCY")</f>
        <v>#NAME?</v>
      </c>
      <c r="H549" s="22" t="e">
        <f ca="1">_xll.BDH(C549,"PX_LAST",N549)</f>
        <v>#NAME?</v>
      </c>
      <c r="I549" s="15" t="e">
        <f t="shared" ca="1" si="152"/>
        <v>#NAME?</v>
      </c>
      <c r="J549" s="16" t="e">
        <f t="shared" ca="1" si="153"/>
        <v>#NAME?</v>
      </c>
      <c r="K549" s="15" t="e">
        <f t="shared" ca="1" si="154"/>
        <v>#NAME?</v>
      </c>
      <c r="L549" s="22" t="e">
        <f ca="1">_xll.BDH("RUB curncy","PX_LAST",$N549)</f>
        <v>#NAME?</v>
      </c>
      <c r="M549" s="85" t="e">
        <f ca="1">1/_xll.BDH("RUB curncy","PX_LAST",$N549)</f>
        <v>#NAME?</v>
      </c>
      <c r="N549" s="14">
        <v>41430</v>
      </c>
    </row>
    <row r="550" spans="2:14" x14ac:dyDescent="0.2">
      <c r="B550" s="21" t="s">
        <v>126</v>
      </c>
      <c r="C550" s="20" t="s">
        <v>125</v>
      </c>
      <c r="D550" s="18" t="e">
        <f ca="1">_xll.BDP(C550,"SECURITY_NAME")</f>
        <v>#NAME?</v>
      </c>
      <c r="E550" s="18" t="s">
        <v>50</v>
      </c>
      <c r="F550" s="19">
        <v>64300</v>
      </c>
      <c r="G550" s="18" t="e">
        <f ca="1">_xll.BDP(C550,"CRNCY")</f>
        <v>#NAME?</v>
      </c>
      <c r="H550" s="22" t="e">
        <f ca="1">_xll.BDH(C550,"PX_LAST",N550)</f>
        <v>#NAME?</v>
      </c>
      <c r="I550" s="15" t="e">
        <f t="shared" ca="1" si="152"/>
        <v>#NAME?</v>
      </c>
      <c r="J550" s="16" t="e">
        <f t="shared" ca="1" si="153"/>
        <v>#NAME?</v>
      </c>
      <c r="K550" s="15" t="e">
        <f t="shared" ca="1" si="154"/>
        <v>#NAME?</v>
      </c>
      <c r="L550" s="22" t="e">
        <f ca="1">_xll.BDH("RUB curncy","PX_LAST",$N550)</f>
        <v>#NAME?</v>
      </c>
      <c r="M550" s="85" t="e">
        <f ca="1">1/_xll.BDH("RUB curncy","PX_LAST",$N550)</f>
        <v>#NAME?</v>
      </c>
      <c r="N550" s="14">
        <v>41393</v>
      </c>
    </row>
    <row r="551" spans="2:14" x14ac:dyDescent="0.2">
      <c r="B551" s="21" t="s">
        <v>126</v>
      </c>
      <c r="C551" s="20" t="s">
        <v>125</v>
      </c>
      <c r="D551" s="18" t="e">
        <f ca="1">_xll.BDP(C551,"SECURITY_NAME")</f>
        <v>#NAME?</v>
      </c>
      <c r="E551" s="18" t="s">
        <v>50</v>
      </c>
      <c r="F551" s="19">
        <v>148000</v>
      </c>
      <c r="G551" s="18" t="e">
        <f ca="1">_xll.BDP(C551,"CRNCY")</f>
        <v>#NAME?</v>
      </c>
      <c r="H551" s="22" t="e">
        <f ca="1">_xll.BDH(C551,"PX_LAST",N551)</f>
        <v>#NAME?</v>
      </c>
      <c r="I551" s="15" t="e">
        <f t="shared" ca="1" si="152"/>
        <v>#NAME?</v>
      </c>
      <c r="J551" s="16" t="e">
        <f t="shared" ca="1" si="153"/>
        <v>#NAME?</v>
      </c>
      <c r="K551" s="15" t="e">
        <f t="shared" ca="1" si="154"/>
        <v>#NAME?</v>
      </c>
      <c r="L551" s="22" t="e">
        <f ca="1">_xll.BDH("RUB curncy","PX_LAST",$N551)</f>
        <v>#NAME?</v>
      </c>
      <c r="M551" s="85" t="e">
        <f ca="1">1/_xll.BDH("RUB curncy","PX_LAST",$N551)</f>
        <v>#NAME?</v>
      </c>
      <c r="N551" s="14">
        <v>41387</v>
      </c>
    </row>
    <row r="552" spans="2:14" x14ac:dyDescent="0.2">
      <c r="B552" s="21" t="s">
        <v>126</v>
      </c>
      <c r="C552" s="20" t="s">
        <v>125</v>
      </c>
      <c r="D552" s="18" t="e">
        <f ca="1">_xll.BDP(C552,"SECURITY_NAME")</f>
        <v>#NAME?</v>
      </c>
      <c r="E552" s="18" t="s">
        <v>50</v>
      </c>
      <c r="F552" s="19">
        <v>30300</v>
      </c>
      <c r="G552" s="18" t="e">
        <f ca="1">_xll.BDP(C552,"CRNCY")</f>
        <v>#NAME?</v>
      </c>
      <c r="H552" s="22" t="e">
        <f ca="1">_xll.BDH(C552,"PX_LAST",N552)</f>
        <v>#NAME?</v>
      </c>
      <c r="I552" s="15" t="e">
        <f t="shared" ca="1" si="152"/>
        <v>#NAME?</v>
      </c>
      <c r="J552" s="16" t="e">
        <f t="shared" ca="1" si="153"/>
        <v>#NAME?</v>
      </c>
      <c r="K552" s="15" t="e">
        <f t="shared" ca="1" si="154"/>
        <v>#NAME?</v>
      </c>
      <c r="L552" s="22" t="e">
        <f ca="1">_xll.BDH("RUB curncy","PX_LAST",$N552)</f>
        <v>#NAME?</v>
      </c>
      <c r="M552" s="85" t="e">
        <f ca="1">1/_xll.BDH("RUB curncy","PX_LAST",$N552)</f>
        <v>#NAME?</v>
      </c>
      <c r="N552" s="14">
        <v>41382</v>
      </c>
    </row>
    <row r="553" spans="2:14" x14ac:dyDescent="0.2">
      <c r="B553" s="21" t="s">
        <v>126</v>
      </c>
      <c r="C553" s="20" t="s">
        <v>125</v>
      </c>
      <c r="D553" s="18" t="e">
        <f ca="1">_xll.BDP(C553,"SECURITY_NAME")</f>
        <v>#NAME?</v>
      </c>
      <c r="E553" s="18" t="s">
        <v>50</v>
      </c>
      <c r="F553" s="19">
        <v>34000</v>
      </c>
      <c r="G553" s="18" t="e">
        <f ca="1">_xll.BDP(C553,"CRNCY")</f>
        <v>#NAME?</v>
      </c>
      <c r="H553" s="22" t="e">
        <f ca="1">_xll.BDH(C553,"PX_LAST",N553)</f>
        <v>#NAME?</v>
      </c>
      <c r="I553" s="15" t="e">
        <f t="shared" ca="1" si="152"/>
        <v>#NAME?</v>
      </c>
      <c r="J553" s="16" t="e">
        <f t="shared" ca="1" si="153"/>
        <v>#NAME?</v>
      </c>
      <c r="K553" s="15" t="e">
        <f t="shared" ca="1" si="154"/>
        <v>#NAME?</v>
      </c>
      <c r="L553" s="22" t="e">
        <f ca="1">_xll.BDH("RUB curncy","PX_LAST",$N553)</f>
        <v>#NAME?</v>
      </c>
      <c r="M553" s="85" t="e">
        <f ca="1">1/_xll.BDH("RUB curncy","PX_LAST",$N553)</f>
        <v>#NAME?</v>
      </c>
      <c r="N553" s="14">
        <v>41376</v>
      </c>
    </row>
    <row r="554" spans="2:14" x14ac:dyDescent="0.2">
      <c r="B554" s="21" t="s">
        <v>126</v>
      </c>
      <c r="C554" s="20" t="s">
        <v>125</v>
      </c>
      <c r="D554" s="18" t="e">
        <f ca="1">_xll.BDP(C554,"SECURITY_NAME")</f>
        <v>#NAME?</v>
      </c>
      <c r="E554" s="18" t="s">
        <v>50</v>
      </c>
      <c r="F554" s="19">
        <v>33500</v>
      </c>
      <c r="G554" s="18" t="e">
        <f ca="1">_xll.BDP(C554,"CRNCY")</f>
        <v>#NAME?</v>
      </c>
      <c r="H554" s="22" t="e">
        <f ca="1">_xll.BDH(C554,"PX_LAST",N554)</f>
        <v>#NAME?</v>
      </c>
      <c r="I554" s="15" t="e">
        <f t="shared" ca="1" si="152"/>
        <v>#NAME?</v>
      </c>
      <c r="J554" s="16" t="e">
        <f t="shared" ca="1" si="153"/>
        <v>#NAME?</v>
      </c>
      <c r="K554" s="15" t="e">
        <f t="shared" ca="1" si="154"/>
        <v>#NAME?</v>
      </c>
      <c r="L554" s="22" t="e">
        <f ca="1">_xll.BDH("RUB curncy","PX_LAST",$N554)</f>
        <v>#NAME?</v>
      </c>
      <c r="M554" s="85" t="e">
        <f ca="1">1/_xll.BDH("RUB curncy","PX_LAST",$N554)</f>
        <v>#NAME?</v>
      </c>
      <c r="N554" s="14">
        <v>41369</v>
      </c>
    </row>
    <row r="555" spans="2:14" x14ac:dyDescent="0.2">
      <c r="B555" s="21" t="s">
        <v>126</v>
      </c>
      <c r="C555" s="20" t="s">
        <v>125</v>
      </c>
      <c r="D555" s="18" t="e">
        <f ca="1">_xll.BDP(C555,"SECURITY_NAME")</f>
        <v>#NAME?</v>
      </c>
      <c r="E555" s="18" t="s">
        <v>50</v>
      </c>
      <c r="F555" s="19">
        <v>68000</v>
      </c>
      <c r="G555" s="18" t="e">
        <f ca="1">_xll.BDP(C555,"CRNCY")</f>
        <v>#NAME?</v>
      </c>
      <c r="H555" s="22" t="e">
        <f ca="1">_xll.BDH(C555,"PX_LAST",N555)</f>
        <v>#NAME?</v>
      </c>
      <c r="I555" s="15" t="e">
        <f t="shared" ca="1" si="152"/>
        <v>#NAME?</v>
      </c>
      <c r="J555" s="16" t="e">
        <f t="shared" ca="1" si="153"/>
        <v>#NAME?</v>
      </c>
      <c r="K555" s="15" t="e">
        <f t="shared" ca="1" si="154"/>
        <v>#NAME?</v>
      </c>
      <c r="L555" s="22" t="e">
        <f ca="1">_xll.BDH("RUB curncy","PX_LAST",$N555)</f>
        <v>#NAME?</v>
      </c>
      <c r="M555" s="85" t="e">
        <f ca="1">1/_xll.BDH("RUB curncy","PX_LAST",$N555)</f>
        <v>#NAME?</v>
      </c>
      <c r="N555" s="14">
        <v>41227</v>
      </c>
    </row>
    <row r="556" spans="2:14" x14ac:dyDescent="0.2">
      <c r="B556" s="21" t="s">
        <v>126</v>
      </c>
      <c r="C556" s="20" t="s">
        <v>125</v>
      </c>
      <c r="D556" s="18" t="e">
        <f ca="1">_xll.BDP(C556,"SECURITY_NAME")</f>
        <v>#NAME?</v>
      </c>
      <c r="E556" s="18" t="s">
        <v>50</v>
      </c>
      <c r="F556" s="19">
        <v>30000</v>
      </c>
      <c r="G556" s="18" t="e">
        <f ca="1">_xll.BDP(C556,"CRNCY")</f>
        <v>#NAME?</v>
      </c>
      <c r="H556" s="22" t="e">
        <f ca="1">_xll.BDH(C556,"PX_LAST",N556)</f>
        <v>#NAME?</v>
      </c>
      <c r="I556" s="15" t="e">
        <f t="shared" ca="1" si="152"/>
        <v>#NAME?</v>
      </c>
      <c r="J556" s="16" t="e">
        <f t="shared" ca="1" si="153"/>
        <v>#NAME?</v>
      </c>
      <c r="K556" s="15" t="e">
        <f t="shared" ca="1" si="154"/>
        <v>#NAME?</v>
      </c>
      <c r="L556" s="22" t="e">
        <f ca="1">_xll.BDH("RUB curncy","PX_LAST",$N556)</f>
        <v>#NAME?</v>
      </c>
      <c r="M556" s="85" t="e">
        <f ca="1">1/_xll.BDH("RUB curncy","PX_LAST",$N556)</f>
        <v>#NAME?</v>
      </c>
      <c r="N556" s="14">
        <v>41214</v>
      </c>
    </row>
    <row r="557" spans="2:14" x14ac:dyDescent="0.2">
      <c r="B557" s="21" t="s">
        <v>126</v>
      </c>
      <c r="C557" s="20" t="s">
        <v>125</v>
      </c>
      <c r="D557" s="18" t="e">
        <f ca="1">_xll.BDP(C557,"SECURITY_NAME")</f>
        <v>#NAME?</v>
      </c>
      <c r="E557" s="18" t="s">
        <v>50</v>
      </c>
      <c r="F557" s="19">
        <v>100000</v>
      </c>
      <c r="G557" s="18" t="e">
        <f ca="1">_xll.BDP(C557,"CRNCY")</f>
        <v>#NAME?</v>
      </c>
      <c r="H557" s="22" t="e">
        <f ca="1">_xll.BDH(C557,"PX_LAST",N557)</f>
        <v>#NAME?</v>
      </c>
      <c r="I557" s="15" t="e">
        <f t="shared" ca="1" si="152"/>
        <v>#NAME?</v>
      </c>
      <c r="J557" s="16" t="e">
        <f t="shared" ca="1" si="153"/>
        <v>#NAME?</v>
      </c>
      <c r="K557" s="15" t="e">
        <f t="shared" ca="1" si="154"/>
        <v>#NAME?</v>
      </c>
      <c r="L557" s="22" t="e">
        <f ca="1">_xll.BDH("RUB curncy","PX_LAST",$N557)</f>
        <v>#NAME?</v>
      </c>
      <c r="M557" s="85" t="e">
        <f ca="1">1/_xll.BDH("RUB curncy","PX_LAST",$N557)</f>
        <v>#NAME?</v>
      </c>
      <c r="N557" s="14">
        <v>41213</v>
      </c>
    </row>
    <row r="558" spans="2:14" x14ac:dyDescent="0.2">
      <c r="B558" s="21" t="s">
        <v>126</v>
      </c>
      <c r="C558" s="20" t="s">
        <v>125</v>
      </c>
      <c r="D558" s="18" t="e">
        <f ca="1">_xll.BDP(C558,"SECURITY_NAME")</f>
        <v>#NAME?</v>
      </c>
      <c r="E558" s="18" t="s">
        <v>50</v>
      </c>
      <c r="F558" s="19">
        <v>49700</v>
      </c>
      <c r="G558" s="18" t="e">
        <f ca="1">_xll.BDP(C558,"CRNCY")</f>
        <v>#NAME?</v>
      </c>
      <c r="H558" s="22" t="e">
        <f ca="1">_xll.BDH(C558,"PX_LAST",N558)</f>
        <v>#NAME?</v>
      </c>
      <c r="I558" s="15" t="e">
        <f t="shared" ca="1" si="152"/>
        <v>#NAME?</v>
      </c>
      <c r="J558" s="16" t="e">
        <f t="shared" ca="1" si="153"/>
        <v>#NAME?</v>
      </c>
      <c r="K558" s="15" t="e">
        <f t="shared" ca="1" si="154"/>
        <v>#NAME?</v>
      </c>
      <c r="L558" s="22" t="e">
        <f ca="1">_xll.BDH("RUB curncy","PX_LAST",$N558)</f>
        <v>#NAME?</v>
      </c>
      <c r="M558" s="85" t="e">
        <f ca="1">1/_xll.BDH("RUB curncy","PX_LAST",$N558)</f>
        <v>#NAME?</v>
      </c>
      <c r="N558" s="14">
        <v>41206</v>
      </c>
    </row>
    <row r="559" spans="2:14" x14ac:dyDescent="0.2">
      <c r="B559" s="21" t="s">
        <v>126</v>
      </c>
      <c r="C559" s="20" t="s">
        <v>125</v>
      </c>
      <c r="D559" s="18" t="e">
        <f ca="1">_xll.BDP(C559,"SECURITY_NAME")</f>
        <v>#NAME?</v>
      </c>
      <c r="E559" s="18" t="s">
        <v>50</v>
      </c>
      <c r="F559" s="19">
        <v>154300</v>
      </c>
      <c r="G559" s="18" t="e">
        <f ca="1">_xll.BDP(C559,"CRNCY")</f>
        <v>#NAME?</v>
      </c>
      <c r="H559" s="22" t="e">
        <f ca="1">_xll.BDH(C559,"PX_LAST",N559)</f>
        <v>#NAME?</v>
      </c>
      <c r="I559" s="15" t="e">
        <f t="shared" ca="1" si="152"/>
        <v>#NAME?</v>
      </c>
      <c r="J559" s="16" t="e">
        <f t="shared" ca="1" si="153"/>
        <v>#NAME?</v>
      </c>
      <c r="K559" s="15" t="e">
        <f t="shared" ca="1" si="154"/>
        <v>#NAME?</v>
      </c>
      <c r="L559" s="22" t="e">
        <f ca="1">_xll.BDH("RUB curncy","PX_LAST",$N559)</f>
        <v>#NAME?</v>
      </c>
      <c r="M559" s="85" t="e">
        <f ca="1">1/_xll.BDH("RUB curncy","PX_LAST",$N559)</f>
        <v>#NAME?</v>
      </c>
      <c r="N559" s="14">
        <v>41205</v>
      </c>
    </row>
    <row r="560" spans="2:14" x14ac:dyDescent="0.2">
      <c r="B560" s="21" t="s">
        <v>126</v>
      </c>
      <c r="C560" s="20" t="s">
        <v>125</v>
      </c>
      <c r="D560" s="18" t="e">
        <f ca="1">_xll.BDP(C560,"SECURITY_NAME")</f>
        <v>#NAME?</v>
      </c>
      <c r="E560" s="18" t="s">
        <v>50</v>
      </c>
      <c r="F560" s="19">
        <v>11900</v>
      </c>
      <c r="G560" s="18" t="e">
        <f ca="1">_xll.BDP(C560,"CRNCY")</f>
        <v>#NAME?</v>
      </c>
      <c r="H560" s="22" t="e">
        <f ca="1">_xll.BDH(C560,"PX_LAST",N560)</f>
        <v>#NAME?</v>
      </c>
      <c r="I560" s="15" t="e">
        <f t="shared" ca="1" si="152"/>
        <v>#NAME?</v>
      </c>
      <c r="J560" s="16" t="e">
        <f t="shared" ca="1" si="153"/>
        <v>#NAME?</v>
      </c>
      <c r="K560" s="15" t="e">
        <f t="shared" ca="1" si="154"/>
        <v>#NAME?</v>
      </c>
      <c r="L560" s="22" t="e">
        <f ca="1">_xll.BDH("RUB curncy","PX_LAST",$N560)</f>
        <v>#NAME?</v>
      </c>
      <c r="M560" s="85" t="e">
        <f ca="1">1/_xll.BDH("RUB curncy","PX_LAST",$N560)</f>
        <v>#NAME?</v>
      </c>
      <c r="N560" s="14">
        <v>41201</v>
      </c>
    </row>
    <row r="561" spans="2:14" x14ac:dyDescent="0.2">
      <c r="B561" s="21" t="s">
        <v>126</v>
      </c>
      <c r="C561" s="20" t="s">
        <v>125</v>
      </c>
      <c r="D561" s="18" t="e">
        <f ca="1">_xll.BDP(C561,"SECURITY_NAME")</f>
        <v>#NAME?</v>
      </c>
      <c r="E561" s="18" t="s">
        <v>50</v>
      </c>
      <c r="F561" s="19">
        <v>254500</v>
      </c>
      <c r="G561" s="18" t="e">
        <f ca="1">_xll.BDP(C561,"CRNCY")</f>
        <v>#NAME?</v>
      </c>
      <c r="H561" s="22" t="e">
        <f ca="1">_xll.BDH(C561,"PX_LAST",N561)</f>
        <v>#NAME?</v>
      </c>
      <c r="I561" s="15" t="e">
        <f t="shared" ca="1" si="152"/>
        <v>#NAME?</v>
      </c>
      <c r="J561" s="16" t="e">
        <f t="shared" ca="1" si="153"/>
        <v>#NAME?</v>
      </c>
      <c r="K561" s="15" t="e">
        <f t="shared" ca="1" si="154"/>
        <v>#NAME?</v>
      </c>
      <c r="L561" s="22" t="e">
        <f ca="1">_xll.BDH("RUB curncy","PX_LAST",$N561)</f>
        <v>#NAME?</v>
      </c>
      <c r="M561" s="85" t="e">
        <f ca="1">1/_xll.BDH("RUB curncy","PX_LAST",$N561)</f>
        <v>#NAME?</v>
      </c>
      <c r="N561" s="14">
        <v>41194</v>
      </c>
    </row>
    <row r="562" spans="2:14" x14ac:dyDescent="0.2">
      <c r="B562" s="21" t="s">
        <v>126</v>
      </c>
      <c r="C562" s="20" t="s">
        <v>125</v>
      </c>
      <c r="D562" s="18" t="e">
        <f ca="1">_xll.BDP(C562,"SECURITY_NAME")</f>
        <v>#NAME?</v>
      </c>
      <c r="E562" s="18" t="s">
        <v>50</v>
      </c>
      <c r="F562" s="19">
        <v>10000</v>
      </c>
      <c r="G562" s="18" t="e">
        <f ca="1">_xll.BDP(C562,"CRNCY")</f>
        <v>#NAME?</v>
      </c>
      <c r="H562" s="22" t="e">
        <f ca="1">_xll.BDH(C562,"PX_LAST",N562)</f>
        <v>#NAME?</v>
      </c>
      <c r="I562" s="15" t="e">
        <f t="shared" ca="1" si="152"/>
        <v>#NAME?</v>
      </c>
      <c r="J562" s="16" t="e">
        <f t="shared" ca="1" si="153"/>
        <v>#NAME?</v>
      </c>
      <c r="K562" s="15" t="e">
        <f t="shared" ca="1" si="154"/>
        <v>#NAME?</v>
      </c>
      <c r="L562" s="22" t="e">
        <f ca="1">_xll.BDH("RUB curncy","PX_LAST",$N562)</f>
        <v>#NAME?</v>
      </c>
      <c r="M562" s="85" t="e">
        <f ca="1">1/_xll.BDH("RUB curncy","PX_LAST",$N562)</f>
        <v>#NAME?</v>
      </c>
      <c r="N562" s="14">
        <v>41192</v>
      </c>
    </row>
    <row r="563" spans="2:14" x14ac:dyDescent="0.2">
      <c r="B563" s="21" t="s">
        <v>126</v>
      </c>
      <c r="C563" s="20" t="s">
        <v>125</v>
      </c>
      <c r="D563" s="18" t="e">
        <f ca="1">_xll.BDP(C563,"SECURITY_NAME")</f>
        <v>#NAME?</v>
      </c>
      <c r="E563" s="18" t="s">
        <v>50</v>
      </c>
      <c r="F563" s="19">
        <v>68500</v>
      </c>
      <c r="G563" s="18" t="e">
        <f ca="1">_xll.BDP(C563,"CRNCY")</f>
        <v>#NAME?</v>
      </c>
      <c r="H563" s="22" t="e">
        <f ca="1">_xll.BDH(C563,"PX_LAST",N563)</f>
        <v>#NAME?</v>
      </c>
      <c r="I563" s="15" t="e">
        <f t="shared" ca="1" si="152"/>
        <v>#NAME?</v>
      </c>
      <c r="J563" s="16" t="e">
        <f t="shared" ca="1" si="153"/>
        <v>#NAME?</v>
      </c>
      <c r="K563" s="15" t="e">
        <f t="shared" ca="1" si="154"/>
        <v>#NAME?</v>
      </c>
      <c r="L563" s="22" t="e">
        <f ca="1">_xll.BDH("RUB curncy","PX_LAST",$N563)</f>
        <v>#NAME?</v>
      </c>
      <c r="M563" s="85" t="e">
        <f ca="1">1/_xll.BDH("RUB curncy","PX_LAST",$N563)</f>
        <v>#NAME?</v>
      </c>
      <c r="N563" s="14">
        <v>41172</v>
      </c>
    </row>
    <row r="564" spans="2:14" x14ac:dyDescent="0.2">
      <c r="B564" s="21" t="s">
        <v>126</v>
      </c>
      <c r="C564" s="20" t="s">
        <v>125</v>
      </c>
      <c r="D564" s="18" t="e">
        <f ca="1">_xll.BDP(C564,"SECURITY_NAME")</f>
        <v>#NAME?</v>
      </c>
      <c r="E564" s="18" t="s">
        <v>50</v>
      </c>
      <c r="F564" s="19">
        <v>70000</v>
      </c>
      <c r="G564" s="18" t="e">
        <f ca="1">_xll.BDP(C564,"CRNCY")</f>
        <v>#NAME?</v>
      </c>
      <c r="H564" s="22" t="e">
        <f ca="1">_xll.BDH(C564,"PX_LAST",N564)</f>
        <v>#NAME?</v>
      </c>
      <c r="I564" s="15" t="e">
        <f t="shared" ca="1" si="152"/>
        <v>#NAME?</v>
      </c>
      <c r="J564" s="16" t="e">
        <f t="shared" ca="1" si="153"/>
        <v>#NAME?</v>
      </c>
      <c r="K564" s="15" t="e">
        <f t="shared" ca="1" si="154"/>
        <v>#NAME?</v>
      </c>
      <c r="L564" s="22" t="e">
        <f ca="1">_xll.BDH("RUB curncy","PX_LAST",$N564)</f>
        <v>#NAME?</v>
      </c>
      <c r="M564" s="85" t="e">
        <f ca="1">1/_xll.BDH("RUB curncy","PX_LAST",$N564)</f>
        <v>#NAME?</v>
      </c>
      <c r="N564" s="14">
        <v>41159</v>
      </c>
    </row>
    <row r="565" spans="2:14" x14ac:dyDescent="0.2">
      <c r="B565" s="21" t="s">
        <v>126</v>
      </c>
      <c r="C565" s="20" t="s">
        <v>125</v>
      </c>
      <c r="D565" s="18" t="e">
        <f ca="1">_xll.BDP(C565,"SECURITY_NAME")</f>
        <v>#NAME?</v>
      </c>
      <c r="E565" s="18" t="s">
        <v>50</v>
      </c>
      <c r="F565" s="19">
        <v>70000</v>
      </c>
      <c r="G565" s="18" t="e">
        <f ca="1">_xll.BDP(C565,"CRNCY")</f>
        <v>#NAME?</v>
      </c>
      <c r="H565" s="22" t="e">
        <f ca="1">_xll.BDH(C565,"PX_LAST",N565)</f>
        <v>#NAME?</v>
      </c>
      <c r="I565" s="15" t="e">
        <f t="shared" ca="1" si="152"/>
        <v>#NAME?</v>
      </c>
      <c r="J565" s="16" t="e">
        <f t="shared" ca="1" si="153"/>
        <v>#NAME?</v>
      </c>
      <c r="K565" s="15" t="e">
        <f t="shared" ca="1" si="154"/>
        <v>#NAME?</v>
      </c>
      <c r="L565" s="22" t="e">
        <f ca="1">_xll.BDH("RUB curncy","PX_LAST",$N565)</f>
        <v>#NAME?</v>
      </c>
      <c r="M565" s="85" t="e">
        <f ca="1">1/_xll.BDH("RUB curncy","PX_LAST",$N565)</f>
        <v>#NAME?</v>
      </c>
      <c r="N565" s="14">
        <v>41158</v>
      </c>
    </row>
    <row r="566" spans="2:14" x14ac:dyDescent="0.2">
      <c r="B566" s="21" t="s">
        <v>126</v>
      </c>
      <c r="C566" s="20" t="s">
        <v>125</v>
      </c>
      <c r="D566" s="18" t="e">
        <f ca="1">_xll.BDP(C566,"SECURITY_NAME")</f>
        <v>#NAME?</v>
      </c>
      <c r="E566" s="18" t="s">
        <v>50</v>
      </c>
      <c r="F566" s="19">
        <v>70000</v>
      </c>
      <c r="G566" s="18" t="e">
        <f ca="1">_xll.BDP(C566,"CRNCY")</f>
        <v>#NAME?</v>
      </c>
      <c r="H566" s="22" t="e">
        <f ca="1">_xll.BDH(C566,"PX_LAST",N566)</f>
        <v>#NAME?</v>
      </c>
      <c r="I566" s="15" t="e">
        <f t="shared" ca="1" si="152"/>
        <v>#NAME?</v>
      </c>
      <c r="J566" s="16" t="e">
        <f t="shared" ca="1" si="153"/>
        <v>#NAME?</v>
      </c>
      <c r="K566" s="15" t="e">
        <f t="shared" ca="1" si="154"/>
        <v>#NAME?</v>
      </c>
      <c r="L566" s="22" t="e">
        <f ca="1">_xll.BDH("RUB curncy","PX_LAST",$N566)</f>
        <v>#NAME?</v>
      </c>
      <c r="M566" s="85" t="e">
        <f ca="1">1/_xll.BDH("RUB curncy","PX_LAST",$N566)</f>
        <v>#NAME?</v>
      </c>
      <c r="N566" s="14">
        <v>41157</v>
      </c>
    </row>
    <row r="567" spans="2:14" x14ac:dyDescent="0.2">
      <c r="B567" s="21" t="s">
        <v>126</v>
      </c>
      <c r="C567" s="20" t="s">
        <v>125</v>
      </c>
      <c r="D567" s="18" t="e">
        <f ca="1">_xll.BDP(C567,"SECURITY_NAME")</f>
        <v>#NAME?</v>
      </c>
      <c r="E567" s="18" t="s">
        <v>50</v>
      </c>
      <c r="F567" s="19">
        <v>2200</v>
      </c>
      <c r="G567" s="18" t="e">
        <f ca="1">_xll.BDP(C567,"CRNCY")</f>
        <v>#NAME?</v>
      </c>
      <c r="H567" s="22" t="e">
        <f ca="1">_xll.BDH(C567,"PX_LAST",N567)</f>
        <v>#NAME?</v>
      </c>
      <c r="I567" s="15" t="e">
        <f t="shared" ca="1" si="152"/>
        <v>#NAME?</v>
      </c>
      <c r="J567" s="16" t="e">
        <f t="shared" ca="1" si="153"/>
        <v>#NAME?</v>
      </c>
      <c r="K567" s="15" t="e">
        <f t="shared" ca="1" si="154"/>
        <v>#NAME?</v>
      </c>
      <c r="L567" s="22" t="e">
        <f ca="1">_xll.BDH("RUB curncy","PX_LAST",$N567)</f>
        <v>#NAME?</v>
      </c>
      <c r="M567" s="85" t="e">
        <f ca="1">1/_xll.BDH("RUB curncy","PX_LAST",$N567)</f>
        <v>#NAME?</v>
      </c>
      <c r="N567" s="14">
        <v>41115</v>
      </c>
    </row>
    <row r="568" spans="2:14" x14ac:dyDescent="0.2">
      <c r="B568" s="21" t="s">
        <v>126</v>
      </c>
      <c r="C568" s="20" t="s">
        <v>125</v>
      </c>
      <c r="D568" s="18" t="e">
        <f ca="1">_xll.BDP(C568,"SECURITY_NAME")</f>
        <v>#NAME?</v>
      </c>
      <c r="E568" s="18" t="s">
        <v>50</v>
      </c>
      <c r="F568" s="19">
        <v>30000</v>
      </c>
      <c r="G568" s="18" t="e">
        <f ca="1">_xll.BDP(C568,"CRNCY")</f>
        <v>#NAME?</v>
      </c>
      <c r="H568" s="22" t="e">
        <f ca="1">_xll.BDH(C568,"PX_LAST",N568)</f>
        <v>#NAME?</v>
      </c>
      <c r="I568" s="15" t="e">
        <f t="shared" ca="1" si="152"/>
        <v>#NAME?</v>
      </c>
      <c r="J568" s="16" t="e">
        <f t="shared" ca="1" si="153"/>
        <v>#NAME?</v>
      </c>
      <c r="K568" s="15" t="e">
        <f t="shared" ca="1" si="154"/>
        <v>#NAME?</v>
      </c>
      <c r="L568" s="22" t="e">
        <f ca="1">_xll.BDH("RUB curncy","PX_LAST",$N568)</f>
        <v>#NAME?</v>
      </c>
      <c r="M568" s="85" t="e">
        <f ca="1">1/_xll.BDH("RUB curncy","PX_LAST",$N568)</f>
        <v>#NAME?</v>
      </c>
      <c r="N568" s="14">
        <v>41114</v>
      </c>
    </row>
    <row r="569" spans="2:14" x14ac:dyDescent="0.2">
      <c r="B569" s="21" t="s">
        <v>126</v>
      </c>
      <c r="C569" s="20" t="s">
        <v>125</v>
      </c>
      <c r="D569" s="18" t="e">
        <f ca="1">_xll.BDP(C569,"SECURITY_NAME")</f>
        <v>#NAME?</v>
      </c>
      <c r="E569" s="18" t="s">
        <v>50</v>
      </c>
      <c r="F569" s="19">
        <v>43100</v>
      </c>
      <c r="G569" s="18" t="e">
        <f ca="1">_xll.BDP(C569,"CRNCY")</f>
        <v>#NAME?</v>
      </c>
      <c r="H569" s="22" t="e">
        <f ca="1">_xll.BDH(C569,"PX_LAST",N569)</f>
        <v>#NAME?</v>
      </c>
      <c r="I569" s="15" t="e">
        <f t="shared" ca="1" si="152"/>
        <v>#NAME?</v>
      </c>
      <c r="J569" s="16" t="e">
        <f t="shared" ca="1" si="153"/>
        <v>#NAME?</v>
      </c>
      <c r="K569" s="15" t="e">
        <f t="shared" ca="1" si="154"/>
        <v>#NAME?</v>
      </c>
      <c r="L569" s="22" t="e">
        <f ca="1">_xll.BDH("RUB curncy","PX_LAST",$N569)</f>
        <v>#NAME?</v>
      </c>
      <c r="M569" s="85" t="e">
        <f ca="1">1/_xll.BDH("RUB curncy","PX_LAST",$N569)</f>
        <v>#NAME?</v>
      </c>
      <c r="N569" s="14">
        <v>41113</v>
      </c>
    </row>
    <row r="570" spans="2:14" x14ac:dyDescent="0.2">
      <c r="B570" s="21" t="s">
        <v>126</v>
      </c>
      <c r="C570" s="20" t="s">
        <v>125</v>
      </c>
      <c r="D570" s="18" t="e">
        <f ca="1">_xll.BDP(C570,"SECURITY_NAME")</f>
        <v>#NAME?</v>
      </c>
      <c r="E570" s="18" t="s">
        <v>50</v>
      </c>
      <c r="F570" s="19">
        <v>130600</v>
      </c>
      <c r="G570" s="18" t="e">
        <f ca="1">_xll.BDP(C570,"CRNCY")</f>
        <v>#NAME?</v>
      </c>
      <c r="H570" s="22" t="e">
        <f ca="1">_xll.BDH(C570,"PX_LAST",N570)</f>
        <v>#NAME?</v>
      </c>
      <c r="I570" s="15" t="e">
        <f t="shared" ca="1" si="152"/>
        <v>#NAME?</v>
      </c>
      <c r="J570" s="16" t="e">
        <f t="shared" ca="1" si="153"/>
        <v>#NAME?</v>
      </c>
      <c r="K570" s="15" t="e">
        <f t="shared" ca="1" si="154"/>
        <v>#NAME?</v>
      </c>
      <c r="L570" s="22" t="e">
        <f ca="1">_xll.BDH("RUB curncy","PX_LAST",$N570)</f>
        <v>#NAME?</v>
      </c>
      <c r="M570" s="85" t="e">
        <f ca="1">1/_xll.BDH("RUB curncy","PX_LAST",$N570)</f>
        <v>#NAME?</v>
      </c>
      <c r="N570" s="14">
        <v>41110</v>
      </c>
    </row>
    <row r="571" spans="2:14" x14ac:dyDescent="0.2">
      <c r="B571" s="21" t="s">
        <v>126</v>
      </c>
      <c r="C571" s="20" t="s">
        <v>125</v>
      </c>
      <c r="D571" s="18" t="e">
        <f ca="1">_xll.BDP(C571,"SECURITY_NAME")</f>
        <v>#NAME?</v>
      </c>
      <c r="E571" s="18" t="s">
        <v>50</v>
      </c>
      <c r="F571" s="19">
        <v>165000</v>
      </c>
      <c r="G571" s="18" t="e">
        <f ca="1">_xll.BDP(C571,"CRNCY")</f>
        <v>#NAME?</v>
      </c>
      <c r="H571" s="22" t="e">
        <f ca="1">_xll.BDH(C571,"PX_LAST",N571)</f>
        <v>#NAME?</v>
      </c>
      <c r="I571" s="15" t="e">
        <f t="shared" ca="1" si="152"/>
        <v>#NAME?</v>
      </c>
      <c r="J571" s="16" t="e">
        <f t="shared" ca="1" si="153"/>
        <v>#NAME?</v>
      </c>
      <c r="K571" s="15" t="e">
        <f t="shared" ca="1" si="154"/>
        <v>#NAME?</v>
      </c>
      <c r="L571" s="22" t="e">
        <f ca="1">_xll.BDH("RUB curncy","PX_LAST",$N571)</f>
        <v>#NAME?</v>
      </c>
      <c r="M571" s="85" t="e">
        <f ca="1">1/_xll.BDH("RUB curncy","PX_LAST",$N571)</f>
        <v>#NAME?</v>
      </c>
      <c r="N571" s="14">
        <v>40989</v>
      </c>
    </row>
    <row r="572" spans="2:14" x14ac:dyDescent="0.2">
      <c r="B572" s="21" t="s">
        <v>126</v>
      </c>
      <c r="C572" s="20" t="s">
        <v>125</v>
      </c>
      <c r="D572" s="18" t="e">
        <f ca="1">_xll.BDP(C572,"SECURITY_NAME")</f>
        <v>#NAME?</v>
      </c>
      <c r="E572" s="18" t="s">
        <v>50</v>
      </c>
      <c r="F572" s="19">
        <v>75600</v>
      </c>
      <c r="G572" s="18" t="e">
        <f ca="1">_xll.BDP(C572,"CRNCY")</f>
        <v>#NAME?</v>
      </c>
      <c r="H572" s="22" t="e">
        <f ca="1">_xll.BDH(C572,"PX_LAST",N572)</f>
        <v>#NAME?</v>
      </c>
      <c r="I572" s="15" t="e">
        <f t="shared" ca="1" si="152"/>
        <v>#NAME?</v>
      </c>
      <c r="J572" s="16" t="e">
        <f t="shared" ca="1" si="153"/>
        <v>#NAME?</v>
      </c>
      <c r="K572" s="15" t="e">
        <f t="shared" ca="1" si="154"/>
        <v>#NAME?</v>
      </c>
      <c r="L572" s="22" t="e">
        <f ca="1">_xll.BDH("RUB curncy","PX_LAST",$N572)</f>
        <v>#NAME?</v>
      </c>
      <c r="M572" s="85" t="e">
        <f ca="1">1/_xll.BDH("RUB curncy","PX_LAST",$N572)</f>
        <v>#NAME?</v>
      </c>
      <c r="N572" s="14">
        <v>40987</v>
      </c>
    </row>
    <row r="573" spans="2:14" x14ac:dyDescent="0.2">
      <c r="B573" s="21" t="s">
        <v>126</v>
      </c>
      <c r="C573" s="20" t="s">
        <v>125</v>
      </c>
      <c r="D573" s="18" t="e">
        <f ca="1">_xll.BDP(C573,"SECURITY_NAME")</f>
        <v>#NAME?</v>
      </c>
      <c r="E573" s="18" t="s">
        <v>50</v>
      </c>
      <c r="F573" s="19">
        <v>15100</v>
      </c>
      <c r="G573" s="18" t="e">
        <f ca="1">_xll.BDP(C573,"CRNCY")</f>
        <v>#NAME?</v>
      </c>
      <c r="H573" s="22" t="e">
        <f ca="1">_xll.BDH(C573,"PX_LAST",N573)</f>
        <v>#NAME?</v>
      </c>
      <c r="I573" s="15" t="e">
        <f t="shared" ca="1" si="152"/>
        <v>#NAME?</v>
      </c>
      <c r="J573" s="16" t="e">
        <f t="shared" ca="1" si="153"/>
        <v>#NAME?</v>
      </c>
      <c r="K573" s="15" t="e">
        <f t="shared" ca="1" si="154"/>
        <v>#NAME?</v>
      </c>
      <c r="L573" s="22" t="e">
        <f ca="1">_xll.BDH("RUB curncy","PX_LAST",$N573)</f>
        <v>#NAME?</v>
      </c>
      <c r="M573" s="85" t="e">
        <f ca="1">1/_xll.BDH("RUB curncy","PX_LAST",$N573)</f>
        <v>#NAME?</v>
      </c>
      <c r="N573" s="14">
        <v>40983</v>
      </c>
    </row>
    <row r="574" spans="2:14" x14ac:dyDescent="0.2">
      <c r="B574" s="21" t="s">
        <v>126</v>
      </c>
      <c r="C574" s="20" t="s">
        <v>125</v>
      </c>
      <c r="D574" s="18" t="e">
        <f ca="1">_xll.BDP(C574,"SECURITY_NAME")</f>
        <v>#NAME?</v>
      </c>
      <c r="E574" s="18" t="s">
        <v>50</v>
      </c>
      <c r="F574" s="19">
        <v>160000</v>
      </c>
      <c r="G574" s="18" t="e">
        <f ca="1">_xll.BDP(C574,"CRNCY")</f>
        <v>#NAME?</v>
      </c>
      <c r="H574" s="22" t="e">
        <f ca="1">_xll.BDH(C574,"PX_LAST",N574)</f>
        <v>#NAME?</v>
      </c>
      <c r="I574" s="15" t="e">
        <f t="shared" ca="1" si="152"/>
        <v>#NAME?</v>
      </c>
      <c r="J574" s="16" t="e">
        <f t="shared" ca="1" si="153"/>
        <v>#NAME?</v>
      </c>
      <c r="K574" s="15" t="e">
        <f t="shared" ca="1" si="154"/>
        <v>#NAME?</v>
      </c>
      <c r="L574" s="22" t="e">
        <f ca="1">_xll.BDH("RUB curncy","PX_LAST",$N574)</f>
        <v>#NAME?</v>
      </c>
      <c r="M574" s="85" t="e">
        <f ca="1">1/_xll.BDH("RUB curncy","PX_LAST",$N574)</f>
        <v>#NAME?</v>
      </c>
      <c r="N574" s="14">
        <v>40953</v>
      </c>
    </row>
    <row r="575" spans="2:14" x14ac:dyDescent="0.2">
      <c r="B575" s="71"/>
      <c r="C575" s="72"/>
      <c r="D575" s="73"/>
      <c r="E575" s="73"/>
      <c r="F575" s="79">
        <f>SUM(F528:F574)</f>
        <v>5016650</v>
      </c>
      <c r="G575" s="73"/>
      <c r="H575" s="80" t="e">
        <f ca="1">I575/F575</f>
        <v>#NAME?</v>
      </c>
      <c r="I575" s="79" t="e">
        <f ca="1">SUM(I528:I574)</f>
        <v>#NAME?</v>
      </c>
      <c r="J575" s="79" t="e">
        <f ca="1">SUM(J528:J574)</f>
        <v>#NAME?</v>
      </c>
      <c r="K575" s="79" t="e">
        <f ca="1">SUM(K528:K574)</f>
        <v>#NAME?</v>
      </c>
      <c r="L575" s="75"/>
      <c r="M575" s="86"/>
      <c r="N575" s="14"/>
    </row>
    <row r="576" spans="2:14" x14ac:dyDescent="0.2">
      <c r="B576" s="71"/>
      <c r="C576" s="72"/>
      <c r="D576" s="73"/>
      <c r="E576" s="73"/>
      <c r="F576" s="74"/>
      <c r="G576" s="73"/>
      <c r="H576" s="75"/>
      <c r="I576" s="76"/>
      <c r="J576" s="77"/>
      <c r="K576" s="76"/>
      <c r="L576" s="75"/>
      <c r="M576" s="86"/>
      <c r="N576" s="14"/>
    </row>
    <row r="577" spans="2:14" x14ac:dyDescent="0.2">
      <c r="B577" s="21" t="s">
        <v>126</v>
      </c>
      <c r="C577" s="20" t="s">
        <v>136</v>
      </c>
      <c r="D577" s="18" t="e">
        <f ca="1">_xll.BDP(C577,"SECURITY_NAME")</f>
        <v>#NAME?</v>
      </c>
      <c r="E577" s="18" t="s">
        <v>50</v>
      </c>
      <c r="F577" s="19">
        <v>5000</v>
      </c>
      <c r="G577" s="18" t="e">
        <f ca="1">_xll.BDP(C577,"CRNCY")</f>
        <v>#NAME?</v>
      </c>
      <c r="H577" s="22" t="e">
        <f ca="1">_xll.BDH(C577,"PX_LAST",N577)</f>
        <v>#NAME?</v>
      </c>
      <c r="I577" s="15" t="e">
        <f ca="1">F577*H577</f>
        <v>#NAME?</v>
      </c>
      <c r="J577" s="16" t="e">
        <f ca="1">I577/L577</f>
        <v>#NAME?</v>
      </c>
      <c r="K577" s="15" t="e">
        <f ca="1">J577*L577</f>
        <v>#NAME?</v>
      </c>
      <c r="L577" s="22" t="e">
        <f ca="1">_xll.BDH("RUB curncy","PX_LAST",$N577)</f>
        <v>#NAME?</v>
      </c>
      <c r="M577" s="85" t="e">
        <f ca="1">1/_xll.BDH("RUB curncy","PX_LAST",$N577)</f>
        <v>#NAME?</v>
      </c>
      <c r="N577" s="14">
        <v>41163</v>
      </c>
    </row>
    <row r="578" spans="2:14" x14ac:dyDescent="0.2">
      <c r="B578" s="21" t="s">
        <v>126</v>
      </c>
      <c r="C578" s="20" t="s">
        <v>136</v>
      </c>
      <c r="D578" s="18" t="e">
        <f ca="1">_xll.BDP(C578,"SECURITY_NAME")</f>
        <v>#NAME?</v>
      </c>
      <c r="E578" s="18" t="s">
        <v>50</v>
      </c>
      <c r="F578" s="19">
        <v>68000</v>
      </c>
      <c r="G578" s="18" t="e">
        <f ca="1">_xll.BDP(C578,"CRNCY")</f>
        <v>#NAME?</v>
      </c>
      <c r="H578" s="22" t="e">
        <f ca="1">_xll.BDH(C578,"PX_LAST",N578)</f>
        <v>#NAME?</v>
      </c>
      <c r="I578" s="15" t="e">
        <f ca="1">F578*H578</f>
        <v>#NAME?</v>
      </c>
      <c r="J578" s="16" t="e">
        <f ca="1">I578/L578</f>
        <v>#NAME?</v>
      </c>
      <c r="K578" s="15" t="e">
        <f ca="1">J578*L578</f>
        <v>#NAME?</v>
      </c>
      <c r="L578" s="22" t="e">
        <f ca="1">_xll.BDH("RUB curncy","PX_LAST",$N578)</f>
        <v>#NAME?</v>
      </c>
      <c r="M578" s="85" t="e">
        <f ca="1">1/_xll.BDH("RUB curncy","PX_LAST",$N578)</f>
        <v>#NAME?</v>
      </c>
      <c r="N578" s="14">
        <v>41073</v>
      </c>
    </row>
    <row r="579" spans="2:14" x14ac:dyDescent="0.2">
      <c r="B579" s="21" t="s">
        <v>126</v>
      </c>
      <c r="C579" s="20" t="s">
        <v>136</v>
      </c>
      <c r="D579" s="18" t="e">
        <f ca="1">_xll.BDP(C579,"SECURITY_NAME")</f>
        <v>#NAME?</v>
      </c>
      <c r="E579" s="18" t="s">
        <v>50</v>
      </c>
      <c r="F579" s="19">
        <v>75500</v>
      </c>
      <c r="G579" s="18" t="e">
        <f ca="1">_xll.BDP(C579,"CRNCY")</f>
        <v>#NAME?</v>
      </c>
      <c r="H579" s="22" t="e">
        <f ca="1">_xll.BDH(C579,"PX_LAST",N579)</f>
        <v>#NAME?</v>
      </c>
      <c r="I579" s="15" t="e">
        <f ca="1">F579*H579</f>
        <v>#NAME?</v>
      </c>
      <c r="J579" s="16">
        <v>54375.1</v>
      </c>
      <c r="K579" s="15" t="e">
        <f ca="1">J579*L579</f>
        <v>#NAME?</v>
      </c>
      <c r="L579" s="22" t="e">
        <f ca="1">_xll.BDH("RUB curncy","PX_LAST",$N579)</f>
        <v>#NAME?</v>
      </c>
      <c r="M579" s="85" t="e">
        <f ca="1">1/_xll.BDH("RUB curncy","PX_LAST",$N579)</f>
        <v>#NAME?</v>
      </c>
      <c r="N579" s="14">
        <v>41069</v>
      </c>
    </row>
    <row r="580" spans="2:14" x14ac:dyDescent="0.2">
      <c r="B580" s="21" t="s">
        <v>126</v>
      </c>
      <c r="C580" s="20" t="s">
        <v>136</v>
      </c>
      <c r="D580" s="18" t="e">
        <f ca="1">_xll.BDP(C580,"SECURITY_NAME")</f>
        <v>#NAME?</v>
      </c>
      <c r="E580" s="18" t="s">
        <v>50</v>
      </c>
      <c r="F580" s="19">
        <v>130000</v>
      </c>
      <c r="G580" s="18" t="e">
        <f ca="1">_xll.BDP(C580,"CRNCY")</f>
        <v>#NAME?</v>
      </c>
      <c r="H580" s="22" t="e">
        <f ca="1">_xll.BDH(C580,"PX_LAST",N580)</f>
        <v>#NAME?</v>
      </c>
      <c r="I580" s="15" t="e">
        <f ca="1">F580*H580</f>
        <v>#NAME?</v>
      </c>
      <c r="J580" s="16" t="e">
        <f ca="1">I580/L580</f>
        <v>#NAME?</v>
      </c>
      <c r="K580" s="15" t="e">
        <f ca="1">J580*L580</f>
        <v>#NAME?</v>
      </c>
      <c r="L580" s="22" t="e">
        <f ca="1">_xll.BDH("RUB curncy","PX_LAST",$N580)</f>
        <v>#NAME?</v>
      </c>
      <c r="M580" s="85" t="e">
        <f ca="1">1/_xll.BDH("RUB curncy","PX_LAST",$N580)</f>
        <v>#NAME?</v>
      </c>
      <c r="N580" s="14">
        <v>41068</v>
      </c>
    </row>
    <row r="581" spans="2:14" x14ac:dyDescent="0.2">
      <c r="B581" s="71"/>
      <c r="C581" s="72"/>
      <c r="D581" s="73"/>
      <c r="E581" s="73"/>
      <c r="F581" s="79">
        <f>SUM(F577:F580)</f>
        <v>278500</v>
      </c>
      <c r="G581" s="87"/>
      <c r="H581" s="80" t="e">
        <f ca="1">I581/F581</f>
        <v>#NAME?</v>
      </c>
      <c r="I581" s="79" t="e">
        <f ca="1">SUM(I577:I580)</f>
        <v>#NAME?</v>
      </c>
      <c r="J581" s="79" t="e">
        <f ca="1">SUM(J577:J580)</f>
        <v>#NAME?</v>
      </c>
      <c r="K581" s="76"/>
      <c r="L581" s="75"/>
      <c r="M581" s="86"/>
      <c r="N581" s="14"/>
    </row>
    <row r="582" spans="2:14" x14ac:dyDescent="0.2">
      <c r="B582" s="71"/>
      <c r="C582" s="72"/>
      <c r="D582" s="73"/>
      <c r="E582" s="73"/>
      <c r="F582" s="74"/>
      <c r="G582" s="73"/>
      <c r="H582" s="75"/>
      <c r="I582" s="76"/>
      <c r="J582" s="77"/>
      <c r="K582" s="76"/>
      <c r="L582" s="75"/>
      <c r="M582" s="86"/>
      <c r="N582" s="14"/>
    </row>
    <row r="583" spans="2:14" x14ac:dyDescent="0.2">
      <c r="B583" s="21" t="s">
        <v>126</v>
      </c>
      <c r="C583" s="20" t="s">
        <v>64</v>
      </c>
      <c r="D583" s="18" t="e">
        <f ca="1">_xll.BDP(C583,"SECURITY_NAME")</f>
        <v>#NAME?</v>
      </c>
      <c r="E583" s="18" t="s">
        <v>50</v>
      </c>
      <c r="F583" s="19">
        <v>1800</v>
      </c>
      <c r="G583" s="18" t="e">
        <f ca="1">_xll.BDP(C583,"CRNCY")</f>
        <v>#NAME?</v>
      </c>
      <c r="H583" s="22" t="e">
        <f ca="1">_xll.BDH(C583,"PX_LAST",N583)</f>
        <v>#NAME?</v>
      </c>
      <c r="I583" s="15" t="e">
        <f ca="1">F583*H583</f>
        <v>#NAME?</v>
      </c>
      <c r="J583" s="16" t="e">
        <f ca="1">I583</f>
        <v>#NAME?</v>
      </c>
      <c r="K583" s="15" t="e">
        <f ca="1">J583*L583</f>
        <v>#NAME?</v>
      </c>
      <c r="L583" s="22" t="e">
        <f ca="1">_xll.BDH("RUB curncy","PX_LAST",$N583)</f>
        <v>#NAME?</v>
      </c>
      <c r="M583" s="85" t="e">
        <f ca="1">1/_xll.BDH("RUB curncy","PX_LAST",$N583)</f>
        <v>#NAME?</v>
      </c>
      <c r="N583" s="14">
        <v>41675</v>
      </c>
    </row>
    <row r="584" spans="2:14" x14ac:dyDescent="0.2">
      <c r="B584" s="21" t="s">
        <v>126</v>
      </c>
      <c r="C584" s="20" t="s">
        <v>64</v>
      </c>
      <c r="D584" s="18" t="e">
        <f ca="1">_xll.BDP(C584,"SECURITY_NAME")</f>
        <v>#NAME?</v>
      </c>
      <c r="E584" s="18" t="s">
        <v>50</v>
      </c>
      <c r="F584" s="19">
        <v>8200</v>
      </c>
      <c r="G584" s="18" t="e">
        <f ca="1">_xll.BDP(C584,"CRNCY")</f>
        <v>#NAME?</v>
      </c>
      <c r="H584" s="22" t="e">
        <f ca="1">_xll.BDH(C584,"PX_LAST",N584)</f>
        <v>#NAME?</v>
      </c>
      <c r="I584" s="15" t="e">
        <f ca="1">F584*H584</f>
        <v>#NAME?</v>
      </c>
      <c r="J584" s="16" t="e">
        <f ca="1">I584</f>
        <v>#NAME?</v>
      </c>
      <c r="K584" s="15" t="e">
        <f ca="1">J584*L584</f>
        <v>#NAME?</v>
      </c>
      <c r="L584" s="22" t="e">
        <f ca="1">_xll.BDH("RUB curncy","PX_LAST",$N584)</f>
        <v>#NAME?</v>
      </c>
      <c r="M584" s="85" t="e">
        <f ca="1">1/_xll.BDH("RUB curncy","PX_LAST",$N584)</f>
        <v>#NAME?</v>
      </c>
      <c r="N584" s="14">
        <v>41624</v>
      </c>
    </row>
    <row r="585" spans="2:14" x14ac:dyDescent="0.2">
      <c r="B585" s="71"/>
      <c r="C585" s="72"/>
      <c r="D585" s="73"/>
      <c r="E585" s="73"/>
      <c r="F585" s="79">
        <f>SUM(F583:F584)</f>
        <v>10000</v>
      </c>
      <c r="G585" s="73"/>
      <c r="H585" s="80" t="e">
        <f ca="1">I585/F585</f>
        <v>#NAME?</v>
      </c>
      <c r="I585" s="79" t="e">
        <f ca="1">SUM(I583:I584)</f>
        <v>#NAME?</v>
      </c>
      <c r="J585" s="79" t="e">
        <f ca="1">SUM(J583:J584)</f>
        <v>#NAME?</v>
      </c>
      <c r="K585" s="79" t="e">
        <f ca="1">SUM(K583:K584)</f>
        <v>#NAME?</v>
      </c>
      <c r="L585" s="75"/>
      <c r="M585" s="78"/>
      <c r="N585" s="14"/>
    </row>
    <row r="586" spans="2:14" x14ac:dyDescent="0.2">
      <c r="B586" s="71"/>
      <c r="C586" s="72"/>
      <c r="D586" s="73"/>
      <c r="E586" s="73"/>
      <c r="F586" s="79"/>
      <c r="G586" s="73"/>
      <c r="H586" s="80"/>
      <c r="I586" s="79"/>
      <c r="J586" s="79"/>
      <c r="K586" s="79"/>
      <c r="L586" s="75"/>
      <c r="M586" s="78"/>
      <c r="N586" s="14"/>
    </row>
    <row r="587" spans="2:14" x14ac:dyDescent="0.2">
      <c r="B587" s="21" t="s">
        <v>126</v>
      </c>
      <c r="C587" s="20" t="s">
        <v>141</v>
      </c>
      <c r="D587" s="18" t="e">
        <f ca="1">_xll.BDP(C587,"SECURITY_NAME")</f>
        <v>#NAME?</v>
      </c>
      <c r="E587" s="18" t="s">
        <v>50</v>
      </c>
      <c r="F587" s="19">
        <f>249500/5</f>
        <v>49900</v>
      </c>
      <c r="G587" s="18" t="e">
        <f ca="1">_xll.BDP(C587,"CRNCY")</f>
        <v>#NAME?</v>
      </c>
      <c r="H587" s="22" t="e">
        <f ca="1">_xll.BDH(C587,"PX_LAST",N587)</f>
        <v>#NAME?</v>
      </c>
      <c r="I587" s="15" t="e">
        <f ca="1">F587*H587</f>
        <v>#NAME?</v>
      </c>
      <c r="J587" s="16" t="e">
        <f ca="1">I587</f>
        <v>#NAME?</v>
      </c>
      <c r="K587" s="15" t="e">
        <f ca="1">J587*L587</f>
        <v>#NAME?</v>
      </c>
      <c r="L587" s="22" t="e">
        <f ca="1">_xll.BDH("RUB curncy","PX_LAST",$N587)</f>
        <v>#NAME?</v>
      </c>
      <c r="M587" s="85" t="e">
        <f ca="1">1/_xll.BDH("RUB curncy","PX_LAST",$N587)</f>
        <v>#NAME?</v>
      </c>
      <c r="N587" s="14">
        <v>42096</v>
      </c>
    </row>
    <row r="588" spans="2:14" x14ac:dyDescent="0.2">
      <c r="B588" s="21" t="s">
        <v>126</v>
      </c>
      <c r="C588" s="20" t="s">
        <v>141</v>
      </c>
      <c r="D588" s="18" t="e">
        <f ca="1">_xll.BDP(C588,"SECURITY_NAME")</f>
        <v>#NAME?</v>
      </c>
      <c r="E588" s="18" t="s">
        <v>50</v>
      </c>
      <c r="F588" s="19">
        <f>58000/5</f>
        <v>11600</v>
      </c>
      <c r="G588" s="18" t="e">
        <f ca="1">_xll.BDP(C588,"CRNCY")</f>
        <v>#NAME?</v>
      </c>
      <c r="H588" s="22" t="e">
        <f ca="1">_xll.BDH(C588,"PX_LAST",N588)</f>
        <v>#NAME?</v>
      </c>
      <c r="I588" s="15" t="e">
        <f ca="1">F588*H588</f>
        <v>#NAME?</v>
      </c>
      <c r="J588" s="16" t="e">
        <f ca="1">I588</f>
        <v>#NAME?</v>
      </c>
      <c r="K588" s="15" t="e">
        <f ca="1">J588*L588</f>
        <v>#NAME?</v>
      </c>
      <c r="L588" s="22" t="e">
        <f ca="1">_xll.BDH("RUB curncy","PX_LAST",$N588)</f>
        <v>#NAME?</v>
      </c>
      <c r="M588" s="85" t="e">
        <f ca="1">1/_xll.BDH("RUB curncy","PX_LAST",$N588)</f>
        <v>#NAME?</v>
      </c>
      <c r="N588" s="14">
        <v>41107</v>
      </c>
    </row>
    <row r="589" spans="2:14" x14ac:dyDescent="0.2">
      <c r="B589" s="71"/>
      <c r="C589" s="72"/>
      <c r="D589" s="73"/>
      <c r="E589" s="73"/>
      <c r="F589" s="79">
        <f>SUM(F587:F588)</f>
        <v>61500</v>
      </c>
      <c r="G589" s="73"/>
      <c r="H589" s="88" t="e">
        <f ca="1">I589/F589</f>
        <v>#NAME?</v>
      </c>
      <c r="I589" s="79" t="e">
        <f ca="1">SUM(I587:I588)</f>
        <v>#NAME?</v>
      </c>
      <c r="J589" s="79" t="e">
        <f ca="1">SUM(J587:J588)</f>
        <v>#NAME?</v>
      </c>
      <c r="K589" s="79" t="e">
        <f ca="1">SUM(K587:K588)</f>
        <v>#NAME?</v>
      </c>
      <c r="L589" s="75"/>
      <c r="M589" s="78"/>
      <c r="N589" s="14"/>
    </row>
    <row r="590" spans="2:14" x14ac:dyDescent="0.2">
      <c r="B590" s="71"/>
      <c r="C590" s="72"/>
      <c r="D590" s="73"/>
      <c r="E590" s="73"/>
      <c r="F590" s="79"/>
      <c r="G590" s="73"/>
      <c r="H590" s="80"/>
      <c r="I590" s="79"/>
      <c r="J590" s="79"/>
      <c r="K590" s="79"/>
      <c r="L590" s="75"/>
      <c r="M590" s="78"/>
      <c r="N590" s="14"/>
    </row>
    <row r="591" spans="2:14" x14ac:dyDescent="0.2">
      <c r="B591" s="21" t="s">
        <v>126</v>
      </c>
      <c r="C591" s="20" t="s">
        <v>13</v>
      </c>
      <c r="D591" s="18" t="e">
        <f ca="1">_xll.BDP(C591,"SECURITY_NAME")</f>
        <v>#NAME?</v>
      </c>
      <c r="E591" s="18" t="s">
        <v>50</v>
      </c>
      <c r="F591" s="19">
        <v>7400</v>
      </c>
      <c r="G591" s="18" t="e">
        <f ca="1">_xll.BDP(C591,"CRNCY")</f>
        <v>#NAME?</v>
      </c>
      <c r="H591" s="22" t="e">
        <f ca="1">_xll.BDH(C591,"PX_LAST",N591)</f>
        <v>#NAME?</v>
      </c>
      <c r="I591" s="15" t="e">
        <f ca="1">F591*H591</f>
        <v>#NAME?</v>
      </c>
      <c r="J591" s="16" t="e">
        <f ca="1">I591</f>
        <v>#NAME?</v>
      </c>
      <c r="K591" s="15" t="e">
        <f ca="1">J591*L591</f>
        <v>#NAME?</v>
      </c>
      <c r="L591" s="22" t="e">
        <f ca="1">_xll.BDH("RUB curncy","PX_LAST",$N591)</f>
        <v>#NAME?</v>
      </c>
      <c r="M591" s="85" t="e">
        <f ca="1">1/_xll.BDH("RUB curncy","PX_LAST",$N591)</f>
        <v>#NAME?</v>
      </c>
      <c r="N591" s="14">
        <v>41974</v>
      </c>
    </row>
    <row r="592" spans="2:14" x14ac:dyDescent="0.2">
      <c r="B592" s="21" t="s">
        <v>126</v>
      </c>
      <c r="C592" s="20" t="s">
        <v>13</v>
      </c>
      <c r="D592" s="18" t="e">
        <f ca="1">_xll.BDP(C592,"SECURITY_NAME")</f>
        <v>#NAME?</v>
      </c>
      <c r="E592" s="18" t="s">
        <v>50</v>
      </c>
      <c r="F592" s="19">
        <v>494</v>
      </c>
      <c r="G592" s="18" t="e">
        <f ca="1">_xll.BDP(C592,"CRNCY")</f>
        <v>#NAME?</v>
      </c>
      <c r="H592" s="22" t="e">
        <f ca="1">_xll.BDH(C592,"PX_LAST",N592)</f>
        <v>#NAME?</v>
      </c>
      <c r="I592" s="15" t="e">
        <f t="shared" ref="I592:I601" ca="1" si="155">F592*H592</f>
        <v>#NAME?</v>
      </c>
      <c r="J592" s="16" t="e">
        <f t="shared" ref="J592:J601" ca="1" si="156">I592</f>
        <v>#NAME?</v>
      </c>
      <c r="K592" s="15" t="e">
        <f t="shared" ref="K592:K601" ca="1" si="157">J592*L592</f>
        <v>#NAME?</v>
      </c>
      <c r="L592" s="22" t="e">
        <f ca="1">_xll.BDH("RUB curncy","PX_LAST",$N592)</f>
        <v>#NAME?</v>
      </c>
      <c r="M592" s="85" t="e">
        <f ca="1">1/_xll.BDH("RUB curncy","PX_LAST",$N592)</f>
        <v>#NAME?</v>
      </c>
      <c r="N592" s="14">
        <v>41950</v>
      </c>
    </row>
    <row r="593" spans="2:14" x14ac:dyDescent="0.2">
      <c r="B593" s="21" t="s">
        <v>126</v>
      </c>
      <c r="C593" s="20" t="s">
        <v>13</v>
      </c>
      <c r="D593" s="18" t="e">
        <f ca="1">_xll.BDP(C593,"SECURITY_NAME")</f>
        <v>#NAME?</v>
      </c>
      <c r="E593" s="18" t="s">
        <v>50</v>
      </c>
      <c r="F593" s="19">
        <v>5000</v>
      </c>
      <c r="G593" s="18" t="e">
        <f ca="1">_xll.BDP(C593,"CRNCY")</f>
        <v>#NAME?</v>
      </c>
      <c r="H593" s="22" t="e">
        <f ca="1">_xll.BDH(C593,"PX_LAST",N593)</f>
        <v>#NAME?</v>
      </c>
      <c r="I593" s="15" t="e">
        <f t="shared" ca="1" si="155"/>
        <v>#NAME?</v>
      </c>
      <c r="J593" s="16" t="e">
        <f t="shared" ca="1" si="156"/>
        <v>#NAME?</v>
      </c>
      <c r="K593" s="15" t="e">
        <f t="shared" ca="1" si="157"/>
        <v>#NAME?</v>
      </c>
      <c r="L593" s="22" t="e">
        <f ca="1">_xll.BDH("RUB curncy","PX_LAST",$N593)</f>
        <v>#NAME?</v>
      </c>
      <c r="M593" s="85" t="e">
        <f ca="1">1/_xll.BDH("RUB curncy","PX_LAST",$N593)</f>
        <v>#NAME?</v>
      </c>
      <c r="N593" s="14">
        <v>41949</v>
      </c>
    </row>
    <row r="594" spans="2:14" x14ac:dyDescent="0.2">
      <c r="B594" s="21" t="s">
        <v>126</v>
      </c>
      <c r="C594" s="20" t="s">
        <v>13</v>
      </c>
      <c r="D594" s="18" t="e">
        <f ca="1">_xll.BDP(C594,"SECURITY_NAME")</f>
        <v>#NAME?</v>
      </c>
      <c r="E594" s="18" t="s">
        <v>50</v>
      </c>
      <c r="F594" s="19">
        <v>16700</v>
      </c>
      <c r="G594" s="18" t="e">
        <f ca="1">_xll.BDP(C594,"CRNCY")</f>
        <v>#NAME?</v>
      </c>
      <c r="H594" s="22" t="e">
        <f ca="1">_xll.BDH(C594,"PX_LAST",N594)</f>
        <v>#NAME?</v>
      </c>
      <c r="I594" s="15" t="e">
        <f t="shared" ca="1" si="155"/>
        <v>#NAME?</v>
      </c>
      <c r="J594" s="16" t="e">
        <f t="shared" ca="1" si="156"/>
        <v>#NAME?</v>
      </c>
      <c r="K594" s="15" t="e">
        <f t="shared" ca="1" si="157"/>
        <v>#NAME?</v>
      </c>
      <c r="L594" s="22" t="e">
        <f ca="1">_xll.BDH("RUB curncy","PX_LAST",$N594)</f>
        <v>#NAME?</v>
      </c>
      <c r="M594" s="85" t="e">
        <f ca="1">1/_xll.BDH("RUB curncy","PX_LAST",$N594)</f>
        <v>#NAME?</v>
      </c>
      <c r="N594" s="14">
        <v>41934</v>
      </c>
    </row>
    <row r="595" spans="2:14" x14ac:dyDescent="0.2">
      <c r="B595" s="21" t="s">
        <v>126</v>
      </c>
      <c r="C595" s="20" t="s">
        <v>13</v>
      </c>
      <c r="D595" s="18" t="e">
        <f ca="1">_xll.BDP(C595,"SECURITY_NAME")</f>
        <v>#NAME?</v>
      </c>
      <c r="E595" s="18" t="s">
        <v>50</v>
      </c>
      <c r="F595" s="19">
        <v>1830</v>
      </c>
      <c r="G595" s="18" t="e">
        <f ca="1">_xll.BDP(C595,"CRNCY")</f>
        <v>#NAME?</v>
      </c>
      <c r="H595" s="22" t="e">
        <f ca="1">_xll.BDH(C595,"PX_LAST",N595)</f>
        <v>#NAME?</v>
      </c>
      <c r="I595" s="15" t="e">
        <f t="shared" ca="1" si="155"/>
        <v>#NAME?</v>
      </c>
      <c r="J595" s="16" t="e">
        <f t="shared" ca="1" si="156"/>
        <v>#NAME?</v>
      </c>
      <c r="K595" s="15" t="e">
        <f t="shared" ca="1" si="157"/>
        <v>#NAME?</v>
      </c>
      <c r="L595" s="22" t="e">
        <f ca="1">_xll.BDH("RUB curncy","PX_LAST",$N595)</f>
        <v>#NAME?</v>
      </c>
      <c r="M595" s="85" t="e">
        <f ca="1">1/_xll.BDH("RUB curncy","PX_LAST",$N595)</f>
        <v>#NAME?</v>
      </c>
      <c r="N595" s="14">
        <v>41337</v>
      </c>
    </row>
    <row r="596" spans="2:14" x14ac:dyDescent="0.2">
      <c r="B596" s="21" t="s">
        <v>126</v>
      </c>
      <c r="C596" s="20" t="s">
        <v>13</v>
      </c>
      <c r="D596" s="18" t="e">
        <f ca="1">_xll.BDP(C596,"SECURITY_NAME")</f>
        <v>#NAME?</v>
      </c>
      <c r="E596" s="18" t="s">
        <v>50</v>
      </c>
      <c r="F596" s="19">
        <v>1420</v>
      </c>
      <c r="G596" s="18" t="e">
        <f ca="1">_xll.BDP(C596,"CRNCY")</f>
        <v>#NAME?</v>
      </c>
      <c r="H596" s="22" t="e">
        <f ca="1">_xll.BDH(C596,"PX_LAST",N596)</f>
        <v>#NAME?</v>
      </c>
      <c r="I596" s="15" t="e">
        <f t="shared" ca="1" si="155"/>
        <v>#NAME?</v>
      </c>
      <c r="J596" s="16" t="e">
        <f t="shared" ca="1" si="156"/>
        <v>#NAME?</v>
      </c>
      <c r="K596" s="15" t="e">
        <f t="shared" ca="1" si="157"/>
        <v>#NAME?</v>
      </c>
      <c r="L596" s="22" t="e">
        <f ca="1">_xll.BDH("RUB curncy","PX_LAST",$N596)</f>
        <v>#NAME?</v>
      </c>
      <c r="M596" s="85" t="e">
        <f ca="1">1/_xll.BDH("RUB curncy","PX_LAST",$N596)</f>
        <v>#NAME?</v>
      </c>
      <c r="N596" s="14">
        <v>41333</v>
      </c>
    </row>
    <row r="597" spans="2:14" x14ac:dyDescent="0.2">
      <c r="B597" s="21" t="s">
        <v>126</v>
      </c>
      <c r="C597" s="20" t="s">
        <v>13</v>
      </c>
      <c r="D597" s="18" t="e">
        <f ca="1">_xll.BDP(C597,"SECURITY_NAME")</f>
        <v>#NAME?</v>
      </c>
      <c r="E597" s="18" t="s">
        <v>50</v>
      </c>
      <c r="F597" s="19">
        <v>3450</v>
      </c>
      <c r="G597" s="18" t="e">
        <f ca="1">_xll.BDP(C597,"CRNCY")</f>
        <v>#NAME?</v>
      </c>
      <c r="H597" s="22" t="e">
        <f ca="1">_xll.BDH(C597,"PX_LAST",N597)</f>
        <v>#NAME?</v>
      </c>
      <c r="I597" s="15" t="e">
        <f t="shared" ca="1" si="155"/>
        <v>#NAME?</v>
      </c>
      <c r="J597" s="16" t="e">
        <f t="shared" ca="1" si="156"/>
        <v>#NAME?</v>
      </c>
      <c r="K597" s="15" t="e">
        <f t="shared" ca="1" si="157"/>
        <v>#NAME?</v>
      </c>
      <c r="L597" s="22" t="e">
        <f ca="1">_xll.BDH("RUB curncy","PX_LAST",$N597)</f>
        <v>#NAME?</v>
      </c>
      <c r="M597" s="85" t="e">
        <f ca="1">1/_xll.BDH("RUB curncy","PX_LAST",$N597)</f>
        <v>#NAME?</v>
      </c>
      <c r="N597" s="14">
        <v>41296</v>
      </c>
    </row>
    <row r="598" spans="2:14" x14ac:dyDescent="0.2">
      <c r="B598" s="21" t="s">
        <v>126</v>
      </c>
      <c r="C598" s="20" t="s">
        <v>13</v>
      </c>
      <c r="D598" s="18" t="e">
        <f ca="1">_xll.BDP(C598,"SECURITY_NAME")</f>
        <v>#NAME?</v>
      </c>
      <c r="E598" s="18" t="s">
        <v>50</v>
      </c>
      <c r="F598" s="19">
        <v>14000</v>
      </c>
      <c r="G598" s="18" t="e">
        <f ca="1">_xll.BDP(C598,"CRNCY")</f>
        <v>#NAME?</v>
      </c>
      <c r="H598" s="22" t="e">
        <f ca="1">_xll.BDH(C598,"PX_LAST",N598)</f>
        <v>#NAME?</v>
      </c>
      <c r="I598" s="15" t="e">
        <f t="shared" ca="1" si="155"/>
        <v>#NAME?</v>
      </c>
      <c r="J598" s="16" t="e">
        <f t="shared" ca="1" si="156"/>
        <v>#NAME?</v>
      </c>
      <c r="K598" s="15" t="e">
        <f t="shared" ca="1" si="157"/>
        <v>#NAME?</v>
      </c>
      <c r="L598" s="22" t="e">
        <f ca="1">_xll.BDH("RUB curncy","PX_LAST",$N598)</f>
        <v>#NAME?</v>
      </c>
      <c r="M598" s="85" t="e">
        <f ca="1">1/_xll.BDH("RUB curncy","PX_LAST",$N598)</f>
        <v>#NAME?</v>
      </c>
      <c r="N598" s="14">
        <v>41292</v>
      </c>
    </row>
    <row r="599" spans="2:14" x14ac:dyDescent="0.2">
      <c r="B599" s="21" t="s">
        <v>126</v>
      </c>
      <c r="C599" s="20" t="s">
        <v>13</v>
      </c>
      <c r="D599" s="18" t="e">
        <f ca="1">_xll.BDP(C599,"SECURITY_NAME")</f>
        <v>#NAME?</v>
      </c>
      <c r="E599" s="18" t="s">
        <v>50</v>
      </c>
      <c r="F599" s="19">
        <v>6000</v>
      </c>
      <c r="G599" s="18" t="e">
        <f ca="1">_xll.BDP(C599,"CRNCY")</f>
        <v>#NAME?</v>
      </c>
      <c r="H599" s="22" t="e">
        <f ca="1">_xll.BDH(C599,"PX_LAST",N599)</f>
        <v>#NAME?</v>
      </c>
      <c r="I599" s="15" t="e">
        <f t="shared" ca="1" si="155"/>
        <v>#NAME?</v>
      </c>
      <c r="J599" s="16" t="e">
        <f t="shared" ca="1" si="156"/>
        <v>#NAME?</v>
      </c>
      <c r="K599" s="15" t="e">
        <f t="shared" ca="1" si="157"/>
        <v>#NAME?</v>
      </c>
      <c r="L599" s="22" t="e">
        <f ca="1">_xll.BDH("RUB curncy","PX_LAST",$N599)</f>
        <v>#NAME?</v>
      </c>
      <c r="M599" s="85" t="e">
        <f ca="1">1/_xll.BDH("RUB curncy","PX_LAST",$N599)</f>
        <v>#NAME?</v>
      </c>
      <c r="N599" s="14">
        <v>41239</v>
      </c>
    </row>
    <row r="600" spans="2:14" x14ac:dyDescent="0.2">
      <c r="B600" s="21" t="s">
        <v>126</v>
      </c>
      <c r="C600" s="20" t="s">
        <v>13</v>
      </c>
      <c r="D600" s="18" t="e">
        <f ca="1">_xll.BDP(C600,"SECURITY_NAME")</f>
        <v>#NAME?</v>
      </c>
      <c r="E600" s="18" t="s">
        <v>50</v>
      </c>
      <c r="F600" s="19">
        <v>10800</v>
      </c>
      <c r="G600" s="18" t="e">
        <f ca="1">_xll.BDP(C600,"CRNCY")</f>
        <v>#NAME?</v>
      </c>
      <c r="H600" s="22" t="e">
        <f ca="1">_xll.BDH(C600,"PX_LAST",N600)</f>
        <v>#NAME?</v>
      </c>
      <c r="I600" s="15" t="e">
        <f t="shared" ca="1" si="155"/>
        <v>#NAME?</v>
      </c>
      <c r="J600" s="16" t="e">
        <f t="shared" ca="1" si="156"/>
        <v>#NAME?</v>
      </c>
      <c r="K600" s="15" t="e">
        <f t="shared" ca="1" si="157"/>
        <v>#NAME?</v>
      </c>
      <c r="L600" s="22" t="e">
        <f ca="1">_xll.BDH("RUB curncy","PX_LAST",$N600)</f>
        <v>#NAME?</v>
      </c>
      <c r="M600" s="85" t="e">
        <f ca="1">1/_xll.BDH("RUB curncy","PX_LAST",$N600)</f>
        <v>#NAME?</v>
      </c>
      <c r="N600" s="14">
        <v>41205</v>
      </c>
    </row>
    <row r="601" spans="2:14" x14ac:dyDescent="0.2">
      <c r="B601" s="21" t="s">
        <v>126</v>
      </c>
      <c r="C601" s="20" t="s">
        <v>13</v>
      </c>
      <c r="D601" s="18" t="e">
        <f ca="1">_xll.BDP(C601,"SECURITY_NAME")</f>
        <v>#NAME?</v>
      </c>
      <c r="E601" s="18" t="s">
        <v>50</v>
      </c>
      <c r="F601" s="19">
        <v>5150</v>
      </c>
      <c r="G601" s="18" t="e">
        <f ca="1">_xll.BDP(C601,"CRNCY")</f>
        <v>#NAME?</v>
      </c>
      <c r="H601" s="22" t="e">
        <f ca="1">_xll.BDH(C601,"PX_LAST",N601)</f>
        <v>#NAME?</v>
      </c>
      <c r="I601" s="15" t="e">
        <f t="shared" ca="1" si="155"/>
        <v>#NAME?</v>
      </c>
      <c r="J601" s="16" t="e">
        <f t="shared" ca="1" si="156"/>
        <v>#NAME?</v>
      </c>
      <c r="K601" s="15" t="e">
        <f t="shared" ca="1" si="157"/>
        <v>#NAME?</v>
      </c>
      <c r="L601" s="22" t="e">
        <f ca="1">_xll.BDH("RUB curncy","PX_LAST",$N601)</f>
        <v>#NAME?</v>
      </c>
      <c r="M601" s="85" t="e">
        <f ca="1">1/_xll.BDH("RUB curncy","PX_LAST",$N601)</f>
        <v>#NAME?</v>
      </c>
      <c r="N601" s="14">
        <v>41201</v>
      </c>
    </row>
    <row r="602" spans="2:14" x14ac:dyDescent="0.2">
      <c r="B602" s="71"/>
      <c r="C602" s="72"/>
      <c r="D602" s="73"/>
      <c r="E602" s="73"/>
      <c r="F602" s="79">
        <f>SUM(F591:F601)</f>
        <v>72244</v>
      </c>
      <c r="G602" s="73"/>
      <c r="H602" s="80" t="e">
        <f ca="1">I602/F602</f>
        <v>#NAME?</v>
      </c>
      <c r="I602" s="79" t="e">
        <f ca="1">SUM(I591:I601)</f>
        <v>#NAME?</v>
      </c>
      <c r="J602" s="79" t="e">
        <f ca="1">SUM(J591:J601)</f>
        <v>#NAME?</v>
      </c>
      <c r="K602" s="79" t="e">
        <f ca="1">SUM(K591:K601)</f>
        <v>#NAME?</v>
      </c>
      <c r="L602" s="75"/>
      <c r="M602" s="78"/>
      <c r="N602" s="14"/>
    </row>
    <row r="603" spans="2:14" x14ac:dyDescent="0.2">
      <c r="B603" s="71"/>
      <c r="C603" s="72"/>
      <c r="D603" s="73"/>
      <c r="E603" s="73"/>
      <c r="F603" s="79"/>
      <c r="G603" s="73"/>
      <c r="H603" s="80"/>
      <c r="I603" s="79"/>
      <c r="J603" s="79"/>
      <c r="K603" s="79"/>
      <c r="L603" s="75"/>
      <c r="M603" s="78"/>
      <c r="N603" s="14"/>
    </row>
    <row r="604" spans="2:14" x14ac:dyDescent="0.2">
      <c r="B604" s="71"/>
      <c r="C604" s="72"/>
      <c r="D604" s="73"/>
      <c r="E604" s="73"/>
      <c r="F604" s="79"/>
      <c r="G604" s="73"/>
      <c r="H604" s="80"/>
      <c r="I604" s="79"/>
      <c r="J604" s="79"/>
      <c r="K604" s="79"/>
      <c r="L604" s="75"/>
      <c r="M604" s="78"/>
      <c r="N604" s="14"/>
    </row>
    <row r="605" spans="2:14" x14ac:dyDescent="0.2">
      <c r="B605" s="21" t="s">
        <v>126</v>
      </c>
      <c r="C605" s="20" t="s">
        <v>63</v>
      </c>
      <c r="D605" s="18" t="e">
        <f ca="1">_xll.BDP(C605,"SECURITY_NAME")</f>
        <v>#NAME?</v>
      </c>
      <c r="E605" s="18" t="s">
        <v>50</v>
      </c>
      <c r="F605" s="19">
        <v>5100</v>
      </c>
      <c r="G605" s="18" t="e">
        <f ca="1">_xll.BDP(C605,"CRNCY")</f>
        <v>#NAME?</v>
      </c>
      <c r="H605" s="22">
        <v>2656.5</v>
      </c>
      <c r="I605" s="15">
        <f>F605*H605</f>
        <v>13548150</v>
      </c>
      <c r="J605" s="16" t="e">
        <f ca="1">I605/L605</f>
        <v>#NAME?</v>
      </c>
      <c r="K605" s="15" t="e">
        <f ca="1">J605*L605</f>
        <v>#NAME?</v>
      </c>
      <c r="L605" s="22" t="e">
        <f ca="1">_xll.BDH("RUB curncy","PX_LAST",$N605)</f>
        <v>#NAME?</v>
      </c>
      <c r="M605" s="85" t="e">
        <f ca="1">1/_xll.BDH("RUB curncy","PX_LAST",$N605)</f>
        <v>#NAME?</v>
      </c>
      <c r="N605" s="14">
        <v>42521</v>
      </c>
    </row>
    <row r="606" spans="2:14" x14ac:dyDescent="0.2">
      <c r="B606" s="21" t="s">
        <v>126</v>
      </c>
      <c r="C606" s="20" t="s">
        <v>63</v>
      </c>
      <c r="D606" s="18" t="e">
        <f ca="1">_xll.BDP(C606,"SECURITY_NAME")</f>
        <v>#NAME?</v>
      </c>
      <c r="E606" s="18" t="s">
        <v>50</v>
      </c>
      <c r="F606" s="19">
        <v>4900</v>
      </c>
      <c r="G606" s="18" t="e">
        <f ca="1">_xll.BDP(C606,"CRNCY")</f>
        <v>#NAME?</v>
      </c>
      <c r="H606" s="22">
        <v>2693.12</v>
      </c>
      <c r="I606" s="15">
        <f>F606*H606</f>
        <v>13196288</v>
      </c>
      <c r="J606" s="16" t="e">
        <f ca="1">I606/L606</f>
        <v>#NAME?</v>
      </c>
      <c r="K606" s="15" t="e">
        <f ca="1">J606*L606</f>
        <v>#NAME?</v>
      </c>
      <c r="L606" s="22" t="e">
        <f ca="1">_xll.BDH("RUB curncy","PX_LAST",$N606)</f>
        <v>#NAME?</v>
      </c>
      <c r="M606" s="85" t="e">
        <f ca="1">1/_xll.BDH("RUB curncy","PX_LAST",$N606)</f>
        <v>#NAME?</v>
      </c>
      <c r="N606" s="14">
        <v>42515</v>
      </c>
    </row>
    <row r="607" spans="2:14" x14ac:dyDescent="0.2">
      <c r="B607" s="21" t="s">
        <v>126</v>
      </c>
      <c r="C607" s="20" t="s">
        <v>63</v>
      </c>
      <c r="D607" s="18" t="e">
        <f ca="1">_xll.BDP(C607,"SECURITY_NAME")</f>
        <v>#NAME?</v>
      </c>
      <c r="E607" s="18" t="s">
        <v>50</v>
      </c>
      <c r="F607" s="19">
        <v>4510</v>
      </c>
      <c r="G607" s="18" t="e">
        <f ca="1">_xll.BDP(C607,"CRNCY")</f>
        <v>#NAME?</v>
      </c>
      <c r="H607" s="22">
        <v>2213.33</v>
      </c>
      <c r="I607" s="15">
        <f>F607*H607</f>
        <v>9982118.2999999989</v>
      </c>
      <c r="J607" s="16" t="e">
        <f ca="1">I607/L607</f>
        <v>#NAME?</v>
      </c>
      <c r="K607" s="15" t="e">
        <f ca="1">J607*L607</f>
        <v>#NAME?</v>
      </c>
      <c r="L607" s="22" t="e">
        <f ca="1">_xll.BDH("RUB curncy","PX_LAST",$N607)</f>
        <v>#NAME?</v>
      </c>
      <c r="M607" s="85" t="e">
        <f ca="1">1/_xll.BDH("RUB curncy","PX_LAST",$N607)</f>
        <v>#NAME?</v>
      </c>
      <c r="N607" s="14">
        <v>42271</v>
      </c>
    </row>
    <row r="608" spans="2:14" x14ac:dyDescent="0.2">
      <c r="B608" s="21" t="s">
        <v>126</v>
      </c>
      <c r="C608" s="20" t="s">
        <v>63</v>
      </c>
      <c r="D608" s="18" t="e">
        <f ca="1">_xll.BDP(C608,"SECURITY_NAME")</f>
        <v>#NAME?</v>
      </c>
      <c r="E608" s="18" t="s">
        <v>51</v>
      </c>
      <c r="F608" s="19">
        <v>-1140</v>
      </c>
      <c r="G608" s="18" t="e">
        <f ca="1">_xll.BDP(C608,"CRNCY")</f>
        <v>#NAME?</v>
      </c>
      <c r="H608" s="22" t="e">
        <f ca="1">_xll.BDH(C608,"PX_LAST",N608)</f>
        <v>#NAME?</v>
      </c>
      <c r="I608" s="15" t="e">
        <f ca="1">F608*H608</f>
        <v>#NAME?</v>
      </c>
      <c r="J608" s="16" t="e">
        <f ca="1">I608/L608</f>
        <v>#NAME?</v>
      </c>
      <c r="K608" s="15" t="e">
        <f ca="1">J608*L608</f>
        <v>#NAME?</v>
      </c>
      <c r="L608" s="22" t="e">
        <f ca="1">_xll.BDH("RUB curncy","PX_LAST",$N608)</f>
        <v>#NAME?</v>
      </c>
      <c r="M608" s="85" t="e">
        <f ca="1">1/_xll.BDH("RUB curncy","PX_LAST",$N608)</f>
        <v>#NAME?</v>
      </c>
      <c r="N608" s="14">
        <v>42048</v>
      </c>
    </row>
    <row r="609" spans="2:14" x14ac:dyDescent="0.2">
      <c r="B609" s="21" t="s">
        <v>126</v>
      </c>
      <c r="C609" s="20" t="s">
        <v>63</v>
      </c>
      <c r="D609" s="18" t="e">
        <f ca="1">_xll.BDP(C609,"SECURITY_NAME")</f>
        <v>#NAME?</v>
      </c>
      <c r="E609" s="18" t="s">
        <v>50</v>
      </c>
      <c r="F609" s="19">
        <v>9600</v>
      </c>
      <c r="G609" s="18" t="e">
        <f ca="1">_xll.BDP(C609,"CRNCY")</f>
        <v>#NAME?</v>
      </c>
      <c r="H609" s="22" t="e">
        <f ca="1">_xll.BDH(C609,"PX_LAST",N609)</f>
        <v>#NAME?</v>
      </c>
      <c r="I609" s="15" t="e">
        <f t="shared" ref="I609:I615" ca="1" si="158">F609*H609</f>
        <v>#NAME?</v>
      </c>
      <c r="J609" s="16" t="e">
        <f t="shared" ref="J609:J615" ca="1" si="159">I609/L609</f>
        <v>#NAME?</v>
      </c>
      <c r="K609" s="15" t="e">
        <f t="shared" ref="K609:K615" ca="1" si="160">J609*L609</f>
        <v>#NAME?</v>
      </c>
      <c r="L609" s="22" t="e">
        <f ca="1">_xll.BDH("RUB curncy","PX_LAST",$N609)</f>
        <v>#NAME?</v>
      </c>
      <c r="M609" s="85" t="e">
        <f ca="1">1/_xll.BDH("RUB curncy","PX_LAST",$N609)</f>
        <v>#NAME?</v>
      </c>
      <c r="N609" s="14">
        <v>41942</v>
      </c>
    </row>
    <row r="610" spans="2:14" x14ac:dyDescent="0.2">
      <c r="B610" s="21" t="s">
        <v>126</v>
      </c>
      <c r="C610" s="20" t="s">
        <v>63</v>
      </c>
      <c r="D610" s="18" t="e">
        <f ca="1">_xll.BDP(C610,"SECURITY_NAME")</f>
        <v>#NAME?</v>
      </c>
      <c r="E610" s="18" t="s">
        <v>50</v>
      </c>
      <c r="F610" s="19">
        <v>10000</v>
      </c>
      <c r="G610" s="18" t="e">
        <f ca="1">_xll.BDP(C610,"CRNCY")</f>
        <v>#NAME?</v>
      </c>
      <c r="H610" s="22" t="e">
        <f ca="1">_xll.BDH(C610,"PX_LAST",N610)</f>
        <v>#NAME?</v>
      </c>
      <c r="I610" s="15" t="e">
        <f t="shared" ca="1" si="158"/>
        <v>#NAME?</v>
      </c>
      <c r="J610" s="16" t="e">
        <f t="shared" ca="1" si="159"/>
        <v>#NAME?</v>
      </c>
      <c r="K610" s="15" t="e">
        <f t="shared" ca="1" si="160"/>
        <v>#NAME?</v>
      </c>
      <c r="L610" s="22" t="e">
        <f ca="1">_xll.BDH("RUB curncy","PX_LAST",$N610)</f>
        <v>#NAME?</v>
      </c>
      <c r="M610" s="85" t="e">
        <f ca="1">1/_xll.BDH("RUB curncy","PX_LAST",$N610)</f>
        <v>#NAME?</v>
      </c>
      <c r="N610" s="14">
        <v>41933</v>
      </c>
    </row>
    <row r="611" spans="2:14" x14ac:dyDescent="0.2">
      <c r="B611" s="21" t="s">
        <v>126</v>
      </c>
      <c r="C611" s="20" t="s">
        <v>63</v>
      </c>
      <c r="D611" s="18" t="e">
        <f ca="1">_xll.BDP(C611,"SECURITY_NAME")</f>
        <v>#NAME?</v>
      </c>
      <c r="E611" s="18" t="s">
        <v>50</v>
      </c>
      <c r="F611" s="19">
        <v>1270</v>
      </c>
      <c r="G611" s="18" t="e">
        <f ca="1">_xll.BDP(C611,"CRNCY")</f>
        <v>#NAME?</v>
      </c>
      <c r="H611" s="22" t="e">
        <f ca="1">_xll.BDH(C611,"PX_LAST",N611)</f>
        <v>#NAME?</v>
      </c>
      <c r="I611" s="15" t="e">
        <f t="shared" ca="1" si="158"/>
        <v>#NAME?</v>
      </c>
      <c r="J611" s="16" t="e">
        <f t="shared" ca="1" si="159"/>
        <v>#NAME?</v>
      </c>
      <c r="K611" s="15" t="e">
        <f t="shared" ca="1" si="160"/>
        <v>#NAME?</v>
      </c>
      <c r="L611" s="22" t="e">
        <f ca="1">_xll.BDH("RUB curncy","PX_LAST",$N611)</f>
        <v>#NAME?</v>
      </c>
      <c r="M611" s="85" t="e">
        <f ca="1">1/_xll.BDH("RUB curncy","PX_LAST",$N611)</f>
        <v>#NAME?</v>
      </c>
      <c r="N611" s="14">
        <v>41928</v>
      </c>
    </row>
    <row r="612" spans="2:14" x14ac:dyDescent="0.2">
      <c r="B612" s="21" t="s">
        <v>126</v>
      </c>
      <c r="C612" s="20" t="s">
        <v>63</v>
      </c>
      <c r="D612" s="18" t="e">
        <f ca="1">_xll.BDP(C612,"SECURITY_NAME")</f>
        <v>#NAME?</v>
      </c>
      <c r="E612" s="18" t="s">
        <v>50</v>
      </c>
      <c r="F612" s="19">
        <v>5000</v>
      </c>
      <c r="G612" s="18" t="e">
        <f ca="1">_xll.BDP(C612,"CRNCY")</f>
        <v>#NAME?</v>
      </c>
      <c r="H612" s="22" t="e">
        <f ca="1">_xll.BDH(C612,"PX_LAST",N612)</f>
        <v>#NAME?</v>
      </c>
      <c r="I612" s="15" t="e">
        <f t="shared" ca="1" si="158"/>
        <v>#NAME?</v>
      </c>
      <c r="J612" s="16" t="e">
        <f t="shared" ca="1" si="159"/>
        <v>#NAME?</v>
      </c>
      <c r="K612" s="15" t="e">
        <f t="shared" ca="1" si="160"/>
        <v>#NAME?</v>
      </c>
      <c r="L612" s="22" t="e">
        <f ca="1">_xll.BDH("RUB curncy","PX_LAST",$N612)</f>
        <v>#NAME?</v>
      </c>
      <c r="M612" s="85" t="e">
        <f ca="1">1/_xll.BDH("RUB curncy","PX_LAST",$N612)</f>
        <v>#NAME?</v>
      </c>
      <c r="N612" s="14">
        <v>41673</v>
      </c>
    </row>
    <row r="613" spans="2:14" x14ac:dyDescent="0.2">
      <c r="B613" s="21" t="s">
        <v>126</v>
      </c>
      <c r="C613" s="20" t="s">
        <v>63</v>
      </c>
      <c r="D613" s="18" t="e">
        <f ca="1">_xll.BDP(C613,"SECURITY_NAME")</f>
        <v>#NAME?</v>
      </c>
      <c r="E613" s="18" t="s">
        <v>50</v>
      </c>
      <c r="F613" s="19">
        <v>3350</v>
      </c>
      <c r="G613" s="18" t="e">
        <f ca="1">_xll.BDP(C613,"CRNCY")</f>
        <v>#NAME?</v>
      </c>
      <c r="H613" s="22" t="e">
        <f ca="1">_xll.BDH(C613,"PX_LAST",N613)</f>
        <v>#NAME?</v>
      </c>
      <c r="I613" s="15" t="e">
        <f t="shared" ca="1" si="158"/>
        <v>#NAME?</v>
      </c>
      <c r="J613" s="16" t="e">
        <f t="shared" ca="1" si="159"/>
        <v>#NAME?</v>
      </c>
      <c r="K613" s="15" t="e">
        <f t="shared" ca="1" si="160"/>
        <v>#NAME?</v>
      </c>
      <c r="L613" s="22" t="e">
        <f ca="1">_xll.BDH("RUB curncy","PX_LAST",$N613)</f>
        <v>#NAME?</v>
      </c>
      <c r="M613" s="85" t="e">
        <f ca="1">1/_xll.BDH("RUB curncy","PX_LAST",$N613)</f>
        <v>#NAME?</v>
      </c>
      <c r="N613" s="14">
        <v>41647</v>
      </c>
    </row>
    <row r="614" spans="2:14" x14ac:dyDescent="0.2">
      <c r="B614" s="21" t="s">
        <v>126</v>
      </c>
      <c r="C614" s="20" t="s">
        <v>63</v>
      </c>
      <c r="D614" s="18" t="e">
        <f ca="1">_xll.BDP(C614,"SECURITY_NAME")</f>
        <v>#NAME?</v>
      </c>
      <c r="E614" s="18" t="s">
        <v>50</v>
      </c>
      <c r="F614" s="19">
        <v>8000</v>
      </c>
      <c r="G614" s="18" t="e">
        <f ca="1">_xll.BDP(C614,"CRNCY")</f>
        <v>#NAME?</v>
      </c>
      <c r="H614" s="22" t="e">
        <f ca="1">_xll.BDH(C614,"PX_LAST",N614)</f>
        <v>#NAME?</v>
      </c>
      <c r="I614" s="15" t="e">
        <f t="shared" ca="1" si="158"/>
        <v>#NAME?</v>
      </c>
      <c r="J614" s="16" t="e">
        <f t="shared" ca="1" si="159"/>
        <v>#NAME?</v>
      </c>
      <c r="K614" s="15" t="e">
        <f t="shared" ca="1" si="160"/>
        <v>#NAME?</v>
      </c>
      <c r="L614" s="22" t="e">
        <f ca="1">_xll.BDH("RUB curncy","PX_LAST",$N614)</f>
        <v>#NAME?</v>
      </c>
      <c r="M614" s="85" t="e">
        <f ca="1">1/_xll.BDH("RUB curncy","PX_LAST",$N614)</f>
        <v>#NAME?</v>
      </c>
      <c r="N614" s="14">
        <v>41702</v>
      </c>
    </row>
    <row r="615" spans="2:14" x14ac:dyDescent="0.2">
      <c r="B615" s="21" t="s">
        <v>126</v>
      </c>
      <c r="C615" s="20" t="s">
        <v>63</v>
      </c>
      <c r="D615" s="18" t="e">
        <f ca="1">_xll.BDP(C615,"SECURITY_NAME")</f>
        <v>#NAME?</v>
      </c>
      <c r="E615" s="18" t="s">
        <v>50</v>
      </c>
      <c r="F615" s="19">
        <v>8273</v>
      </c>
      <c r="G615" s="18" t="e">
        <f ca="1">_xll.BDP(C615,"CRNCY")</f>
        <v>#NAME?</v>
      </c>
      <c r="H615" s="22" t="e">
        <f ca="1">_xll.BDH(C615,"PX_LAST",N615)</f>
        <v>#NAME?</v>
      </c>
      <c r="I615" s="15" t="e">
        <f t="shared" ca="1" si="158"/>
        <v>#NAME?</v>
      </c>
      <c r="J615" s="16" t="e">
        <f t="shared" ca="1" si="159"/>
        <v>#NAME?</v>
      </c>
      <c r="K615" s="15" t="e">
        <f t="shared" ca="1" si="160"/>
        <v>#NAME?</v>
      </c>
      <c r="L615" s="22" t="e">
        <f ca="1">_xll.BDH("RUB curncy","PX_LAST",$N615)</f>
        <v>#NAME?</v>
      </c>
      <c r="M615" s="85" t="e">
        <f ca="1">1/_xll.BDH("RUB curncy","PX_LAST",$N615)</f>
        <v>#NAME?</v>
      </c>
      <c r="N615" s="14">
        <v>41682</v>
      </c>
    </row>
    <row r="616" spans="2:14" x14ac:dyDescent="0.2">
      <c r="B616" s="71"/>
      <c r="C616" s="72"/>
      <c r="D616" s="73"/>
      <c r="E616" s="73"/>
      <c r="F616" s="79">
        <f>SUM(F605:F615)</f>
        <v>58863</v>
      </c>
      <c r="G616" s="73"/>
      <c r="H616" s="410" t="e">
        <f ca="1">I616/F616</f>
        <v>#NAME?</v>
      </c>
      <c r="I616" s="79" t="e">
        <f ca="1">SUM(I605:I615)</f>
        <v>#NAME?</v>
      </c>
      <c r="J616" s="79" t="e">
        <f ca="1">SUM(J605:J615)</f>
        <v>#NAME?</v>
      </c>
      <c r="K616" s="79" t="e">
        <f ca="1">SUM(K605:K615)</f>
        <v>#NAME?</v>
      </c>
      <c r="L616" s="75"/>
      <c r="M616" s="86"/>
      <c r="N616" s="14"/>
    </row>
    <row r="617" spans="2:14" x14ac:dyDescent="0.2">
      <c r="B617" s="71"/>
      <c r="C617" s="72"/>
      <c r="D617" s="73"/>
      <c r="E617" s="73"/>
      <c r="F617" s="74"/>
      <c r="G617" s="73"/>
      <c r="H617" s="75"/>
      <c r="I617" s="76"/>
      <c r="J617" s="77"/>
      <c r="K617" s="76"/>
      <c r="L617" s="75"/>
      <c r="M617" s="86"/>
      <c r="N617" s="14"/>
    </row>
    <row r="618" spans="2:14" x14ac:dyDescent="0.2">
      <c r="B618" s="21" t="s">
        <v>126</v>
      </c>
      <c r="C618" s="20" t="s">
        <v>18</v>
      </c>
      <c r="D618" s="18" t="e">
        <f ca="1">_xll.BDP(C618,"SECURITY_NAME")</f>
        <v>#NAME?</v>
      </c>
      <c r="E618" s="18" t="s">
        <v>50</v>
      </c>
      <c r="F618" s="19">
        <v>25000</v>
      </c>
      <c r="G618" s="18" t="e">
        <f ca="1">_xll.BDP(C618,"CRNCY")</f>
        <v>#NAME?</v>
      </c>
      <c r="H618" s="22" t="e">
        <f ca="1">_xll.BDH(C618,"PX_LAST",N618)</f>
        <v>#NAME?</v>
      </c>
      <c r="I618" s="15" t="e">
        <f ca="1">F618*H618</f>
        <v>#NAME?</v>
      </c>
      <c r="J618" s="16" t="e">
        <f ca="1">I618/L618</f>
        <v>#NAME?</v>
      </c>
      <c r="K618" s="15" t="e">
        <f ca="1">J618*L618</f>
        <v>#NAME?</v>
      </c>
      <c r="L618" s="22" t="e">
        <f ca="1">_xll.BDH("RUB curncy","PX_LAST",$N618)</f>
        <v>#NAME?</v>
      </c>
      <c r="M618" s="85" t="e">
        <f ca="1">1/_xll.BDH("RUB curncy","PX_LAST",$N618)</f>
        <v>#NAME?</v>
      </c>
      <c r="N618" s="14">
        <v>41991</v>
      </c>
    </row>
    <row r="619" spans="2:14" x14ac:dyDescent="0.2">
      <c r="B619" s="21" t="s">
        <v>126</v>
      </c>
      <c r="C619" s="20" t="s">
        <v>18</v>
      </c>
      <c r="D619" s="18" t="e">
        <f ca="1">_xll.BDP(C619,"SECURITY_NAME")</f>
        <v>#NAME?</v>
      </c>
      <c r="E619" s="18" t="s">
        <v>50</v>
      </c>
      <c r="F619" s="19">
        <v>31000</v>
      </c>
      <c r="G619" s="18" t="e">
        <f ca="1">_xll.BDP(C619,"CRNCY")</f>
        <v>#NAME?</v>
      </c>
      <c r="H619" s="22" t="e">
        <f ca="1">_xll.BDH(C619,"PX_LAST",N619)</f>
        <v>#NAME?</v>
      </c>
      <c r="I619" s="15" t="e">
        <f ca="1">F619*H619</f>
        <v>#NAME?</v>
      </c>
      <c r="J619" s="16" t="e">
        <f ca="1">I619/L619</f>
        <v>#NAME?</v>
      </c>
      <c r="K619" s="15" t="e">
        <f ca="1">J619*L619</f>
        <v>#NAME?</v>
      </c>
      <c r="L619" s="22" t="e">
        <f ca="1">_xll.BDH("RUB curncy","PX_LAST",$N619)</f>
        <v>#NAME?</v>
      </c>
      <c r="M619" s="85" t="e">
        <f ca="1">1/_xll.BDH("RUB curncy","PX_LAST",$N619)</f>
        <v>#NAME?</v>
      </c>
      <c r="N619" s="14">
        <v>41990</v>
      </c>
    </row>
    <row r="620" spans="2:14" x14ac:dyDescent="0.2">
      <c r="B620" s="21" t="s">
        <v>126</v>
      </c>
      <c r="C620" s="20" t="s">
        <v>18</v>
      </c>
      <c r="D620" s="18" t="e">
        <f ca="1">_xll.BDP(C620,"SECURITY_NAME")</f>
        <v>#NAME?</v>
      </c>
      <c r="E620" s="18" t="s">
        <v>50</v>
      </c>
      <c r="F620" s="19">
        <v>60000</v>
      </c>
      <c r="G620" s="18" t="e">
        <f ca="1">_xll.BDP(C620,"CRNCY")</f>
        <v>#NAME?</v>
      </c>
      <c r="H620" s="22" t="e">
        <f ca="1">_xll.BDH(C620,"PX_LAST",N620)</f>
        <v>#NAME?</v>
      </c>
      <c r="I620" s="15" t="e">
        <f ca="1">F620*H620</f>
        <v>#NAME?</v>
      </c>
      <c r="J620" s="16" t="e">
        <f ca="1">I620/L620</f>
        <v>#NAME?</v>
      </c>
      <c r="K620" s="15" t="e">
        <f ca="1">J620*L620</f>
        <v>#NAME?</v>
      </c>
      <c r="L620" s="22" t="e">
        <f ca="1">_xll.BDH("RUB curncy","PX_LAST",$N620)</f>
        <v>#NAME?</v>
      </c>
      <c r="M620" s="85" t="e">
        <f ca="1">1/_xll.BDH("RUB curncy","PX_LAST",$N620)</f>
        <v>#NAME?</v>
      </c>
      <c r="N620" s="14">
        <v>41989</v>
      </c>
    </row>
    <row r="621" spans="2:14" x14ac:dyDescent="0.2">
      <c r="B621" s="21" t="s">
        <v>126</v>
      </c>
      <c r="C621" s="20" t="s">
        <v>18</v>
      </c>
      <c r="D621" s="18" t="e">
        <f ca="1">_xll.BDP(C621,"SECURITY_NAME")</f>
        <v>#NAME?</v>
      </c>
      <c r="E621" s="18" t="s">
        <v>50</v>
      </c>
      <c r="F621" s="19">
        <v>11600</v>
      </c>
      <c r="G621" s="18" t="e">
        <f ca="1">_xll.BDP(C621,"CRNCY")</f>
        <v>#NAME?</v>
      </c>
      <c r="H621" s="22" t="e">
        <f ca="1">_xll.BDH(C621,"PX_LAST",N621)</f>
        <v>#NAME?</v>
      </c>
      <c r="I621" s="15" t="e">
        <f t="shared" ref="I621:I626" ca="1" si="161">F621*H621</f>
        <v>#NAME?</v>
      </c>
      <c r="J621" s="16" t="e">
        <f t="shared" ref="J621:J626" ca="1" si="162">I621/L621</f>
        <v>#NAME?</v>
      </c>
      <c r="K621" s="15" t="e">
        <f t="shared" ref="K621:K626" ca="1" si="163">J621*L621</f>
        <v>#NAME?</v>
      </c>
      <c r="L621" s="22" t="e">
        <f ca="1">_xll.BDH("RUB curncy","PX_LAST",$N621)</f>
        <v>#NAME?</v>
      </c>
      <c r="M621" s="85" t="e">
        <f ca="1">1/_xll.BDH("RUB curncy","PX_LAST",$N621)</f>
        <v>#NAME?</v>
      </c>
      <c r="N621" s="14">
        <v>41955</v>
      </c>
    </row>
    <row r="622" spans="2:14" x14ac:dyDescent="0.2">
      <c r="B622" s="21" t="s">
        <v>126</v>
      </c>
      <c r="C622" s="20" t="s">
        <v>18</v>
      </c>
      <c r="D622" s="18" t="e">
        <f ca="1">_xll.BDP(C622,"SECURITY_NAME")</f>
        <v>#NAME?</v>
      </c>
      <c r="E622" s="18" t="s">
        <v>50</v>
      </c>
      <c r="F622" s="19">
        <v>70000</v>
      </c>
      <c r="G622" s="18" t="e">
        <f ca="1">_xll.BDP(C622,"CRNCY")</f>
        <v>#NAME?</v>
      </c>
      <c r="H622" s="22" t="e">
        <f ca="1">_xll.BDH(C622,"PX_LAST",N622)</f>
        <v>#NAME?</v>
      </c>
      <c r="I622" s="15" t="e">
        <f t="shared" ca="1" si="161"/>
        <v>#NAME?</v>
      </c>
      <c r="J622" s="16" t="e">
        <f t="shared" ca="1" si="162"/>
        <v>#NAME?</v>
      </c>
      <c r="K622" s="15" t="e">
        <f t="shared" ca="1" si="163"/>
        <v>#NAME?</v>
      </c>
      <c r="L622" s="22" t="e">
        <f ca="1">_xll.BDH("RUB curncy","PX_LAST",$N622)</f>
        <v>#NAME?</v>
      </c>
      <c r="M622" s="85" t="e">
        <f ca="1">1/_xll.BDH("RUB curncy","PX_LAST",$N622)</f>
        <v>#NAME?</v>
      </c>
      <c r="N622" s="14">
        <v>41949</v>
      </c>
    </row>
    <row r="623" spans="2:14" x14ac:dyDescent="0.2">
      <c r="B623" s="21" t="s">
        <v>126</v>
      </c>
      <c r="C623" s="20" t="s">
        <v>18</v>
      </c>
      <c r="D623" s="18" t="e">
        <f ca="1">_xll.BDP(C623,"SECURITY_NAME")</f>
        <v>#NAME?</v>
      </c>
      <c r="E623" s="18" t="s">
        <v>50</v>
      </c>
      <c r="F623" s="19">
        <v>87500</v>
      </c>
      <c r="G623" s="18" t="e">
        <f ca="1">_xll.BDP(C623,"CRNCY")</f>
        <v>#NAME?</v>
      </c>
      <c r="H623" s="22" t="e">
        <f ca="1">_xll.BDH(C623,"PX_LAST",N623)</f>
        <v>#NAME?</v>
      </c>
      <c r="I623" s="15" t="e">
        <f t="shared" ca="1" si="161"/>
        <v>#NAME?</v>
      </c>
      <c r="J623" s="16" t="e">
        <f t="shared" ca="1" si="162"/>
        <v>#NAME?</v>
      </c>
      <c r="K623" s="15" t="e">
        <f t="shared" ca="1" si="163"/>
        <v>#NAME?</v>
      </c>
      <c r="L623" s="22" t="e">
        <f ca="1">_xll.BDH("RUB curncy","PX_LAST",$N623)</f>
        <v>#NAME?</v>
      </c>
      <c r="M623" s="85" t="e">
        <f ca="1">1/_xll.BDH("RUB curncy","PX_LAST",$N623)</f>
        <v>#NAME?</v>
      </c>
      <c r="N623" s="14">
        <v>41933</v>
      </c>
    </row>
    <row r="624" spans="2:14" x14ac:dyDescent="0.2">
      <c r="B624" s="21" t="s">
        <v>126</v>
      </c>
      <c r="C624" s="20" t="s">
        <v>18</v>
      </c>
      <c r="D624" s="18" t="e">
        <f ca="1">_xll.BDP(C624,"SECURITY_NAME")</f>
        <v>#NAME?</v>
      </c>
      <c r="E624" s="18" t="s">
        <v>50</v>
      </c>
      <c r="F624" s="19">
        <v>11500</v>
      </c>
      <c r="G624" s="18" t="e">
        <f ca="1">_xll.BDP(C624,"CRNCY")</f>
        <v>#NAME?</v>
      </c>
      <c r="H624" s="22" t="e">
        <f ca="1">_xll.BDH(C624,"PX_LAST",N624)</f>
        <v>#NAME?</v>
      </c>
      <c r="I624" s="15" t="e">
        <f t="shared" ca="1" si="161"/>
        <v>#NAME?</v>
      </c>
      <c r="J624" s="16" t="e">
        <f t="shared" ca="1" si="162"/>
        <v>#NAME?</v>
      </c>
      <c r="K624" s="15" t="e">
        <f t="shared" ca="1" si="163"/>
        <v>#NAME?</v>
      </c>
      <c r="L624" s="22" t="e">
        <f ca="1">_xll.BDH("RUB curncy","PX_LAST",$N624)</f>
        <v>#NAME?</v>
      </c>
      <c r="M624" s="85" t="e">
        <f ca="1">1/_xll.BDH("RUB curncy","PX_LAST",$N624)</f>
        <v>#NAME?</v>
      </c>
      <c r="N624" s="14">
        <v>41928</v>
      </c>
    </row>
    <row r="625" spans="2:14" x14ac:dyDescent="0.2">
      <c r="B625" s="21" t="s">
        <v>126</v>
      </c>
      <c r="C625" s="20" t="s">
        <v>18</v>
      </c>
      <c r="D625" s="18" t="e">
        <f ca="1">_xll.BDP(C625,"SECURITY_NAME")</f>
        <v>#NAME?</v>
      </c>
      <c r="E625" s="18" t="s">
        <v>50</v>
      </c>
      <c r="F625" s="19">
        <v>17900</v>
      </c>
      <c r="G625" s="18" t="e">
        <f ca="1">_xll.BDP(C625,"CRNCY")</f>
        <v>#NAME?</v>
      </c>
      <c r="H625" s="22" t="e">
        <f ca="1">_xll.BDH(C625,"PX_LAST",N625)</f>
        <v>#NAME?</v>
      </c>
      <c r="I625" s="15" t="e">
        <f t="shared" ca="1" si="161"/>
        <v>#NAME?</v>
      </c>
      <c r="J625" s="16" t="e">
        <f t="shared" ca="1" si="162"/>
        <v>#NAME?</v>
      </c>
      <c r="K625" s="15" t="e">
        <f t="shared" ca="1" si="163"/>
        <v>#NAME?</v>
      </c>
      <c r="L625" s="22" t="e">
        <f ca="1">_xll.BDH("RUB curncy","PX_LAST",$N625)</f>
        <v>#NAME?</v>
      </c>
      <c r="M625" s="85" t="e">
        <f ca="1">1/_xll.BDH("RUB curncy","PX_LAST",$N625)</f>
        <v>#NAME?</v>
      </c>
      <c r="N625" s="14">
        <v>41900</v>
      </c>
    </row>
    <row r="626" spans="2:14" x14ac:dyDescent="0.2">
      <c r="B626" s="21" t="s">
        <v>126</v>
      </c>
      <c r="C626" s="20" t="s">
        <v>18</v>
      </c>
      <c r="D626" s="18" t="e">
        <f ca="1">_xll.BDP(C626,"SECURITY_NAME")</f>
        <v>#NAME?</v>
      </c>
      <c r="E626" s="18" t="s">
        <v>50</v>
      </c>
      <c r="F626" s="19">
        <v>26400</v>
      </c>
      <c r="G626" s="18" t="e">
        <f ca="1">_xll.BDP(C626,"CRNCY")</f>
        <v>#NAME?</v>
      </c>
      <c r="H626" s="22" t="e">
        <f ca="1">_xll.BDH(C626,"PX_LAST",N626)</f>
        <v>#NAME?</v>
      </c>
      <c r="I626" s="15" t="e">
        <f t="shared" ca="1" si="161"/>
        <v>#NAME?</v>
      </c>
      <c r="J626" s="16" t="e">
        <f t="shared" ca="1" si="162"/>
        <v>#NAME?</v>
      </c>
      <c r="K626" s="15" t="e">
        <f t="shared" ca="1" si="163"/>
        <v>#NAME?</v>
      </c>
      <c r="L626" s="22" t="e">
        <f ca="1">_xll.BDH("RUB curncy","PX_LAST",$N626)</f>
        <v>#NAME?</v>
      </c>
      <c r="M626" s="85" t="e">
        <f ca="1">1/_xll.BDH("RUB curncy","PX_LAST",$N626)</f>
        <v>#NAME?</v>
      </c>
      <c r="N626" s="14">
        <v>41607</v>
      </c>
    </row>
    <row r="627" spans="2:14" x14ac:dyDescent="0.2">
      <c r="B627" s="71"/>
      <c r="C627" s="72"/>
      <c r="D627" s="73"/>
      <c r="E627" s="73"/>
      <c r="F627" s="79">
        <f>SUM(F618:F626)</f>
        <v>340900</v>
      </c>
      <c r="G627" s="73"/>
      <c r="H627" s="80" t="e">
        <f ca="1">I627/F627</f>
        <v>#NAME?</v>
      </c>
      <c r="I627" s="79" t="e">
        <f ca="1">SUM(I618:I626)</f>
        <v>#NAME?</v>
      </c>
      <c r="J627" s="79" t="e">
        <f ca="1">SUM(J618:J626)</f>
        <v>#NAME?</v>
      </c>
      <c r="K627" s="79" t="e">
        <f ca="1">SUM(K618:K626)</f>
        <v>#NAME?</v>
      </c>
      <c r="L627" s="75"/>
      <c r="M627" s="78"/>
      <c r="N627" s="14"/>
    </row>
    <row r="628" spans="2:14" x14ac:dyDescent="0.2">
      <c r="B628" s="71"/>
      <c r="C628" s="72"/>
      <c r="D628" s="73"/>
      <c r="E628" s="73"/>
      <c r="F628" s="79"/>
      <c r="G628" s="73"/>
      <c r="H628" s="80"/>
      <c r="I628" s="79"/>
      <c r="J628" s="79"/>
      <c r="K628" s="79"/>
      <c r="L628" s="75"/>
      <c r="M628" s="78"/>
      <c r="N628" s="14"/>
    </row>
    <row r="629" spans="2:14" x14ac:dyDescent="0.2">
      <c r="B629" s="21" t="s">
        <v>126</v>
      </c>
      <c r="C629" s="20" t="s">
        <v>139</v>
      </c>
      <c r="D629" s="18" t="e">
        <f ca="1">_xll.BDP(C629,"SECURITY_NAME")</f>
        <v>#NAME?</v>
      </c>
      <c r="E629" s="18" t="s">
        <v>50</v>
      </c>
      <c r="F629" s="19">
        <v>22000</v>
      </c>
      <c r="G629" s="18" t="e">
        <f ca="1">_xll.BDP(C629,"CRNCY")</f>
        <v>#NAME?</v>
      </c>
      <c r="H629" s="22" t="e">
        <f ca="1">_xll.BDH(C629,"PX_LAST",N629)</f>
        <v>#NAME?</v>
      </c>
      <c r="I629" s="15" t="e">
        <f ca="1">F629*H629</f>
        <v>#NAME?</v>
      </c>
      <c r="J629" s="16" t="e">
        <f ca="1">I629</f>
        <v>#NAME?</v>
      </c>
      <c r="K629" s="15" t="e">
        <f ca="1">J629*L629</f>
        <v>#NAME?</v>
      </c>
      <c r="L629" s="22" t="e">
        <f ca="1">_xll.BDH("RUB curncy","PX_LAST",$N629)</f>
        <v>#NAME?</v>
      </c>
      <c r="M629" s="85" t="e">
        <f ca="1">1/_xll.BDH("RUB curncy","PX_LAST",$N629)</f>
        <v>#NAME?</v>
      </c>
      <c r="N629" s="14">
        <v>41075</v>
      </c>
    </row>
    <row r="630" spans="2:14" x14ac:dyDescent="0.2">
      <c r="B630" s="21" t="s">
        <v>126</v>
      </c>
      <c r="C630" s="20" t="s">
        <v>139</v>
      </c>
      <c r="D630" s="18" t="e">
        <f ca="1">_xll.BDP(C630,"SECURITY_NAME")</f>
        <v>#NAME?</v>
      </c>
      <c r="E630" s="18" t="s">
        <v>50</v>
      </c>
      <c r="F630" s="19">
        <v>20751</v>
      </c>
      <c r="G630" s="18" t="e">
        <f ca="1">_xll.BDP(C630,"CRNCY")</f>
        <v>#NAME?</v>
      </c>
      <c r="H630" s="22" t="e">
        <f ca="1">_xll.BDH(C630,"PX_LAST",N630)</f>
        <v>#NAME?</v>
      </c>
      <c r="I630" s="15" t="e">
        <f ca="1">F630*H630</f>
        <v>#NAME?</v>
      </c>
      <c r="J630" s="16" t="e">
        <f ca="1">I630</f>
        <v>#NAME?</v>
      </c>
      <c r="K630" s="15" t="e">
        <f ca="1">J630*L630</f>
        <v>#NAME?</v>
      </c>
      <c r="L630" s="22" t="e">
        <f ca="1">_xll.BDH("RUB curncy","PX_LAST",$N630)</f>
        <v>#NAME?</v>
      </c>
      <c r="M630" s="85" t="e">
        <f ca="1">1/_xll.BDH("RUB curncy","PX_LAST",$N630)</f>
        <v>#NAME?</v>
      </c>
      <c r="N630" s="14">
        <v>41073</v>
      </c>
    </row>
    <row r="631" spans="2:14" x14ac:dyDescent="0.2">
      <c r="B631" s="71"/>
      <c r="C631" s="72"/>
      <c r="D631" s="73"/>
      <c r="E631" s="73"/>
      <c r="F631" s="79">
        <f>SUM(F629:F630)</f>
        <v>42751</v>
      </c>
      <c r="G631" s="73"/>
      <c r="H631" s="80" t="e">
        <f ca="1">I631/F631</f>
        <v>#NAME?</v>
      </c>
      <c r="I631" s="79" t="e">
        <f ca="1">SUM(I629:I630)</f>
        <v>#NAME?</v>
      </c>
      <c r="J631" s="79" t="e">
        <f ca="1">SUM(J629:J630)</f>
        <v>#NAME?</v>
      </c>
      <c r="K631" s="79" t="e">
        <f ca="1">SUM(K629:K630)</f>
        <v>#NAME?</v>
      </c>
      <c r="L631" s="75"/>
      <c r="M631" s="78"/>
      <c r="N631" s="14"/>
    </row>
    <row r="632" spans="2:14" x14ac:dyDescent="0.2">
      <c r="B632" s="71"/>
      <c r="C632" s="72"/>
      <c r="D632" s="73"/>
      <c r="E632" s="73"/>
      <c r="F632" s="79"/>
      <c r="G632" s="73"/>
      <c r="H632" s="75"/>
      <c r="I632" s="79"/>
      <c r="J632" s="79"/>
      <c r="K632" s="79"/>
      <c r="L632" s="75"/>
      <c r="M632" s="78"/>
      <c r="N632" s="14"/>
    </row>
    <row r="633" spans="2:14" x14ac:dyDescent="0.2">
      <c r="B633" s="21" t="s">
        <v>126</v>
      </c>
      <c r="C633" s="20" t="s">
        <v>71</v>
      </c>
      <c r="D633" s="18" t="e">
        <f ca="1">_xll.BDP(C633,"SECURITY_NAME")</f>
        <v>#NAME?</v>
      </c>
      <c r="E633" s="18" t="s">
        <v>50</v>
      </c>
      <c r="F633" s="19">
        <v>8200</v>
      </c>
      <c r="G633" s="18" t="e">
        <f ca="1">_xll.BDP(C633,"CRNCY")</f>
        <v>#NAME?</v>
      </c>
      <c r="H633" s="22" t="e">
        <f ca="1">_xll.BDH(C633,"PX_LAST",N633)/100</f>
        <v>#NAME?</v>
      </c>
      <c r="I633" s="15" t="e">
        <f t="shared" ref="I633:I653" ca="1" si="164">F633*H633</f>
        <v>#NAME?</v>
      </c>
      <c r="J633" s="16" t="e">
        <f t="shared" ref="J633:J653" ca="1" si="165">I633*L633</f>
        <v>#NAME?</v>
      </c>
      <c r="K633" s="15" t="e">
        <f ca="1">J633*M633</f>
        <v>#NAME?</v>
      </c>
      <c r="L633" s="22" t="e">
        <f ca="1">_xll.BDH("GBP curncy","PX_LAST",$N633)</f>
        <v>#NAME?</v>
      </c>
      <c r="M633" s="85" t="e">
        <f ca="1">_xll.BDH("RUB curncy","PX_LAST",$N633)</f>
        <v>#NAME?</v>
      </c>
      <c r="N633" s="14">
        <v>41907</v>
      </c>
    </row>
    <row r="634" spans="2:14" x14ac:dyDescent="0.2">
      <c r="B634" s="21" t="s">
        <v>126</v>
      </c>
      <c r="C634" s="20" t="s">
        <v>71</v>
      </c>
      <c r="D634" s="18" t="e">
        <f ca="1">_xll.BDP(C634,"SECURITY_NAME")</f>
        <v>#NAME?</v>
      </c>
      <c r="E634" s="18" t="s">
        <v>50</v>
      </c>
      <c r="F634" s="19">
        <v>15800</v>
      </c>
      <c r="G634" s="18" t="e">
        <f ca="1">_xll.BDP(C634,"CRNCY")</f>
        <v>#NAME?</v>
      </c>
      <c r="H634" s="22" t="e">
        <f ca="1">_xll.BDH(C634,"PX_LAST",N634)/100</f>
        <v>#NAME?</v>
      </c>
      <c r="I634" s="15" t="e">
        <f t="shared" ca="1" si="164"/>
        <v>#NAME?</v>
      </c>
      <c r="J634" s="16" t="e">
        <f t="shared" ca="1" si="165"/>
        <v>#NAME?</v>
      </c>
      <c r="K634" s="15" t="e">
        <f t="shared" ref="K634:K653" ca="1" si="166">J634*M634</f>
        <v>#NAME?</v>
      </c>
      <c r="L634" s="22" t="e">
        <f ca="1">_xll.BDH("GBP curncy","PX_LAST",$N634)</f>
        <v>#NAME?</v>
      </c>
      <c r="M634" s="85" t="e">
        <f ca="1">_xll.BDH("RUB curncy","PX_LAST",$N634)</f>
        <v>#NAME?</v>
      </c>
      <c r="N634" s="14">
        <v>41899</v>
      </c>
    </row>
    <row r="635" spans="2:14" x14ac:dyDescent="0.2">
      <c r="B635" s="21" t="s">
        <v>126</v>
      </c>
      <c r="C635" s="20" t="s">
        <v>71</v>
      </c>
      <c r="D635" s="18" t="e">
        <f ca="1">_xll.BDP(C635,"SECURITY_NAME")</f>
        <v>#NAME?</v>
      </c>
      <c r="E635" s="18" t="s">
        <v>50</v>
      </c>
      <c r="F635" s="19">
        <v>11700</v>
      </c>
      <c r="G635" s="18" t="e">
        <f ca="1">_xll.BDP(C635,"CRNCY")</f>
        <v>#NAME?</v>
      </c>
      <c r="H635" s="22" t="e">
        <f ca="1">_xll.BDH(C635,"PX_LAST",N635)/100</f>
        <v>#NAME?</v>
      </c>
      <c r="I635" s="15" t="e">
        <f t="shared" ca="1" si="164"/>
        <v>#NAME?</v>
      </c>
      <c r="J635" s="16" t="e">
        <f t="shared" ca="1" si="165"/>
        <v>#NAME?</v>
      </c>
      <c r="K635" s="15" t="e">
        <f t="shared" ca="1" si="166"/>
        <v>#NAME?</v>
      </c>
      <c r="L635" s="22" t="e">
        <f ca="1">_xll.BDH("GBP curncy","PX_LAST",$N635)</f>
        <v>#NAME?</v>
      </c>
      <c r="M635" s="85" t="e">
        <f ca="1">_xll.BDH("RUB curncy","PX_LAST",$N635)</f>
        <v>#NAME?</v>
      </c>
      <c r="N635" s="14">
        <v>41590</v>
      </c>
    </row>
    <row r="636" spans="2:14" x14ac:dyDescent="0.2">
      <c r="B636" s="21" t="s">
        <v>126</v>
      </c>
      <c r="C636" s="20" t="s">
        <v>71</v>
      </c>
      <c r="D636" s="18" t="e">
        <f ca="1">_xll.BDP(C636,"SECURITY_NAME")</f>
        <v>#NAME?</v>
      </c>
      <c r="E636" s="18" t="s">
        <v>50</v>
      </c>
      <c r="F636" s="19">
        <v>11200</v>
      </c>
      <c r="G636" s="18" t="e">
        <f ca="1">_xll.BDP(C636,"CRNCY")</f>
        <v>#NAME?</v>
      </c>
      <c r="H636" s="22" t="e">
        <f ca="1">_xll.BDH(C636,"PX_LAST",N636)/100</f>
        <v>#NAME?</v>
      </c>
      <c r="I636" s="15" t="e">
        <f t="shared" ca="1" si="164"/>
        <v>#NAME?</v>
      </c>
      <c r="J636" s="16" t="e">
        <f t="shared" ca="1" si="165"/>
        <v>#NAME?</v>
      </c>
      <c r="K636" s="15" t="e">
        <f t="shared" ca="1" si="166"/>
        <v>#NAME?</v>
      </c>
      <c r="L636" s="22" t="e">
        <f ca="1">_xll.BDH("GBP curncy","PX_LAST",$N636)</f>
        <v>#NAME?</v>
      </c>
      <c r="M636" s="85" t="e">
        <f ca="1">_xll.BDH("RUB curncy","PX_LAST",$N636)</f>
        <v>#NAME?</v>
      </c>
      <c r="N636" s="14">
        <v>41445</v>
      </c>
    </row>
    <row r="637" spans="2:14" x14ac:dyDescent="0.2">
      <c r="B637" s="21" t="s">
        <v>126</v>
      </c>
      <c r="C637" s="20" t="s">
        <v>71</v>
      </c>
      <c r="D637" s="18" t="e">
        <f ca="1">_xll.BDP(C637,"SECURITY_NAME")</f>
        <v>#NAME?</v>
      </c>
      <c r="E637" s="18" t="s">
        <v>50</v>
      </c>
      <c r="F637" s="19">
        <v>20600</v>
      </c>
      <c r="G637" s="18" t="e">
        <f ca="1">_xll.BDP(C637,"CRNCY")</f>
        <v>#NAME?</v>
      </c>
      <c r="H637" s="22" t="e">
        <f ca="1">_xll.BDH(C637,"PX_LAST",N637)/100</f>
        <v>#NAME?</v>
      </c>
      <c r="I637" s="15" t="e">
        <f t="shared" ca="1" si="164"/>
        <v>#NAME?</v>
      </c>
      <c r="J637" s="16" t="e">
        <f t="shared" ca="1" si="165"/>
        <v>#NAME?</v>
      </c>
      <c r="K637" s="15" t="e">
        <f t="shared" ca="1" si="166"/>
        <v>#NAME?</v>
      </c>
      <c r="L637" s="22" t="e">
        <f ca="1">_xll.BDH("GBP curncy","PX_LAST",$N637)</f>
        <v>#NAME?</v>
      </c>
      <c r="M637" s="85" t="e">
        <f ca="1">_xll.BDH("RUB curncy","PX_LAST",$N637)</f>
        <v>#NAME?</v>
      </c>
      <c r="N637" s="14">
        <v>41444</v>
      </c>
    </row>
    <row r="638" spans="2:14" x14ac:dyDescent="0.2">
      <c r="B638" s="21" t="s">
        <v>126</v>
      </c>
      <c r="C638" s="20" t="s">
        <v>71</v>
      </c>
      <c r="D638" s="18" t="e">
        <f ca="1">_xll.BDP(C638,"SECURITY_NAME")</f>
        <v>#NAME?</v>
      </c>
      <c r="E638" s="18" t="s">
        <v>50</v>
      </c>
      <c r="F638" s="19">
        <v>10000</v>
      </c>
      <c r="G638" s="18" t="e">
        <f ca="1">_xll.BDP(C638,"CRNCY")</f>
        <v>#NAME?</v>
      </c>
      <c r="H638" s="22" t="e">
        <f ca="1">_xll.BDH(C638,"PX_LAST",N638)/100</f>
        <v>#NAME?</v>
      </c>
      <c r="I638" s="15" t="e">
        <f t="shared" ca="1" si="164"/>
        <v>#NAME?</v>
      </c>
      <c r="J638" s="16" t="e">
        <f t="shared" ca="1" si="165"/>
        <v>#NAME?</v>
      </c>
      <c r="K638" s="15" t="e">
        <f t="shared" ca="1" si="166"/>
        <v>#NAME?</v>
      </c>
      <c r="L638" s="22" t="e">
        <f ca="1">_xll.BDH("GBP curncy","PX_LAST",$N638)</f>
        <v>#NAME?</v>
      </c>
      <c r="M638" s="85" t="e">
        <f ca="1">_xll.BDH("RUB curncy","PX_LAST",$N638)</f>
        <v>#NAME?</v>
      </c>
      <c r="N638" s="14">
        <v>41435</v>
      </c>
    </row>
    <row r="639" spans="2:14" x14ac:dyDescent="0.2">
      <c r="B639" s="21" t="s">
        <v>126</v>
      </c>
      <c r="C639" s="20" t="s">
        <v>71</v>
      </c>
      <c r="D639" s="18" t="e">
        <f ca="1">_xll.BDP(C639,"SECURITY_NAME")</f>
        <v>#NAME?</v>
      </c>
      <c r="E639" s="18" t="s">
        <v>50</v>
      </c>
      <c r="F639" s="19">
        <v>10000</v>
      </c>
      <c r="G639" s="18" t="e">
        <f ca="1">_xll.BDP(C639,"CRNCY")</f>
        <v>#NAME?</v>
      </c>
      <c r="H639" s="22" t="e">
        <f ca="1">_xll.BDH(C639,"PX_LAST",N639)/100</f>
        <v>#NAME?</v>
      </c>
      <c r="I639" s="15" t="e">
        <f t="shared" ca="1" si="164"/>
        <v>#NAME?</v>
      </c>
      <c r="J639" s="16" t="e">
        <f t="shared" ca="1" si="165"/>
        <v>#NAME?</v>
      </c>
      <c r="K639" s="15" t="e">
        <f t="shared" ca="1" si="166"/>
        <v>#NAME?</v>
      </c>
      <c r="L639" s="22" t="e">
        <f ca="1">_xll.BDH("GBP curncy","PX_LAST",$N639)</f>
        <v>#NAME?</v>
      </c>
      <c r="M639" s="85" t="e">
        <f ca="1">_xll.BDH("RUB curncy","PX_LAST",$N639)</f>
        <v>#NAME?</v>
      </c>
      <c r="N639" s="14">
        <v>41411</v>
      </c>
    </row>
    <row r="640" spans="2:14" x14ac:dyDescent="0.2">
      <c r="B640" s="21" t="s">
        <v>126</v>
      </c>
      <c r="C640" s="20" t="s">
        <v>71</v>
      </c>
      <c r="D640" s="18" t="e">
        <f ca="1">_xll.BDP(C640,"SECURITY_NAME")</f>
        <v>#NAME?</v>
      </c>
      <c r="E640" s="18" t="s">
        <v>50</v>
      </c>
      <c r="F640" s="19">
        <v>8000</v>
      </c>
      <c r="G640" s="18" t="e">
        <f ca="1">_xll.BDP(C640,"CRNCY")</f>
        <v>#NAME?</v>
      </c>
      <c r="H640" s="22" t="e">
        <f ca="1">_xll.BDH(C640,"PX_LAST",N640)/100</f>
        <v>#NAME?</v>
      </c>
      <c r="I640" s="15" t="e">
        <f t="shared" ca="1" si="164"/>
        <v>#NAME?</v>
      </c>
      <c r="J640" s="16" t="e">
        <f t="shared" ca="1" si="165"/>
        <v>#NAME?</v>
      </c>
      <c r="K640" s="15" t="e">
        <f t="shared" ca="1" si="166"/>
        <v>#NAME?</v>
      </c>
      <c r="L640" s="22" t="e">
        <f ca="1">_xll.BDH("GBP curncy","PX_LAST",$N640)</f>
        <v>#NAME?</v>
      </c>
      <c r="M640" s="85" t="e">
        <f ca="1">_xll.BDH("RUB curncy","PX_LAST",$N640)</f>
        <v>#NAME?</v>
      </c>
      <c r="N640" s="14">
        <v>41404</v>
      </c>
    </row>
    <row r="641" spans="2:14" x14ac:dyDescent="0.2">
      <c r="B641" s="21" t="s">
        <v>126</v>
      </c>
      <c r="C641" s="20" t="s">
        <v>71</v>
      </c>
      <c r="D641" s="18" t="e">
        <f ca="1">_xll.BDP(C641,"SECURITY_NAME")</f>
        <v>#NAME?</v>
      </c>
      <c r="E641" s="18" t="s">
        <v>50</v>
      </c>
      <c r="F641" s="19">
        <v>2650</v>
      </c>
      <c r="G641" s="18" t="e">
        <f ca="1">_xll.BDP(C641,"CRNCY")</f>
        <v>#NAME?</v>
      </c>
      <c r="H641" s="22" t="e">
        <f ca="1">_xll.BDH(C641,"PX_LAST",N641)/100</f>
        <v>#NAME?</v>
      </c>
      <c r="I641" s="15" t="e">
        <f t="shared" ca="1" si="164"/>
        <v>#NAME?</v>
      </c>
      <c r="J641" s="16" t="e">
        <f t="shared" ca="1" si="165"/>
        <v>#NAME?</v>
      </c>
      <c r="K641" s="15" t="e">
        <f t="shared" ca="1" si="166"/>
        <v>#NAME?</v>
      </c>
      <c r="L641" s="22" t="e">
        <f ca="1">_xll.BDH("GBP curncy","PX_LAST",$N641)</f>
        <v>#NAME?</v>
      </c>
      <c r="M641" s="85" t="e">
        <f ca="1">_xll.BDH("RUB curncy","PX_LAST",$N641)</f>
        <v>#NAME?</v>
      </c>
      <c r="N641" s="14">
        <v>41401</v>
      </c>
    </row>
    <row r="642" spans="2:14" x14ac:dyDescent="0.2">
      <c r="B642" s="21" t="s">
        <v>126</v>
      </c>
      <c r="C642" s="20" t="s">
        <v>71</v>
      </c>
      <c r="D642" s="18" t="e">
        <f ca="1">_xll.BDP(C642,"SECURITY_NAME")</f>
        <v>#NAME?</v>
      </c>
      <c r="E642" s="18" t="s">
        <v>50</v>
      </c>
      <c r="F642" s="19">
        <v>4400</v>
      </c>
      <c r="G642" s="18" t="e">
        <f ca="1">_xll.BDP(C642,"CRNCY")</f>
        <v>#NAME?</v>
      </c>
      <c r="H642" s="22" t="e">
        <f ca="1">_xll.BDH(C642,"PX_LAST",N642)/100</f>
        <v>#NAME?</v>
      </c>
      <c r="I642" s="15" t="e">
        <f t="shared" ca="1" si="164"/>
        <v>#NAME?</v>
      </c>
      <c r="J642" s="16" t="e">
        <f t="shared" ca="1" si="165"/>
        <v>#NAME?</v>
      </c>
      <c r="K642" s="15" t="e">
        <f t="shared" ca="1" si="166"/>
        <v>#NAME?</v>
      </c>
      <c r="L642" s="22" t="e">
        <f ca="1">_xll.BDH("GBP curncy","PX_LAST",$N642)</f>
        <v>#NAME?</v>
      </c>
      <c r="M642" s="85" t="e">
        <f ca="1">_xll.BDH("RUB curncy","PX_LAST",$N642)</f>
        <v>#NAME?</v>
      </c>
      <c r="N642" s="14">
        <v>41393</v>
      </c>
    </row>
    <row r="643" spans="2:14" x14ac:dyDescent="0.2">
      <c r="B643" s="21" t="s">
        <v>126</v>
      </c>
      <c r="C643" s="20" t="s">
        <v>71</v>
      </c>
      <c r="D643" s="18" t="e">
        <f ca="1">_xll.BDP(C643,"SECURITY_NAME")</f>
        <v>#NAME?</v>
      </c>
      <c r="E643" s="18" t="s">
        <v>50</v>
      </c>
      <c r="F643" s="19">
        <v>4200</v>
      </c>
      <c r="G643" s="18" t="e">
        <f ca="1">_xll.BDP(C643,"CRNCY")</f>
        <v>#NAME?</v>
      </c>
      <c r="H643" s="22" t="e">
        <f ca="1">_xll.BDH(C643,"PX_LAST",N643)/100</f>
        <v>#NAME?</v>
      </c>
      <c r="I643" s="15" t="e">
        <f t="shared" ca="1" si="164"/>
        <v>#NAME?</v>
      </c>
      <c r="J643" s="16" t="e">
        <f t="shared" ca="1" si="165"/>
        <v>#NAME?</v>
      </c>
      <c r="K643" s="15" t="e">
        <f t="shared" ca="1" si="166"/>
        <v>#NAME?</v>
      </c>
      <c r="L643" s="22" t="e">
        <f ca="1">_xll.BDH("GBP curncy","PX_LAST",$N643)</f>
        <v>#NAME?</v>
      </c>
      <c r="M643" s="85" t="e">
        <f ca="1">_xll.BDH("RUB curncy","PX_LAST",$N643)</f>
        <v>#NAME?</v>
      </c>
      <c r="N643" s="14">
        <v>41388</v>
      </c>
    </row>
    <row r="644" spans="2:14" x14ac:dyDescent="0.2">
      <c r="B644" s="21" t="s">
        <v>126</v>
      </c>
      <c r="C644" s="20" t="s">
        <v>71</v>
      </c>
      <c r="D644" s="18" t="e">
        <f ca="1">_xll.BDP(C644,"SECURITY_NAME")</f>
        <v>#NAME?</v>
      </c>
      <c r="E644" s="18" t="s">
        <v>50</v>
      </c>
      <c r="F644" s="19">
        <v>3850</v>
      </c>
      <c r="G644" s="18" t="e">
        <f ca="1">_xll.BDP(C644,"CRNCY")</f>
        <v>#NAME?</v>
      </c>
      <c r="H644" s="22" t="e">
        <f ca="1">_xll.BDH(C644,"PX_LAST",N644)/100</f>
        <v>#NAME?</v>
      </c>
      <c r="I644" s="15" t="e">
        <f t="shared" ca="1" si="164"/>
        <v>#NAME?</v>
      </c>
      <c r="J644" s="16" t="e">
        <f t="shared" ca="1" si="165"/>
        <v>#NAME?</v>
      </c>
      <c r="K644" s="15" t="e">
        <f t="shared" ca="1" si="166"/>
        <v>#NAME?</v>
      </c>
      <c r="L644" s="22" t="e">
        <f ca="1">_xll.BDH("GBP curncy","PX_LAST",$N644)</f>
        <v>#NAME?</v>
      </c>
      <c r="M644" s="85" t="e">
        <f ca="1">_xll.BDH("RUB curncy","PX_LAST",$N644)</f>
        <v>#NAME?</v>
      </c>
      <c r="N644" s="14">
        <v>41353</v>
      </c>
    </row>
    <row r="645" spans="2:14" x14ac:dyDescent="0.2">
      <c r="B645" s="21" t="s">
        <v>126</v>
      </c>
      <c r="C645" s="20" t="s">
        <v>71</v>
      </c>
      <c r="D645" s="18" t="e">
        <f ca="1">_xll.BDP(C645,"SECURITY_NAME")</f>
        <v>#NAME?</v>
      </c>
      <c r="E645" s="18" t="s">
        <v>50</v>
      </c>
      <c r="F645" s="19">
        <v>11550</v>
      </c>
      <c r="G645" s="18" t="e">
        <f ca="1">_xll.BDP(C645,"CRNCY")</f>
        <v>#NAME?</v>
      </c>
      <c r="H645" s="22" t="e">
        <f ca="1">_xll.BDH(C645,"PX_LAST",N645)/100</f>
        <v>#NAME?</v>
      </c>
      <c r="I645" s="15" t="e">
        <f t="shared" ca="1" si="164"/>
        <v>#NAME?</v>
      </c>
      <c r="J645" s="16" t="e">
        <f t="shared" ca="1" si="165"/>
        <v>#NAME?</v>
      </c>
      <c r="K645" s="15" t="e">
        <f t="shared" ca="1" si="166"/>
        <v>#NAME?</v>
      </c>
      <c r="L645" s="22" t="e">
        <f ca="1">_xll.BDH("GBP curncy","PX_LAST",$N645)</f>
        <v>#NAME?</v>
      </c>
      <c r="M645" s="85" t="e">
        <f ca="1">_xll.BDH("RUB curncy","PX_LAST",$N645)</f>
        <v>#NAME?</v>
      </c>
      <c r="N645" s="14">
        <v>41352</v>
      </c>
    </row>
    <row r="646" spans="2:14" x14ac:dyDescent="0.2">
      <c r="B646" s="21" t="s">
        <v>126</v>
      </c>
      <c r="C646" s="20" t="s">
        <v>71</v>
      </c>
      <c r="D646" s="18" t="e">
        <f ca="1">_xll.BDP(C646,"SECURITY_NAME")</f>
        <v>#NAME?</v>
      </c>
      <c r="E646" s="18" t="s">
        <v>50</v>
      </c>
      <c r="F646" s="19">
        <v>6400</v>
      </c>
      <c r="G646" s="18" t="e">
        <f ca="1">_xll.BDP(C646,"CRNCY")</f>
        <v>#NAME?</v>
      </c>
      <c r="H646" s="22" t="e">
        <f ca="1">_xll.BDH(C646,"PX_LAST",N646)/100</f>
        <v>#NAME?</v>
      </c>
      <c r="I646" s="15" t="e">
        <f t="shared" ca="1" si="164"/>
        <v>#NAME?</v>
      </c>
      <c r="J646" s="16" t="e">
        <f t="shared" ca="1" si="165"/>
        <v>#NAME?</v>
      </c>
      <c r="K646" s="15" t="e">
        <f t="shared" ca="1" si="166"/>
        <v>#NAME?</v>
      </c>
      <c r="L646" s="22" t="e">
        <f ca="1">_xll.BDH("GBP curncy","PX_LAST",$N646)</f>
        <v>#NAME?</v>
      </c>
      <c r="M646" s="85" t="e">
        <f ca="1">_xll.BDH("RUB curncy","PX_LAST",$N646)</f>
        <v>#NAME?</v>
      </c>
      <c r="N646" s="14">
        <v>41347</v>
      </c>
    </row>
    <row r="647" spans="2:14" x14ac:dyDescent="0.2">
      <c r="B647" s="21" t="s">
        <v>126</v>
      </c>
      <c r="C647" s="20" t="s">
        <v>71</v>
      </c>
      <c r="D647" s="18" t="e">
        <f ca="1">_xll.BDP(C647,"SECURITY_NAME")</f>
        <v>#NAME?</v>
      </c>
      <c r="E647" s="18" t="s">
        <v>50</v>
      </c>
      <c r="F647" s="19">
        <v>3500</v>
      </c>
      <c r="G647" s="18" t="e">
        <f ca="1">_xll.BDP(C647,"CRNCY")</f>
        <v>#NAME?</v>
      </c>
      <c r="H647" s="22" t="e">
        <f ca="1">_xll.BDH(C647,"PX_LAST",N647)/100</f>
        <v>#NAME?</v>
      </c>
      <c r="I647" s="15" t="e">
        <f t="shared" ca="1" si="164"/>
        <v>#NAME?</v>
      </c>
      <c r="J647" s="16" t="e">
        <f t="shared" ca="1" si="165"/>
        <v>#NAME?</v>
      </c>
      <c r="K647" s="15" t="e">
        <f t="shared" ca="1" si="166"/>
        <v>#NAME?</v>
      </c>
      <c r="L647" s="22" t="e">
        <f ca="1">_xll.BDH("GBP curncy","PX_LAST",$N647)</f>
        <v>#NAME?</v>
      </c>
      <c r="M647" s="85" t="e">
        <f ca="1">_xll.BDH("RUB curncy","PX_LAST",$N647)</f>
        <v>#NAME?</v>
      </c>
      <c r="N647" s="14">
        <v>41344</v>
      </c>
    </row>
    <row r="648" spans="2:14" x14ac:dyDescent="0.2">
      <c r="B648" s="21" t="s">
        <v>126</v>
      </c>
      <c r="C648" s="20" t="s">
        <v>71</v>
      </c>
      <c r="D648" s="18" t="e">
        <f ca="1">_xll.BDP(C648,"SECURITY_NAME")</f>
        <v>#NAME?</v>
      </c>
      <c r="E648" s="18" t="s">
        <v>50</v>
      </c>
      <c r="F648" s="19">
        <v>3250</v>
      </c>
      <c r="G648" s="18" t="e">
        <f ca="1">_xll.BDP(C648,"CRNCY")</f>
        <v>#NAME?</v>
      </c>
      <c r="H648" s="22" t="e">
        <f ca="1">_xll.BDH(C648,"PX_LAST",N648)/100</f>
        <v>#NAME?</v>
      </c>
      <c r="I648" s="15" t="e">
        <f t="shared" ca="1" si="164"/>
        <v>#NAME?</v>
      </c>
      <c r="J648" s="16" t="e">
        <f t="shared" ca="1" si="165"/>
        <v>#NAME?</v>
      </c>
      <c r="K648" s="15" t="e">
        <f t="shared" ca="1" si="166"/>
        <v>#NAME?</v>
      </c>
      <c r="L648" s="22" t="e">
        <f ca="1">_xll.BDH("GBP curncy","PX_LAST",$N648)</f>
        <v>#NAME?</v>
      </c>
      <c r="M648" s="85" t="e">
        <f ca="1">_xll.BDH("RUB curncy","PX_LAST",$N648)</f>
        <v>#NAME?</v>
      </c>
      <c r="N648" s="14">
        <v>41338</v>
      </c>
    </row>
    <row r="649" spans="2:14" x14ac:dyDescent="0.2">
      <c r="B649" s="21" t="s">
        <v>126</v>
      </c>
      <c r="C649" s="20" t="s">
        <v>71</v>
      </c>
      <c r="D649" s="18" t="e">
        <f ca="1">_xll.BDP(C649,"SECURITY_NAME")</f>
        <v>#NAME?</v>
      </c>
      <c r="E649" s="18" t="s">
        <v>50</v>
      </c>
      <c r="F649" s="19">
        <v>6500</v>
      </c>
      <c r="G649" s="18" t="e">
        <f ca="1">_xll.BDP(C649,"CRNCY")</f>
        <v>#NAME?</v>
      </c>
      <c r="H649" s="22" t="e">
        <f ca="1">_xll.BDH(C649,"PX_LAST",N649)/100</f>
        <v>#NAME?</v>
      </c>
      <c r="I649" s="15" t="e">
        <f t="shared" ca="1" si="164"/>
        <v>#NAME?</v>
      </c>
      <c r="J649" s="16" t="e">
        <f t="shared" ca="1" si="165"/>
        <v>#NAME?</v>
      </c>
      <c r="K649" s="15" t="e">
        <f t="shared" ca="1" si="166"/>
        <v>#NAME?</v>
      </c>
      <c r="L649" s="22" t="e">
        <f ca="1">_xll.BDH("GBP curncy","PX_LAST",$N649)</f>
        <v>#NAME?</v>
      </c>
      <c r="M649" s="85" t="e">
        <f ca="1">_xll.BDH("RUB curncy","PX_LAST",$N649)</f>
        <v>#NAME?</v>
      </c>
      <c r="N649" s="14">
        <v>41326</v>
      </c>
    </row>
    <row r="650" spans="2:14" x14ac:dyDescent="0.2">
      <c r="B650" s="21" t="s">
        <v>126</v>
      </c>
      <c r="C650" s="20" t="s">
        <v>71</v>
      </c>
      <c r="D650" s="18" t="e">
        <f ca="1">_xll.BDP(C650,"SECURITY_NAME")</f>
        <v>#NAME?</v>
      </c>
      <c r="E650" s="18" t="s">
        <v>50</v>
      </c>
      <c r="F650" s="19">
        <v>3250</v>
      </c>
      <c r="G650" s="18" t="e">
        <f ca="1">_xll.BDP(C650,"CRNCY")</f>
        <v>#NAME?</v>
      </c>
      <c r="H650" s="22" t="e">
        <f ca="1">_xll.BDH(C650,"PX_LAST",N650)/100</f>
        <v>#NAME?</v>
      </c>
      <c r="I650" s="15" t="e">
        <f t="shared" ca="1" si="164"/>
        <v>#NAME?</v>
      </c>
      <c r="J650" s="16" t="e">
        <f t="shared" ca="1" si="165"/>
        <v>#NAME?</v>
      </c>
      <c r="K650" s="15" t="e">
        <f t="shared" ca="1" si="166"/>
        <v>#NAME?</v>
      </c>
      <c r="L650" s="22" t="e">
        <f ca="1">_xll.BDH("GBP curncy","PX_LAST",$N650)</f>
        <v>#NAME?</v>
      </c>
      <c r="M650" s="85" t="e">
        <f ca="1">_xll.BDH("RUB curncy","PX_LAST",$N650)</f>
        <v>#NAME?</v>
      </c>
      <c r="N650" s="14">
        <v>41323</v>
      </c>
    </row>
    <row r="651" spans="2:14" x14ac:dyDescent="0.2">
      <c r="B651" s="21" t="s">
        <v>126</v>
      </c>
      <c r="C651" s="20" t="s">
        <v>71</v>
      </c>
      <c r="D651" s="18" t="e">
        <f ca="1">_xll.BDP(C651,"SECURITY_NAME")</f>
        <v>#NAME?</v>
      </c>
      <c r="E651" s="18" t="s">
        <v>50</v>
      </c>
      <c r="F651" s="19">
        <v>6300</v>
      </c>
      <c r="G651" s="18" t="e">
        <f ca="1">_xll.BDP(C651,"CRNCY")</f>
        <v>#NAME?</v>
      </c>
      <c r="H651" s="22" t="e">
        <f ca="1">_xll.BDH(C651,"PX_LAST",N651)/100</f>
        <v>#NAME?</v>
      </c>
      <c r="I651" s="15" t="e">
        <f t="shared" ca="1" si="164"/>
        <v>#NAME?</v>
      </c>
      <c r="J651" s="16" t="e">
        <f t="shared" ca="1" si="165"/>
        <v>#NAME?</v>
      </c>
      <c r="K651" s="15" t="e">
        <f t="shared" ca="1" si="166"/>
        <v>#NAME?</v>
      </c>
      <c r="L651" s="22" t="e">
        <f ca="1">_xll.BDH("GBP curncy","PX_LAST",$N651)</f>
        <v>#NAME?</v>
      </c>
      <c r="M651" s="85" t="e">
        <f ca="1">_xll.BDH("RUB curncy","PX_LAST",$N651)</f>
        <v>#NAME?</v>
      </c>
      <c r="N651" s="14">
        <v>41320</v>
      </c>
    </row>
    <row r="652" spans="2:14" x14ac:dyDescent="0.2">
      <c r="B652" s="21" t="s">
        <v>126</v>
      </c>
      <c r="C652" s="20" t="s">
        <v>71</v>
      </c>
      <c r="D652" s="18" t="e">
        <f ca="1">_xll.BDP(C652,"SECURITY_NAME")</f>
        <v>#NAME?</v>
      </c>
      <c r="E652" s="18" t="s">
        <v>50</v>
      </c>
      <c r="F652" s="19">
        <v>34000</v>
      </c>
      <c r="G652" s="18" t="e">
        <f ca="1">_xll.BDP(C652,"CRNCY")</f>
        <v>#NAME?</v>
      </c>
      <c r="H652" s="22" t="e">
        <f ca="1">_xll.BDH(C652,"PX_LAST",N652)/100</f>
        <v>#NAME?</v>
      </c>
      <c r="I652" s="15" t="e">
        <f t="shared" ca="1" si="164"/>
        <v>#NAME?</v>
      </c>
      <c r="J652" s="16" t="e">
        <f t="shared" ca="1" si="165"/>
        <v>#NAME?</v>
      </c>
      <c r="K652" s="15" t="e">
        <f t="shared" ca="1" si="166"/>
        <v>#NAME?</v>
      </c>
      <c r="L652" s="22" t="e">
        <f ca="1">_xll.BDH("GBP curncy","PX_LAST",$N652)</f>
        <v>#NAME?</v>
      </c>
      <c r="M652" s="85" t="e">
        <f ca="1">_xll.BDH("RUB curncy","PX_LAST",$N652)</f>
        <v>#NAME?</v>
      </c>
      <c r="N652" s="14">
        <v>41092</v>
      </c>
    </row>
    <row r="653" spans="2:14" x14ac:dyDescent="0.2">
      <c r="B653" s="21" t="s">
        <v>126</v>
      </c>
      <c r="C653" s="20" t="s">
        <v>71</v>
      </c>
      <c r="D653" s="18" t="e">
        <f ca="1">_xll.BDP(C653,"SECURITY_NAME")</f>
        <v>#NAME?</v>
      </c>
      <c r="E653" s="18" t="s">
        <v>50</v>
      </c>
      <c r="F653" s="19">
        <v>6500</v>
      </c>
      <c r="G653" s="18" t="e">
        <f ca="1">_xll.BDP(C653,"CRNCY")</f>
        <v>#NAME?</v>
      </c>
      <c r="H653" s="22" t="e">
        <f ca="1">_xll.BDH(C653,"PX_LAST",N653)/100</f>
        <v>#NAME?</v>
      </c>
      <c r="I653" s="15" t="e">
        <f t="shared" ca="1" si="164"/>
        <v>#NAME?</v>
      </c>
      <c r="J653" s="16" t="e">
        <f t="shared" ca="1" si="165"/>
        <v>#NAME?</v>
      </c>
      <c r="K653" s="15" t="e">
        <f t="shared" ca="1" si="166"/>
        <v>#NAME?</v>
      </c>
      <c r="L653" s="22" t="e">
        <f ca="1">_xll.BDH("GBP curncy","PX_LAST",$N653)</f>
        <v>#NAME?</v>
      </c>
      <c r="M653" s="85" t="e">
        <f ca="1">_xll.BDH("RUB curncy","PX_LAST",$N653)</f>
        <v>#NAME?</v>
      </c>
      <c r="N653" s="14">
        <v>41011</v>
      </c>
    </row>
    <row r="654" spans="2:14" x14ac:dyDescent="0.2">
      <c r="B654" s="71"/>
      <c r="C654" s="72"/>
      <c r="D654" s="73"/>
      <c r="E654" s="73"/>
      <c r="F654" s="79">
        <f>SUM(F633:F653)</f>
        <v>191850</v>
      </c>
      <c r="G654" s="87"/>
      <c r="H654" s="80" t="e">
        <f ca="1">I654/F654</f>
        <v>#NAME?</v>
      </c>
      <c r="I654" s="79" t="e">
        <f ca="1">SUM(I633:I653)</f>
        <v>#NAME?</v>
      </c>
      <c r="J654" s="79" t="e">
        <f ca="1">SUM(J633:J653)</f>
        <v>#NAME?</v>
      </c>
      <c r="K654" s="79" t="e">
        <f ca="1">SUM(K633:K653)</f>
        <v>#NAME?</v>
      </c>
      <c r="L654" s="75"/>
      <c r="M654" s="86"/>
      <c r="N654" s="14"/>
    </row>
    <row r="655" spans="2:14" x14ac:dyDescent="0.2">
      <c r="B655" s="71"/>
      <c r="C655" s="72"/>
      <c r="D655" s="73"/>
      <c r="E655" s="73"/>
      <c r="F655" s="74"/>
      <c r="G655" s="73"/>
      <c r="H655" s="75"/>
      <c r="I655" s="76"/>
      <c r="J655" s="77"/>
      <c r="K655" s="76"/>
      <c r="L655" s="75"/>
      <c r="M655" s="78"/>
      <c r="N655" s="14"/>
    </row>
    <row r="656" spans="2:14" x14ac:dyDescent="0.2">
      <c r="B656" s="21" t="s">
        <v>126</v>
      </c>
      <c r="C656" s="20" t="s">
        <v>133</v>
      </c>
      <c r="D656" s="18" t="e">
        <f ca="1">_xll.BDP(C656,"SECURITY_NAME")</f>
        <v>#NAME?</v>
      </c>
      <c r="E656" s="18" t="s">
        <v>50</v>
      </c>
      <c r="F656" s="19">
        <v>50000</v>
      </c>
      <c r="G656" s="18" t="e">
        <f ca="1">_xll.BDP(C656,"CRNCY")</f>
        <v>#NAME?</v>
      </c>
      <c r="H656" s="22" t="e">
        <f ca="1">_xll.BDH(C656,"PX_LAST",N656)</f>
        <v>#NAME?</v>
      </c>
      <c r="I656" s="15" t="e">
        <f t="shared" ref="I656:I663" ca="1" si="167">F656*H656</f>
        <v>#NAME?</v>
      </c>
      <c r="J656" s="16" t="e">
        <f ca="1">I656/L656</f>
        <v>#NAME?</v>
      </c>
      <c r="K656" s="15" t="e">
        <f ca="1">J656*L656</f>
        <v>#NAME?</v>
      </c>
      <c r="L656" s="22" t="e">
        <f ca="1">_xll.BDH("RUB curncy","PX_LAST",$N656)</f>
        <v>#NAME?</v>
      </c>
      <c r="M656" s="85" t="e">
        <f ca="1">1/_xll.BDH("RUB curncy","PX_LAST",$N656)</f>
        <v>#NAME?</v>
      </c>
      <c r="N656" s="14">
        <v>41743</v>
      </c>
    </row>
    <row r="657" spans="2:14" x14ac:dyDescent="0.2">
      <c r="B657" s="21" t="s">
        <v>126</v>
      </c>
      <c r="C657" s="20" t="s">
        <v>133</v>
      </c>
      <c r="D657" s="18" t="e">
        <f ca="1">_xll.BDP(C657,"SECURITY_NAME")</f>
        <v>#NAME?</v>
      </c>
      <c r="E657" s="18" t="s">
        <v>50</v>
      </c>
      <c r="F657" s="19">
        <v>65567</v>
      </c>
      <c r="G657" s="18" t="e">
        <f ca="1">_xll.BDP(C657,"CRNCY")</f>
        <v>#NAME?</v>
      </c>
      <c r="H657" s="22" t="e">
        <f ca="1">_xll.BDH(C657,"PX_LAST",N657)</f>
        <v>#NAME?</v>
      </c>
      <c r="I657" s="15" t="e">
        <f t="shared" ca="1" si="167"/>
        <v>#NAME?</v>
      </c>
      <c r="J657" s="16" t="e">
        <f ca="1">I657/L657</f>
        <v>#NAME?</v>
      </c>
      <c r="K657" s="15" t="e">
        <f ca="1">J657*L657</f>
        <v>#NAME?</v>
      </c>
      <c r="L657" s="22" t="e">
        <f ca="1">_xll.BDH("RUB curncy","PX_LAST",$N657)</f>
        <v>#NAME?</v>
      </c>
      <c r="M657" s="85" t="e">
        <f ca="1">1/_xll.BDH("RUB curncy","PX_LAST",$N657)</f>
        <v>#NAME?</v>
      </c>
      <c r="N657" s="14">
        <v>41508</v>
      </c>
    </row>
    <row r="658" spans="2:14" x14ac:dyDescent="0.2">
      <c r="B658" s="21" t="s">
        <v>126</v>
      </c>
      <c r="C658" s="20" t="s">
        <v>133</v>
      </c>
      <c r="D658" s="18" t="e">
        <f ca="1">_xll.BDP(C658,"SECURITY_NAME")</f>
        <v>#NAME?</v>
      </c>
      <c r="E658" s="18" t="s">
        <v>50</v>
      </c>
      <c r="F658" s="19">
        <v>30830</v>
      </c>
      <c r="G658" s="18" t="e">
        <f ca="1">_xll.BDP(C658,"CRNCY")</f>
        <v>#NAME?</v>
      </c>
      <c r="H658" s="22" t="e">
        <f ca="1">_xll.BDH(C658,"PX_LAST",N658)</f>
        <v>#NAME?</v>
      </c>
      <c r="I658" s="15" t="e">
        <f t="shared" ca="1" si="167"/>
        <v>#NAME?</v>
      </c>
      <c r="J658" s="16" t="e">
        <f ca="1">I658/L658</f>
        <v>#NAME?</v>
      </c>
      <c r="K658" s="15" t="e">
        <f ca="1">J658*L658</f>
        <v>#NAME?</v>
      </c>
      <c r="L658" s="22" t="e">
        <f ca="1">_xll.BDH("RUB curncy","PX_LAST",$N658)</f>
        <v>#NAME?</v>
      </c>
      <c r="M658" s="85" t="e">
        <f ca="1">1/_xll.BDH("RUB curncy","PX_LAST",$N658)</f>
        <v>#NAME?</v>
      </c>
      <c r="N658" s="14">
        <v>41318</v>
      </c>
    </row>
    <row r="659" spans="2:14" x14ac:dyDescent="0.2">
      <c r="B659" s="21" t="s">
        <v>126</v>
      </c>
      <c r="C659" s="20" t="s">
        <v>133</v>
      </c>
      <c r="D659" s="18" t="e">
        <f ca="1">_xll.BDP(C659,"SECURITY_NAME")</f>
        <v>#NAME?</v>
      </c>
      <c r="E659" s="18" t="s">
        <v>50</v>
      </c>
      <c r="F659" s="19">
        <v>32340</v>
      </c>
      <c r="G659" s="18" t="e">
        <f ca="1">_xll.BDP(C659,"CRNCY")</f>
        <v>#NAME?</v>
      </c>
      <c r="H659" s="22" t="e">
        <f ca="1">_xll.BDH(C659,"PX_LAST",N659)</f>
        <v>#NAME?</v>
      </c>
      <c r="I659" s="15" t="e">
        <f t="shared" ca="1" si="167"/>
        <v>#NAME?</v>
      </c>
      <c r="J659" s="16" t="e">
        <f ca="1">I659/L659</f>
        <v>#NAME?</v>
      </c>
      <c r="K659" s="15" t="e">
        <f ca="1">J659*L659</f>
        <v>#NAME?</v>
      </c>
      <c r="L659" s="22" t="e">
        <f ca="1">_xll.BDH("RUB curncy","PX_LAST",$N659)</f>
        <v>#NAME?</v>
      </c>
      <c r="M659" s="85" t="e">
        <f ca="1">1/_xll.BDH("RUB curncy","PX_LAST",$N659)</f>
        <v>#NAME?</v>
      </c>
      <c r="N659" s="14">
        <v>41316</v>
      </c>
    </row>
    <row r="660" spans="2:14" x14ac:dyDescent="0.2">
      <c r="B660" s="21" t="s">
        <v>126</v>
      </c>
      <c r="C660" s="20" t="s">
        <v>133</v>
      </c>
      <c r="D660" s="18" t="e">
        <f ca="1">_xll.BDP(C660,"SECURITY_NAME")</f>
        <v>#NAME?</v>
      </c>
      <c r="E660" s="18" t="s">
        <v>50</v>
      </c>
      <c r="F660" s="19">
        <v>35000</v>
      </c>
      <c r="G660" s="18" t="e">
        <f ca="1">_xll.BDP(C660,"CRNCY")</f>
        <v>#NAME?</v>
      </c>
      <c r="H660" s="22" t="e">
        <f ca="1">_xll.BDH(C660,"PX_LAST",N660)</f>
        <v>#NAME?</v>
      </c>
      <c r="I660" s="15" t="e">
        <f t="shared" ca="1" si="167"/>
        <v>#NAME?</v>
      </c>
      <c r="J660" s="16" t="e">
        <f ca="1">I660/L660</f>
        <v>#NAME?</v>
      </c>
      <c r="K660" s="15" t="e">
        <f ca="1">J660*L660</f>
        <v>#NAME?</v>
      </c>
      <c r="L660" s="22" t="e">
        <f ca="1">_xll.BDH("RUB curncy","PX_LAST",$N660)</f>
        <v>#NAME?</v>
      </c>
      <c r="M660" s="85" t="e">
        <f ca="1">1/_xll.BDH("RUB curncy","PX_LAST",$N660)</f>
        <v>#NAME?</v>
      </c>
      <c r="N660" s="14">
        <v>41075</v>
      </c>
    </row>
    <row r="661" spans="2:14" x14ac:dyDescent="0.2">
      <c r="B661" s="21" t="s">
        <v>126</v>
      </c>
      <c r="C661" s="20" t="s">
        <v>133</v>
      </c>
      <c r="D661" s="18" t="e">
        <f ca="1">_xll.BDP(C661,"SECURITY_NAME")</f>
        <v>#NAME?</v>
      </c>
      <c r="E661" s="18" t="s">
        <v>50</v>
      </c>
      <c r="F661" s="19">
        <v>10080</v>
      </c>
      <c r="G661" s="18" t="e">
        <f ca="1">_xll.BDP(C661,"CRNCY")</f>
        <v>#NAME?</v>
      </c>
      <c r="H661" s="22" t="e">
        <f ca="1">_xll.BDH(C661,"PX_LAST",N661)</f>
        <v>#NAME?</v>
      </c>
      <c r="I661" s="15" t="e">
        <f t="shared" ca="1" si="167"/>
        <v>#NAME?</v>
      </c>
      <c r="J661" s="16">
        <v>17609</v>
      </c>
      <c r="K661" s="15" t="e">
        <f ca="1">I661</f>
        <v>#NAME?</v>
      </c>
      <c r="L661" s="22" t="e">
        <f ca="1">_xll.BDH("RUB curncy","PX_LAST",$N661)</f>
        <v>#NAME?</v>
      </c>
      <c r="M661" s="85" t="e">
        <f ca="1">1/_xll.BDH("RUB curncy","PX_LAST",$N661)</f>
        <v>#NAME?</v>
      </c>
      <c r="N661" s="14">
        <v>41069</v>
      </c>
    </row>
    <row r="662" spans="2:14" x14ac:dyDescent="0.2">
      <c r="B662" s="21" t="s">
        <v>126</v>
      </c>
      <c r="C662" s="20" t="s">
        <v>133</v>
      </c>
      <c r="D662" s="18" t="e">
        <f ca="1">_xll.BDP(C662,"SECURITY_NAME")</f>
        <v>#NAME?</v>
      </c>
      <c r="E662" s="18" t="s">
        <v>50</v>
      </c>
      <c r="F662" s="19">
        <v>30000</v>
      </c>
      <c r="G662" s="18" t="e">
        <f ca="1">_xll.BDP(C662,"CRNCY")</f>
        <v>#NAME?</v>
      </c>
      <c r="H662" s="22" t="e">
        <f ca="1">_xll.BDH(C662,"PX_LAST",N662)</f>
        <v>#NAME?</v>
      </c>
      <c r="I662" s="15" t="e">
        <f t="shared" ca="1" si="167"/>
        <v>#NAME?</v>
      </c>
      <c r="J662" s="16" t="e">
        <f ca="1">I662/L662</f>
        <v>#NAME?</v>
      </c>
      <c r="K662" s="15" t="e">
        <f ca="1">J662*L662</f>
        <v>#NAME?</v>
      </c>
      <c r="L662" s="22" t="e">
        <f ca="1">_xll.BDH("RUB curncy","PX_LAST",$N662)</f>
        <v>#NAME?</v>
      </c>
      <c r="M662" s="85" t="e">
        <f ca="1">1/_xll.BDH("RUB curncy","PX_LAST",$N662)</f>
        <v>#NAME?</v>
      </c>
      <c r="N662" s="14">
        <v>41068</v>
      </c>
    </row>
    <row r="663" spans="2:14" x14ac:dyDescent="0.2">
      <c r="B663" s="21" t="s">
        <v>126</v>
      </c>
      <c r="C663" s="20" t="s">
        <v>133</v>
      </c>
      <c r="D663" s="18" t="e">
        <f ca="1">_xll.BDP(C663,"SECURITY_NAME")</f>
        <v>#NAME?</v>
      </c>
      <c r="E663" s="18" t="s">
        <v>50</v>
      </c>
      <c r="F663" s="19">
        <v>41000</v>
      </c>
      <c r="G663" s="18" t="e">
        <f ca="1">_xll.BDP(C663,"CRNCY")</f>
        <v>#NAME?</v>
      </c>
      <c r="H663" s="22" t="e">
        <f ca="1">_xll.BDH(C663,"PX_LAST",N663)</f>
        <v>#NAME?</v>
      </c>
      <c r="I663" s="15" t="e">
        <f t="shared" ca="1" si="167"/>
        <v>#NAME?</v>
      </c>
      <c r="J663" s="16" t="e">
        <f ca="1">I663/L663</f>
        <v>#NAME?</v>
      </c>
      <c r="K663" s="15" t="e">
        <f ca="1">J663*L663</f>
        <v>#NAME?</v>
      </c>
      <c r="L663" s="22" t="e">
        <f ca="1">_xll.BDH("RUB curncy","PX_LAST",$N663)</f>
        <v>#NAME?</v>
      </c>
      <c r="M663" s="85" t="e">
        <f ca="1">1/_xll.BDH("RUB curncy","PX_LAST",$N663)</f>
        <v>#NAME?</v>
      </c>
      <c r="N663" s="14">
        <v>41011</v>
      </c>
    </row>
    <row r="664" spans="2:14" x14ac:dyDescent="0.2">
      <c r="B664" s="71"/>
      <c r="C664" s="72"/>
      <c r="D664" s="73"/>
      <c r="E664" s="73">
        <f>122400/F664</f>
        <v>0.4151728021111401</v>
      </c>
      <c r="F664" s="79">
        <f>SUM(F656:F663)</f>
        <v>294817</v>
      </c>
      <c r="G664" s="87"/>
      <c r="H664" s="80" t="e">
        <f ca="1">I664/F664</f>
        <v>#NAME?</v>
      </c>
      <c r="I664" s="79" t="e">
        <f ca="1">SUM(I656:I663)</f>
        <v>#NAME?</v>
      </c>
      <c r="J664" s="79" t="e">
        <f ca="1">SUM(J656:J663)*E664</f>
        <v>#NAME?</v>
      </c>
      <c r="K664" s="79" t="e">
        <f ca="1">SUM(K656:K663)</f>
        <v>#NAME?</v>
      </c>
      <c r="L664" s="75"/>
      <c r="M664" s="86"/>
      <c r="N664" s="14"/>
    </row>
    <row r="665" spans="2:14" x14ac:dyDescent="0.2">
      <c r="B665" s="71"/>
      <c r="C665" s="72"/>
      <c r="D665" s="73"/>
      <c r="E665" s="73"/>
      <c r="F665" s="74"/>
      <c r="G665" s="73"/>
      <c r="H665" s="75"/>
      <c r="I665" s="76"/>
      <c r="J665" s="77"/>
      <c r="K665" s="76"/>
      <c r="L665" s="75"/>
      <c r="M665" s="86"/>
      <c r="N665" s="14"/>
    </row>
    <row r="666" spans="2:14" x14ac:dyDescent="0.2">
      <c r="B666" s="21" t="s">
        <v>126</v>
      </c>
      <c r="C666" s="20" t="s">
        <v>144</v>
      </c>
      <c r="D666" s="18" t="e">
        <f ca="1">_xll.BDP(C666,"SECURITY_NAME")</f>
        <v>#NAME?</v>
      </c>
      <c r="E666" s="18" t="s">
        <v>50</v>
      </c>
      <c r="F666" s="19">
        <v>23000000</v>
      </c>
      <c r="G666" s="18" t="e">
        <f ca="1">_xll.BDP(C666,"CRNCY")</f>
        <v>#NAME?</v>
      </c>
      <c r="H666" s="89" t="e">
        <f ca="1">_xll.BDH(C666,"PX_LAST",N666)</f>
        <v>#NAME?</v>
      </c>
      <c r="I666" s="15" t="e">
        <f ca="1">F666*H666</f>
        <v>#NAME?</v>
      </c>
      <c r="J666" s="16" t="e">
        <f ca="1">I666/L666</f>
        <v>#NAME?</v>
      </c>
      <c r="K666" s="15" t="e">
        <f ca="1">J666*L666</f>
        <v>#NAME?</v>
      </c>
      <c r="L666" s="22" t="e">
        <f ca="1">_xll.BDH("RUB curncy","PX_LAST",$N666)</f>
        <v>#NAME?</v>
      </c>
      <c r="M666" s="85" t="e">
        <f ca="1">1/_xll.BDH("RUB curncy","PX_LAST",$N666)</f>
        <v>#NAME?</v>
      </c>
      <c r="N666" s="14">
        <v>41108</v>
      </c>
    </row>
    <row r="667" spans="2:14" x14ac:dyDescent="0.2">
      <c r="B667" s="71"/>
      <c r="C667" s="72"/>
      <c r="D667" s="73"/>
      <c r="E667" s="73"/>
      <c r="F667" s="79">
        <f>SUM(F666)</f>
        <v>23000000</v>
      </c>
      <c r="G667" s="73"/>
      <c r="H667" s="91" t="e">
        <f ca="1">I667/F667</f>
        <v>#NAME?</v>
      </c>
      <c r="I667" s="79" t="e">
        <f ca="1">SUM(I666)</f>
        <v>#NAME?</v>
      </c>
      <c r="J667" s="79" t="e">
        <f ca="1">SUM(J666)</f>
        <v>#NAME?</v>
      </c>
      <c r="K667" s="79" t="e">
        <f ca="1">SUM(K666)</f>
        <v>#NAME?</v>
      </c>
      <c r="L667" s="75"/>
      <c r="M667" s="86"/>
      <c r="N667" s="14"/>
    </row>
    <row r="668" spans="2:14" x14ac:dyDescent="0.2">
      <c r="B668" s="71"/>
      <c r="C668" s="72"/>
      <c r="D668" s="73"/>
      <c r="E668" s="73"/>
      <c r="F668" s="79"/>
      <c r="G668" s="73"/>
      <c r="H668" s="91"/>
      <c r="I668" s="79"/>
      <c r="J668" s="79"/>
      <c r="K668" s="79"/>
      <c r="L668" s="75"/>
      <c r="M668" s="86"/>
      <c r="N668" s="14"/>
    </row>
    <row r="669" spans="2:14" x14ac:dyDescent="0.2">
      <c r="B669" s="21" t="s">
        <v>126</v>
      </c>
      <c r="C669" s="20" t="s">
        <v>729</v>
      </c>
      <c r="D669" s="18" t="e">
        <f ca="1">_xll.BDP(C669,"SECURITY_NAME")</f>
        <v>#NAME?</v>
      </c>
      <c r="E669" s="18" t="s">
        <v>50</v>
      </c>
      <c r="F669" s="19">
        <v>8000000</v>
      </c>
      <c r="G669" s="18" t="e">
        <f ca="1">_xll.BDP(C669,"CRNCY")</f>
        <v>#NAME?</v>
      </c>
      <c r="H669" s="84">
        <v>2.5499999999999998</v>
      </c>
      <c r="I669" s="15">
        <f>F669*H669</f>
        <v>20400000</v>
      </c>
      <c r="J669" s="16" t="e">
        <f ca="1">I669/L669</f>
        <v>#NAME?</v>
      </c>
      <c r="K669" s="15" t="e">
        <f ca="1">J669*L669</f>
        <v>#NAME?</v>
      </c>
      <c r="L669" s="22" t="e">
        <f ca="1">_xll.BDH("RUB curncy","PX_LAST",$N669)</f>
        <v>#NAME?</v>
      </c>
      <c r="M669" s="85" t="e">
        <f ca="1">1/_xll.BDH("RUB curncy","PX_LAST",$N669)</f>
        <v>#NAME?</v>
      </c>
      <c r="N669" s="14">
        <v>42446</v>
      </c>
    </row>
    <row r="670" spans="2:14" x14ac:dyDescent="0.2">
      <c r="B670" s="21" t="s">
        <v>126</v>
      </c>
      <c r="C670" s="20" t="s">
        <v>729</v>
      </c>
      <c r="D670" s="18" t="e">
        <f ca="1">_xll.BDP(C670,"SECURITY_NAME")</f>
        <v>#NAME?</v>
      </c>
      <c r="E670" s="18" t="s">
        <v>50</v>
      </c>
      <c r="F670" s="19">
        <v>4200000</v>
      </c>
      <c r="G670" s="18" t="e">
        <f ca="1">_xll.BDP(C670,"CRNCY")</f>
        <v>#NAME?</v>
      </c>
      <c r="H670" s="84" t="e">
        <f ca="1">_xll.BDH(C670,"PX_LAST",N670)</f>
        <v>#NAME?</v>
      </c>
      <c r="I670" s="15" t="e">
        <f ca="1">F670*H670</f>
        <v>#NAME?</v>
      </c>
      <c r="J670" s="16" t="e">
        <f ca="1">I670/L670</f>
        <v>#NAME?</v>
      </c>
      <c r="K670" s="15" t="e">
        <f ca="1">J670*L670</f>
        <v>#NAME?</v>
      </c>
      <c r="L670" s="22" t="e">
        <f ca="1">_xll.BDH("RUB curncy","PX_LAST",$N670)</f>
        <v>#NAME?</v>
      </c>
      <c r="M670" s="85" t="e">
        <f ca="1">1/_xll.BDH("RUB curncy","PX_LAST",$N670)</f>
        <v>#NAME?</v>
      </c>
      <c r="N670" s="14">
        <v>42424</v>
      </c>
    </row>
    <row r="671" spans="2:14" x14ac:dyDescent="0.2">
      <c r="B671" s="21" t="s">
        <v>126</v>
      </c>
      <c r="C671" s="20" t="s">
        <v>729</v>
      </c>
      <c r="D671" s="18" t="e">
        <f ca="1">_xll.BDP(C671,"SECURITY_NAME")</f>
        <v>#NAME?</v>
      </c>
      <c r="E671" s="18" t="s">
        <v>50</v>
      </c>
      <c r="F671" s="19">
        <v>4200000</v>
      </c>
      <c r="G671" s="18" t="e">
        <f ca="1">_xll.BDP(C671,"CRNCY")</f>
        <v>#NAME?</v>
      </c>
      <c r="H671" s="84" t="e">
        <f ca="1">_xll.BDH(C671,"PX_LAST",N671)</f>
        <v>#NAME?</v>
      </c>
      <c r="I671" s="15" t="e">
        <f t="shared" ref="I671:I676" ca="1" si="168">F671*H671</f>
        <v>#NAME?</v>
      </c>
      <c r="J671" s="16" t="e">
        <f t="shared" ref="J671:J676" ca="1" si="169">I671/L671</f>
        <v>#NAME?</v>
      </c>
      <c r="K671" s="15" t="e">
        <f t="shared" ref="K671:K676" ca="1" si="170">J671*L671</f>
        <v>#NAME?</v>
      </c>
      <c r="L671" s="22" t="e">
        <f ca="1">_xll.BDH("RUB curncy","PX_LAST",$N671)</f>
        <v>#NAME?</v>
      </c>
      <c r="M671" s="85" t="e">
        <f ca="1">1/_xll.BDH("RUB curncy","PX_LAST",$N671)</f>
        <v>#NAME?</v>
      </c>
      <c r="N671" s="14">
        <v>41933</v>
      </c>
    </row>
    <row r="672" spans="2:14" x14ac:dyDescent="0.2">
      <c r="B672" s="21" t="s">
        <v>126</v>
      </c>
      <c r="C672" s="20" t="s">
        <v>729</v>
      </c>
      <c r="D672" s="18" t="e">
        <f ca="1">_xll.BDP(C672,"SECURITY_NAME")</f>
        <v>#NAME?</v>
      </c>
      <c r="E672" s="18" t="s">
        <v>50</v>
      </c>
      <c r="F672" s="19">
        <v>1350000</v>
      </c>
      <c r="G672" s="18" t="e">
        <f ca="1">_xll.BDP(C672,"CRNCY")</f>
        <v>#NAME?</v>
      </c>
      <c r="H672" s="84" t="e">
        <f ca="1">_xll.BDH(C672,"PX_LAST",N672)</f>
        <v>#NAME?</v>
      </c>
      <c r="I672" s="15" t="e">
        <f t="shared" ca="1" si="168"/>
        <v>#NAME?</v>
      </c>
      <c r="J672" s="16" t="e">
        <f t="shared" ca="1" si="169"/>
        <v>#NAME?</v>
      </c>
      <c r="K672" s="15" t="e">
        <f t="shared" ca="1" si="170"/>
        <v>#NAME?</v>
      </c>
      <c r="L672" s="22" t="e">
        <f ca="1">_xll.BDH("RUB curncy","PX_LAST",$N672)</f>
        <v>#NAME?</v>
      </c>
      <c r="M672" s="85" t="e">
        <f ca="1">1/_xll.BDH("RUB curncy","PX_LAST",$N672)</f>
        <v>#NAME?</v>
      </c>
      <c r="N672" s="14">
        <v>41654</v>
      </c>
    </row>
    <row r="673" spans="2:14" x14ac:dyDescent="0.2">
      <c r="B673" s="21" t="s">
        <v>126</v>
      </c>
      <c r="C673" s="20" t="s">
        <v>729</v>
      </c>
      <c r="D673" s="18" t="e">
        <f ca="1">_xll.BDP(C673,"SECURITY_NAME")</f>
        <v>#NAME?</v>
      </c>
      <c r="E673" s="18" t="s">
        <v>50</v>
      </c>
      <c r="F673" s="19">
        <v>1400000</v>
      </c>
      <c r="G673" s="18" t="e">
        <f ca="1">_xll.BDP(C673,"CRNCY")</f>
        <v>#NAME?</v>
      </c>
      <c r="H673" s="84" t="e">
        <f ca="1">_xll.BDH(C673,"PX_LAST",N673)</f>
        <v>#NAME?</v>
      </c>
      <c r="I673" s="15" t="e">
        <f t="shared" ca="1" si="168"/>
        <v>#NAME?</v>
      </c>
      <c r="J673" s="16" t="e">
        <f t="shared" ca="1" si="169"/>
        <v>#NAME?</v>
      </c>
      <c r="K673" s="15" t="e">
        <f t="shared" ca="1" si="170"/>
        <v>#NAME?</v>
      </c>
      <c r="L673" s="22" t="e">
        <f ca="1">_xll.BDH("RUB curncy","PX_LAST",$N673)</f>
        <v>#NAME?</v>
      </c>
      <c r="M673" s="85" t="e">
        <f ca="1">1/_xll.BDH("RUB curncy","PX_LAST",$N673)</f>
        <v>#NAME?</v>
      </c>
      <c r="N673" s="14">
        <v>41638</v>
      </c>
    </row>
    <row r="674" spans="2:14" x14ac:dyDescent="0.2">
      <c r="B674" s="21" t="s">
        <v>126</v>
      </c>
      <c r="C674" s="20" t="s">
        <v>729</v>
      </c>
      <c r="D674" s="18" t="e">
        <f ca="1">_xll.BDP(C674,"SECURITY_NAME")</f>
        <v>#NAME?</v>
      </c>
      <c r="E674" s="18" t="s">
        <v>50</v>
      </c>
      <c r="F674" s="19">
        <v>1250000</v>
      </c>
      <c r="G674" s="18" t="e">
        <f ca="1">_xll.BDP(C674,"CRNCY")</f>
        <v>#NAME?</v>
      </c>
      <c r="H674" s="84" t="e">
        <f ca="1">_xll.BDH(C674,"PX_LAST",N674)</f>
        <v>#NAME?</v>
      </c>
      <c r="I674" s="15" t="e">
        <f t="shared" ca="1" si="168"/>
        <v>#NAME?</v>
      </c>
      <c r="J674" s="16" t="e">
        <f t="shared" ca="1" si="169"/>
        <v>#NAME?</v>
      </c>
      <c r="K674" s="15" t="e">
        <f t="shared" ca="1" si="170"/>
        <v>#NAME?</v>
      </c>
      <c r="L674" s="22" t="e">
        <f ca="1">_xll.BDH("RUB curncy","PX_LAST",$N674)</f>
        <v>#NAME?</v>
      </c>
      <c r="M674" s="85" t="e">
        <f ca="1">1/_xll.BDH("RUB curncy","PX_LAST",$N674)</f>
        <v>#NAME?</v>
      </c>
      <c r="N674" s="14">
        <v>41236</v>
      </c>
    </row>
    <row r="675" spans="2:14" x14ac:dyDescent="0.2">
      <c r="B675" s="21" t="s">
        <v>126</v>
      </c>
      <c r="C675" s="20" t="s">
        <v>729</v>
      </c>
      <c r="D675" s="18" t="e">
        <f ca="1">_xll.BDP(C675,"SECURITY_NAME")</f>
        <v>#NAME?</v>
      </c>
      <c r="E675" s="18" t="s">
        <v>50</v>
      </c>
      <c r="F675" s="19">
        <v>2073000</v>
      </c>
      <c r="G675" s="18" t="e">
        <f ca="1">_xll.BDP(C675,"CRNCY")</f>
        <v>#NAME?</v>
      </c>
      <c r="H675" s="84" t="e">
        <f ca="1">_xll.BDH(C675,"PX_LAST",N675)</f>
        <v>#NAME?</v>
      </c>
      <c r="I675" s="15" t="e">
        <f t="shared" ca="1" si="168"/>
        <v>#NAME?</v>
      </c>
      <c r="J675" s="16" t="e">
        <f t="shared" ca="1" si="169"/>
        <v>#NAME?</v>
      </c>
      <c r="K675" s="15" t="e">
        <f t="shared" ca="1" si="170"/>
        <v>#NAME?</v>
      </c>
      <c r="L675" s="22" t="e">
        <f ca="1">_xll.BDH("RUB curncy","PX_LAST",$N675)</f>
        <v>#NAME?</v>
      </c>
      <c r="M675" s="85" t="e">
        <f ca="1">1/_xll.BDH("RUB curncy","PX_LAST",$N675)</f>
        <v>#NAME?</v>
      </c>
      <c r="N675" s="14">
        <v>41206</v>
      </c>
    </row>
    <row r="676" spans="2:14" x14ac:dyDescent="0.2">
      <c r="B676" s="21" t="s">
        <v>126</v>
      </c>
      <c r="C676" s="20" t="s">
        <v>729</v>
      </c>
      <c r="D676" s="18" t="e">
        <f ca="1">_xll.BDP(C676,"SECURITY_NAME")</f>
        <v>#NAME?</v>
      </c>
      <c r="E676" s="18" t="s">
        <v>50</v>
      </c>
      <c r="F676" s="19">
        <v>2350000</v>
      </c>
      <c r="G676" s="18" t="e">
        <f ca="1">_xll.BDP(C676,"CRNCY")</f>
        <v>#NAME?</v>
      </c>
      <c r="H676" s="84" t="e">
        <f ca="1">_xll.BDH(C676,"PX_LAST",N676)</f>
        <v>#NAME?</v>
      </c>
      <c r="I676" s="15" t="e">
        <f t="shared" ca="1" si="168"/>
        <v>#NAME?</v>
      </c>
      <c r="J676" s="16" t="e">
        <f t="shared" ca="1" si="169"/>
        <v>#NAME?</v>
      </c>
      <c r="K676" s="15" t="e">
        <f t="shared" ca="1" si="170"/>
        <v>#NAME?</v>
      </c>
      <c r="L676" s="22" t="e">
        <f ca="1">_xll.BDH("RUB curncy","PX_LAST",$N676)</f>
        <v>#NAME?</v>
      </c>
      <c r="M676" s="85" t="e">
        <f ca="1">1/_xll.BDH("RUB curncy","PX_LAST",$N676)</f>
        <v>#NAME?</v>
      </c>
      <c r="N676" s="14">
        <v>41205</v>
      </c>
    </row>
    <row r="677" spans="2:14" x14ac:dyDescent="0.2">
      <c r="B677" s="71"/>
      <c r="C677" s="72"/>
      <c r="D677" s="73">
        <f>E677/F677</f>
        <v>0.7928131168674214</v>
      </c>
      <c r="E677" s="73">
        <f>11680000+8000000</f>
        <v>19680000</v>
      </c>
      <c r="F677" s="79">
        <f>SUM(F669:F676)</f>
        <v>24823000</v>
      </c>
      <c r="G677" s="73"/>
      <c r="H677" s="93" t="e">
        <f ca="1">I677/F677</f>
        <v>#NAME?</v>
      </c>
      <c r="I677" s="79" t="e">
        <f ca="1">SUM(I669:I676)</f>
        <v>#NAME?</v>
      </c>
      <c r="J677" s="79" t="e">
        <f ca="1">SUM(J669:J676)</f>
        <v>#NAME?</v>
      </c>
      <c r="K677" s="79" t="e">
        <f ca="1">SUM(K669:K676)</f>
        <v>#NAME?</v>
      </c>
      <c r="L677" s="75"/>
      <c r="M677" s="86"/>
      <c r="N677" s="14"/>
    </row>
    <row r="678" spans="2:14" x14ac:dyDescent="0.2">
      <c r="B678" s="71"/>
      <c r="C678" s="72"/>
      <c r="D678" s="73"/>
      <c r="E678" s="73"/>
      <c r="F678" s="79"/>
      <c r="G678" s="73"/>
      <c r="H678" s="90"/>
      <c r="I678" s="79"/>
      <c r="J678" s="79"/>
      <c r="K678" s="79"/>
      <c r="L678" s="75"/>
      <c r="M678" s="86"/>
      <c r="N678" s="14"/>
    </row>
    <row r="679" spans="2:14" x14ac:dyDescent="0.2">
      <c r="B679" s="21" t="s">
        <v>126</v>
      </c>
      <c r="C679" s="20" t="s">
        <v>143</v>
      </c>
      <c r="D679" s="18" t="e">
        <f ca="1">_xll.BDP(C679,"SECURITY_NAME")</f>
        <v>#NAME?</v>
      </c>
      <c r="E679" s="18" t="s">
        <v>50</v>
      </c>
      <c r="F679" s="19">
        <v>922100000</v>
      </c>
      <c r="G679" s="18" t="e">
        <f ca="1">_xll.BDP(C679,"CRNCY")</f>
        <v>#NAME?</v>
      </c>
      <c r="H679" s="17" t="e">
        <f ca="1">_xll.BDH(C679,"PX_LAST",N679)</f>
        <v>#NAME?</v>
      </c>
      <c r="I679" s="15" t="e">
        <f ca="1">F679*H679</f>
        <v>#NAME?</v>
      </c>
      <c r="J679" s="16" t="e">
        <f ca="1">I679/L679</f>
        <v>#NAME?</v>
      </c>
      <c r="K679" s="15" t="e">
        <f ca="1">J679*L679</f>
        <v>#NAME?</v>
      </c>
      <c r="L679" s="22" t="e">
        <f ca="1">_xll.BDH("RUB curncy","PX_LAST",$N679)</f>
        <v>#NAME?</v>
      </c>
      <c r="M679" s="85" t="e">
        <f ca="1">1/_xll.BDH("RUB curncy","PX_LAST",$N679)</f>
        <v>#NAME?</v>
      </c>
      <c r="N679" s="14">
        <v>41107</v>
      </c>
    </row>
    <row r="680" spans="2:14" x14ac:dyDescent="0.2">
      <c r="B680" s="71"/>
      <c r="C680" s="72"/>
      <c r="D680" s="73"/>
      <c r="E680" s="73"/>
      <c r="F680" s="79">
        <f>SUM(F679)</f>
        <v>922100000</v>
      </c>
      <c r="G680" s="73"/>
      <c r="H680" s="92" t="e">
        <f ca="1">I680/F680</f>
        <v>#NAME?</v>
      </c>
      <c r="I680" s="79" t="e">
        <f ca="1">SUM(I679)</f>
        <v>#NAME?</v>
      </c>
      <c r="J680" s="79" t="e">
        <f ca="1">SUM(J679)</f>
        <v>#NAME?</v>
      </c>
      <c r="K680" s="79" t="e">
        <f ca="1">SUM(K679)</f>
        <v>#NAME?</v>
      </c>
      <c r="L680" s="75"/>
      <c r="M680" s="86"/>
      <c r="N680" s="14"/>
    </row>
    <row r="681" spans="2:14" x14ac:dyDescent="0.2">
      <c r="B681" s="71"/>
      <c r="C681" s="72"/>
      <c r="D681" s="73"/>
      <c r="E681" s="73"/>
      <c r="F681" s="79"/>
      <c r="G681" s="73"/>
      <c r="H681" s="92"/>
      <c r="I681" s="79"/>
      <c r="J681" s="79"/>
      <c r="K681" s="79"/>
      <c r="L681" s="75"/>
      <c r="M681" s="86"/>
      <c r="N681" s="14"/>
    </row>
    <row r="682" spans="2:14" x14ac:dyDescent="0.2">
      <c r="B682" s="21" t="s">
        <v>126</v>
      </c>
      <c r="C682" s="20" t="s">
        <v>21</v>
      </c>
      <c r="D682" s="18" t="e">
        <f ca="1">_xll.BDP(C682,"SECURITY_NAME")</f>
        <v>#NAME?</v>
      </c>
      <c r="E682" s="18" t="s">
        <v>50</v>
      </c>
      <c r="F682" s="19">
        <v>224640</v>
      </c>
      <c r="G682" s="18" t="e">
        <f ca="1">_xll.BDP(C682,"CRNCY")</f>
        <v>#NAME?</v>
      </c>
      <c r="H682" s="94" t="e">
        <f ca="1">_xll.BDH(C682,"PX_LAST",N682)</f>
        <v>#NAME?</v>
      </c>
      <c r="I682" s="15" t="e">
        <f ca="1">F682*H682</f>
        <v>#NAME?</v>
      </c>
      <c r="J682" s="16" t="e">
        <f ca="1">I682/L682</f>
        <v>#NAME?</v>
      </c>
      <c r="K682" s="15" t="e">
        <f ca="1">J682*L682</f>
        <v>#NAME?</v>
      </c>
      <c r="L682" s="22" t="e">
        <f ca="1">_xll.BDH("RUB curncy","PX_LAST",$N682)</f>
        <v>#NAME?</v>
      </c>
      <c r="M682" s="85" t="e">
        <f ca="1">1/_xll.BDH("RUB curncy","PX_LAST",$N682)</f>
        <v>#NAME?</v>
      </c>
      <c r="N682" s="14">
        <v>41991</v>
      </c>
    </row>
    <row r="683" spans="2:14" x14ac:dyDescent="0.2">
      <c r="B683" s="21" t="s">
        <v>126</v>
      </c>
      <c r="C683" s="20" t="s">
        <v>21</v>
      </c>
      <c r="D683" s="18" t="e">
        <f ca="1">_xll.BDP(C683,"SECURITY_NAME")</f>
        <v>#NAME?</v>
      </c>
      <c r="E683" s="18" t="s">
        <v>50</v>
      </c>
      <c r="F683" s="19">
        <v>52630</v>
      </c>
      <c r="G683" s="18" t="e">
        <f ca="1">_xll.BDP(C683,"CRNCY")</f>
        <v>#NAME?</v>
      </c>
      <c r="H683" s="94" t="e">
        <f ca="1">_xll.BDH(C683,"PX_LAST",N683)</f>
        <v>#NAME?</v>
      </c>
      <c r="I683" s="15" t="e">
        <f ca="1">F683*H683</f>
        <v>#NAME?</v>
      </c>
      <c r="J683" s="16" t="e">
        <f ca="1">I683/L683</f>
        <v>#NAME?</v>
      </c>
      <c r="K683" s="15" t="e">
        <f ca="1">J683*L683</f>
        <v>#NAME?</v>
      </c>
      <c r="L683" s="22" t="e">
        <f ca="1">_xll.BDH("RUB curncy","PX_LAST",$N683)</f>
        <v>#NAME?</v>
      </c>
      <c r="M683" s="85" t="e">
        <f ca="1">1/_xll.BDH("RUB curncy","PX_LAST",$N683)</f>
        <v>#NAME?</v>
      </c>
      <c r="N683" s="14">
        <v>41985</v>
      </c>
    </row>
    <row r="684" spans="2:14" x14ac:dyDescent="0.2">
      <c r="B684" s="21" t="s">
        <v>126</v>
      </c>
      <c r="C684" s="20" t="s">
        <v>21</v>
      </c>
      <c r="D684" s="18" t="e">
        <f ca="1">_xll.BDP(C684,"SECURITY_NAME")</f>
        <v>#NAME?</v>
      </c>
      <c r="E684" s="18" t="s">
        <v>50</v>
      </c>
      <c r="F684" s="19">
        <v>13500</v>
      </c>
      <c r="G684" s="18" t="e">
        <f ca="1">_xll.BDP(C684,"CRNCY")</f>
        <v>#NAME?</v>
      </c>
      <c r="H684" s="94" t="e">
        <f ca="1">_xll.BDH(C684,"PX_LAST",N684)</f>
        <v>#NAME?</v>
      </c>
      <c r="I684" s="15" t="e">
        <f ca="1">F684*H684</f>
        <v>#NAME?</v>
      </c>
      <c r="J684" s="16" t="e">
        <f ca="1">I684/L684</f>
        <v>#NAME?</v>
      </c>
      <c r="K684" s="15" t="e">
        <f t="shared" ref="K684:K691" ca="1" si="171">J684*L684</f>
        <v>#NAME?</v>
      </c>
      <c r="L684" s="22" t="e">
        <f ca="1">_xll.BDH("RUB curncy","PX_LAST",$N684)</f>
        <v>#NAME?</v>
      </c>
      <c r="M684" s="85" t="e">
        <f ca="1">1/_xll.BDH("RUB curncy","PX_LAST",$N684)</f>
        <v>#NAME?</v>
      </c>
      <c r="N684" s="14">
        <v>41977</v>
      </c>
    </row>
    <row r="685" spans="2:14" x14ac:dyDescent="0.2">
      <c r="B685" s="21" t="s">
        <v>126</v>
      </c>
      <c r="C685" s="20" t="s">
        <v>21</v>
      </c>
      <c r="D685" s="18" t="e">
        <f ca="1">_xll.BDP(C685,"SECURITY_NAME")</f>
        <v>#NAME?</v>
      </c>
      <c r="E685" s="18" t="s">
        <v>50</v>
      </c>
      <c r="F685" s="19">
        <v>10830</v>
      </c>
      <c r="G685" s="18" t="e">
        <f ca="1">_xll.BDP(C685,"CRNCY")</f>
        <v>#NAME?</v>
      </c>
      <c r="H685" s="94" t="e">
        <f ca="1">_xll.BDH(C685,"PX_LAST",N685)</f>
        <v>#NAME?</v>
      </c>
      <c r="I685" s="15" t="e">
        <f t="shared" ref="I685:I691" ca="1" si="172">F685*H685</f>
        <v>#NAME?</v>
      </c>
      <c r="J685" s="16" t="e">
        <f t="shared" ref="J685:J691" ca="1" si="173">I685/L685</f>
        <v>#NAME?</v>
      </c>
      <c r="K685" s="15" t="e">
        <f t="shared" ca="1" si="171"/>
        <v>#NAME?</v>
      </c>
      <c r="L685" s="22" t="e">
        <f ca="1">_xll.BDH("RUB curncy","PX_LAST",$N685)</f>
        <v>#NAME?</v>
      </c>
      <c r="M685" s="85" t="e">
        <f ca="1">1/_xll.BDH("RUB curncy","PX_LAST",$N685)</f>
        <v>#NAME?</v>
      </c>
      <c r="N685" s="14">
        <v>41976</v>
      </c>
    </row>
    <row r="686" spans="2:14" x14ac:dyDescent="0.2">
      <c r="B686" s="21" t="s">
        <v>126</v>
      </c>
      <c r="C686" s="20" t="s">
        <v>21</v>
      </c>
      <c r="D686" s="18" t="e">
        <f ca="1">_xll.BDP(C686,"SECURITY_NAME")</f>
        <v>#NAME?</v>
      </c>
      <c r="E686" s="18" t="s">
        <v>50</v>
      </c>
      <c r="F686" s="19">
        <v>16450</v>
      </c>
      <c r="G686" s="18" t="e">
        <f ca="1">_xll.BDP(C686,"CRNCY")</f>
        <v>#NAME?</v>
      </c>
      <c r="H686" s="94" t="e">
        <f ca="1">_xll.BDH(C686,"PX_LAST",N686)</f>
        <v>#NAME?</v>
      </c>
      <c r="I686" s="15" t="e">
        <f t="shared" ca="1" si="172"/>
        <v>#NAME?</v>
      </c>
      <c r="J686" s="16" t="e">
        <f t="shared" ca="1" si="173"/>
        <v>#NAME?</v>
      </c>
      <c r="K686" s="15" t="e">
        <f t="shared" ca="1" si="171"/>
        <v>#NAME?</v>
      </c>
      <c r="L686" s="22" t="e">
        <f ca="1">_xll.BDH("RUB curncy","PX_LAST",$N686)</f>
        <v>#NAME?</v>
      </c>
      <c r="M686" s="85" t="e">
        <f ca="1">1/_xll.BDH("RUB curncy","PX_LAST",$N686)</f>
        <v>#NAME?</v>
      </c>
      <c r="N686" s="14">
        <v>41974</v>
      </c>
    </row>
    <row r="687" spans="2:14" x14ac:dyDescent="0.2">
      <c r="B687" s="21" t="s">
        <v>126</v>
      </c>
      <c r="C687" s="20" t="s">
        <v>21</v>
      </c>
      <c r="D687" s="18" t="e">
        <f ca="1">_xll.BDP(C687,"SECURITY_NAME")</f>
        <v>#NAME?</v>
      </c>
      <c r="E687" s="18" t="s">
        <v>50</v>
      </c>
      <c r="F687" s="19">
        <v>25000</v>
      </c>
      <c r="G687" s="18" t="e">
        <f ca="1">_xll.BDP(C687,"CRNCY")</f>
        <v>#NAME?</v>
      </c>
      <c r="H687" s="94" t="e">
        <f ca="1">_xll.BDH(C687,"PX_LAST",N687)</f>
        <v>#NAME?</v>
      </c>
      <c r="I687" s="15" t="e">
        <f t="shared" ca="1" si="172"/>
        <v>#NAME?</v>
      </c>
      <c r="J687" s="16" t="e">
        <f t="shared" ca="1" si="173"/>
        <v>#NAME?</v>
      </c>
      <c r="K687" s="15" t="e">
        <f t="shared" ca="1" si="171"/>
        <v>#NAME?</v>
      </c>
      <c r="L687" s="22" t="e">
        <f ca="1">_xll.BDH("RUB curncy","PX_LAST",$N687)</f>
        <v>#NAME?</v>
      </c>
      <c r="M687" s="85" t="e">
        <f ca="1">1/_xll.BDH("RUB curncy","PX_LAST",$N687)</f>
        <v>#NAME?</v>
      </c>
      <c r="N687" s="14">
        <v>41954</v>
      </c>
    </row>
    <row r="688" spans="2:14" x14ac:dyDescent="0.2">
      <c r="B688" s="21" t="s">
        <v>126</v>
      </c>
      <c r="C688" s="20" t="s">
        <v>21</v>
      </c>
      <c r="D688" s="18" t="e">
        <f ca="1">_xll.BDP(C688,"SECURITY_NAME")</f>
        <v>#NAME?</v>
      </c>
      <c r="E688" s="18" t="s">
        <v>50</v>
      </c>
      <c r="F688" s="19">
        <v>14000</v>
      </c>
      <c r="G688" s="18" t="e">
        <f ca="1">_xll.BDP(C688,"CRNCY")</f>
        <v>#NAME?</v>
      </c>
      <c r="H688" s="94" t="e">
        <f ca="1">_xll.BDH(C688,"PX_LAST",N688)</f>
        <v>#NAME?</v>
      </c>
      <c r="I688" s="15" t="e">
        <f t="shared" ca="1" si="172"/>
        <v>#NAME?</v>
      </c>
      <c r="J688" s="16" t="e">
        <f t="shared" ca="1" si="173"/>
        <v>#NAME?</v>
      </c>
      <c r="K688" s="15" t="e">
        <f t="shared" ca="1" si="171"/>
        <v>#NAME?</v>
      </c>
      <c r="L688" s="22" t="e">
        <f ca="1">_xll.BDH("RUB curncy","PX_LAST",$N688)</f>
        <v>#NAME?</v>
      </c>
      <c r="M688" s="85" t="e">
        <f ca="1">1/_xll.BDH("RUB curncy","PX_LAST",$N688)</f>
        <v>#NAME?</v>
      </c>
      <c r="N688" s="14">
        <v>41950</v>
      </c>
    </row>
    <row r="689" spans="2:14" x14ac:dyDescent="0.2">
      <c r="B689" s="21" t="s">
        <v>126</v>
      </c>
      <c r="C689" s="20" t="s">
        <v>21</v>
      </c>
      <c r="D689" s="18" t="e">
        <f ca="1">_xll.BDP(C689,"SECURITY_NAME")</f>
        <v>#NAME?</v>
      </c>
      <c r="E689" s="18" t="s">
        <v>50</v>
      </c>
      <c r="F689" s="19">
        <v>13800</v>
      </c>
      <c r="G689" s="18" t="e">
        <f ca="1">_xll.BDP(C689,"CRNCY")</f>
        <v>#NAME?</v>
      </c>
      <c r="H689" s="94" t="e">
        <f ca="1">_xll.BDH(C689,"PX_LAST",N689)</f>
        <v>#NAME?</v>
      </c>
      <c r="I689" s="15" t="e">
        <f t="shared" ca="1" si="172"/>
        <v>#NAME?</v>
      </c>
      <c r="J689" s="16" t="e">
        <f t="shared" ca="1" si="173"/>
        <v>#NAME?</v>
      </c>
      <c r="K689" s="15" t="e">
        <f t="shared" ca="1" si="171"/>
        <v>#NAME?</v>
      </c>
      <c r="L689" s="22" t="e">
        <f ca="1">_xll.BDH("RUB curncy","PX_LAST",$N689)</f>
        <v>#NAME?</v>
      </c>
      <c r="M689" s="85" t="e">
        <f ca="1">1/_xll.BDH("RUB curncy","PX_LAST",$N689)</f>
        <v>#NAME?</v>
      </c>
      <c r="N689" s="14">
        <v>41227</v>
      </c>
    </row>
    <row r="690" spans="2:14" x14ac:dyDescent="0.2">
      <c r="B690" s="21" t="s">
        <v>126</v>
      </c>
      <c r="C690" s="20" t="s">
        <v>21</v>
      </c>
      <c r="D690" s="18" t="e">
        <f ca="1">_xll.BDP(C690,"SECURITY_NAME")</f>
        <v>#NAME?</v>
      </c>
      <c r="E690" s="18" t="s">
        <v>50</v>
      </c>
      <c r="F690" s="19">
        <v>11200</v>
      </c>
      <c r="G690" s="18" t="e">
        <f ca="1">_xll.BDP(C690,"CRNCY")</f>
        <v>#NAME?</v>
      </c>
      <c r="H690" s="94" t="e">
        <f ca="1">_xll.BDH(C690,"PX_LAST",N690)</f>
        <v>#NAME?</v>
      </c>
      <c r="I690" s="15" t="e">
        <f t="shared" ca="1" si="172"/>
        <v>#NAME?</v>
      </c>
      <c r="J690" s="16" t="e">
        <f t="shared" ca="1" si="173"/>
        <v>#NAME?</v>
      </c>
      <c r="K690" s="15" t="e">
        <f t="shared" ca="1" si="171"/>
        <v>#NAME?</v>
      </c>
      <c r="L690" s="22" t="e">
        <f ca="1">_xll.BDH("RUB curncy","PX_LAST",$N690)</f>
        <v>#NAME?</v>
      </c>
      <c r="M690" s="85" t="e">
        <f ca="1">1/_xll.BDH("RUB curncy","PX_LAST",$N690)</f>
        <v>#NAME?</v>
      </c>
      <c r="N690" s="14">
        <v>41205</v>
      </c>
    </row>
    <row r="691" spans="2:14" x14ac:dyDescent="0.2">
      <c r="B691" s="21" t="s">
        <v>126</v>
      </c>
      <c r="C691" s="20" t="s">
        <v>21</v>
      </c>
      <c r="D691" s="18" t="e">
        <f ca="1">_xll.BDP(C691,"SECURITY_NAME")</f>
        <v>#NAME?</v>
      </c>
      <c r="E691" s="18" t="s">
        <v>50</v>
      </c>
      <c r="F691" s="19">
        <v>11800</v>
      </c>
      <c r="G691" s="18" t="e">
        <f ca="1">_xll.BDP(C691,"CRNCY")</f>
        <v>#NAME?</v>
      </c>
      <c r="H691" s="94" t="e">
        <f ca="1">_xll.BDH(C691,"PX_LAST",N691)</f>
        <v>#NAME?</v>
      </c>
      <c r="I691" s="15" t="e">
        <f t="shared" ca="1" si="172"/>
        <v>#NAME?</v>
      </c>
      <c r="J691" s="16" t="e">
        <f t="shared" ca="1" si="173"/>
        <v>#NAME?</v>
      </c>
      <c r="K691" s="15" t="e">
        <f t="shared" ca="1" si="171"/>
        <v>#NAME?</v>
      </c>
      <c r="L691" s="22" t="e">
        <f ca="1">_xll.BDH("RUB curncy","PX_LAST",$N691)</f>
        <v>#NAME?</v>
      </c>
      <c r="M691" s="85" t="e">
        <f ca="1">1/_xll.BDH("RUB curncy","PX_LAST",$N691)</f>
        <v>#NAME?</v>
      </c>
      <c r="N691" s="14">
        <v>41176</v>
      </c>
    </row>
    <row r="692" spans="2:14" x14ac:dyDescent="0.2">
      <c r="B692" s="71"/>
      <c r="C692" s="72"/>
      <c r="D692" s="73"/>
      <c r="E692" s="73"/>
      <c r="F692" s="79">
        <f>SUM(F682:F691)</f>
        <v>393850</v>
      </c>
      <c r="G692" s="73"/>
      <c r="H692" s="95" t="e">
        <f ca="1">I692/F692</f>
        <v>#NAME?</v>
      </c>
      <c r="I692" s="79" t="e">
        <f ca="1">SUM(I682:I691)</f>
        <v>#NAME?</v>
      </c>
      <c r="J692" s="79" t="e">
        <f ca="1">SUM(J682:J691)</f>
        <v>#NAME?</v>
      </c>
      <c r="K692" s="79" t="e">
        <f ca="1">SUM(K682:K691)</f>
        <v>#NAME?</v>
      </c>
      <c r="L692" s="75"/>
      <c r="M692" s="86"/>
      <c r="N692" s="14"/>
    </row>
    <row r="693" spans="2:14" x14ac:dyDescent="0.2">
      <c r="B693" s="71"/>
      <c r="C693" s="72"/>
      <c r="D693" s="73"/>
      <c r="E693" s="73"/>
      <c r="F693" s="74"/>
      <c r="G693" s="73"/>
      <c r="H693" s="75"/>
      <c r="I693" s="76"/>
      <c r="J693" s="77"/>
      <c r="K693" s="76"/>
      <c r="L693" s="75"/>
      <c r="M693" s="86"/>
      <c r="N693" s="14"/>
    </row>
    <row r="694" spans="2:14" x14ac:dyDescent="0.2">
      <c r="B694" s="71"/>
      <c r="C694" s="72"/>
      <c r="D694" s="73"/>
      <c r="E694" s="73"/>
      <c r="F694" s="74"/>
      <c r="G694" s="73"/>
      <c r="H694" s="75"/>
      <c r="I694" s="76"/>
      <c r="J694" s="77"/>
      <c r="K694" s="76"/>
      <c r="L694" s="75"/>
      <c r="M694" s="86"/>
      <c r="N694" s="14"/>
    </row>
    <row r="695" spans="2:14" x14ac:dyDescent="0.2">
      <c r="B695" s="21" t="s">
        <v>126</v>
      </c>
      <c r="C695" s="20" t="s">
        <v>134</v>
      </c>
      <c r="D695" s="18" t="e">
        <f ca="1">_xll.BDP(C695,"SECURITY_NAME")</f>
        <v>#NAME?</v>
      </c>
      <c r="E695" s="18" t="s">
        <v>50</v>
      </c>
      <c r="F695" s="19">
        <v>46000</v>
      </c>
      <c r="G695" s="18" t="e">
        <f ca="1">_xll.BDP(C695,"CRNCY")</f>
        <v>#NAME?</v>
      </c>
      <c r="H695" s="22">
        <v>1.095</v>
      </c>
      <c r="I695" s="15">
        <f>F695*H695</f>
        <v>50370</v>
      </c>
      <c r="J695" s="16" t="e">
        <f ca="1">I695*L695</f>
        <v>#NAME?</v>
      </c>
      <c r="K695" s="15" t="e">
        <f ca="1">J695/M695</f>
        <v>#NAME?</v>
      </c>
      <c r="L695" s="22" t="e">
        <f ca="1">_xll.BDH("GBP curncy","PX_LAST",$N695)</f>
        <v>#NAME?</v>
      </c>
      <c r="M695" s="85" t="e">
        <f ca="1">1/_xll.BDH("RUB curncy","PX_LAST",$N695)</f>
        <v>#NAME?</v>
      </c>
      <c r="N695" s="14">
        <v>42614</v>
      </c>
    </row>
    <row r="696" spans="2:14" x14ac:dyDescent="0.2">
      <c r="B696" s="21" t="s">
        <v>126</v>
      </c>
      <c r="C696" s="20" t="s">
        <v>134</v>
      </c>
      <c r="D696" s="18" t="e">
        <f ca="1">_xll.BDP(C696,"SECURITY_NAME")</f>
        <v>#NAME?</v>
      </c>
      <c r="E696" s="18" t="s">
        <v>50</v>
      </c>
      <c r="F696" s="19">
        <v>42676</v>
      </c>
      <c r="G696" s="18" t="e">
        <f ca="1">_xll.BDP(C696,"CRNCY")</f>
        <v>#NAME?</v>
      </c>
      <c r="H696" s="22">
        <v>1</v>
      </c>
      <c r="I696" s="15">
        <f>F696*H696</f>
        <v>42676</v>
      </c>
      <c r="J696" s="16" t="e">
        <f ca="1">I696*L696</f>
        <v>#NAME?</v>
      </c>
      <c r="K696" s="15" t="e">
        <f ca="1">J696/M696</f>
        <v>#NAME?</v>
      </c>
      <c r="L696" s="22" t="e">
        <f ca="1">_xll.BDH("GBP curncy","PX_LAST",$N696)</f>
        <v>#NAME?</v>
      </c>
      <c r="M696" s="85" t="e">
        <f ca="1">1/_xll.BDH("RUB curncy","PX_LAST",$N696)</f>
        <v>#NAME?</v>
      </c>
      <c r="N696" s="14">
        <v>42550</v>
      </c>
    </row>
    <row r="697" spans="2:14" x14ac:dyDescent="0.2">
      <c r="B697" s="21" t="s">
        <v>126</v>
      </c>
      <c r="C697" s="20" t="s">
        <v>134</v>
      </c>
      <c r="D697" s="18" t="e">
        <f ca="1">_xll.BDP(C697,"SECURITY_NAME")</f>
        <v>#NAME?</v>
      </c>
      <c r="E697" s="18" t="s">
        <v>50</v>
      </c>
      <c r="F697" s="19">
        <v>35000</v>
      </c>
      <c r="G697" s="18" t="e">
        <f ca="1">_xll.BDP(C697,"CRNCY")</f>
        <v>#NAME?</v>
      </c>
      <c r="H697" s="22">
        <v>0.99250000000000005</v>
      </c>
      <c r="I697" s="15">
        <f>F697*H697</f>
        <v>34737.5</v>
      </c>
      <c r="J697" s="16" t="e">
        <f ca="1">I697*L697</f>
        <v>#NAME?</v>
      </c>
      <c r="K697" s="15" t="e">
        <f ca="1">J697/M697</f>
        <v>#NAME?</v>
      </c>
      <c r="L697" s="22" t="e">
        <f ca="1">_xll.BDH("GBP curncy","PX_LAST",$N697)</f>
        <v>#NAME?</v>
      </c>
      <c r="M697" s="85" t="e">
        <f ca="1">1/_xll.BDH("RUB curncy","PX_LAST",$N697)</f>
        <v>#NAME?</v>
      </c>
      <c r="N697" s="14">
        <v>42548</v>
      </c>
    </row>
    <row r="698" spans="2:14" x14ac:dyDescent="0.2">
      <c r="B698" s="21" t="s">
        <v>126</v>
      </c>
      <c r="C698" s="20" t="s">
        <v>134</v>
      </c>
      <c r="D698" s="18" t="e">
        <f ca="1">_xll.BDP(C698,"SECURITY_NAME")</f>
        <v>#NAME?</v>
      </c>
      <c r="E698" s="18" t="s">
        <v>50</v>
      </c>
      <c r="F698" s="19">
        <v>50000</v>
      </c>
      <c r="G698" s="18" t="e">
        <f ca="1">_xll.BDP(C698,"CRNCY")</f>
        <v>#NAME?</v>
      </c>
      <c r="H698" s="22">
        <v>0.97499999999999998</v>
      </c>
      <c r="I698" s="15">
        <f>F698*H698</f>
        <v>48750</v>
      </c>
      <c r="J698" s="16" t="e">
        <f ca="1">I698*L698</f>
        <v>#NAME?</v>
      </c>
      <c r="K698" s="15" t="e">
        <f ca="1">J698/M698</f>
        <v>#NAME?</v>
      </c>
      <c r="L698" s="22" t="e">
        <f ca="1">_xll.BDH("GBP curncy","PX_LAST",$N698)</f>
        <v>#NAME?</v>
      </c>
      <c r="M698" s="85" t="e">
        <f ca="1">1/_xll.BDH("RUB curncy","PX_LAST",$N698)</f>
        <v>#NAME?</v>
      </c>
      <c r="N698" s="14">
        <v>42545</v>
      </c>
    </row>
    <row r="699" spans="2:14" x14ac:dyDescent="0.2">
      <c r="B699" s="21" t="s">
        <v>126</v>
      </c>
      <c r="C699" s="20" t="s">
        <v>134</v>
      </c>
      <c r="D699" s="18" t="e">
        <f ca="1">_xll.BDP(C699,"SECURITY_NAME")</f>
        <v>#NAME?</v>
      </c>
      <c r="E699" s="18" t="s">
        <v>50</v>
      </c>
      <c r="F699" s="19">
        <v>298351</v>
      </c>
      <c r="G699" s="18" t="e">
        <f ca="1">_xll.BDP(C699,"CRNCY")</f>
        <v>#NAME?</v>
      </c>
      <c r="H699" s="22">
        <v>0.42161999999999999</v>
      </c>
      <c r="I699" s="15">
        <f t="shared" ref="I699:I705" si="174">F699*H699</f>
        <v>125790.74862</v>
      </c>
      <c r="J699" s="16" t="e">
        <f t="shared" ref="J699:J705" ca="1" si="175">I699*L699</f>
        <v>#NAME?</v>
      </c>
      <c r="K699" s="15" t="e">
        <f t="shared" ref="K699:K705" ca="1" si="176">J699/M699</f>
        <v>#NAME?</v>
      </c>
      <c r="L699" s="22" t="e">
        <f ca="1">_xll.BDH("GBP curncy","PX_LAST",$N699)</f>
        <v>#NAME?</v>
      </c>
      <c r="M699" s="85" t="e">
        <f ca="1">1/_xll.BDH("RUB curncy","PX_LAST",$N699)</f>
        <v>#NAME?</v>
      </c>
      <c r="N699" s="14">
        <v>42209</v>
      </c>
    </row>
    <row r="700" spans="2:14" x14ac:dyDescent="0.2">
      <c r="B700" s="21" t="s">
        <v>126</v>
      </c>
      <c r="C700" s="20" t="s">
        <v>134</v>
      </c>
      <c r="D700" s="18" t="e">
        <f ca="1">_xll.BDP(C700,"SECURITY_NAME")</f>
        <v>#NAME?</v>
      </c>
      <c r="E700" s="18" t="s">
        <v>50</v>
      </c>
      <c r="F700" s="19">
        <v>62490</v>
      </c>
      <c r="G700" s="18" t="e">
        <f ca="1">_xll.BDP(C700,"CRNCY")</f>
        <v>#NAME?</v>
      </c>
      <c r="H700" s="22" t="e">
        <f ca="1">_xll.BDH(C700,"PX_LAST",N700)/100</f>
        <v>#NAME?</v>
      </c>
      <c r="I700" s="15" t="e">
        <f t="shared" ca="1" si="174"/>
        <v>#NAME?</v>
      </c>
      <c r="J700" s="16" t="e">
        <f t="shared" ca="1" si="175"/>
        <v>#NAME?</v>
      </c>
      <c r="K700" s="15" t="e">
        <f t="shared" ca="1" si="176"/>
        <v>#NAME?</v>
      </c>
      <c r="L700" s="22" t="e">
        <f ca="1">_xll.BDH("GBP curncy","PX_LAST",$N700)</f>
        <v>#NAME?</v>
      </c>
      <c r="M700" s="85" t="e">
        <f ca="1">1/_xll.BDH("RUB curncy","PX_LAST",$N700)</f>
        <v>#NAME?</v>
      </c>
      <c r="N700" s="14">
        <v>42199</v>
      </c>
    </row>
    <row r="701" spans="2:14" x14ac:dyDescent="0.2">
      <c r="B701" s="21" t="s">
        <v>126</v>
      </c>
      <c r="C701" s="20" t="s">
        <v>134</v>
      </c>
      <c r="D701" s="18" t="e">
        <f ca="1">_xll.BDP(C701,"SECURITY_NAME")</f>
        <v>#NAME?</v>
      </c>
      <c r="E701" s="18" t="s">
        <v>50</v>
      </c>
      <c r="F701" s="19">
        <v>125875</v>
      </c>
      <c r="G701" s="18" t="e">
        <f ca="1">_xll.BDP(C701,"CRNCY")</f>
        <v>#NAME?</v>
      </c>
      <c r="H701" s="22" t="e">
        <f ca="1">_xll.BDH(C701,"PX_LAST",N701)/100</f>
        <v>#NAME?</v>
      </c>
      <c r="I701" s="15" t="e">
        <f t="shared" ca="1" si="174"/>
        <v>#NAME?</v>
      </c>
      <c r="J701" s="16" t="e">
        <f t="shared" ca="1" si="175"/>
        <v>#NAME?</v>
      </c>
      <c r="K701" s="15" t="e">
        <f t="shared" ca="1" si="176"/>
        <v>#NAME?</v>
      </c>
      <c r="L701" s="22" t="e">
        <f ca="1">_xll.BDH("GBP curncy","PX_LAST",$N701)</f>
        <v>#NAME?</v>
      </c>
      <c r="M701" s="85" t="e">
        <f ca="1">1/_xll.BDH("RUB curncy","PX_LAST",$N701)</f>
        <v>#NAME?</v>
      </c>
      <c r="N701" s="14">
        <v>42198</v>
      </c>
    </row>
    <row r="702" spans="2:14" x14ac:dyDescent="0.2">
      <c r="B702" s="21" t="s">
        <v>126</v>
      </c>
      <c r="C702" s="20" t="s">
        <v>134</v>
      </c>
      <c r="D702" s="18" t="e">
        <f ca="1">_xll.BDP(C702,"SECURITY_NAME")</f>
        <v>#NAME?</v>
      </c>
      <c r="E702" s="18" t="s">
        <v>50</v>
      </c>
      <c r="F702" s="19">
        <v>227903</v>
      </c>
      <c r="G702" s="18" t="e">
        <f ca="1">_xll.BDP(C702,"CRNCY")</f>
        <v>#NAME?</v>
      </c>
      <c r="H702" s="22" t="e">
        <f ca="1">_xll.BDH(C702,"PX_LAST",N702)/100</f>
        <v>#NAME?</v>
      </c>
      <c r="I702" s="15" t="e">
        <f t="shared" ca="1" si="174"/>
        <v>#NAME?</v>
      </c>
      <c r="J702" s="16" t="e">
        <f t="shared" ca="1" si="175"/>
        <v>#NAME?</v>
      </c>
      <c r="K702" s="15" t="e">
        <f t="shared" ca="1" si="176"/>
        <v>#NAME?</v>
      </c>
      <c r="L702" s="22" t="e">
        <f ca="1">_xll.BDH("GBP curncy","PX_LAST",$N702)</f>
        <v>#NAME?</v>
      </c>
      <c r="M702" s="85" t="e">
        <f ca="1">1/_xll.BDH("RUB curncy","PX_LAST",$N702)</f>
        <v>#NAME?</v>
      </c>
      <c r="N702" s="14">
        <v>42082</v>
      </c>
    </row>
    <row r="703" spans="2:14" x14ac:dyDescent="0.2">
      <c r="B703" s="21" t="s">
        <v>126</v>
      </c>
      <c r="C703" s="20" t="s">
        <v>134</v>
      </c>
      <c r="D703" s="18" t="e">
        <f ca="1">_xll.BDP(C703,"SECURITY_NAME")</f>
        <v>#NAME?</v>
      </c>
      <c r="E703" s="18" t="s">
        <v>50</v>
      </c>
      <c r="F703" s="19">
        <v>59481</v>
      </c>
      <c r="G703" s="18" t="e">
        <f ca="1">_xll.BDP(C703,"CRNCY")</f>
        <v>#NAME?</v>
      </c>
      <c r="H703" s="22" t="e">
        <f ca="1">_xll.BDH(C703,"PX_LAST",N703)/100</f>
        <v>#NAME?</v>
      </c>
      <c r="I703" s="15" t="e">
        <f t="shared" ca="1" si="174"/>
        <v>#NAME?</v>
      </c>
      <c r="J703" s="16" t="e">
        <f t="shared" ca="1" si="175"/>
        <v>#NAME?</v>
      </c>
      <c r="K703" s="15" t="e">
        <f t="shared" ca="1" si="176"/>
        <v>#NAME?</v>
      </c>
      <c r="L703" s="22" t="e">
        <f ca="1">_xll.BDH("GBP curncy","PX_LAST",$N703)</f>
        <v>#NAME?</v>
      </c>
      <c r="M703" s="85" t="e">
        <f ca="1">1/_xll.BDH("RUB curncy","PX_LAST",$N703)</f>
        <v>#NAME?</v>
      </c>
      <c r="N703" s="14">
        <v>42076</v>
      </c>
    </row>
    <row r="704" spans="2:14" x14ac:dyDescent="0.2">
      <c r="B704" s="21" t="s">
        <v>126</v>
      </c>
      <c r="C704" s="20" t="s">
        <v>134</v>
      </c>
      <c r="D704" s="18" t="e">
        <f ca="1">_xll.BDP(C704,"SECURITY_NAME")</f>
        <v>#NAME?</v>
      </c>
      <c r="E704" s="18" t="s">
        <v>50</v>
      </c>
      <c r="F704" s="19">
        <v>100000</v>
      </c>
      <c r="G704" s="18" t="e">
        <f ca="1">_xll.BDP(C704,"CRNCY")</f>
        <v>#NAME?</v>
      </c>
      <c r="H704" s="22" t="e">
        <f ca="1">_xll.BDH(C704,"PX_LAST",N704)/100</f>
        <v>#NAME?</v>
      </c>
      <c r="I704" s="15" t="e">
        <f t="shared" ca="1" si="174"/>
        <v>#NAME?</v>
      </c>
      <c r="J704" s="16" t="e">
        <f t="shared" ca="1" si="175"/>
        <v>#NAME?</v>
      </c>
      <c r="K704" s="15" t="e">
        <f t="shared" ca="1" si="176"/>
        <v>#NAME?</v>
      </c>
      <c r="L704" s="22" t="e">
        <f ca="1">_xll.BDH("GBP curncy","PX_LAST",$N704)</f>
        <v>#NAME?</v>
      </c>
      <c r="M704" s="85" t="e">
        <f ca="1">1/_xll.BDH("RUB curncy","PX_LAST",$N704)</f>
        <v>#NAME?</v>
      </c>
      <c r="N704" s="14">
        <v>42067</v>
      </c>
    </row>
    <row r="705" spans="2:14" x14ac:dyDescent="0.2">
      <c r="B705" s="21" t="s">
        <v>126</v>
      </c>
      <c r="C705" s="20" t="s">
        <v>134</v>
      </c>
      <c r="D705" s="18" t="e">
        <f ca="1">_xll.BDP(C705,"SECURITY_NAME")</f>
        <v>#NAME?</v>
      </c>
      <c r="E705" s="18" t="s">
        <v>50</v>
      </c>
      <c r="F705" s="19">
        <v>34000</v>
      </c>
      <c r="G705" s="18" t="e">
        <f ca="1">_xll.BDP(C705,"CRNCY")</f>
        <v>#NAME?</v>
      </c>
      <c r="H705" s="22" t="e">
        <f ca="1">_xll.BDH(C705,"PX_LAST",N705)/100</f>
        <v>#NAME?</v>
      </c>
      <c r="I705" s="15" t="e">
        <f t="shared" ca="1" si="174"/>
        <v>#NAME?</v>
      </c>
      <c r="J705" s="16" t="e">
        <f t="shared" ca="1" si="175"/>
        <v>#NAME?</v>
      </c>
      <c r="K705" s="15" t="e">
        <f t="shared" ca="1" si="176"/>
        <v>#NAME?</v>
      </c>
      <c r="L705" s="22" t="e">
        <f ca="1">_xll.BDH("GBP curncy","PX_LAST",$N705)</f>
        <v>#NAME?</v>
      </c>
      <c r="M705" s="85" t="e">
        <f ca="1">1/_xll.BDH("RUB curncy","PX_LAST",$N705)</f>
        <v>#NAME?</v>
      </c>
      <c r="N705" s="14">
        <v>42002</v>
      </c>
    </row>
    <row r="706" spans="2:14" x14ac:dyDescent="0.2">
      <c r="B706" s="21" t="s">
        <v>126</v>
      </c>
      <c r="C706" s="20" t="s">
        <v>134</v>
      </c>
      <c r="D706" s="18" t="e">
        <f ca="1">_xll.BDP(C706,"SECURITY_NAME")</f>
        <v>#NAME?</v>
      </c>
      <c r="E706" s="18" t="s">
        <v>50</v>
      </c>
      <c r="F706" s="19">
        <v>9055</v>
      </c>
      <c r="G706" s="18" t="e">
        <f ca="1">_xll.BDP(C706,"CRNCY")</f>
        <v>#NAME?</v>
      </c>
      <c r="H706" s="22" t="e">
        <f ca="1">_xll.BDH(C706,"PX_LAST",N706)/100</f>
        <v>#NAME?</v>
      </c>
      <c r="I706" s="15" t="e">
        <f t="shared" ref="I706:I741" ca="1" si="177">F706*H706</f>
        <v>#NAME?</v>
      </c>
      <c r="J706" s="16" t="e">
        <f t="shared" ref="J706:J736" ca="1" si="178">I706*L706</f>
        <v>#NAME?</v>
      </c>
      <c r="K706" s="15" t="e">
        <f t="shared" ref="K706:K736" ca="1" si="179">J706/M706</f>
        <v>#NAME?</v>
      </c>
      <c r="L706" s="22" t="e">
        <f ca="1">_xll.BDH("GBP curncy","PX_LAST",$N706)</f>
        <v>#NAME?</v>
      </c>
      <c r="M706" s="85" t="e">
        <f ca="1">1/_xll.BDH("RUB curncy","PX_LAST",$N706)</f>
        <v>#NAME?</v>
      </c>
      <c r="N706" s="14">
        <v>41900</v>
      </c>
    </row>
    <row r="707" spans="2:14" x14ac:dyDescent="0.2">
      <c r="B707" s="21" t="s">
        <v>126</v>
      </c>
      <c r="C707" s="20" t="s">
        <v>134</v>
      </c>
      <c r="D707" s="18" t="e">
        <f ca="1">_xll.BDP(C707,"SECURITY_NAME")</f>
        <v>#NAME?</v>
      </c>
      <c r="E707" s="18" t="s">
        <v>50</v>
      </c>
      <c r="F707" s="19">
        <v>140200</v>
      </c>
      <c r="G707" s="18" t="e">
        <f ca="1">_xll.BDP(C707,"CRNCY")</f>
        <v>#NAME?</v>
      </c>
      <c r="H707" s="22" t="e">
        <f ca="1">_xll.BDH(C707,"PX_LAST",N707)/100</f>
        <v>#NAME?</v>
      </c>
      <c r="I707" s="15" t="e">
        <f t="shared" ca="1" si="177"/>
        <v>#NAME?</v>
      </c>
      <c r="J707" s="16" t="e">
        <f t="shared" ca="1" si="178"/>
        <v>#NAME?</v>
      </c>
      <c r="K707" s="15" t="e">
        <f t="shared" ca="1" si="179"/>
        <v>#NAME?</v>
      </c>
      <c r="L707" s="22" t="e">
        <f ca="1">_xll.BDH("GBP curncy","PX_LAST",$N707)</f>
        <v>#NAME?</v>
      </c>
      <c r="M707" s="85" t="e">
        <f ca="1">1/_xll.BDH("RUB curncy","PX_LAST",$N707)</f>
        <v>#NAME?</v>
      </c>
      <c r="N707" s="14">
        <v>41899</v>
      </c>
    </row>
    <row r="708" spans="2:14" x14ac:dyDescent="0.2">
      <c r="B708" s="21" t="s">
        <v>126</v>
      </c>
      <c r="C708" s="20" t="s">
        <v>134</v>
      </c>
      <c r="D708" s="18" t="e">
        <f ca="1">_xll.BDP(C708,"SECURITY_NAME")</f>
        <v>#NAME?</v>
      </c>
      <c r="E708" s="18" t="s">
        <v>50</v>
      </c>
      <c r="F708" s="19">
        <v>89000</v>
      </c>
      <c r="G708" s="18" t="e">
        <f ca="1">_xll.BDP(C708,"CRNCY")</f>
        <v>#NAME?</v>
      </c>
      <c r="H708" s="22" t="e">
        <f ca="1">_xll.BDH(C708,"PX_LAST",N708)/100</f>
        <v>#NAME?</v>
      </c>
      <c r="I708" s="15" t="e">
        <f t="shared" ca="1" si="177"/>
        <v>#NAME?</v>
      </c>
      <c r="J708" s="16" t="e">
        <f t="shared" ca="1" si="178"/>
        <v>#NAME?</v>
      </c>
      <c r="K708" s="15" t="e">
        <f t="shared" ca="1" si="179"/>
        <v>#NAME?</v>
      </c>
      <c r="L708" s="22" t="e">
        <f ca="1">_xll.BDH("GBP curncy","PX_LAST",$N708)</f>
        <v>#NAME?</v>
      </c>
      <c r="M708" s="85" t="e">
        <f ca="1">1/_xll.BDH("RUB curncy","PX_LAST",$N708)</f>
        <v>#NAME?</v>
      </c>
      <c r="N708" s="14">
        <v>41710</v>
      </c>
    </row>
    <row r="709" spans="2:14" x14ac:dyDescent="0.2">
      <c r="B709" s="21" t="s">
        <v>126</v>
      </c>
      <c r="C709" s="20" t="s">
        <v>134</v>
      </c>
      <c r="D709" s="18" t="e">
        <f ca="1">_xll.BDP(C709,"SECURITY_NAME")</f>
        <v>#NAME?</v>
      </c>
      <c r="E709" s="18" t="s">
        <v>50</v>
      </c>
      <c r="F709" s="19">
        <v>16480</v>
      </c>
      <c r="G709" s="18" t="e">
        <f ca="1">_xll.BDP(C709,"CRNCY")</f>
        <v>#NAME?</v>
      </c>
      <c r="H709" s="22" t="e">
        <f ca="1">_xll.BDH(C709,"PX_LAST",N709)/100</f>
        <v>#NAME?</v>
      </c>
      <c r="I709" s="15" t="e">
        <f t="shared" ca="1" si="177"/>
        <v>#NAME?</v>
      </c>
      <c r="J709" s="16" t="e">
        <f t="shared" ca="1" si="178"/>
        <v>#NAME?</v>
      </c>
      <c r="K709" s="15" t="e">
        <f t="shared" ca="1" si="179"/>
        <v>#NAME?</v>
      </c>
      <c r="L709" s="22" t="e">
        <f ca="1">_xll.BDH("GBP curncy","PX_LAST",$N709)</f>
        <v>#NAME?</v>
      </c>
      <c r="M709" s="85" t="e">
        <f ca="1">1/_xll.BDH("RUB curncy","PX_LAST",$N709)</f>
        <v>#NAME?</v>
      </c>
      <c r="N709" s="14">
        <v>41688</v>
      </c>
    </row>
    <row r="710" spans="2:14" x14ac:dyDescent="0.2">
      <c r="B710" s="21" t="s">
        <v>126</v>
      </c>
      <c r="C710" s="20" t="s">
        <v>134</v>
      </c>
      <c r="D710" s="18" t="e">
        <f ca="1">_xll.BDP(C710,"SECURITY_NAME")</f>
        <v>#NAME?</v>
      </c>
      <c r="E710" s="18" t="s">
        <v>50</v>
      </c>
      <c r="F710" s="19">
        <v>206000</v>
      </c>
      <c r="G710" s="18" t="e">
        <f ca="1">_xll.BDP(C710,"CRNCY")</f>
        <v>#NAME?</v>
      </c>
      <c r="H710" s="22" t="e">
        <f ca="1">_xll.BDH(C710,"PX_LAST",N710)/100</f>
        <v>#NAME?</v>
      </c>
      <c r="I710" s="15" t="e">
        <f t="shared" ca="1" si="177"/>
        <v>#NAME?</v>
      </c>
      <c r="J710" s="16" t="e">
        <f t="shared" ca="1" si="178"/>
        <v>#NAME?</v>
      </c>
      <c r="K710" s="15" t="e">
        <f t="shared" ca="1" si="179"/>
        <v>#NAME?</v>
      </c>
      <c r="L710" s="22" t="e">
        <f ca="1">_xll.BDH("GBP curncy","PX_LAST",$N710)</f>
        <v>#NAME?</v>
      </c>
      <c r="M710" s="85" t="e">
        <f ca="1">1/_xll.BDH("RUB curncy","PX_LAST",$N710)</f>
        <v>#NAME?</v>
      </c>
      <c r="N710" s="14">
        <v>41647</v>
      </c>
    </row>
    <row r="711" spans="2:14" x14ac:dyDescent="0.2">
      <c r="B711" s="21" t="s">
        <v>126</v>
      </c>
      <c r="C711" s="20" t="s">
        <v>134</v>
      </c>
      <c r="D711" s="18" t="e">
        <f ca="1">_xll.BDP(C711,"SECURITY_NAME")</f>
        <v>#NAME?</v>
      </c>
      <c r="E711" s="18" t="s">
        <v>50</v>
      </c>
      <c r="F711" s="19">
        <v>55992</v>
      </c>
      <c r="G711" s="18" t="e">
        <f ca="1">_xll.BDP(C711,"CRNCY")</f>
        <v>#NAME?</v>
      </c>
      <c r="H711" s="22" t="e">
        <f ca="1">_xll.BDH(C711,"PX_LAST",N711)/100</f>
        <v>#NAME?</v>
      </c>
      <c r="I711" s="15" t="e">
        <f t="shared" ca="1" si="177"/>
        <v>#NAME?</v>
      </c>
      <c r="J711" s="16" t="e">
        <f t="shared" ca="1" si="178"/>
        <v>#NAME?</v>
      </c>
      <c r="K711" s="15" t="e">
        <f t="shared" ca="1" si="179"/>
        <v>#NAME?</v>
      </c>
      <c r="L711" s="22" t="e">
        <f ca="1">_xll.BDH("GBP curncy","PX_LAST",$N711)</f>
        <v>#NAME?</v>
      </c>
      <c r="M711" s="85" t="e">
        <f ca="1">1/_xll.BDH("RUB curncy","PX_LAST",$N711)</f>
        <v>#NAME?</v>
      </c>
      <c r="N711" s="14">
        <v>41632</v>
      </c>
    </row>
    <row r="712" spans="2:14" x14ac:dyDescent="0.2">
      <c r="B712" s="21" t="s">
        <v>126</v>
      </c>
      <c r="C712" s="20" t="s">
        <v>134</v>
      </c>
      <c r="D712" s="18" t="e">
        <f ca="1">_xll.BDP(C712,"SECURITY_NAME")</f>
        <v>#NAME?</v>
      </c>
      <c r="E712" s="18" t="s">
        <v>50</v>
      </c>
      <c r="F712" s="19">
        <v>90900</v>
      </c>
      <c r="G712" s="18" t="e">
        <f ca="1">_xll.BDP(C712,"CRNCY")</f>
        <v>#NAME?</v>
      </c>
      <c r="H712" s="22" t="e">
        <f ca="1">_xll.BDH(C712,"PX_LAST",N712)/100</f>
        <v>#NAME?</v>
      </c>
      <c r="I712" s="15" t="e">
        <f t="shared" ca="1" si="177"/>
        <v>#NAME?</v>
      </c>
      <c r="J712" s="16" t="e">
        <f t="shared" ca="1" si="178"/>
        <v>#NAME?</v>
      </c>
      <c r="K712" s="15" t="e">
        <f t="shared" ca="1" si="179"/>
        <v>#NAME?</v>
      </c>
      <c r="L712" s="22" t="e">
        <f ca="1">_xll.BDH("GBP curncy","PX_LAST",$N712)</f>
        <v>#NAME?</v>
      </c>
      <c r="M712" s="85" t="e">
        <f ca="1">1/_xll.BDH("RUB curncy","PX_LAST",$N712)</f>
        <v>#NAME?</v>
      </c>
      <c r="N712" s="14">
        <v>41598</v>
      </c>
    </row>
    <row r="713" spans="2:14" x14ac:dyDescent="0.2">
      <c r="B713" s="21" t="s">
        <v>126</v>
      </c>
      <c r="C713" s="20" t="s">
        <v>134</v>
      </c>
      <c r="D713" s="18" t="e">
        <f ca="1">_xll.BDP(C713,"SECURITY_NAME")</f>
        <v>#NAME?</v>
      </c>
      <c r="E713" s="18" t="s">
        <v>50</v>
      </c>
      <c r="F713" s="19">
        <v>52626</v>
      </c>
      <c r="G713" s="18" t="e">
        <f ca="1">_xll.BDP(C713,"CRNCY")</f>
        <v>#NAME?</v>
      </c>
      <c r="H713" s="22" t="e">
        <f ca="1">_xll.BDH(C713,"PX_LAST",N713)/100</f>
        <v>#NAME?</v>
      </c>
      <c r="I713" s="15" t="e">
        <f t="shared" ca="1" si="177"/>
        <v>#NAME?</v>
      </c>
      <c r="J713" s="16" t="e">
        <f t="shared" ca="1" si="178"/>
        <v>#NAME?</v>
      </c>
      <c r="K713" s="15" t="e">
        <f t="shared" ca="1" si="179"/>
        <v>#NAME?</v>
      </c>
      <c r="L713" s="22" t="e">
        <f ca="1">_xll.BDH("GBP curncy","PX_LAST",$N713)</f>
        <v>#NAME?</v>
      </c>
      <c r="M713" s="85" t="e">
        <f ca="1">1/_xll.BDH("RUB curncy","PX_LAST",$N713)</f>
        <v>#NAME?</v>
      </c>
      <c r="N713" s="14">
        <v>41592</v>
      </c>
    </row>
    <row r="714" spans="2:14" x14ac:dyDescent="0.2">
      <c r="B714" s="21" t="s">
        <v>126</v>
      </c>
      <c r="C714" s="20" t="s">
        <v>134</v>
      </c>
      <c r="D714" s="18" t="e">
        <f ca="1">_xll.BDP(C714,"SECURITY_NAME")</f>
        <v>#NAME?</v>
      </c>
      <c r="E714" s="18" t="s">
        <v>50</v>
      </c>
      <c r="F714" s="19">
        <v>38274</v>
      </c>
      <c r="G714" s="18" t="e">
        <f ca="1">_xll.BDP(C714,"CRNCY")</f>
        <v>#NAME?</v>
      </c>
      <c r="H714" s="22" t="e">
        <f ca="1">_xll.BDH(C714,"PX_LAST",N714)/100</f>
        <v>#NAME?</v>
      </c>
      <c r="I714" s="15" t="e">
        <f t="shared" ca="1" si="177"/>
        <v>#NAME?</v>
      </c>
      <c r="J714" s="16" t="e">
        <f t="shared" ca="1" si="178"/>
        <v>#NAME?</v>
      </c>
      <c r="K714" s="15" t="e">
        <f t="shared" ca="1" si="179"/>
        <v>#NAME?</v>
      </c>
      <c r="L714" s="22" t="e">
        <f ca="1">_xll.BDH("GBP curncy","PX_LAST",$N714)</f>
        <v>#NAME?</v>
      </c>
      <c r="M714" s="85" t="e">
        <f ca="1">1/_xll.BDH("RUB curncy","PX_LAST",$N714)</f>
        <v>#NAME?</v>
      </c>
      <c r="N714" s="14">
        <v>41564</v>
      </c>
    </row>
    <row r="715" spans="2:14" x14ac:dyDescent="0.2">
      <c r="B715" s="21" t="s">
        <v>126</v>
      </c>
      <c r="C715" s="20" t="s">
        <v>134</v>
      </c>
      <c r="D715" s="18" t="e">
        <f ca="1">_xll.BDP(C715,"SECURITY_NAME")</f>
        <v>#NAME?</v>
      </c>
      <c r="E715" s="18" t="s">
        <v>50</v>
      </c>
      <c r="F715" s="19">
        <v>42000</v>
      </c>
      <c r="G715" s="18" t="e">
        <f ca="1">_xll.BDP(C715,"CRNCY")</f>
        <v>#NAME?</v>
      </c>
      <c r="H715" s="22" t="e">
        <f ca="1">_xll.BDH(C715,"PX_LAST",N715)/100</f>
        <v>#NAME?</v>
      </c>
      <c r="I715" s="15" t="e">
        <f t="shared" ca="1" si="177"/>
        <v>#NAME?</v>
      </c>
      <c r="J715" s="16" t="e">
        <f t="shared" ca="1" si="178"/>
        <v>#NAME?</v>
      </c>
      <c r="K715" s="15" t="e">
        <f t="shared" ca="1" si="179"/>
        <v>#NAME?</v>
      </c>
      <c r="L715" s="22" t="e">
        <f ca="1">_xll.BDH("GBP curncy","PX_LAST",$N715)</f>
        <v>#NAME?</v>
      </c>
      <c r="M715" s="85" t="e">
        <f ca="1">1/_xll.BDH("RUB curncy","PX_LAST",$N715)</f>
        <v>#NAME?</v>
      </c>
      <c r="N715" s="14">
        <v>41549</v>
      </c>
    </row>
    <row r="716" spans="2:14" x14ac:dyDescent="0.2">
      <c r="B716" s="21" t="s">
        <v>126</v>
      </c>
      <c r="C716" s="20" t="s">
        <v>134</v>
      </c>
      <c r="D716" s="18" t="e">
        <f ca="1">_xll.BDP(C716,"SECURITY_NAME")</f>
        <v>#NAME?</v>
      </c>
      <c r="E716" s="18" t="s">
        <v>50</v>
      </c>
      <c r="F716" s="19">
        <v>82000</v>
      </c>
      <c r="G716" s="18" t="e">
        <f ca="1">_xll.BDP(C716,"CRNCY")</f>
        <v>#NAME?</v>
      </c>
      <c r="H716" s="22" t="e">
        <f ca="1">_xll.BDH(C716,"PX_LAST",N716)/100</f>
        <v>#NAME?</v>
      </c>
      <c r="I716" s="15" t="e">
        <f t="shared" ca="1" si="177"/>
        <v>#NAME?</v>
      </c>
      <c r="J716" s="16" t="e">
        <f t="shared" ca="1" si="178"/>
        <v>#NAME?</v>
      </c>
      <c r="K716" s="15" t="e">
        <f t="shared" ca="1" si="179"/>
        <v>#NAME?</v>
      </c>
      <c r="L716" s="22" t="e">
        <f ca="1">_xll.BDH("GBP curncy","PX_LAST",$N716)</f>
        <v>#NAME?</v>
      </c>
      <c r="M716" s="85" t="e">
        <f ca="1">1/_xll.BDH("RUB curncy","PX_LAST",$N716)</f>
        <v>#NAME?</v>
      </c>
      <c r="N716" s="14">
        <v>41523</v>
      </c>
    </row>
    <row r="717" spans="2:14" x14ac:dyDescent="0.2">
      <c r="B717" s="21" t="s">
        <v>126</v>
      </c>
      <c r="C717" s="20" t="s">
        <v>134</v>
      </c>
      <c r="D717" s="18" t="e">
        <f ca="1">_xll.BDP(C717,"SECURITY_NAME")</f>
        <v>#NAME?</v>
      </c>
      <c r="E717" s="18" t="s">
        <v>50</v>
      </c>
      <c r="F717" s="19">
        <v>23015</v>
      </c>
      <c r="G717" s="18" t="e">
        <f ca="1">_xll.BDP(C717,"CRNCY")</f>
        <v>#NAME?</v>
      </c>
      <c r="H717" s="22" t="e">
        <f ca="1">_xll.BDH(C717,"PX_LAST",N717)/100</f>
        <v>#NAME?</v>
      </c>
      <c r="I717" s="15" t="e">
        <f t="shared" ca="1" si="177"/>
        <v>#NAME?</v>
      </c>
      <c r="J717" s="16" t="e">
        <f t="shared" ca="1" si="178"/>
        <v>#NAME?</v>
      </c>
      <c r="K717" s="15" t="e">
        <f t="shared" ca="1" si="179"/>
        <v>#NAME?</v>
      </c>
      <c r="L717" s="22" t="e">
        <f ca="1">_xll.BDH("GBP curncy","PX_LAST",$N717)</f>
        <v>#NAME?</v>
      </c>
      <c r="M717" s="85" t="e">
        <f ca="1">1/_xll.BDH("RUB curncy","PX_LAST",$N717)</f>
        <v>#NAME?</v>
      </c>
      <c r="N717" s="14">
        <v>41488</v>
      </c>
    </row>
    <row r="718" spans="2:14" x14ac:dyDescent="0.2">
      <c r="B718" s="21" t="s">
        <v>126</v>
      </c>
      <c r="C718" s="20" t="s">
        <v>134</v>
      </c>
      <c r="D718" s="18" t="e">
        <f ca="1">_xll.BDP(C718,"SECURITY_NAME")</f>
        <v>#NAME?</v>
      </c>
      <c r="E718" s="18" t="s">
        <v>50</v>
      </c>
      <c r="F718" s="19">
        <v>35974</v>
      </c>
      <c r="G718" s="18" t="e">
        <f ca="1">_xll.BDP(C718,"CRNCY")</f>
        <v>#NAME?</v>
      </c>
      <c r="H718" s="22" t="e">
        <f ca="1">_xll.BDH(C718,"PX_LAST",N718)/100</f>
        <v>#NAME?</v>
      </c>
      <c r="I718" s="15" t="e">
        <f t="shared" ca="1" si="177"/>
        <v>#NAME?</v>
      </c>
      <c r="J718" s="16" t="e">
        <f t="shared" ca="1" si="178"/>
        <v>#NAME?</v>
      </c>
      <c r="K718" s="15" t="e">
        <f t="shared" ca="1" si="179"/>
        <v>#NAME?</v>
      </c>
      <c r="L718" s="22" t="e">
        <f ca="1">_xll.BDH("GBP curncy","PX_LAST",$N718)</f>
        <v>#NAME?</v>
      </c>
      <c r="M718" s="85" t="e">
        <f ca="1">1/_xll.BDH("RUB curncy","PX_LAST",$N718)</f>
        <v>#NAME?</v>
      </c>
      <c r="N718" s="14">
        <v>41479</v>
      </c>
    </row>
    <row r="719" spans="2:14" x14ac:dyDescent="0.2">
      <c r="B719" s="21" t="s">
        <v>126</v>
      </c>
      <c r="C719" s="20" t="s">
        <v>134</v>
      </c>
      <c r="D719" s="18" t="e">
        <f ca="1">_xll.BDP(C719,"SECURITY_NAME")</f>
        <v>#NAME?</v>
      </c>
      <c r="E719" s="18" t="s">
        <v>50</v>
      </c>
      <c r="F719" s="19">
        <v>6011</v>
      </c>
      <c r="G719" s="18" t="e">
        <f ca="1">_xll.BDP(C719,"CRNCY")</f>
        <v>#NAME?</v>
      </c>
      <c r="H719" s="22" t="e">
        <f ca="1">_xll.BDH(C719,"PX_LAST",N719)/100</f>
        <v>#NAME?</v>
      </c>
      <c r="I719" s="15" t="e">
        <f t="shared" ca="1" si="177"/>
        <v>#NAME?</v>
      </c>
      <c r="J719" s="16" t="e">
        <f t="shared" ca="1" si="178"/>
        <v>#NAME?</v>
      </c>
      <c r="K719" s="15" t="e">
        <f t="shared" ca="1" si="179"/>
        <v>#NAME?</v>
      </c>
      <c r="L719" s="22" t="e">
        <f ca="1">_xll.BDH("GBP curncy","PX_LAST",$N719)</f>
        <v>#NAME?</v>
      </c>
      <c r="M719" s="85" t="e">
        <f ca="1">1/_xll.BDH("RUB curncy","PX_LAST",$N719)</f>
        <v>#NAME?</v>
      </c>
      <c r="N719" s="14">
        <v>41471</v>
      </c>
    </row>
    <row r="720" spans="2:14" x14ac:dyDescent="0.2">
      <c r="B720" s="21" t="s">
        <v>126</v>
      </c>
      <c r="C720" s="20" t="s">
        <v>134</v>
      </c>
      <c r="D720" s="18" t="e">
        <f ca="1">_xll.BDP(C720,"SECURITY_NAME")</f>
        <v>#NAME?</v>
      </c>
      <c r="E720" s="18" t="s">
        <v>50</v>
      </c>
      <c r="F720" s="19">
        <v>130000</v>
      </c>
      <c r="G720" s="18" t="e">
        <f ca="1">_xll.BDP(C720,"CRNCY")</f>
        <v>#NAME?</v>
      </c>
      <c r="H720" s="22" t="e">
        <f ca="1">_xll.BDH(C720,"PX_LAST",N720)/100</f>
        <v>#NAME?</v>
      </c>
      <c r="I720" s="15" t="e">
        <f t="shared" ca="1" si="177"/>
        <v>#NAME?</v>
      </c>
      <c r="J720" s="16" t="e">
        <f t="shared" ca="1" si="178"/>
        <v>#NAME?</v>
      </c>
      <c r="K720" s="15" t="e">
        <f t="shared" ca="1" si="179"/>
        <v>#NAME?</v>
      </c>
      <c r="L720" s="22" t="e">
        <f ca="1">_xll.BDH("GBP curncy","PX_LAST",$N720)</f>
        <v>#NAME?</v>
      </c>
      <c r="M720" s="85" t="e">
        <f ca="1">1/_xll.BDH("RUB curncy","PX_LAST",$N720)</f>
        <v>#NAME?</v>
      </c>
      <c r="N720" s="14">
        <v>41467</v>
      </c>
    </row>
    <row r="721" spans="2:14" x14ac:dyDescent="0.2">
      <c r="B721" s="21" t="s">
        <v>126</v>
      </c>
      <c r="C721" s="20" t="s">
        <v>134</v>
      </c>
      <c r="D721" s="18" t="e">
        <f ca="1">_xll.BDP(C721,"SECURITY_NAME")</f>
        <v>#NAME?</v>
      </c>
      <c r="E721" s="18" t="s">
        <v>50</v>
      </c>
      <c r="F721" s="19">
        <v>136000</v>
      </c>
      <c r="G721" s="18" t="e">
        <f ca="1">_xll.BDP(C721,"CRNCY")</f>
        <v>#NAME?</v>
      </c>
      <c r="H721" s="22" t="e">
        <f ca="1">_xll.BDH(C721,"PX_LAST",N721)/100</f>
        <v>#NAME?</v>
      </c>
      <c r="I721" s="15" t="e">
        <f t="shared" ca="1" si="177"/>
        <v>#NAME?</v>
      </c>
      <c r="J721" s="16" t="e">
        <f t="shared" ca="1" si="178"/>
        <v>#NAME?</v>
      </c>
      <c r="K721" s="15" t="e">
        <f t="shared" ca="1" si="179"/>
        <v>#NAME?</v>
      </c>
      <c r="L721" s="22" t="e">
        <f ca="1">_xll.BDH("GBP curncy","PX_LAST",$N721)</f>
        <v>#NAME?</v>
      </c>
      <c r="M721" s="85" t="e">
        <f ca="1">1/_xll.BDH("RUB curncy","PX_LAST",$N721)</f>
        <v>#NAME?</v>
      </c>
      <c r="N721" s="14">
        <v>41445</v>
      </c>
    </row>
    <row r="722" spans="2:14" x14ac:dyDescent="0.2">
      <c r="B722" s="21" t="s">
        <v>126</v>
      </c>
      <c r="C722" s="20" t="s">
        <v>134</v>
      </c>
      <c r="D722" s="18" t="e">
        <f ca="1">_xll.BDP(C722,"SECURITY_NAME")</f>
        <v>#NAME?</v>
      </c>
      <c r="E722" s="18" t="s">
        <v>50</v>
      </c>
      <c r="F722" s="19">
        <v>20487</v>
      </c>
      <c r="G722" s="18" t="e">
        <f ca="1">_xll.BDP(C722,"CRNCY")</f>
        <v>#NAME?</v>
      </c>
      <c r="H722" s="22" t="e">
        <f ca="1">_xll.BDH(C722,"PX_LAST",N722)/100</f>
        <v>#NAME?</v>
      </c>
      <c r="I722" s="15" t="e">
        <f t="shared" ca="1" si="177"/>
        <v>#NAME?</v>
      </c>
      <c r="J722" s="16" t="e">
        <f t="shared" ca="1" si="178"/>
        <v>#NAME?</v>
      </c>
      <c r="K722" s="15" t="e">
        <f t="shared" ca="1" si="179"/>
        <v>#NAME?</v>
      </c>
      <c r="L722" s="22" t="e">
        <f ca="1">_xll.BDH("GBP curncy","PX_LAST",$N722)</f>
        <v>#NAME?</v>
      </c>
      <c r="M722" s="85" t="e">
        <f ca="1">1/_xll.BDH("RUB curncy","PX_LAST",$N722)</f>
        <v>#NAME?</v>
      </c>
      <c r="N722" s="14">
        <v>41438</v>
      </c>
    </row>
    <row r="723" spans="2:14" x14ac:dyDescent="0.2">
      <c r="B723" s="21" t="s">
        <v>126</v>
      </c>
      <c r="C723" s="20" t="s">
        <v>134</v>
      </c>
      <c r="D723" s="18" t="e">
        <f ca="1">_xll.BDP(C723,"SECURITY_NAME")</f>
        <v>#NAME?</v>
      </c>
      <c r="E723" s="18" t="s">
        <v>50</v>
      </c>
      <c r="F723" s="19">
        <v>80000</v>
      </c>
      <c r="G723" s="18" t="e">
        <f ca="1">_xll.BDP(C723,"CRNCY")</f>
        <v>#NAME?</v>
      </c>
      <c r="H723" s="22" t="e">
        <f ca="1">_xll.BDH(C723,"PX_LAST",N723)/100</f>
        <v>#NAME?</v>
      </c>
      <c r="I723" s="15" t="e">
        <f t="shared" ca="1" si="177"/>
        <v>#NAME?</v>
      </c>
      <c r="J723" s="16" t="e">
        <f t="shared" ca="1" si="178"/>
        <v>#NAME?</v>
      </c>
      <c r="K723" s="15" t="e">
        <f t="shared" ca="1" si="179"/>
        <v>#NAME?</v>
      </c>
      <c r="L723" s="22" t="e">
        <f ca="1">_xll.BDH("GBP curncy","PX_LAST",$N723)</f>
        <v>#NAME?</v>
      </c>
      <c r="M723" s="85" t="e">
        <f ca="1">1/_xll.BDH("RUB curncy","PX_LAST",$N723)</f>
        <v>#NAME?</v>
      </c>
      <c r="N723" s="14">
        <v>41414</v>
      </c>
    </row>
    <row r="724" spans="2:14" x14ac:dyDescent="0.2">
      <c r="B724" s="21" t="s">
        <v>126</v>
      </c>
      <c r="C724" s="20" t="s">
        <v>134</v>
      </c>
      <c r="D724" s="18" t="e">
        <f ca="1">_xll.BDP(C724,"SECURITY_NAME")</f>
        <v>#NAME?</v>
      </c>
      <c r="E724" s="18" t="s">
        <v>50</v>
      </c>
      <c r="F724" s="19">
        <v>127800</v>
      </c>
      <c r="G724" s="18" t="e">
        <f ca="1">_xll.BDP(C724,"CRNCY")</f>
        <v>#NAME?</v>
      </c>
      <c r="H724" s="22" t="e">
        <f ca="1">_xll.BDH(C724,"PX_LAST",N724)/100</f>
        <v>#NAME?</v>
      </c>
      <c r="I724" s="15" t="e">
        <f t="shared" ca="1" si="177"/>
        <v>#NAME?</v>
      </c>
      <c r="J724" s="16" t="e">
        <f t="shared" ca="1" si="178"/>
        <v>#NAME?</v>
      </c>
      <c r="K724" s="15" t="e">
        <f t="shared" ca="1" si="179"/>
        <v>#NAME?</v>
      </c>
      <c r="L724" s="22" t="e">
        <f ca="1">_xll.BDH("GBP curncy","PX_LAST",$N724)</f>
        <v>#NAME?</v>
      </c>
      <c r="M724" s="85" t="e">
        <f ca="1">1/_xll.BDH("RUB curncy","PX_LAST",$N724)</f>
        <v>#NAME?</v>
      </c>
      <c r="N724" s="14">
        <v>41404</v>
      </c>
    </row>
    <row r="725" spans="2:14" x14ac:dyDescent="0.2">
      <c r="B725" s="21" t="s">
        <v>126</v>
      </c>
      <c r="C725" s="20" t="s">
        <v>134</v>
      </c>
      <c r="D725" s="18" t="e">
        <f ca="1">_xll.BDP(C725,"SECURITY_NAME")</f>
        <v>#NAME?</v>
      </c>
      <c r="E725" s="18" t="s">
        <v>50</v>
      </c>
      <c r="F725" s="19">
        <v>40000</v>
      </c>
      <c r="G725" s="18" t="e">
        <f ca="1">_xll.BDP(C725,"CRNCY")</f>
        <v>#NAME?</v>
      </c>
      <c r="H725" s="22" t="e">
        <f ca="1">_xll.BDH(C725,"PX_LAST",N725)/100</f>
        <v>#NAME?</v>
      </c>
      <c r="I725" s="15" t="e">
        <f t="shared" ca="1" si="177"/>
        <v>#NAME?</v>
      </c>
      <c r="J725" s="16" t="e">
        <f t="shared" ca="1" si="178"/>
        <v>#NAME?</v>
      </c>
      <c r="K725" s="15" t="e">
        <f t="shared" ca="1" si="179"/>
        <v>#NAME?</v>
      </c>
      <c r="L725" s="22" t="e">
        <f ca="1">_xll.BDH("GBP curncy","PX_LAST",$N725)</f>
        <v>#NAME?</v>
      </c>
      <c r="M725" s="85" t="e">
        <f ca="1">1/_xll.BDH("RUB curncy","PX_LAST",$N725)</f>
        <v>#NAME?</v>
      </c>
      <c r="N725" s="14">
        <v>41402</v>
      </c>
    </row>
    <row r="726" spans="2:14" x14ac:dyDescent="0.2">
      <c r="B726" s="21" t="s">
        <v>126</v>
      </c>
      <c r="C726" s="20" t="s">
        <v>134</v>
      </c>
      <c r="D726" s="18" t="e">
        <f ca="1">_xll.BDP(C726,"SECURITY_NAME")</f>
        <v>#NAME?</v>
      </c>
      <c r="E726" s="18" t="s">
        <v>50</v>
      </c>
      <c r="F726" s="19">
        <v>75000</v>
      </c>
      <c r="G726" s="18" t="e">
        <f ca="1">_xll.BDP(C726,"CRNCY")</f>
        <v>#NAME?</v>
      </c>
      <c r="H726" s="22" t="e">
        <f ca="1">_xll.BDH(C726,"PX_LAST",N726)/100</f>
        <v>#NAME?</v>
      </c>
      <c r="I726" s="15" t="e">
        <f t="shared" ca="1" si="177"/>
        <v>#NAME?</v>
      </c>
      <c r="J726" s="16" t="e">
        <f t="shared" ca="1" si="178"/>
        <v>#NAME?</v>
      </c>
      <c r="K726" s="15" t="e">
        <f t="shared" ca="1" si="179"/>
        <v>#NAME?</v>
      </c>
      <c r="L726" s="22" t="e">
        <f ca="1">_xll.BDH("GBP curncy","PX_LAST",$N726)</f>
        <v>#NAME?</v>
      </c>
      <c r="M726" s="85" t="e">
        <f ca="1">1/_xll.BDH("RUB curncy","PX_LAST",$N726)</f>
        <v>#NAME?</v>
      </c>
      <c r="N726" s="14">
        <v>41394</v>
      </c>
    </row>
    <row r="727" spans="2:14" x14ac:dyDescent="0.2">
      <c r="B727" s="21" t="s">
        <v>126</v>
      </c>
      <c r="C727" s="20" t="s">
        <v>134</v>
      </c>
      <c r="D727" s="18" t="e">
        <f ca="1">_xll.BDP(C727,"SECURITY_NAME")</f>
        <v>#NAME?</v>
      </c>
      <c r="E727" s="18" t="s">
        <v>50</v>
      </c>
      <c r="F727" s="19">
        <v>38000</v>
      </c>
      <c r="G727" s="18" t="e">
        <f ca="1">_xll.BDP(C727,"CRNCY")</f>
        <v>#NAME?</v>
      </c>
      <c r="H727" s="22" t="e">
        <f ca="1">_xll.BDH(C727,"PX_LAST",N727)/100</f>
        <v>#NAME?</v>
      </c>
      <c r="I727" s="15" t="e">
        <f t="shared" ca="1" si="177"/>
        <v>#NAME?</v>
      </c>
      <c r="J727" s="16" t="e">
        <f t="shared" ca="1" si="178"/>
        <v>#NAME?</v>
      </c>
      <c r="K727" s="15" t="e">
        <f t="shared" ca="1" si="179"/>
        <v>#NAME?</v>
      </c>
      <c r="L727" s="22" t="e">
        <f ca="1">_xll.BDH("GBP curncy","PX_LAST",$N727)</f>
        <v>#NAME?</v>
      </c>
      <c r="M727" s="85" t="e">
        <f ca="1">1/_xll.BDH("RUB curncy","PX_LAST",$N727)</f>
        <v>#NAME?</v>
      </c>
      <c r="N727" s="14">
        <v>41390</v>
      </c>
    </row>
    <row r="728" spans="2:14" x14ac:dyDescent="0.2">
      <c r="B728" s="21" t="s">
        <v>126</v>
      </c>
      <c r="C728" s="20" t="s">
        <v>134</v>
      </c>
      <c r="D728" s="18" t="e">
        <f ca="1">_xll.BDP(C728,"SECURITY_NAME")</f>
        <v>#NAME?</v>
      </c>
      <c r="E728" s="18" t="s">
        <v>50</v>
      </c>
      <c r="F728" s="19">
        <v>107391</v>
      </c>
      <c r="G728" s="18" t="e">
        <f ca="1">_xll.BDP(C728,"CRNCY")</f>
        <v>#NAME?</v>
      </c>
      <c r="H728" s="22" t="e">
        <f ca="1">_xll.BDH(C728,"PX_LAST",N728)/100</f>
        <v>#NAME?</v>
      </c>
      <c r="I728" s="15" t="e">
        <f t="shared" ca="1" si="177"/>
        <v>#NAME?</v>
      </c>
      <c r="J728" s="16" t="e">
        <f t="shared" ca="1" si="178"/>
        <v>#NAME?</v>
      </c>
      <c r="K728" s="15" t="e">
        <f t="shared" ca="1" si="179"/>
        <v>#NAME?</v>
      </c>
      <c r="L728" s="22" t="e">
        <f ca="1">_xll.BDH("GBP curncy","PX_LAST",$N728)</f>
        <v>#NAME?</v>
      </c>
      <c r="M728" s="85" t="e">
        <f ca="1">1/_xll.BDH("RUB curncy","PX_LAST",$N728)</f>
        <v>#NAME?</v>
      </c>
      <c r="N728" s="14">
        <v>41388</v>
      </c>
    </row>
    <row r="729" spans="2:14" x14ac:dyDescent="0.2">
      <c r="B729" s="21" t="s">
        <v>126</v>
      </c>
      <c r="C729" s="20" t="s">
        <v>134</v>
      </c>
      <c r="D729" s="18" t="e">
        <f ca="1">_xll.BDP(C729,"SECURITY_NAME")</f>
        <v>#NAME?</v>
      </c>
      <c r="E729" s="18" t="s">
        <v>50</v>
      </c>
      <c r="F729" s="19">
        <v>34500</v>
      </c>
      <c r="G729" s="18" t="e">
        <f ca="1">_xll.BDP(C729,"CRNCY")</f>
        <v>#NAME?</v>
      </c>
      <c r="H729" s="22" t="e">
        <f ca="1">_xll.BDH(C729,"PX_LAST",N729)/100</f>
        <v>#NAME?</v>
      </c>
      <c r="I729" s="15" t="e">
        <f t="shared" ca="1" si="177"/>
        <v>#NAME?</v>
      </c>
      <c r="J729" s="16" t="e">
        <f t="shared" ca="1" si="178"/>
        <v>#NAME?</v>
      </c>
      <c r="K729" s="15" t="e">
        <f t="shared" ca="1" si="179"/>
        <v>#NAME?</v>
      </c>
      <c r="L729" s="22" t="e">
        <f ca="1">_xll.BDH("GBP curncy","PX_LAST",$N729)</f>
        <v>#NAME?</v>
      </c>
      <c r="M729" s="85" t="e">
        <f ca="1">1/_xll.BDH("RUB curncy","PX_LAST",$N729)</f>
        <v>#NAME?</v>
      </c>
      <c r="N729" s="14">
        <v>41379</v>
      </c>
    </row>
    <row r="730" spans="2:14" x14ac:dyDescent="0.2">
      <c r="B730" s="21" t="s">
        <v>126</v>
      </c>
      <c r="C730" s="20" t="s">
        <v>134</v>
      </c>
      <c r="D730" s="18" t="e">
        <f ca="1">_xll.BDP(C730,"SECURITY_NAME")</f>
        <v>#NAME?</v>
      </c>
      <c r="E730" s="18" t="s">
        <v>50</v>
      </c>
      <c r="F730" s="19">
        <v>37500</v>
      </c>
      <c r="G730" s="18" t="e">
        <f ca="1">_xll.BDP(C730,"CRNCY")</f>
        <v>#NAME?</v>
      </c>
      <c r="H730" s="22" t="e">
        <f ca="1">_xll.BDH(C730,"PX_LAST",N730)/100</f>
        <v>#NAME?</v>
      </c>
      <c r="I730" s="15" t="e">
        <f t="shared" ca="1" si="177"/>
        <v>#NAME?</v>
      </c>
      <c r="J730" s="16" t="e">
        <f t="shared" ca="1" si="178"/>
        <v>#NAME?</v>
      </c>
      <c r="K730" s="15" t="e">
        <f t="shared" ca="1" si="179"/>
        <v>#NAME?</v>
      </c>
      <c r="L730" s="22" t="e">
        <f ca="1">_xll.BDH("GBP curncy","PX_LAST",$N730)</f>
        <v>#NAME?</v>
      </c>
      <c r="M730" s="85" t="e">
        <f ca="1">1/_xll.BDH("RUB curncy","PX_LAST",$N730)</f>
        <v>#NAME?</v>
      </c>
      <c r="N730" s="14">
        <v>41373</v>
      </c>
    </row>
    <row r="731" spans="2:14" x14ac:dyDescent="0.2">
      <c r="B731" s="21" t="s">
        <v>126</v>
      </c>
      <c r="C731" s="20" t="s">
        <v>134</v>
      </c>
      <c r="D731" s="18" t="e">
        <f ca="1">_xll.BDP(C731,"SECURITY_NAME")</f>
        <v>#NAME?</v>
      </c>
      <c r="E731" s="18" t="s">
        <v>50</v>
      </c>
      <c r="F731" s="19">
        <v>37500</v>
      </c>
      <c r="G731" s="18" t="e">
        <f ca="1">_xll.BDP(C731,"CRNCY")</f>
        <v>#NAME?</v>
      </c>
      <c r="H731" s="22" t="e">
        <f ca="1">_xll.BDH(C731,"PX_LAST",N731)/100</f>
        <v>#NAME?</v>
      </c>
      <c r="I731" s="15" t="e">
        <f t="shared" ca="1" si="177"/>
        <v>#NAME?</v>
      </c>
      <c r="J731" s="16" t="e">
        <f t="shared" ca="1" si="178"/>
        <v>#NAME?</v>
      </c>
      <c r="K731" s="15" t="e">
        <f t="shared" ca="1" si="179"/>
        <v>#NAME?</v>
      </c>
      <c r="L731" s="22" t="e">
        <f ca="1">_xll.BDH("GBP curncy","PX_LAST",$N731)</f>
        <v>#NAME?</v>
      </c>
      <c r="M731" s="85" t="e">
        <f ca="1">1/_xll.BDH("RUB curncy","PX_LAST",$N731)</f>
        <v>#NAME?</v>
      </c>
      <c r="N731" s="14">
        <v>41353</v>
      </c>
    </row>
    <row r="732" spans="2:14" x14ac:dyDescent="0.2">
      <c r="B732" s="21" t="s">
        <v>126</v>
      </c>
      <c r="C732" s="20" t="s">
        <v>134</v>
      </c>
      <c r="D732" s="18" t="e">
        <f ca="1">_xll.BDP(C732,"SECURITY_NAME")</f>
        <v>#NAME?</v>
      </c>
      <c r="E732" s="18" t="s">
        <v>50</v>
      </c>
      <c r="F732" s="19">
        <v>174500</v>
      </c>
      <c r="G732" s="18" t="e">
        <f ca="1">_xll.BDP(C732,"CRNCY")</f>
        <v>#NAME?</v>
      </c>
      <c r="H732" s="22" t="e">
        <f ca="1">_xll.BDH(C732,"PX_LAST",N732)/100</f>
        <v>#NAME?</v>
      </c>
      <c r="I732" s="15" t="e">
        <f t="shared" ca="1" si="177"/>
        <v>#NAME?</v>
      </c>
      <c r="J732" s="16" t="e">
        <f t="shared" ca="1" si="178"/>
        <v>#NAME?</v>
      </c>
      <c r="K732" s="15" t="e">
        <f t="shared" ca="1" si="179"/>
        <v>#NAME?</v>
      </c>
      <c r="L732" s="22" t="e">
        <f ca="1">_xll.BDH("GBP curncy","PX_LAST",$N732)</f>
        <v>#NAME?</v>
      </c>
      <c r="M732" s="85" t="e">
        <f ca="1">1/_xll.BDH("RUB curncy","PX_LAST",$N732)</f>
        <v>#NAME?</v>
      </c>
      <c r="N732" s="14">
        <v>41352</v>
      </c>
    </row>
    <row r="733" spans="2:14" x14ac:dyDescent="0.2">
      <c r="B733" s="21" t="s">
        <v>126</v>
      </c>
      <c r="C733" s="20" t="s">
        <v>134</v>
      </c>
      <c r="D733" s="18" t="e">
        <f ca="1">_xll.BDP(C733,"SECURITY_NAME")</f>
        <v>#NAME?</v>
      </c>
      <c r="E733" s="18" t="s">
        <v>50</v>
      </c>
      <c r="F733" s="19">
        <v>87061</v>
      </c>
      <c r="G733" s="18" t="e">
        <f ca="1">_xll.BDP(C733,"CRNCY")</f>
        <v>#NAME?</v>
      </c>
      <c r="H733" s="22" t="e">
        <f ca="1">_xll.BDH(C733,"PX_LAST",N733)/100</f>
        <v>#NAME?</v>
      </c>
      <c r="I733" s="15" t="e">
        <f t="shared" ca="1" si="177"/>
        <v>#NAME?</v>
      </c>
      <c r="J733" s="16" t="e">
        <f t="shared" ca="1" si="178"/>
        <v>#NAME?</v>
      </c>
      <c r="K733" s="15" t="e">
        <f t="shared" ca="1" si="179"/>
        <v>#NAME?</v>
      </c>
      <c r="L733" s="22" t="e">
        <f ca="1">_xll.BDH("GBP curncy","PX_LAST",$N733)</f>
        <v>#NAME?</v>
      </c>
      <c r="M733" s="85" t="e">
        <f ca="1">1/_xll.BDH("RUB curncy","PX_LAST",$N733)</f>
        <v>#NAME?</v>
      </c>
      <c r="N733" s="14">
        <v>41351</v>
      </c>
    </row>
    <row r="734" spans="2:14" x14ac:dyDescent="0.2">
      <c r="B734" s="21" t="s">
        <v>126</v>
      </c>
      <c r="C734" s="20" t="s">
        <v>134</v>
      </c>
      <c r="D734" s="18" t="e">
        <f ca="1">_xll.BDP(C734,"SECURITY_NAME")</f>
        <v>#NAME?</v>
      </c>
      <c r="E734" s="18" t="s">
        <v>50</v>
      </c>
      <c r="F734" s="19">
        <v>13939</v>
      </c>
      <c r="G734" s="18" t="e">
        <f ca="1">_xll.BDP(C734,"CRNCY")</f>
        <v>#NAME?</v>
      </c>
      <c r="H734" s="22" t="e">
        <f ca="1">_xll.BDH(C734,"PX_LAST",N734)/100</f>
        <v>#NAME?</v>
      </c>
      <c r="I734" s="15" t="e">
        <f t="shared" ca="1" si="177"/>
        <v>#NAME?</v>
      </c>
      <c r="J734" s="16" t="e">
        <f t="shared" ca="1" si="178"/>
        <v>#NAME?</v>
      </c>
      <c r="K734" s="15" t="e">
        <f t="shared" ca="1" si="179"/>
        <v>#NAME?</v>
      </c>
      <c r="L734" s="22" t="e">
        <f ca="1">_xll.BDH("GBP curncy","PX_LAST",$N734)</f>
        <v>#NAME?</v>
      </c>
      <c r="M734" s="85" t="e">
        <f ca="1">1/_xll.BDH("RUB curncy","PX_LAST",$N734)</f>
        <v>#NAME?</v>
      </c>
      <c r="N734" s="14">
        <v>41348</v>
      </c>
    </row>
    <row r="735" spans="2:14" x14ac:dyDescent="0.2">
      <c r="B735" s="21" t="s">
        <v>126</v>
      </c>
      <c r="C735" s="20" t="s">
        <v>134</v>
      </c>
      <c r="D735" s="18" t="e">
        <f ca="1">_xll.BDP(C735,"SECURITY_NAME")</f>
        <v>#NAME?</v>
      </c>
      <c r="E735" s="18" t="s">
        <v>50</v>
      </c>
      <c r="F735" s="19">
        <v>30800</v>
      </c>
      <c r="G735" s="18" t="e">
        <f ca="1">_xll.BDP(C735,"CRNCY")</f>
        <v>#NAME?</v>
      </c>
      <c r="H735" s="22" t="e">
        <f ca="1">_xll.BDH(C735,"PX_LAST",N735)/100</f>
        <v>#NAME?</v>
      </c>
      <c r="I735" s="15" t="e">
        <f t="shared" ca="1" si="177"/>
        <v>#NAME?</v>
      </c>
      <c r="J735" s="16" t="e">
        <f t="shared" ca="1" si="178"/>
        <v>#NAME?</v>
      </c>
      <c r="K735" s="15" t="e">
        <f t="shared" ca="1" si="179"/>
        <v>#NAME?</v>
      </c>
      <c r="L735" s="22" t="e">
        <f ca="1">_xll.BDH("GBP curncy","PX_LAST",$N735)</f>
        <v>#NAME?</v>
      </c>
      <c r="M735" s="85" t="e">
        <f ca="1">1/_xll.BDH("RUB curncy","PX_LAST",$N735)</f>
        <v>#NAME?</v>
      </c>
      <c r="N735" s="14">
        <v>41323</v>
      </c>
    </row>
    <row r="736" spans="2:14" x14ac:dyDescent="0.2">
      <c r="B736" s="21" t="s">
        <v>126</v>
      </c>
      <c r="C736" s="20" t="s">
        <v>134</v>
      </c>
      <c r="D736" s="18" t="e">
        <f ca="1">_xll.BDP(C736,"SECURITY_NAME")</f>
        <v>#NAME?</v>
      </c>
      <c r="E736" s="18" t="s">
        <v>50</v>
      </c>
      <c r="F736" s="19">
        <v>60000</v>
      </c>
      <c r="G736" s="18" t="e">
        <f ca="1">_xll.BDP(C736,"CRNCY")</f>
        <v>#NAME?</v>
      </c>
      <c r="H736" s="22" t="e">
        <f ca="1">_xll.BDH(C736,"PX_LAST",N736)/100</f>
        <v>#NAME?</v>
      </c>
      <c r="I736" s="15" t="e">
        <f t="shared" ca="1" si="177"/>
        <v>#NAME?</v>
      </c>
      <c r="J736" s="16" t="e">
        <f t="shared" ca="1" si="178"/>
        <v>#NAME?</v>
      </c>
      <c r="K736" s="15" t="e">
        <f t="shared" ca="1" si="179"/>
        <v>#NAME?</v>
      </c>
      <c r="L736" s="22" t="e">
        <f ca="1">_xll.BDH("GBP curncy","PX_LAST",$N736)</f>
        <v>#NAME?</v>
      </c>
      <c r="M736" s="85" t="e">
        <f ca="1">1/_xll.BDH("RUB curncy","PX_LAST",$N736)</f>
        <v>#NAME?</v>
      </c>
      <c r="N736" s="14">
        <v>41320</v>
      </c>
    </row>
    <row r="737" spans="2:14" x14ac:dyDescent="0.2">
      <c r="B737" s="21" t="s">
        <v>126</v>
      </c>
      <c r="C737" s="20" t="s">
        <v>134</v>
      </c>
      <c r="D737" s="18" t="e">
        <f ca="1">_xll.BDP(C737,"SECURITY_NAME")</f>
        <v>#NAME?</v>
      </c>
      <c r="E737" s="18" t="s">
        <v>50</v>
      </c>
      <c r="F737" s="19">
        <v>53000</v>
      </c>
      <c r="G737" s="18" t="e">
        <f ca="1">_xll.BDP(C737,"CRNCY")</f>
        <v>#NAME?</v>
      </c>
      <c r="H737" s="22" t="e">
        <f ca="1">_xll.BDH(C737,"PX_LAST",N737)/100</f>
        <v>#NAME?</v>
      </c>
      <c r="I737" s="15" t="e">
        <f t="shared" ca="1" si="177"/>
        <v>#NAME?</v>
      </c>
      <c r="J737" s="16" t="e">
        <f t="shared" ref="J737:J757" ca="1" si="180">I737*L737</f>
        <v>#NAME?</v>
      </c>
      <c r="K737" s="15" t="e">
        <f t="shared" ref="K737:K757" ca="1" si="181">J737/M737</f>
        <v>#NAME?</v>
      </c>
      <c r="L737" s="22" t="e">
        <f ca="1">_xll.BDH("GBP curncy","PX_LAST",$N737)</f>
        <v>#NAME?</v>
      </c>
      <c r="M737" s="85" t="e">
        <f ca="1">1/_xll.BDH("RUB curncy","PX_LAST",$N737)</f>
        <v>#NAME?</v>
      </c>
      <c r="N737" s="14">
        <v>41297</v>
      </c>
    </row>
    <row r="738" spans="2:14" x14ac:dyDescent="0.2">
      <c r="B738" s="21" t="s">
        <v>126</v>
      </c>
      <c r="C738" s="20" t="s">
        <v>134</v>
      </c>
      <c r="D738" s="18" t="e">
        <f ca="1">_xll.BDP(C738,"SECURITY_NAME")</f>
        <v>#NAME?</v>
      </c>
      <c r="E738" s="18" t="s">
        <v>50</v>
      </c>
      <c r="F738" s="19">
        <v>14500</v>
      </c>
      <c r="G738" s="18" t="e">
        <f ca="1">_xll.BDP(C738,"CRNCY")</f>
        <v>#NAME?</v>
      </c>
      <c r="H738" s="22" t="e">
        <f ca="1">_xll.BDH(C738,"PX_LAST",N738)/100</f>
        <v>#NAME?</v>
      </c>
      <c r="I738" s="15" t="e">
        <f t="shared" ca="1" si="177"/>
        <v>#NAME?</v>
      </c>
      <c r="J738" s="16" t="e">
        <f t="shared" ca="1" si="180"/>
        <v>#NAME?</v>
      </c>
      <c r="K738" s="15" t="e">
        <f t="shared" ca="1" si="181"/>
        <v>#NAME?</v>
      </c>
      <c r="L738" s="22" t="e">
        <f ca="1">_xll.BDH("GBP curncy","PX_LAST",$N738)</f>
        <v>#NAME?</v>
      </c>
      <c r="M738" s="85" t="e">
        <f ca="1">1/_xll.BDH("RUB curncy","PX_LAST",$N738)</f>
        <v>#NAME?</v>
      </c>
      <c r="N738" s="14">
        <v>41285</v>
      </c>
    </row>
    <row r="739" spans="2:14" x14ac:dyDescent="0.2">
      <c r="B739" s="21" t="s">
        <v>126</v>
      </c>
      <c r="C739" s="20" t="s">
        <v>134</v>
      </c>
      <c r="D739" s="18" t="e">
        <f ca="1">_xll.BDP(C739,"SECURITY_NAME")</f>
        <v>#NAME?</v>
      </c>
      <c r="E739" s="18" t="s">
        <v>50</v>
      </c>
      <c r="F739" s="19">
        <v>44500</v>
      </c>
      <c r="G739" s="18" t="e">
        <f ca="1">_xll.BDP(C739,"CRNCY")</f>
        <v>#NAME?</v>
      </c>
      <c r="H739" s="22" t="e">
        <f ca="1">_xll.BDH(C739,"PX_LAST",N739)/100</f>
        <v>#NAME?</v>
      </c>
      <c r="I739" s="15" t="e">
        <f t="shared" ca="1" si="177"/>
        <v>#NAME?</v>
      </c>
      <c r="J739" s="16" t="e">
        <f t="shared" ca="1" si="180"/>
        <v>#NAME?</v>
      </c>
      <c r="K739" s="15" t="e">
        <f t="shared" ca="1" si="181"/>
        <v>#NAME?</v>
      </c>
      <c r="L739" s="22" t="e">
        <f ca="1">_xll.BDH("GBP curncy","PX_LAST",$N739)</f>
        <v>#NAME?</v>
      </c>
      <c r="M739" s="85" t="e">
        <f ca="1">1/_xll.BDH("RUB curncy","PX_LAST",$N739)</f>
        <v>#NAME?</v>
      </c>
      <c r="N739" s="14">
        <v>41271</v>
      </c>
    </row>
    <row r="740" spans="2:14" x14ac:dyDescent="0.2">
      <c r="B740" s="21" t="s">
        <v>126</v>
      </c>
      <c r="C740" s="20" t="s">
        <v>134</v>
      </c>
      <c r="D740" s="18" t="e">
        <f ca="1">_xll.BDP(C740,"SECURITY_NAME")</f>
        <v>#NAME?</v>
      </c>
      <c r="E740" s="18" t="s">
        <v>50</v>
      </c>
      <c r="F740" s="19">
        <v>72000</v>
      </c>
      <c r="G740" s="18" t="e">
        <f ca="1">_xll.BDP(C740,"CRNCY")</f>
        <v>#NAME?</v>
      </c>
      <c r="H740" s="22" t="e">
        <f ca="1">_xll.BDH(C740,"PX_LAST",N740)/100</f>
        <v>#NAME?</v>
      </c>
      <c r="I740" s="15" t="e">
        <f t="shared" ca="1" si="177"/>
        <v>#NAME?</v>
      </c>
      <c r="J740" s="16" t="e">
        <f t="shared" ca="1" si="180"/>
        <v>#NAME?</v>
      </c>
      <c r="K740" s="15" t="e">
        <f t="shared" ca="1" si="181"/>
        <v>#NAME?</v>
      </c>
      <c r="L740" s="22" t="e">
        <f ca="1">_xll.BDH("GBP curncy","PX_LAST",$N740)</f>
        <v>#NAME?</v>
      </c>
      <c r="M740" s="85" t="e">
        <f ca="1">1/_xll.BDH("RUB curncy","PX_LAST",$N740)</f>
        <v>#NAME?</v>
      </c>
      <c r="N740" s="14">
        <v>41270</v>
      </c>
    </row>
    <row r="741" spans="2:14" x14ac:dyDescent="0.2">
      <c r="B741" s="21" t="s">
        <v>126</v>
      </c>
      <c r="C741" s="20" t="s">
        <v>134</v>
      </c>
      <c r="D741" s="18" t="e">
        <f ca="1">_xll.BDP(C741,"SECURITY_NAME")</f>
        <v>#NAME?</v>
      </c>
      <c r="E741" s="18" t="s">
        <v>50</v>
      </c>
      <c r="F741" s="19">
        <v>66200</v>
      </c>
      <c r="G741" s="18" t="e">
        <f ca="1">_xll.BDP(C741,"CRNCY")</f>
        <v>#NAME?</v>
      </c>
      <c r="H741" s="22" t="e">
        <f ca="1">_xll.BDH(C741,"PX_LAST",N741)/100</f>
        <v>#NAME?</v>
      </c>
      <c r="I741" s="15" t="e">
        <f t="shared" ca="1" si="177"/>
        <v>#NAME?</v>
      </c>
      <c r="J741" s="16" t="e">
        <f t="shared" ca="1" si="180"/>
        <v>#NAME?</v>
      </c>
      <c r="K741" s="15" t="e">
        <f t="shared" ca="1" si="181"/>
        <v>#NAME?</v>
      </c>
      <c r="L741" s="22" t="e">
        <f ca="1">_xll.BDH("GBP curncy","PX_LAST",$N741)</f>
        <v>#NAME?</v>
      </c>
      <c r="M741" s="85" t="e">
        <f ca="1">1/_xll.BDH("RUB curncy","PX_LAST",$N741)</f>
        <v>#NAME?</v>
      </c>
      <c r="N741" s="14">
        <v>41260</v>
      </c>
    </row>
    <row r="742" spans="2:14" x14ac:dyDescent="0.2">
      <c r="B742" s="21" t="s">
        <v>126</v>
      </c>
      <c r="C742" s="20" t="s">
        <v>134</v>
      </c>
      <c r="D742" s="18" t="e">
        <f ca="1">_xll.BDP(C742,"SECURITY_NAME")</f>
        <v>#NAME?</v>
      </c>
      <c r="E742" s="18" t="s">
        <v>50</v>
      </c>
      <c r="F742" s="19">
        <v>140000</v>
      </c>
      <c r="G742" s="18" t="e">
        <f ca="1">_xll.BDP(C742,"CRNCY")</f>
        <v>#NAME?</v>
      </c>
      <c r="H742" s="22" t="e">
        <f ca="1">_xll.BDH(C742,"PX_LAST",N742)/100</f>
        <v>#NAME?</v>
      </c>
      <c r="I742" s="15" t="e">
        <f t="shared" ref="I742:I757" ca="1" si="182">F742*H742</f>
        <v>#NAME?</v>
      </c>
      <c r="J742" s="16" t="e">
        <f t="shared" ca="1" si="180"/>
        <v>#NAME?</v>
      </c>
      <c r="K742" s="15" t="e">
        <f t="shared" ca="1" si="181"/>
        <v>#NAME?</v>
      </c>
      <c r="L742" s="22" t="e">
        <f ca="1">_xll.BDH("GBP curncy","PX_LAST",$N742)</f>
        <v>#NAME?</v>
      </c>
      <c r="M742" s="85" t="e">
        <f ca="1">1/_xll.BDH("RUB curncy","PX_LAST",$N742)</f>
        <v>#NAME?</v>
      </c>
      <c r="N742" s="14">
        <v>41108</v>
      </c>
    </row>
    <row r="743" spans="2:14" x14ac:dyDescent="0.2">
      <c r="B743" s="21" t="s">
        <v>126</v>
      </c>
      <c r="C743" s="20" t="s">
        <v>134</v>
      </c>
      <c r="D743" s="18" t="e">
        <f ca="1">_xll.BDP(C743,"SECURITY_NAME")</f>
        <v>#NAME?</v>
      </c>
      <c r="E743" s="18" t="s">
        <v>50</v>
      </c>
      <c r="F743" s="19">
        <v>100973</v>
      </c>
      <c r="G743" s="18" t="e">
        <f ca="1">_xll.BDP(C743,"CRNCY")</f>
        <v>#NAME?</v>
      </c>
      <c r="H743" s="22" t="e">
        <f ca="1">_xll.BDH(C743,"PX_LAST",N743)/100</f>
        <v>#NAME?</v>
      </c>
      <c r="I743" s="15" t="e">
        <f t="shared" ca="1" si="182"/>
        <v>#NAME?</v>
      </c>
      <c r="J743" s="16" t="e">
        <f t="shared" ca="1" si="180"/>
        <v>#NAME?</v>
      </c>
      <c r="K743" s="15" t="e">
        <f t="shared" ca="1" si="181"/>
        <v>#NAME?</v>
      </c>
      <c r="L743" s="22" t="e">
        <f ca="1">_xll.BDH("GBP curncy","PX_LAST",$N743)</f>
        <v>#NAME?</v>
      </c>
      <c r="M743" s="85" t="e">
        <f ca="1">1/_xll.BDH("RUB curncy","PX_LAST",$N743)</f>
        <v>#NAME?</v>
      </c>
      <c r="N743" s="14">
        <v>41107</v>
      </c>
    </row>
    <row r="744" spans="2:14" x14ac:dyDescent="0.2">
      <c r="B744" s="21" t="s">
        <v>126</v>
      </c>
      <c r="C744" s="20" t="s">
        <v>134</v>
      </c>
      <c r="D744" s="18" t="e">
        <f ca="1">_xll.BDP(C744,"SECURITY_NAME")</f>
        <v>#NAME?</v>
      </c>
      <c r="E744" s="18" t="s">
        <v>50</v>
      </c>
      <c r="F744" s="19">
        <v>17605</v>
      </c>
      <c r="G744" s="18" t="e">
        <f ca="1">_xll.BDP(C744,"CRNCY")</f>
        <v>#NAME?</v>
      </c>
      <c r="H744" s="22" t="e">
        <f ca="1">_xll.BDH(C744,"PX_LAST",N744)/100</f>
        <v>#NAME?</v>
      </c>
      <c r="I744" s="15" t="e">
        <f t="shared" ca="1" si="182"/>
        <v>#NAME?</v>
      </c>
      <c r="J744" s="16" t="e">
        <f t="shared" ca="1" si="180"/>
        <v>#NAME?</v>
      </c>
      <c r="K744" s="15" t="e">
        <f t="shared" ca="1" si="181"/>
        <v>#NAME?</v>
      </c>
      <c r="L744" s="22" t="e">
        <f ca="1">_xll.BDH("GBP curncy","PX_LAST",$N744)</f>
        <v>#NAME?</v>
      </c>
      <c r="M744" s="85" t="e">
        <f ca="1">1/_xll.BDH("RUB curncy","PX_LAST",$N744)</f>
        <v>#NAME?</v>
      </c>
      <c r="N744" s="14">
        <v>41106</v>
      </c>
    </row>
    <row r="745" spans="2:14" x14ac:dyDescent="0.2">
      <c r="B745" s="21" t="s">
        <v>126</v>
      </c>
      <c r="C745" s="20" t="s">
        <v>134</v>
      </c>
      <c r="D745" s="18" t="e">
        <f ca="1">_xll.BDP(C745,"SECURITY_NAME")</f>
        <v>#NAME?</v>
      </c>
      <c r="E745" s="18" t="s">
        <v>50</v>
      </c>
      <c r="F745" s="19">
        <v>77900</v>
      </c>
      <c r="G745" s="18" t="e">
        <f ca="1">_xll.BDP(C745,"CRNCY")</f>
        <v>#NAME?</v>
      </c>
      <c r="H745" s="22" t="e">
        <f ca="1">_xll.BDH(C745,"PX_LAST",N745)/100</f>
        <v>#NAME?</v>
      </c>
      <c r="I745" s="15" t="e">
        <f t="shared" ca="1" si="182"/>
        <v>#NAME?</v>
      </c>
      <c r="J745" s="16" t="e">
        <f t="shared" ca="1" si="180"/>
        <v>#NAME?</v>
      </c>
      <c r="K745" s="15" t="e">
        <f t="shared" ca="1" si="181"/>
        <v>#NAME?</v>
      </c>
      <c r="L745" s="22" t="e">
        <f ca="1">_xll.BDH("GBP curncy","PX_LAST",$N745)</f>
        <v>#NAME?</v>
      </c>
      <c r="M745" s="85" t="e">
        <f ca="1">1/_xll.BDH("RUB curncy","PX_LAST",$N745)</f>
        <v>#NAME?</v>
      </c>
      <c r="N745" s="14">
        <v>41092</v>
      </c>
    </row>
    <row r="746" spans="2:14" x14ac:dyDescent="0.2">
      <c r="B746" s="21" t="s">
        <v>126</v>
      </c>
      <c r="C746" s="20" t="s">
        <v>134</v>
      </c>
      <c r="D746" s="18" t="e">
        <f ca="1">_xll.BDP(C746,"SECURITY_NAME")</f>
        <v>#NAME?</v>
      </c>
      <c r="E746" s="18" t="s">
        <v>50</v>
      </c>
      <c r="F746" s="19">
        <v>157700</v>
      </c>
      <c r="G746" s="18" t="e">
        <f ca="1">_xll.BDP(C746,"CRNCY")</f>
        <v>#NAME?</v>
      </c>
      <c r="H746" s="22" t="e">
        <f ca="1">_xll.BDH(C746,"PX_LAST",N746)/100</f>
        <v>#NAME?</v>
      </c>
      <c r="I746" s="15" t="e">
        <f t="shared" ca="1" si="182"/>
        <v>#NAME?</v>
      </c>
      <c r="J746" s="16" t="e">
        <f t="shared" ca="1" si="180"/>
        <v>#NAME?</v>
      </c>
      <c r="K746" s="15" t="e">
        <f t="shared" ca="1" si="181"/>
        <v>#NAME?</v>
      </c>
      <c r="L746" s="22" t="e">
        <f ca="1">_xll.BDH("GBP curncy","PX_LAST",$N746)</f>
        <v>#NAME?</v>
      </c>
      <c r="M746" s="85" t="e">
        <f ca="1">1/_xll.BDH("RUB curncy","PX_LAST",$N746)</f>
        <v>#NAME?</v>
      </c>
      <c r="N746" s="14">
        <v>41078</v>
      </c>
    </row>
    <row r="747" spans="2:14" x14ac:dyDescent="0.2">
      <c r="B747" s="21" t="s">
        <v>126</v>
      </c>
      <c r="C747" s="20" t="s">
        <v>134</v>
      </c>
      <c r="D747" s="18" t="e">
        <f ca="1">_xll.BDP(C747,"SECURITY_NAME")</f>
        <v>#NAME?</v>
      </c>
      <c r="E747" s="18" t="s">
        <v>50</v>
      </c>
      <c r="F747" s="19">
        <v>320000</v>
      </c>
      <c r="G747" s="18" t="e">
        <f ca="1">_xll.BDP(C747,"CRNCY")</f>
        <v>#NAME?</v>
      </c>
      <c r="H747" s="22" t="e">
        <f ca="1">_xll.BDH(C747,"PX_LAST",N747)/100</f>
        <v>#NAME?</v>
      </c>
      <c r="I747" s="15" t="e">
        <f t="shared" ca="1" si="182"/>
        <v>#NAME?</v>
      </c>
      <c r="J747" s="16" t="e">
        <f t="shared" ca="1" si="180"/>
        <v>#NAME?</v>
      </c>
      <c r="K747" s="15" t="e">
        <f t="shared" ca="1" si="181"/>
        <v>#NAME?</v>
      </c>
      <c r="L747" s="22" t="e">
        <f ca="1">_xll.BDH("GBP curncy","PX_LAST",$N747)</f>
        <v>#NAME?</v>
      </c>
      <c r="M747" s="85" t="e">
        <f ca="1">1/_xll.BDH("RUB curncy","PX_LAST",$N747)</f>
        <v>#NAME?</v>
      </c>
      <c r="N747" s="14">
        <v>41075</v>
      </c>
    </row>
    <row r="748" spans="2:14" x14ac:dyDescent="0.2">
      <c r="B748" s="21" t="s">
        <v>126</v>
      </c>
      <c r="C748" s="20" t="s">
        <v>134</v>
      </c>
      <c r="D748" s="18" t="e">
        <f ca="1">_xll.BDP(C748,"SECURITY_NAME")</f>
        <v>#NAME?</v>
      </c>
      <c r="E748" s="18" t="s">
        <v>50</v>
      </c>
      <c r="F748" s="19">
        <v>149500</v>
      </c>
      <c r="G748" s="18" t="e">
        <f ca="1">_xll.BDP(C748,"CRNCY")</f>
        <v>#NAME?</v>
      </c>
      <c r="H748" s="22" t="e">
        <f ca="1">_xll.BDH(C748,"PX_LAST",N748)/100</f>
        <v>#NAME?</v>
      </c>
      <c r="I748" s="15" t="e">
        <f t="shared" ca="1" si="182"/>
        <v>#NAME?</v>
      </c>
      <c r="J748" s="16" t="e">
        <f t="shared" ca="1" si="180"/>
        <v>#NAME?</v>
      </c>
      <c r="K748" s="15" t="e">
        <f t="shared" ca="1" si="181"/>
        <v>#NAME?</v>
      </c>
      <c r="L748" s="22" t="e">
        <f ca="1">_xll.BDH("GBP curncy","PX_LAST",$N748)</f>
        <v>#NAME?</v>
      </c>
      <c r="M748" s="85" t="e">
        <f ca="1">1/_xll.BDH("RUB curncy","PX_LAST",$N748)</f>
        <v>#NAME?</v>
      </c>
      <c r="N748" s="14">
        <v>41073</v>
      </c>
    </row>
    <row r="749" spans="2:14" x14ac:dyDescent="0.2">
      <c r="B749" s="21" t="s">
        <v>126</v>
      </c>
      <c r="C749" s="20" t="s">
        <v>134</v>
      </c>
      <c r="D749" s="18" t="e">
        <f ca="1">_xll.BDP(C749,"SECURITY_NAME")</f>
        <v>#NAME?</v>
      </c>
      <c r="E749" s="18" t="s">
        <v>50</v>
      </c>
      <c r="F749" s="19">
        <v>300000</v>
      </c>
      <c r="G749" s="18" t="e">
        <f ca="1">_xll.BDP(C749,"CRNCY")</f>
        <v>#NAME?</v>
      </c>
      <c r="H749" s="22" t="e">
        <f ca="1">_xll.BDH(C749,"PX_LAST",N749)/100</f>
        <v>#NAME?</v>
      </c>
      <c r="I749" s="15" t="e">
        <f t="shared" ca="1" si="182"/>
        <v>#NAME?</v>
      </c>
      <c r="J749" s="16" t="e">
        <f t="shared" ca="1" si="180"/>
        <v>#NAME?</v>
      </c>
      <c r="K749" s="15" t="e">
        <f t="shared" ca="1" si="181"/>
        <v>#NAME?</v>
      </c>
      <c r="L749" s="22" t="e">
        <f ca="1">_xll.BDH("GBP curncy","PX_LAST",$N749)</f>
        <v>#NAME?</v>
      </c>
      <c r="M749" s="85" t="e">
        <f ca="1">1/_xll.BDH("RUB curncy","PX_LAST",$N749)</f>
        <v>#NAME?</v>
      </c>
      <c r="N749" s="14">
        <v>41068</v>
      </c>
    </row>
    <row r="750" spans="2:14" x14ac:dyDescent="0.2">
      <c r="B750" s="21" t="s">
        <v>126</v>
      </c>
      <c r="C750" s="20" t="s">
        <v>134</v>
      </c>
      <c r="D750" s="18" t="e">
        <f ca="1">_xll.BDP(C750,"SECURITY_NAME")</f>
        <v>#NAME?</v>
      </c>
      <c r="E750" s="18" t="s">
        <v>50</v>
      </c>
      <c r="F750" s="19">
        <v>150000</v>
      </c>
      <c r="G750" s="18" t="e">
        <f ca="1">_xll.BDP(C750,"CRNCY")</f>
        <v>#NAME?</v>
      </c>
      <c r="H750" s="22" t="e">
        <f ca="1">_xll.BDH(C750,"PX_LAST",N750)/100</f>
        <v>#NAME?</v>
      </c>
      <c r="I750" s="15" t="e">
        <f t="shared" ca="1" si="182"/>
        <v>#NAME?</v>
      </c>
      <c r="J750" s="16" t="e">
        <f t="shared" ca="1" si="180"/>
        <v>#NAME?</v>
      </c>
      <c r="K750" s="15" t="e">
        <f t="shared" ca="1" si="181"/>
        <v>#NAME?</v>
      </c>
      <c r="L750" s="22" t="e">
        <f ca="1">_xll.BDH("GBP curncy","PX_LAST",$N750)</f>
        <v>#NAME?</v>
      </c>
      <c r="M750" s="85" t="e">
        <f ca="1">1/_xll.BDH("RUB curncy","PX_LAST",$N750)</f>
        <v>#NAME?</v>
      </c>
      <c r="N750" s="14">
        <v>41066</v>
      </c>
    </row>
    <row r="751" spans="2:14" x14ac:dyDescent="0.2">
      <c r="B751" s="21" t="s">
        <v>126</v>
      </c>
      <c r="C751" s="20" t="s">
        <v>134</v>
      </c>
      <c r="D751" s="18" t="e">
        <f ca="1">_xll.BDP(C751,"SECURITY_NAME")</f>
        <v>#NAME?</v>
      </c>
      <c r="E751" s="18" t="s">
        <v>50</v>
      </c>
      <c r="F751" s="19">
        <v>25000</v>
      </c>
      <c r="G751" s="18" t="e">
        <f ca="1">_xll.BDP(C751,"CRNCY")</f>
        <v>#NAME?</v>
      </c>
      <c r="H751" s="22" t="e">
        <f ca="1">_xll.BDH(C751,"PX_LAST",N751)/100</f>
        <v>#NAME?</v>
      </c>
      <c r="I751" s="15" t="e">
        <f t="shared" ca="1" si="182"/>
        <v>#NAME?</v>
      </c>
      <c r="J751" s="16" t="e">
        <f t="shared" ca="1" si="180"/>
        <v>#NAME?</v>
      </c>
      <c r="K751" s="15" t="e">
        <f t="shared" ca="1" si="181"/>
        <v>#NAME?</v>
      </c>
      <c r="L751" s="22" t="e">
        <f ca="1">_xll.BDH("GBP curncy","PX_LAST",$N751)</f>
        <v>#NAME?</v>
      </c>
      <c r="M751" s="85" t="e">
        <f ca="1">1/_xll.BDH("RUB curncy","PX_LAST",$N751)</f>
        <v>#NAME?</v>
      </c>
      <c r="N751" s="14">
        <v>41061</v>
      </c>
    </row>
    <row r="752" spans="2:14" x14ac:dyDescent="0.2">
      <c r="B752" s="21" t="s">
        <v>126</v>
      </c>
      <c r="C752" s="20" t="s">
        <v>134</v>
      </c>
      <c r="D752" s="18" t="e">
        <f ca="1">_xll.BDP(C752,"SECURITY_NAME")</f>
        <v>#NAME?</v>
      </c>
      <c r="E752" s="18" t="s">
        <v>50</v>
      </c>
      <c r="F752" s="19">
        <v>130000</v>
      </c>
      <c r="G752" s="18" t="e">
        <f ca="1">_xll.BDP(C752,"CRNCY")</f>
        <v>#NAME?</v>
      </c>
      <c r="H752" s="22" t="e">
        <f ca="1">_xll.BDH(C752,"PX_LAST",N752)/100</f>
        <v>#NAME?</v>
      </c>
      <c r="I752" s="15" t="e">
        <f t="shared" ca="1" si="182"/>
        <v>#NAME?</v>
      </c>
      <c r="J752" s="16" t="e">
        <f t="shared" ca="1" si="180"/>
        <v>#NAME?</v>
      </c>
      <c r="K752" s="15" t="e">
        <f t="shared" ca="1" si="181"/>
        <v>#NAME?</v>
      </c>
      <c r="L752" s="22" t="e">
        <f ca="1">_xll.BDH("GBP curncy","PX_LAST",$N752)</f>
        <v>#NAME?</v>
      </c>
      <c r="M752" s="85" t="e">
        <f ca="1">1/_xll.BDH("RUB curncy","PX_LAST",$N752)</f>
        <v>#NAME?</v>
      </c>
      <c r="N752" s="14">
        <v>41060</v>
      </c>
    </row>
    <row r="753" spans="2:14" x14ac:dyDescent="0.2">
      <c r="B753" s="21" t="s">
        <v>126</v>
      </c>
      <c r="C753" s="20" t="s">
        <v>134</v>
      </c>
      <c r="D753" s="18" t="e">
        <f ca="1">_xll.BDP(C753,"SECURITY_NAME")</f>
        <v>#NAME?</v>
      </c>
      <c r="E753" s="18" t="s">
        <v>50</v>
      </c>
      <c r="F753" s="19">
        <v>256000</v>
      </c>
      <c r="G753" s="18" t="e">
        <f ca="1">_xll.BDP(C753,"CRNCY")</f>
        <v>#NAME?</v>
      </c>
      <c r="H753" s="22" t="e">
        <f ca="1">_xll.BDH(C753,"PX_LAST",N753)/100</f>
        <v>#NAME?</v>
      </c>
      <c r="I753" s="15" t="e">
        <f t="shared" ca="1" si="182"/>
        <v>#NAME?</v>
      </c>
      <c r="J753" s="16" t="e">
        <f t="shared" ca="1" si="180"/>
        <v>#NAME?</v>
      </c>
      <c r="K753" s="15" t="e">
        <f t="shared" ca="1" si="181"/>
        <v>#NAME?</v>
      </c>
      <c r="L753" s="22" t="e">
        <f ca="1">_xll.BDH("GBP curncy","PX_LAST",$N753)</f>
        <v>#NAME?</v>
      </c>
      <c r="M753" s="85" t="e">
        <f ca="1">1/_xll.BDH("RUB curncy","PX_LAST",$N753)</f>
        <v>#NAME?</v>
      </c>
      <c r="N753" s="14">
        <v>41050</v>
      </c>
    </row>
    <row r="754" spans="2:14" x14ac:dyDescent="0.2">
      <c r="B754" s="21" t="s">
        <v>126</v>
      </c>
      <c r="C754" s="20" t="s">
        <v>134</v>
      </c>
      <c r="D754" s="18" t="e">
        <f ca="1">_xll.BDP(C754,"SECURITY_NAME")</f>
        <v>#NAME?</v>
      </c>
      <c r="E754" s="18" t="s">
        <v>50</v>
      </c>
      <c r="F754" s="19">
        <v>120000</v>
      </c>
      <c r="G754" s="18" t="e">
        <f ca="1">_xll.BDP(C754,"CRNCY")</f>
        <v>#NAME?</v>
      </c>
      <c r="H754" s="22" t="e">
        <f ca="1">_xll.BDH(C754,"PX_LAST",N754)/100</f>
        <v>#NAME?</v>
      </c>
      <c r="I754" s="15" t="e">
        <f t="shared" ca="1" si="182"/>
        <v>#NAME?</v>
      </c>
      <c r="J754" s="16" t="e">
        <f t="shared" ca="1" si="180"/>
        <v>#NAME?</v>
      </c>
      <c r="K754" s="15" t="e">
        <f t="shared" ca="1" si="181"/>
        <v>#NAME?</v>
      </c>
      <c r="L754" s="22" t="e">
        <f ca="1">_xll.BDH("GBP curncy","PX_LAST",$N754)</f>
        <v>#NAME?</v>
      </c>
      <c r="M754" s="85" t="e">
        <f ca="1">1/_xll.BDH("RUB curncy","PX_LAST",$N754)</f>
        <v>#NAME?</v>
      </c>
      <c r="N754" s="14">
        <v>41045</v>
      </c>
    </row>
    <row r="755" spans="2:14" x14ac:dyDescent="0.2">
      <c r="B755" s="21" t="s">
        <v>126</v>
      </c>
      <c r="C755" s="20" t="s">
        <v>134</v>
      </c>
      <c r="D755" s="18" t="e">
        <f ca="1">_xll.BDP(C755,"SECURITY_NAME")</f>
        <v>#NAME?</v>
      </c>
      <c r="E755" s="18" t="s">
        <v>50</v>
      </c>
      <c r="F755" s="19">
        <v>112000</v>
      </c>
      <c r="G755" s="18" t="e">
        <f ca="1">_xll.BDP(C755,"CRNCY")</f>
        <v>#NAME?</v>
      </c>
      <c r="H755" s="22" t="e">
        <f ca="1">_xll.BDH(C755,"PX_LAST",N755)/100</f>
        <v>#NAME?</v>
      </c>
      <c r="I755" s="15" t="e">
        <f t="shared" ca="1" si="182"/>
        <v>#NAME?</v>
      </c>
      <c r="J755" s="16" t="e">
        <f t="shared" ca="1" si="180"/>
        <v>#NAME?</v>
      </c>
      <c r="K755" s="15" t="e">
        <f t="shared" ca="1" si="181"/>
        <v>#NAME?</v>
      </c>
      <c r="L755" s="22" t="e">
        <f ca="1">_xll.BDH("GBP curncy","PX_LAST",$N755)</f>
        <v>#NAME?</v>
      </c>
      <c r="M755" s="85" t="e">
        <f ca="1">1/_xll.BDH("RUB curncy","PX_LAST",$N755)</f>
        <v>#NAME?</v>
      </c>
      <c r="N755" s="14">
        <v>41044</v>
      </c>
    </row>
    <row r="756" spans="2:14" x14ac:dyDescent="0.2">
      <c r="B756" s="21" t="s">
        <v>126</v>
      </c>
      <c r="C756" s="20" t="s">
        <v>134</v>
      </c>
      <c r="D756" s="18" t="e">
        <f ca="1">_xll.BDP(C756,"SECURITY_NAME")</f>
        <v>#NAME?</v>
      </c>
      <c r="E756" s="18" t="s">
        <v>50</v>
      </c>
      <c r="F756" s="19">
        <v>610000</v>
      </c>
      <c r="G756" s="18" t="e">
        <f ca="1">_xll.BDP(C756,"CRNCY")</f>
        <v>#NAME?</v>
      </c>
      <c r="H756" s="22" t="e">
        <f ca="1">_xll.BDH(C756,"PX_LAST",N756)/100</f>
        <v>#NAME?</v>
      </c>
      <c r="I756" s="15" t="e">
        <f t="shared" ca="1" si="182"/>
        <v>#NAME?</v>
      </c>
      <c r="J756" s="16" t="e">
        <f t="shared" ca="1" si="180"/>
        <v>#NAME?</v>
      </c>
      <c r="K756" s="15" t="e">
        <f t="shared" ca="1" si="181"/>
        <v>#NAME?</v>
      </c>
      <c r="L756" s="22" t="e">
        <f ca="1">_xll.BDH("GBP curncy","PX_LAST",$N756)</f>
        <v>#NAME?</v>
      </c>
      <c r="M756" s="85" t="e">
        <f ca="1">1/_xll.BDH("RUB curncy","PX_LAST",$N756)</f>
        <v>#NAME?</v>
      </c>
      <c r="N756" s="14">
        <v>41043</v>
      </c>
    </row>
    <row r="757" spans="2:14" x14ac:dyDescent="0.2">
      <c r="B757" s="21" t="s">
        <v>126</v>
      </c>
      <c r="C757" s="20" t="s">
        <v>134</v>
      </c>
      <c r="D757" s="18" t="e">
        <f ca="1">_xll.BDP(C757,"SECURITY_NAME")</f>
        <v>#NAME?</v>
      </c>
      <c r="E757" s="18" t="s">
        <v>50</v>
      </c>
      <c r="F757" s="19">
        <v>46000</v>
      </c>
      <c r="G757" s="18" t="e">
        <f ca="1">_xll.BDP(C757,"CRNCY")</f>
        <v>#NAME?</v>
      </c>
      <c r="H757" s="22" t="e">
        <f ca="1">_xll.BDH(C757,"PX_LAST",N757)/100</f>
        <v>#NAME?</v>
      </c>
      <c r="I757" s="15" t="e">
        <f t="shared" ca="1" si="182"/>
        <v>#NAME?</v>
      </c>
      <c r="J757" s="16" t="e">
        <f t="shared" ca="1" si="180"/>
        <v>#NAME?</v>
      </c>
      <c r="K757" s="15" t="e">
        <f t="shared" ca="1" si="181"/>
        <v>#NAME?</v>
      </c>
      <c r="L757" s="22" t="e">
        <f ca="1">_xll.BDH("GBP curncy","PX_LAST",$N757)</f>
        <v>#NAME?</v>
      </c>
      <c r="M757" s="85" t="e">
        <f ca="1">1/_xll.BDH("RUB curncy","PX_LAST",$N757)</f>
        <v>#NAME?</v>
      </c>
      <c r="N757" s="14">
        <v>41016</v>
      </c>
    </row>
    <row r="758" spans="2:14" x14ac:dyDescent="0.2">
      <c r="B758" s="71"/>
      <c r="C758" s="72"/>
      <c r="D758" s="73"/>
      <c r="E758" s="73">
        <f>5086969/F758</f>
        <v>0.8254503453785127</v>
      </c>
      <c r="F758" s="79">
        <f>SUM(F695:F757)</f>
        <v>6162659</v>
      </c>
      <c r="G758" s="115"/>
      <c r="H758" s="80" t="e">
        <f ca="1">I758/F758</f>
        <v>#NAME?</v>
      </c>
      <c r="I758" s="79" t="e">
        <f ca="1">SUM(I695:I757)</f>
        <v>#NAME?</v>
      </c>
      <c r="J758" s="79" t="e">
        <f ca="1">SUM(J695:J757)</f>
        <v>#NAME?</v>
      </c>
      <c r="K758" s="79" t="e">
        <f ca="1">SUM(K695:K757)</f>
        <v>#NAME?</v>
      </c>
      <c r="L758" s="75"/>
      <c r="M758" s="86"/>
      <c r="N758" s="14"/>
    </row>
    <row r="759" spans="2:14" x14ac:dyDescent="0.2">
      <c r="B759" s="71"/>
      <c r="C759" s="72"/>
      <c r="D759" s="73"/>
      <c r="E759" s="73"/>
      <c r="F759" s="74"/>
      <c r="G759" s="73"/>
      <c r="H759" s="75"/>
      <c r="I759" s="76"/>
      <c r="J759" s="77"/>
      <c r="K759" s="76"/>
      <c r="L759" s="75"/>
      <c r="M759" s="86"/>
      <c r="N759" s="14"/>
    </row>
    <row r="760" spans="2:14" x14ac:dyDescent="0.2">
      <c r="B760" s="21" t="s">
        <v>126</v>
      </c>
      <c r="C760" s="20" t="s">
        <v>181</v>
      </c>
      <c r="D760" s="18" t="e">
        <f ca="1">_xll.BDP(C760,"SECURITY_NAME")</f>
        <v>#NAME?</v>
      </c>
      <c r="E760" s="18" t="s">
        <v>50</v>
      </c>
      <c r="F760" s="19">
        <v>200000</v>
      </c>
      <c r="G760" s="18" t="e">
        <f ca="1">_xll.BDP(C760,"CRNCY")</f>
        <v>#NAME?</v>
      </c>
      <c r="H760" s="22">
        <v>99</v>
      </c>
      <c r="I760" s="15">
        <f>F760*H760/100</f>
        <v>198000</v>
      </c>
      <c r="J760" s="16">
        <f>I760</f>
        <v>198000</v>
      </c>
      <c r="K760" s="15" t="e">
        <f ca="1">J760*L760</f>
        <v>#NAME?</v>
      </c>
      <c r="L760" s="22" t="e">
        <f ca="1">_xll.BDH("RUB curncy","PX_LAST",$N760)</f>
        <v>#NAME?</v>
      </c>
      <c r="M760" s="85" t="e">
        <f ca="1">1/_xll.BDH("RUB curncy","PX_LAST",$N760)</f>
        <v>#NAME?</v>
      </c>
      <c r="N760" s="14">
        <v>41971</v>
      </c>
    </row>
    <row r="761" spans="2:14" x14ac:dyDescent="0.2">
      <c r="B761" s="21" t="s">
        <v>126</v>
      </c>
      <c r="C761" s="20" t="s">
        <v>181</v>
      </c>
      <c r="D761" s="18" t="e">
        <f ca="1">_xll.BDP(C761,"SECURITY_NAME")</f>
        <v>#NAME?</v>
      </c>
      <c r="E761" s="18" t="s">
        <v>50</v>
      </c>
      <c r="F761" s="19">
        <v>200000</v>
      </c>
      <c r="G761" s="18" t="e">
        <f ca="1">_xll.BDP(C761,"CRNCY")</f>
        <v>#NAME?</v>
      </c>
      <c r="H761" s="22">
        <v>101.625</v>
      </c>
      <c r="I761" s="15">
        <f>F761*H761/100</f>
        <v>203250</v>
      </c>
      <c r="J761" s="16">
        <f>I761</f>
        <v>203250</v>
      </c>
      <c r="K761" s="15" t="e">
        <f ca="1">J761*L761</f>
        <v>#NAME?</v>
      </c>
      <c r="L761" s="22" t="e">
        <f ca="1">_xll.BDH("RUB curncy","PX_LAST",$N761)</f>
        <v>#NAME?</v>
      </c>
      <c r="M761" s="85" t="e">
        <f ca="1">1/_xll.BDH("RUB curncy","PX_LAST",$N761)</f>
        <v>#NAME?</v>
      </c>
      <c r="N761" s="14">
        <v>41849</v>
      </c>
    </row>
    <row r="762" spans="2:14" x14ac:dyDescent="0.2">
      <c r="B762" s="71"/>
      <c r="C762" s="72"/>
      <c r="D762" s="73"/>
      <c r="E762" s="73"/>
      <c r="F762" s="79">
        <f>SUM(F760:F761)</f>
        <v>400000</v>
      </c>
      <c r="G762" s="73"/>
      <c r="H762" s="80">
        <f>I762/F762*100</f>
        <v>100.3125</v>
      </c>
      <c r="I762" s="79">
        <f>SUM(I760:I761)</f>
        <v>401250</v>
      </c>
      <c r="J762" s="79">
        <f>SUM(J760:J761)</f>
        <v>401250</v>
      </c>
      <c r="K762" s="79" t="e">
        <f ca="1">SUM(K760:K761)</f>
        <v>#NAME?</v>
      </c>
      <c r="L762" s="75"/>
      <c r="M762" s="86"/>
      <c r="N762" s="14"/>
    </row>
    <row r="763" spans="2:14" x14ac:dyDescent="0.2">
      <c r="B763" s="21"/>
      <c r="C763" s="20"/>
      <c r="D763" s="18"/>
      <c r="E763" s="18"/>
      <c r="F763" s="19"/>
      <c r="G763" s="18"/>
      <c r="H763" s="22"/>
      <c r="I763" s="15"/>
      <c r="J763" s="16"/>
      <c r="K763" s="15"/>
      <c r="L763" s="22"/>
      <c r="M763" s="85"/>
      <c r="N763" s="14"/>
    </row>
    <row r="764" spans="2:14" x14ac:dyDescent="0.2">
      <c r="B764" s="21" t="s">
        <v>126</v>
      </c>
      <c r="C764" s="20" t="s">
        <v>179</v>
      </c>
      <c r="D764" s="18" t="e">
        <f ca="1">_xll.BDP(C764,"SECURITY_NAME")</f>
        <v>#NAME?</v>
      </c>
      <c r="E764" s="18" t="s">
        <v>50</v>
      </c>
      <c r="F764" s="19">
        <v>200000</v>
      </c>
      <c r="G764" s="18" t="e">
        <f ca="1">_xll.BDP(C764,"CRNCY")</f>
        <v>#NAME?</v>
      </c>
      <c r="H764" s="22">
        <v>83</v>
      </c>
      <c r="I764" s="15">
        <f>F764*H764/100</f>
        <v>166000</v>
      </c>
      <c r="J764" s="16">
        <f>I764</f>
        <v>166000</v>
      </c>
      <c r="K764" s="15" t="e">
        <f ca="1">J764*L764</f>
        <v>#NAME?</v>
      </c>
      <c r="L764" s="22" t="e">
        <f ca="1">_xll.BDH("RUB curncy","PX_LAST",$N764)</f>
        <v>#NAME?</v>
      </c>
      <c r="M764" s="85" t="e">
        <f ca="1">1/_xll.BDH("RUB curncy","PX_LAST",$N764)</f>
        <v>#NAME?</v>
      </c>
      <c r="N764" s="14">
        <v>41971</v>
      </c>
    </row>
    <row r="765" spans="2:14" x14ac:dyDescent="0.2">
      <c r="B765" s="21" t="s">
        <v>126</v>
      </c>
      <c r="C765" s="20" t="s">
        <v>179</v>
      </c>
      <c r="D765" s="18" t="e">
        <f ca="1">_xll.BDP(C765,"SECURITY_NAME")</f>
        <v>#NAME?</v>
      </c>
      <c r="E765" s="18" t="s">
        <v>50</v>
      </c>
      <c r="F765" s="19">
        <v>200000</v>
      </c>
      <c r="G765" s="18" t="e">
        <f ca="1">_xll.BDP(C765,"CRNCY")</f>
        <v>#NAME?</v>
      </c>
      <c r="H765" s="22">
        <v>85.35</v>
      </c>
      <c r="I765" s="15">
        <f>F765*H765/100</f>
        <v>170700</v>
      </c>
      <c r="J765" s="16">
        <f>I765</f>
        <v>170700</v>
      </c>
      <c r="K765" s="15" t="e">
        <f ca="1">J765*L765</f>
        <v>#NAME?</v>
      </c>
      <c r="L765" s="22" t="e">
        <f ca="1">_xll.BDH("RUB curncy","PX_LAST",$N765)</f>
        <v>#NAME?</v>
      </c>
      <c r="M765" s="85" t="e">
        <f ca="1">1/_xll.BDH("RUB curncy","PX_LAST",$N765)</f>
        <v>#NAME?</v>
      </c>
      <c r="N765" s="14">
        <v>41849</v>
      </c>
    </row>
    <row r="766" spans="2:14" x14ac:dyDescent="0.2">
      <c r="B766" s="71"/>
      <c r="C766" s="72"/>
      <c r="D766" s="73"/>
      <c r="E766" s="73"/>
      <c r="F766" s="79">
        <f>SUM(F764:F765)</f>
        <v>400000</v>
      </c>
      <c r="G766" s="73"/>
      <c r="H766" s="80">
        <f>I766/F766*100</f>
        <v>84.174999999999997</v>
      </c>
      <c r="I766" s="79">
        <f>SUM(I764:I765)</f>
        <v>336700</v>
      </c>
      <c r="J766" s="79">
        <f>SUM(J764:J765)</f>
        <v>336700</v>
      </c>
      <c r="K766" s="79" t="e">
        <f ca="1">SUM(K764:K765)</f>
        <v>#NAME?</v>
      </c>
      <c r="L766" s="75"/>
      <c r="M766" s="86"/>
      <c r="N766" s="14"/>
    </row>
    <row r="767" spans="2:14" x14ac:dyDescent="0.2">
      <c r="B767" s="71"/>
      <c r="C767" s="72"/>
      <c r="D767" s="73"/>
      <c r="E767" s="73"/>
      <c r="F767" s="79"/>
      <c r="G767" s="73"/>
      <c r="H767" s="80"/>
      <c r="I767" s="79"/>
      <c r="J767" s="79"/>
      <c r="K767" s="79"/>
      <c r="L767" s="75"/>
      <c r="M767" s="86"/>
      <c r="N767" s="14"/>
    </row>
    <row r="768" spans="2:14" x14ac:dyDescent="0.2">
      <c r="B768" s="21" t="s">
        <v>126</v>
      </c>
      <c r="C768" s="20" t="s">
        <v>168</v>
      </c>
      <c r="D768" s="18" t="e">
        <f ca="1">_xll.BDP(C768,"SECURITY_NAME")</f>
        <v>#NAME?</v>
      </c>
      <c r="E768" s="18" t="s">
        <v>50</v>
      </c>
      <c r="F768" s="19">
        <v>200000</v>
      </c>
      <c r="G768" s="18" t="e">
        <f ca="1">_xll.BDP(C768,"CRNCY")</f>
        <v>#NAME?</v>
      </c>
      <c r="H768" s="22">
        <v>100</v>
      </c>
      <c r="I768" s="15">
        <f>F768*H768/100</f>
        <v>200000</v>
      </c>
      <c r="J768" s="16">
        <f>I768</f>
        <v>200000</v>
      </c>
      <c r="K768" s="15" t="e">
        <f ca="1">J768*L768</f>
        <v>#NAME?</v>
      </c>
      <c r="L768" s="22" t="e">
        <f ca="1">_xll.BDH("RUB curncy","PX_LAST",$N768)</f>
        <v>#NAME?</v>
      </c>
      <c r="M768" s="85" t="e">
        <f ca="1">1/_xll.BDH("RUB curncy","PX_LAST",$N768)</f>
        <v>#NAME?</v>
      </c>
      <c r="N768" s="14">
        <v>41683</v>
      </c>
    </row>
    <row r="769" spans="2:14" x14ac:dyDescent="0.2">
      <c r="B769" s="71"/>
      <c r="C769" s="72"/>
      <c r="D769" s="73"/>
      <c r="E769" s="73"/>
      <c r="F769" s="79">
        <f>SUM(F768)</f>
        <v>200000</v>
      </c>
      <c r="G769" s="73"/>
      <c r="H769" s="80">
        <f>I769/F769*100</f>
        <v>100</v>
      </c>
      <c r="I769" s="79">
        <f>SUM(I768)</f>
        <v>200000</v>
      </c>
      <c r="J769" s="79">
        <f>SUM(J768)</f>
        <v>200000</v>
      </c>
      <c r="K769" s="79" t="e">
        <f ca="1">SUM(K768)</f>
        <v>#NAME?</v>
      </c>
      <c r="L769" s="75"/>
      <c r="M769" s="86"/>
      <c r="N769" s="14"/>
    </row>
    <row r="770" spans="2:14" x14ac:dyDescent="0.2">
      <c r="B770" s="21"/>
      <c r="C770" s="20"/>
      <c r="D770" s="18"/>
      <c r="E770" s="18"/>
      <c r="F770" s="19"/>
      <c r="G770" s="18"/>
      <c r="H770" s="22"/>
      <c r="I770" s="15"/>
      <c r="J770" s="16"/>
      <c r="K770" s="15"/>
      <c r="L770" s="22"/>
      <c r="M770" s="85"/>
      <c r="N770" s="14"/>
    </row>
    <row r="771" spans="2:14" x14ac:dyDescent="0.2">
      <c r="B771" s="21" t="s">
        <v>126</v>
      </c>
      <c r="C771" s="20" t="s">
        <v>167</v>
      </c>
      <c r="D771" s="18" t="e">
        <f ca="1">_xll.BDP(C771,"SECURITY_NAME")</f>
        <v>#NAME?</v>
      </c>
      <c r="E771" s="18" t="s">
        <v>50</v>
      </c>
      <c r="F771" s="19">
        <v>135000</v>
      </c>
      <c r="G771" s="18" t="e">
        <f ca="1">_xll.BDP(C771,"CRNCY")</f>
        <v>#NAME?</v>
      </c>
      <c r="H771" s="22">
        <v>70.78</v>
      </c>
      <c r="I771" s="15">
        <f>F771*H771/100</f>
        <v>95553</v>
      </c>
      <c r="J771" s="16">
        <f>I771</f>
        <v>95553</v>
      </c>
      <c r="K771" s="15" t="e">
        <f ca="1">J771*L771</f>
        <v>#NAME?</v>
      </c>
      <c r="L771" s="22" t="e">
        <f ca="1">_xll.BDH("RUB curncy","PX_LAST",$N771)</f>
        <v>#NAME?</v>
      </c>
      <c r="M771" s="85" t="e">
        <f ca="1">1/_xll.BDH("RUB curncy","PX_LAST",$N771)</f>
        <v>#NAME?</v>
      </c>
      <c r="N771" s="14">
        <v>41990</v>
      </c>
    </row>
    <row r="772" spans="2:14" x14ac:dyDescent="0.2">
      <c r="B772" s="21" t="s">
        <v>126</v>
      </c>
      <c r="C772" s="20" t="s">
        <v>167</v>
      </c>
      <c r="D772" s="18" t="e">
        <f ca="1">_xll.BDP(C772,"SECURITY_NAME")</f>
        <v>#NAME?</v>
      </c>
      <c r="E772" s="18" t="s">
        <v>50</v>
      </c>
      <c r="F772" s="19">
        <v>200000</v>
      </c>
      <c r="G772" s="18" t="e">
        <f ca="1">_xll.BDP(C772,"CRNCY")</f>
        <v>#NAME?</v>
      </c>
      <c r="H772" s="22">
        <v>101.8</v>
      </c>
      <c r="I772" s="15">
        <f>F772*H772/100</f>
        <v>203600</v>
      </c>
      <c r="J772" s="16">
        <f>I772</f>
        <v>203600</v>
      </c>
      <c r="K772" s="15" t="e">
        <f ca="1">J772*L772</f>
        <v>#NAME?</v>
      </c>
      <c r="L772" s="22" t="e">
        <f ca="1">_xll.BDH("RUB curncy","PX_LAST",$N772)</f>
        <v>#NAME?</v>
      </c>
      <c r="M772" s="85" t="e">
        <f ca="1">1/_xll.BDH("RUB curncy","PX_LAST",$N772)</f>
        <v>#NAME?</v>
      </c>
      <c r="N772" s="14">
        <v>41635</v>
      </c>
    </row>
    <row r="773" spans="2:14" x14ac:dyDescent="0.2">
      <c r="B773" s="71"/>
      <c r="C773" s="72"/>
      <c r="D773" s="73"/>
      <c r="E773" s="73"/>
      <c r="F773" s="79">
        <f>SUM(F771:F772)</f>
        <v>335000</v>
      </c>
      <c r="G773" s="73"/>
      <c r="H773" s="80">
        <f>I773/F773*100</f>
        <v>89.299402985074622</v>
      </c>
      <c r="I773" s="79">
        <f>SUM(I771:I772)</f>
        <v>299153</v>
      </c>
      <c r="J773" s="79">
        <f>SUM(J771:J772)</f>
        <v>299153</v>
      </c>
      <c r="K773" s="79" t="e">
        <f ca="1">SUM(K771:K772)</f>
        <v>#NAME?</v>
      </c>
      <c r="L773" s="75"/>
      <c r="M773" s="86"/>
      <c r="N773" s="14"/>
    </row>
    <row r="774" spans="2:14" x14ac:dyDescent="0.2">
      <c r="B774" s="21"/>
      <c r="C774" s="20"/>
      <c r="D774" s="18"/>
      <c r="E774" s="18"/>
      <c r="F774" s="19"/>
      <c r="G774" s="18"/>
      <c r="H774" s="22"/>
      <c r="I774" s="15"/>
      <c r="J774" s="16"/>
      <c r="K774" s="15"/>
      <c r="L774" s="22"/>
      <c r="M774" s="85"/>
      <c r="N774" s="14"/>
    </row>
    <row r="775" spans="2:14" x14ac:dyDescent="0.2">
      <c r="B775" s="21" t="s">
        <v>126</v>
      </c>
      <c r="C775" s="20" t="s">
        <v>165</v>
      </c>
      <c r="D775" s="18" t="e">
        <f ca="1">_xll.BDP(C775,"SECURITY_NAME")</f>
        <v>#NAME?</v>
      </c>
      <c r="E775" s="18" t="s">
        <v>50</v>
      </c>
      <c r="F775" s="19">
        <v>250000</v>
      </c>
      <c r="G775" s="18" t="e">
        <f ca="1">_xll.BDP(C775,"CRNCY")</f>
        <v>#NAME?</v>
      </c>
      <c r="H775" s="22">
        <v>76.599999999999994</v>
      </c>
      <c r="I775" s="15">
        <f>F775*H775/100</f>
        <v>191500</v>
      </c>
      <c r="J775" s="16">
        <f>I775</f>
        <v>191500</v>
      </c>
      <c r="K775" s="15" t="e">
        <f ca="1">J775*L775</f>
        <v>#NAME?</v>
      </c>
      <c r="L775" s="22" t="e">
        <f ca="1">_xll.BDH("RUB curncy","PX_LAST",$N775)</f>
        <v>#NAME?</v>
      </c>
      <c r="M775" s="85" t="e">
        <f ca="1">1/_xll.BDH("RUB curncy","PX_LAST",$N775)</f>
        <v>#NAME?</v>
      </c>
      <c r="N775" s="14">
        <v>41985</v>
      </c>
    </row>
    <row r="776" spans="2:14" x14ac:dyDescent="0.2">
      <c r="B776" s="21" t="s">
        <v>126</v>
      </c>
      <c r="C776" s="20" t="s">
        <v>165</v>
      </c>
      <c r="D776" s="18" t="e">
        <f ca="1">_xll.BDP(C776,"SECURITY_NAME")</f>
        <v>#NAME?</v>
      </c>
      <c r="E776" s="18" t="s">
        <v>50</v>
      </c>
      <c r="F776" s="19">
        <v>200000</v>
      </c>
      <c r="G776" s="18" t="e">
        <f ca="1">_xll.BDP(C776,"CRNCY")</f>
        <v>#NAME?</v>
      </c>
      <c r="H776" s="22">
        <v>76</v>
      </c>
      <c r="I776" s="15">
        <f>F776*H776/100</f>
        <v>152000</v>
      </c>
      <c r="J776" s="16">
        <f>I776</f>
        <v>152000</v>
      </c>
      <c r="K776" s="15" t="e">
        <f ca="1">J776*L776</f>
        <v>#NAME?</v>
      </c>
      <c r="L776" s="22" t="e">
        <f ca="1">_xll.BDH("RUB curncy","PX_LAST",$N776)</f>
        <v>#NAME?</v>
      </c>
      <c r="M776" s="85" t="e">
        <f ca="1">1/_xll.BDH("RUB curncy","PX_LAST",$N776)</f>
        <v>#NAME?</v>
      </c>
      <c r="N776" s="14">
        <v>41982</v>
      </c>
    </row>
    <row r="777" spans="2:14" x14ac:dyDescent="0.2">
      <c r="B777" s="21" t="s">
        <v>126</v>
      </c>
      <c r="C777" s="20" t="s">
        <v>165</v>
      </c>
      <c r="D777" s="18" t="e">
        <f ca="1">_xll.BDP(C777,"SECURITY_NAME")</f>
        <v>#NAME?</v>
      </c>
      <c r="E777" s="18" t="s">
        <v>50</v>
      </c>
      <c r="F777" s="19">
        <v>200000</v>
      </c>
      <c r="G777" s="18" t="e">
        <f ca="1">_xll.BDP(C777,"CRNCY")</f>
        <v>#NAME?</v>
      </c>
      <c r="H777" s="22">
        <v>89</v>
      </c>
      <c r="I777" s="15">
        <f>F777*H777/100</f>
        <v>178000</v>
      </c>
      <c r="J777" s="16">
        <f>I777</f>
        <v>178000</v>
      </c>
      <c r="K777" s="15" t="e">
        <f ca="1">J777*L777</f>
        <v>#NAME?</v>
      </c>
      <c r="L777" s="22" t="e">
        <f ca="1">_xll.BDH("RUB curncy","PX_LAST",$N777)</f>
        <v>#NAME?</v>
      </c>
      <c r="M777" s="85" t="e">
        <f ca="1">1/_xll.BDH("RUB curncy","PX_LAST",$N777)</f>
        <v>#NAME?</v>
      </c>
      <c r="N777" s="14">
        <v>41971</v>
      </c>
    </row>
    <row r="778" spans="2:14" x14ac:dyDescent="0.2">
      <c r="B778" s="21" t="s">
        <v>126</v>
      </c>
      <c r="C778" s="20" t="s">
        <v>165</v>
      </c>
      <c r="D778" s="18" t="e">
        <f ca="1">_xll.BDP(C778,"SECURITY_NAME")</f>
        <v>#NAME?</v>
      </c>
      <c r="E778" s="18" t="s">
        <v>50</v>
      </c>
      <c r="F778" s="19">
        <v>200000</v>
      </c>
      <c r="G778" s="18" t="e">
        <f ca="1">_xll.BDP(C778,"CRNCY")</f>
        <v>#NAME?</v>
      </c>
      <c r="H778" s="22">
        <v>94.25</v>
      </c>
      <c r="I778" s="15">
        <f>F778*H778/100</f>
        <v>188500</v>
      </c>
      <c r="J778" s="16">
        <f>I778</f>
        <v>188500</v>
      </c>
      <c r="K778" s="15" t="e">
        <f ca="1">J778*L778</f>
        <v>#NAME?</v>
      </c>
      <c r="L778" s="22" t="e">
        <f ca="1">_xll.BDH("RUB curncy","PX_LAST",$N778)</f>
        <v>#NAME?</v>
      </c>
      <c r="M778" s="85" t="e">
        <f ca="1">1/_xll.BDH("RUB curncy","PX_LAST",$N778)</f>
        <v>#NAME?</v>
      </c>
      <c r="N778" s="14">
        <v>41849</v>
      </c>
    </row>
    <row r="779" spans="2:14" x14ac:dyDescent="0.2">
      <c r="B779" s="21" t="s">
        <v>126</v>
      </c>
      <c r="C779" s="20" t="s">
        <v>165</v>
      </c>
      <c r="D779" s="18" t="e">
        <f ca="1">_xll.BDP(C779,"SECURITY_NAME")</f>
        <v>#NAME?</v>
      </c>
      <c r="E779" s="18" t="s">
        <v>50</v>
      </c>
      <c r="F779" s="19">
        <v>300000</v>
      </c>
      <c r="G779" s="18" t="e">
        <f ca="1">_xll.BDP(C779,"CRNCY")</f>
        <v>#NAME?</v>
      </c>
      <c r="H779" s="22">
        <v>97.4</v>
      </c>
      <c r="I779" s="15">
        <f>F779*H779/100</f>
        <v>292200</v>
      </c>
      <c r="J779" s="16">
        <f>I779</f>
        <v>292200</v>
      </c>
      <c r="K779" s="15" t="e">
        <f ca="1">J779*L779</f>
        <v>#NAME?</v>
      </c>
      <c r="L779" s="22" t="e">
        <f ca="1">_xll.BDH("RUB curncy","PX_LAST",$N779)</f>
        <v>#NAME?</v>
      </c>
      <c r="M779" s="85" t="e">
        <f ca="1">1/_xll.BDH("RUB curncy","PX_LAST",$N779)</f>
        <v>#NAME?</v>
      </c>
      <c r="N779" s="14">
        <v>41631</v>
      </c>
    </row>
    <row r="780" spans="2:14" x14ac:dyDescent="0.2">
      <c r="B780" s="71"/>
      <c r="C780" s="72"/>
      <c r="D780" s="73"/>
      <c r="E780" s="73"/>
      <c r="F780" s="79">
        <f>SUM(F775:F779)</f>
        <v>1150000</v>
      </c>
      <c r="G780" s="73"/>
      <c r="H780" s="80">
        <f>I780/F780*100</f>
        <v>87.147826086956528</v>
      </c>
      <c r="I780" s="79">
        <f>SUM(I775:I779)</f>
        <v>1002200</v>
      </c>
      <c r="J780" s="79">
        <f>SUM(J775:J779)</f>
        <v>1002200</v>
      </c>
      <c r="K780" s="79" t="e">
        <f ca="1">SUM(K775:K779)</f>
        <v>#NAME?</v>
      </c>
      <c r="L780" s="75"/>
      <c r="M780" s="86"/>
      <c r="N780" s="14"/>
    </row>
    <row r="781" spans="2:14" x14ac:dyDescent="0.2">
      <c r="B781" s="21"/>
      <c r="C781" s="20"/>
      <c r="D781" s="18"/>
      <c r="E781" s="18"/>
      <c r="F781" s="19"/>
      <c r="G781" s="18"/>
      <c r="H781" s="22"/>
      <c r="I781" s="15"/>
      <c r="J781" s="16"/>
      <c r="K781" s="15"/>
      <c r="L781" s="22"/>
      <c r="M781" s="85"/>
      <c r="N781" s="14"/>
    </row>
    <row r="782" spans="2:14" x14ac:dyDescent="0.2">
      <c r="B782" s="21" t="s">
        <v>126</v>
      </c>
      <c r="C782" s="20" t="s">
        <v>164</v>
      </c>
      <c r="D782" s="18" t="e">
        <f ca="1">_xll.BDP(C782,"SECURITY_NAME")</f>
        <v>#NAME?</v>
      </c>
      <c r="E782" s="18" t="s">
        <v>50</v>
      </c>
      <c r="F782" s="19">
        <v>300000</v>
      </c>
      <c r="G782" s="18" t="e">
        <f ca="1">_xll.BDP(C782,"CRNCY")</f>
        <v>#NAME?</v>
      </c>
      <c r="H782" s="22">
        <v>100.3</v>
      </c>
      <c r="I782" s="15">
        <f>F782*H782/100</f>
        <v>300900</v>
      </c>
      <c r="J782" s="16">
        <f>I782</f>
        <v>300900</v>
      </c>
      <c r="K782" s="15" t="e">
        <f ca="1">J782*L782</f>
        <v>#NAME?</v>
      </c>
      <c r="L782" s="22" t="e">
        <f ca="1">_xll.BDH("RUB curncy","PX_LAST",$N782)</f>
        <v>#NAME?</v>
      </c>
      <c r="M782" s="85" t="e">
        <f ca="1">1/_xll.BDH("RUB curncy","PX_LAST",$N782)</f>
        <v>#NAME?</v>
      </c>
      <c r="N782" s="14">
        <v>41631</v>
      </c>
    </row>
    <row r="783" spans="2:14" x14ac:dyDescent="0.2">
      <c r="B783" s="71"/>
      <c r="C783" s="72"/>
      <c r="D783" s="73"/>
      <c r="E783" s="73"/>
      <c r="F783" s="79">
        <f>SUM(F782)</f>
        <v>300000</v>
      </c>
      <c r="G783" s="73"/>
      <c r="H783" s="80">
        <f>I783/F783*100</f>
        <v>100.29999999999998</v>
      </c>
      <c r="I783" s="79">
        <f>SUM(I782)</f>
        <v>300900</v>
      </c>
      <c r="J783" s="79">
        <f>SUM(J782)</f>
        <v>300900</v>
      </c>
      <c r="K783" s="79" t="e">
        <f ca="1">SUM(K782)</f>
        <v>#NAME?</v>
      </c>
      <c r="L783" s="75"/>
      <c r="M783" s="86"/>
      <c r="N783" s="14"/>
    </row>
    <row r="784" spans="2:14" x14ac:dyDescent="0.2">
      <c r="B784" s="21"/>
      <c r="C784" s="20"/>
      <c r="D784" s="18"/>
      <c r="E784" s="18"/>
      <c r="F784" s="19"/>
      <c r="G784" s="18"/>
      <c r="H784" s="22"/>
      <c r="I784" s="15"/>
      <c r="J784" s="16"/>
      <c r="K784" s="15"/>
      <c r="L784" s="22"/>
      <c r="M784" s="85"/>
      <c r="N784" s="14"/>
    </row>
    <row r="785" spans="2:14" x14ac:dyDescent="0.2">
      <c r="B785" s="21" t="s">
        <v>126</v>
      </c>
      <c r="C785" s="20" t="s">
        <v>162</v>
      </c>
      <c r="D785" s="18" t="e">
        <f ca="1">_xll.BDP(C785,"SECURITY_NAME")</f>
        <v>#NAME?</v>
      </c>
      <c r="E785" s="18" t="s">
        <v>50</v>
      </c>
      <c r="F785" s="19">
        <v>500000</v>
      </c>
      <c r="G785" s="18" t="e">
        <f ca="1">_xll.BDP(C785,"CRNCY")</f>
        <v>#NAME?</v>
      </c>
      <c r="H785" s="22">
        <v>98.947000000000003</v>
      </c>
      <c r="I785" s="15">
        <f>F785*H785/100</f>
        <v>494735</v>
      </c>
      <c r="J785" s="16">
        <f>I785</f>
        <v>494735</v>
      </c>
      <c r="K785" s="15" t="e">
        <f ca="1">J785*L785</f>
        <v>#NAME?</v>
      </c>
      <c r="L785" s="22" t="e">
        <f ca="1">_xll.BDH("RUB curncy","PX_LAST",$N785)</f>
        <v>#NAME?</v>
      </c>
      <c r="M785" s="85" t="e">
        <f ca="1">1/_xll.BDH("RUB curncy","PX_LAST",$N785)</f>
        <v>#NAME?</v>
      </c>
      <c r="N785" s="14">
        <v>41617</v>
      </c>
    </row>
    <row r="786" spans="2:14" x14ac:dyDescent="0.2">
      <c r="B786" s="71"/>
      <c r="C786" s="72"/>
      <c r="D786" s="73"/>
      <c r="E786" s="73"/>
      <c r="F786" s="79">
        <f>SUM(F785)</f>
        <v>500000</v>
      </c>
      <c r="G786" s="73"/>
      <c r="H786" s="80">
        <f>I786/F786*100</f>
        <v>98.947000000000003</v>
      </c>
      <c r="I786" s="79">
        <f>SUM(I785)</f>
        <v>494735</v>
      </c>
      <c r="J786" s="79">
        <f>SUM(J785)</f>
        <v>494735</v>
      </c>
      <c r="K786" s="79" t="e">
        <f ca="1">SUM(K785)</f>
        <v>#NAME?</v>
      </c>
      <c r="L786" s="75"/>
      <c r="M786" s="86"/>
      <c r="N786" s="14"/>
    </row>
    <row r="787" spans="2:14" x14ac:dyDescent="0.2">
      <c r="B787" s="71"/>
      <c r="C787" s="72"/>
      <c r="D787" s="73"/>
      <c r="E787" s="73"/>
      <c r="F787" s="74"/>
      <c r="G787" s="73"/>
      <c r="H787" s="75"/>
      <c r="I787" s="76"/>
      <c r="J787" s="77"/>
      <c r="K787" s="76"/>
      <c r="L787" s="75"/>
      <c r="M787" s="86"/>
      <c r="N787" s="14"/>
    </row>
    <row r="788" spans="2:14" x14ac:dyDescent="0.2">
      <c r="B788" s="21" t="s">
        <v>126</v>
      </c>
      <c r="C788" s="20" t="s">
        <v>161</v>
      </c>
      <c r="D788" s="18" t="e">
        <f ca="1">_xll.BDP(C788,"SECURITY_NAME")</f>
        <v>#NAME?</v>
      </c>
      <c r="E788" s="18" t="s">
        <v>50</v>
      </c>
      <c r="F788" s="19">
        <v>500000</v>
      </c>
      <c r="G788" s="18" t="e">
        <f ca="1">_xll.BDP(C788,"CRNCY")</f>
        <v>#NAME?</v>
      </c>
      <c r="H788" s="22">
        <v>90.5</v>
      </c>
      <c r="I788" s="15">
        <f>F788*H788/100</f>
        <v>452500</v>
      </c>
      <c r="J788" s="16">
        <f>I788</f>
        <v>452500</v>
      </c>
      <c r="K788" s="15" t="e">
        <f ca="1">J788*L788</f>
        <v>#NAME?</v>
      </c>
      <c r="L788" s="22" t="e">
        <f ca="1">_xll.BDH("RUB curncy","PX_LAST",$N788)</f>
        <v>#NAME?</v>
      </c>
      <c r="M788" s="85" t="e">
        <f ca="1">1/_xll.BDH("RUB curncy","PX_LAST",$N788)</f>
        <v>#NAME?</v>
      </c>
      <c r="N788" s="14">
        <v>41607</v>
      </c>
    </row>
    <row r="789" spans="2:14" x14ac:dyDescent="0.2">
      <c r="B789" s="71"/>
      <c r="C789" s="72"/>
      <c r="D789" s="73"/>
      <c r="E789" s="73"/>
      <c r="F789" s="79">
        <f>SUM(F788)</f>
        <v>500000</v>
      </c>
      <c r="G789" s="73"/>
      <c r="H789" s="80">
        <f>I789/F789*100</f>
        <v>90.5</v>
      </c>
      <c r="I789" s="79">
        <f>SUM(I788)</f>
        <v>452500</v>
      </c>
      <c r="J789" s="79">
        <f>SUM(J788)</f>
        <v>452500</v>
      </c>
      <c r="K789" s="79" t="e">
        <f ca="1">SUM(K788)</f>
        <v>#NAME?</v>
      </c>
      <c r="L789" s="75"/>
      <c r="M789" s="86"/>
      <c r="N789" s="14"/>
    </row>
    <row r="790" spans="2:14" x14ac:dyDescent="0.2">
      <c r="B790" s="71"/>
      <c r="C790" s="72"/>
      <c r="D790" s="73"/>
      <c r="E790" s="73"/>
      <c r="F790" s="74"/>
      <c r="G790" s="73"/>
      <c r="H790" s="75"/>
      <c r="I790" s="76"/>
      <c r="J790" s="77"/>
      <c r="K790" s="76"/>
      <c r="L790" s="75"/>
      <c r="M790" s="86"/>
      <c r="N790" s="14"/>
    </row>
    <row r="791" spans="2:14" x14ac:dyDescent="0.2">
      <c r="B791" s="21" t="s">
        <v>126</v>
      </c>
      <c r="C791" s="20" t="s">
        <v>159</v>
      </c>
      <c r="D791" s="18" t="e">
        <f ca="1">_xll.BDP(C791,"SECURITY_NAME")</f>
        <v>#NAME?</v>
      </c>
      <c r="E791" s="18" t="s">
        <v>50</v>
      </c>
      <c r="F791" s="19">
        <v>300000</v>
      </c>
      <c r="G791" s="18" t="e">
        <f ca="1">_xll.BDP(C791,"CRNCY")</f>
        <v>#NAME?</v>
      </c>
      <c r="H791" s="22">
        <v>101</v>
      </c>
      <c r="I791" s="15">
        <f>F791*H791/100</f>
        <v>303000</v>
      </c>
      <c r="J791" s="16">
        <f>I791</f>
        <v>303000</v>
      </c>
      <c r="K791" s="15" t="e">
        <f ca="1">J791*L791</f>
        <v>#NAME?</v>
      </c>
      <c r="L791" s="22" t="e">
        <f ca="1">_xll.BDH("RUB curncy","PX_LAST",$N791)</f>
        <v>#NAME?</v>
      </c>
      <c r="M791" s="85" t="e">
        <f ca="1">1/_xll.BDH("RUB curncy","PX_LAST",$N791)</f>
        <v>#NAME?</v>
      </c>
      <c r="N791" s="14">
        <v>41599</v>
      </c>
    </row>
    <row r="792" spans="2:14" x14ac:dyDescent="0.2">
      <c r="B792" s="71"/>
      <c r="C792" s="72"/>
      <c r="D792" s="73"/>
      <c r="E792" s="73"/>
      <c r="F792" s="79">
        <f>SUM(F791)</f>
        <v>300000</v>
      </c>
      <c r="G792" s="73"/>
      <c r="H792" s="80">
        <f>I792/F792*100</f>
        <v>101</v>
      </c>
      <c r="I792" s="79">
        <f>SUM(I791)</f>
        <v>303000</v>
      </c>
      <c r="J792" s="79">
        <f>SUM(J791)</f>
        <v>303000</v>
      </c>
      <c r="K792" s="79" t="e">
        <f ca="1">SUM(K791)</f>
        <v>#NAME?</v>
      </c>
      <c r="L792" s="75"/>
      <c r="M792" s="86"/>
      <c r="N792" s="14"/>
    </row>
    <row r="793" spans="2:14" x14ac:dyDescent="0.2">
      <c r="B793" s="71"/>
      <c r="C793" s="72"/>
      <c r="D793" s="73"/>
      <c r="E793" s="73"/>
      <c r="F793" s="79"/>
      <c r="G793" s="73"/>
      <c r="H793" s="80"/>
      <c r="I793" s="79"/>
      <c r="J793" s="79"/>
      <c r="K793" s="79"/>
      <c r="L793" s="75"/>
      <c r="M793" s="86"/>
      <c r="N793" s="14"/>
    </row>
    <row r="794" spans="2:14" x14ac:dyDescent="0.2">
      <c r="B794" s="21" t="s">
        <v>126</v>
      </c>
      <c r="C794" s="20" t="s">
        <v>157</v>
      </c>
      <c r="D794" s="18" t="e">
        <f ca="1">_xll.BDP(C794,"SECURITY_NAME")</f>
        <v>#NAME?</v>
      </c>
      <c r="E794" s="18" t="s">
        <v>50</v>
      </c>
      <c r="F794" s="19">
        <v>500000</v>
      </c>
      <c r="G794" s="18" t="e">
        <f ca="1">_xll.BDP(C794,"CRNCY")</f>
        <v>#NAME?</v>
      </c>
      <c r="H794" s="22">
        <v>91</v>
      </c>
      <c r="I794" s="15">
        <f>F794*H794/100</f>
        <v>455000</v>
      </c>
      <c r="J794" s="16">
        <f>I794</f>
        <v>455000</v>
      </c>
      <c r="K794" s="15" t="e">
        <f ca="1">J794*L794</f>
        <v>#NAME?</v>
      </c>
      <c r="L794" s="22" t="e">
        <f ca="1">_xll.BDH("RUB curncy","PX_LAST",$N794)</f>
        <v>#NAME?</v>
      </c>
      <c r="M794" s="85" t="e">
        <f ca="1">1/_xll.BDH("RUB curncy","PX_LAST",$N794)</f>
        <v>#NAME?</v>
      </c>
      <c r="N794" s="14">
        <v>41653</v>
      </c>
    </row>
    <row r="795" spans="2:14" x14ac:dyDescent="0.2">
      <c r="B795" s="21" t="s">
        <v>126</v>
      </c>
      <c r="C795" s="20" t="s">
        <v>157</v>
      </c>
      <c r="D795" s="18" t="e">
        <f ca="1">_xll.BDP(C795,"SECURITY_NAME")</f>
        <v>#NAME?</v>
      </c>
      <c r="E795" s="18" t="s">
        <v>50</v>
      </c>
      <c r="F795" s="19">
        <v>1000000</v>
      </c>
      <c r="G795" s="18" t="e">
        <f ca="1">_xll.BDP(C795,"CRNCY")</f>
        <v>#NAME?</v>
      </c>
      <c r="H795" s="22">
        <v>84.95</v>
      </c>
      <c r="I795" s="15">
        <f>F795*H795/100</f>
        <v>849500</v>
      </c>
      <c r="J795" s="16">
        <f>I795</f>
        <v>849500</v>
      </c>
      <c r="K795" s="15" t="e">
        <f ca="1">J795*L795</f>
        <v>#NAME?</v>
      </c>
      <c r="L795" s="22" t="e">
        <f ca="1">_xll.BDH("RUB curncy","PX_LAST",$N795)</f>
        <v>#NAME?</v>
      </c>
      <c r="M795" s="85" t="e">
        <f ca="1">1/_xll.BDH("RUB curncy","PX_LAST",$N795)</f>
        <v>#NAME?</v>
      </c>
      <c r="N795" s="14">
        <v>41600</v>
      </c>
    </row>
    <row r="796" spans="2:14" x14ac:dyDescent="0.2">
      <c r="B796" s="21" t="s">
        <v>126</v>
      </c>
      <c r="C796" s="20" t="s">
        <v>157</v>
      </c>
      <c r="D796" s="18" t="e">
        <f ca="1">_xll.BDP(C796,"SECURITY_NAME")</f>
        <v>#NAME?</v>
      </c>
      <c r="E796" s="18" t="s">
        <v>50</v>
      </c>
      <c r="F796" s="19">
        <v>500000</v>
      </c>
      <c r="G796" s="18" t="e">
        <f ca="1">_xll.BDP(C796,"CRNCY")</f>
        <v>#NAME?</v>
      </c>
      <c r="H796" s="22">
        <v>85</v>
      </c>
      <c r="I796" s="15">
        <f>F796*H796/100</f>
        <v>425000</v>
      </c>
      <c r="J796" s="16">
        <f>I796</f>
        <v>425000</v>
      </c>
      <c r="K796" s="15" t="e">
        <f ca="1">J796*L796</f>
        <v>#NAME?</v>
      </c>
      <c r="L796" s="22" t="e">
        <f ca="1">_xll.BDH("RUB curncy","PX_LAST",$N796)</f>
        <v>#NAME?</v>
      </c>
      <c r="M796" s="85" t="e">
        <f ca="1">1/_xll.BDH("RUB curncy","PX_LAST",$N796)</f>
        <v>#NAME?</v>
      </c>
      <c r="N796" s="14">
        <v>41591</v>
      </c>
    </row>
    <row r="797" spans="2:14" x14ac:dyDescent="0.2">
      <c r="B797" s="71"/>
      <c r="C797" s="72"/>
      <c r="D797" s="73"/>
      <c r="E797" s="73"/>
      <c r="F797" s="79">
        <f>SUM(F794:F796)</f>
        <v>2000000</v>
      </c>
      <c r="G797" s="73"/>
      <c r="H797" s="80">
        <f>I797/F797*100</f>
        <v>86.475000000000009</v>
      </c>
      <c r="I797" s="79">
        <f>SUM(I794:I796)</f>
        <v>1729500</v>
      </c>
      <c r="J797" s="79">
        <f>SUM(J794:J796)</f>
        <v>1729500</v>
      </c>
      <c r="K797" s="79" t="e">
        <f ca="1">SUM(K794:K796)</f>
        <v>#NAME?</v>
      </c>
      <c r="L797" s="75"/>
      <c r="M797" s="86"/>
      <c r="N797" s="14"/>
    </row>
    <row r="798" spans="2:14" x14ac:dyDescent="0.2">
      <c r="B798" s="71"/>
      <c r="C798" s="72"/>
      <c r="D798" s="73"/>
      <c r="E798" s="73"/>
      <c r="F798" s="74"/>
      <c r="G798" s="73"/>
      <c r="H798" s="75"/>
      <c r="I798" s="76"/>
      <c r="J798" s="77"/>
      <c r="K798" s="76"/>
      <c r="L798" s="75"/>
      <c r="M798" s="86"/>
      <c r="N798" s="14"/>
    </row>
    <row r="799" spans="2:14" x14ac:dyDescent="0.2">
      <c r="B799" s="21" t="s">
        <v>126</v>
      </c>
      <c r="C799" s="20" t="s">
        <v>156</v>
      </c>
      <c r="D799" s="18" t="e">
        <f ca="1">_xll.BDP(C799,"SECURITY_NAME")</f>
        <v>#NAME?</v>
      </c>
      <c r="E799" s="18" t="s">
        <v>50</v>
      </c>
      <c r="F799" s="19">
        <v>500000</v>
      </c>
      <c r="G799" s="18" t="e">
        <f ca="1">_xll.BDP(C799,"CRNCY")</f>
        <v>#NAME?</v>
      </c>
      <c r="H799" s="22">
        <v>100</v>
      </c>
      <c r="I799" s="15">
        <f>F799*H799/100</f>
        <v>500000</v>
      </c>
      <c r="J799" s="16">
        <f>I799</f>
        <v>500000</v>
      </c>
      <c r="K799" s="15" t="e">
        <f ca="1">J799*L799</f>
        <v>#NAME?</v>
      </c>
      <c r="L799" s="22" t="e">
        <f ca="1">_xll.BDH("RUB curncy","PX_LAST",$N799)</f>
        <v>#NAME?</v>
      </c>
      <c r="M799" s="85" t="e">
        <f ca="1">1/_xll.BDH("RUB curncy","PX_LAST",$N799)</f>
        <v>#NAME?</v>
      </c>
      <c r="N799" s="14">
        <v>41542</v>
      </c>
    </row>
    <row r="800" spans="2:14" x14ac:dyDescent="0.2">
      <c r="B800" s="71"/>
      <c r="C800" s="72"/>
      <c r="D800" s="73"/>
      <c r="E800" s="73"/>
      <c r="F800" s="79">
        <f>SUM(F799)</f>
        <v>500000</v>
      </c>
      <c r="G800" s="73"/>
      <c r="H800" s="80">
        <f>I800/F800*100</f>
        <v>100</v>
      </c>
      <c r="I800" s="79">
        <f>SUM(I799)</f>
        <v>500000</v>
      </c>
      <c r="J800" s="79">
        <f>SUM(J799)</f>
        <v>500000</v>
      </c>
      <c r="K800" s="79" t="e">
        <f ca="1">SUM(K799)</f>
        <v>#NAME?</v>
      </c>
      <c r="L800" s="75"/>
      <c r="M800" s="86"/>
      <c r="N800" s="14"/>
    </row>
    <row r="801" spans="2:14" x14ac:dyDescent="0.2">
      <c r="B801" s="71"/>
      <c r="C801" s="72"/>
      <c r="D801" s="73"/>
      <c r="E801" s="73"/>
      <c r="F801" s="74"/>
      <c r="G801" s="73"/>
      <c r="H801" s="75"/>
      <c r="I801" s="76"/>
      <c r="J801" s="77"/>
      <c r="K801" s="76"/>
      <c r="L801" s="75"/>
      <c r="M801" s="86"/>
      <c r="N801" s="14"/>
    </row>
    <row r="802" spans="2:14" x14ac:dyDescent="0.2">
      <c r="B802" s="21" t="s">
        <v>126</v>
      </c>
      <c r="C802" s="20" t="s">
        <v>148</v>
      </c>
      <c r="D802" s="18" t="e">
        <f ca="1">_xll.BDP(C802,"SECURITY_NAME")</f>
        <v>#NAME?</v>
      </c>
      <c r="E802" s="18" t="s">
        <v>50</v>
      </c>
      <c r="F802" s="19">
        <v>500000</v>
      </c>
      <c r="G802" s="18" t="e">
        <f ca="1">_xll.BDP(C802,"CRNCY")</f>
        <v>#NAME?</v>
      </c>
      <c r="H802" s="22">
        <v>101</v>
      </c>
      <c r="I802" s="15">
        <f>F802*H802/100</f>
        <v>505000</v>
      </c>
      <c r="J802" s="16">
        <f>I802</f>
        <v>505000</v>
      </c>
      <c r="K802" s="15" t="e">
        <f ca="1">J802*L802</f>
        <v>#NAME?</v>
      </c>
      <c r="L802" s="22" t="e">
        <f ca="1">_xll.BDH("RUB curncy","PX_LAST",$N802)</f>
        <v>#NAME?</v>
      </c>
      <c r="M802" s="85" t="e">
        <f ca="1">1/_xll.BDH("RUB curncy","PX_LAST",$N802)</f>
        <v>#NAME?</v>
      </c>
      <c r="N802" s="14">
        <v>41011</v>
      </c>
    </row>
    <row r="803" spans="2:14" x14ac:dyDescent="0.2">
      <c r="B803" s="71"/>
      <c r="C803" s="72"/>
      <c r="D803" s="73">
        <f>E803/F803</f>
        <v>0.82</v>
      </c>
      <c r="E803" s="73">
        <v>410000</v>
      </c>
      <c r="F803" s="79">
        <f>SUM(F802)</f>
        <v>500000</v>
      </c>
      <c r="G803" s="73"/>
      <c r="H803" s="80">
        <f>I803/F803*100</f>
        <v>101</v>
      </c>
      <c r="I803" s="79">
        <f>SUM(I802)</f>
        <v>505000</v>
      </c>
      <c r="J803" s="79">
        <f>SUM(J802)</f>
        <v>505000</v>
      </c>
      <c r="K803" s="79" t="e">
        <f ca="1">SUM(K802)*D803</f>
        <v>#NAME?</v>
      </c>
      <c r="L803" s="75"/>
      <c r="M803" s="86"/>
      <c r="N803" s="14"/>
    </row>
    <row r="804" spans="2:14" x14ac:dyDescent="0.2">
      <c r="B804" s="110"/>
      <c r="C804" s="110"/>
      <c r="D804" s="110"/>
      <c r="E804" s="110"/>
      <c r="F804" s="110"/>
      <c r="G804" s="110"/>
      <c r="H804" s="110"/>
      <c r="I804" s="110"/>
      <c r="J804" s="110"/>
      <c r="K804" s="110"/>
      <c r="L804" s="110"/>
      <c r="M804" s="110"/>
      <c r="N804" s="110"/>
    </row>
    <row r="805" spans="2:14" x14ac:dyDescent="0.2">
      <c r="H805" s="10"/>
    </row>
    <row r="806" spans="2:14" x14ac:dyDescent="0.2">
      <c r="H806" s="10"/>
    </row>
    <row r="808" spans="2:14" x14ac:dyDescent="0.2">
      <c r="H808" s="10"/>
    </row>
    <row r="809" spans="2:14" x14ac:dyDescent="0.2">
      <c r="H809" s="10"/>
    </row>
    <row r="810" spans="2:14" x14ac:dyDescent="0.2">
      <c r="L810" s="10"/>
    </row>
    <row r="811" spans="2:14" x14ac:dyDescent="0.2">
      <c r="L811" s="10"/>
    </row>
    <row r="812" spans="2:14" x14ac:dyDescent="0.2">
      <c r="L812" s="13"/>
    </row>
    <row r="814" spans="2:14" x14ac:dyDescent="0.2">
      <c r="L814" s="12"/>
    </row>
    <row r="818" spans="7:7" x14ac:dyDescent="0.2">
      <c r="G818" s="10"/>
    </row>
    <row r="819" spans="7:7" x14ac:dyDescent="0.2">
      <c r="G819" s="11"/>
    </row>
    <row r="822" spans="7:7" x14ac:dyDescent="0.2">
      <c r="G822" s="10"/>
    </row>
  </sheetData>
  <sortState ref="A4:W45">
    <sortCondition descending="1" ref="I4:I45"/>
  </sortState>
  <conditionalFormatting sqref="M1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{D0E2487B-C2D8-4F4A-BE00-2FC69A31975C}</x14:id>
        </ext>
      </extLst>
    </cfRule>
  </conditionalFormatting>
  <conditionalFormatting sqref="I4:I70">
    <cfRule type="dataBar" priority="33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{284A9312-3BFF-4510-A6E8-FC030A99462F}</x14:id>
        </ext>
      </extLst>
    </cfRule>
  </conditionalFormatting>
  <conditionalFormatting sqref="T4:T70">
    <cfRule type="dataBar" priority="33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{B156914E-B9DD-42D1-8271-7E78118ECC79}</x14:id>
        </ext>
      </extLst>
    </cfRule>
  </conditionalFormatting>
  <conditionalFormatting sqref="L4:M70">
    <cfRule type="dataBar" priority="33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{304501F6-7793-41E5-8D84-3C12DDF1CE6D}</x14:id>
        </ext>
      </extLst>
    </cfRule>
  </conditionalFormatting>
  <conditionalFormatting sqref="L4:M70">
    <cfRule type="dataBar" priority="339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{81EBD642-5CD8-4A01-B172-1C87BE560951}</x14:id>
        </ext>
      </extLst>
    </cfRule>
  </conditionalFormatting>
  <conditionalFormatting sqref="I4:I72">
    <cfRule type="dataBar" priority="33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{4B39A21B-A262-4F9D-952A-AE398BBC73D4}</x14:id>
        </ext>
      </extLst>
    </cfRule>
  </conditionalFormatting>
  <conditionalFormatting sqref="L4:L72">
    <cfRule type="dataBar" priority="339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{1C16B219-5F8B-44E9-B924-39D16D13521F}</x14:id>
        </ext>
      </extLst>
    </cfRule>
  </conditionalFormatting>
  <conditionalFormatting sqref="M4:M72">
    <cfRule type="dataBar" priority="339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{9416C755-9E94-4CC6-BE08-FB44FABC08A5}</x14:id>
        </ext>
      </extLst>
    </cfRule>
  </conditionalFormatting>
  <conditionalFormatting sqref="T4:T72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{80C3CBE8-BC62-4496-AAA7-3C444E426A6B}</x14:id>
        </ext>
      </extLst>
    </cfRule>
  </conditionalFormatting>
  <conditionalFormatting sqref="L3:M72">
    <cfRule type="dataBar" priority="339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{B551F75B-5130-434D-9436-DB6E00568B7D}</x14:id>
        </ext>
      </extLst>
    </cfRule>
  </conditionalFormatting>
  <conditionalFormatting sqref="M25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{6E367887-5243-46B0-A897-22CA64425ABF}</x14:id>
        </ext>
      </extLst>
    </cfRule>
  </conditionalFormatting>
  <conditionalFormatting sqref="M2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{42911904-CB7C-4EF0-8294-3B8AC6024B99}</x14:id>
        </ext>
      </extLst>
    </cfRule>
  </conditionalFormatting>
  <conditionalFormatting sqref="M2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{8D709C0E-5EDD-4A52-B34B-441B256FA920}</x14:id>
        </ext>
      </extLst>
    </cfRule>
  </conditionalFormatting>
  <conditionalFormatting sqref="M25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{4D8CA20C-3498-4CC0-8FD3-4EB5032114C8}</x14:id>
        </ext>
      </extLst>
    </cfRule>
  </conditionalFormatting>
  <pageMargins left="0.25" right="0.25" top="0.75" bottom="0.75" header="0.3" footer="0.3"/>
  <pageSetup paperSize="8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2487B-C2D8-4F4A-BE00-2FC69A3197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284A9312-3BFF-4510-A6E8-FC030A9946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I4:I70</xm:sqref>
        </x14:conditionalFormatting>
        <x14:conditionalFormatting xmlns:xm="http://schemas.microsoft.com/office/excel/2006/main">
          <x14:cfRule type="dataBar" id="{B156914E-B9DD-42D1-8271-7E78118ECC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T4:T70</xm:sqref>
        </x14:conditionalFormatting>
        <x14:conditionalFormatting xmlns:xm="http://schemas.microsoft.com/office/excel/2006/main">
          <x14:cfRule type="dataBar" id="{304501F6-7793-41E5-8D84-3C12DDF1CE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81EBD642-5CD8-4A01-B172-1C87BE560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L4:M70</xm:sqref>
        </x14:conditionalFormatting>
        <x14:conditionalFormatting xmlns:xm="http://schemas.microsoft.com/office/excel/2006/main">
          <x14:cfRule type="dataBar" id="{4B39A21B-A262-4F9D-952A-AE398BBC73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I4:I72</xm:sqref>
        </x14:conditionalFormatting>
        <x14:conditionalFormatting xmlns:xm="http://schemas.microsoft.com/office/excel/2006/main">
          <x14:cfRule type="dataBar" id="{1C16B219-5F8B-44E9-B924-39D16D1352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L4:L72</xm:sqref>
        </x14:conditionalFormatting>
        <x14:conditionalFormatting xmlns:xm="http://schemas.microsoft.com/office/excel/2006/main">
          <x14:cfRule type="dataBar" id="{9416C755-9E94-4CC6-BE08-FB44FABC08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M4:M72</xm:sqref>
        </x14:conditionalFormatting>
        <x14:conditionalFormatting xmlns:xm="http://schemas.microsoft.com/office/excel/2006/main">
          <x14:cfRule type="dataBar" id="{80C3CBE8-BC62-4496-AAA7-3C444E426A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T4:T72</xm:sqref>
        </x14:conditionalFormatting>
        <x14:conditionalFormatting xmlns:xm="http://schemas.microsoft.com/office/excel/2006/main">
          <x14:cfRule type="dataBar" id="{B551F75B-5130-434D-9436-DB6E00568B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L3:M72</xm:sqref>
        </x14:conditionalFormatting>
        <x14:conditionalFormatting xmlns:xm="http://schemas.microsoft.com/office/excel/2006/main">
          <x14:cfRule type="dataBar" id="{6E367887-5243-46B0-A897-22CA64425A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2911904-CB7C-4EF0-8294-3B8AC6024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D709C0E-5EDD-4A52-B34B-441B256FA9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4D8CA20C-3498-4CC0-8FD3-4EB5032114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iconSet" priority="33806" id="{278D608E-09BD-4159-B0F3-D2BC404DEF3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J4:J70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  <pageSetUpPr fitToPage="1"/>
  </sheetPr>
  <dimension ref="A1:AC442"/>
  <sheetViews>
    <sheetView topLeftCell="A19" workbookViewId="0">
      <selection activeCell="P57" sqref="P57"/>
    </sheetView>
  </sheetViews>
  <sheetFormatPr defaultRowHeight="12.75" x14ac:dyDescent="0.2"/>
  <cols>
    <col min="1" max="1" width="3.5703125" style="32" customWidth="1"/>
    <col min="2" max="2" width="22" style="32" customWidth="1"/>
    <col min="3" max="3" width="16.28515625" style="32" customWidth="1"/>
    <col min="4" max="4" width="20.85546875" style="32" customWidth="1"/>
    <col min="5" max="5" width="11.140625" style="49" customWidth="1"/>
    <col min="6" max="6" width="11" style="49" customWidth="1"/>
    <col min="7" max="7" width="10.140625" style="32" customWidth="1"/>
    <col min="8" max="8" width="12" style="32" customWidth="1"/>
    <col min="9" max="9" width="11.5703125" style="32" customWidth="1"/>
    <col min="10" max="10" width="12.140625" style="32" customWidth="1"/>
    <col min="11" max="11" width="14.7109375" style="32" customWidth="1"/>
    <col min="12" max="12" width="12" style="49" customWidth="1"/>
    <col min="13" max="13" width="11.140625" style="32" customWidth="1"/>
    <col min="14" max="14" width="10.85546875" style="32" customWidth="1"/>
    <col min="15" max="15" width="10.28515625" style="32" customWidth="1"/>
    <col min="16" max="16" width="11.140625" style="32" bestFit="1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2.5703125" style="32" customWidth="1"/>
    <col min="21" max="21" width="12.85546875" style="32" customWidth="1"/>
    <col min="22" max="23" width="11.28515625" style="32" customWidth="1"/>
    <col min="24" max="24" width="11.5703125" style="32" hidden="1" customWidth="1"/>
    <col min="25" max="25" width="11.140625" style="32" hidden="1" customWidth="1"/>
    <col min="26" max="26" width="11.28515625" style="32" hidden="1" customWidth="1"/>
    <col min="27" max="27" width="15.5703125" style="32" hidden="1" customWidth="1"/>
    <col min="28" max="29" width="10.140625" style="32" bestFit="1" customWidth="1"/>
    <col min="30" max="30" width="9.140625" style="32"/>
    <col min="31" max="31" width="9.140625" style="32" customWidth="1"/>
    <col min="32" max="16384" width="9.140625" style="32"/>
  </cols>
  <sheetData>
    <row r="1" spans="1:29" x14ac:dyDescent="0.2">
      <c r="B1" s="146" t="s">
        <v>459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458</v>
      </c>
      <c r="F2" s="180" t="e">
        <f ca="1">_xll.BDP($E$2,"PX last")</f>
        <v>#NAME?</v>
      </c>
      <c r="G2" s="144">
        <v>42247</v>
      </c>
      <c r="H2" s="9" t="e">
        <f ca="1">_xll.BDH($H$1,"PX_LAST",G2)</f>
        <v>#NAME?</v>
      </c>
    </row>
    <row r="3" spans="1:29" s="626" customFormat="1" ht="89.25" x14ac:dyDescent="0.25">
      <c r="A3" s="626" t="s">
        <v>416</v>
      </c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748</v>
      </c>
      <c r="T3" s="394" t="s">
        <v>746</v>
      </c>
      <c r="U3" s="394" t="s">
        <v>747</v>
      </c>
      <c r="V3" s="394" t="s">
        <v>128</v>
      </c>
      <c r="W3" s="394" t="s">
        <v>129</v>
      </c>
      <c r="X3" s="394" t="s">
        <v>130</v>
      </c>
      <c r="Y3" s="394" t="s">
        <v>131</v>
      </c>
      <c r="Z3" s="394" t="s">
        <v>132</v>
      </c>
      <c r="AA3" s="394" t="s">
        <v>233</v>
      </c>
      <c r="AB3" s="619" t="s">
        <v>778</v>
      </c>
      <c r="AC3" s="619" t="s">
        <v>779</v>
      </c>
    </row>
    <row r="4" spans="1:29" s="733" customFormat="1" ht="15" x14ac:dyDescent="0.25">
      <c r="A4" s="103" t="s">
        <v>417</v>
      </c>
      <c r="B4" s="46" t="s">
        <v>835</v>
      </c>
      <c r="C4" s="103" t="s">
        <v>59</v>
      </c>
      <c r="D4" s="44" t="e">
        <f t="shared" ref="D4:D19" ca="1" si="0">Q4/$Q$20</f>
        <v>#NAME?</v>
      </c>
      <c r="E4" s="43">
        <f>$F$167</f>
        <v>202000</v>
      </c>
      <c r="F4" s="750" t="e">
        <f ca="1">$H$167</f>
        <v>#NAME?</v>
      </c>
      <c r="G4" s="750" t="e">
        <f ca="1">_xll.BDP($C4,"PX_LAST")</f>
        <v>#NAME?</v>
      </c>
      <c r="H4" s="38" t="e">
        <f ca="1">_xll.BDP($C4,"BEST_TARGET_PRICE")</f>
        <v>#NAME?</v>
      </c>
      <c r="I4" s="414" t="e">
        <f t="shared" ref="I4:I14" ca="1" si="1">H4/G4-1</f>
        <v>#NAME?</v>
      </c>
      <c r="J4" s="38" t="e">
        <f ca="1">_xll.BDP($C4,"EQY_REC_CONS")</f>
        <v>#NAME?</v>
      </c>
      <c r="K4" s="747" t="e">
        <f ca="1">_xll.BDP($C4,"CRNCY")</f>
        <v>#NAME?</v>
      </c>
      <c r="L4" s="44" t="e">
        <f ca="1">P4/N4-1</f>
        <v>#NAME?</v>
      </c>
      <c r="M4" s="44" t="e">
        <f ca="1">Q4/O4-1</f>
        <v>#NAME?</v>
      </c>
      <c r="N4" s="43" t="e">
        <f ca="1">$K$167</f>
        <v>#NAME?</v>
      </c>
      <c r="O4" s="43" t="e">
        <f ca="1">$J$167</f>
        <v>#NAME?</v>
      </c>
      <c r="P4" s="43" t="e">
        <f ca="1">E4*G4*$I$1/$P$1</f>
        <v>#NAME?</v>
      </c>
      <c r="Q4" s="43" t="e">
        <f t="shared" ref="Q4:Q18" ca="1" si="2">P4/$I$1</f>
        <v>#NAME?</v>
      </c>
      <c r="R4" s="142" t="e">
        <f t="shared" ref="R4:R18" ca="1" si="3">P4-N4</f>
        <v>#NAME?</v>
      </c>
      <c r="S4" s="142" t="e">
        <f t="shared" ref="S4:S18" ca="1" si="4">Q4-O4</f>
        <v>#NAME?</v>
      </c>
      <c r="T4" s="731" t="e">
        <f ca="1">_xll.BDP($C4,"EQY_DVD_YLD_EST")</f>
        <v>#NAME?</v>
      </c>
      <c r="U4" s="732" t="e">
        <f ca="1">E4*G4/$I$1</f>
        <v>#NAME?</v>
      </c>
      <c r="V4" s="82" t="e">
        <f ca="1">_xll.BDP($C4,"CHG_PCT_YTD")</f>
        <v>#NAME?</v>
      </c>
      <c r="W4" s="82" t="e">
        <f ca="1">_xll.BDP($C4,"CHG_PCT_1YR")</f>
        <v>#NAME?</v>
      </c>
      <c r="X4" s="82" t="e">
        <f ca="1">_xll.BDP($C4,"CHG_PCT_6M")</f>
        <v>#NAME?</v>
      </c>
      <c r="Y4" s="82" t="e">
        <f ca="1">_xll.BDP($C4,"CHG_PCT_3M")</f>
        <v>#NAME?</v>
      </c>
      <c r="Z4" s="82" t="e">
        <f ca="1">_xll.BDP($C4,"CHG_PCT_1M")</f>
        <v>#NAME?</v>
      </c>
      <c r="AA4" s="82" t="e">
        <f ca="1">_xll.BDP($C4,"CHG_PCT_5D")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103" customFormat="1" ht="15" x14ac:dyDescent="0.25">
      <c r="A5" s="103" t="s">
        <v>417</v>
      </c>
      <c r="B5" s="107" t="s">
        <v>358</v>
      </c>
      <c r="C5" s="103" t="s">
        <v>55</v>
      </c>
      <c r="D5" s="44" t="e">
        <f t="shared" ca="1" si="0"/>
        <v>#NAME?</v>
      </c>
      <c r="E5" s="43">
        <f>$F$93</f>
        <v>1106</v>
      </c>
      <c r="F5" s="43" t="e">
        <f ca="1">$H$93</f>
        <v>#NAME?</v>
      </c>
      <c r="G5" s="43" t="e">
        <f ca="1">_xll.BDP($C5,"PX_LAST")</f>
        <v>#NAME?</v>
      </c>
      <c r="H5" s="38" t="e">
        <f ca="1">_xll.BDP($C5,"BEST_TARGET_PRICE")</f>
        <v>#NAME?</v>
      </c>
      <c r="I5" s="414" t="e">
        <f t="shared" ca="1" si="1"/>
        <v>#NAME?</v>
      </c>
      <c r="J5" s="38" t="e">
        <f ca="1">_xll.BDP($C5,"EQY_REC_CONS")</f>
        <v>#NAME?</v>
      </c>
      <c r="K5" s="747" t="e">
        <f ca="1">_xll.BDP($C5,"CRNCY")</f>
        <v>#NAME?</v>
      </c>
      <c r="L5" s="44" t="e">
        <f ca="1">G5/F5-1</f>
        <v>#NAME?</v>
      </c>
      <c r="M5" s="44" t="e">
        <f t="shared" ref="M5:M14" ca="1" si="5">Q5/O5-1</f>
        <v>#NAME?</v>
      </c>
      <c r="N5" s="43" t="e">
        <f ca="1">E5*F5</f>
        <v>#NAME?</v>
      </c>
      <c r="O5" s="43" t="e">
        <f ca="1">$J$93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31" t="e">
        <f ca="1">_xll.BDP($C5,"EQY_DVD_YLD_EST")</f>
        <v>#NAME?</v>
      </c>
      <c r="U5" s="732" t="e">
        <f ca="1">E5*G5/$I$1</f>
        <v>#NAME?</v>
      </c>
      <c r="V5" s="82" t="e">
        <f ca="1">_xll.BDP($C5,"CHG_PCT_YTD")</f>
        <v>#NAME?</v>
      </c>
      <c r="W5" s="82" t="e">
        <f ca="1">_xll.BDP($C5,"CHG_PCT_1YR")</f>
        <v>#NAME?</v>
      </c>
      <c r="X5" s="82" t="e">
        <f ca="1">_xll.BDP($C5,"CHG_PCT_6M")</f>
        <v>#NAME?</v>
      </c>
      <c r="Y5" s="82" t="e">
        <f ca="1">_xll.BDP($C5,"CHG_PCT_3M")</f>
        <v>#NAME?</v>
      </c>
      <c r="Z5" s="82" t="e">
        <f ca="1">_xll.BDP($C5,"CHG_PCT_1M")</f>
        <v>#NAME?</v>
      </c>
      <c r="AA5" s="82" t="e">
        <f ca="1">_xll.BDP($C5,"CHG_PCT_5D")</f>
        <v>#NAME?</v>
      </c>
      <c r="AB5" s="351" t="e">
        <f ca="1">_xll.BDP($C5,"DVD_EX_DT")</f>
        <v>#NAME?</v>
      </c>
      <c r="AC5" s="82" t="e">
        <f ca="1">_xll.BDP($C5,"BDVD_NEXT_EST_DECL_DT")</f>
        <v>#NAME?</v>
      </c>
    </row>
    <row r="6" spans="1:29" s="103" customFormat="1" ht="15" x14ac:dyDescent="0.25">
      <c r="A6" s="103" t="s">
        <v>417</v>
      </c>
      <c r="B6" s="46" t="s">
        <v>390</v>
      </c>
      <c r="C6" s="103" t="s">
        <v>182</v>
      </c>
      <c r="D6" s="44" t="e">
        <f t="shared" ca="1" si="0"/>
        <v>#NAME?</v>
      </c>
      <c r="E6" s="43">
        <f>$F$124</f>
        <v>269500</v>
      </c>
      <c r="F6" s="734" t="e">
        <f ca="1">$H$124</f>
        <v>#NAME?</v>
      </c>
      <c r="G6" s="734" t="e">
        <f ca="1">_xll.BDP($C6,"PX_LAST")</f>
        <v>#NAME?</v>
      </c>
      <c r="H6" s="38" t="e">
        <f ca="1">_xll.BDP($C6,"BEST_TARGET_PRICE")</f>
        <v>#NAME?</v>
      </c>
      <c r="I6" s="414" t="e">
        <f t="shared" ca="1" si="1"/>
        <v>#NAME?</v>
      </c>
      <c r="J6" s="38" t="e">
        <f ca="1">_xll.BDP($C6,"EQY_REC_CONS")</f>
        <v>#NAME?</v>
      </c>
      <c r="K6" s="747" t="e">
        <f ca="1">_xll.BDP($C6,"CRNCY")</f>
        <v>#NAME?</v>
      </c>
      <c r="L6" s="44" t="e">
        <f ca="1">G6/F6-1</f>
        <v>#NAME?</v>
      </c>
      <c r="M6" s="44" t="e">
        <f t="shared" ca="1" si="5"/>
        <v>#NAME?</v>
      </c>
      <c r="N6" s="43" t="e">
        <f ca="1">E6*F6</f>
        <v>#NAME?</v>
      </c>
      <c r="O6" s="43" t="e">
        <f ca="1">$J$124</f>
        <v>#NAME?</v>
      </c>
      <c r="P6" s="43" t="e">
        <f ca="1">E6*G6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31" t="e">
        <f ca="1">_xll.BDP($C6,"EQY_DVD_YLD_EST")</f>
        <v>#NAME?</v>
      </c>
      <c r="U6" s="732" t="e">
        <f ca="1">E6*G6/$I$1</f>
        <v>#NAME?</v>
      </c>
      <c r="V6" s="82" t="e">
        <f ca="1">_xll.BDP($C6,"CHG_PCT_YTD")</f>
        <v>#NAME?</v>
      </c>
      <c r="W6" s="82" t="e">
        <f ca="1">_xll.BDP($C6,"CHG_PCT_1YR")</f>
        <v>#NAME?</v>
      </c>
      <c r="X6" s="82" t="e">
        <f ca="1">_xll.BDP($C6,"CHG_PCT_6M")</f>
        <v>#NAME?</v>
      </c>
      <c r="Y6" s="82" t="e">
        <f ca="1">_xll.BDP($C6,"CHG_PCT_3M")</f>
        <v>#NAME?</v>
      </c>
      <c r="Z6" s="82" t="e">
        <f ca="1">_xll.BDP($C6,"CHG_PCT_1M")</f>
        <v>#NAME?</v>
      </c>
      <c r="AA6" s="82" t="e">
        <f ca="1">_xll.BDP($C6,"CHG_PCT_5D")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103" customFormat="1" ht="15" x14ac:dyDescent="0.25">
      <c r="A7" s="103" t="s">
        <v>417</v>
      </c>
      <c r="B7" s="107" t="s">
        <v>384</v>
      </c>
      <c r="C7" s="103" t="s">
        <v>728</v>
      </c>
      <c r="D7" s="44" t="e">
        <f t="shared" ca="1" si="0"/>
        <v>#NAME?</v>
      </c>
      <c r="E7" s="43">
        <f>$F$82</f>
        <v>2272000</v>
      </c>
      <c r="F7" s="734" t="e">
        <f ca="1">$H$82</f>
        <v>#NAME?</v>
      </c>
      <c r="G7" s="38" t="e">
        <f ca="1">_xll.BDP($C7,"PX_LAST")</f>
        <v>#NAME?</v>
      </c>
      <c r="H7" s="38" t="e">
        <f ca="1">_xll.BDP($C7,"BEST_TARGET_PRICE")</f>
        <v>#NAME?</v>
      </c>
      <c r="I7" s="414" t="e">
        <f t="shared" ca="1" si="1"/>
        <v>#NAME?</v>
      </c>
      <c r="J7" s="38" t="e">
        <f ca="1">_xll.BDP($C7,"EQY_REC_CONS")</f>
        <v>#NAME?</v>
      </c>
      <c r="K7" s="747" t="e">
        <f ca="1">_xll.BDP($C7,"CRNCY")</f>
        <v>#NAME?</v>
      </c>
      <c r="L7" s="44" t="e">
        <f ca="1">G7/F7-1</f>
        <v>#NAME?</v>
      </c>
      <c r="M7" s="44" t="e">
        <f t="shared" ca="1" si="5"/>
        <v>#NAME?</v>
      </c>
      <c r="N7" s="43" t="e">
        <f ca="1">E7*F7</f>
        <v>#NAME?</v>
      </c>
      <c r="O7" s="43" t="e">
        <f ca="1">$J$82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31" t="e">
        <f ca="1">_xll.BDP($C7,"EQY_DVD_YLD_EST")</f>
        <v>#NAME?</v>
      </c>
      <c r="U7" s="732" t="e">
        <f ca="1">E7*G7/$I$1</f>
        <v>#NAME?</v>
      </c>
      <c r="V7" s="82" t="e">
        <f ca="1">_xll.BDP($C7,"CHG_PCT_YTD")</f>
        <v>#NAME?</v>
      </c>
      <c r="W7" s="82" t="e">
        <f ca="1">_xll.BDP($C7,"CHG_PCT_1YR")</f>
        <v>#NAME?</v>
      </c>
      <c r="X7" s="82" t="e">
        <f ca="1">_xll.BDP($C7,"CHG_PCT_6M")</f>
        <v>#NAME?</v>
      </c>
      <c r="Y7" s="82" t="e">
        <f ca="1">_xll.BDP($C7,"CHG_PCT_3M")</f>
        <v>#NAME?</v>
      </c>
      <c r="Z7" s="82" t="e">
        <f ca="1">_xll.BDP($C7,"CHG_PCT_1M")</f>
        <v>#NAME?</v>
      </c>
      <c r="AA7" s="82" t="e">
        <f ca="1">_xll.BDP($C7,"CHG_PCT_5D")</f>
        <v>#NAME?</v>
      </c>
      <c r="AB7" s="351" t="e">
        <f ca="1">_xll.BDP($C7,"DVD_EX_DT")</f>
        <v>#NAME?</v>
      </c>
      <c r="AC7" s="82" t="e">
        <f ca="1">_xll.BDP($C7,"BDVD_NEXT_EST_DECL_DT")</f>
        <v>#NAME?</v>
      </c>
    </row>
    <row r="8" spans="1:29" s="733" customFormat="1" ht="15" x14ac:dyDescent="0.25">
      <c r="A8" s="103" t="s">
        <v>417</v>
      </c>
      <c r="B8" s="730" t="s">
        <v>382</v>
      </c>
      <c r="C8" s="735" t="s">
        <v>77</v>
      </c>
      <c r="D8" s="736" t="e">
        <f t="shared" ca="1" si="0"/>
        <v>#NAME?</v>
      </c>
      <c r="E8" s="43">
        <f>$F$104</f>
        <v>2462</v>
      </c>
      <c r="F8" s="734">
        <f>$H$104</f>
        <v>14.119999999999997</v>
      </c>
      <c r="G8" s="737" t="e">
        <f ca="1">_xll.BDP($C8,"PX_LAST")</f>
        <v>#NAME?</v>
      </c>
      <c r="H8" s="38" t="e">
        <f ca="1">_xll.BDP($C8,"BEST_TARGET_PRICE")</f>
        <v>#NAME?</v>
      </c>
      <c r="I8" s="414" t="e">
        <f t="shared" ca="1" si="1"/>
        <v>#NAME?</v>
      </c>
      <c r="J8" s="38" t="e">
        <f ca="1">_xll.BDP($C8,"EQY_REC_CONS")</f>
        <v>#NAME?</v>
      </c>
      <c r="K8" s="748" t="e">
        <f ca="1">_xll.BDP($C8,"CRNCY")</f>
        <v>#NAME?</v>
      </c>
      <c r="L8" s="44" t="e">
        <f ca="1">P8/N8-1</f>
        <v>#NAME?</v>
      </c>
      <c r="M8" s="44" t="e">
        <f t="shared" ca="1" si="5"/>
        <v>#NAME?</v>
      </c>
      <c r="N8" s="43" t="e">
        <f ca="1">$K$104</f>
        <v>#NAME?</v>
      </c>
      <c r="O8" s="43">
        <f>$J$104</f>
        <v>34763.439999999995</v>
      </c>
      <c r="P8" s="142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31" t="e">
        <f ca="1">_xll.BDP($C8,"EQY_DVD_YLD_EST")</f>
        <v>#NAME?</v>
      </c>
      <c r="U8" s="732" t="e">
        <f ca="1">E8*G8</f>
        <v>#NAME?</v>
      </c>
      <c r="V8" s="82" t="e">
        <f ca="1">_xll.BDP($C8,"CHG_PCT_YTD")</f>
        <v>#NAME?</v>
      </c>
      <c r="W8" s="82" t="e">
        <f ca="1">_xll.BDP($C8,"CHG_PCT_1YR")</f>
        <v>#NAME?</v>
      </c>
      <c r="X8" s="82" t="e">
        <f ca="1">_xll.BDP($C8,"CHG_PCT_6M")</f>
        <v>#NAME?</v>
      </c>
      <c r="Y8" s="82" t="e">
        <f ca="1">_xll.BDP($C8,"CHG_PCT_3M")</f>
        <v>#NAME?</v>
      </c>
      <c r="Z8" s="82" t="e">
        <f ca="1">_xll.BDP($C8,"CHG_PCT_1M")</f>
        <v>#NAME?</v>
      </c>
      <c r="AA8" s="82" t="e">
        <f ca="1">_xll.BDP($C8,"CHG_PCT_5D")</f>
        <v>#NAME?</v>
      </c>
      <c r="AB8" s="351" t="e">
        <f ca="1">_xll.BDP($C8,"DVD_EX_DT")</f>
        <v>#NAME?</v>
      </c>
      <c r="AC8" s="82" t="e">
        <f ca="1">_xll.BDP($C8,"BDVD_NEXT_EST_DECL_DT")</f>
        <v>#NAME?</v>
      </c>
    </row>
    <row r="9" spans="1:29" s="733" customFormat="1" ht="15" x14ac:dyDescent="0.25">
      <c r="A9" s="103" t="s">
        <v>417</v>
      </c>
      <c r="B9" s="46" t="s">
        <v>393</v>
      </c>
      <c r="C9" s="103" t="s">
        <v>392</v>
      </c>
      <c r="D9" s="44" t="e">
        <f t="shared" ca="1" si="0"/>
        <v>#NAME?</v>
      </c>
      <c r="E9" s="43">
        <f>$F$78</f>
        <v>141000</v>
      </c>
      <c r="F9" s="38" t="e">
        <f ca="1">$H$78</f>
        <v>#NAME?</v>
      </c>
      <c r="G9" s="38" t="e">
        <f ca="1">_xll.BDP($C9,"PX_LAST")</f>
        <v>#NAME?</v>
      </c>
      <c r="H9" s="38" t="e">
        <f ca="1">_xll.BDP($C9,"BEST_TARGET_PRICE")</f>
        <v>#NAME?</v>
      </c>
      <c r="I9" s="414" t="e">
        <f t="shared" ca="1" si="1"/>
        <v>#NAME?</v>
      </c>
      <c r="J9" s="38" t="e">
        <f ca="1">_xll.BDP($C9,"EQY_REC_CONS")</f>
        <v>#NAME?</v>
      </c>
      <c r="K9" s="747" t="e">
        <f ca="1">_xll.BDP($C9,"CRNCY")</f>
        <v>#NAME?</v>
      </c>
      <c r="L9" s="44" t="e">
        <f ca="1">G9/F9-1</f>
        <v>#NAME?</v>
      </c>
      <c r="M9" s="44" t="e">
        <f t="shared" ca="1" si="5"/>
        <v>#NAME?</v>
      </c>
      <c r="N9" s="43" t="e">
        <f ca="1">E9*F9</f>
        <v>#NAME?</v>
      </c>
      <c r="O9" s="43" t="e">
        <f ca="1">$J$78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31" t="e">
        <f ca="1">_xll.BDP($C9,"EQY_DVD_YLD_EST")</f>
        <v>#NAME?</v>
      </c>
      <c r="U9" s="732" t="e">
        <f ca="1">E9*G9/$I$1</f>
        <v>#NAME?</v>
      </c>
      <c r="V9" s="82" t="e">
        <f ca="1">_xll.BDP($C9,"CHG_PCT_YTD")</f>
        <v>#NAME?</v>
      </c>
      <c r="W9" s="82" t="e">
        <f ca="1">_xll.BDP($C9,"CHG_PCT_1YR")</f>
        <v>#NAME?</v>
      </c>
      <c r="X9" s="82" t="e">
        <f ca="1">_xll.BDP($C9,"CHG_PCT_6M")</f>
        <v>#NAME?</v>
      </c>
      <c r="Y9" s="82" t="e">
        <f ca="1">_xll.BDP($C9,"CHG_PCT_3M")</f>
        <v>#NAME?</v>
      </c>
      <c r="Z9" s="82" t="e">
        <f ca="1">_xll.BDP($C9,"CHG_PCT_1M")</f>
        <v>#NAME?</v>
      </c>
      <c r="AA9" s="82" t="e">
        <f ca="1">_xll.BDP($C9,"CHG_PCT_5D")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733" customFormat="1" ht="15" x14ac:dyDescent="0.25">
      <c r="A10" s="103" t="s">
        <v>417</v>
      </c>
      <c r="B10" s="107" t="s">
        <v>147</v>
      </c>
      <c r="C10" s="103" t="s">
        <v>53</v>
      </c>
      <c r="D10" s="44" t="e">
        <f t="shared" ca="1" si="0"/>
        <v>#NAME?</v>
      </c>
      <c r="E10" s="43">
        <f>$F$101</f>
        <v>11484</v>
      </c>
      <c r="F10" s="43" t="e">
        <f ca="1">$H$101</f>
        <v>#NAME?</v>
      </c>
      <c r="G10" s="43" t="e">
        <f ca="1">_xll.BDP($C10,"PX_LAST")</f>
        <v>#NAME?</v>
      </c>
      <c r="H10" s="38" t="e">
        <f ca="1">_xll.BDP($C10,"BEST_TARGET_PRICE")</f>
        <v>#NAME?</v>
      </c>
      <c r="I10" s="414" t="e">
        <f t="shared" ca="1" si="1"/>
        <v>#NAME?</v>
      </c>
      <c r="J10" s="38" t="e">
        <f ca="1">_xll.BDP($C10,"EQY_REC_CONS")</f>
        <v>#NAME?</v>
      </c>
      <c r="K10" s="747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 t="e">
        <f ca="1">E10*F10</f>
        <v>#NAME?</v>
      </c>
      <c r="O10" s="43" t="e">
        <f ca="1">$J$101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31" t="e">
        <f ca="1">_xll.BDP($C10,"EQY_DVD_YLD_EST")</f>
        <v>#NAME?</v>
      </c>
      <c r="U10" s="732" t="e">
        <f ca="1">E10*G10/$I$1</f>
        <v>#NAME?</v>
      </c>
      <c r="V10" s="82" t="e">
        <f ca="1">_xll.BDP($C10,"CHG_PCT_YTD")</f>
        <v>#NAME?</v>
      </c>
      <c r="W10" s="82" t="e">
        <f ca="1">_xll.BDP($C10,"CHG_PCT_1YR")</f>
        <v>#NAME?</v>
      </c>
      <c r="X10" s="82" t="e">
        <f ca="1">_xll.BDP($C10,"CHG_PCT_6M")</f>
        <v>#NAME?</v>
      </c>
      <c r="Y10" s="82" t="e">
        <f ca="1">_xll.BDP($C10,"CHG_PCT_3M")</f>
        <v>#NAME?</v>
      </c>
      <c r="Z10" s="82" t="e">
        <f ca="1">_xll.BDP($C10,"CHG_PCT_1M")</f>
        <v>#NAME?</v>
      </c>
      <c r="AA10" s="82" t="e">
        <f ca="1">_xll.BDP($C10,"CHG_PCT_5D")</f>
        <v>#NAME?</v>
      </c>
      <c r="AB10" s="351" t="e">
        <f ca="1">_xll.BDP($C10,"DVD_EX_DT")</f>
        <v>#NAME?</v>
      </c>
      <c r="AC10" s="82" t="e">
        <f ca="1">_xll.BDP($C10,"BDVD_NEXT_EST_DECL_DT")</f>
        <v>#NAME?</v>
      </c>
    </row>
    <row r="11" spans="1:29" s="733" customFormat="1" ht="15" x14ac:dyDescent="0.25">
      <c r="A11" s="103" t="s">
        <v>417</v>
      </c>
      <c r="B11" s="46" t="s">
        <v>333</v>
      </c>
      <c r="C11" s="103" t="s">
        <v>389</v>
      </c>
      <c r="D11" s="44" t="e">
        <f t="shared" ca="1" si="0"/>
        <v>#NAME?</v>
      </c>
      <c r="E11" s="43">
        <f>$F$66</f>
        <v>250000</v>
      </c>
      <c r="F11" s="734" t="e">
        <f ca="1">$H$66</f>
        <v>#NAME?</v>
      </c>
      <c r="G11" s="38" t="e">
        <f ca="1">_xll.BDP($C11,"PX_LAST")</f>
        <v>#NAME?</v>
      </c>
      <c r="H11" s="38" t="e">
        <f ca="1">_xll.BDP($C11,"BEST_TARGET_PRICE")</f>
        <v>#NAME?</v>
      </c>
      <c r="I11" s="414" t="e">
        <f t="shared" ca="1" si="1"/>
        <v>#NAME?</v>
      </c>
      <c r="J11" s="38" t="e">
        <f ca="1">_xll.BDP($C11,"EQY_REC_CONS")</f>
        <v>#NAME?</v>
      </c>
      <c r="K11" s="747" t="e">
        <f ca="1">_xll.BDP($C11,"CRNCY")</f>
        <v>#NAME?</v>
      </c>
      <c r="L11" s="44" t="e">
        <f ca="1">P11/N11-1</f>
        <v>#NAME?</v>
      </c>
      <c r="M11" s="44" t="e">
        <f t="shared" ca="1" si="5"/>
        <v>#NAME?</v>
      </c>
      <c r="N11" s="43" t="e">
        <f ca="1">$K$66</f>
        <v>#NAME?</v>
      </c>
      <c r="O11" s="43" t="e">
        <f ca="1">$J$66</f>
        <v>#NAME?</v>
      </c>
      <c r="P11" s="43" t="e">
        <f ca="1">E11*G11/$F$2*$I$1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31" t="e">
        <f ca="1">_xll.BDP($C11,"EQY_DVD_YLD_EST")</f>
        <v>#NAME?</v>
      </c>
      <c r="U11" s="732" t="e">
        <f ca="1">E11*G11/$F$2</f>
        <v>#NAME?</v>
      </c>
      <c r="V11" s="82" t="e">
        <f ca="1">_xll.BDP($C11,"CHG_PCT_YTD")</f>
        <v>#NAME?</v>
      </c>
      <c r="W11" s="82" t="e">
        <f ca="1">_xll.BDP($C11,"CHG_PCT_1YR")</f>
        <v>#NAME?</v>
      </c>
      <c r="X11" s="82" t="e">
        <f ca="1">_xll.BDP($C11,"CHG_PCT_6M")</f>
        <v>#NAME?</v>
      </c>
      <c r="Y11" s="82" t="e">
        <f ca="1">_xll.BDP($C11,"CHG_PCT_3M")</f>
        <v>#NAME?</v>
      </c>
      <c r="Z11" s="82" t="e">
        <f ca="1">_xll.BDP($C11,"CHG_PCT_1M")</f>
        <v>#NAME?</v>
      </c>
      <c r="AA11" s="82" t="e">
        <f ca="1">_xll.BDP($C11,"CHG_PCT_5D")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733" customFormat="1" ht="15" x14ac:dyDescent="0.25">
      <c r="A12" s="103" t="s">
        <v>417</v>
      </c>
      <c r="B12" s="46" t="s">
        <v>391</v>
      </c>
      <c r="C12" s="103" t="s">
        <v>54</v>
      </c>
      <c r="D12" s="44" t="e">
        <f t="shared" ca="1" si="0"/>
        <v>#NAME?</v>
      </c>
      <c r="E12" s="43">
        <f>$F$88</f>
        <v>139710</v>
      </c>
      <c r="F12" s="38" t="e">
        <f ca="1">$H$88</f>
        <v>#NAME?</v>
      </c>
      <c r="G12" s="38" t="e">
        <f ca="1">_xll.BDP($C12,"PX_LAST")</f>
        <v>#NAME?</v>
      </c>
      <c r="H12" s="38" t="e">
        <f ca="1">_xll.BDP($C12,"BEST_TARGET_PRICE")</f>
        <v>#NAME?</v>
      </c>
      <c r="I12" s="414" t="e">
        <f t="shared" ca="1" si="1"/>
        <v>#NAME?</v>
      </c>
      <c r="J12" s="38" t="e">
        <f ca="1">_xll.BDP($C12,"EQY_REC_CONS")</f>
        <v>#NAME?</v>
      </c>
      <c r="K12" s="747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 t="e">
        <f ca="1">E12*F12</f>
        <v>#NAME?</v>
      </c>
      <c r="O12" s="43" t="e">
        <f ca="1">$J$88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31" t="e">
        <f ca="1">_xll.BDP($C12,"EQY_DVD_YLD_EST")</f>
        <v>#NAME?</v>
      </c>
      <c r="U12" s="732" t="e">
        <f ca="1">E12*G12/$I$1</f>
        <v>#NAME?</v>
      </c>
      <c r="V12" s="82" t="e">
        <f ca="1">_xll.BDP($C12,"CHG_PCT_YTD")</f>
        <v>#NAME?</v>
      </c>
      <c r="W12" s="82" t="e">
        <f ca="1">_xll.BDP($C12,"CHG_PCT_1YR")</f>
        <v>#NAME?</v>
      </c>
      <c r="X12" s="82" t="e">
        <f ca="1">_xll.BDP($C12,"CHG_PCT_6M")</f>
        <v>#NAME?</v>
      </c>
      <c r="Y12" s="82" t="e">
        <f ca="1">_xll.BDP($C12,"CHG_PCT_3M")</f>
        <v>#NAME?</v>
      </c>
      <c r="Z12" s="82" t="e">
        <f ca="1">_xll.BDP($C12,"CHG_PCT_1M")</f>
        <v>#NAME?</v>
      </c>
      <c r="AA12" s="82" t="e">
        <f ca="1">_xll.BDP($C12,"CHG_PCT_5D")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189" customFormat="1" ht="15" x14ac:dyDescent="0.25">
      <c r="A13" s="103" t="s">
        <v>417</v>
      </c>
      <c r="B13" s="46" t="s">
        <v>293</v>
      </c>
      <c r="C13" s="103" t="s">
        <v>58</v>
      </c>
      <c r="D13" s="44" t="e">
        <f t="shared" ca="1" si="0"/>
        <v>#NAME?</v>
      </c>
      <c r="E13" s="43">
        <f>$F$119</f>
        <v>18200</v>
      </c>
      <c r="F13" s="734" t="e">
        <f ca="1">$H$119</f>
        <v>#NAME?</v>
      </c>
      <c r="G13" s="734" t="e">
        <f ca="1">_xll.BDP($C13,"PX_LAST")</f>
        <v>#NAME?</v>
      </c>
      <c r="H13" s="38" t="e">
        <f ca="1">_xll.BDP($C13,"BEST_TARGET_PRICE")</f>
        <v>#NAME?</v>
      </c>
      <c r="I13" s="414" t="e">
        <f t="shared" ca="1" si="1"/>
        <v>#NAME?</v>
      </c>
      <c r="J13" s="38" t="e">
        <f ca="1">_xll.BDP($C13,"EQY_REC_CONS")</f>
        <v>#NAME?</v>
      </c>
      <c r="K13" s="747" t="e">
        <f ca="1">_xll.BDP($C13,"CRNCY")</f>
        <v>#NAME?</v>
      </c>
      <c r="L13" s="44" t="e">
        <f ca="1">G13/F13-1</f>
        <v>#NAME?</v>
      </c>
      <c r="M13" s="44" t="e">
        <f t="shared" ca="1" si="5"/>
        <v>#NAME?</v>
      </c>
      <c r="N13" s="43" t="e">
        <f ca="1">E13*F13</f>
        <v>#NAME?</v>
      </c>
      <c r="O13" s="43" t="e">
        <f ca="1">$J$119</f>
        <v>#NAME?</v>
      </c>
      <c r="P13" s="43" t="e">
        <f ca="1">E13*G13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31" t="e">
        <f ca="1">_xll.BDP($C13,"EQY_DVD_YLD_EST")</f>
        <v>#NAME?</v>
      </c>
      <c r="U13" s="732" t="e">
        <f ca="1">E13*G13/$I$1</f>
        <v>#NAME?</v>
      </c>
      <c r="V13" s="82" t="e">
        <f ca="1">_xll.BDP($C13,"CHG_PCT_YTD")</f>
        <v>#NAME?</v>
      </c>
      <c r="W13" s="82" t="e">
        <f ca="1">_xll.BDP($C13,"CHG_PCT_1YR")</f>
        <v>#NAME?</v>
      </c>
      <c r="X13" s="82" t="e">
        <f ca="1">_xll.BDP($C13,"CHG_PCT_6M")</f>
        <v>#NAME?</v>
      </c>
      <c r="Y13" s="82" t="e">
        <f ca="1">_xll.BDP($C13,"CHG_PCT_3M")</f>
        <v>#NAME?</v>
      </c>
      <c r="Z13" s="82" t="e">
        <f ca="1">_xll.BDP($C13,"CHG_PCT_1M")</f>
        <v>#NAME?</v>
      </c>
      <c r="AA13" s="82" t="e">
        <f ca="1">_xll.BDP($C13,"CHG_PCT_5D")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193" customFormat="1" ht="15" x14ac:dyDescent="0.25">
      <c r="A14" s="733" t="s">
        <v>417</v>
      </c>
      <c r="B14" s="746" t="s">
        <v>317</v>
      </c>
      <c r="C14" s="733" t="s">
        <v>659</v>
      </c>
      <c r="D14" s="741" t="e">
        <f t="shared" ca="1" si="0"/>
        <v>#NAME?</v>
      </c>
      <c r="E14" s="738">
        <f>$F$70</f>
        <v>76000</v>
      </c>
      <c r="F14" s="739">
        <f>$H$70</f>
        <v>171.46131578947367</v>
      </c>
      <c r="G14" s="739" t="e">
        <f ca="1">_xll.BDP($C14,"PX_LAST")</f>
        <v>#NAME?</v>
      </c>
      <c r="H14" s="739" t="e">
        <f ca="1">_xll.BDP($C14,"BEST_TARGET_PRICE")</f>
        <v>#NAME?</v>
      </c>
      <c r="I14" s="740" t="e">
        <f t="shared" ca="1" si="1"/>
        <v>#NAME?</v>
      </c>
      <c r="J14" s="739" t="e">
        <f ca="1">_xll.BDP($C14,"EQY_REC_CONS")</f>
        <v>#NAME?</v>
      </c>
      <c r="K14" s="749" t="e">
        <f ca="1">_xll.BDP($C14,"CRNCY")</f>
        <v>#NAME?</v>
      </c>
      <c r="L14" s="741" t="e">
        <f ca="1">G14/F14-1</f>
        <v>#NAME?</v>
      </c>
      <c r="M14" s="741" t="e">
        <f t="shared" ca="1" si="5"/>
        <v>#NAME?</v>
      </c>
      <c r="N14" s="738">
        <f>E14*F14</f>
        <v>13031060</v>
      </c>
      <c r="O14" s="738" t="e">
        <f ca="1">$J$70</f>
        <v>#NAME?</v>
      </c>
      <c r="P14" s="738" t="e">
        <f ca="1">E14*G14</f>
        <v>#NAME?</v>
      </c>
      <c r="Q14" s="738" t="e">
        <f t="shared" ca="1" si="2"/>
        <v>#NAME?</v>
      </c>
      <c r="R14" s="742" t="e">
        <f t="shared" ca="1" si="3"/>
        <v>#NAME?</v>
      </c>
      <c r="S14" s="742" t="e">
        <f t="shared" ca="1" si="4"/>
        <v>#NAME?</v>
      </c>
      <c r="T14" s="743" t="e">
        <f ca="1">_xll.BDP($C14,"EQY_DVD_YLD_EST")</f>
        <v>#NAME?</v>
      </c>
      <c r="U14" s="744" t="e">
        <f ca="1">E14*G14/$I$1</f>
        <v>#NAME?</v>
      </c>
      <c r="V14" s="745" t="e">
        <f ca="1">_xll.BDP($C14,"CHG_PCT_YTD")</f>
        <v>#NAME?</v>
      </c>
      <c r="W14" s="745" t="e">
        <f ca="1">_xll.BDP($C14,"CHG_PCT_1YR")</f>
        <v>#NAME?</v>
      </c>
      <c r="X14" s="745" t="e">
        <f ca="1">_xll.BDP($C14,"CHG_PCT_6M")</f>
        <v>#NAME?</v>
      </c>
      <c r="Y14" s="745" t="e">
        <f ca="1">_xll.BDP($C14,"CHG_PCT_3M")</f>
        <v>#NAME?</v>
      </c>
      <c r="Z14" s="745" t="e">
        <f ca="1">_xll.BDP($C14,"CHG_PCT_1M")</f>
        <v>#NAME?</v>
      </c>
      <c r="AA14" s="745" t="e">
        <f ca="1">_xll.BDP($C14,"CHG_PCT_5D")</f>
        <v>#NAME?</v>
      </c>
      <c r="AB14" s="745" t="e">
        <f ca="1">_xll.BDP($C14,"DVD_EX_DT")</f>
        <v>#NAME?</v>
      </c>
      <c r="AC14" s="745" t="e">
        <f ca="1">_xll.BDP($C14,"BDVD_NEXT_EST_DECL_DT")</f>
        <v>#NAME?</v>
      </c>
    </row>
    <row r="15" spans="1:29" s="735" customFormat="1" ht="15" x14ac:dyDescent="0.25">
      <c r="A15" s="103" t="s">
        <v>417</v>
      </c>
      <c r="B15" s="46" t="e">
        <f ca="1">_xll.BDP(C15,"SECURITY_NAME")</f>
        <v>#NAME?</v>
      </c>
      <c r="C15" s="103" t="s">
        <v>721</v>
      </c>
      <c r="D15" s="44" t="e">
        <f t="shared" ca="1" si="0"/>
        <v>#NAME?</v>
      </c>
      <c r="E15" s="43">
        <f>$F$161</f>
        <v>436650</v>
      </c>
      <c r="F15" s="38">
        <f>$H$161</f>
        <v>23.779999999999998</v>
      </c>
      <c r="G15" s="38" t="e">
        <f ca="1">_xll.BDP(C15,"PX MID")</f>
        <v>#NAME?</v>
      </c>
      <c r="H15" s="103"/>
      <c r="I15" s="103"/>
      <c r="J15" s="103"/>
      <c r="K15" s="747" t="e">
        <f ca="1">_xll.BDP($C15,"CRNCY")</f>
        <v>#NAME?</v>
      </c>
      <c r="L15" s="44" t="e">
        <f t="shared" ref="L15:L18" ca="1" si="6">P15/N15-1</f>
        <v>#NAME?</v>
      </c>
      <c r="M15" s="44" t="e">
        <f t="shared" ref="M15:M18" ca="1" si="7">G15/F15-1</f>
        <v>#NAME?</v>
      </c>
      <c r="N15" s="43" t="e">
        <f ca="1">$K$161</f>
        <v>#NAME?</v>
      </c>
      <c r="O15" s="43">
        <f t="shared" ref="O15:O18" si="8">E15*F15/100</f>
        <v>103835.36999999998</v>
      </c>
      <c r="P15" s="43" t="e">
        <f t="shared" ref="P15:P18" ca="1" si="9">E15*G15/100 *$I$1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31" t="e">
        <f ca="1">_xll.BDP(C15,"YLD_YTM_MID")</f>
        <v>#NAME?</v>
      </c>
      <c r="U15" s="732" t="e">
        <f ca="1">E15*_xll.BDP(C15,"PX_GROSS_ASK")/100</f>
        <v>#NAME?</v>
      </c>
      <c r="V15" s="82" t="e">
        <f ca="1">_xll.BDP($C15,"CHG_PCT_YTD")</f>
        <v>#NAME?</v>
      </c>
      <c r="W15" s="82" t="e">
        <f ca="1">_xll.BDP($C15,"CHG_PCT_1YR")</f>
        <v>#NAME?</v>
      </c>
      <c r="X15" s="82" t="e">
        <f ca="1">_xll.BDP($C15,"CHG_PCT_6M")</f>
        <v>#NAME?</v>
      </c>
      <c r="Y15" s="82" t="e">
        <f ca="1">_xll.BDP($C15,"CHG_PCT_3M")</f>
        <v>#NAME?</v>
      </c>
      <c r="Z15" s="82" t="e">
        <f ca="1">_xll.BDP($C15,"CHG_PCT_1M")</f>
        <v>#NAME?</v>
      </c>
      <c r="AA15" s="82" t="e">
        <f ca="1">_xll.BDP($C15,"CHG_PCT_5D")</f>
        <v>#NAME?</v>
      </c>
      <c r="AB15" s="82"/>
      <c r="AC15" s="103"/>
    </row>
    <row r="16" spans="1:29" s="103" customFormat="1" ht="15" x14ac:dyDescent="0.25">
      <c r="A16" s="103" t="s">
        <v>417</v>
      </c>
      <c r="B16" s="46" t="e">
        <f ca="1">_xll.BDP(C16,"SECURITY_NAME")</f>
        <v>#NAME?</v>
      </c>
      <c r="C16" s="103" t="s">
        <v>697</v>
      </c>
      <c r="D16" s="44" t="e">
        <f t="shared" ca="1" si="0"/>
        <v>#NAME?</v>
      </c>
      <c r="E16" s="43">
        <v>100000</v>
      </c>
      <c r="F16" s="38">
        <f>$H$158</f>
        <v>89.75</v>
      </c>
      <c r="G16" s="38" t="e">
        <f ca="1">_xll.BDP(C16,"PX MID")</f>
        <v>#NAME?</v>
      </c>
      <c r="H16" s="735"/>
      <c r="I16" s="735"/>
      <c r="J16" s="735"/>
      <c r="K16" s="747" t="e">
        <f ca="1">_xll.BDP($C16,"CRNCY")</f>
        <v>#NAME?</v>
      </c>
      <c r="L16" s="44" t="e">
        <f t="shared" ca="1" si="6"/>
        <v>#NAME?</v>
      </c>
      <c r="M16" s="44" t="e">
        <f t="shared" ca="1" si="7"/>
        <v>#NAME?</v>
      </c>
      <c r="N16" s="43" t="e">
        <f ca="1">$K$158</f>
        <v>#NAME?</v>
      </c>
      <c r="O16" s="43">
        <f t="shared" si="8"/>
        <v>89750</v>
      </c>
      <c r="P16" s="43" t="e">
        <f t="shared" ca="1" si="9"/>
        <v>#NAME?</v>
      </c>
      <c r="Q16" s="43" t="e">
        <f t="shared" ca="1" si="2"/>
        <v>#NAME?</v>
      </c>
      <c r="R16" s="142" t="e">
        <f t="shared" ca="1" si="3"/>
        <v>#NAME?</v>
      </c>
      <c r="S16" s="142" t="e">
        <f t="shared" ca="1" si="4"/>
        <v>#NAME?</v>
      </c>
      <c r="T16" s="731" t="e">
        <f ca="1">_xll.BDP(C16,"YLD_YTM_MID")</f>
        <v>#NAME?</v>
      </c>
      <c r="U16" s="732" t="e">
        <f ca="1">E16*_xll.BDP(C16,"PX_GROSS_ASK")/100</f>
        <v>#NAME?</v>
      </c>
      <c r="V16" s="82" t="e">
        <f ca="1">_xll.BDP($C16,"CHG_PCT_YTD")</f>
        <v>#NAME?</v>
      </c>
      <c r="W16" s="82" t="e">
        <f ca="1">_xll.BDP($C16,"CHG_PCT_1YR")</f>
        <v>#NAME?</v>
      </c>
      <c r="X16" s="82" t="e">
        <f ca="1">_xll.BDP($C16,"CHG_PCT_6M")</f>
        <v>#NAME?</v>
      </c>
      <c r="Y16" s="82" t="e">
        <f ca="1">_xll.BDP($C16,"CHG_PCT_3M")</f>
        <v>#NAME?</v>
      </c>
      <c r="Z16" s="82" t="e">
        <f ca="1">_xll.BDP($C16,"CHG_PCT_1M")</f>
        <v>#NAME?</v>
      </c>
      <c r="AA16" s="82" t="e">
        <f ca="1">_xll.BDP($C16,"CHG_PCT_5D")</f>
        <v>#NAME?</v>
      </c>
      <c r="AB16" s="82"/>
    </row>
    <row r="17" spans="1:29" s="103" customFormat="1" ht="15" x14ac:dyDescent="0.25">
      <c r="A17" s="103" t="s">
        <v>417</v>
      </c>
      <c r="B17" s="46" t="e">
        <f ca="1">_xll.BDP(C17,"SECURITY_NAME")</f>
        <v>#NAME?</v>
      </c>
      <c r="C17" s="103" t="s">
        <v>157</v>
      </c>
      <c r="D17" s="44" t="e">
        <f t="shared" ca="1" si="0"/>
        <v>#NAME?</v>
      </c>
      <c r="E17" s="43">
        <f>$F$164</f>
        <v>360000</v>
      </c>
      <c r="F17" s="38">
        <f>$H$164</f>
        <v>94.03</v>
      </c>
      <c r="G17" s="38" t="e">
        <f ca="1">_xll.BDP(C17,"PX MID")</f>
        <v>#NAME?</v>
      </c>
      <c r="K17" s="747" t="e">
        <f ca="1">_xll.BDP($C17,"CRNCY")</f>
        <v>#NAME?</v>
      </c>
      <c r="L17" s="44" t="e">
        <f t="shared" ca="1" si="6"/>
        <v>#NAME?</v>
      </c>
      <c r="M17" s="44" t="e">
        <f t="shared" ca="1" si="7"/>
        <v>#NAME?</v>
      </c>
      <c r="N17" s="43" t="e">
        <f ca="1">$K$164</f>
        <v>#NAME?</v>
      </c>
      <c r="O17" s="43">
        <f t="shared" si="8"/>
        <v>338508</v>
      </c>
      <c r="P17" s="43" t="e">
        <f t="shared" ca="1" si="9"/>
        <v>#NAME?</v>
      </c>
      <c r="Q17" s="43" t="e">
        <f t="shared" ca="1" si="2"/>
        <v>#NAME?</v>
      </c>
      <c r="R17" s="142" t="e">
        <f t="shared" ca="1" si="3"/>
        <v>#NAME?</v>
      </c>
      <c r="S17" s="142" t="e">
        <f t="shared" ca="1" si="4"/>
        <v>#NAME?</v>
      </c>
      <c r="T17" s="731" t="e">
        <f ca="1">_xll.BDP(C17,"YLD_YTM_MID")</f>
        <v>#NAME?</v>
      </c>
      <c r="U17" s="732" t="e">
        <f ca="1">E17*_xll.BDP(C17,"PX_GROSS_ASK")/100</f>
        <v>#NAME?</v>
      </c>
      <c r="V17" s="82" t="e">
        <f ca="1">_xll.BDP($C17,"CHG_PCT_YTD")</f>
        <v>#NAME?</v>
      </c>
      <c r="W17" s="82" t="e">
        <f ca="1">_xll.BDP($C17,"CHG_PCT_1YR")</f>
        <v>#NAME?</v>
      </c>
      <c r="X17" s="82" t="e">
        <f ca="1">_xll.BDP($C17,"CHG_PCT_6M")</f>
        <v>#NAME?</v>
      </c>
      <c r="Y17" s="82" t="e">
        <f ca="1">_xll.BDP($C17,"CHG_PCT_3M")</f>
        <v>#NAME?</v>
      </c>
      <c r="Z17" s="82" t="e">
        <f ca="1">_xll.BDP($C17,"CHG_PCT_1M")</f>
        <v>#NAME?</v>
      </c>
      <c r="AA17" s="82" t="e">
        <f ca="1">_xll.BDP($C17,"CHG_PCT_5D")</f>
        <v>#NAME?</v>
      </c>
      <c r="AB17" s="82"/>
    </row>
    <row r="18" spans="1:29" s="103" customFormat="1" ht="15" x14ac:dyDescent="0.25">
      <c r="A18" s="103" t="s">
        <v>417</v>
      </c>
      <c r="B18" s="46" t="e">
        <f ca="1">_xll.BDP(C18,"SECURITY_NAME")</f>
        <v>#NAME?</v>
      </c>
      <c r="C18" s="103" t="s">
        <v>378</v>
      </c>
      <c r="D18" s="44" t="e">
        <f t="shared" ca="1" si="0"/>
        <v>#NAME?</v>
      </c>
      <c r="E18" s="43">
        <v>2450000</v>
      </c>
      <c r="F18" s="38">
        <f>$H$138</f>
        <v>72.550370372222218</v>
      </c>
      <c r="G18" s="38" t="e">
        <f ca="1">_xll.BDP(C18,"PX MID")</f>
        <v>#NAME?</v>
      </c>
      <c r="K18" s="747" t="e">
        <f ca="1">_xll.BDP($C18,"CRNCY")</f>
        <v>#NAME?</v>
      </c>
      <c r="L18" s="44" t="e">
        <f t="shared" ca="1" si="6"/>
        <v>#NAME?</v>
      </c>
      <c r="M18" s="44" t="e">
        <f t="shared" ca="1" si="7"/>
        <v>#NAME?</v>
      </c>
      <c r="N18" s="43" t="e">
        <f ca="1">$K$138</f>
        <v>#NAME?</v>
      </c>
      <c r="O18" s="43">
        <f t="shared" si="8"/>
        <v>1777484.0741194445</v>
      </c>
      <c r="P18" s="43" t="e">
        <f t="shared" ca="1" si="9"/>
        <v>#NAME?</v>
      </c>
      <c r="Q18" s="43" t="e">
        <f t="shared" ca="1" si="2"/>
        <v>#NAME?</v>
      </c>
      <c r="R18" s="142" t="e">
        <f t="shared" ca="1" si="3"/>
        <v>#NAME?</v>
      </c>
      <c r="S18" s="142" t="e">
        <f t="shared" ca="1" si="4"/>
        <v>#NAME?</v>
      </c>
      <c r="T18" s="731" t="e">
        <f ca="1">_xll.BDP(C18,"YLD_YTM_MID")</f>
        <v>#NAME?</v>
      </c>
      <c r="U18" s="732" t="e">
        <f ca="1">E18*_xll.BDP(C18,"PX_GROSS_ASK")/100</f>
        <v>#NAME?</v>
      </c>
      <c r="V18" s="82" t="e">
        <f ca="1">_xll.BDP($C18,"CHG_PCT_YTD")</f>
        <v>#NAME?</v>
      </c>
      <c r="W18" s="82" t="e">
        <f ca="1">_xll.BDP($C18,"CHG_PCT_1YR")</f>
        <v>#NAME?</v>
      </c>
      <c r="X18" s="82" t="e">
        <f ca="1">_xll.BDP($C18,"CHG_PCT_6M")</f>
        <v>#NAME?</v>
      </c>
      <c r="Y18" s="82" t="e">
        <f ca="1">_xll.BDP($C18,"CHG_PCT_3M")</f>
        <v>#NAME?</v>
      </c>
      <c r="Z18" s="82" t="e">
        <f ca="1">_xll.BDP($C18,"CHG_PCT_1M")</f>
        <v>#NAME?</v>
      </c>
      <c r="AA18" s="82" t="e">
        <f ca="1">_xll.BDP($C18,"CHG_PCT_5D")</f>
        <v>#NAME?</v>
      </c>
      <c r="AB18" s="82"/>
    </row>
    <row r="19" spans="1:29" x14ac:dyDescent="0.2">
      <c r="B19" s="68" t="s">
        <v>106</v>
      </c>
      <c r="C19" s="68" t="s">
        <v>106</v>
      </c>
      <c r="D19" s="101" t="e">
        <f t="shared" ca="1" si="0"/>
        <v>#NAME?</v>
      </c>
      <c r="E19" s="101"/>
      <c r="F19" s="101"/>
      <c r="G19" s="66"/>
      <c r="H19" s="66"/>
      <c r="I19" s="66"/>
      <c r="J19" s="66"/>
      <c r="K19" s="177"/>
      <c r="L19" s="179"/>
      <c r="M19" s="179"/>
      <c r="N19" s="178"/>
      <c r="O19" s="177"/>
      <c r="P19" s="64"/>
      <c r="Q19" s="64">
        <v>66390</v>
      </c>
      <c r="R19" s="62"/>
      <c r="S19" s="62"/>
      <c r="T19" s="484"/>
      <c r="U19" s="420">
        <f>Q19</f>
        <v>66390</v>
      </c>
      <c r="V19" s="177"/>
      <c r="W19" s="177"/>
      <c r="X19" s="177"/>
      <c r="Y19" s="177"/>
      <c r="Z19" s="177"/>
      <c r="AA19" s="177"/>
      <c r="AB19" s="177"/>
      <c r="AC19" s="177"/>
    </row>
    <row r="20" spans="1:29" ht="13.5" customHeight="1" thickBot="1" x14ac:dyDescent="0.3">
      <c r="B20" s="175"/>
      <c r="C20" s="175"/>
      <c r="D20" s="435" t="e">
        <f ca="1">SUM(D4:D19)</f>
        <v>#NAME?</v>
      </c>
      <c r="E20" s="176"/>
      <c r="F20" s="176"/>
      <c r="G20" s="175"/>
      <c r="H20" s="175"/>
      <c r="I20" s="570" t="e">
        <f ca="1">SUMPRODUCT($D$4:$D$14,I4:I14)</f>
        <v>#NAME?</v>
      </c>
      <c r="J20" s="175"/>
      <c r="K20" s="55"/>
      <c r="L20" s="570" t="e">
        <f ca="1">SUMPRODUCT($D$4:$D$18,L4:L18)</f>
        <v>#NAME?</v>
      </c>
      <c r="M20" s="570" t="e">
        <f ca="1">SUMPRODUCT($D$4:$D$18,M4:M18)</f>
        <v>#NAME?</v>
      </c>
      <c r="N20" s="137" t="e">
        <f ca="1">SUM(N4:N19)</f>
        <v>#NAME?</v>
      </c>
      <c r="O20" s="184" t="e">
        <f ca="1">SUM(O4:O18)</f>
        <v>#NAME?</v>
      </c>
      <c r="P20" s="137" t="e">
        <f ca="1">SUM(P4:P19)</f>
        <v>#NAME?</v>
      </c>
      <c r="Q20" s="137" t="e">
        <f ca="1">SUM(Q4:Q19)</f>
        <v>#NAME?</v>
      </c>
      <c r="R20" s="332" t="e">
        <f ca="1">SUM(R4:R18)</f>
        <v>#NAME?</v>
      </c>
      <c r="S20" s="332" t="e">
        <f ca="1">SUM(S4:S18)</f>
        <v>#NAME?</v>
      </c>
      <c r="T20" s="731" t="e">
        <f ca="1">SUMPRODUCT(D4:D18,T4:T18)</f>
        <v>#NAME?</v>
      </c>
      <c r="U20" s="471" t="e">
        <f ca="1">SUM(U4:U19)</f>
        <v>#NAME?</v>
      </c>
      <c r="V20" s="332"/>
      <c r="W20" s="332"/>
      <c r="X20" s="332"/>
      <c r="Y20" s="332"/>
      <c r="Z20" s="55"/>
      <c r="AA20" s="55"/>
      <c r="AB20" s="55"/>
      <c r="AC20" s="55"/>
    </row>
    <row r="21" spans="1:29" ht="13.5" customHeight="1" x14ac:dyDescent="0.2">
      <c r="B21" s="35"/>
      <c r="C21" s="35"/>
      <c r="D21" s="54"/>
      <c r="E21" s="46"/>
      <c r="F21" s="46"/>
      <c r="G21" s="35"/>
      <c r="K21" s="35"/>
      <c r="L21" s="40"/>
      <c r="M21" s="40"/>
      <c r="N21" s="42"/>
      <c r="O21" s="43"/>
      <c r="P21" s="208"/>
      <c r="Q21" s="33"/>
      <c r="R21" s="454"/>
      <c r="S21" s="454" t="e">
        <f ca="1">U20/O20-1</f>
        <v>#NAME?</v>
      </c>
      <c r="T21" s="836" t="s">
        <v>771</v>
      </c>
      <c r="U21" s="836"/>
      <c r="V21" s="33"/>
      <c r="W21" s="33"/>
      <c r="X21" s="33"/>
      <c r="Y21" s="33"/>
    </row>
    <row r="22" spans="1:29" x14ac:dyDescent="0.2">
      <c r="E22" s="155"/>
      <c r="K22" s="30"/>
      <c r="L22" s="148"/>
      <c r="M22" s="35"/>
      <c r="N22" s="34"/>
      <c r="O22" s="34"/>
      <c r="P22" s="30"/>
      <c r="Q22" s="728"/>
      <c r="R22" s="728"/>
      <c r="T22" s="837"/>
      <c r="U22" s="837"/>
    </row>
    <row r="23" spans="1:29" x14ac:dyDescent="0.2">
      <c r="B23" s="32" t="s">
        <v>276</v>
      </c>
      <c r="E23" s="155"/>
      <c r="M23" s="35"/>
      <c r="N23" s="34"/>
      <c r="O23" s="34"/>
      <c r="P23" s="30"/>
      <c r="Q23" s="728"/>
      <c r="R23" s="728"/>
      <c r="T23" s="837"/>
      <c r="U23" s="837"/>
    </row>
    <row r="24" spans="1:29" x14ac:dyDescent="0.2">
      <c r="B24" s="32">
        <v>2015</v>
      </c>
      <c r="M24" s="35"/>
      <c r="N24" s="34"/>
      <c r="O24" s="34"/>
      <c r="P24" s="30"/>
      <c r="Q24" s="728"/>
      <c r="R24" s="728"/>
      <c r="T24" s="837"/>
      <c r="U24" s="837"/>
    </row>
    <row r="25" spans="1:29" ht="40.5" customHeight="1" x14ac:dyDescent="0.2">
      <c r="B25" s="51" t="s">
        <v>105</v>
      </c>
      <c r="C25" s="50" t="s">
        <v>104</v>
      </c>
      <c r="D25" s="50" t="s">
        <v>174</v>
      </c>
      <c r="E25" s="50" t="s">
        <v>173</v>
      </c>
      <c r="F25" s="50" t="s">
        <v>175</v>
      </c>
      <c r="G25" s="50" t="s">
        <v>172</v>
      </c>
      <c r="H25" s="50" t="s">
        <v>103</v>
      </c>
      <c r="I25" s="50" t="s">
        <v>102</v>
      </c>
      <c r="J25" s="50" t="s">
        <v>101</v>
      </c>
      <c r="K25" s="50" t="s">
        <v>100</v>
      </c>
      <c r="L25" s="50" t="s">
        <v>99</v>
      </c>
      <c r="M25" s="50" t="s">
        <v>98</v>
      </c>
      <c r="N25" s="50" t="s">
        <v>280</v>
      </c>
      <c r="O25" s="50" t="s">
        <v>97</v>
      </c>
      <c r="P25" s="50" t="s">
        <v>279</v>
      </c>
      <c r="Q25" s="50" t="s">
        <v>277</v>
      </c>
      <c r="R25" s="50" t="s">
        <v>278</v>
      </c>
    </row>
    <row r="26" spans="1:29" x14ac:dyDescent="0.2">
      <c r="B26" s="103" t="s">
        <v>107</v>
      </c>
      <c r="C26" s="103" t="s">
        <v>31</v>
      </c>
      <c r="D26" s="73" t="s">
        <v>51</v>
      </c>
      <c r="E26" s="43" t="e">
        <f ca="1">F26*_xll.BDP(C26,"PX_LAST")</f>
        <v>#NAME?</v>
      </c>
      <c r="F26" s="43">
        <v>27700</v>
      </c>
      <c r="G26" s="43">
        <v>16760</v>
      </c>
      <c r="H26" s="47">
        <f t="shared" ref="H26:H33" si="10">G26/F26</f>
        <v>0.60505415162454879</v>
      </c>
      <c r="I26" s="43">
        <f>G26*K26</f>
        <v>9943708</v>
      </c>
      <c r="J26" s="45">
        <f>G26*L26</f>
        <v>10435849.99756</v>
      </c>
      <c r="K26" s="38">
        <v>593.29999999999995</v>
      </c>
      <c r="L26" s="38">
        <v>622.66408100000001</v>
      </c>
      <c r="M26" s="44">
        <f t="shared" ref="M26:M33" si="11">L26/K26-1</f>
        <v>4.9492804651946942E-2</v>
      </c>
      <c r="N26" s="43">
        <f>J26-I26</f>
        <v>492141.99756000005</v>
      </c>
      <c r="O26" s="106" t="e">
        <f ca="1">_xll.BDP($C26,"CRNCY")</f>
        <v>#NAME?</v>
      </c>
      <c r="P26" s="43" t="e">
        <f t="shared" ref="P26:P33" ca="1" si="12">N26/R26</f>
        <v>#NAME?</v>
      </c>
      <c r="Q26" s="14">
        <v>42257</v>
      </c>
      <c r="R26" s="22" t="e">
        <f ca="1">_xll.BDH("RUB curncy","PX_LAST",$Q26)</f>
        <v>#NAME?</v>
      </c>
    </row>
    <row r="27" spans="1:29" x14ac:dyDescent="0.2">
      <c r="B27" s="103" t="s">
        <v>107</v>
      </c>
      <c r="C27" s="103" t="s">
        <v>31</v>
      </c>
      <c r="D27" s="73" t="s">
        <v>51</v>
      </c>
      <c r="E27" s="43" t="e">
        <f ca="1">F27*_xll.BDP(C27,"PX_LAST")</f>
        <v>#NAME?</v>
      </c>
      <c r="F27" s="43">
        <v>27700</v>
      </c>
      <c r="G27" s="43">
        <v>10940</v>
      </c>
      <c r="H27" s="47">
        <f t="shared" si="10"/>
        <v>0.39494584837545127</v>
      </c>
      <c r="I27" s="43">
        <f>G27*K27</f>
        <v>6490701.9999999991</v>
      </c>
      <c r="J27" s="45">
        <f>G27*L27</f>
        <v>6893041.0015599998</v>
      </c>
      <c r="K27" s="38">
        <v>593.29999999999995</v>
      </c>
      <c r="L27" s="38">
        <v>630.07687399999998</v>
      </c>
      <c r="M27" s="44">
        <f t="shared" si="11"/>
        <v>6.1986977920107877E-2</v>
      </c>
      <c r="N27" s="43">
        <f>J27-I27</f>
        <v>402339.0015600007</v>
      </c>
      <c r="O27" s="106" t="e">
        <f ca="1">_xll.BDP($C27,"CRNCY")</f>
        <v>#NAME?</v>
      </c>
      <c r="P27" s="43" t="e">
        <f t="shared" ca="1" si="12"/>
        <v>#NAME?</v>
      </c>
      <c r="Q27" s="14">
        <v>42258</v>
      </c>
      <c r="R27" s="22" t="e">
        <f ca="1">_xll.BDH("RUB curncy","PX_LAST",$Q27)</f>
        <v>#NAME?</v>
      </c>
    </row>
    <row r="28" spans="1:29" x14ac:dyDescent="0.2">
      <c r="B28" s="103" t="s">
        <v>185</v>
      </c>
      <c r="C28" s="103" t="s">
        <v>68</v>
      </c>
      <c r="D28" s="73" t="s">
        <v>51</v>
      </c>
      <c r="E28" s="43" t="e">
        <f ca="1">F28*_xll.BDP(C28,"PX_LAST")</f>
        <v>#NAME?</v>
      </c>
      <c r="F28" s="43">
        <v>447200</v>
      </c>
      <c r="G28" s="43">
        <v>50000</v>
      </c>
      <c r="H28" s="47">
        <f t="shared" si="10"/>
        <v>0.11180679785330948</v>
      </c>
      <c r="I28" s="43">
        <f>G28*K28</f>
        <v>2594500</v>
      </c>
      <c r="J28" s="45">
        <f>G28*L28</f>
        <v>3518835</v>
      </c>
      <c r="K28" s="38">
        <v>51.89</v>
      </c>
      <c r="L28" s="38">
        <v>70.3767</v>
      </c>
      <c r="M28" s="44">
        <f t="shared" si="11"/>
        <v>0.35626710348814794</v>
      </c>
      <c r="N28" s="43">
        <f>J28-I28</f>
        <v>924335</v>
      </c>
      <c r="O28" s="106" t="e">
        <f ca="1">_xll.BDP($C28,"CRNCY")</f>
        <v>#NAME?</v>
      </c>
      <c r="P28" s="43" t="e">
        <f t="shared" ca="1" si="12"/>
        <v>#NAME?</v>
      </c>
      <c r="Q28" s="14">
        <v>42311</v>
      </c>
      <c r="R28" s="22" t="e">
        <f ca="1">_xll.BDH("RUB curncy","PX_LAST",$Q28)</f>
        <v>#NAME?</v>
      </c>
    </row>
    <row r="29" spans="1:29" x14ac:dyDescent="0.2">
      <c r="B29" s="103" t="s">
        <v>185</v>
      </c>
      <c r="C29" s="103" t="s">
        <v>68</v>
      </c>
      <c r="D29" s="73" t="s">
        <v>51</v>
      </c>
      <c r="E29" s="43" t="e">
        <f ca="1">F29*_xll.BDP(C29,"PX_LAST")</f>
        <v>#NAME?</v>
      </c>
      <c r="F29" s="43">
        <v>447200</v>
      </c>
      <c r="G29" s="43">
        <v>50000</v>
      </c>
      <c r="H29" s="47">
        <f t="shared" si="10"/>
        <v>0.11180679785330948</v>
      </c>
      <c r="I29" s="43">
        <f>G29*K29</f>
        <v>2594500</v>
      </c>
      <c r="J29" s="45">
        <f>G29*L29</f>
        <v>3750000</v>
      </c>
      <c r="K29" s="38">
        <v>51.89</v>
      </c>
      <c r="L29" s="38">
        <v>75</v>
      </c>
      <c r="M29" s="44">
        <f t="shared" si="11"/>
        <v>0.44536519560608978</v>
      </c>
      <c r="N29" s="43">
        <f>J29-I29</f>
        <v>1155500</v>
      </c>
      <c r="O29" s="106" t="e">
        <f ca="1">_xll.BDP($C29,"CRNCY")</f>
        <v>#NAME?</v>
      </c>
      <c r="P29" s="43" t="e">
        <f t="shared" ca="1" si="12"/>
        <v>#NAME?</v>
      </c>
      <c r="Q29" s="14">
        <v>42325</v>
      </c>
      <c r="R29" s="22" t="e">
        <f ca="1">_xll.BDH("RUB curncy","PX_LAST",$Q29)</f>
        <v>#NAME?</v>
      </c>
    </row>
    <row r="30" spans="1:29" x14ac:dyDescent="0.2">
      <c r="B30" s="103" t="s">
        <v>185</v>
      </c>
      <c r="C30" s="103" t="s">
        <v>68</v>
      </c>
      <c r="D30" s="73" t="s">
        <v>51</v>
      </c>
      <c r="E30" s="43" t="e">
        <f ca="1">F30*_xll.BDP(C30,"PX_LAST")</f>
        <v>#NAME?</v>
      </c>
      <c r="F30" s="43">
        <v>447200</v>
      </c>
      <c r="G30" s="43">
        <v>50000</v>
      </c>
      <c r="H30" s="47">
        <f t="shared" si="10"/>
        <v>0.11180679785330948</v>
      </c>
      <c r="I30" s="43">
        <f>G30*K30</f>
        <v>2594500</v>
      </c>
      <c r="J30" s="45">
        <f>G30*L30</f>
        <v>3800000</v>
      </c>
      <c r="K30" s="38">
        <v>51.89</v>
      </c>
      <c r="L30" s="38">
        <v>76</v>
      </c>
      <c r="M30" s="44">
        <f t="shared" si="11"/>
        <v>0.4646367315475044</v>
      </c>
      <c r="N30" s="43">
        <f>J30-I30</f>
        <v>1205500</v>
      </c>
      <c r="O30" s="106" t="e">
        <f ca="1">_xll.BDP($C30,"CRNCY")</f>
        <v>#NAME?</v>
      </c>
      <c r="P30" s="43" t="e">
        <f t="shared" ca="1" si="12"/>
        <v>#NAME?</v>
      </c>
      <c r="Q30" s="14">
        <v>42327</v>
      </c>
      <c r="R30" s="22" t="e">
        <f ca="1">_xll.BDH("RUB curncy","PX_LAST",$Q30)</f>
        <v>#NAME?</v>
      </c>
    </row>
    <row r="31" spans="1:29" x14ac:dyDescent="0.2">
      <c r="B31" s="103" t="e">
        <f ca="1">_xll.BDP(C31,"SECURITY_NAME")</f>
        <v>#NAME?</v>
      </c>
      <c r="C31" s="118" t="s">
        <v>410</v>
      </c>
      <c r="D31" s="73" t="s">
        <v>51</v>
      </c>
      <c r="E31" s="43" t="e">
        <f ca="1">F31*_xll.BDP(C31,"PX_LAST")/100</f>
        <v>#NAME?</v>
      </c>
      <c r="F31" s="43">
        <v>2600000</v>
      </c>
      <c r="G31" s="43">
        <v>2000000</v>
      </c>
      <c r="H31" s="47">
        <f t="shared" si="10"/>
        <v>0.76923076923076927</v>
      </c>
      <c r="I31" s="43">
        <f>G31*K31/100</f>
        <v>1488000</v>
      </c>
      <c r="J31" s="45">
        <f>G31*L31/100</f>
        <v>1944600</v>
      </c>
      <c r="K31" s="38">
        <v>74.400000000000006</v>
      </c>
      <c r="L31" s="38">
        <v>97.23</v>
      </c>
      <c r="M31" s="44">
        <f t="shared" si="11"/>
        <v>0.30685483870967745</v>
      </c>
      <c r="N31" s="43" t="e">
        <f ca="1">(J31-I31)*R31</f>
        <v>#NAME?</v>
      </c>
      <c r="O31" s="106" t="e">
        <f ca="1">_xll.BDP($C31,"CRNCY")</f>
        <v>#NAME?</v>
      </c>
      <c r="P31" s="43" t="e">
        <f t="shared" ca="1" si="12"/>
        <v>#NAME?</v>
      </c>
      <c r="Q31" s="14">
        <v>42346</v>
      </c>
      <c r="R31" s="22" t="e">
        <f ca="1">_xll.BDH("RUB curncy","PX_LAST",$Q31)</f>
        <v>#NAME?</v>
      </c>
    </row>
    <row r="32" spans="1:29" x14ac:dyDescent="0.2">
      <c r="B32" s="103" t="e">
        <f ca="1">_xll.BDP(C32,"SECURITY_NAME")</f>
        <v>#NAME?</v>
      </c>
      <c r="C32" s="118" t="s">
        <v>410</v>
      </c>
      <c r="D32" s="73" t="s">
        <v>51</v>
      </c>
      <c r="E32" s="43" t="e">
        <f ca="1">F32*_xll.BDP(C32,"PX_LAST")/100</f>
        <v>#NAME?</v>
      </c>
      <c r="F32" s="43">
        <v>2600000</v>
      </c>
      <c r="G32" s="43">
        <v>600000</v>
      </c>
      <c r="H32" s="47">
        <f t="shared" si="10"/>
        <v>0.23076923076923078</v>
      </c>
      <c r="I32" s="43">
        <f>G32*K32/100</f>
        <v>446400</v>
      </c>
      <c r="J32" s="45">
        <f>G32*L32/100</f>
        <v>586380</v>
      </c>
      <c r="K32" s="38">
        <v>74.400000000000006</v>
      </c>
      <c r="L32" s="38">
        <v>97.73</v>
      </c>
      <c r="M32" s="44">
        <f t="shared" si="11"/>
        <v>0.31357526881720421</v>
      </c>
      <c r="N32" s="43" t="e">
        <f ca="1">(J32-I32)*R32</f>
        <v>#NAME?</v>
      </c>
      <c r="O32" s="106" t="e">
        <f ca="1">_xll.BDP($C32,"CRNCY")</f>
        <v>#NAME?</v>
      </c>
      <c r="P32" s="43" t="e">
        <f t="shared" ca="1" si="12"/>
        <v>#NAME?</v>
      </c>
      <c r="Q32" s="14">
        <v>42348</v>
      </c>
      <c r="R32" s="75" t="e">
        <f ca="1">_xll.BDH("RUB curncy","PX_LAST",$Q32)</f>
        <v>#NAME?</v>
      </c>
    </row>
    <row r="33" spans="2:18" ht="13.5" thickBot="1" x14ac:dyDescent="0.25">
      <c r="B33" s="358" t="e">
        <f ca="1">_xll.BDP(C33,"SECURITY_NAME")</f>
        <v>#NAME?</v>
      </c>
      <c r="C33" s="359" t="s">
        <v>376</v>
      </c>
      <c r="D33" s="360" t="s">
        <v>51</v>
      </c>
      <c r="E33" s="361" t="e">
        <f ca="1">F33*_xll.BDP(C33,"PX_LAST")/100</f>
        <v>#NAME?</v>
      </c>
      <c r="F33" s="361">
        <v>1830000</v>
      </c>
      <c r="G33" s="361">
        <v>1830000</v>
      </c>
      <c r="H33" s="362">
        <f t="shared" si="10"/>
        <v>1</v>
      </c>
      <c r="I33" s="361">
        <f>G33*K33/100</f>
        <v>913170</v>
      </c>
      <c r="J33" s="363">
        <f>G33*L33/100</f>
        <v>1763571</v>
      </c>
      <c r="K33" s="364">
        <v>49.9</v>
      </c>
      <c r="L33" s="364">
        <v>96.37</v>
      </c>
      <c r="M33" s="365">
        <f t="shared" si="11"/>
        <v>0.93126252505010032</v>
      </c>
      <c r="N33" s="361" t="e">
        <f ca="1">(J33-I33)*R33</f>
        <v>#NAME?</v>
      </c>
      <c r="O33" s="366" t="e">
        <f ca="1">_xll.BDP($C33,"CRNCY")</f>
        <v>#NAME?</v>
      </c>
      <c r="P33" s="361" t="e">
        <f t="shared" ca="1" si="12"/>
        <v>#NAME?</v>
      </c>
      <c r="Q33" s="367">
        <v>42348</v>
      </c>
      <c r="R33" s="368" t="e">
        <f ca="1">_xll.BDH("RUB curncy","PX_LAST",$Q33)</f>
        <v>#NAME?</v>
      </c>
    </row>
    <row r="34" spans="2:18" x14ac:dyDescent="0.2">
      <c r="B34" s="46">
        <v>2016</v>
      </c>
      <c r="C34" s="118"/>
      <c r="D34" s="73"/>
      <c r="E34" s="43"/>
      <c r="F34" s="43"/>
      <c r="G34" s="43"/>
      <c r="H34" s="47"/>
      <c r="I34" s="43"/>
      <c r="J34" s="45"/>
      <c r="K34" s="38"/>
      <c r="L34" s="38"/>
      <c r="M34" s="44"/>
      <c r="N34" s="130"/>
      <c r="O34" s="106"/>
      <c r="P34" s="355" t="e">
        <f ca="1">SUM(P26:P33)</f>
        <v>#NAME?</v>
      </c>
      <c r="Q34" s="14"/>
      <c r="R34" s="75"/>
    </row>
    <row r="35" spans="2:18" ht="51" x14ac:dyDescent="0.2">
      <c r="B35" s="51" t="s">
        <v>105</v>
      </c>
      <c r="C35" s="50" t="s">
        <v>104</v>
      </c>
      <c r="D35" s="50" t="s">
        <v>174</v>
      </c>
      <c r="E35" s="50" t="s">
        <v>173</v>
      </c>
      <c r="F35" s="50" t="s">
        <v>175</v>
      </c>
      <c r="G35" s="50" t="s">
        <v>172</v>
      </c>
      <c r="H35" s="50" t="s">
        <v>103</v>
      </c>
      <c r="I35" s="50" t="s">
        <v>102</v>
      </c>
      <c r="J35" s="50" t="s">
        <v>101</v>
      </c>
      <c r="K35" s="50" t="s">
        <v>100</v>
      </c>
      <c r="L35" s="50" t="s">
        <v>99</v>
      </c>
      <c r="M35" s="50" t="s">
        <v>98</v>
      </c>
      <c r="N35" s="50" t="s">
        <v>280</v>
      </c>
      <c r="O35" s="50" t="s">
        <v>97</v>
      </c>
      <c r="P35" s="50" t="s">
        <v>279</v>
      </c>
      <c r="Q35" s="50" t="s">
        <v>277</v>
      </c>
      <c r="R35" s="50" t="s">
        <v>278</v>
      </c>
    </row>
    <row r="36" spans="2:18" x14ac:dyDescent="0.2">
      <c r="B36" s="103" t="s">
        <v>388</v>
      </c>
      <c r="C36" s="103" t="s">
        <v>8</v>
      </c>
      <c r="D36" s="73" t="s">
        <v>51</v>
      </c>
      <c r="E36" s="43" t="e">
        <f ca="1">F36*_xll.BDP(C36,"PX_LAST")</f>
        <v>#NAME?</v>
      </c>
      <c r="F36" s="43">
        <v>1625</v>
      </c>
      <c r="G36" s="43">
        <v>1225</v>
      </c>
      <c r="H36" s="47">
        <f t="shared" ref="H36:H41" si="13">G36/F36</f>
        <v>0.75384615384615383</v>
      </c>
      <c r="I36" s="43">
        <f>G36*K36</f>
        <v>13977250</v>
      </c>
      <c r="J36" s="45">
        <f>G36*L36</f>
        <v>14105727.999999998</v>
      </c>
      <c r="K36" s="38">
        <v>11410</v>
      </c>
      <c r="L36" s="38">
        <v>11514.88</v>
      </c>
      <c r="M36" s="500">
        <f t="shared" ref="M36:M41" si="14">L36/K36-1</f>
        <v>9.1919368974582305E-3</v>
      </c>
      <c r="N36" s="43">
        <f>J36-I36</f>
        <v>128477.99999999814</v>
      </c>
      <c r="O36" s="106" t="e">
        <f ca="1">_xll.BDP($C36,"CRNCY")</f>
        <v>#NAME?</v>
      </c>
      <c r="P36" s="43" t="e">
        <f ca="1">N36/R36</f>
        <v>#NAME?</v>
      </c>
      <c r="Q36" s="14">
        <v>42397</v>
      </c>
      <c r="R36" s="22" t="e">
        <f ca="1">_xll.BDH("RUB curncy","PX_LAST",$Q36)</f>
        <v>#NAME?</v>
      </c>
    </row>
    <row r="37" spans="2:18" x14ac:dyDescent="0.2">
      <c r="B37" s="103" t="s">
        <v>388</v>
      </c>
      <c r="C37" s="103" t="s">
        <v>8</v>
      </c>
      <c r="D37" s="73" t="s">
        <v>51</v>
      </c>
      <c r="E37" s="43" t="e">
        <f ca="1">F37*_xll.BDP(C37,"PX_LAST")</f>
        <v>#NAME?</v>
      </c>
      <c r="F37" s="43">
        <v>1625</v>
      </c>
      <c r="G37" s="43">
        <v>1225</v>
      </c>
      <c r="H37" s="47">
        <f t="shared" si="13"/>
        <v>0.75384615384615383</v>
      </c>
      <c r="I37" s="43">
        <f>G37*K37</f>
        <v>13977250</v>
      </c>
      <c r="J37" s="45">
        <f>G37*L37</f>
        <v>14249359.249999998</v>
      </c>
      <c r="K37" s="38">
        <v>11410</v>
      </c>
      <c r="L37" s="38">
        <v>11632.13</v>
      </c>
      <c r="M37" s="500">
        <f t="shared" si="14"/>
        <v>1.9468010517090129E-2</v>
      </c>
      <c r="N37" s="43">
        <f>J37-I37</f>
        <v>272109.24999999814</v>
      </c>
      <c r="O37" s="106" t="e">
        <f ca="1">_xll.BDP($C37,"CRNCY")</f>
        <v>#NAME?</v>
      </c>
      <c r="P37" s="43" t="e">
        <f ca="1">N37/R37</f>
        <v>#NAME?</v>
      </c>
      <c r="Q37" s="14">
        <v>42398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118" t="s">
        <v>372</v>
      </c>
      <c r="D38" s="73" t="s">
        <v>51</v>
      </c>
      <c r="E38" s="43" t="e">
        <f ca="1">F38*_xll.BDP(C38,"PX_LAST")/100</f>
        <v>#NAME?</v>
      </c>
      <c r="F38" s="43">
        <v>1050000</v>
      </c>
      <c r="G38" s="43">
        <v>1050000</v>
      </c>
      <c r="H38" s="47">
        <f t="shared" si="13"/>
        <v>1</v>
      </c>
      <c r="I38" s="43">
        <f>G38*K38/100</f>
        <v>838950</v>
      </c>
      <c r="J38" s="45">
        <f>G38*L38/100</f>
        <v>934500</v>
      </c>
      <c r="K38" s="38">
        <v>79.900000000000006</v>
      </c>
      <c r="L38" s="38">
        <v>89</v>
      </c>
      <c r="M38" s="500">
        <f t="shared" si="14"/>
        <v>0.11389236545682091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42409</v>
      </c>
      <c r="R38" s="75" t="e">
        <f ca="1">_xll.BDH("RUB curncy","PX_LAST",$Q38)</f>
        <v>#NAME?</v>
      </c>
    </row>
    <row r="39" spans="2:18" x14ac:dyDescent="0.2">
      <c r="B39" s="103" t="s">
        <v>185</v>
      </c>
      <c r="C39" s="103" t="s">
        <v>68</v>
      </c>
      <c r="D39" s="73" t="s">
        <v>51</v>
      </c>
      <c r="E39" s="43" t="e">
        <f ca="1">F39*_xll.BDP(C39,"PX_LAST")</f>
        <v>#NAME?</v>
      </c>
      <c r="F39" s="43">
        <v>447200</v>
      </c>
      <c r="G39" s="43">
        <v>297200</v>
      </c>
      <c r="H39" s="47">
        <f t="shared" si="13"/>
        <v>0.66457960644007152</v>
      </c>
      <c r="I39" s="43">
        <f>G39*K39</f>
        <v>14117000</v>
      </c>
      <c r="J39" s="45">
        <f>G39*L39</f>
        <v>22436562.9912</v>
      </c>
      <c r="K39" s="38">
        <v>47.5</v>
      </c>
      <c r="L39" s="38">
        <v>75.493145999999996</v>
      </c>
      <c r="M39" s="500">
        <f t="shared" si="14"/>
        <v>0.58932938947368418</v>
      </c>
      <c r="N39" s="43">
        <f>J39-I39</f>
        <v>8319562.9912</v>
      </c>
      <c r="O39" s="106" t="e">
        <f ca="1">_xll.BDP($C39,"CRNCY")</f>
        <v>#NAME?</v>
      </c>
      <c r="P39" s="43" t="e">
        <f ca="1">N39/R39</f>
        <v>#NAME?</v>
      </c>
      <c r="Q39" s="14">
        <v>42431</v>
      </c>
      <c r="R39" s="22" t="e">
        <f ca="1">_xll.BDH("RUB curncy","PX_LAST",$Q39)</f>
        <v>#NAME?</v>
      </c>
    </row>
    <row r="40" spans="2:18" x14ac:dyDescent="0.2">
      <c r="B40" s="103" t="s">
        <v>261</v>
      </c>
      <c r="C40" s="103" t="s">
        <v>19</v>
      </c>
      <c r="D40" s="73" t="s">
        <v>51</v>
      </c>
      <c r="E40" s="43" t="e">
        <f ca="1">F40*_xll.BDP(C40,"PX_LAST")</f>
        <v>#NAME?</v>
      </c>
      <c r="F40" s="43">
        <v>22500</v>
      </c>
      <c r="G40" s="43">
        <v>22500</v>
      </c>
      <c r="H40" s="47">
        <f t="shared" si="13"/>
        <v>1</v>
      </c>
      <c r="I40" s="43">
        <f>G40*K40</f>
        <v>6255000</v>
      </c>
      <c r="J40" s="45">
        <f>G40*L40</f>
        <v>6840000</v>
      </c>
      <c r="K40" s="38">
        <v>278</v>
      </c>
      <c r="L40" s="38">
        <v>304</v>
      </c>
      <c r="M40" s="500">
        <f t="shared" si="14"/>
        <v>9.3525179856115193E-2</v>
      </c>
      <c r="N40" s="43">
        <f>J40-I40</f>
        <v>585000</v>
      </c>
      <c r="O40" s="106" t="e">
        <f ca="1">_xll.BDP($C40,"CRNCY")</f>
        <v>#NAME?</v>
      </c>
      <c r="P40" s="43" t="e">
        <f ca="1">N40/R40</f>
        <v>#NAME?</v>
      </c>
      <c r="Q40" s="14">
        <v>42460</v>
      </c>
      <c r="R40" s="22" t="e">
        <f ca="1">_xll.BDH("RUB curncy","PX_LAST",$Q40)</f>
        <v>#NAME?</v>
      </c>
    </row>
    <row r="41" spans="2:18" s="48" customFormat="1" x14ac:dyDescent="0.2">
      <c r="B41" s="103" t="s">
        <v>227</v>
      </c>
      <c r="C41" s="103" t="s">
        <v>10</v>
      </c>
      <c r="D41" s="73" t="s">
        <v>51</v>
      </c>
      <c r="E41" s="43" t="e">
        <f ca="1">F41*_xll.BDP(C41,"PX_LAST")</f>
        <v>#NAME?</v>
      </c>
      <c r="F41" s="43">
        <v>12821</v>
      </c>
      <c r="G41" s="43">
        <v>12821</v>
      </c>
      <c r="H41" s="47">
        <f t="shared" si="13"/>
        <v>1</v>
      </c>
      <c r="I41" s="43">
        <f>G41*K41</f>
        <v>210264.4</v>
      </c>
      <c r="J41" s="104">
        <f>G41*L41</f>
        <v>227900.24962399999</v>
      </c>
      <c r="K41" s="38">
        <v>16.399999999999999</v>
      </c>
      <c r="L41" s="38">
        <v>17.775544</v>
      </c>
      <c r="M41" s="500">
        <f t="shared" si="14"/>
        <v>8.3874634146341664E-2</v>
      </c>
      <c r="N41" s="43">
        <f>J41-I41</f>
        <v>17635.849623999995</v>
      </c>
      <c r="O41" s="106" t="e">
        <f ca="1">_xll.BDP($C41,"CRNCY")</f>
        <v>#NAME?</v>
      </c>
      <c r="P41" s="43">
        <f>N41</f>
        <v>17635.849623999995</v>
      </c>
      <c r="Q41" s="14">
        <v>42480</v>
      </c>
      <c r="R41" s="140" t="e">
        <f ca="1">_xll.BDH("RUB curncy","PX_LAST",$Q41)</f>
        <v>#NAME?</v>
      </c>
    </row>
    <row r="42" spans="2:18" s="48" customFormat="1" x14ac:dyDescent="0.2">
      <c r="B42" s="103" t="e">
        <f ca="1">_xll.BDP(C42,"SECURITY_NAME")</f>
        <v>#NAME?</v>
      </c>
      <c r="C42" s="103" t="s">
        <v>411</v>
      </c>
      <c r="D42" s="73" t="s">
        <v>51</v>
      </c>
      <c r="E42" s="43" t="e">
        <f ca="1">F42*_xll.BDP(C42,"PX_LAST")/100</f>
        <v>#NAME?</v>
      </c>
      <c r="F42" s="43">
        <v>700000</v>
      </c>
      <c r="G42" s="43">
        <v>700000</v>
      </c>
      <c r="H42" s="47">
        <f>G42/F42</f>
        <v>1</v>
      </c>
      <c r="I42" s="43">
        <f>G42*K42/100</f>
        <v>550620</v>
      </c>
      <c r="J42" s="104">
        <f>G42*L42/100</f>
        <v>768250</v>
      </c>
      <c r="K42" s="38">
        <v>78.66</v>
      </c>
      <c r="L42" s="38">
        <v>109.75</v>
      </c>
      <c r="M42" s="500">
        <f>L42/K42-1</f>
        <v>0.39524535977625219</v>
      </c>
      <c r="N42" s="43" t="e">
        <f ca="1">(J42-I42)*R42</f>
        <v>#NAME?</v>
      </c>
      <c r="O42" s="106" t="e">
        <f ca="1">_xll.BDP($C42,"CRNCY")</f>
        <v>#NAME?</v>
      </c>
      <c r="P42" s="43" t="e">
        <f ca="1">N42/R42</f>
        <v>#NAME?</v>
      </c>
      <c r="Q42" s="14">
        <v>42551</v>
      </c>
      <c r="R42" s="140" t="e">
        <f ca="1">_xll.BDH("RUB curncy","PX_LAST",$Q42)</f>
        <v>#NAME?</v>
      </c>
    </row>
    <row r="43" spans="2:18" s="48" customFormat="1" x14ac:dyDescent="0.2">
      <c r="B43" s="103" t="e">
        <f ca="1">_xll.BDP(C43,"SECURITY_NAME")</f>
        <v>#NAME?</v>
      </c>
      <c r="C43" s="103" t="s">
        <v>377</v>
      </c>
      <c r="D43" s="73" t="s">
        <v>51</v>
      </c>
      <c r="E43" s="43" t="e">
        <f ca="1">F43*_xll.BDP(C43,"PX_LAST")/100</f>
        <v>#NAME?</v>
      </c>
      <c r="F43" s="43">
        <v>2600000</v>
      </c>
      <c r="G43" s="43">
        <v>1150000</v>
      </c>
      <c r="H43" s="47">
        <f t="shared" ref="H43:H50" si="15">G43/F43</f>
        <v>0.44230769230769229</v>
      </c>
      <c r="I43" s="43">
        <f>G43*K43/100</f>
        <v>647910.00000000012</v>
      </c>
      <c r="J43" s="104">
        <f>G43*L43/100</f>
        <v>1203475</v>
      </c>
      <c r="K43" s="38">
        <v>56.34</v>
      </c>
      <c r="L43" s="38">
        <v>104.65</v>
      </c>
      <c r="M43" s="500">
        <f t="shared" ref="M43:M50" si="16">L43/K43-1</f>
        <v>0.85747248846290369</v>
      </c>
      <c r="N43" s="43" t="e">
        <f ca="1">(J43-I43)*R43</f>
        <v>#NAME?</v>
      </c>
      <c r="O43" s="106" t="e">
        <f ca="1">_xll.BDP($C43,"CRNCY")</f>
        <v>#NAME?</v>
      </c>
      <c r="P43" s="43" t="e">
        <f t="shared" ref="P43:P50" ca="1" si="17">N43/R43</f>
        <v>#NAME?</v>
      </c>
      <c r="Q43" s="14">
        <v>42551</v>
      </c>
      <c r="R43" s="140" t="e">
        <f ca="1">_xll.BDH("RUB curncy","PX_LAST",$Q43)</f>
        <v>#NAME?</v>
      </c>
    </row>
    <row r="44" spans="2:18" s="48" customFormat="1" x14ac:dyDescent="0.2">
      <c r="B44" s="103" t="e">
        <f ca="1">_xll.BDP(C44,"SECURITY_NAME")</f>
        <v>#NAME?</v>
      </c>
      <c r="C44" s="103" t="s">
        <v>377</v>
      </c>
      <c r="D44" s="73" t="s">
        <v>51</v>
      </c>
      <c r="E44" s="43" t="e">
        <f ca="1">F44*_xll.BDP(C44,"PX_LAST")/100</f>
        <v>#NAME?</v>
      </c>
      <c r="F44" s="43">
        <v>2600000</v>
      </c>
      <c r="G44" s="43">
        <v>1450000</v>
      </c>
      <c r="H44" s="47">
        <f t="shared" si="15"/>
        <v>0.55769230769230771</v>
      </c>
      <c r="I44" s="43">
        <f>G44*K44/100</f>
        <v>816930</v>
      </c>
      <c r="J44" s="104">
        <f>G44*L44/100</f>
        <v>1518875</v>
      </c>
      <c r="K44" s="38">
        <v>56.34</v>
      </c>
      <c r="L44" s="38">
        <v>104.75</v>
      </c>
      <c r="M44" s="500">
        <f t="shared" si="16"/>
        <v>0.859247426340078</v>
      </c>
      <c r="N44" s="43" t="e">
        <f ca="1">(J44-I44)*R44</f>
        <v>#NAME?</v>
      </c>
      <c r="O44" s="106" t="e">
        <f ca="1">_xll.BDP($C44,"CRNCY")</f>
        <v>#NAME?</v>
      </c>
      <c r="P44" s="43" t="e">
        <f t="shared" ca="1" si="17"/>
        <v>#NAME?</v>
      </c>
      <c r="Q44" s="14">
        <v>42552</v>
      </c>
      <c r="R44" s="140" t="e">
        <f ca="1">_xll.BDH("RUB curncy","PX_LAST",$Q44)</f>
        <v>#NAME?</v>
      </c>
    </row>
    <row r="45" spans="2:18" s="48" customFormat="1" x14ac:dyDescent="0.2">
      <c r="B45" s="103" t="e">
        <f ca="1">_xll.BDP(C45,"SECURITY_NAME")</f>
        <v>#NAME?</v>
      </c>
      <c r="C45" s="103" t="s">
        <v>375</v>
      </c>
      <c r="D45" s="73" t="s">
        <v>51</v>
      </c>
      <c r="E45" s="43" t="e">
        <f ca="1">F45*_xll.BDP(C45,"PX_LAST")/100</f>
        <v>#NAME?</v>
      </c>
      <c r="F45" s="43">
        <v>1735000</v>
      </c>
      <c r="G45" s="43">
        <v>1735000</v>
      </c>
      <c r="H45" s="47">
        <f t="shared" si="15"/>
        <v>1</v>
      </c>
      <c r="I45" s="43">
        <f t="shared" ref="I45:I50" si="18">G45*K45/100</f>
        <v>1027293.5</v>
      </c>
      <c r="J45" s="104">
        <f t="shared" ref="J45:J50" si="19">G45*L45/100</f>
        <v>1730662.5</v>
      </c>
      <c r="K45" s="38">
        <v>59.21</v>
      </c>
      <c r="L45" s="38">
        <v>99.75</v>
      </c>
      <c r="M45" s="500">
        <f t="shared" si="16"/>
        <v>0.684681641614592</v>
      </c>
      <c r="N45" s="43" t="e">
        <f t="shared" ref="N45:N50" ca="1" si="20">(J45-I45)*R45</f>
        <v>#NAME?</v>
      </c>
      <c r="O45" s="106" t="e">
        <f ca="1">_xll.BDP($C45,"CRNCY")</f>
        <v>#NAME?</v>
      </c>
      <c r="P45" s="43" t="e">
        <f t="shared" ca="1" si="17"/>
        <v>#NAME?</v>
      </c>
      <c r="Q45" s="14">
        <v>42552</v>
      </c>
      <c r="R45" s="139" t="e">
        <f ca="1">_xll.BDH("RUB curncy","PX_LAST",$Q45)</f>
        <v>#NAME?</v>
      </c>
    </row>
    <row r="46" spans="2:18" s="48" customFormat="1" x14ac:dyDescent="0.2">
      <c r="B46" s="103" t="e">
        <f ca="1">_xll.BDP(C46,"SECURITY_NAME")</f>
        <v>#NAME?</v>
      </c>
      <c r="C46" s="103" t="s">
        <v>376</v>
      </c>
      <c r="D46" s="73" t="s">
        <v>51</v>
      </c>
      <c r="E46" s="43" t="e">
        <f ca="1">F46*_xll.BDP(C46,"PX_LAST")/100</f>
        <v>#NAME?</v>
      </c>
      <c r="F46" s="43">
        <v>1690000</v>
      </c>
      <c r="G46" s="43">
        <v>250000</v>
      </c>
      <c r="H46" s="47">
        <f>G46/F46</f>
        <v>0.14792899408284024</v>
      </c>
      <c r="I46" s="43">
        <f t="shared" si="18"/>
        <v>124750</v>
      </c>
      <c r="J46" s="104">
        <f t="shared" si="19"/>
        <v>261250</v>
      </c>
      <c r="K46" s="38">
        <v>49.9</v>
      </c>
      <c r="L46" s="38">
        <v>104.5</v>
      </c>
      <c r="M46" s="500">
        <f>L46/K46-1</f>
        <v>1.094188376753507</v>
      </c>
      <c r="N46" s="43" t="e">
        <f t="shared" ca="1" si="20"/>
        <v>#NAME?</v>
      </c>
      <c r="O46" s="106" t="e">
        <f ca="1">_xll.BDP($C46,"CRNCY")</f>
        <v>#NAME?</v>
      </c>
      <c r="P46" s="43" t="e">
        <f ca="1">N46/R46</f>
        <v>#NAME?</v>
      </c>
      <c r="Q46" s="14">
        <v>42552</v>
      </c>
      <c r="R46" s="139" t="e">
        <f ca="1">_xll.BDH("RUB curncy","PX_LAST",$Q46)</f>
        <v>#NAME?</v>
      </c>
    </row>
    <row r="47" spans="2:18" s="48" customFormat="1" x14ac:dyDescent="0.2">
      <c r="B47" s="103" t="e">
        <f ca="1">_xll.BDP(C47,"SECURITY_NAME")</f>
        <v>#NAME?</v>
      </c>
      <c r="C47" s="103" t="s">
        <v>376</v>
      </c>
      <c r="D47" s="73" t="s">
        <v>51</v>
      </c>
      <c r="E47" s="43" t="e">
        <f ca="1">F47*_xll.BDP(C47,"PX_LAST")/100</f>
        <v>#NAME?</v>
      </c>
      <c r="F47" s="43">
        <v>1690000</v>
      </c>
      <c r="G47" s="43">
        <v>1240000</v>
      </c>
      <c r="H47" s="47">
        <f>G47/F47</f>
        <v>0.73372781065088755</v>
      </c>
      <c r="I47" s="43">
        <f t="shared" si="18"/>
        <v>618760</v>
      </c>
      <c r="J47" s="104">
        <f t="shared" si="19"/>
        <v>1286500</v>
      </c>
      <c r="K47" s="38">
        <v>49.9</v>
      </c>
      <c r="L47" s="38">
        <v>103.75</v>
      </c>
      <c r="M47" s="500">
        <f>L47/K47-1</f>
        <v>1.0791583166332668</v>
      </c>
      <c r="N47" s="43" t="e">
        <f t="shared" ca="1" si="20"/>
        <v>#NAME?</v>
      </c>
      <c r="O47" s="106" t="e">
        <f ca="1">_xll.BDP($C47,"CRNCY")</f>
        <v>#NAME?</v>
      </c>
      <c r="P47" s="43" t="e">
        <f ca="1">N47/R47</f>
        <v>#NAME?</v>
      </c>
      <c r="Q47" s="14">
        <v>42557</v>
      </c>
      <c r="R47" s="139" t="e">
        <f ca="1">_xll.BDH("RUB curncy","PX_LAST",$Q47)</f>
        <v>#NAME?</v>
      </c>
    </row>
    <row r="48" spans="2:18" s="48" customFormat="1" x14ac:dyDescent="0.2">
      <c r="B48" s="103" t="e">
        <f ca="1">_xll.BDP(C48,"SECURITY_NAME")</f>
        <v>#NAME?</v>
      </c>
      <c r="C48" s="103" t="s">
        <v>378</v>
      </c>
      <c r="D48" s="73" t="s">
        <v>51</v>
      </c>
      <c r="E48" s="43" t="e">
        <f ca="1">F48*_xll.BDP(C48,"PX_LAST")/100</f>
        <v>#NAME?</v>
      </c>
      <c r="F48" s="43">
        <v>2700000</v>
      </c>
      <c r="G48" s="43">
        <v>250000</v>
      </c>
      <c r="H48" s="47">
        <f>G48/F48</f>
        <v>9.2592592592592587E-2</v>
      </c>
      <c r="I48" s="43">
        <f t="shared" si="18"/>
        <v>181375</v>
      </c>
      <c r="J48" s="104">
        <f t="shared" si="19"/>
        <v>246250</v>
      </c>
      <c r="K48" s="38">
        <v>72.55</v>
      </c>
      <c r="L48" s="38">
        <v>98.5</v>
      </c>
      <c r="M48" s="500">
        <f>L48/K48-1</f>
        <v>0.35768435561681611</v>
      </c>
      <c r="N48" s="43" t="e">
        <f t="shared" ca="1" si="20"/>
        <v>#NAME?</v>
      </c>
      <c r="O48" s="106" t="e">
        <f ca="1">_xll.BDP($C48,"CRNCY")</f>
        <v>#NAME?</v>
      </c>
      <c r="P48" s="43" t="e">
        <f ca="1">N48/R48</f>
        <v>#NAME?</v>
      </c>
      <c r="Q48" s="14">
        <v>42557</v>
      </c>
      <c r="R48" s="139" t="e">
        <f ca="1">_xll.BDH("RUB curncy","PX_LAST",$Q48)</f>
        <v>#NAME?</v>
      </c>
    </row>
    <row r="49" spans="2:18" s="48" customFormat="1" x14ac:dyDescent="0.2">
      <c r="B49" s="103" t="e">
        <f ca="1">_xll.BDP(C49,"SECURITY_NAME")</f>
        <v>#NAME?</v>
      </c>
      <c r="C49" s="103" t="s">
        <v>167</v>
      </c>
      <c r="D49" s="73" t="s">
        <v>51</v>
      </c>
      <c r="E49" s="43" t="e">
        <f ca="1">F49*_xll.BDP(C49,"PX_LAST")/100</f>
        <v>#NAME?</v>
      </c>
      <c r="F49" s="43">
        <v>1000000</v>
      </c>
      <c r="G49" s="43">
        <v>1000000</v>
      </c>
      <c r="H49" s="47">
        <f>G49/F49</f>
        <v>1</v>
      </c>
      <c r="I49" s="43">
        <f t="shared" si="18"/>
        <v>831200</v>
      </c>
      <c r="J49" s="104">
        <f t="shared" si="19"/>
        <v>1071400</v>
      </c>
      <c r="K49" s="38">
        <v>83.12</v>
      </c>
      <c r="L49" s="38">
        <v>107.14</v>
      </c>
      <c r="M49" s="500">
        <f>L49/K49-1</f>
        <v>0.28897978825794035</v>
      </c>
      <c r="N49" s="43" t="e">
        <f t="shared" ca="1" si="20"/>
        <v>#NAME?</v>
      </c>
      <c r="O49" s="106" t="e">
        <f ca="1">_xll.BDP($C49,"CRNCY")</f>
        <v>#NAME?</v>
      </c>
      <c r="P49" s="43" t="e">
        <f ca="1">N49/R49</f>
        <v>#NAME?</v>
      </c>
      <c r="Q49" s="14">
        <v>42557</v>
      </c>
      <c r="R49" s="139" t="e">
        <f ca="1">_xll.BDH("RUB curncy","PX_LAST",$Q49)</f>
        <v>#NAME?</v>
      </c>
    </row>
    <row r="50" spans="2:18" s="48" customFormat="1" x14ac:dyDescent="0.2">
      <c r="B50" s="103" t="e">
        <f ca="1">_xll.BDP(C50,"SECURITY_NAME")</f>
        <v>#NAME?</v>
      </c>
      <c r="C50" s="103" t="s">
        <v>166</v>
      </c>
      <c r="D50" s="73" t="s">
        <v>51</v>
      </c>
      <c r="E50" s="43" t="e">
        <f ca="1">F50*_xll.BDP(C50,"PX_LAST")/100</f>
        <v>#NAME?</v>
      </c>
      <c r="F50" s="43">
        <v>1000000</v>
      </c>
      <c r="G50" s="43">
        <v>200000</v>
      </c>
      <c r="H50" s="47">
        <f t="shared" si="15"/>
        <v>0.2</v>
      </c>
      <c r="I50" s="43">
        <f t="shared" si="18"/>
        <v>190000</v>
      </c>
      <c r="J50" s="104">
        <f t="shared" si="19"/>
        <v>210500</v>
      </c>
      <c r="K50" s="38">
        <v>95</v>
      </c>
      <c r="L50" s="38">
        <v>105.25</v>
      </c>
      <c r="M50" s="500">
        <f t="shared" si="16"/>
        <v>0.10789473684210527</v>
      </c>
      <c r="N50" s="43" t="e">
        <f t="shared" ca="1" si="20"/>
        <v>#NAME?</v>
      </c>
      <c r="O50" s="106" t="e">
        <f ca="1">_xll.BDP($C50,"CRNCY")</f>
        <v>#NAME?</v>
      </c>
      <c r="P50" s="43" t="e">
        <f t="shared" ca="1" si="17"/>
        <v>#NAME?</v>
      </c>
      <c r="Q50" s="14">
        <v>42557</v>
      </c>
      <c r="R50" s="139" t="e">
        <f ca="1">_xll.BDH("RUB curncy","PX_LAST",$Q50)</f>
        <v>#NAME?</v>
      </c>
    </row>
    <row r="51" spans="2:18" s="48" customFormat="1" x14ac:dyDescent="0.2">
      <c r="B51" s="103" t="e">
        <f ca="1">_xll.BDP(C51,"SECURITY_NAME")</f>
        <v>#NAME?</v>
      </c>
      <c r="C51" s="103" t="s">
        <v>697</v>
      </c>
      <c r="D51" s="73" t="s">
        <v>51</v>
      </c>
      <c r="E51" s="43" t="e">
        <f ca="1">F51*_xll.BDP(C51,"PX_LAST")/100</f>
        <v>#NAME?</v>
      </c>
      <c r="F51" s="43">
        <v>500000</v>
      </c>
      <c r="G51" s="43">
        <v>200000</v>
      </c>
      <c r="H51" s="47">
        <f t="shared" ref="H51:H56" si="21">G51/F51</f>
        <v>0.4</v>
      </c>
      <c r="I51" s="43">
        <f>G51*K51/100</f>
        <v>179500</v>
      </c>
      <c r="J51" s="104">
        <f>G51*L51/100</f>
        <v>186440</v>
      </c>
      <c r="K51" s="38">
        <v>89.75</v>
      </c>
      <c r="L51" s="38">
        <v>93.22</v>
      </c>
      <c r="M51" s="500">
        <f t="shared" ref="M51:M56" si="22">L51/K51-1</f>
        <v>3.8662952646239646E-2</v>
      </c>
      <c r="N51" s="43" t="e">
        <f ca="1">(J51-I51)*R51</f>
        <v>#NAME?</v>
      </c>
      <c r="O51" s="106" t="e">
        <f ca="1">_xll.BDP($C51,"CRNCY")</f>
        <v>#NAME?</v>
      </c>
      <c r="P51" s="43" t="e">
        <f t="shared" ref="P51:P56" ca="1" si="23">N51/R51</f>
        <v>#NAME?</v>
      </c>
      <c r="Q51" s="14">
        <v>42618</v>
      </c>
      <c r="R51" s="139" t="e">
        <f ca="1">_xll.BDH("RUB curncy","PX_LAST",$Q51)</f>
        <v>#NAME?</v>
      </c>
    </row>
    <row r="52" spans="2:18" s="48" customFormat="1" x14ac:dyDescent="0.2">
      <c r="B52" s="103" t="e">
        <f ca="1">_xll.BDP(C52,"SECURITY_NAME")</f>
        <v>#NAME?</v>
      </c>
      <c r="C52" s="103" t="s">
        <v>166</v>
      </c>
      <c r="D52" s="73" t="s">
        <v>51</v>
      </c>
      <c r="E52" s="43" t="e">
        <f ca="1">F52*_xll.BDP(C52,"PX_LAST")/100</f>
        <v>#NAME?</v>
      </c>
      <c r="F52" s="43">
        <v>1000000</v>
      </c>
      <c r="G52" s="43">
        <v>800000</v>
      </c>
      <c r="H52" s="47">
        <f t="shared" si="21"/>
        <v>0.8</v>
      </c>
      <c r="I52" s="43">
        <f>G52*K52/100</f>
        <v>760000</v>
      </c>
      <c r="J52" s="104">
        <f>G52*L52/100</f>
        <v>842000</v>
      </c>
      <c r="K52" s="38">
        <v>95</v>
      </c>
      <c r="L52" s="38">
        <v>105.25</v>
      </c>
      <c r="M52" s="500">
        <f t="shared" si="22"/>
        <v>0.10789473684210527</v>
      </c>
      <c r="N52" s="43" t="e">
        <f ca="1">(J52-I52)*R52</f>
        <v>#NAME?</v>
      </c>
      <c r="O52" s="106" t="e">
        <f ca="1">_xll.BDP($C52,"CRNCY")</f>
        <v>#NAME?</v>
      </c>
      <c r="P52" s="43" t="e">
        <f t="shared" ca="1" si="23"/>
        <v>#NAME?</v>
      </c>
      <c r="Q52" s="14">
        <v>42621</v>
      </c>
      <c r="R52" s="139" t="e">
        <f ca="1">_xll.BDH("RUB curncy","PX_LAST",$Q52)</f>
        <v>#NAME?</v>
      </c>
    </row>
    <row r="53" spans="2:18" s="48" customFormat="1" x14ac:dyDescent="0.2">
      <c r="B53" s="103" t="e">
        <f ca="1">_xll.BDP(C53,"SECURITY_NAME")</f>
        <v>#NAME?</v>
      </c>
      <c r="C53" s="103" t="s">
        <v>697</v>
      </c>
      <c r="D53" s="73" t="s">
        <v>51</v>
      </c>
      <c r="E53" s="43" t="e">
        <f ca="1">F53*_xll.BDP(C53,"PX_LAST")/100</f>
        <v>#NAME?</v>
      </c>
      <c r="F53" s="43">
        <v>500000</v>
      </c>
      <c r="G53" s="43">
        <v>200000</v>
      </c>
      <c r="H53" s="47">
        <f t="shared" si="21"/>
        <v>0.4</v>
      </c>
      <c r="I53" s="43">
        <f>G53*K53/100</f>
        <v>179500</v>
      </c>
      <c r="J53" s="104">
        <f>G53*L53/100</f>
        <v>186000</v>
      </c>
      <c r="K53" s="38">
        <v>89.75</v>
      </c>
      <c r="L53" s="38">
        <v>93</v>
      </c>
      <c r="M53" s="500">
        <f t="shared" si="22"/>
        <v>3.6211699164345301E-2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3"/>
        <v>#NAME?</v>
      </c>
      <c r="Q53" s="14">
        <v>42627</v>
      </c>
      <c r="R53" s="139" t="e">
        <f ca="1">_xll.BDH("RUB curncy","PX_LAST",$Q53)</f>
        <v>#NAME?</v>
      </c>
    </row>
    <row r="54" spans="2:18" x14ac:dyDescent="0.2">
      <c r="B54" s="103" t="s">
        <v>201</v>
      </c>
      <c r="C54" s="103" t="s">
        <v>65</v>
      </c>
      <c r="D54" s="73" t="s">
        <v>51</v>
      </c>
      <c r="E54" s="43" t="e">
        <f ca="1">F54*_xll.BDP(C54,"PX_LAST")</f>
        <v>#NAME?</v>
      </c>
      <c r="F54" s="43">
        <v>3998</v>
      </c>
      <c r="G54" s="43">
        <v>3998</v>
      </c>
      <c r="H54" s="47">
        <f t="shared" si="21"/>
        <v>1</v>
      </c>
      <c r="I54" s="43">
        <f>G54*K54</f>
        <v>7172412</v>
      </c>
      <c r="J54" s="45">
        <f>G54*L54</f>
        <v>12861566</v>
      </c>
      <c r="K54" s="38">
        <v>1794</v>
      </c>
      <c r="L54" s="38">
        <v>3217</v>
      </c>
      <c r="M54" s="500">
        <f t="shared" si="22"/>
        <v>0.79319955406911924</v>
      </c>
      <c r="N54" s="43">
        <f>J54-I54</f>
        <v>5689154</v>
      </c>
      <c r="O54" s="106" t="e">
        <f ca="1">_xll.BDP($C54,"CRNCY")</f>
        <v>#NAME?</v>
      </c>
      <c r="P54" s="43" t="e">
        <f t="shared" ca="1" si="23"/>
        <v>#NAME?</v>
      </c>
      <c r="Q54" s="14">
        <v>42649</v>
      </c>
      <c r="R54" s="22" t="e">
        <f ca="1">_xll.BDH("RUB curncy","PX_LAST",$Q54)</f>
        <v>#NAME?</v>
      </c>
    </row>
    <row r="55" spans="2:18" s="48" customFormat="1" x14ac:dyDescent="0.2">
      <c r="B55" s="103" t="e">
        <f ca="1">_xll.BDP(C55,"SECURITY_NAME")</f>
        <v>#NAME?</v>
      </c>
      <c r="C55" s="103" t="s">
        <v>453</v>
      </c>
      <c r="D55" s="73" t="s">
        <v>51</v>
      </c>
      <c r="E55" s="43" t="e">
        <f ca="1">F55*_xll.BDP(C55,"PX_LAST")/100</f>
        <v>#NAME?</v>
      </c>
      <c r="F55" s="43">
        <v>300000</v>
      </c>
      <c r="G55" s="43">
        <v>300000</v>
      </c>
      <c r="H55" s="47">
        <f t="shared" si="21"/>
        <v>1</v>
      </c>
      <c r="I55" s="43">
        <f>G55*K55/100</f>
        <v>284340</v>
      </c>
      <c r="J55" s="104">
        <f>G55*L55/100</f>
        <v>314400</v>
      </c>
      <c r="K55" s="38">
        <v>94.78</v>
      </c>
      <c r="L55" s="38">
        <v>104.8</v>
      </c>
      <c r="M55" s="500">
        <f t="shared" si="22"/>
        <v>0.10571850601392696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23"/>
        <v>#NAME?</v>
      </c>
      <c r="Q55" s="14">
        <v>42723</v>
      </c>
      <c r="R55" s="139" t="e">
        <f ca="1">_xll.BDH("RUB curncy","PX_LAST",$Q55)</f>
        <v>#NAME?</v>
      </c>
    </row>
    <row r="56" spans="2:18" s="48" customFormat="1" x14ac:dyDescent="0.2">
      <c r="B56" s="103" t="e">
        <f ca="1">_xll.BDP(C56,"SECURITY_NAME")</f>
        <v>#NAME?</v>
      </c>
      <c r="C56" s="103" t="s">
        <v>376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21"/>
        <v>1</v>
      </c>
      <c r="I56" s="43">
        <f>G56*K56/100</f>
        <v>99840</v>
      </c>
      <c r="J56" s="104">
        <f>G56*L56/100</f>
        <v>214000</v>
      </c>
      <c r="K56" s="38">
        <v>49.92</v>
      </c>
      <c r="L56" s="38">
        <v>107</v>
      </c>
      <c r="M56" s="500">
        <f t="shared" si="22"/>
        <v>1.1434294871794872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23"/>
        <v>#NAME?</v>
      </c>
      <c r="Q56" s="14">
        <v>42723</v>
      </c>
      <c r="R56" s="139" t="e">
        <f ca="1">_xll.BDH("RUB curncy","PX_LAST",$Q56)</f>
        <v>#NAME?</v>
      </c>
    </row>
    <row r="57" spans="2:18" x14ac:dyDescent="0.2">
      <c r="B57" s="35"/>
      <c r="C57" s="35"/>
      <c r="D57" s="40"/>
      <c r="G57" s="35"/>
      <c r="H57" s="35"/>
      <c r="I57" s="35"/>
      <c r="J57" s="35"/>
      <c r="K57" s="35"/>
      <c r="L57" s="46"/>
      <c r="N57" s="40"/>
      <c r="O57" s="35" t="s">
        <v>94</v>
      </c>
      <c r="P57" s="355" t="e">
        <f ca="1">SUM(P36:P56)</f>
        <v>#NAME?</v>
      </c>
    </row>
    <row r="58" spans="2:18" x14ac:dyDescent="0.2">
      <c r="H58" s="105"/>
      <c r="I58" s="70"/>
      <c r="J58" s="151"/>
      <c r="K58" s="35"/>
      <c r="L58" s="148"/>
      <c r="M58" s="34"/>
      <c r="N58" s="30"/>
      <c r="P58" s="30"/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6"/>
      <c r="C61" s="26"/>
      <c r="D61" s="26"/>
      <c r="E61" s="26"/>
      <c r="F61" s="26"/>
      <c r="G61" s="26"/>
      <c r="H61" s="28" t="s">
        <v>92</v>
      </c>
      <c r="I61" s="27" t="s">
        <v>91</v>
      </c>
      <c r="J61" s="27" t="s">
        <v>90</v>
      </c>
      <c r="K61" s="27"/>
      <c r="L61" s="27"/>
      <c r="M61" s="26"/>
      <c r="N61" s="26"/>
      <c r="Q61" s="174"/>
    </row>
    <row r="62" spans="2:18" ht="15" x14ac:dyDescent="0.35">
      <c r="B62" s="23" t="s">
        <v>89</v>
      </c>
      <c r="C62" s="23" t="s">
        <v>88</v>
      </c>
      <c r="D62" s="23" t="s">
        <v>87</v>
      </c>
      <c r="E62" s="23" t="s">
        <v>86</v>
      </c>
      <c r="F62" s="23" t="s">
        <v>85</v>
      </c>
      <c r="G62" s="23" t="s">
        <v>84</v>
      </c>
      <c r="H62" s="25" t="s">
        <v>83</v>
      </c>
      <c r="I62" s="24" t="s">
        <v>83</v>
      </c>
      <c r="J62" s="24" t="s">
        <v>75</v>
      </c>
      <c r="K62" s="24" t="s">
        <v>73</v>
      </c>
      <c r="L62" s="24" t="s">
        <v>82</v>
      </c>
      <c r="M62" s="23" t="s">
        <v>81</v>
      </c>
      <c r="N62" s="23" t="s">
        <v>80</v>
      </c>
    </row>
    <row r="64" spans="2:18" s="273" customFormat="1" x14ac:dyDescent="0.2">
      <c r="B64" s="287" t="s">
        <v>417</v>
      </c>
      <c r="C64" s="286" t="s">
        <v>286</v>
      </c>
      <c r="D64" s="284" t="e">
        <f ca="1">_xll.BDP(C64,"SECURITY_NAME")</f>
        <v>#NAME?</v>
      </c>
      <c r="E64" s="284" t="s">
        <v>50</v>
      </c>
      <c r="F64" s="285">
        <v>123000</v>
      </c>
      <c r="G64" s="284" t="e">
        <f ca="1">_xll.BDP(C64,"CRNCY")</f>
        <v>#NAME?</v>
      </c>
      <c r="H64" s="281" t="e">
        <f ca="1">_xll.BDH(C64,"PX_LAST",N64)</f>
        <v>#NAME?</v>
      </c>
      <c r="I64" s="282" t="e">
        <f ca="1">F64*H64</f>
        <v>#NAME?</v>
      </c>
      <c r="J64" s="283" t="e">
        <f ca="1">I64/L64</f>
        <v>#NAME?</v>
      </c>
      <c r="K64" s="282" t="e">
        <f ca="1">J64*M64</f>
        <v>#NAME?</v>
      </c>
      <c r="L64" s="281" t="e">
        <f ca="1">_xll.BDH("HKD curncy","PX_LAST",$N64)</f>
        <v>#NAME?</v>
      </c>
      <c r="M64" s="280" t="e">
        <f ca="1">_xll.BDH("RUB curncy","PX_LAST",$N64)</f>
        <v>#NAME?</v>
      </c>
      <c r="N64" s="274">
        <v>42132</v>
      </c>
    </row>
    <row r="65" spans="2:14" s="273" customFormat="1" x14ac:dyDescent="0.2">
      <c r="B65" s="287" t="s">
        <v>417</v>
      </c>
      <c r="C65" s="286" t="s">
        <v>286</v>
      </c>
      <c r="D65" s="284" t="e">
        <f ca="1">_xll.BDP(C65,"SECURITY_NAME")</f>
        <v>#NAME?</v>
      </c>
      <c r="E65" s="284" t="s">
        <v>50</v>
      </c>
      <c r="F65" s="285">
        <v>127000</v>
      </c>
      <c r="G65" s="284" t="e">
        <f ca="1">_xll.BDP(C65,"CRNCY")</f>
        <v>#NAME?</v>
      </c>
      <c r="H65" s="281" t="e">
        <f ca="1">_xll.BDH(C65,"PX_LAST",N65)</f>
        <v>#NAME?</v>
      </c>
      <c r="I65" s="282" t="e">
        <f ca="1">F65*H65</f>
        <v>#NAME?</v>
      </c>
      <c r="J65" s="283" t="e">
        <f ca="1">I65/L65</f>
        <v>#NAME?</v>
      </c>
      <c r="K65" s="282" t="e">
        <f ca="1">J65*M65</f>
        <v>#NAME?</v>
      </c>
      <c r="L65" s="281" t="e">
        <f ca="1">_xll.BDH("HKD curncy","PX_LAST",$N65)</f>
        <v>#NAME?</v>
      </c>
      <c r="M65" s="280" t="e">
        <f ca="1">_xll.BDH("RUB curncy","PX_LAST",$N65)</f>
        <v>#NAME?</v>
      </c>
      <c r="N65" s="274">
        <v>42136</v>
      </c>
    </row>
    <row r="66" spans="2:14" s="273" customFormat="1" x14ac:dyDescent="0.2">
      <c r="B66" s="279"/>
      <c r="C66" s="279"/>
      <c r="D66" s="278"/>
      <c r="E66" s="278"/>
      <c r="F66" s="277">
        <f>SUM(F62:F65)</f>
        <v>250000</v>
      </c>
      <c r="G66" s="278"/>
      <c r="H66" s="276" t="e">
        <f ca="1">I66/F66</f>
        <v>#NAME?</v>
      </c>
      <c r="I66" s="277" t="e">
        <f ca="1">SUM(I62:I65)</f>
        <v>#NAME?</v>
      </c>
      <c r="J66" s="277" t="e">
        <f ca="1">SUM(J62:J65)</f>
        <v>#NAME?</v>
      </c>
      <c r="K66" s="277" t="e">
        <f ca="1">SUM(K62:K65)</f>
        <v>#NAME?</v>
      </c>
      <c r="L66" s="276"/>
      <c r="M66" s="275"/>
      <c r="N66" s="288"/>
    </row>
    <row r="67" spans="2:14" s="49" customFormat="1" x14ac:dyDescent="0.2">
      <c r="B67" s="160"/>
      <c r="C67" s="160"/>
      <c r="D67" s="87"/>
      <c r="E67" s="87"/>
      <c r="F67" s="79"/>
      <c r="G67" s="87"/>
      <c r="H67" s="88"/>
      <c r="I67" s="79"/>
      <c r="J67" s="79"/>
      <c r="K67" s="79"/>
      <c r="L67" s="88"/>
      <c r="M67" s="319"/>
      <c r="N67" s="157"/>
    </row>
    <row r="68" spans="2:14" s="49" customFormat="1" x14ac:dyDescent="0.2">
      <c r="B68" s="21" t="s">
        <v>417</v>
      </c>
      <c r="C68" s="369" t="s">
        <v>253</v>
      </c>
      <c r="D68" s="18" t="e">
        <f ca="1">_xll.BDP(C68,"SECURITY_NAME")</f>
        <v>#NAME?</v>
      </c>
      <c r="E68" s="18" t="s">
        <v>50</v>
      </c>
      <c r="F68" s="74">
        <v>27000</v>
      </c>
      <c r="G68" s="18" t="e">
        <f ca="1">_xll.BDP(C68,"CRNCY")</f>
        <v>#NAME?</v>
      </c>
      <c r="H68" s="140">
        <v>171.5</v>
      </c>
      <c r="I68" s="315">
        <f>F68*H68</f>
        <v>4630500</v>
      </c>
      <c r="J68" s="316" t="e">
        <f ca="1">I68/L68</f>
        <v>#NAME?</v>
      </c>
      <c r="K68" s="315" t="e">
        <f ca="1">J68*L68</f>
        <v>#NAME?</v>
      </c>
      <c r="L68" s="140" t="e">
        <f ca="1">_xll.BDH("RUB curncy","PX_LAST",$N68)</f>
        <v>#NAME?</v>
      </c>
      <c r="M68" s="317" t="e">
        <f ca="1">1/_xll.BDH("RUB curncy","PX_LAST",$N68)</f>
        <v>#NAME?</v>
      </c>
      <c r="N68" s="14">
        <v>42398</v>
      </c>
    </row>
    <row r="69" spans="2:14" s="49" customFormat="1" x14ac:dyDescent="0.2">
      <c r="B69" s="21" t="s">
        <v>417</v>
      </c>
      <c r="C69" s="369" t="s">
        <v>253</v>
      </c>
      <c r="D69" s="18" t="e">
        <f ca="1">_xll.BDP(C69,"SECURITY_NAME")</f>
        <v>#NAME?</v>
      </c>
      <c r="E69" s="18" t="s">
        <v>50</v>
      </c>
      <c r="F69" s="74">
        <v>49000</v>
      </c>
      <c r="G69" s="18" t="e">
        <f ca="1">_xll.BDP(C69,"CRNCY")</f>
        <v>#NAME?</v>
      </c>
      <c r="H69" s="140">
        <v>171.44</v>
      </c>
      <c r="I69" s="315">
        <f>F69*H69</f>
        <v>8400560</v>
      </c>
      <c r="J69" s="316" t="e">
        <f ca="1">I69/L69</f>
        <v>#NAME?</v>
      </c>
      <c r="K69" s="315" t="e">
        <f ca="1">J69*L69</f>
        <v>#NAME?</v>
      </c>
      <c r="L69" s="140" t="e">
        <f ca="1">_xll.BDH("RUB curncy","PX_LAST",$N69)</f>
        <v>#NAME?</v>
      </c>
      <c r="M69" s="317" t="e">
        <f ca="1">1/_xll.BDH("RUB curncy","PX_LAST",$N69)</f>
        <v>#NAME?</v>
      </c>
      <c r="N69" s="14">
        <v>42397</v>
      </c>
    </row>
    <row r="70" spans="2:14" s="49" customFormat="1" x14ac:dyDescent="0.2">
      <c r="B70" s="71"/>
      <c r="C70" s="48"/>
      <c r="D70" s="73"/>
      <c r="E70" s="73"/>
      <c r="F70" s="79">
        <f>SUM(F68:F69)</f>
        <v>76000</v>
      </c>
      <c r="G70" s="87"/>
      <c r="H70" s="88">
        <f>I70/F70</f>
        <v>171.46131578947367</v>
      </c>
      <c r="I70" s="79">
        <f>SUM(I68:I69)</f>
        <v>13031060</v>
      </c>
      <c r="J70" s="79" t="e">
        <f ca="1">SUM(J68:J69)</f>
        <v>#NAME?</v>
      </c>
      <c r="K70" s="79" t="e">
        <f ca="1">SUM(K68:K69)</f>
        <v>#NAME?</v>
      </c>
      <c r="L70" s="88"/>
      <c r="M70" s="319"/>
      <c r="N70" s="157"/>
    </row>
    <row r="71" spans="2:14" s="49" customFormat="1" x14ac:dyDescent="0.2">
      <c r="B71" s="160"/>
      <c r="C71" s="160"/>
      <c r="D71" s="87"/>
      <c r="E71" s="87"/>
      <c r="F71" s="79"/>
      <c r="G71" s="87"/>
      <c r="H71" s="88"/>
      <c r="I71" s="79"/>
      <c r="J71" s="79"/>
      <c r="K71" s="79"/>
      <c r="L71" s="88"/>
      <c r="M71" s="319"/>
      <c r="N71" s="157"/>
    </row>
    <row r="72" spans="2:14" s="49" customFormat="1" x14ac:dyDescent="0.2">
      <c r="B72" s="21" t="s">
        <v>417</v>
      </c>
      <c r="C72" s="369" t="s">
        <v>19</v>
      </c>
      <c r="D72" s="18" t="e">
        <f ca="1">_xll.BDP(C72,"SECURITY_NAME")</f>
        <v>#NAME?</v>
      </c>
      <c r="E72" s="18" t="s">
        <v>50</v>
      </c>
      <c r="F72" s="74">
        <v>22500</v>
      </c>
      <c r="G72" s="18" t="e">
        <f ca="1">_xll.BDP(C72,"CRNCY")</f>
        <v>#NAME?</v>
      </c>
      <c r="H72" s="140">
        <v>278</v>
      </c>
      <c r="I72" s="315">
        <f>F72*H72</f>
        <v>6255000</v>
      </c>
      <c r="J72" s="316" t="e">
        <f ca="1">I72/L72</f>
        <v>#NAME?</v>
      </c>
      <c r="K72" s="315" t="e">
        <f ca="1">J72*L72</f>
        <v>#NAME?</v>
      </c>
      <c r="L72" s="140" t="e">
        <f ca="1">_xll.BDH("RUB curncy","PX_LAST",$N72)</f>
        <v>#NAME?</v>
      </c>
      <c r="M72" s="317" t="e">
        <f ca="1">1/_xll.BDH("RUB curncy","PX_LAST",$N72)</f>
        <v>#NAME?</v>
      </c>
      <c r="N72" s="14">
        <v>42397</v>
      </c>
    </row>
    <row r="73" spans="2:14" s="49" customFormat="1" x14ac:dyDescent="0.2">
      <c r="B73" s="71"/>
      <c r="C73" s="48"/>
      <c r="D73" s="73"/>
      <c r="E73" s="73"/>
      <c r="F73" s="79">
        <f>SUM(F72)</f>
        <v>22500</v>
      </c>
      <c r="G73" s="87"/>
      <c r="H73" s="88">
        <f>I73/F73</f>
        <v>278</v>
      </c>
      <c r="I73" s="79">
        <f>SUM(I72)</f>
        <v>6255000</v>
      </c>
      <c r="J73" s="79" t="e">
        <f ca="1">SUM(J72)</f>
        <v>#NAME?</v>
      </c>
      <c r="K73" s="79" t="e">
        <f ca="1">SUM(K72)</f>
        <v>#NAME?</v>
      </c>
      <c r="L73" s="88"/>
      <c r="M73" s="319"/>
      <c r="N73" s="157"/>
    </row>
    <row r="74" spans="2:14" x14ac:dyDescent="0.2">
      <c r="B74" s="71"/>
      <c r="C74" s="33"/>
      <c r="D74" s="73"/>
      <c r="E74" s="73"/>
      <c r="F74" s="74"/>
      <c r="G74" s="73"/>
      <c r="H74" s="75"/>
      <c r="I74" s="74"/>
      <c r="J74" s="74"/>
      <c r="K74" s="74"/>
      <c r="L74" s="139"/>
      <c r="M74" s="86"/>
      <c r="N74" s="14"/>
    </row>
    <row r="75" spans="2:14" s="273" customFormat="1" x14ac:dyDescent="0.2">
      <c r="B75" s="287" t="s">
        <v>417</v>
      </c>
      <c r="C75" s="286" t="s">
        <v>72</v>
      </c>
      <c r="D75" s="284" t="e">
        <f ca="1">_xll.BDP(C75,"SECURITY_NAME")</f>
        <v>#NAME?</v>
      </c>
      <c r="E75" s="284" t="s">
        <v>50</v>
      </c>
      <c r="F75" s="281">
        <v>20100</v>
      </c>
      <c r="G75" s="284" t="e">
        <f ca="1">_xll.BDP(C75,"CRNCY")</f>
        <v>#NAME?</v>
      </c>
      <c r="H75" s="281" t="e">
        <f ca="1">_xll.BDH(C75,"PX_LAST",N75)</f>
        <v>#NAME?</v>
      </c>
      <c r="I75" s="282" t="e">
        <f ca="1">F75*H75</f>
        <v>#NAME?</v>
      </c>
      <c r="J75" s="283" t="e">
        <f ca="1">I75/L75</f>
        <v>#NAME?</v>
      </c>
      <c r="K75" s="282" t="e">
        <f ca="1">J75*L75</f>
        <v>#NAME?</v>
      </c>
      <c r="L75" s="281" t="e">
        <f ca="1">_xll.BDH("RUB curncy","PX_LAST",$N75)</f>
        <v>#NAME?</v>
      </c>
      <c r="M75" s="280" t="e">
        <f ca="1">1/_xll.BDH("RUB curncy","PX_LAST",$N75)</f>
        <v>#NAME?</v>
      </c>
      <c r="N75" s="274">
        <v>42111</v>
      </c>
    </row>
    <row r="76" spans="2:14" s="273" customFormat="1" x14ac:dyDescent="0.2">
      <c r="B76" s="287" t="s">
        <v>417</v>
      </c>
      <c r="C76" s="286" t="s">
        <v>72</v>
      </c>
      <c r="D76" s="284" t="e">
        <f ca="1">_xll.BDP(C76,"SECURITY_NAME")</f>
        <v>#NAME?</v>
      </c>
      <c r="E76" s="284" t="s">
        <v>50</v>
      </c>
      <c r="F76" s="289">
        <v>29900</v>
      </c>
      <c r="G76" s="284" t="e">
        <f ca="1">_xll.BDP(C76,"CRNCY")</f>
        <v>#NAME?</v>
      </c>
      <c r="H76" s="281" t="e">
        <f ca="1">_xll.BDH(C76,"PX_LAST",N76)</f>
        <v>#NAME?</v>
      </c>
      <c r="I76" s="282" t="e">
        <f ca="1">F76*H76</f>
        <v>#NAME?</v>
      </c>
      <c r="J76" s="283" t="e">
        <f ca="1">I76/L76</f>
        <v>#NAME?</v>
      </c>
      <c r="K76" s="282" t="e">
        <f ca="1">J76*L76</f>
        <v>#NAME?</v>
      </c>
      <c r="L76" s="281" t="e">
        <f ca="1">_xll.BDH("RUB curncy","PX_LAST",$N76)</f>
        <v>#NAME?</v>
      </c>
      <c r="M76" s="280" t="e">
        <f ca="1">1/_xll.BDH("RUB curncy","PX_LAST",$N76)</f>
        <v>#NAME?</v>
      </c>
      <c r="N76" s="274">
        <v>42111</v>
      </c>
    </row>
    <row r="77" spans="2:14" s="273" customFormat="1" x14ac:dyDescent="0.2">
      <c r="B77" s="287" t="s">
        <v>417</v>
      </c>
      <c r="C77" s="286" t="s">
        <v>72</v>
      </c>
      <c r="D77" s="284" t="e">
        <f ca="1">_xll.BDP(C77,"SECURITY_NAME")</f>
        <v>#NAME?</v>
      </c>
      <c r="E77" s="284" t="s">
        <v>50</v>
      </c>
      <c r="F77" s="289">
        <v>91000</v>
      </c>
      <c r="G77" s="284" t="e">
        <f ca="1">_xll.BDP(C77,"CRNCY")</f>
        <v>#NAME?</v>
      </c>
      <c r="H77" s="281" t="e">
        <f ca="1">_xll.BDH(C77,"PX_LAST",N77)</f>
        <v>#NAME?</v>
      </c>
      <c r="I77" s="282" t="e">
        <f ca="1">F77*H77</f>
        <v>#NAME?</v>
      </c>
      <c r="J77" s="283" t="e">
        <f ca="1">I77/L77</f>
        <v>#NAME?</v>
      </c>
      <c r="K77" s="282" t="e">
        <f ca="1">J77*L77</f>
        <v>#NAME?</v>
      </c>
      <c r="L77" s="281" t="e">
        <f ca="1">_xll.BDH("RUB curncy","PX_LAST",$N77)</f>
        <v>#NAME?</v>
      </c>
      <c r="M77" s="280" t="e">
        <f ca="1">1/_xll.BDH("RUB curncy","PX_LAST",$N77)</f>
        <v>#NAME?</v>
      </c>
      <c r="N77" s="274">
        <v>42114</v>
      </c>
    </row>
    <row r="78" spans="2:14" s="273" customFormat="1" x14ac:dyDescent="0.2">
      <c r="B78" s="303"/>
      <c r="C78" s="302"/>
      <c r="D78" s="290"/>
      <c r="E78" s="290"/>
      <c r="F78" s="277">
        <f>SUM(F75:F77)</f>
        <v>141000</v>
      </c>
      <c r="G78" s="278"/>
      <c r="H78" s="276" t="e">
        <f ca="1">I78/F78</f>
        <v>#NAME?</v>
      </c>
      <c r="I78" s="277" t="e">
        <f ca="1">SUM(I75:I77)</f>
        <v>#NAME?</v>
      </c>
      <c r="J78" s="277" t="e">
        <f ca="1">SUM(J75:J77)</f>
        <v>#NAME?</v>
      </c>
      <c r="K78" s="277" t="e">
        <f ca="1">SUM(K75:K77)</f>
        <v>#NAME?</v>
      </c>
      <c r="L78" s="276"/>
      <c r="M78" s="275"/>
      <c r="N78" s="288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s="273" customFormat="1" x14ac:dyDescent="0.2">
      <c r="B80" s="287" t="s">
        <v>417</v>
      </c>
      <c r="C80" s="286" t="s">
        <v>729</v>
      </c>
      <c r="D80" s="284" t="e">
        <f ca="1">_xll.BDP(C80,"SECURITY_NAME")</f>
        <v>#NAME?</v>
      </c>
      <c r="E80" s="284" t="s">
        <v>50</v>
      </c>
      <c r="F80" s="289">
        <f>2272000-2001000</f>
        <v>271000</v>
      </c>
      <c r="G80" s="284" t="e">
        <f ca="1">_xll.BDP(C80,"CRNCY")</f>
        <v>#NAME?</v>
      </c>
      <c r="H80" s="281" t="e">
        <f ca="1">_xll.BDH(C80,"PX_LAST",N80)</f>
        <v>#NAME?</v>
      </c>
      <c r="I80" s="282" t="e">
        <f ca="1">F80*H80</f>
        <v>#NAME?</v>
      </c>
      <c r="J80" s="283" t="e">
        <f ca="1">I80/L80</f>
        <v>#NAME?</v>
      </c>
      <c r="K80" s="282" t="e">
        <f ca="1">J80*L80</f>
        <v>#NAME?</v>
      </c>
      <c r="L80" s="281" t="e">
        <f ca="1">_xll.BDH("RUB curncy","PX_LAST",$N80)</f>
        <v>#NAME?</v>
      </c>
      <c r="M80" s="280" t="e">
        <f ca="1">1/_xll.BDH("RUB curncy","PX_LAST",$N80)</f>
        <v>#NAME?</v>
      </c>
      <c r="N80" s="274">
        <v>41963</v>
      </c>
    </row>
    <row r="81" spans="2:14" s="273" customFormat="1" x14ac:dyDescent="0.2">
      <c r="B81" s="287" t="s">
        <v>417</v>
      </c>
      <c r="C81" s="286" t="s">
        <v>729</v>
      </c>
      <c r="D81" s="284" t="e">
        <f ca="1">_xll.BDP(C81,"SECURITY_NAME")</f>
        <v>#NAME?</v>
      </c>
      <c r="E81" s="284" t="s">
        <v>50</v>
      </c>
      <c r="F81" s="289">
        <v>2001000</v>
      </c>
      <c r="G81" s="284" t="e">
        <f ca="1">_xll.BDP(C81,"CRNCY")</f>
        <v>#NAME?</v>
      </c>
      <c r="H81" s="281" t="e">
        <f ca="1">_xll.BDH(C81,"PX_LAST",N81)</f>
        <v>#NAME?</v>
      </c>
      <c r="I81" s="282" t="e">
        <f ca="1">F81*H81</f>
        <v>#NAME?</v>
      </c>
      <c r="J81" s="283" t="e">
        <f ca="1">I81/L81</f>
        <v>#NAME?</v>
      </c>
      <c r="K81" s="282" t="e">
        <f ca="1">J81*L81</f>
        <v>#NAME?</v>
      </c>
      <c r="L81" s="281" t="e">
        <f ca="1">_xll.BDH("RUB curncy","PX_LAST",$N81)</f>
        <v>#NAME?</v>
      </c>
      <c r="M81" s="280" t="e">
        <f ca="1">1/_xll.BDH("RUB curncy","PX_LAST",$N81)</f>
        <v>#NAME?</v>
      </c>
      <c r="N81" s="274">
        <v>42044</v>
      </c>
    </row>
    <row r="82" spans="2:14" s="273" customFormat="1" x14ac:dyDescent="0.2">
      <c r="B82" s="303"/>
      <c r="C82" s="302"/>
      <c r="D82" s="290"/>
      <c r="E82" s="290"/>
      <c r="F82" s="277">
        <f>SUM(F80:F81)</f>
        <v>2272000</v>
      </c>
      <c r="G82" s="278"/>
      <c r="H82" s="276" t="e">
        <f ca="1">I82/F82</f>
        <v>#NAME?</v>
      </c>
      <c r="I82" s="277" t="e">
        <f ca="1">SUM(I80:I81)</f>
        <v>#NAME?</v>
      </c>
      <c r="J82" s="277" t="e">
        <f ca="1">SUM(J80:J81)</f>
        <v>#NAME?</v>
      </c>
      <c r="K82" s="277" t="e">
        <f ca="1">SUM(K80:K81)</f>
        <v>#NAME?</v>
      </c>
      <c r="L82" s="276"/>
      <c r="M82" s="275"/>
      <c r="N82" s="288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s="273" customFormat="1" x14ac:dyDescent="0.2">
      <c r="B84" s="287" t="s">
        <v>417</v>
      </c>
      <c r="C84" s="286" t="s">
        <v>7</v>
      </c>
      <c r="D84" s="284" t="e">
        <f ca="1">_xll.BDP(C84,"SECURITY_NAME")</f>
        <v>#NAME?</v>
      </c>
      <c r="E84" s="284" t="s">
        <v>50</v>
      </c>
      <c r="F84" s="281">
        <f>139710-133400</f>
        <v>6310</v>
      </c>
      <c r="G84" s="284" t="e">
        <f ca="1">_xll.BDP(C84,"CRNCY")</f>
        <v>#NAME?</v>
      </c>
      <c r="H84" s="281" t="e">
        <f ca="1">_xll.BDH(C84,"PX_LAST",N84)</f>
        <v>#NAME?</v>
      </c>
      <c r="I84" s="282" t="e">
        <f ca="1">F84*H84</f>
        <v>#NAME?</v>
      </c>
      <c r="J84" s="283" t="e">
        <f ca="1">I84/L84</f>
        <v>#NAME?</v>
      </c>
      <c r="K84" s="282" t="e">
        <f ca="1">J84*L84</f>
        <v>#NAME?</v>
      </c>
      <c r="L84" s="281" t="e">
        <f ca="1">_xll.BDH("RUB curncy","PX_LAST",$N84)</f>
        <v>#NAME?</v>
      </c>
      <c r="M84" s="280" t="e">
        <f ca="1">1/_xll.BDH("RUB curncy","PX_LAST",$N84)</f>
        <v>#NAME?</v>
      </c>
      <c r="N84" s="274">
        <v>41836</v>
      </c>
    </row>
    <row r="85" spans="2:14" s="273" customFormat="1" x14ac:dyDescent="0.2">
      <c r="B85" s="287" t="s">
        <v>417</v>
      </c>
      <c r="C85" s="286" t="s">
        <v>7</v>
      </c>
      <c r="D85" s="284" t="e">
        <f ca="1">_xll.BDP(C85,"SECURITY_NAME")</f>
        <v>#NAME?</v>
      </c>
      <c r="E85" s="284" t="s">
        <v>50</v>
      </c>
      <c r="F85" s="281">
        <v>93690</v>
      </c>
      <c r="G85" s="284" t="e">
        <f ca="1">_xll.BDP(C85,"CRNCY")</f>
        <v>#NAME?</v>
      </c>
      <c r="H85" s="281" t="e">
        <f ca="1">_xll.BDH(C85,"PX_LAST",N85)</f>
        <v>#NAME?</v>
      </c>
      <c r="I85" s="282" t="e">
        <f ca="1">F85*H85</f>
        <v>#NAME?</v>
      </c>
      <c r="J85" s="283" t="e">
        <f ca="1">I85/L85</f>
        <v>#NAME?</v>
      </c>
      <c r="K85" s="282" t="e">
        <f ca="1">J85*L85</f>
        <v>#NAME?</v>
      </c>
      <c r="L85" s="281" t="e">
        <f ca="1">_xll.BDH("RUB curncy","PX_LAST",$N85)</f>
        <v>#NAME?</v>
      </c>
      <c r="M85" s="280" t="e">
        <f ca="1">1/_xll.BDH("RUB curncy","PX_LAST",$N85)</f>
        <v>#NAME?</v>
      </c>
      <c r="N85" s="274">
        <v>41836</v>
      </c>
    </row>
    <row r="86" spans="2:14" s="273" customFormat="1" x14ac:dyDescent="0.2">
      <c r="B86" s="287" t="s">
        <v>417</v>
      </c>
      <c r="C86" s="286" t="s">
        <v>7</v>
      </c>
      <c r="D86" s="284" t="e">
        <f ca="1">_xll.BDP(C86,"SECURITY_NAME")</f>
        <v>#NAME?</v>
      </c>
      <c r="E86" s="284" t="s">
        <v>50</v>
      </c>
      <c r="F86" s="281">
        <v>32090</v>
      </c>
      <c r="G86" s="284" t="e">
        <f ca="1">_xll.BDP(C86,"CRNCY")</f>
        <v>#NAME?</v>
      </c>
      <c r="H86" s="281" t="e">
        <f ca="1">_xll.BDH(C86,"PX_LAST",N86)</f>
        <v>#NAME?</v>
      </c>
      <c r="I86" s="282" t="e">
        <f ca="1">F86*H86</f>
        <v>#NAME?</v>
      </c>
      <c r="J86" s="283" t="e">
        <f ca="1">I86/L86</f>
        <v>#NAME?</v>
      </c>
      <c r="K86" s="282" t="e">
        <f ca="1">J86*L86</f>
        <v>#NAME?</v>
      </c>
      <c r="L86" s="281" t="e">
        <f ca="1">_xll.BDH("RUB curncy","PX_LAST",$N86)</f>
        <v>#NAME?</v>
      </c>
      <c r="M86" s="280" t="e">
        <f ca="1">1/_xll.BDH("RUB curncy","PX_LAST",$N86)</f>
        <v>#NAME?</v>
      </c>
      <c r="N86" s="274">
        <v>42102</v>
      </c>
    </row>
    <row r="87" spans="2:14" s="273" customFormat="1" x14ac:dyDescent="0.2">
      <c r="B87" s="287" t="s">
        <v>417</v>
      </c>
      <c r="C87" s="286" t="s">
        <v>7</v>
      </c>
      <c r="D87" s="284" t="e">
        <f ca="1">_xll.BDP(C87,"SECURITY_NAME")</f>
        <v>#NAME?</v>
      </c>
      <c r="E87" s="284" t="s">
        <v>50</v>
      </c>
      <c r="F87" s="281">
        <v>7620</v>
      </c>
      <c r="G87" s="284" t="e">
        <f ca="1">_xll.BDP(C87,"CRNCY")</f>
        <v>#NAME?</v>
      </c>
      <c r="H87" s="281" t="e">
        <f ca="1">_xll.BDH(C87,"PX_LAST",N87)</f>
        <v>#NAME?</v>
      </c>
      <c r="I87" s="282" t="e">
        <f ca="1">F87*H87</f>
        <v>#NAME?</v>
      </c>
      <c r="J87" s="283" t="e">
        <f ca="1">I87/L87</f>
        <v>#NAME?</v>
      </c>
      <c r="K87" s="282" t="e">
        <f ca="1">J87*L87</f>
        <v>#NAME?</v>
      </c>
      <c r="L87" s="281" t="e">
        <f ca="1">_xll.BDH("RUB curncy","PX_LAST",$N87)</f>
        <v>#NAME?</v>
      </c>
      <c r="M87" s="280" t="e">
        <f ca="1">1/_xll.BDH("RUB curncy","PX_LAST",$N87)</f>
        <v>#NAME?</v>
      </c>
      <c r="N87" s="274">
        <v>42102</v>
      </c>
    </row>
    <row r="88" spans="2:14" s="273" customFormat="1" x14ac:dyDescent="0.2">
      <c r="B88" s="303"/>
      <c r="C88" s="302"/>
      <c r="D88" s="290"/>
      <c r="E88" s="290"/>
      <c r="F88" s="277">
        <f>SUM(F84:F87)</f>
        <v>139710</v>
      </c>
      <c r="G88" s="278"/>
      <c r="H88" s="276" t="e">
        <f ca="1">I88/F88</f>
        <v>#NAME?</v>
      </c>
      <c r="I88" s="277" t="e">
        <f ca="1">SUM(I84:I87)</f>
        <v>#NAME?</v>
      </c>
      <c r="J88" s="277" t="e">
        <f ca="1">SUM(J84:J87)</f>
        <v>#NAME?</v>
      </c>
      <c r="K88" s="277" t="e">
        <f ca="1">SUM(K84:K87)</f>
        <v>#NAME?</v>
      </c>
      <c r="L88" s="276"/>
      <c r="M88" s="275"/>
      <c r="N88" s="288"/>
    </row>
    <row r="89" spans="2:14" x14ac:dyDescent="0.2">
      <c r="B89" s="167"/>
      <c r="C89" s="166"/>
      <c r="D89" s="165"/>
      <c r="E89" s="165"/>
      <c r="F89" s="96"/>
      <c r="G89" s="165"/>
      <c r="H89" s="97"/>
      <c r="I89" s="163"/>
      <c r="J89" s="164"/>
      <c r="K89" s="163"/>
      <c r="L89" s="162"/>
      <c r="M89" s="161"/>
      <c r="N89" s="157"/>
    </row>
    <row r="90" spans="2:14" s="273" customFormat="1" x14ac:dyDescent="0.2">
      <c r="B90" s="287" t="s">
        <v>417</v>
      </c>
      <c r="C90" s="286" t="s">
        <v>35</v>
      </c>
      <c r="D90" s="284" t="e">
        <f ca="1">_xll.BDP(C90,"SECURITY_NAME")</f>
        <v>#NAME?</v>
      </c>
      <c r="E90" s="284" t="s">
        <v>50</v>
      </c>
      <c r="F90" s="281">
        <f>1106-499</f>
        <v>607</v>
      </c>
      <c r="G90" s="284" t="e">
        <f ca="1">_xll.BDP(C90,"CRNCY")</f>
        <v>#NAME?</v>
      </c>
      <c r="H90" s="281" t="e">
        <f ca="1">_xll.BDH(C90,"PX_LAST",N90)</f>
        <v>#NAME?</v>
      </c>
      <c r="I90" s="282" t="e">
        <f ca="1">F90*H90</f>
        <v>#NAME?</v>
      </c>
      <c r="J90" s="283" t="e">
        <f ca="1">I90/L90</f>
        <v>#NAME?</v>
      </c>
      <c r="K90" s="282" t="e">
        <f ca="1">J90*L90</f>
        <v>#NAME?</v>
      </c>
      <c r="L90" s="281" t="e">
        <f ca="1">_xll.BDH("RUB curncy","PX_LAST",$N90)</f>
        <v>#NAME?</v>
      </c>
      <c r="M90" s="280" t="e">
        <f ca="1">1/_xll.BDH("RUB curncy","PX_LAST",$N90)</f>
        <v>#NAME?</v>
      </c>
      <c r="N90" s="274">
        <v>42044</v>
      </c>
    </row>
    <row r="91" spans="2:14" s="273" customFormat="1" x14ac:dyDescent="0.2">
      <c r="B91" s="287" t="s">
        <v>417</v>
      </c>
      <c r="C91" s="286" t="s">
        <v>35</v>
      </c>
      <c r="D91" s="284" t="e">
        <f ca="1">_xll.BDP(C91,"SECURITY_NAME")</f>
        <v>#NAME?</v>
      </c>
      <c r="E91" s="284" t="s">
        <v>50</v>
      </c>
      <c r="F91" s="281">
        <v>357</v>
      </c>
      <c r="G91" s="284" t="e">
        <f ca="1">_xll.BDP(C91,"CRNCY")</f>
        <v>#NAME?</v>
      </c>
      <c r="H91" s="281" t="e">
        <f ca="1">_xll.BDH(C91,"PX_LAST",N91)</f>
        <v>#NAME?</v>
      </c>
      <c r="I91" s="282" t="e">
        <f ca="1">F91*H91</f>
        <v>#NAME?</v>
      </c>
      <c r="J91" s="283" t="e">
        <f ca="1">I91/L91</f>
        <v>#NAME?</v>
      </c>
      <c r="K91" s="282" t="e">
        <f ca="1">J91*L91</f>
        <v>#NAME?</v>
      </c>
      <c r="L91" s="281" t="e">
        <f ca="1">_xll.BDH("RUB curncy","PX_LAST",$N91)</f>
        <v>#NAME?</v>
      </c>
      <c r="M91" s="280" t="e">
        <f ca="1">1/_xll.BDH("RUB curncy","PX_LAST",$N91)</f>
        <v>#NAME?</v>
      </c>
      <c r="N91" s="274">
        <v>42073</v>
      </c>
    </row>
    <row r="92" spans="2:14" s="273" customFormat="1" x14ac:dyDescent="0.2">
      <c r="B92" s="287" t="s">
        <v>417</v>
      </c>
      <c r="C92" s="286" t="s">
        <v>35</v>
      </c>
      <c r="D92" s="284" t="e">
        <f ca="1">_xll.BDP(C92,"SECURITY_NAME")</f>
        <v>#NAME?</v>
      </c>
      <c r="E92" s="284" t="s">
        <v>50</v>
      </c>
      <c r="F92" s="281">
        <v>142</v>
      </c>
      <c r="G92" s="284" t="e">
        <f ca="1">_xll.BDP(C92,"CRNCY")</f>
        <v>#NAME?</v>
      </c>
      <c r="H92" s="281" t="e">
        <f ca="1">_xll.BDH(C92,"PX_LAST",N92)</f>
        <v>#NAME?</v>
      </c>
      <c r="I92" s="282" t="e">
        <f ca="1">F92*H92</f>
        <v>#NAME?</v>
      </c>
      <c r="J92" s="283" t="e">
        <f ca="1">I92/L92</f>
        <v>#NAME?</v>
      </c>
      <c r="K92" s="282" t="e">
        <f ca="1">J92*L92</f>
        <v>#NAME?</v>
      </c>
      <c r="L92" s="281" t="e">
        <f ca="1">_xll.BDH("RUB curncy","PX_LAST",$N92)</f>
        <v>#NAME?</v>
      </c>
      <c r="M92" s="280" t="e">
        <f ca="1">1/_xll.BDH("RUB curncy","PX_LAST",$N92)</f>
        <v>#NAME?</v>
      </c>
      <c r="N92" s="274">
        <v>42104</v>
      </c>
    </row>
    <row r="93" spans="2:14" s="273" customFormat="1" x14ac:dyDescent="0.2">
      <c r="B93" s="303"/>
      <c r="C93" s="302"/>
      <c r="D93" s="290"/>
      <c r="E93" s="290"/>
      <c r="F93" s="277">
        <f>SUM(F90:F92)</f>
        <v>1106</v>
      </c>
      <c r="G93" s="278"/>
      <c r="H93" s="276" t="e">
        <f ca="1">I93/F93</f>
        <v>#NAME?</v>
      </c>
      <c r="I93" s="277" t="e">
        <f ca="1">SUM(I90:I92)</f>
        <v>#NAME?</v>
      </c>
      <c r="J93" s="277" t="e">
        <f ca="1">SUM(J90:J92)</f>
        <v>#NAME?</v>
      </c>
      <c r="K93" s="277" t="e">
        <f ca="1">SUM(K90:K92)</f>
        <v>#NAME?</v>
      </c>
      <c r="L93" s="276"/>
      <c r="M93" s="275"/>
      <c r="N93" s="288"/>
    </row>
    <row r="94" spans="2:14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4" s="273" customFormat="1" x14ac:dyDescent="0.2">
      <c r="B95" s="287" t="s">
        <v>417</v>
      </c>
      <c r="C95" s="286" t="s">
        <v>63</v>
      </c>
      <c r="D95" s="284" t="e">
        <f ca="1">_xll.BDP(C95,"SECURITY_NAME")</f>
        <v>#NAME?</v>
      </c>
      <c r="E95" s="284" t="s">
        <v>50</v>
      </c>
      <c r="F95" s="281">
        <f>11484-7081</f>
        <v>4403</v>
      </c>
      <c r="G95" s="284" t="e">
        <f ca="1">_xll.BDP(C95,"CRNCY")</f>
        <v>#NAME?</v>
      </c>
      <c r="H95" s="281" t="e">
        <f ca="1">_xll.BDH(C95,"PX_LAST",N95)</f>
        <v>#NAME?</v>
      </c>
      <c r="I95" s="282" t="e">
        <f t="shared" ref="I95:I100" ca="1" si="24">F95*H95</f>
        <v>#NAME?</v>
      </c>
      <c r="J95" s="283" t="e">
        <f t="shared" ref="J95:J100" ca="1" si="25">I95/L95</f>
        <v>#NAME?</v>
      </c>
      <c r="K95" s="282" t="e">
        <f t="shared" ref="K95:K100" ca="1" si="26">J95*L95</f>
        <v>#NAME?</v>
      </c>
      <c r="L95" s="281" t="e">
        <f ca="1">_xll.BDH("RUB curncy","PX_LAST",$N95)</f>
        <v>#NAME?</v>
      </c>
      <c r="M95" s="280" t="e">
        <f ca="1">1/_xll.BDH("RUB curncy","PX_LAST",$N95)</f>
        <v>#NAME?</v>
      </c>
      <c r="N95" s="274">
        <v>42044</v>
      </c>
    </row>
    <row r="96" spans="2:14" s="273" customFormat="1" x14ac:dyDescent="0.2">
      <c r="B96" s="287" t="s">
        <v>417</v>
      </c>
      <c r="C96" s="286" t="s">
        <v>63</v>
      </c>
      <c r="D96" s="284" t="e">
        <f ca="1">_xll.BDP(C96,"SECURITY_NAME")</f>
        <v>#NAME?</v>
      </c>
      <c r="E96" s="284" t="s">
        <v>50</v>
      </c>
      <c r="F96" s="281">
        <v>1290</v>
      </c>
      <c r="G96" s="284" t="e">
        <f ca="1">_xll.BDP(C96,"CRNCY")</f>
        <v>#NAME?</v>
      </c>
      <c r="H96" s="281" t="e">
        <f ca="1">_xll.BDH(C96,"PX_LAST",N96)</f>
        <v>#NAME?</v>
      </c>
      <c r="I96" s="282" t="e">
        <f t="shared" ca="1" si="24"/>
        <v>#NAME?</v>
      </c>
      <c r="J96" s="283" t="e">
        <f t="shared" ca="1" si="25"/>
        <v>#NAME?</v>
      </c>
      <c r="K96" s="282" t="e">
        <f t="shared" ca="1" si="26"/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42046</v>
      </c>
    </row>
    <row r="97" spans="2:14" s="273" customFormat="1" x14ac:dyDescent="0.2">
      <c r="B97" s="287" t="s">
        <v>417</v>
      </c>
      <c r="C97" s="286" t="s">
        <v>63</v>
      </c>
      <c r="D97" s="284" t="e">
        <f ca="1">_xll.BDP(C97,"SECURITY_NAME")</f>
        <v>#NAME?</v>
      </c>
      <c r="E97" s="284" t="s">
        <v>50</v>
      </c>
      <c r="F97" s="281">
        <v>1436</v>
      </c>
      <c r="G97" s="284" t="e">
        <f ca="1">_xll.BDP(C97,"CRNCY")</f>
        <v>#NAME?</v>
      </c>
      <c r="H97" s="281" t="e">
        <f ca="1">_xll.BDH(C97,"PX_LAST",N97)</f>
        <v>#NAME?</v>
      </c>
      <c r="I97" s="282" t="e">
        <f t="shared" ca="1" si="24"/>
        <v>#NAME?</v>
      </c>
      <c r="J97" s="283" t="e">
        <f t="shared" ca="1" si="25"/>
        <v>#NAME?</v>
      </c>
      <c r="K97" s="282" t="e">
        <f t="shared" ca="1" si="26"/>
        <v>#NAME?</v>
      </c>
      <c r="L97" s="281" t="e">
        <f ca="1">_xll.BDH("RUB curncy","PX_LAST",$N97)</f>
        <v>#NAME?</v>
      </c>
      <c r="M97" s="280" t="e">
        <f ca="1">1/_xll.BDH("RUB curncy","PX_LAST",$N97)</f>
        <v>#NAME?</v>
      </c>
      <c r="N97" s="274">
        <v>42047</v>
      </c>
    </row>
    <row r="98" spans="2:14" s="273" customFormat="1" x14ac:dyDescent="0.2">
      <c r="B98" s="287" t="s">
        <v>417</v>
      </c>
      <c r="C98" s="286" t="s">
        <v>63</v>
      </c>
      <c r="D98" s="284" t="e">
        <f ca="1">_xll.BDP(C98,"SECURITY_NAME")</f>
        <v>#NAME?</v>
      </c>
      <c r="E98" s="284" t="s">
        <v>50</v>
      </c>
      <c r="F98" s="281">
        <v>1560</v>
      </c>
      <c r="G98" s="284" t="e">
        <f ca="1">_xll.BDP(C98,"CRNCY")</f>
        <v>#NAME?</v>
      </c>
      <c r="H98" s="281" t="e">
        <f ca="1">_xll.BDH(C98,"PX_LAST",N98)</f>
        <v>#NAME?</v>
      </c>
      <c r="I98" s="282" t="e">
        <f t="shared" ca="1" si="24"/>
        <v>#NAME?</v>
      </c>
      <c r="J98" s="283" t="e">
        <f t="shared" ca="1" si="25"/>
        <v>#NAME?</v>
      </c>
      <c r="K98" s="282" t="e">
        <f t="shared" ca="1" si="26"/>
        <v>#NAME?</v>
      </c>
      <c r="L98" s="281" t="e">
        <f ca="1">_xll.BDH("RUB curncy","PX_LAST",$N98)</f>
        <v>#NAME?</v>
      </c>
      <c r="M98" s="280" t="e">
        <f ca="1">1/_xll.BDH("RUB curncy","PX_LAST",$N98)</f>
        <v>#NAME?</v>
      </c>
      <c r="N98" s="274">
        <v>42051</v>
      </c>
    </row>
    <row r="99" spans="2:14" s="273" customFormat="1" x14ac:dyDescent="0.2">
      <c r="B99" s="287" t="s">
        <v>417</v>
      </c>
      <c r="C99" s="286" t="s">
        <v>63</v>
      </c>
      <c r="D99" s="284" t="e">
        <f ca="1">_xll.BDP(C99,"SECURITY_NAME")</f>
        <v>#NAME?</v>
      </c>
      <c r="E99" s="284" t="s">
        <v>50</v>
      </c>
      <c r="F99" s="281">
        <v>1374</v>
      </c>
      <c r="G99" s="284" t="e">
        <f ca="1">_xll.BDP(C99,"CRNCY")</f>
        <v>#NAME?</v>
      </c>
      <c r="H99" s="281" t="e">
        <f ca="1">_xll.BDH(C99,"PX_LAST",N99)</f>
        <v>#NAME?</v>
      </c>
      <c r="I99" s="282" t="e">
        <f t="shared" ca="1" si="24"/>
        <v>#NAME?</v>
      </c>
      <c r="J99" s="283" t="e">
        <f t="shared" ca="1" si="25"/>
        <v>#NAME?</v>
      </c>
      <c r="K99" s="282" t="e">
        <f t="shared" ca="1" si="26"/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42073</v>
      </c>
    </row>
    <row r="100" spans="2:14" s="273" customFormat="1" x14ac:dyDescent="0.2">
      <c r="B100" s="287" t="s">
        <v>417</v>
      </c>
      <c r="C100" s="286" t="s">
        <v>63</v>
      </c>
      <c r="D100" s="284" t="e">
        <f ca="1">_xll.BDP(C100,"SECURITY_NAME")</f>
        <v>#NAME?</v>
      </c>
      <c r="E100" s="284" t="s">
        <v>50</v>
      </c>
      <c r="F100" s="281">
        <v>1421</v>
      </c>
      <c r="G100" s="284" t="e">
        <f ca="1">_xll.BDP(C100,"CRNCY")</f>
        <v>#NAME?</v>
      </c>
      <c r="H100" s="281" t="e">
        <f ca="1">_xll.BDH(C100,"PX_LAST",N100)</f>
        <v>#NAME?</v>
      </c>
      <c r="I100" s="282" t="e">
        <f t="shared" ca="1" si="24"/>
        <v>#NAME?</v>
      </c>
      <c r="J100" s="283" t="e">
        <f t="shared" ca="1" si="25"/>
        <v>#NAME?</v>
      </c>
      <c r="K100" s="282" t="e">
        <f t="shared" ca="1" si="26"/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42111</v>
      </c>
    </row>
    <row r="101" spans="2:14" s="273" customFormat="1" x14ac:dyDescent="0.2">
      <c r="B101" s="303"/>
      <c r="C101" s="302"/>
      <c r="D101" s="290"/>
      <c r="E101" s="290"/>
      <c r="F101" s="277">
        <f>SUM(F95:F100)</f>
        <v>11484</v>
      </c>
      <c r="G101" s="278"/>
      <c r="H101" s="276" t="e">
        <f ca="1">I101/F101</f>
        <v>#NAME?</v>
      </c>
      <c r="I101" s="277" t="e">
        <f ca="1">SUM(I95:I100)</f>
        <v>#NAME?</v>
      </c>
      <c r="J101" s="277" t="e">
        <f ca="1">SUM(J95:J100)</f>
        <v>#NAME?</v>
      </c>
      <c r="K101" s="277" t="e">
        <f ca="1">SUM(K95:K100)</f>
        <v>#NAME?</v>
      </c>
      <c r="L101" s="276"/>
      <c r="M101" s="275"/>
      <c r="N101" s="288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s="273" customFormat="1" x14ac:dyDescent="0.2">
      <c r="B103" s="287" t="s">
        <v>417</v>
      </c>
      <c r="C103" s="286" t="s">
        <v>432</v>
      </c>
      <c r="D103" s="284" t="e">
        <f ca="1">_xll.BDP(C103,"SECURITY_NAME")</f>
        <v>#NAME?</v>
      </c>
      <c r="E103" s="284" t="s">
        <v>50</v>
      </c>
      <c r="F103" s="281">
        <v>2462</v>
      </c>
      <c r="G103" s="284" t="e">
        <f ca="1">_xll.BDP(C103,"CRNCY")</f>
        <v>#NAME?</v>
      </c>
      <c r="H103" s="281">
        <v>14.12</v>
      </c>
      <c r="I103" s="282">
        <f>F103*H103</f>
        <v>34763.439999999995</v>
      </c>
      <c r="J103" s="283">
        <f>I103</f>
        <v>34763.439999999995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42171</v>
      </c>
    </row>
    <row r="104" spans="2:14" s="273" customFormat="1" x14ac:dyDescent="0.2">
      <c r="B104" s="303"/>
      <c r="C104" s="302"/>
      <c r="D104" s="290"/>
      <c r="E104" s="290"/>
      <c r="F104" s="277">
        <f>SUM(F103)</f>
        <v>2462</v>
      </c>
      <c r="G104" s="278"/>
      <c r="H104" s="276">
        <f>I104/F104</f>
        <v>14.119999999999997</v>
      </c>
      <c r="I104" s="277">
        <f>SUM(I103)</f>
        <v>34763.439999999995</v>
      </c>
      <c r="J104" s="277">
        <f>SUM(J103)</f>
        <v>34763.439999999995</v>
      </c>
      <c r="K104" s="277" t="e">
        <f ca="1">SUM(K103)</f>
        <v>#NAME?</v>
      </c>
      <c r="L104" s="276"/>
      <c r="M104" s="275"/>
      <c r="N104" s="288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s="273" customFormat="1" x14ac:dyDescent="0.2">
      <c r="B106" s="287" t="s">
        <v>417</v>
      </c>
      <c r="C106" s="286" t="s">
        <v>8</v>
      </c>
      <c r="D106" s="284" t="e">
        <f ca="1">_xll.BDP(C106,"SECURITY_NAME")</f>
        <v>#NAME?</v>
      </c>
      <c r="E106" s="284" t="s">
        <v>50</v>
      </c>
      <c r="F106" s="281">
        <f>1625-1047</f>
        <v>578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ca="1">F106*H106</f>
        <v>#NAME?</v>
      </c>
      <c r="J106" s="283" t="e">
        <f ca="1">I106/L106</f>
        <v>#NAME?</v>
      </c>
      <c r="K106" s="282" t="e">
        <f ca="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42053</v>
      </c>
    </row>
    <row r="107" spans="2:14" s="273" customFormat="1" x14ac:dyDescent="0.2">
      <c r="B107" s="287" t="s">
        <v>417</v>
      </c>
      <c r="C107" s="286" t="s">
        <v>8</v>
      </c>
      <c r="D107" s="284" t="e">
        <f ca="1">_xll.BDP(C107,"SECURITY_NAME")</f>
        <v>#NAME?</v>
      </c>
      <c r="E107" s="284" t="s">
        <v>50</v>
      </c>
      <c r="F107" s="281">
        <v>250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ca="1">F107*H107</f>
        <v>#NAME?</v>
      </c>
      <c r="J107" s="283" t="e">
        <f ca="1">I107/L107</f>
        <v>#NAME?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42068</v>
      </c>
    </row>
    <row r="108" spans="2:14" s="273" customFormat="1" x14ac:dyDescent="0.2">
      <c r="B108" s="287" t="s">
        <v>417</v>
      </c>
      <c r="C108" s="286" t="s">
        <v>8</v>
      </c>
      <c r="D108" s="284" t="e">
        <f ca="1">_xll.BDP(C108,"SECURITY_NAME")</f>
        <v>#NAME?</v>
      </c>
      <c r="E108" s="284" t="s">
        <v>50</v>
      </c>
      <c r="F108" s="281">
        <v>325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ca="1">F108*H108</f>
        <v>#NAME?</v>
      </c>
      <c r="J108" s="283" t="e">
        <f ca="1">I108/L108</f>
        <v>#NAME?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42124</v>
      </c>
    </row>
    <row r="109" spans="2:14" s="273" customFormat="1" x14ac:dyDescent="0.2">
      <c r="B109" s="287" t="s">
        <v>417</v>
      </c>
      <c r="C109" s="286" t="s">
        <v>8</v>
      </c>
      <c r="D109" s="284" t="e">
        <f ca="1">_xll.BDP(C109,"SECURITY_NAME")</f>
        <v>#NAME?</v>
      </c>
      <c r="E109" s="284" t="s">
        <v>50</v>
      </c>
      <c r="F109" s="281">
        <v>472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ca="1">F109*H109</f>
        <v>#NAME?</v>
      </c>
      <c r="J109" s="283" t="e">
        <f ca="1">I109/L109</f>
        <v>#NAME?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42131</v>
      </c>
    </row>
    <row r="110" spans="2:14" s="273" customFormat="1" x14ac:dyDescent="0.2">
      <c r="B110" s="303"/>
      <c r="C110" s="302"/>
      <c r="D110" s="290"/>
      <c r="E110" s="290"/>
      <c r="F110" s="277">
        <f>SUM(F106:F109)</f>
        <v>1625</v>
      </c>
      <c r="G110" s="278"/>
      <c r="H110" s="276" t="e">
        <f ca="1">I110/F110</f>
        <v>#NAME?</v>
      </c>
      <c r="I110" s="277" t="e">
        <f ca="1">SUM(I106:I109)</f>
        <v>#NAME?</v>
      </c>
      <c r="J110" s="277" t="e">
        <f ca="1">SUM(J106:J109)</f>
        <v>#NAME?</v>
      </c>
      <c r="K110" s="277" t="e">
        <f ca="1">SUM(K106:K109)</f>
        <v>#NAME?</v>
      </c>
      <c r="L110" s="276"/>
      <c r="M110" s="275"/>
      <c r="N110" s="288"/>
    </row>
    <row r="111" spans="2:14" x14ac:dyDescent="0.2">
      <c r="B111" s="160"/>
      <c r="C111" s="159"/>
      <c r="D111" s="87"/>
      <c r="E111" s="87"/>
      <c r="F111" s="79"/>
      <c r="G111" s="87"/>
      <c r="H111" s="99"/>
      <c r="I111" s="79"/>
      <c r="J111" s="79"/>
      <c r="K111" s="79"/>
      <c r="L111" s="88"/>
      <c r="M111" s="158"/>
      <c r="N111" s="157"/>
    </row>
    <row r="112" spans="2:14" s="273" customFormat="1" x14ac:dyDescent="0.2">
      <c r="B112" s="287" t="s">
        <v>417</v>
      </c>
      <c r="C112" s="286" t="s">
        <v>68</v>
      </c>
      <c r="D112" s="284" t="e">
        <f ca="1">_xll.BDP(C112,"SECURITY_NAME")</f>
        <v>#NAME?</v>
      </c>
      <c r="E112" s="284" t="s">
        <v>50</v>
      </c>
      <c r="F112" s="281">
        <f>447200-264776</f>
        <v>182424</v>
      </c>
      <c r="G112" s="284" t="e">
        <f ca="1">_xll.BDP(C112,"CRNCY")</f>
        <v>#NAME?</v>
      </c>
      <c r="H112" s="281" t="e">
        <f ca="1">_xll.BDH(C112,"PX_LAST",N112)</f>
        <v>#NAME?</v>
      </c>
      <c r="I112" s="282" t="e">
        <f ca="1">F112*H112</f>
        <v>#NAME?</v>
      </c>
      <c r="J112" s="283" t="e">
        <f ca="1">I112/L112</f>
        <v>#NAME?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42044</v>
      </c>
    </row>
    <row r="113" spans="1:14" s="273" customFormat="1" x14ac:dyDescent="0.2">
      <c r="B113" s="287" t="s">
        <v>417</v>
      </c>
      <c r="C113" s="286" t="s">
        <v>68</v>
      </c>
      <c r="D113" s="284" t="e">
        <f ca="1">_xll.BDP(C113,"SECURITY_NAME")</f>
        <v>#NAME?</v>
      </c>
      <c r="E113" s="284" t="s">
        <v>50</v>
      </c>
      <c r="F113" s="281">
        <v>60733</v>
      </c>
      <c r="G113" s="284" t="e">
        <f ca="1">_xll.BDP(C113,"CRNCY")</f>
        <v>#NAME?</v>
      </c>
      <c r="H113" s="281" t="e">
        <f ca="1">_xll.BDH(C113,"PX_LAST",N113)</f>
        <v>#NAME?</v>
      </c>
      <c r="I113" s="282" t="e">
        <f ca="1">F113*H113</f>
        <v>#NAME?</v>
      </c>
      <c r="J113" s="283" t="e">
        <f ca="1">I113/L113</f>
        <v>#NAME?</v>
      </c>
      <c r="K113" s="282" t="e">
        <f ca="1">J113*L113</f>
        <v>#NAME?</v>
      </c>
      <c r="L113" s="281" t="e">
        <f ca="1">_xll.BDH("RUB curncy","PX_LAST",$N113)</f>
        <v>#NAME?</v>
      </c>
      <c r="M113" s="280" t="e">
        <f ca="1">1/_xll.BDH("RUB curncy","PX_LAST",$N113)</f>
        <v>#NAME?</v>
      </c>
      <c r="N113" s="274">
        <v>42153</v>
      </c>
    </row>
    <row r="114" spans="1:14" s="273" customFormat="1" x14ac:dyDescent="0.2">
      <c r="B114" s="287" t="s">
        <v>417</v>
      </c>
      <c r="C114" s="286" t="s">
        <v>68</v>
      </c>
      <c r="D114" s="284" t="e">
        <f ca="1">_xll.BDP(C114,"SECURITY_NAME")</f>
        <v>#NAME?</v>
      </c>
      <c r="E114" s="284" t="s">
        <v>50</v>
      </c>
      <c r="F114" s="281">
        <v>128243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42170</v>
      </c>
    </row>
    <row r="115" spans="1:14" s="273" customFormat="1" x14ac:dyDescent="0.2">
      <c r="B115" s="287" t="s">
        <v>417</v>
      </c>
      <c r="C115" s="286" t="s">
        <v>68</v>
      </c>
      <c r="D115" s="284" t="e">
        <f ca="1">_xll.BDP(C115,"SECURITY_NAME")</f>
        <v>#NAME?</v>
      </c>
      <c r="E115" s="284" t="s">
        <v>50</v>
      </c>
      <c r="F115" s="281">
        <v>75800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42177</v>
      </c>
    </row>
    <row r="116" spans="1:14" s="273" customFormat="1" x14ac:dyDescent="0.2">
      <c r="B116" s="303"/>
      <c r="C116" s="302"/>
      <c r="D116" s="290">
        <f>E116/F116</f>
        <v>0.66457960644007152</v>
      </c>
      <c r="E116" s="277">
        <v>297200</v>
      </c>
      <c r="F116" s="277">
        <f>SUM(F112:F115)</f>
        <v>447200</v>
      </c>
      <c r="G116" s="278"/>
      <c r="H116" s="276" t="e">
        <f ca="1">I116/E116</f>
        <v>#NAME?</v>
      </c>
      <c r="I116" s="277" t="e">
        <f ca="1">SUM(I112:I115)*D116</f>
        <v>#NAME?</v>
      </c>
      <c r="J116" s="277" t="e">
        <f ca="1">SUM(J112:J115)*D116</f>
        <v>#NAME?</v>
      </c>
      <c r="K116" s="277" t="e">
        <f ca="1">SUM(K112:K115)*D116</f>
        <v>#NAME?</v>
      </c>
      <c r="L116" s="276"/>
      <c r="M116" s="275"/>
      <c r="N116" s="288"/>
    </row>
    <row r="117" spans="1:14" x14ac:dyDescent="0.2">
      <c r="B117" s="160"/>
      <c r="C117" s="159"/>
      <c r="D117" s="87"/>
      <c r="E117" s="87"/>
      <c r="F117" s="79"/>
      <c r="G117" s="87"/>
      <c r="H117" s="99"/>
      <c r="I117" s="79"/>
      <c r="J117" s="79"/>
      <c r="K117" s="79"/>
      <c r="L117" s="88"/>
      <c r="M117" s="158"/>
      <c r="N117" s="157"/>
    </row>
    <row r="118" spans="1:14" s="273" customFormat="1" x14ac:dyDescent="0.2">
      <c r="B118" s="287" t="s">
        <v>417</v>
      </c>
      <c r="C118" s="286" t="s">
        <v>27</v>
      </c>
      <c r="D118" s="284" t="e">
        <f ca="1">_xll.BDP(C118,"SECURITY_NAME")</f>
        <v>#NAME?</v>
      </c>
      <c r="E118" s="284" t="s">
        <v>50</v>
      </c>
      <c r="F118" s="281">
        <v>18200</v>
      </c>
      <c r="G118" s="284" t="e">
        <f ca="1">_xll.BDP(C118,"CRNCY")</f>
        <v>#NAME?</v>
      </c>
      <c r="H118" s="281" t="e">
        <f ca="1">_xll.BDH(C118,"PX_LAST",N118)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42046</v>
      </c>
    </row>
    <row r="119" spans="1:14" s="273" customFormat="1" x14ac:dyDescent="0.2">
      <c r="B119" s="303"/>
      <c r="C119" s="302"/>
      <c r="D119" s="290"/>
      <c r="E119" s="290"/>
      <c r="F119" s="277">
        <f>SUM(F118:F118)</f>
        <v>18200</v>
      </c>
      <c r="G119" s="278"/>
      <c r="H119" s="276" t="e">
        <f ca="1">I119/F119</f>
        <v>#NAME?</v>
      </c>
      <c r="I119" s="277" t="e">
        <f ca="1">SUM(I118:I118)</f>
        <v>#NAME?</v>
      </c>
      <c r="J119" s="277" t="e">
        <f ca="1">SUM(J118:J118)</f>
        <v>#NAME?</v>
      </c>
      <c r="K119" s="277" t="e">
        <f ca="1">SUM(K118:K118)</f>
        <v>#NAME?</v>
      </c>
      <c r="L119" s="276"/>
      <c r="M119" s="275"/>
      <c r="N119" s="288"/>
    </row>
    <row r="120" spans="1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1:14" x14ac:dyDescent="0.2">
      <c r="A121" s="273"/>
      <c r="B121" s="287" t="s">
        <v>417</v>
      </c>
      <c r="C121" s="286" t="s">
        <v>44</v>
      </c>
      <c r="D121" s="284" t="e">
        <f ca="1">_xll.BDP(C121,"SECURITY_NAME")</f>
        <v>#NAME?</v>
      </c>
      <c r="E121" s="284" t="s">
        <v>50</v>
      </c>
      <c r="F121" s="285">
        <v>191000</v>
      </c>
      <c r="G121" s="284" t="e">
        <f ca="1">_xll.BDP(C121,"CRNCY")</f>
        <v>#NAME?</v>
      </c>
      <c r="H121" s="281">
        <v>38.299999999999997</v>
      </c>
      <c r="I121" s="282">
        <f>F121*H121</f>
        <v>7315299.9999999991</v>
      </c>
      <c r="J121" s="283" t="e">
        <f ca="1">I121/L121</f>
        <v>#NAME?</v>
      </c>
      <c r="K121" s="282" t="e">
        <f ca="1">J121*L121</f>
        <v>#NAME?</v>
      </c>
      <c r="L121" s="281" t="e">
        <f ca="1">_xll.BDH("RUB curncy","PX_LAST",$N121)</f>
        <v>#NAME?</v>
      </c>
      <c r="M121" s="280" t="e">
        <f ca="1">1/_xll.BDH("RUB curncy","PX_LAST",$N121)</f>
        <v>#NAME?</v>
      </c>
      <c r="N121" s="274">
        <v>42536</v>
      </c>
    </row>
    <row r="122" spans="1:14" s="273" customFormat="1" x14ac:dyDescent="0.2">
      <c r="B122" s="287" t="s">
        <v>417</v>
      </c>
      <c r="C122" s="286" t="s">
        <v>44</v>
      </c>
      <c r="D122" s="284" t="e">
        <f ca="1">_xll.BDP(C122,"SECURITY_NAME")</f>
        <v>#NAME?</v>
      </c>
      <c r="E122" s="284" t="s">
        <v>50</v>
      </c>
      <c r="F122" s="285">
        <f>78500-50400</f>
        <v>28100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41990</v>
      </c>
    </row>
    <row r="123" spans="1:14" s="273" customFormat="1" x14ac:dyDescent="0.2">
      <c r="B123" s="287" t="s">
        <v>417</v>
      </c>
      <c r="C123" s="286" t="s">
        <v>44</v>
      </c>
      <c r="D123" s="284" t="e">
        <f ca="1">_xll.BDP(C123,"SECURITY_NAME")</f>
        <v>#NAME?</v>
      </c>
      <c r="E123" s="284" t="s">
        <v>50</v>
      </c>
      <c r="F123" s="285">
        <v>50400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42137</v>
      </c>
    </row>
    <row r="124" spans="1:14" s="273" customFormat="1" x14ac:dyDescent="0.2">
      <c r="B124" s="303"/>
      <c r="C124" s="302"/>
      <c r="D124" s="290"/>
      <c r="E124" s="277"/>
      <c r="F124" s="277">
        <f>SUM(F121:F123)</f>
        <v>269500</v>
      </c>
      <c r="G124" s="278"/>
      <c r="H124" s="276" t="e">
        <f ca="1">I124/F124</f>
        <v>#NAME?</v>
      </c>
      <c r="I124" s="277" t="e">
        <f ca="1">SUM(I121:I123)</f>
        <v>#NAME?</v>
      </c>
      <c r="J124" s="277" t="e">
        <f ca="1">SUM(J121:J123)</f>
        <v>#NAME?</v>
      </c>
      <c r="K124" s="277" t="e">
        <f ca="1">SUM(K121:K123)</f>
        <v>#NAME?</v>
      </c>
      <c r="L124" s="276"/>
      <c r="M124" s="275"/>
      <c r="N124" s="288"/>
    </row>
    <row r="125" spans="1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1:14" s="273" customFormat="1" x14ac:dyDescent="0.2">
      <c r="B126" s="287" t="s">
        <v>417</v>
      </c>
      <c r="C126" s="286" t="s">
        <v>10</v>
      </c>
      <c r="D126" s="284" t="e">
        <f ca="1">_xll.BDP(C126,"SECURITY_NAME")</f>
        <v>#NAME?</v>
      </c>
      <c r="E126" s="284" t="s">
        <v>50</v>
      </c>
      <c r="F126" s="281">
        <f>12821-7422</f>
        <v>5399</v>
      </c>
      <c r="G126" s="284" t="e">
        <f ca="1">_xll.BDP(C126,"CRNCY")</f>
        <v>#NAME?</v>
      </c>
      <c r="H126" s="281">
        <v>17.600000000000001</v>
      </c>
      <c r="I126" s="282">
        <f>F126*H126</f>
        <v>95022.400000000009</v>
      </c>
      <c r="J126" s="283">
        <f>I126</f>
        <v>95022.400000000009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42053</v>
      </c>
    </row>
    <row r="127" spans="1:14" s="273" customFormat="1" x14ac:dyDescent="0.2">
      <c r="B127" s="287" t="s">
        <v>417</v>
      </c>
      <c r="C127" s="286" t="s">
        <v>10</v>
      </c>
      <c r="D127" s="284" t="e">
        <f ca="1">_xll.BDP(C127,"SECURITY_NAME")</f>
        <v>#NAME?</v>
      </c>
      <c r="E127" s="284" t="s">
        <v>50</v>
      </c>
      <c r="F127" s="281">
        <v>7422</v>
      </c>
      <c r="G127" s="284" t="e">
        <f ca="1">_xll.BDP(C127,"CRNCY")</f>
        <v>#NAME?</v>
      </c>
      <c r="H127" s="281">
        <v>15.52</v>
      </c>
      <c r="I127" s="282">
        <f>F127*H127</f>
        <v>115189.44</v>
      </c>
      <c r="J127" s="283">
        <f>I127</f>
        <v>115189.44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42089</v>
      </c>
    </row>
    <row r="128" spans="1:14" s="273" customFormat="1" x14ac:dyDescent="0.2">
      <c r="B128" s="303"/>
      <c r="C128" s="302"/>
      <c r="D128" s="290"/>
      <c r="E128" s="290"/>
      <c r="F128" s="277">
        <f>SUM(F126:F127)</f>
        <v>12821</v>
      </c>
      <c r="G128" s="278"/>
      <c r="H128" s="276">
        <f>I128/F128</f>
        <v>16.395900475781922</v>
      </c>
      <c r="I128" s="277">
        <f>SUM(I126:I127)</f>
        <v>210211.84000000003</v>
      </c>
      <c r="J128" s="277">
        <f>SUM(J126:J127)</f>
        <v>210211.84000000003</v>
      </c>
      <c r="K128" s="277" t="e">
        <f ca="1">SUM(K126:K127)</f>
        <v>#NAME?</v>
      </c>
      <c r="L128" s="276"/>
      <c r="M128" s="275"/>
      <c r="N128" s="288"/>
    </row>
    <row r="129" spans="2:14" x14ac:dyDescent="0.2">
      <c r="B129" s="160"/>
      <c r="C129" s="159"/>
      <c r="D129" s="87"/>
      <c r="E129" s="87"/>
      <c r="F129" s="79"/>
      <c r="G129" s="87"/>
      <c r="H129" s="99"/>
      <c r="I129" s="79"/>
      <c r="J129" s="79"/>
      <c r="K129" s="79"/>
      <c r="L129" s="88"/>
      <c r="M129" s="158"/>
      <c r="N129" s="157"/>
    </row>
    <row r="130" spans="2:14" s="273" customFormat="1" ht="13.5" customHeight="1" x14ac:dyDescent="0.2">
      <c r="B130" s="287" t="s">
        <v>417</v>
      </c>
      <c r="C130" s="286" t="s">
        <v>457</v>
      </c>
      <c r="D130" s="284" t="e">
        <f ca="1">_xll.BDP(C130,"SECURITY_NAME")</f>
        <v>#NAME?</v>
      </c>
      <c r="E130" s="284" t="s">
        <v>50</v>
      </c>
      <c r="F130" s="285">
        <f>2600000-2569000</f>
        <v>31000</v>
      </c>
      <c r="G130" s="284" t="e">
        <f ca="1">_xll.BDP(C130,"CRNCY")</f>
        <v>#NAME?</v>
      </c>
      <c r="H130" s="281">
        <v>79.107624999999999</v>
      </c>
      <c r="I130" s="282">
        <f>F130*H130/100</f>
        <v>24523.36375</v>
      </c>
      <c r="J130" s="283">
        <f>I130</f>
        <v>24523.36375</v>
      </c>
      <c r="K130" s="282" t="e">
        <f ca="1">J130*L130</f>
        <v>#NAME?</v>
      </c>
      <c r="L130" s="281" t="e">
        <f ca="1">_xll.BDH("RUB curncy","PX_LAST",$N130)</f>
        <v>#NAME?</v>
      </c>
      <c r="M130" s="280" t="e">
        <f ca="1">1/_xll.BDH("RUB curncy","PX_LAST",$N130)</f>
        <v>#NAME?</v>
      </c>
      <c r="N130" s="274">
        <v>41981</v>
      </c>
    </row>
    <row r="131" spans="2:14" s="273" customFormat="1" ht="13.5" customHeight="1" x14ac:dyDescent="0.2">
      <c r="B131" s="287" t="s">
        <v>417</v>
      </c>
      <c r="C131" s="286" t="s">
        <v>457</v>
      </c>
      <c r="D131" s="284" t="e">
        <f ca="1">_xll.BDP(C131,"SECURITY_NAME")</f>
        <v>#NAME?</v>
      </c>
      <c r="E131" s="284" t="s">
        <v>50</v>
      </c>
      <c r="F131" s="285">
        <v>2400000</v>
      </c>
      <c r="G131" s="284" t="e">
        <f ca="1">_xll.BDP(C131,"CRNCY")</f>
        <v>#NAME?</v>
      </c>
      <c r="H131" s="281">
        <v>72.671250000000001</v>
      </c>
      <c r="I131" s="282">
        <f>F131*H131/100</f>
        <v>1744110</v>
      </c>
      <c r="J131" s="283">
        <f>I131</f>
        <v>1744110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41988</v>
      </c>
    </row>
    <row r="132" spans="2:14" s="273" customFormat="1" ht="13.5" customHeight="1" x14ac:dyDescent="0.2">
      <c r="B132" s="287" t="s">
        <v>417</v>
      </c>
      <c r="C132" s="286" t="s">
        <v>457</v>
      </c>
      <c r="D132" s="284" t="e">
        <f ca="1">_xll.BDP(C132,"SECURITY_NAME")</f>
        <v>#NAME?</v>
      </c>
      <c r="E132" s="284" t="s">
        <v>50</v>
      </c>
      <c r="F132" s="285">
        <v>169000</v>
      </c>
      <c r="G132" s="284" t="e">
        <f ca="1">_xll.BDP(C132,"CRNCY")</f>
        <v>#NAME?</v>
      </c>
      <c r="H132" s="281">
        <v>97.875</v>
      </c>
      <c r="I132" s="282">
        <f>F132*H132/100</f>
        <v>165408.75</v>
      </c>
      <c r="J132" s="283">
        <f>I132</f>
        <v>165408.75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42152</v>
      </c>
    </row>
    <row r="133" spans="2:14" s="273" customFormat="1" x14ac:dyDescent="0.2">
      <c r="B133" s="279"/>
      <c r="C133" s="279"/>
      <c r="D133" s="278"/>
      <c r="E133" s="278"/>
      <c r="F133" s="277">
        <f>SUM(F130:F132)</f>
        <v>2600000</v>
      </c>
      <c r="G133" s="278"/>
      <c r="H133" s="276">
        <f>J133/F133*100</f>
        <v>74.386235144230767</v>
      </c>
      <c r="I133" s="277">
        <f>SUM(I130:I132)</f>
        <v>1934042.11375</v>
      </c>
      <c r="J133" s="277">
        <f>SUM(J130:J132)</f>
        <v>1934042.11375</v>
      </c>
      <c r="K133" s="277" t="e">
        <f ca="1">SUM(K130:K132)</f>
        <v>#NAME?</v>
      </c>
      <c r="L133" s="276"/>
      <c r="M133" s="275"/>
      <c r="N133" s="274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s="273" customFormat="1" ht="13.5" customHeight="1" x14ac:dyDescent="0.2">
      <c r="B135" s="287" t="s">
        <v>417</v>
      </c>
      <c r="C135" s="286" t="s">
        <v>439</v>
      </c>
      <c r="D135" s="284" t="e">
        <f ca="1">_xll.BDP(C135,"SECURITY_NAME")</f>
        <v>#NAME?</v>
      </c>
      <c r="E135" s="284" t="s">
        <v>50</v>
      </c>
      <c r="F135" s="285">
        <f>2700000-1590000</f>
        <v>1110000</v>
      </c>
      <c r="G135" s="284" t="e">
        <f ca="1">_xll.BDP(C135,"CRNCY")</f>
        <v>#NAME?</v>
      </c>
      <c r="H135" s="281">
        <v>69</v>
      </c>
      <c r="I135" s="282">
        <f>F135*H135/100</f>
        <v>765900</v>
      </c>
      <c r="J135" s="283">
        <f>I135</f>
        <v>765900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42060</v>
      </c>
    </row>
    <row r="136" spans="2:14" s="273" customFormat="1" ht="13.5" customHeight="1" x14ac:dyDescent="0.2">
      <c r="B136" s="287" t="s">
        <v>417</v>
      </c>
      <c r="C136" s="286" t="s">
        <v>439</v>
      </c>
      <c r="D136" s="284" t="e">
        <f ca="1">_xll.BDP(C136,"SECURITY_NAME")</f>
        <v>#NAME?</v>
      </c>
      <c r="E136" s="284" t="s">
        <v>50</v>
      </c>
      <c r="F136" s="285">
        <v>1500000</v>
      </c>
      <c r="G136" s="284" t="e">
        <f ca="1">_xll.BDP(C136,"CRNCY")</f>
        <v>#NAME?</v>
      </c>
      <c r="H136" s="281">
        <v>75.000666670000001</v>
      </c>
      <c r="I136" s="282">
        <f>F136*H136/100</f>
        <v>1125010.0000499999</v>
      </c>
      <c r="J136" s="283">
        <f>I136</f>
        <v>1125010.0000499999</v>
      </c>
      <c r="K136" s="282" t="e">
        <f ca="1">J136*L136</f>
        <v>#NAME?</v>
      </c>
      <c r="L136" s="281" t="e">
        <f ca="1">_xll.BDH("RUB curncy","PX_LAST",$N136)</f>
        <v>#NAME?</v>
      </c>
      <c r="M136" s="280" t="e">
        <f ca="1">1/_xll.BDH("RUB curncy","PX_LAST",$N136)</f>
        <v>#NAME?</v>
      </c>
      <c r="N136" s="274">
        <v>42066</v>
      </c>
    </row>
    <row r="137" spans="2:14" s="273" customFormat="1" ht="13.5" customHeight="1" x14ac:dyDescent="0.2">
      <c r="B137" s="287" t="s">
        <v>417</v>
      </c>
      <c r="C137" s="286" t="s">
        <v>439</v>
      </c>
      <c r="D137" s="284" t="e">
        <f ca="1">_xll.BDP(C137,"SECURITY_NAME")</f>
        <v>#NAME?</v>
      </c>
      <c r="E137" s="284" t="s">
        <v>50</v>
      </c>
      <c r="F137" s="285">
        <v>90000</v>
      </c>
      <c r="G137" s="284" t="e">
        <f ca="1">_xll.BDP(C137,"CRNCY")</f>
        <v>#NAME?</v>
      </c>
      <c r="H137" s="281">
        <v>75.5</v>
      </c>
      <c r="I137" s="282">
        <f>F137*H137/100</f>
        <v>67950</v>
      </c>
      <c r="J137" s="283">
        <f>I137</f>
        <v>67950</v>
      </c>
      <c r="K137" s="282" t="e">
        <f ca="1">J137*L137</f>
        <v>#NAME?</v>
      </c>
      <c r="L137" s="281" t="e">
        <f ca="1">_xll.BDH("RUB curncy","PX_LAST",$N137)</f>
        <v>#NAME?</v>
      </c>
      <c r="M137" s="280" t="e">
        <f ca="1">1/_xll.BDH("RUB curncy","PX_LAST",$N137)</f>
        <v>#NAME?</v>
      </c>
      <c r="N137" s="274">
        <v>42066</v>
      </c>
    </row>
    <row r="138" spans="2:14" s="273" customFormat="1" x14ac:dyDescent="0.2">
      <c r="B138" s="279"/>
      <c r="C138" s="279"/>
      <c r="D138" s="278"/>
      <c r="E138" s="278">
        <f>2450000/F138</f>
        <v>0.90740740740740744</v>
      </c>
      <c r="F138" s="277">
        <f>SUM(F135:F137)</f>
        <v>2700000</v>
      </c>
      <c r="G138" s="278"/>
      <c r="H138" s="276">
        <f>J138/F138*100</f>
        <v>72.550370372222218</v>
      </c>
      <c r="I138" s="277">
        <f>SUM(I135:I137)</f>
        <v>1958860.0000499999</v>
      </c>
      <c r="J138" s="277">
        <f>SUM(J135:J137)</f>
        <v>1958860.0000499999</v>
      </c>
      <c r="K138" s="277" t="e">
        <f ca="1">SUM(K135:K137)*E138</f>
        <v>#NAME?</v>
      </c>
      <c r="L138" s="276"/>
      <c r="M138" s="275"/>
      <c r="N138" s="274"/>
    </row>
    <row r="139" spans="2:14" x14ac:dyDescent="0.2">
      <c r="B139" s="160"/>
      <c r="C139" s="159"/>
      <c r="D139" s="87"/>
      <c r="E139" s="87"/>
      <c r="F139" s="79"/>
      <c r="G139" s="87"/>
      <c r="H139" s="99"/>
      <c r="I139" s="79"/>
      <c r="J139" s="79"/>
      <c r="K139" s="79"/>
      <c r="L139" s="88"/>
      <c r="M139" s="158"/>
      <c r="N139" s="157"/>
    </row>
    <row r="140" spans="2:14" s="273" customFormat="1" ht="13.5" customHeight="1" x14ac:dyDescent="0.2">
      <c r="B140" s="287" t="s">
        <v>417</v>
      </c>
      <c r="C140" s="286" t="s">
        <v>456</v>
      </c>
      <c r="D140" s="284" t="e">
        <f ca="1">_xll.BDP(C140,"SECURITY_NAME")</f>
        <v>#NAME?</v>
      </c>
      <c r="E140" s="284" t="s">
        <v>50</v>
      </c>
      <c r="F140" s="285">
        <f>2600000-1865000</f>
        <v>735000</v>
      </c>
      <c r="G140" s="284" t="e">
        <f ca="1">_xll.BDP(C140,"CRNCY")</f>
        <v>#NAME?</v>
      </c>
      <c r="H140" s="281">
        <v>60.1210664615</v>
      </c>
      <c r="I140" s="282">
        <f>F140*H140/100</f>
        <v>441889.83849202498</v>
      </c>
      <c r="J140" s="283">
        <f>I140</f>
        <v>441889.83849202498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41981</v>
      </c>
    </row>
    <row r="141" spans="2:14" s="273" customFormat="1" ht="13.5" customHeight="1" x14ac:dyDescent="0.2">
      <c r="B141" s="287" t="s">
        <v>417</v>
      </c>
      <c r="C141" s="286" t="s">
        <v>456</v>
      </c>
      <c r="D141" s="284" t="e">
        <f ca="1">_xll.BDP(C141,"SECURITY_NAME")</f>
        <v>#NAME?</v>
      </c>
      <c r="E141" s="284" t="s">
        <v>50</v>
      </c>
      <c r="F141" s="285">
        <v>1625000</v>
      </c>
      <c r="G141" s="284" t="e">
        <f ca="1">_xll.BDP(C141,"CRNCY")</f>
        <v>#NAME?</v>
      </c>
      <c r="H141" s="281">
        <v>51.576928000000002</v>
      </c>
      <c r="I141" s="282">
        <f>F141*H141/100</f>
        <v>838125.08</v>
      </c>
      <c r="J141" s="283">
        <f>I141</f>
        <v>838125.08</v>
      </c>
      <c r="K141" s="282" t="e">
        <f ca="1">J141*L141</f>
        <v>#NAME?</v>
      </c>
      <c r="L141" s="281" t="e">
        <f ca="1">_xll.BDH("RUB curncy","PX_LAST",$N141)</f>
        <v>#NAME?</v>
      </c>
      <c r="M141" s="280" t="e">
        <f ca="1">1/_xll.BDH("RUB curncy","PX_LAST",$N141)</f>
        <v>#NAME?</v>
      </c>
      <c r="N141" s="274">
        <v>41988</v>
      </c>
    </row>
    <row r="142" spans="2:14" s="273" customFormat="1" ht="13.5" customHeight="1" x14ac:dyDescent="0.2">
      <c r="B142" s="287" t="s">
        <v>417</v>
      </c>
      <c r="C142" s="286" t="s">
        <v>456</v>
      </c>
      <c r="D142" s="284" t="e">
        <f ca="1">_xll.BDP(C142,"SECURITY_NAME")</f>
        <v>#NAME?</v>
      </c>
      <c r="E142" s="284" t="s">
        <v>50</v>
      </c>
      <c r="F142" s="285">
        <v>240000</v>
      </c>
      <c r="G142" s="284" t="e">
        <f ca="1">_xll.BDP(C142,"CRNCY")</f>
        <v>#NAME?</v>
      </c>
      <c r="H142" s="281">
        <v>77</v>
      </c>
      <c r="I142" s="282">
        <f>F142*H142/100</f>
        <v>184800</v>
      </c>
      <c r="J142" s="283">
        <f>I142</f>
        <v>184800</v>
      </c>
      <c r="K142" s="282" t="e">
        <f ca="1">J142*L142</f>
        <v>#NAME?</v>
      </c>
      <c r="L142" s="281" t="e">
        <f ca="1">_xll.BDH("RUB curncy","PX_LAST",$N142)</f>
        <v>#NAME?</v>
      </c>
      <c r="M142" s="280" t="e">
        <f ca="1">1/_xll.BDH("RUB curncy","PX_LAST",$N142)</f>
        <v>#NAME?</v>
      </c>
      <c r="N142" s="274">
        <v>42066</v>
      </c>
    </row>
    <row r="143" spans="2:14" s="273" customFormat="1" x14ac:dyDescent="0.2">
      <c r="B143" s="279"/>
      <c r="C143" s="279"/>
      <c r="D143" s="278"/>
      <c r="E143" s="278"/>
      <c r="F143" s="277">
        <f>SUM(F140:F142)</f>
        <v>2600000</v>
      </c>
      <c r="G143" s="278"/>
      <c r="H143" s="276">
        <f>J143/F143*100</f>
        <v>56.339035326616347</v>
      </c>
      <c r="I143" s="277">
        <f>SUM(I140:I142)</f>
        <v>1464814.918492025</v>
      </c>
      <c r="J143" s="277">
        <f>SUM(J140:J142)</f>
        <v>1464814.918492025</v>
      </c>
      <c r="K143" s="277" t="e">
        <f ca="1">SUM(K140:K142)</f>
        <v>#NAME?</v>
      </c>
      <c r="L143" s="276"/>
      <c r="M143" s="275"/>
      <c r="N143" s="274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s="273" customFormat="1" ht="13.5" customHeight="1" x14ac:dyDescent="0.2">
      <c r="B145" s="287" t="s">
        <v>417</v>
      </c>
      <c r="C145" s="286" t="s">
        <v>455</v>
      </c>
      <c r="D145" s="284" t="e">
        <f ca="1">_xll.BDP(C145,"SECURITY_NAME")</f>
        <v>#NAME?</v>
      </c>
      <c r="E145" s="284" t="s">
        <v>50</v>
      </c>
      <c r="F145" s="285">
        <f>700000-600000</f>
        <v>100000</v>
      </c>
      <c r="G145" s="284" t="e">
        <f ca="1">_xll.BDP(C145,"CRNCY")</f>
        <v>#NAME?</v>
      </c>
      <c r="H145" s="281">
        <v>58.614174261000002</v>
      </c>
      <c r="I145" s="282">
        <f>F145*H145/100</f>
        <v>58614.174261</v>
      </c>
      <c r="J145" s="283">
        <f>I145</f>
        <v>58614.174261</v>
      </c>
      <c r="K145" s="282" t="e">
        <f ca="1">J145*L145</f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41988</v>
      </c>
    </row>
    <row r="146" spans="2:14" s="273" customFormat="1" ht="13.5" customHeight="1" x14ac:dyDescent="0.2">
      <c r="B146" s="287" t="s">
        <v>417</v>
      </c>
      <c r="C146" s="286" t="s">
        <v>455</v>
      </c>
      <c r="D146" s="284" t="e">
        <f ca="1">_xll.BDP(C146,"SECURITY_NAME")</f>
        <v>#NAME?</v>
      </c>
      <c r="E146" s="284" t="s">
        <v>50</v>
      </c>
      <c r="F146" s="285">
        <v>600000</v>
      </c>
      <c r="G146" s="284" t="e">
        <f ca="1">_xll.BDP(C146,"CRNCY")</f>
        <v>#NAME?</v>
      </c>
      <c r="H146" s="281">
        <v>82.001424499999999</v>
      </c>
      <c r="I146" s="282">
        <f>F146*H146/100</f>
        <v>492008.54700000002</v>
      </c>
      <c r="J146" s="283">
        <f>I146</f>
        <v>492008.54700000002</v>
      </c>
      <c r="K146" s="282" t="e">
        <f ca="1">J146*L146</f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41991</v>
      </c>
    </row>
    <row r="147" spans="2:14" s="273" customFormat="1" x14ac:dyDescent="0.2">
      <c r="B147" s="279"/>
      <c r="C147" s="279"/>
      <c r="D147" s="278"/>
      <c r="E147" s="278"/>
      <c r="F147" s="277">
        <f>SUM(F144:F146)</f>
        <v>700000</v>
      </c>
      <c r="G147" s="278"/>
      <c r="H147" s="276">
        <f>J147/F147*100</f>
        <v>78.660388751571432</v>
      </c>
      <c r="I147" s="277">
        <f>SUM(I145:I146)</f>
        <v>550622.72126100003</v>
      </c>
      <c r="J147" s="277">
        <f>SUM(J145:J146)</f>
        <v>550622.72126100003</v>
      </c>
      <c r="K147" s="277" t="e">
        <f ca="1">SUM(K145:K146)</f>
        <v>#NAME?</v>
      </c>
      <c r="L147" s="276"/>
      <c r="M147" s="275"/>
      <c r="N147" s="274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s="273" customFormat="1" ht="13.5" customHeight="1" x14ac:dyDescent="0.2">
      <c r="B149" s="287" t="s">
        <v>417</v>
      </c>
      <c r="C149" s="286" t="s">
        <v>454</v>
      </c>
      <c r="D149" s="284" t="e">
        <f ca="1">_xll.BDP(C149,"SECURITY_NAME")</f>
        <v>#NAME?</v>
      </c>
      <c r="E149" s="284" t="s">
        <v>50</v>
      </c>
      <c r="F149" s="285">
        <v>3120000</v>
      </c>
      <c r="G149" s="284" t="e">
        <f ca="1">_xll.BDP(C149,"CRNCY")</f>
        <v>#NAME?</v>
      </c>
      <c r="H149" s="281">
        <v>44.765138782000001</v>
      </c>
      <c r="I149" s="282">
        <f>F149*H149/100</f>
        <v>1396672.3299983998</v>
      </c>
      <c r="J149" s="283">
        <f>I149</f>
        <v>1396672.3299983998</v>
      </c>
      <c r="K149" s="282" t="e">
        <f ca="1">J149*L149</f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41988</v>
      </c>
    </row>
    <row r="150" spans="2:14" s="273" customFormat="1" ht="13.5" customHeight="1" x14ac:dyDescent="0.2">
      <c r="B150" s="287" t="s">
        <v>417</v>
      </c>
      <c r="C150" s="286" t="s">
        <v>454</v>
      </c>
      <c r="D150" s="284" t="e">
        <f ca="1">_xll.BDP(C150,"SECURITY_NAME")</f>
        <v>#NAME?</v>
      </c>
      <c r="E150" s="284" t="s">
        <v>50</v>
      </c>
      <c r="F150" s="285">
        <v>600000</v>
      </c>
      <c r="G150" s="284" t="e">
        <f ca="1">_xll.BDP(C150,"CRNCY")</f>
        <v>#NAME?</v>
      </c>
      <c r="H150" s="281">
        <v>76.711116149999995</v>
      </c>
      <c r="I150" s="282">
        <f>F150*H150/100</f>
        <v>460266.69689999998</v>
      </c>
      <c r="J150" s="283">
        <f>I150</f>
        <v>460266.69689999998</v>
      </c>
      <c r="K150" s="282" t="e">
        <f ca="1">J150*L150</f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41991</v>
      </c>
    </row>
    <row r="151" spans="2:14" s="273" customFormat="1" x14ac:dyDescent="0.2">
      <c r="B151" s="279"/>
      <c r="C151" s="279"/>
      <c r="D151" s="278"/>
      <c r="E151" s="278">
        <f>200000/F151</f>
        <v>5.3763440860215055E-2</v>
      </c>
      <c r="F151" s="277">
        <f>SUM(F148:F150)</f>
        <v>3720000</v>
      </c>
      <c r="G151" s="278"/>
      <c r="H151" s="276">
        <f>J151/F151*100</f>
        <v>49.917715776838705</v>
      </c>
      <c r="I151" s="277">
        <f>SUM(I149:I150)</f>
        <v>1856939.0268983999</v>
      </c>
      <c r="J151" s="277">
        <f>SUM(J149:J150)</f>
        <v>1856939.0268983999</v>
      </c>
      <c r="K151" s="277" t="e">
        <f ca="1">SUM(K149:K150)*E151</f>
        <v>#NAME?</v>
      </c>
      <c r="L151" s="276"/>
      <c r="M151" s="275"/>
      <c r="N151" s="274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287" t="s">
        <v>417</v>
      </c>
      <c r="C153" s="41" t="s">
        <v>453</v>
      </c>
      <c r="D153" s="284" t="e">
        <f ca="1">_xll.BDP(C153,"SECURITY_NAME")</f>
        <v>#NAME?</v>
      </c>
      <c r="E153" s="284" t="s">
        <v>50</v>
      </c>
      <c r="F153" s="285">
        <v>300000</v>
      </c>
      <c r="G153" s="284" t="e">
        <f ca="1">_xll.BDP(C153,"CRNCY")</f>
        <v>#NAME?</v>
      </c>
      <c r="H153" s="281">
        <v>94.78</v>
      </c>
      <c r="I153" s="282">
        <f>F153*H153/100</f>
        <v>284340</v>
      </c>
      <c r="J153" s="283">
        <f>I153</f>
        <v>284340</v>
      </c>
      <c r="K153" s="282" t="e">
        <f ca="1">J153*L153</f>
        <v>#NAME?</v>
      </c>
      <c r="L153" s="281" t="e">
        <f ca="1">_xll.BDH("RUB curncy","PX_LAST",$N153)</f>
        <v>#NAME?</v>
      </c>
      <c r="M153" s="280" t="e">
        <f ca="1">1/_xll.BDH("RUB curncy","PX_LAST",$N153)</f>
        <v>#NAME?</v>
      </c>
      <c r="N153" s="274">
        <v>42431</v>
      </c>
    </row>
    <row r="154" spans="2:14" x14ac:dyDescent="0.2">
      <c r="B154" s="279"/>
      <c r="C154" s="279"/>
      <c r="D154" s="278"/>
      <c r="E154" s="278"/>
      <c r="F154" s="277">
        <f>SUM(F153)</f>
        <v>300000</v>
      </c>
      <c r="G154" s="278"/>
      <c r="H154" s="276">
        <f>J154/F154*100</f>
        <v>94.78</v>
      </c>
      <c r="I154" s="277">
        <f>SUM(I153)</f>
        <v>284340</v>
      </c>
      <c r="J154" s="277">
        <f>SUM(J153)</f>
        <v>284340</v>
      </c>
      <c r="K154" s="277" t="e">
        <f ca="1">SUM(K153)</f>
        <v>#NAME?</v>
      </c>
      <c r="L154" s="276"/>
      <c r="M154" s="275"/>
      <c r="N154" s="274"/>
    </row>
    <row r="156" spans="2:14" x14ac:dyDescent="0.2">
      <c r="B156" s="287" t="s">
        <v>417</v>
      </c>
      <c r="C156" s="41" t="s">
        <v>697</v>
      </c>
      <c r="D156" s="284" t="e">
        <f ca="1">_xll.BDP(C156,"SECURITY_NAME")</f>
        <v>#NAME?</v>
      </c>
      <c r="E156" s="284" t="s">
        <v>50</v>
      </c>
      <c r="F156" s="285">
        <v>250000</v>
      </c>
      <c r="G156" s="284" t="e">
        <f ca="1">_xll.BDP(C156,"CRNCY")</f>
        <v>#NAME?</v>
      </c>
      <c r="H156" s="281">
        <v>89.5</v>
      </c>
      <c r="I156" s="282">
        <f>F156*H156/100</f>
        <v>223750</v>
      </c>
      <c r="J156" s="283">
        <f>I156</f>
        <v>223750</v>
      </c>
      <c r="K156" s="282" t="e">
        <f ca="1">J156*L156</f>
        <v>#NAME?</v>
      </c>
      <c r="L156" s="281" t="e">
        <f ca="1">_xll.BDH("RUB curncy","PX_LAST",$N156)</f>
        <v>#NAME?</v>
      </c>
      <c r="M156" s="280" t="e">
        <f ca="1">1/_xll.BDH("RUB curncy","PX_LAST",$N156)</f>
        <v>#NAME?</v>
      </c>
      <c r="N156" s="274">
        <v>42544</v>
      </c>
    </row>
    <row r="157" spans="2:14" x14ac:dyDescent="0.2">
      <c r="B157" s="287" t="s">
        <v>417</v>
      </c>
      <c r="C157" s="41" t="s">
        <v>697</v>
      </c>
      <c r="D157" s="284" t="e">
        <f ca="1">_xll.BDP(C157,"SECURITY_NAME")</f>
        <v>#NAME?</v>
      </c>
      <c r="E157" s="284" t="s">
        <v>50</v>
      </c>
      <c r="F157" s="285">
        <v>250000</v>
      </c>
      <c r="G157" s="284" t="e">
        <f ca="1">_xll.BDP(C157,"CRNCY")</f>
        <v>#NAME?</v>
      </c>
      <c r="H157" s="281">
        <v>90</v>
      </c>
      <c r="I157" s="282">
        <f>F157*H157/100</f>
        <v>225000</v>
      </c>
      <c r="J157" s="283">
        <f>I157</f>
        <v>225000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42482</v>
      </c>
    </row>
    <row r="158" spans="2:14" x14ac:dyDescent="0.2">
      <c r="B158" s="279"/>
      <c r="C158" s="279"/>
      <c r="D158" s="278"/>
      <c r="E158" s="278">
        <f>100000/F158</f>
        <v>0.2</v>
      </c>
      <c r="F158" s="277">
        <f>SUM(F156:F157)</f>
        <v>500000</v>
      </c>
      <c r="G158" s="278"/>
      <c r="H158" s="276">
        <f>J158/F158*100</f>
        <v>89.75</v>
      </c>
      <c r="I158" s="277">
        <f>SUM(I156:I157)</f>
        <v>448750</v>
      </c>
      <c r="J158" s="277">
        <f>SUM(J156:J157)</f>
        <v>448750</v>
      </c>
      <c r="K158" s="277" t="e">
        <f ca="1">SUM(K156:K157)*E158</f>
        <v>#NAME?</v>
      </c>
      <c r="L158" s="276"/>
      <c r="M158" s="275"/>
      <c r="N158" s="274"/>
    </row>
    <row r="160" spans="2:14" x14ac:dyDescent="0.2">
      <c r="B160" s="287" t="s">
        <v>417</v>
      </c>
      <c r="C160" s="118" t="s">
        <v>721</v>
      </c>
      <c r="D160" s="284" t="e">
        <f ca="1">_xll.BDP(C160,"SECURITY_NAME")</f>
        <v>#NAME?</v>
      </c>
      <c r="E160" s="284" t="s">
        <v>50</v>
      </c>
      <c r="F160" s="285">
        <v>436650</v>
      </c>
      <c r="G160" s="284" t="e">
        <f ca="1">_xll.BDP(C160,"CRNCY")</f>
        <v>#NAME?</v>
      </c>
      <c r="H160" s="281">
        <v>23.78</v>
      </c>
      <c r="I160" s="282">
        <f>F160*H160/100</f>
        <v>103835.37</v>
      </c>
      <c r="J160" s="283">
        <f>I160</f>
        <v>103835.37</v>
      </c>
      <c r="K160" s="282" t="e">
        <f ca="1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42527</v>
      </c>
    </row>
    <row r="161" spans="2:14" x14ac:dyDescent="0.2">
      <c r="B161" s="279"/>
      <c r="C161" s="279"/>
      <c r="D161" s="278"/>
      <c r="E161" s="278"/>
      <c r="F161" s="277">
        <f>SUM(F160)</f>
        <v>436650</v>
      </c>
      <c r="G161" s="278"/>
      <c r="H161" s="276">
        <f>J161/F161*100</f>
        <v>23.779999999999998</v>
      </c>
      <c r="I161" s="277">
        <f>SUM(I160)</f>
        <v>103835.37</v>
      </c>
      <c r="J161" s="277">
        <f>SUM(J160)</f>
        <v>103835.37</v>
      </c>
      <c r="K161" s="277" t="e">
        <f ca="1">SUM(K160)</f>
        <v>#NAME?</v>
      </c>
      <c r="L161" s="276"/>
      <c r="M161" s="275"/>
      <c r="N161" s="274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287" t="s">
        <v>417</v>
      </c>
      <c r="C163" s="287" t="s">
        <v>157</v>
      </c>
      <c r="D163" s="284" t="e">
        <f ca="1">_xll.BDP(C163,"SECURITY_NAME")</f>
        <v>#NAME?</v>
      </c>
      <c r="E163" s="284" t="s">
        <v>50</v>
      </c>
      <c r="F163" s="285">
        <v>360000</v>
      </c>
      <c r="G163" s="284" t="e">
        <f ca="1">_xll.BDP(C163,"CRNCY")</f>
        <v>#NAME?</v>
      </c>
      <c r="H163" s="281">
        <v>94.03</v>
      </c>
      <c r="I163" s="282">
        <f>F163*H163/100</f>
        <v>338508</v>
      </c>
      <c r="J163" s="283">
        <f>I163</f>
        <v>338508</v>
      </c>
      <c r="K163" s="282" t="e">
        <f ca="1">J163*L163</f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42695</v>
      </c>
    </row>
    <row r="164" spans="2:14" x14ac:dyDescent="0.2">
      <c r="B164" s="279"/>
      <c r="C164" s="279"/>
      <c r="D164" s="278"/>
      <c r="E164" s="278"/>
      <c r="F164" s="277">
        <f>SUM(F163)</f>
        <v>360000</v>
      </c>
      <c r="G164" s="278"/>
      <c r="H164" s="276">
        <f>J164/F164*100</f>
        <v>94.03</v>
      </c>
      <c r="I164" s="277">
        <f>SUM(I163)</f>
        <v>338508</v>
      </c>
      <c r="J164" s="277">
        <f>SUM(J163)</f>
        <v>338508</v>
      </c>
      <c r="K164" s="277" t="e">
        <f ca="1">SUM(K163)</f>
        <v>#NAME?</v>
      </c>
      <c r="L164" s="276"/>
      <c r="M164" s="275"/>
      <c r="N164" s="274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287" t="s">
        <v>417</v>
      </c>
      <c r="C166" s="286" t="s">
        <v>48</v>
      </c>
      <c r="D166" s="284" t="e">
        <f ca="1">_xll.BDP(C166,"SECURITY_NAME")</f>
        <v>#NAME?</v>
      </c>
      <c r="E166" s="284" t="s">
        <v>50</v>
      </c>
      <c r="F166" s="281">
        <v>202000</v>
      </c>
      <c r="G166" s="284" t="e">
        <f ca="1">_xll.BDP(C166,"CRNCY")</f>
        <v>#NAME?</v>
      </c>
      <c r="H166" s="281" t="e">
        <f ca="1">_xll.BDH(C166,"PX_LAST",N166)</f>
        <v>#NAME?</v>
      </c>
      <c r="I166" s="282" t="e">
        <f ca="1">F166*H166</f>
        <v>#NAME?</v>
      </c>
      <c r="J166" s="283" t="e">
        <f ca="1">I166/M166</f>
        <v>#NAME?</v>
      </c>
      <c r="K166" s="282" t="e">
        <f ca="1">J166*L166</f>
        <v>#NAME?</v>
      </c>
      <c r="L166" s="281" t="e">
        <f ca="1">_xll.BDH("RUB curncy","PX_LAST",$N166)</f>
        <v>#NAME?</v>
      </c>
      <c r="M166" s="280" t="e">
        <f ca="1">_xll.BDH("CAD curncy","PX_LAST",$N166)</f>
        <v>#NAME?</v>
      </c>
      <c r="N166" s="274">
        <v>42649</v>
      </c>
    </row>
    <row r="167" spans="2:14" x14ac:dyDescent="0.2">
      <c r="B167" s="303"/>
      <c r="C167" s="302"/>
      <c r="D167" s="290"/>
      <c r="E167" s="290"/>
      <c r="F167" s="277">
        <f>SUM(F166:F166)</f>
        <v>202000</v>
      </c>
      <c r="G167" s="278"/>
      <c r="H167" s="276" t="e">
        <f ca="1">I167/F167</f>
        <v>#NAME?</v>
      </c>
      <c r="I167" s="277" t="e">
        <f ca="1">SUM(I166:I166)</f>
        <v>#NAME?</v>
      </c>
      <c r="J167" s="277" t="e">
        <f ca="1">SUM(J166:J166)</f>
        <v>#NAME?</v>
      </c>
      <c r="K167" s="277" t="e">
        <f ca="1">SUM(K166:K166)</f>
        <v>#NAME?</v>
      </c>
      <c r="L167" s="276"/>
      <c r="M167" s="275"/>
      <c r="N167" s="288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99"/>
      <c r="I169" s="79"/>
      <c r="J169" s="79"/>
      <c r="K169" s="79"/>
      <c r="L169" s="88"/>
      <c r="M169" s="158"/>
      <c r="N169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0"/>
      <c r="C172" s="159"/>
      <c r="D172" s="87"/>
      <c r="E172" s="87"/>
      <c r="F172" s="79"/>
      <c r="G172" s="87"/>
      <c r="H172" s="99"/>
      <c r="I172" s="79"/>
      <c r="J172" s="79"/>
      <c r="K172" s="79"/>
      <c r="L172" s="88"/>
      <c r="M172" s="158"/>
      <c r="N172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99"/>
      <c r="I175" s="79"/>
      <c r="J175" s="79"/>
      <c r="K175" s="79"/>
      <c r="L175" s="88"/>
      <c r="M175" s="158"/>
      <c r="N175" s="157"/>
    </row>
    <row r="177" spans="2:14" x14ac:dyDescent="0.2">
      <c r="B177" s="167"/>
      <c r="C177" s="166"/>
      <c r="D177" s="165"/>
      <c r="E177" s="165"/>
      <c r="F177" s="96"/>
      <c r="G177" s="165"/>
      <c r="H177" s="97"/>
      <c r="I177" s="163"/>
      <c r="J177" s="164"/>
      <c r="K177" s="163"/>
      <c r="L177" s="162"/>
      <c r="M177" s="161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100"/>
      <c r="I178" s="79"/>
      <c r="J178" s="79"/>
      <c r="K178" s="79"/>
      <c r="L178" s="88"/>
      <c r="M178" s="158"/>
      <c r="N178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0"/>
      <c r="D181" s="87"/>
      <c r="E181" s="87"/>
      <c r="F181" s="79"/>
      <c r="G181" s="87"/>
      <c r="H181" s="80"/>
      <c r="I181" s="79"/>
      <c r="J181" s="79"/>
      <c r="K181" s="79"/>
      <c r="L181" s="88"/>
      <c r="M181" s="158"/>
      <c r="N181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F189" s="79"/>
      <c r="H189" s="80"/>
      <c r="I189" s="79"/>
      <c r="J189" s="79"/>
      <c r="K189" s="79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0"/>
      <c r="D192" s="87"/>
      <c r="E192" s="87"/>
      <c r="F192" s="79"/>
      <c r="G192" s="87"/>
      <c r="H192" s="80"/>
      <c r="I192" s="79"/>
      <c r="J192" s="79"/>
      <c r="K192" s="79"/>
      <c r="L192" s="88"/>
      <c r="M192" s="158"/>
      <c r="N192" s="157"/>
    </row>
    <row r="193" spans="2:14" x14ac:dyDescent="0.2">
      <c r="B193" s="160"/>
      <c r="D193" s="87"/>
      <c r="E193" s="87"/>
      <c r="F193" s="79"/>
      <c r="G193" s="87"/>
      <c r="H193" s="80"/>
      <c r="I193" s="79"/>
      <c r="J193" s="79"/>
      <c r="K193" s="79"/>
      <c r="L193" s="88"/>
      <c r="M193" s="158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0"/>
      <c r="D196" s="87"/>
      <c r="E196" s="87"/>
      <c r="F196" s="79"/>
      <c r="G196" s="87"/>
      <c r="H196" s="80"/>
      <c r="I196" s="79"/>
      <c r="J196" s="79"/>
      <c r="K196" s="79"/>
      <c r="L196" s="88"/>
      <c r="M196" s="158"/>
      <c r="N196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F204" s="79"/>
      <c r="H204" s="80"/>
      <c r="I204" s="79"/>
      <c r="J204" s="79"/>
      <c r="K204" s="79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F208" s="79"/>
      <c r="G208" s="79"/>
      <c r="H208" s="80"/>
      <c r="I208" s="79"/>
      <c r="J208" s="79"/>
      <c r="K208" s="79"/>
    </row>
    <row r="209" spans="2:14" x14ac:dyDescent="0.2">
      <c r="G209" s="79"/>
      <c r="H209" s="80"/>
      <c r="I209" s="79"/>
      <c r="J209" s="79"/>
      <c r="K209" s="79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79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58"/>
      <c r="N216" s="157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58"/>
      <c r="N227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79"/>
      <c r="I232" s="79"/>
      <c r="J232" s="79"/>
      <c r="K232" s="79"/>
      <c r="L232" s="88"/>
      <c r="M232" s="158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7"/>
      <c r="C241" s="166"/>
      <c r="D241" s="165"/>
      <c r="E241" s="165"/>
      <c r="F241" s="96"/>
      <c r="G241" s="165"/>
      <c r="H241" s="97"/>
      <c r="I241" s="163"/>
      <c r="J241" s="164"/>
      <c r="K241" s="163"/>
      <c r="L241" s="162"/>
      <c r="M241" s="161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0"/>
      <c r="I243" s="79"/>
      <c r="J243" s="79"/>
      <c r="K243" s="79"/>
      <c r="L243" s="88"/>
      <c r="M243" s="158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79"/>
      <c r="J255" s="79"/>
      <c r="K255" s="79"/>
      <c r="L255" s="88"/>
      <c r="M255" s="158"/>
      <c r="N255" s="157"/>
    </row>
    <row r="256" spans="2:14" x14ac:dyDescent="0.2">
      <c r="B256" s="160"/>
      <c r="C256" s="159"/>
      <c r="D256" s="87"/>
      <c r="E256" s="87"/>
      <c r="F256" s="79"/>
      <c r="G256" s="87"/>
      <c r="H256" s="80"/>
      <c r="I256" s="79"/>
      <c r="J256" s="79"/>
      <c r="K256" s="79"/>
      <c r="L256" s="88"/>
      <c r="M256" s="158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F269" s="79"/>
      <c r="H269" s="88"/>
      <c r="I269" s="79"/>
      <c r="J269" s="79"/>
      <c r="K269" s="79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0"/>
      <c r="C273" s="159"/>
      <c r="D273" s="87"/>
      <c r="E273" s="87"/>
      <c r="F273" s="79"/>
      <c r="G273" s="87"/>
      <c r="H273" s="80"/>
      <c r="I273" s="79"/>
      <c r="J273" s="79"/>
      <c r="K273" s="79"/>
      <c r="L273" s="88"/>
      <c r="M273" s="173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73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8"/>
      <c r="I276" s="79"/>
      <c r="J276" s="79"/>
      <c r="K276" s="79"/>
      <c r="L276" s="88"/>
      <c r="M276" s="173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73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168"/>
      <c r="J292" s="169"/>
      <c r="K292" s="168"/>
      <c r="L292" s="88"/>
      <c r="M292" s="158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73"/>
      <c r="N304" s="157"/>
    </row>
    <row r="305" spans="2:14" x14ac:dyDescent="0.2">
      <c r="B305" s="160"/>
      <c r="C305" s="159"/>
      <c r="D305" s="87"/>
      <c r="E305" s="87"/>
      <c r="F305" s="79"/>
      <c r="G305" s="87"/>
      <c r="H305" s="80"/>
      <c r="I305" s="79"/>
      <c r="J305" s="79"/>
      <c r="K305" s="79"/>
      <c r="L305" s="88"/>
      <c r="M305" s="173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73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73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79"/>
      <c r="J318" s="79"/>
      <c r="K318" s="79"/>
      <c r="L318" s="88"/>
      <c r="M318" s="173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58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168"/>
      <c r="J326" s="169"/>
      <c r="K326" s="168"/>
      <c r="L326" s="88"/>
      <c r="M326" s="173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91"/>
      <c r="I327" s="79"/>
      <c r="J327" s="79"/>
      <c r="K327" s="79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58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91"/>
      <c r="I331" s="79"/>
      <c r="J331" s="79"/>
      <c r="K331" s="79"/>
      <c r="L331" s="88"/>
      <c r="M331" s="158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172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93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92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171"/>
      <c r="I335" s="163"/>
      <c r="J335" s="164"/>
      <c r="K335" s="163"/>
      <c r="L335" s="162"/>
      <c r="M335" s="161"/>
      <c r="N335" s="157"/>
    </row>
    <row r="336" spans="2:14" x14ac:dyDescent="0.2">
      <c r="B336" s="160"/>
      <c r="C336" s="159"/>
      <c r="D336" s="87"/>
      <c r="E336" s="87"/>
      <c r="F336" s="79"/>
      <c r="G336" s="87"/>
      <c r="H336" s="92"/>
      <c r="I336" s="79"/>
      <c r="J336" s="79"/>
      <c r="K336" s="79"/>
      <c r="L336" s="88"/>
      <c r="M336" s="158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92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170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170"/>
      <c r="I339" s="163"/>
      <c r="J339" s="164"/>
      <c r="K339" s="163"/>
      <c r="L339" s="162"/>
      <c r="M339" s="161"/>
      <c r="N339" s="157"/>
    </row>
    <row r="340" spans="2:14" x14ac:dyDescent="0.2">
      <c r="B340" s="160"/>
      <c r="C340" s="159"/>
      <c r="D340" s="87"/>
      <c r="E340" s="87"/>
      <c r="F340" s="79"/>
      <c r="G340" s="87"/>
      <c r="H340" s="95"/>
      <c r="I340" s="79"/>
      <c r="J340" s="79"/>
      <c r="K340" s="79"/>
      <c r="L340" s="88"/>
      <c r="M340" s="158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168"/>
      <c r="J341" s="169"/>
      <c r="K341" s="168"/>
      <c r="L341" s="88"/>
      <c r="M341" s="158"/>
      <c r="N341" s="157"/>
    </row>
    <row r="342" spans="2:14" x14ac:dyDescent="0.2">
      <c r="B342" s="167"/>
      <c r="C342" s="166"/>
      <c r="D342" s="165"/>
      <c r="E342" s="165"/>
      <c r="F342" s="96"/>
      <c r="G342" s="165"/>
      <c r="H342" s="97"/>
      <c r="I342" s="163"/>
      <c r="J342" s="164"/>
      <c r="K342" s="163"/>
      <c r="L342" s="162"/>
      <c r="M342" s="161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58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168"/>
      <c r="J347" s="169"/>
      <c r="K347" s="168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96"/>
      <c r="J363" s="96"/>
      <c r="K363" s="96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96"/>
      <c r="J364" s="96"/>
      <c r="K364" s="96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79"/>
      <c r="J366" s="79"/>
      <c r="K366" s="79"/>
      <c r="L366" s="88"/>
      <c r="M366" s="158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163"/>
      <c r="J371" s="164"/>
      <c r="K371" s="163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0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0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79"/>
      <c r="J380" s="79"/>
      <c r="K380" s="79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59"/>
      <c r="D386" s="87"/>
      <c r="E386" s="87"/>
      <c r="F386" s="79"/>
      <c r="G386" s="87"/>
      <c r="H386" s="80"/>
      <c r="I386" s="79"/>
      <c r="J386" s="79"/>
      <c r="K386" s="79"/>
      <c r="L386" s="88"/>
      <c r="M386" s="158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163"/>
      <c r="J388" s="164"/>
      <c r="K388" s="163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67"/>
      <c r="C391" s="166"/>
      <c r="D391" s="165"/>
      <c r="E391" s="165"/>
      <c r="F391" s="96"/>
      <c r="G391" s="165"/>
      <c r="H391" s="97"/>
      <c r="I391" s="163"/>
      <c r="J391" s="164"/>
      <c r="K391" s="163"/>
      <c r="L391" s="162"/>
      <c r="M391" s="161"/>
      <c r="N391" s="157"/>
    </row>
    <row r="392" spans="2:14" x14ac:dyDescent="0.2">
      <c r="B392" s="167"/>
      <c r="C392" s="166"/>
      <c r="D392" s="165"/>
      <c r="E392" s="165"/>
      <c r="F392" s="96"/>
      <c r="G392" s="165"/>
      <c r="H392" s="97"/>
      <c r="I392" s="163"/>
      <c r="J392" s="164"/>
      <c r="K392" s="163"/>
      <c r="L392" s="162"/>
      <c r="M392" s="161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0"/>
      <c r="C397" s="159"/>
      <c r="D397" s="87"/>
      <c r="E397" s="87"/>
      <c r="F397" s="79"/>
      <c r="G397" s="87"/>
      <c r="H397" s="80"/>
      <c r="I397" s="79"/>
      <c r="J397" s="79"/>
      <c r="K397" s="79"/>
      <c r="L397" s="88"/>
      <c r="M397" s="158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59"/>
      <c r="D403" s="87"/>
      <c r="E403" s="87"/>
      <c r="F403" s="79"/>
      <c r="G403" s="87"/>
      <c r="H403" s="80"/>
      <c r="I403" s="79"/>
      <c r="J403" s="79"/>
      <c r="K403" s="79"/>
      <c r="L403" s="88"/>
      <c r="M403" s="158"/>
      <c r="N403" s="157"/>
    </row>
    <row r="404" spans="2:14" x14ac:dyDescent="0.2">
      <c r="B404" s="160"/>
      <c r="C404" s="159"/>
      <c r="D404" s="87"/>
      <c r="E404" s="87"/>
      <c r="F404" s="79"/>
      <c r="G404" s="87"/>
      <c r="H404" s="80"/>
      <c r="I404" s="168"/>
      <c r="J404" s="169"/>
      <c r="K404" s="168"/>
      <c r="L404" s="88"/>
      <c r="M404" s="158"/>
      <c r="N404" s="157"/>
    </row>
    <row r="405" spans="2:14" x14ac:dyDescent="0.2">
      <c r="B405" s="167"/>
      <c r="C405" s="166"/>
      <c r="D405" s="165"/>
      <c r="E405" s="165"/>
      <c r="F405" s="96"/>
      <c r="G405" s="165"/>
      <c r="H405" s="97"/>
      <c r="I405" s="163"/>
      <c r="J405" s="164"/>
      <c r="K405" s="163"/>
      <c r="L405" s="162"/>
      <c r="M405" s="161"/>
      <c r="N405" s="157"/>
    </row>
    <row r="406" spans="2:14" x14ac:dyDescent="0.2">
      <c r="B406" s="160"/>
      <c r="C406" s="159"/>
      <c r="D406" s="87"/>
      <c r="E406" s="87"/>
      <c r="F406" s="79"/>
      <c r="G406" s="87"/>
      <c r="H406" s="80"/>
      <c r="I406" s="79"/>
      <c r="J406" s="79"/>
      <c r="K406" s="79"/>
      <c r="L406" s="88"/>
      <c r="M406" s="158"/>
      <c r="N406" s="157"/>
    </row>
    <row r="407" spans="2:14" x14ac:dyDescent="0.2">
      <c r="B407" s="160"/>
      <c r="C407" s="159"/>
      <c r="D407" s="87"/>
      <c r="E407" s="87"/>
      <c r="F407" s="79"/>
      <c r="G407" s="87"/>
      <c r="H407" s="80"/>
      <c r="I407" s="168"/>
      <c r="J407" s="169"/>
      <c r="K407" s="168"/>
      <c r="L407" s="88"/>
      <c r="M407" s="158"/>
      <c r="N407" s="157"/>
    </row>
    <row r="408" spans="2:14" x14ac:dyDescent="0.2">
      <c r="B408" s="167"/>
      <c r="C408" s="166"/>
      <c r="D408" s="165"/>
      <c r="E408" s="165"/>
      <c r="F408" s="96"/>
      <c r="G408" s="165"/>
      <c r="H408" s="97"/>
      <c r="I408" s="163"/>
      <c r="J408" s="164"/>
      <c r="K408" s="163"/>
      <c r="L408" s="162"/>
      <c r="M408" s="161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0"/>
      <c r="C410" s="159"/>
      <c r="D410" s="87"/>
      <c r="E410" s="87"/>
      <c r="F410" s="79"/>
      <c r="G410" s="87"/>
      <c r="H410" s="80"/>
      <c r="I410" s="79"/>
      <c r="J410" s="79"/>
      <c r="K410" s="79"/>
      <c r="L410" s="88"/>
      <c r="M410" s="158"/>
      <c r="N410" s="157"/>
    </row>
    <row r="411" spans="2:14" x14ac:dyDescent="0.2">
      <c r="B411" s="167"/>
      <c r="C411" s="166"/>
      <c r="D411" s="165"/>
      <c r="E411" s="165"/>
      <c r="F411" s="96"/>
      <c r="G411" s="165"/>
      <c r="H411" s="97"/>
      <c r="I411" s="163"/>
      <c r="J411" s="164"/>
      <c r="K411" s="163"/>
      <c r="L411" s="162"/>
      <c r="M411" s="161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79"/>
      <c r="J412" s="79"/>
      <c r="K412" s="79"/>
      <c r="L412" s="88"/>
      <c r="M412" s="158"/>
      <c r="N412" s="157"/>
    </row>
    <row r="413" spans="2:14" x14ac:dyDescent="0.2">
      <c r="B413" s="160"/>
      <c r="C413" s="159"/>
      <c r="D413" s="87"/>
      <c r="E413" s="87"/>
      <c r="F413" s="79"/>
      <c r="G413" s="87"/>
      <c r="H413" s="80"/>
      <c r="I413" s="168"/>
      <c r="J413" s="169"/>
      <c r="K413" s="168"/>
      <c r="L413" s="88"/>
      <c r="M413" s="158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7"/>
      <c r="C415" s="166"/>
      <c r="D415" s="165"/>
      <c r="E415" s="165"/>
      <c r="F415" s="96"/>
      <c r="G415" s="165"/>
      <c r="H415" s="97"/>
      <c r="I415" s="163"/>
      <c r="J415" s="164"/>
      <c r="K415" s="163"/>
      <c r="L415" s="162"/>
      <c r="M415" s="161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168"/>
      <c r="J418" s="169"/>
      <c r="K418" s="168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0"/>
      <c r="C423" s="159"/>
      <c r="D423" s="87"/>
      <c r="E423" s="87"/>
      <c r="F423" s="79"/>
      <c r="G423" s="87"/>
      <c r="H423" s="80"/>
      <c r="I423" s="79"/>
      <c r="J423" s="79"/>
      <c r="K423" s="79"/>
      <c r="L423" s="88"/>
      <c r="M423" s="158"/>
      <c r="N423" s="157"/>
    </row>
    <row r="424" spans="2:14" x14ac:dyDescent="0.2">
      <c r="B424" s="156"/>
      <c r="C424" s="156"/>
      <c r="D424" s="156"/>
      <c r="E424" s="102"/>
      <c r="F424" s="102"/>
      <c r="G424" s="156"/>
      <c r="H424" s="156"/>
      <c r="I424" s="156"/>
      <c r="J424" s="156"/>
      <c r="K424" s="156"/>
      <c r="L424" s="102"/>
      <c r="M424" s="156"/>
      <c r="N424" s="156"/>
    </row>
    <row r="425" spans="2:14" x14ac:dyDescent="0.2">
      <c r="H425" s="151"/>
    </row>
    <row r="426" spans="2:14" x14ac:dyDescent="0.2">
      <c r="H426" s="151"/>
    </row>
    <row r="428" spans="2:14" x14ac:dyDescent="0.2">
      <c r="H428" s="151"/>
    </row>
    <row r="429" spans="2:14" x14ac:dyDescent="0.2">
      <c r="H429" s="151"/>
    </row>
    <row r="430" spans="2:14" x14ac:dyDescent="0.2">
      <c r="L430" s="155"/>
    </row>
    <row r="431" spans="2:14" x14ac:dyDescent="0.2">
      <c r="L431" s="155"/>
    </row>
    <row r="432" spans="2:14" x14ac:dyDescent="0.2">
      <c r="L432" s="154"/>
    </row>
    <row r="434" spans="5:12" x14ac:dyDescent="0.2">
      <c r="L434" s="153"/>
    </row>
    <row r="438" spans="5:12" x14ac:dyDescent="0.2">
      <c r="E438" s="32"/>
      <c r="F438" s="32"/>
      <c r="G438" s="151"/>
      <c r="L438" s="32"/>
    </row>
    <row r="439" spans="5:12" x14ac:dyDescent="0.2">
      <c r="E439" s="32"/>
      <c r="F439" s="32"/>
      <c r="G439" s="152"/>
      <c r="L439" s="32"/>
    </row>
    <row r="442" spans="5:12" x14ac:dyDescent="0.2">
      <c r="E442" s="32"/>
      <c r="F442" s="32"/>
      <c r="G442" s="151"/>
      <c r="L442" s="32"/>
    </row>
  </sheetData>
  <sortState ref="A4:AC14">
    <sortCondition descending="1" ref="I4:I14"/>
  </sortState>
  <mergeCells count="1">
    <mergeCell ref="T21:U24"/>
  </mergeCells>
  <conditionalFormatting sqref="E273:E274 E321:E322 E314 E304:E305 E276:E277 E317:E318 E325:E327">
    <cfRule type="containsText" dxfId="6368" priority="952" operator="containsText" text="Buy">
      <formula>NOT(ISERROR(SEARCH("Buy",E273)))</formula>
    </cfRule>
    <cfRule type="containsText" dxfId="6367" priority="953" operator="containsText" text="Sell">
      <formula>NOT(ISERROR(SEARCH("Sell",E273)))</formula>
    </cfRule>
  </conditionalFormatting>
  <conditionalFormatting sqref="E346:E347 E336:E337 E341">
    <cfRule type="containsText" dxfId="6366" priority="950" operator="containsText" text="Buy">
      <formula>NOT(ISERROR(SEARCH("Buy",E336)))</formula>
    </cfRule>
    <cfRule type="containsText" dxfId="6365" priority="951" operator="containsText" text="Sell">
      <formula>NOT(ISERROR(SEARCH("Sell",E336)))</formula>
    </cfRule>
  </conditionalFormatting>
  <conditionalFormatting sqref="E362:E364 E421 E418 E413 E407 E404 E401 E398 E391 E387 E381 E371">
    <cfRule type="containsText" dxfId="6364" priority="948" operator="containsText" text="Buy">
      <formula>NOT(ISERROR(SEARCH("Buy",E362)))</formula>
    </cfRule>
    <cfRule type="containsText" dxfId="6363" priority="949" operator="containsText" text="Sell">
      <formula>NOT(ISERROR(SEARCH("Sell",E362)))</formula>
    </cfRule>
  </conditionalFormatting>
  <conditionalFormatting sqref="E361">
    <cfRule type="containsText" dxfId="6362" priority="946" operator="containsText" text="Buy">
      <formula>NOT(ISERROR(SEARCH("Buy",E361)))</formula>
    </cfRule>
    <cfRule type="containsText" dxfId="6361" priority="947" operator="containsText" text="Sell">
      <formula>NOT(ISERROR(SEARCH("Sell",E361)))</formula>
    </cfRule>
  </conditionalFormatting>
  <conditionalFormatting sqref="E360">
    <cfRule type="containsText" dxfId="6360" priority="944" operator="containsText" text="Buy">
      <formula>NOT(ISERROR(SEARCH("Buy",E360)))</formula>
    </cfRule>
    <cfRule type="containsText" dxfId="6359" priority="945" operator="containsText" text="Sell">
      <formula>NOT(ISERROR(SEARCH("Sell",E360)))</formula>
    </cfRule>
  </conditionalFormatting>
  <conditionalFormatting sqref="E359">
    <cfRule type="containsText" dxfId="6358" priority="942" operator="containsText" text="Buy">
      <formula>NOT(ISERROR(SEARCH("Buy",E359)))</formula>
    </cfRule>
    <cfRule type="containsText" dxfId="6357" priority="943" operator="containsText" text="Sell">
      <formula>NOT(ISERROR(SEARCH("Sell",E359)))</formula>
    </cfRule>
  </conditionalFormatting>
  <conditionalFormatting sqref="E272">
    <cfRule type="containsText" dxfId="6356" priority="940" operator="containsText" text="Buy">
      <formula>NOT(ISERROR(SEARCH("Buy",E272)))</formula>
    </cfRule>
    <cfRule type="containsText" dxfId="6355" priority="941" operator="containsText" text="Sell">
      <formula>NOT(ISERROR(SEARCH("Sell",E272)))</formula>
    </cfRule>
  </conditionalFormatting>
  <conditionalFormatting sqref="E271">
    <cfRule type="containsText" dxfId="6354" priority="938" operator="containsText" text="Buy">
      <formula>NOT(ISERROR(SEARCH("Buy",E271)))</formula>
    </cfRule>
    <cfRule type="containsText" dxfId="6353" priority="939" operator="containsText" text="Sell">
      <formula>NOT(ISERROR(SEARCH("Sell",E271)))</formula>
    </cfRule>
  </conditionalFormatting>
  <conditionalFormatting sqref="E320">
    <cfRule type="containsText" dxfId="6352" priority="936" operator="containsText" text="Buy">
      <formula>NOT(ISERROR(SEARCH("Buy",E320)))</formula>
    </cfRule>
    <cfRule type="containsText" dxfId="6351" priority="937" operator="containsText" text="Sell">
      <formula>NOT(ISERROR(SEARCH("Sell",E320)))</formula>
    </cfRule>
  </conditionalFormatting>
  <conditionalFormatting sqref="E319">
    <cfRule type="containsText" dxfId="6350" priority="934" operator="containsText" text="Buy">
      <formula>NOT(ISERROR(SEARCH("Buy",E319)))</formula>
    </cfRule>
    <cfRule type="containsText" dxfId="6349" priority="935" operator="containsText" text="Sell">
      <formula>NOT(ISERROR(SEARCH("Sell",E319)))</formula>
    </cfRule>
  </conditionalFormatting>
  <conditionalFormatting sqref="E306:E308">
    <cfRule type="containsText" dxfId="6348" priority="932" operator="containsText" text="Buy">
      <formula>NOT(ISERROR(SEARCH("Buy",E306)))</formula>
    </cfRule>
    <cfRule type="containsText" dxfId="6347" priority="933" operator="containsText" text="Sell">
      <formula>NOT(ISERROR(SEARCH("Sell",E306)))</formula>
    </cfRule>
  </conditionalFormatting>
  <conditionalFormatting sqref="E303">
    <cfRule type="containsText" dxfId="6346" priority="930" operator="containsText" text="Buy">
      <formula>NOT(ISERROR(SEARCH("Buy",E303)))</formula>
    </cfRule>
    <cfRule type="containsText" dxfId="6345" priority="931" operator="containsText" text="Sell">
      <formula>NOT(ISERROR(SEARCH("Sell",E303)))</formula>
    </cfRule>
  </conditionalFormatting>
  <conditionalFormatting sqref="E302">
    <cfRule type="containsText" dxfId="6344" priority="928" operator="containsText" text="Buy">
      <formula>NOT(ISERROR(SEARCH("Buy",E302)))</formula>
    </cfRule>
    <cfRule type="containsText" dxfId="6343" priority="929" operator="containsText" text="Sell">
      <formula>NOT(ISERROR(SEARCH("Sell",E302)))</formula>
    </cfRule>
  </conditionalFormatting>
  <conditionalFormatting sqref="E301">
    <cfRule type="containsText" dxfId="6342" priority="926" operator="containsText" text="Buy">
      <formula>NOT(ISERROR(SEARCH("Buy",E301)))</formula>
    </cfRule>
    <cfRule type="containsText" dxfId="6341" priority="927" operator="containsText" text="Sell">
      <formula>NOT(ISERROR(SEARCH("Sell",E301)))</formula>
    </cfRule>
  </conditionalFormatting>
  <conditionalFormatting sqref="E300">
    <cfRule type="containsText" dxfId="6340" priority="924" operator="containsText" text="Buy">
      <formula>NOT(ISERROR(SEARCH("Buy",E300)))</formula>
    </cfRule>
    <cfRule type="containsText" dxfId="6339" priority="925" operator="containsText" text="Sell">
      <formula>NOT(ISERROR(SEARCH("Sell",E300)))</formula>
    </cfRule>
  </conditionalFormatting>
  <conditionalFormatting sqref="E299">
    <cfRule type="containsText" dxfId="6338" priority="922" operator="containsText" text="Buy">
      <formula>NOT(ISERROR(SEARCH("Buy",E299)))</formula>
    </cfRule>
    <cfRule type="containsText" dxfId="6337" priority="923" operator="containsText" text="Sell">
      <formula>NOT(ISERROR(SEARCH("Sell",E299)))</formula>
    </cfRule>
  </conditionalFormatting>
  <conditionalFormatting sqref="E298">
    <cfRule type="containsText" dxfId="6336" priority="920" operator="containsText" text="Buy">
      <formula>NOT(ISERROR(SEARCH("Buy",E298)))</formula>
    </cfRule>
    <cfRule type="containsText" dxfId="6335" priority="921" operator="containsText" text="Sell">
      <formula>NOT(ISERROR(SEARCH("Sell",E298)))</formula>
    </cfRule>
  </conditionalFormatting>
  <conditionalFormatting sqref="E297">
    <cfRule type="containsText" dxfId="6334" priority="918" operator="containsText" text="Buy">
      <formula>NOT(ISERROR(SEARCH("Buy",E297)))</formula>
    </cfRule>
    <cfRule type="containsText" dxfId="6333" priority="919" operator="containsText" text="Sell">
      <formula>NOT(ISERROR(SEARCH("Sell",E297)))</formula>
    </cfRule>
  </conditionalFormatting>
  <conditionalFormatting sqref="E290:E292">
    <cfRule type="containsText" dxfId="6332" priority="916" operator="containsText" text="Buy">
      <formula>NOT(ISERROR(SEARCH("Buy",E290)))</formula>
    </cfRule>
    <cfRule type="containsText" dxfId="6331" priority="917" operator="containsText" text="Sell">
      <formula>NOT(ISERROR(SEARCH("Sell",E290)))</formula>
    </cfRule>
  </conditionalFormatting>
  <conditionalFormatting sqref="E289">
    <cfRule type="containsText" dxfId="6330" priority="914" operator="containsText" text="Buy">
      <formula>NOT(ISERROR(SEARCH("Buy",E289)))</formula>
    </cfRule>
    <cfRule type="containsText" dxfId="6329" priority="915" operator="containsText" text="Sell">
      <formula>NOT(ISERROR(SEARCH("Sell",E289)))</formula>
    </cfRule>
  </conditionalFormatting>
  <conditionalFormatting sqref="E288">
    <cfRule type="containsText" dxfId="6328" priority="912" operator="containsText" text="Buy">
      <formula>NOT(ISERROR(SEARCH("Buy",E288)))</formula>
    </cfRule>
    <cfRule type="containsText" dxfId="6327" priority="913" operator="containsText" text="Sell">
      <formula>NOT(ISERROR(SEARCH("Sell",E288)))</formula>
    </cfRule>
  </conditionalFormatting>
  <conditionalFormatting sqref="E287">
    <cfRule type="containsText" dxfId="6326" priority="910" operator="containsText" text="Buy">
      <formula>NOT(ISERROR(SEARCH("Buy",E287)))</formula>
    </cfRule>
    <cfRule type="containsText" dxfId="6325" priority="911" operator="containsText" text="Sell">
      <formula>NOT(ISERROR(SEARCH("Sell",E287)))</formula>
    </cfRule>
  </conditionalFormatting>
  <conditionalFormatting sqref="E286">
    <cfRule type="containsText" dxfId="6324" priority="908" operator="containsText" text="Buy">
      <formula>NOT(ISERROR(SEARCH("Buy",E286)))</formula>
    </cfRule>
    <cfRule type="containsText" dxfId="6323" priority="909" operator="containsText" text="Sell">
      <formula>NOT(ISERROR(SEARCH("Sell",E286)))</formula>
    </cfRule>
  </conditionalFormatting>
  <conditionalFormatting sqref="E285">
    <cfRule type="containsText" dxfId="6322" priority="906" operator="containsText" text="Buy">
      <formula>NOT(ISERROR(SEARCH("Buy",E285)))</formula>
    </cfRule>
    <cfRule type="containsText" dxfId="6321" priority="907" operator="containsText" text="Sell">
      <formula>NOT(ISERROR(SEARCH("Sell",E285)))</formula>
    </cfRule>
  </conditionalFormatting>
  <conditionalFormatting sqref="E284">
    <cfRule type="containsText" dxfId="6320" priority="904" operator="containsText" text="Buy">
      <formula>NOT(ISERROR(SEARCH("Buy",E284)))</formula>
    </cfRule>
    <cfRule type="containsText" dxfId="6319" priority="905" operator="containsText" text="Sell">
      <formula>NOT(ISERROR(SEARCH("Sell",E284)))</formula>
    </cfRule>
  </conditionalFormatting>
  <conditionalFormatting sqref="E283">
    <cfRule type="containsText" dxfId="6318" priority="902" operator="containsText" text="Buy">
      <formula>NOT(ISERROR(SEARCH("Buy",E283)))</formula>
    </cfRule>
    <cfRule type="containsText" dxfId="6317" priority="903" operator="containsText" text="Sell">
      <formula>NOT(ISERROR(SEARCH("Sell",E283)))</formula>
    </cfRule>
  </conditionalFormatting>
  <conditionalFormatting sqref="E282">
    <cfRule type="containsText" dxfId="6316" priority="900" operator="containsText" text="Buy">
      <formula>NOT(ISERROR(SEARCH("Buy",E282)))</formula>
    </cfRule>
    <cfRule type="containsText" dxfId="6315" priority="901" operator="containsText" text="Sell">
      <formula>NOT(ISERROR(SEARCH("Sell",E282)))</formula>
    </cfRule>
  </conditionalFormatting>
  <conditionalFormatting sqref="E281">
    <cfRule type="containsText" dxfId="6314" priority="898" operator="containsText" text="Buy">
      <formula>NOT(ISERROR(SEARCH("Buy",E281)))</formula>
    </cfRule>
    <cfRule type="containsText" dxfId="6313" priority="899" operator="containsText" text="Sell">
      <formula>NOT(ISERROR(SEARCH("Sell",E281)))</formula>
    </cfRule>
  </conditionalFormatting>
  <conditionalFormatting sqref="E280">
    <cfRule type="containsText" dxfId="6312" priority="896" operator="containsText" text="Buy">
      <formula>NOT(ISERROR(SEARCH("Buy",E280)))</formula>
    </cfRule>
    <cfRule type="containsText" dxfId="6311" priority="897" operator="containsText" text="Sell">
      <formula>NOT(ISERROR(SEARCH("Sell",E280)))</formula>
    </cfRule>
  </conditionalFormatting>
  <conditionalFormatting sqref="E279">
    <cfRule type="containsText" dxfId="6310" priority="894" operator="containsText" text="Buy">
      <formula>NOT(ISERROR(SEARCH("Buy",E279)))</formula>
    </cfRule>
    <cfRule type="containsText" dxfId="6309" priority="895" operator="containsText" text="Sell">
      <formula>NOT(ISERROR(SEARCH("Sell",E279)))</formula>
    </cfRule>
  </conditionalFormatting>
  <conditionalFormatting sqref="E275">
    <cfRule type="containsText" dxfId="6308" priority="892" operator="containsText" text="Buy">
      <formula>NOT(ISERROR(SEARCH("Buy",E275)))</formula>
    </cfRule>
    <cfRule type="containsText" dxfId="6307" priority="893" operator="containsText" text="Sell">
      <formula>NOT(ISERROR(SEARCH("Sell",E275)))</formula>
    </cfRule>
  </conditionalFormatting>
  <conditionalFormatting sqref="E335">
    <cfRule type="containsText" dxfId="6306" priority="890" operator="containsText" text="Buy">
      <formula>NOT(ISERROR(SEARCH("Buy",E335)))</formula>
    </cfRule>
    <cfRule type="containsText" dxfId="6305" priority="891" operator="containsText" text="Sell">
      <formula>NOT(ISERROR(SEARCH("Sell",E335)))</formula>
    </cfRule>
  </conditionalFormatting>
  <conditionalFormatting sqref="E334 E331">
    <cfRule type="containsText" dxfId="6304" priority="888" operator="containsText" text="Buy">
      <formula>NOT(ISERROR(SEARCH("Buy",E331)))</formula>
    </cfRule>
    <cfRule type="containsText" dxfId="6303" priority="889" operator="containsText" text="Sell">
      <formula>NOT(ISERROR(SEARCH("Sell",E331)))</formula>
    </cfRule>
  </conditionalFormatting>
  <conditionalFormatting sqref="E340">
    <cfRule type="containsText" dxfId="6302" priority="886" operator="containsText" text="Buy">
      <formula>NOT(ISERROR(SEARCH("Buy",E340)))</formula>
    </cfRule>
    <cfRule type="containsText" dxfId="6301" priority="887" operator="containsText" text="Sell">
      <formula>NOT(ISERROR(SEARCH("Sell",E340)))</formula>
    </cfRule>
  </conditionalFormatting>
  <conditionalFormatting sqref="V7:Z8">
    <cfRule type="dataBar" priority="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{300F071E-815A-4170-B06A-3E5450E15164}</x14:id>
        </ext>
      </extLst>
    </cfRule>
  </conditionalFormatting>
  <conditionalFormatting sqref="E422:E423">
    <cfRule type="containsText" dxfId="6300" priority="882" operator="containsText" text="Buy">
      <formula>NOT(ISERROR(SEARCH("Buy",E422)))</formula>
    </cfRule>
    <cfRule type="containsText" dxfId="6299" priority="883" operator="containsText" text="Sell">
      <formula>NOT(ISERROR(SEARCH("Sell",E422)))</formula>
    </cfRule>
  </conditionalFormatting>
  <conditionalFormatting sqref="E333">
    <cfRule type="containsText" dxfId="6298" priority="880" operator="containsText" text="Buy">
      <formula>NOT(ISERROR(SEARCH("Buy",E333)))</formula>
    </cfRule>
    <cfRule type="containsText" dxfId="6297" priority="881" operator="containsText" text="Sell">
      <formula>NOT(ISERROR(SEARCH("Sell",E333)))</formula>
    </cfRule>
  </conditionalFormatting>
  <conditionalFormatting sqref="E330">
    <cfRule type="containsText" dxfId="6296" priority="878" operator="containsText" text="Buy">
      <formula>NOT(ISERROR(SEARCH("Buy",E330)))</formula>
    </cfRule>
    <cfRule type="containsText" dxfId="6295" priority="879" operator="containsText" text="Sell">
      <formula>NOT(ISERROR(SEARCH("Sell",E330)))</formula>
    </cfRule>
  </conditionalFormatting>
  <conditionalFormatting sqref="E329">
    <cfRule type="containsText" dxfId="6294" priority="876" operator="containsText" text="Buy">
      <formula>NOT(ISERROR(SEARCH("Buy",E329)))</formula>
    </cfRule>
    <cfRule type="containsText" dxfId="6293" priority="877" operator="containsText" text="Sell">
      <formula>NOT(ISERROR(SEARCH("Sell",E329)))</formula>
    </cfRule>
  </conditionalFormatting>
  <conditionalFormatting sqref="E316">
    <cfRule type="containsText" dxfId="6292" priority="874" operator="containsText" text="Buy">
      <formula>NOT(ISERROR(SEARCH("Buy",E316)))</formula>
    </cfRule>
    <cfRule type="containsText" dxfId="6291" priority="875" operator="containsText" text="Sell">
      <formula>NOT(ISERROR(SEARCH("Sell",E316)))</formula>
    </cfRule>
  </conditionalFormatting>
  <conditionalFormatting sqref="E253:E256 E266 E263:E264">
    <cfRule type="containsText" dxfId="6290" priority="872" operator="containsText" text="Buy">
      <formula>NOT(ISERROR(SEARCH("Buy",E253)))</formula>
    </cfRule>
    <cfRule type="containsText" dxfId="6289" priority="873" operator="containsText" text="Sell">
      <formula>NOT(ISERROR(SEARCH("Sell",E253)))</formula>
    </cfRule>
  </conditionalFormatting>
  <conditionalFormatting sqref="E419:E420">
    <cfRule type="containsText" dxfId="6288" priority="870" operator="containsText" text="Buy">
      <formula>NOT(ISERROR(SEARCH("Buy",E419)))</formula>
    </cfRule>
    <cfRule type="containsText" dxfId="6287" priority="871" operator="containsText" text="Sell">
      <formula>NOT(ISERROR(SEARCH("Sell",E419)))</formula>
    </cfRule>
  </conditionalFormatting>
  <conditionalFormatting sqref="E416:E417">
    <cfRule type="containsText" dxfId="6286" priority="868" operator="containsText" text="Buy">
      <formula>NOT(ISERROR(SEARCH("Buy",E416)))</formula>
    </cfRule>
    <cfRule type="containsText" dxfId="6285" priority="869" operator="containsText" text="Sell">
      <formula>NOT(ISERROR(SEARCH("Sell",E416)))</formula>
    </cfRule>
  </conditionalFormatting>
  <conditionalFormatting sqref="E414:E415">
    <cfRule type="containsText" dxfId="6284" priority="866" operator="containsText" text="Buy">
      <formula>NOT(ISERROR(SEARCH("Buy",E414)))</formula>
    </cfRule>
    <cfRule type="containsText" dxfId="6283" priority="867" operator="containsText" text="Sell">
      <formula>NOT(ISERROR(SEARCH("Sell",E414)))</formula>
    </cfRule>
  </conditionalFormatting>
  <conditionalFormatting sqref="E411:E412">
    <cfRule type="containsText" dxfId="6282" priority="864" operator="containsText" text="Buy">
      <formula>NOT(ISERROR(SEARCH("Buy",E411)))</formula>
    </cfRule>
    <cfRule type="containsText" dxfId="6281" priority="865" operator="containsText" text="Sell">
      <formula>NOT(ISERROR(SEARCH("Sell",E411)))</formula>
    </cfRule>
  </conditionalFormatting>
  <conditionalFormatting sqref="E408:E410">
    <cfRule type="containsText" dxfId="6280" priority="862" operator="containsText" text="Buy">
      <formula>NOT(ISERROR(SEARCH("Buy",E408)))</formula>
    </cfRule>
    <cfRule type="containsText" dxfId="6279" priority="863" operator="containsText" text="Sell">
      <formula>NOT(ISERROR(SEARCH("Sell",E408)))</formula>
    </cfRule>
  </conditionalFormatting>
  <conditionalFormatting sqref="E405:E406">
    <cfRule type="containsText" dxfId="6278" priority="860" operator="containsText" text="Buy">
      <formula>NOT(ISERROR(SEARCH("Buy",E405)))</formula>
    </cfRule>
    <cfRule type="containsText" dxfId="6277" priority="861" operator="containsText" text="Sell">
      <formula>NOT(ISERROR(SEARCH("Sell",E405)))</formula>
    </cfRule>
  </conditionalFormatting>
  <conditionalFormatting sqref="E402:E403">
    <cfRule type="containsText" dxfId="6276" priority="858" operator="containsText" text="Buy">
      <formula>NOT(ISERROR(SEARCH("Buy",E402)))</formula>
    </cfRule>
    <cfRule type="containsText" dxfId="6275" priority="859" operator="containsText" text="Sell">
      <formula>NOT(ISERROR(SEARCH("Sell",E402)))</formula>
    </cfRule>
  </conditionalFormatting>
  <conditionalFormatting sqref="E399:E400">
    <cfRule type="containsText" dxfId="6274" priority="856" operator="containsText" text="Buy">
      <formula>NOT(ISERROR(SEARCH("Buy",E399)))</formula>
    </cfRule>
    <cfRule type="containsText" dxfId="6273" priority="857" operator="containsText" text="Sell">
      <formula>NOT(ISERROR(SEARCH("Sell",E399)))</formula>
    </cfRule>
  </conditionalFormatting>
  <conditionalFormatting sqref="E395">
    <cfRule type="containsText" dxfId="6272" priority="852" operator="containsText" text="Buy">
      <formula>NOT(ISERROR(SEARCH("Buy",E395)))</formula>
    </cfRule>
    <cfRule type="containsText" dxfId="6271" priority="853" operator="containsText" text="Sell">
      <formula>NOT(ISERROR(SEARCH("Sell",E395)))</formula>
    </cfRule>
  </conditionalFormatting>
  <conditionalFormatting sqref="E396:E397">
    <cfRule type="containsText" dxfId="6270" priority="854" operator="containsText" text="Buy">
      <formula>NOT(ISERROR(SEARCH("Buy",E396)))</formula>
    </cfRule>
    <cfRule type="containsText" dxfId="6269" priority="855" operator="containsText" text="Sell">
      <formula>NOT(ISERROR(SEARCH("Sell",E396)))</formula>
    </cfRule>
  </conditionalFormatting>
  <conditionalFormatting sqref="E389:E390">
    <cfRule type="containsText" dxfId="6268" priority="850" operator="containsText" text="Buy">
      <formula>NOT(ISERROR(SEARCH("Buy",E389)))</formula>
    </cfRule>
    <cfRule type="containsText" dxfId="6267" priority="851" operator="containsText" text="Sell">
      <formula>NOT(ISERROR(SEARCH("Sell",E389)))</formula>
    </cfRule>
  </conditionalFormatting>
  <conditionalFormatting sqref="E385:E386">
    <cfRule type="containsText" dxfId="6266" priority="848" operator="containsText" text="Buy">
      <formula>NOT(ISERROR(SEARCH("Buy",E385)))</formula>
    </cfRule>
    <cfRule type="containsText" dxfId="6265" priority="849" operator="containsText" text="Sell">
      <formula>NOT(ISERROR(SEARCH("Sell",E385)))</formula>
    </cfRule>
  </conditionalFormatting>
  <conditionalFormatting sqref="E250:E251">
    <cfRule type="containsText" dxfId="6264" priority="846" operator="containsText" text="Buy">
      <formula>NOT(ISERROR(SEARCH("Buy",E250)))</formula>
    </cfRule>
    <cfRule type="containsText" dxfId="6263" priority="847" operator="containsText" text="Sell">
      <formula>NOT(ISERROR(SEARCH("Sell",E250)))</formula>
    </cfRule>
  </conditionalFormatting>
  <conditionalFormatting sqref="E245:E246">
    <cfRule type="containsText" dxfId="6262" priority="844" operator="containsText" text="Buy">
      <formula>NOT(ISERROR(SEARCH("Buy",E245)))</formula>
    </cfRule>
    <cfRule type="containsText" dxfId="6261" priority="845" operator="containsText" text="Sell">
      <formula>NOT(ISERROR(SEARCH("Sell",E245)))</formula>
    </cfRule>
  </conditionalFormatting>
  <conditionalFormatting sqref="E262">
    <cfRule type="containsText" dxfId="6260" priority="842" operator="containsText" text="Buy">
      <formula>NOT(ISERROR(SEARCH("Buy",E262)))</formula>
    </cfRule>
    <cfRule type="containsText" dxfId="6259" priority="843" operator="containsText" text="Sell">
      <formula>NOT(ISERROR(SEARCH("Sell",E262)))</formula>
    </cfRule>
  </conditionalFormatting>
  <conditionalFormatting sqref="E261">
    <cfRule type="containsText" dxfId="6258" priority="840" operator="containsText" text="Buy">
      <formula>NOT(ISERROR(SEARCH("Buy",E261)))</formula>
    </cfRule>
    <cfRule type="containsText" dxfId="6257" priority="841" operator="containsText" text="Sell">
      <formula>NOT(ISERROR(SEARCH("Sell",E261)))</formula>
    </cfRule>
  </conditionalFormatting>
  <conditionalFormatting sqref="E257">
    <cfRule type="containsText" dxfId="6256" priority="838" operator="containsText" text="Buy">
      <formula>NOT(ISERROR(SEARCH("Buy",E257)))</formula>
    </cfRule>
    <cfRule type="containsText" dxfId="6255" priority="839" operator="containsText" text="Sell">
      <formula>NOT(ISERROR(SEARCH("Sell",E257)))</formula>
    </cfRule>
  </conditionalFormatting>
  <conditionalFormatting sqref="E382:E384">
    <cfRule type="containsText" dxfId="6254" priority="836" operator="containsText" text="Buy">
      <formula>NOT(ISERROR(SEARCH("Buy",E382)))</formula>
    </cfRule>
    <cfRule type="containsText" dxfId="6253" priority="837" operator="containsText" text="Sell">
      <formula>NOT(ISERROR(SEARCH("Sell",E382)))</formula>
    </cfRule>
  </conditionalFormatting>
  <conditionalFormatting sqref="E379:E380">
    <cfRule type="containsText" dxfId="6252" priority="834" operator="containsText" text="Buy">
      <formula>NOT(ISERROR(SEARCH("Buy",E379)))</formula>
    </cfRule>
    <cfRule type="containsText" dxfId="6251" priority="835" operator="containsText" text="Sell">
      <formula>NOT(ISERROR(SEARCH("Sell",E379)))</formula>
    </cfRule>
  </conditionalFormatting>
  <conditionalFormatting sqref="E373:E375">
    <cfRule type="containsText" dxfId="6250" priority="832" operator="containsText" text="Buy">
      <formula>NOT(ISERROR(SEARCH("Buy",E373)))</formula>
    </cfRule>
    <cfRule type="containsText" dxfId="6249" priority="833" operator="containsText" text="Sell">
      <formula>NOT(ISERROR(SEARCH("Sell",E373)))</formula>
    </cfRule>
  </conditionalFormatting>
  <conditionalFormatting sqref="E369:E370">
    <cfRule type="containsText" dxfId="6248" priority="830" operator="containsText" text="Buy">
      <formula>NOT(ISERROR(SEARCH("Buy",E369)))</formula>
    </cfRule>
    <cfRule type="containsText" dxfId="6247" priority="831" operator="containsText" text="Sell">
      <formula>NOT(ISERROR(SEARCH("Sell",E369)))</formula>
    </cfRule>
  </conditionalFormatting>
  <conditionalFormatting sqref="E378">
    <cfRule type="containsText" dxfId="6246" priority="828" operator="containsText" text="Buy">
      <formula>NOT(ISERROR(SEARCH("Buy",E378)))</formula>
    </cfRule>
    <cfRule type="containsText" dxfId="6245" priority="829" operator="containsText" text="Sell">
      <formula>NOT(ISERROR(SEARCH("Sell",E378)))</formula>
    </cfRule>
  </conditionalFormatting>
  <conditionalFormatting sqref="E358">
    <cfRule type="containsText" dxfId="6244" priority="826" operator="containsText" text="Buy">
      <formula>NOT(ISERROR(SEARCH("Buy",E358)))</formula>
    </cfRule>
    <cfRule type="containsText" dxfId="6243" priority="827" operator="containsText" text="Sell">
      <formula>NOT(ISERROR(SEARCH("Sell",E358)))</formula>
    </cfRule>
  </conditionalFormatting>
  <conditionalFormatting sqref="E357">
    <cfRule type="containsText" dxfId="6242" priority="824" operator="containsText" text="Buy">
      <formula>NOT(ISERROR(SEARCH("Buy",E357)))</formula>
    </cfRule>
    <cfRule type="containsText" dxfId="6241" priority="825" operator="containsText" text="Sell">
      <formula>NOT(ISERROR(SEARCH("Sell",E357)))</formula>
    </cfRule>
  </conditionalFormatting>
  <conditionalFormatting sqref="E356">
    <cfRule type="containsText" dxfId="6240" priority="822" operator="containsText" text="Buy">
      <formula>NOT(ISERROR(SEARCH("Buy",E356)))</formula>
    </cfRule>
    <cfRule type="containsText" dxfId="6239" priority="823" operator="containsText" text="Sell">
      <formula>NOT(ISERROR(SEARCH("Sell",E356)))</formula>
    </cfRule>
  </conditionalFormatting>
  <conditionalFormatting sqref="V6:Z6">
    <cfRule type="dataBar" priority="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{079AAB61-5499-4409-981C-EE1F560AF7F9}</x14:id>
        </ext>
      </extLst>
    </cfRule>
  </conditionalFormatting>
  <conditionalFormatting sqref="V6:Z6">
    <cfRule type="dataBar" priority="8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{866002CB-D8D0-4AD6-892E-1B776E48B17F}</x14:id>
        </ext>
      </extLst>
    </cfRule>
  </conditionalFormatting>
  <conditionalFormatting sqref="E313">
    <cfRule type="containsText" dxfId="6238" priority="817" operator="containsText" text="Buy">
      <formula>NOT(ISERROR(SEARCH("Buy",E313)))</formula>
    </cfRule>
    <cfRule type="containsText" dxfId="6237" priority="818" operator="containsText" text="Sell">
      <formula>NOT(ISERROR(SEARCH("Sell",E313)))</formula>
    </cfRule>
  </conditionalFormatting>
  <conditionalFormatting sqref="E332">
    <cfRule type="containsText" dxfId="6236" priority="815" operator="containsText" text="Buy">
      <formula>NOT(ISERROR(SEARCH("Buy",E332)))</formula>
    </cfRule>
    <cfRule type="containsText" dxfId="6235" priority="816" operator="containsText" text="Sell">
      <formula>NOT(ISERROR(SEARCH("Sell",E332)))</formula>
    </cfRule>
  </conditionalFormatting>
  <conditionalFormatting sqref="V13:Z13">
    <cfRule type="dataBar" priority="8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{AF8DE5E9-EE26-4E2B-BD3C-83900A4E1BC6}</x14:id>
        </ext>
      </extLst>
    </cfRule>
  </conditionalFormatting>
  <conditionalFormatting sqref="V13:Z13">
    <cfRule type="dataBar" priority="8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{0D7EA1B4-9418-4469-BE3C-CBA2272D4BAC}</x14:id>
        </ext>
      </extLst>
    </cfRule>
  </conditionalFormatting>
  <conditionalFormatting sqref="E226:E227">
    <cfRule type="containsText" dxfId="6234" priority="810" operator="containsText" text="Buy">
      <formula>NOT(ISERROR(SEARCH("Buy",E226)))</formula>
    </cfRule>
    <cfRule type="containsText" dxfId="6233" priority="811" operator="containsText" text="Sell">
      <formula>NOT(ISERROR(SEARCH("Sell",E226)))</formula>
    </cfRule>
  </conditionalFormatting>
  <conditionalFormatting sqref="E355">
    <cfRule type="containsText" dxfId="6232" priority="806" operator="containsText" text="Buy">
      <formula>NOT(ISERROR(SEARCH("Buy",E355)))</formula>
    </cfRule>
    <cfRule type="containsText" dxfId="6231" priority="807" operator="containsText" text="Sell">
      <formula>NOT(ISERROR(SEARCH("Sell",E355)))</formula>
    </cfRule>
  </conditionalFormatting>
  <conditionalFormatting sqref="E265">
    <cfRule type="containsText" dxfId="6230" priority="808" operator="containsText" text="Buy">
      <formula>NOT(ISERROR(SEARCH("Buy",E265)))</formula>
    </cfRule>
    <cfRule type="containsText" dxfId="6229" priority="809" operator="containsText" text="Sell">
      <formula>NOT(ISERROR(SEARCH("Sell",E265)))</formula>
    </cfRule>
  </conditionalFormatting>
  <conditionalFormatting sqref="E354">
    <cfRule type="containsText" dxfId="6228" priority="804" operator="containsText" text="Buy">
      <formula>NOT(ISERROR(SEARCH("Buy",E354)))</formula>
    </cfRule>
    <cfRule type="containsText" dxfId="6227" priority="805" operator="containsText" text="Sell">
      <formula>NOT(ISERROR(SEARCH("Sell",E354)))</formula>
    </cfRule>
  </conditionalFormatting>
  <conditionalFormatting sqref="E353">
    <cfRule type="containsText" dxfId="6226" priority="802" operator="containsText" text="Buy">
      <formula>NOT(ISERROR(SEARCH("Buy",E353)))</formula>
    </cfRule>
    <cfRule type="containsText" dxfId="6225" priority="803" operator="containsText" text="Sell">
      <formula>NOT(ISERROR(SEARCH("Sell",E353)))</formula>
    </cfRule>
  </conditionalFormatting>
  <conditionalFormatting sqref="E352">
    <cfRule type="containsText" dxfId="6224" priority="800" operator="containsText" text="Buy">
      <formula>NOT(ISERROR(SEARCH("Buy",E352)))</formula>
    </cfRule>
    <cfRule type="containsText" dxfId="6223" priority="801" operator="containsText" text="Sell">
      <formula>NOT(ISERROR(SEARCH("Sell",E352)))</formula>
    </cfRule>
  </conditionalFormatting>
  <conditionalFormatting sqref="E351">
    <cfRule type="containsText" dxfId="6222" priority="798" operator="containsText" text="Buy">
      <formula>NOT(ISERROR(SEARCH("Buy",E351)))</formula>
    </cfRule>
    <cfRule type="containsText" dxfId="6221" priority="799" operator="containsText" text="Sell">
      <formula>NOT(ISERROR(SEARCH("Sell",E351)))</formula>
    </cfRule>
  </conditionalFormatting>
  <conditionalFormatting sqref="E231:E233 E244">
    <cfRule type="containsText" dxfId="6220" priority="796" operator="containsText" text="Buy">
      <formula>NOT(ISERROR(SEARCH("Buy",E231)))</formula>
    </cfRule>
    <cfRule type="containsText" dxfId="6219" priority="797" operator="containsText" text="Sell">
      <formula>NOT(ISERROR(SEARCH("Sell",E231)))</formula>
    </cfRule>
  </conditionalFormatting>
  <conditionalFormatting sqref="E221:E222">
    <cfRule type="containsText" dxfId="6218" priority="790" operator="containsText" text="Buy">
      <formula>NOT(ISERROR(SEARCH("Buy",E221)))</formula>
    </cfRule>
    <cfRule type="containsText" dxfId="6217" priority="791" operator="containsText" text="Sell">
      <formula>NOT(ISERROR(SEARCH("Sell",E221)))</formula>
    </cfRule>
  </conditionalFormatting>
  <conditionalFormatting sqref="E215:E216">
    <cfRule type="containsText" dxfId="6216" priority="788" operator="containsText" text="Buy">
      <formula>NOT(ISERROR(SEARCH("Buy",E215)))</formula>
    </cfRule>
    <cfRule type="containsText" dxfId="6215" priority="789" operator="containsText" text="Sell">
      <formula>NOT(ISERROR(SEARCH("Sell",E215)))</formula>
    </cfRule>
  </conditionalFormatting>
  <conditionalFormatting sqref="E242:E243">
    <cfRule type="containsText" dxfId="6214" priority="786" operator="containsText" text="Buy">
      <formula>NOT(ISERROR(SEARCH("Buy",E242)))</formula>
    </cfRule>
    <cfRule type="containsText" dxfId="6213" priority="787" operator="containsText" text="Sell">
      <formula>NOT(ISERROR(SEARCH("Sell",E242)))</formula>
    </cfRule>
  </conditionalFormatting>
  <conditionalFormatting sqref="E241">
    <cfRule type="containsText" dxfId="6212" priority="784" operator="containsText" text="Buy">
      <formula>NOT(ISERROR(SEARCH("Buy",E241)))</formula>
    </cfRule>
    <cfRule type="containsText" dxfId="6211" priority="785" operator="containsText" text="Sell">
      <formula>NOT(ISERROR(SEARCH("Sell",E241)))</formula>
    </cfRule>
  </conditionalFormatting>
  <conditionalFormatting sqref="E324">
    <cfRule type="containsText" dxfId="6210" priority="782" operator="containsText" text="Buy">
      <formula>NOT(ISERROR(SEARCH("Buy",E324)))</formula>
    </cfRule>
    <cfRule type="containsText" dxfId="6209" priority="783" operator="containsText" text="Sell">
      <formula>NOT(ISERROR(SEARCH("Sell",E324)))</formula>
    </cfRule>
  </conditionalFormatting>
  <conditionalFormatting sqref="E323">
    <cfRule type="containsText" dxfId="6208" priority="780" operator="containsText" text="Buy">
      <formula>NOT(ISERROR(SEARCH("Buy",E323)))</formula>
    </cfRule>
    <cfRule type="containsText" dxfId="6207" priority="781" operator="containsText" text="Sell">
      <formula>NOT(ISERROR(SEARCH("Sell",E323)))</formula>
    </cfRule>
  </conditionalFormatting>
  <conditionalFormatting sqref="E212:E213">
    <cfRule type="containsText" dxfId="6206" priority="775" operator="containsText" text="Buy">
      <formula>NOT(ISERROR(SEARCH("Buy",E212)))</formula>
    </cfRule>
    <cfRule type="containsText" dxfId="6205" priority="776" operator="containsText" text="Sell">
      <formula>NOT(ISERROR(SEARCH("Sell",E212)))</formula>
    </cfRule>
  </conditionalFormatting>
  <conditionalFormatting sqref="E211">
    <cfRule type="containsText" dxfId="6204" priority="773" operator="containsText" text="Buy">
      <formula>NOT(ISERROR(SEARCH("Buy",E211)))</formula>
    </cfRule>
    <cfRule type="containsText" dxfId="6203" priority="774" operator="containsText" text="Sell">
      <formula>NOT(ISERROR(SEARCH("Sell",E211)))</formula>
    </cfRule>
  </conditionalFormatting>
  <conditionalFormatting sqref="E210">
    <cfRule type="containsText" dxfId="6202" priority="771" operator="containsText" text="Buy">
      <formula>NOT(ISERROR(SEARCH("Buy",E210)))</formula>
    </cfRule>
    <cfRule type="containsText" dxfId="6201" priority="772" operator="containsText" text="Sell">
      <formula>NOT(ISERROR(SEARCH("Sell",E210)))</formula>
    </cfRule>
  </conditionalFormatting>
  <conditionalFormatting sqref="E207">
    <cfRule type="containsText" dxfId="6200" priority="769" operator="containsText" text="Buy">
      <formula>NOT(ISERROR(SEARCH("Buy",E207)))</formula>
    </cfRule>
    <cfRule type="containsText" dxfId="6199" priority="770" operator="containsText" text="Sell">
      <formula>NOT(ISERROR(SEARCH("Sell",E207)))</formula>
    </cfRule>
  </conditionalFormatting>
  <conditionalFormatting sqref="E206">
    <cfRule type="containsText" dxfId="6198" priority="767" operator="containsText" text="Buy">
      <formula>NOT(ISERROR(SEARCH("Buy",E206)))</formula>
    </cfRule>
    <cfRule type="containsText" dxfId="6197" priority="768" operator="containsText" text="Sell">
      <formula>NOT(ISERROR(SEARCH("Sell",E206)))</formula>
    </cfRule>
  </conditionalFormatting>
  <conditionalFormatting sqref="E203">
    <cfRule type="containsText" dxfId="6196" priority="765" operator="containsText" text="Buy">
      <formula>NOT(ISERROR(SEARCH("Buy",E203)))</formula>
    </cfRule>
    <cfRule type="containsText" dxfId="6195" priority="766" operator="containsText" text="Sell">
      <formula>NOT(ISERROR(SEARCH("Sell",E203)))</formula>
    </cfRule>
  </conditionalFormatting>
  <conditionalFormatting sqref="E202">
    <cfRule type="containsText" dxfId="6194" priority="763" operator="containsText" text="Buy">
      <formula>NOT(ISERROR(SEARCH("Buy",E202)))</formula>
    </cfRule>
    <cfRule type="containsText" dxfId="6193" priority="764" operator="containsText" text="Sell">
      <formula>NOT(ISERROR(SEARCH("Sell",E202)))</formula>
    </cfRule>
  </conditionalFormatting>
  <conditionalFormatting sqref="E201">
    <cfRule type="containsText" dxfId="6192" priority="761" operator="containsText" text="Buy">
      <formula>NOT(ISERROR(SEARCH("Buy",E201)))</formula>
    </cfRule>
    <cfRule type="containsText" dxfId="6191" priority="762" operator="containsText" text="Sell">
      <formula>NOT(ISERROR(SEARCH("Sell",E201)))</formula>
    </cfRule>
  </conditionalFormatting>
  <conditionalFormatting sqref="E199:E200">
    <cfRule type="containsText" dxfId="6190" priority="759" operator="containsText" text="Buy">
      <formula>NOT(ISERROR(SEARCH("Buy",E199)))</formula>
    </cfRule>
    <cfRule type="containsText" dxfId="6189" priority="760" operator="containsText" text="Sell">
      <formula>NOT(ISERROR(SEARCH("Sell",E199)))</formula>
    </cfRule>
  </conditionalFormatting>
  <conditionalFormatting sqref="E196 E192:E193">
    <cfRule type="containsText" dxfId="6188" priority="757" operator="containsText" text="Buy">
      <formula>NOT(ISERROR(SEARCH("Buy",E192)))</formula>
    </cfRule>
    <cfRule type="containsText" dxfId="6187" priority="758" operator="containsText" text="Sell">
      <formula>NOT(ISERROR(SEARCH("Sell",E192)))</formula>
    </cfRule>
  </conditionalFormatting>
  <conditionalFormatting sqref="E188">
    <cfRule type="containsText" dxfId="6186" priority="755" operator="containsText" text="Buy">
      <formula>NOT(ISERROR(SEARCH("Buy",E188)))</formula>
    </cfRule>
    <cfRule type="containsText" dxfId="6185" priority="756" operator="containsText" text="Sell">
      <formula>NOT(ISERROR(SEARCH("Sell",E188)))</formula>
    </cfRule>
  </conditionalFormatting>
  <conditionalFormatting sqref="E187">
    <cfRule type="containsText" dxfId="6184" priority="753" operator="containsText" text="Buy">
      <formula>NOT(ISERROR(SEARCH("Buy",E187)))</formula>
    </cfRule>
    <cfRule type="containsText" dxfId="6183" priority="754" operator="containsText" text="Sell">
      <formula>NOT(ISERROR(SEARCH("Sell",E187)))</formula>
    </cfRule>
  </conditionalFormatting>
  <conditionalFormatting sqref="V14:Z14">
    <cfRule type="dataBar" priority="7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{0C661023-ECDB-4F31-828C-15BCA169886A}</x14:id>
        </ext>
      </extLst>
    </cfRule>
  </conditionalFormatting>
  <conditionalFormatting sqref="V14:Z14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{6DBF9A7E-4259-462D-BA8A-346A3ED5BB3E}</x14:id>
        </ext>
      </extLst>
    </cfRule>
  </conditionalFormatting>
  <conditionalFormatting sqref="E195">
    <cfRule type="containsText" dxfId="6182" priority="748" operator="containsText" text="Buy">
      <formula>NOT(ISERROR(SEARCH("Buy",E195)))</formula>
    </cfRule>
    <cfRule type="containsText" dxfId="6181" priority="749" operator="containsText" text="Sell">
      <formula>NOT(ISERROR(SEARCH("Sell",E195)))</formula>
    </cfRule>
  </conditionalFormatting>
  <conditionalFormatting sqref="E194">
    <cfRule type="containsText" dxfId="6180" priority="746" operator="containsText" text="Buy">
      <formula>NOT(ISERROR(SEARCH("Buy",E194)))</formula>
    </cfRule>
    <cfRule type="containsText" dxfId="6179" priority="747" operator="containsText" text="Sell">
      <formula>NOT(ISERROR(SEARCH("Sell",E194)))</formula>
    </cfRule>
  </conditionalFormatting>
  <conditionalFormatting sqref="E328">
    <cfRule type="containsText" dxfId="6178" priority="744" operator="containsText" text="Buy">
      <formula>NOT(ISERROR(SEARCH("Buy",E328)))</formula>
    </cfRule>
    <cfRule type="containsText" dxfId="6177" priority="745" operator="containsText" text="Sell">
      <formula>NOT(ISERROR(SEARCH("Sell",E328)))</formula>
    </cfRule>
  </conditionalFormatting>
  <conditionalFormatting sqref="E249">
    <cfRule type="containsText" dxfId="6176" priority="742" operator="containsText" text="Buy">
      <formula>NOT(ISERROR(SEARCH("Buy",E249)))</formula>
    </cfRule>
    <cfRule type="containsText" dxfId="6175" priority="743" operator="containsText" text="Sell">
      <formula>NOT(ISERROR(SEARCH("Sell",E249)))</formula>
    </cfRule>
  </conditionalFormatting>
  <conditionalFormatting sqref="E296">
    <cfRule type="containsText" dxfId="6174" priority="740" operator="containsText" text="Buy">
      <formula>NOT(ISERROR(SEARCH("Buy",E296)))</formula>
    </cfRule>
    <cfRule type="containsText" dxfId="6173" priority="741" operator="containsText" text="Sell">
      <formula>NOT(ISERROR(SEARCH("Sell",E296)))</formula>
    </cfRule>
  </conditionalFormatting>
  <conditionalFormatting sqref="E191">
    <cfRule type="containsText" dxfId="6172" priority="738" operator="containsText" text="Buy">
      <formula>NOT(ISERROR(SEARCH("Buy",E191)))</formula>
    </cfRule>
    <cfRule type="containsText" dxfId="6171" priority="739" operator="containsText" text="Sell">
      <formula>NOT(ISERROR(SEARCH("Sell",E191)))</formula>
    </cfRule>
  </conditionalFormatting>
  <conditionalFormatting sqref="E181">
    <cfRule type="containsText" dxfId="6170" priority="736" operator="containsText" text="Buy">
      <formula>NOT(ISERROR(SEARCH("Buy",E181)))</formula>
    </cfRule>
    <cfRule type="containsText" dxfId="6169" priority="737" operator="containsText" text="Sell">
      <formula>NOT(ISERROR(SEARCH("Sell",E181)))</formula>
    </cfRule>
  </conditionalFormatting>
  <conditionalFormatting sqref="E295">
    <cfRule type="containsText" dxfId="6168" priority="734" operator="containsText" text="Buy">
      <formula>NOT(ISERROR(SEARCH("Buy",E295)))</formula>
    </cfRule>
    <cfRule type="containsText" dxfId="6167" priority="735" operator="containsText" text="Sell">
      <formula>NOT(ISERROR(SEARCH("Sell",E295)))</formula>
    </cfRule>
  </conditionalFormatting>
  <conditionalFormatting sqref="E294">
    <cfRule type="containsText" dxfId="6166" priority="732" operator="containsText" text="Buy">
      <formula>NOT(ISERROR(SEARCH("Buy",E294)))</formula>
    </cfRule>
    <cfRule type="containsText" dxfId="6165" priority="733" operator="containsText" text="Sell">
      <formula>NOT(ISERROR(SEARCH("Sell",E294)))</formula>
    </cfRule>
  </conditionalFormatting>
  <conditionalFormatting sqref="V9:Z9">
    <cfRule type="dataBar" priority="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{7B9D329F-66F9-4FBA-B676-C12552B43782}</x14:id>
        </ext>
      </extLst>
    </cfRule>
  </conditionalFormatting>
  <conditionalFormatting sqref="V9:Z9">
    <cfRule type="dataBar" priority="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{E5BB0EB7-C92A-4A7D-B0C6-CD6135466F3D}</x14:id>
        </ext>
      </extLst>
    </cfRule>
  </conditionalFormatting>
  <conditionalFormatting sqref="E365:E367">
    <cfRule type="containsText" dxfId="6164" priority="727" operator="containsText" text="Buy">
      <formula>NOT(ISERROR(SEARCH("Buy",E365)))</formula>
    </cfRule>
    <cfRule type="containsText" dxfId="6163" priority="728" operator="containsText" text="Sell">
      <formula>NOT(ISERROR(SEARCH("Sell",E365)))</formula>
    </cfRule>
  </conditionalFormatting>
  <conditionalFormatting sqref="E350">
    <cfRule type="containsText" dxfId="6162" priority="725" operator="containsText" text="Buy">
      <formula>NOT(ISERROR(SEARCH("Buy",E350)))</formula>
    </cfRule>
    <cfRule type="containsText" dxfId="6161" priority="726" operator="containsText" text="Sell">
      <formula>NOT(ISERROR(SEARCH("Sell",E350)))</formula>
    </cfRule>
  </conditionalFormatting>
  <conditionalFormatting sqref="E349">
    <cfRule type="containsText" dxfId="6160" priority="723" operator="containsText" text="Buy">
      <formula>NOT(ISERROR(SEARCH("Buy",E349)))</formula>
    </cfRule>
    <cfRule type="containsText" dxfId="6159" priority="724" operator="containsText" text="Sell">
      <formula>NOT(ISERROR(SEARCH("Sell",E349)))</formula>
    </cfRule>
  </conditionalFormatting>
  <conditionalFormatting sqref="E186">
    <cfRule type="containsText" dxfId="6158" priority="721" operator="containsText" text="Buy">
      <formula>NOT(ISERROR(SEARCH("Buy",E186)))</formula>
    </cfRule>
    <cfRule type="containsText" dxfId="6157" priority="722" operator="containsText" text="Sell">
      <formula>NOT(ISERROR(SEARCH("Sell",E186)))</formula>
    </cfRule>
  </conditionalFormatting>
  <conditionalFormatting sqref="E315">
    <cfRule type="containsText" dxfId="6156" priority="719" operator="containsText" text="Buy">
      <formula>NOT(ISERROR(SEARCH("Buy",E315)))</formula>
    </cfRule>
    <cfRule type="containsText" dxfId="6155" priority="720" operator="containsText" text="Sell">
      <formula>NOT(ISERROR(SEARCH("Sell",E315)))</formula>
    </cfRule>
  </conditionalFormatting>
  <conditionalFormatting sqref="E312">
    <cfRule type="containsText" dxfId="6154" priority="717" operator="containsText" text="Buy">
      <formula>NOT(ISERROR(SEARCH("Buy",E312)))</formula>
    </cfRule>
    <cfRule type="containsText" dxfId="6153" priority="718" operator="containsText" text="Sell">
      <formula>NOT(ISERROR(SEARCH("Sell",E312)))</formula>
    </cfRule>
  </conditionalFormatting>
  <conditionalFormatting sqref="E177:E178">
    <cfRule type="containsText" dxfId="6152" priority="715" operator="containsText" text="Buy">
      <formula>NOT(ISERROR(SEARCH("Buy",E177)))</formula>
    </cfRule>
    <cfRule type="containsText" dxfId="6151" priority="716" operator="containsText" text="Sell">
      <formula>NOT(ISERROR(SEARCH("Sell",E177)))</formula>
    </cfRule>
  </conditionalFormatting>
  <conditionalFormatting sqref="E174:E175">
    <cfRule type="containsText" dxfId="6150" priority="713" operator="containsText" text="Buy">
      <formula>NOT(ISERROR(SEARCH("Buy",E174)))</formula>
    </cfRule>
    <cfRule type="containsText" dxfId="6149" priority="714" operator="containsText" text="Sell">
      <formula>NOT(ISERROR(SEARCH("Sell",E174)))</formula>
    </cfRule>
  </conditionalFormatting>
  <conditionalFormatting sqref="E348">
    <cfRule type="containsText" dxfId="6148" priority="711" operator="containsText" text="Buy">
      <formula>NOT(ISERROR(SEARCH("Buy",E348)))</formula>
    </cfRule>
    <cfRule type="containsText" dxfId="6147" priority="712" operator="containsText" text="Sell">
      <formula>NOT(ISERROR(SEARCH("Sell",E348)))</formula>
    </cfRule>
  </conditionalFormatting>
  <conditionalFormatting sqref="E171:E172">
    <cfRule type="containsText" dxfId="6146" priority="709" operator="containsText" text="Buy">
      <formula>NOT(ISERROR(SEARCH("Buy",E171)))</formula>
    </cfRule>
    <cfRule type="containsText" dxfId="6145" priority="710" operator="containsText" text="Sell">
      <formula>NOT(ISERROR(SEARCH("Sell",E171)))</formula>
    </cfRule>
  </conditionalFormatting>
  <conditionalFormatting sqref="E168:E169">
    <cfRule type="containsText" dxfId="6144" priority="707" operator="containsText" text="Buy">
      <formula>NOT(ISERROR(SEARCH("Buy",E168)))</formula>
    </cfRule>
    <cfRule type="containsText" dxfId="6143" priority="708" operator="containsText" text="Sell">
      <formula>NOT(ISERROR(SEARCH("Sell",E168)))</formula>
    </cfRule>
  </conditionalFormatting>
  <conditionalFormatting sqref="E240">
    <cfRule type="containsText" dxfId="6142" priority="705" operator="containsText" text="Buy">
      <formula>NOT(ISERROR(SEARCH("Buy",E240)))</formula>
    </cfRule>
    <cfRule type="containsText" dxfId="6141" priority="706" operator="containsText" text="Sell">
      <formula>NOT(ISERROR(SEARCH("Sell",E240)))</formula>
    </cfRule>
  </conditionalFormatting>
  <conditionalFormatting sqref="E165">
    <cfRule type="containsText" dxfId="6140" priority="701" operator="containsText" text="Buy">
      <formula>NOT(ISERROR(SEARCH("Buy",E165)))</formula>
    </cfRule>
    <cfRule type="containsText" dxfId="6139" priority="702" operator="containsText" text="Sell">
      <formula>NOT(ISERROR(SEARCH("Sell",E165)))</formula>
    </cfRule>
  </conditionalFormatting>
  <conditionalFormatting sqref="E377">
    <cfRule type="containsText" dxfId="6138" priority="699" operator="containsText" text="Buy">
      <formula>NOT(ISERROR(SEARCH("Buy",E377)))</formula>
    </cfRule>
    <cfRule type="containsText" dxfId="6137" priority="700" operator="containsText" text="Sell">
      <formula>NOT(ISERROR(SEARCH("Sell",E377)))</formula>
    </cfRule>
  </conditionalFormatting>
  <conditionalFormatting sqref="E394">
    <cfRule type="containsText" dxfId="6136" priority="697" operator="containsText" text="Buy">
      <formula>NOT(ISERROR(SEARCH("Buy",E394)))</formula>
    </cfRule>
    <cfRule type="containsText" dxfId="6135" priority="698" operator="containsText" text="Sell">
      <formula>NOT(ISERROR(SEARCH("Sell",E394)))</formula>
    </cfRule>
  </conditionalFormatting>
  <conditionalFormatting sqref="E368">
    <cfRule type="containsText" dxfId="6134" priority="691" operator="containsText" text="Buy">
      <formula>NOT(ISERROR(SEARCH("Buy",E368)))</formula>
    </cfRule>
    <cfRule type="containsText" dxfId="6133" priority="692" operator="containsText" text="Sell">
      <formula>NOT(ISERROR(SEARCH("Sell",E368)))</formula>
    </cfRule>
  </conditionalFormatting>
  <conditionalFormatting sqref="E372">
    <cfRule type="containsText" dxfId="6132" priority="693" operator="containsText" text="Buy">
      <formula>NOT(ISERROR(SEARCH("Buy",E372)))</formula>
    </cfRule>
    <cfRule type="containsText" dxfId="6131" priority="694" operator="containsText" text="Sell">
      <formula>NOT(ISERROR(SEARCH("Sell",E372)))</formula>
    </cfRule>
  </conditionalFormatting>
  <conditionalFormatting sqref="E111 E148 E139 E134">
    <cfRule type="containsText" dxfId="6130" priority="689" operator="containsText" text="Buy">
      <formula>NOT(ISERROR(SEARCH("Buy",E111)))</formula>
    </cfRule>
    <cfRule type="containsText" dxfId="6129" priority="690" operator="containsText" text="Sell">
      <formula>NOT(ISERROR(SEARCH("Sell",E111)))</formula>
    </cfRule>
  </conditionalFormatting>
  <conditionalFormatting sqref="E239">
    <cfRule type="containsText" dxfId="6128" priority="687" operator="containsText" text="Buy">
      <formula>NOT(ISERROR(SEARCH("Buy",E239)))</formula>
    </cfRule>
    <cfRule type="containsText" dxfId="6127" priority="688" operator="containsText" text="Sell">
      <formula>NOT(ISERROR(SEARCH("Sell",E239)))</formula>
    </cfRule>
  </conditionalFormatting>
  <conditionalFormatting sqref="E293">
    <cfRule type="containsText" dxfId="6126" priority="685" operator="containsText" text="Buy">
      <formula>NOT(ISERROR(SEARCH("Buy",E293)))</formula>
    </cfRule>
    <cfRule type="containsText" dxfId="6125" priority="686" operator="containsText" text="Sell">
      <formula>NOT(ISERROR(SEARCH("Sell",E293)))</formula>
    </cfRule>
  </conditionalFormatting>
  <conditionalFormatting sqref="E248">
    <cfRule type="containsText" dxfId="6124" priority="683" operator="containsText" text="Buy">
      <formula>NOT(ISERROR(SEARCH("Buy",E248)))</formula>
    </cfRule>
    <cfRule type="containsText" dxfId="6123" priority="684" operator="containsText" text="Sell">
      <formula>NOT(ISERROR(SEARCH("Sell",E248)))</formula>
    </cfRule>
  </conditionalFormatting>
  <conditionalFormatting sqref="E183">
    <cfRule type="containsText" dxfId="6122" priority="681" operator="containsText" text="Buy">
      <formula>NOT(ISERROR(SEARCH("Buy",E183)))</formula>
    </cfRule>
    <cfRule type="containsText" dxfId="6121" priority="682" operator="containsText" text="Sell">
      <formula>NOT(ISERROR(SEARCH("Sell",E183)))</formula>
    </cfRule>
  </conditionalFormatting>
  <conditionalFormatting sqref="E94">
    <cfRule type="containsText" dxfId="6120" priority="679" operator="containsText" text="Buy">
      <formula>NOT(ISERROR(SEARCH("Buy",E94)))</formula>
    </cfRule>
    <cfRule type="containsText" dxfId="6119" priority="680" operator="containsText" text="Sell">
      <formula>NOT(ISERROR(SEARCH("Sell",E94)))</formula>
    </cfRule>
  </conditionalFormatting>
  <conditionalFormatting sqref="E238">
    <cfRule type="containsText" dxfId="6118" priority="671" operator="containsText" text="Buy">
      <formula>NOT(ISERROR(SEARCH("Buy",E238)))</formula>
    </cfRule>
    <cfRule type="containsText" dxfId="6117" priority="672" operator="containsText" text="Sell">
      <formula>NOT(ISERROR(SEARCH("Sell",E238)))</formula>
    </cfRule>
  </conditionalFormatting>
  <conditionalFormatting sqref="E339">
    <cfRule type="containsText" dxfId="6116" priority="677" operator="containsText" text="Buy">
      <formula>NOT(ISERROR(SEARCH("Buy",E339)))</formula>
    </cfRule>
    <cfRule type="containsText" dxfId="6115" priority="678" operator="containsText" text="Sell">
      <formula>NOT(ISERROR(SEARCH("Sell",E339)))</formula>
    </cfRule>
  </conditionalFormatting>
  <conditionalFormatting sqref="E278">
    <cfRule type="containsText" dxfId="6114" priority="663" operator="containsText" text="Buy">
      <formula>NOT(ISERROR(SEARCH("Buy",E278)))</formula>
    </cfRule>
    <cfRule type="containsText" dxfId="6113" priority="664" operator="containsText" text="Sell">
      <formula>NOT(ISERROR(SEARCH("Sell",E278)))</formula>
    </cfRule>
  </conditionalFormatting>
  <conditionalFormatting sqref="E393">
    <cfRule type="containsText" dxfId="6112" priority="675" operator="containsText" text="Buy">
      <formula>NOT(ISERROR(SEARCH("Buy",E393)))</formula>
    </cfRule>
    <cfRule type="containsText" dxfId="6111" priority="676" operator="containsText" text="Sell">
      <formula>NOT(ISERROR(SEARCH("Sell",E393)))</formula>
    </cfRule>
  </conditionalFormatting>
  <conditionalFormatting sqref="E311">
    <cfRule type="containsText" dxfId="6110" priority="669" operator="containsText" text="Buy">
      <formula>NOT(ISERROR(SEARCH("Buy",E311)))</formula>
    </cfRule>
    <cfRule type="containsText" dxfId="6109" priority="670" operator="containsText" text="Sell">
      <formula>NOT(ISERROR(SEARCH("Sell",E311)))</formula>
    </cfRule>
  </conditionalFormatting>
  <conditionalFormatting sqref="E74">
    <cfRule type="containsText" dxfId="6108" priority="641" operator="containsText" text="Buy">
      <formula>NOT(ISERROR(SEARCH("Buy",E74)))</formula>
    </cfRule>
    <cfRule type="containsText" dxfId="6107" priority="642" operator="containsText" text="Sell">
      <formula>NOT(ISERROR(SEARCH("Sell",E74)))</formula>
    </cfRule>
  </conditionalFormatting>
  <conditionalFormatting sqref="E144">
    <cfRule type="containsText" dxfId="6106" priority="665" operator="containsText" text="Buy">
      <formula>NOT(ISERROR(SEARCH("Buy",E144)))</formula>
    </cfRule>
    <cfRule type="containsText" dxfId="6105" priority="666" operator="containsText" text="Sell">
      <formula>NOT(ISERROR(SEARCH("Sell",E144)))</formula>
    </cfRule>
  </conditionalFormatting>
  <conditionalFormatting sqref="E388">
    <cfRule type="containsText" dxfId="6104" priority="667" operator="containsText" text="Buy">
      <formula>NOT(ISERROR(SEARCH("Buy",E388)))</formula>
    </cfRule>
    <cfRule type="containsText" dxfId="6103" priority="668" operator="containsText" text="Sell">
      <formula>NOT(ISERROR(SEARCH("Sell",E388)))</formula>
    </cfRule>
  </conditionalFormatting>
  <conditionalFormatting sqref="E310">
    <cfRule type="containsText" dxfId="6102" priority="649" operator="containsText" text="Buy">
      <formula>NOT(ISERROR(SEARCH("Buy",E310)))</formula>
    </cfRule>
    <cfRule type="containsText" dxfId="6101" priority="650" operator="containsText" text="Sell">
      <formula>NOT(ISERROR(SEARCH("Sell",E310)))</formula>
    </cfRule>
  </conditionalFormatting>
  <conditionalFormatting sqref="E392">
    <cfRule type="containsText" dxfId="6100" priority="661" operator="containsText" text="Buy">
      <formula>NOT(ISERROR(SEARCH("Buy",E392)))</formula>
    </cfRule>
    <cfRule type="containsText" dxfId="6099" priority="662" operator="containsText" text="Sell">
      <formula>NOT(ISERROR(SEARCH("Sell",E392)))</formula>
    </cfRule>
  </conditionalFormatting>
  <conditionalFormatting sqref="E376">
    <cfRule type="containsText" dxfId="6098" priority="659" operator="containsText" text="Buy">
      <formula>NOT(ISERROR(SEARCH("Buy",E376)))</formula>
    </cfRule>
    <cfRule type="containsText" dxfId="6097" priority="660" operator="containsText" text="Sell">
      <formula>NOT(ISERROR(SEARCH("Sell",E376)))</formula>
    </cfRule>
  </conditionalFormatting>
  <conditionalFormatting sqref="E152">
    <cfRule type="containsText" dxfId="6096" priority="657" operator="containsText" text="Buy">
      <formula>NOT(ISERROR(SEARCH("Buy",E152)))</formula>
    </cfRule>
    <cfRule type="containsText" dxfId="6095" priority="658" operator="containsText" text="Sell">
      <formula>NOT(ISERROR(SEARCH("Sell",E152)))</formula>
    </cfRule>
  </conditionalFormatting>
  <conditionalFormatting sqref="E268">
    <cfRule type="containsText" dxfId="6094" priority="645" operator="containsText" text="Buy">
      <formula>NOT(ISERROR(SEARCH("Buy",E268)))</formula>
    </cfRule>
    <cfRule type="containsText" dxfId="6093" priority="646" operator="containsText" text="Sell">
      <formula>NOT(ISERROR(SEARCH("Sell",E268)))</formula>
    </cfRule>
  </conditionalFormatting>
  <conditionalFormatting sqref="E198">
    <cfRule type="containsText" dxfId="6092" priority="643" operator="containsText" text="Buy">
      <formula>NOT(ISERROR(SEARCH("Buy",E198)))</formula>
    </cfRule>
    <cfRule type="containsText" dxfId="6091" priority="644" operator="containsText" text="Sell">
      <formula>NOT(ISERROR(SEARCH("Sell",E198)))</formula>
    </cfRule>
  </conditionalFormatting>
  <conditionalFormatting sqref="E338">
    <cfRule type="containsText" dxfId="6090" priority="651" operator="containsText" text="Buy">
      <formula>NOT(ISERROR(SEARCH("Buy",E338)))</formula>
    </cfRule>
    <cfRule type="containsText" dxfId="6089" priority="652" operator="containsText" text="Sell">
      <formula>NOT(ISERROR(SEARCH("Sell",E338)))</formula>
    </cfRule>
  </conditionalFormatting>
  <conditionalFormatting sqref="E309">
    <cfRule type="containsText" dxfId="6088" priority="647" operator="containsText" text="Buy">
      <formula>NOT(ISERROR(SEARCH("Buy",E309)))</formula>
    </cfRule>
    <cfRule type="containsText" dxfId="6087" priority="648" operator="containsText" text="Sell">
      <formula>NOT(ISERROR(SEARCH("Sell",E309)))</formula>
    </cfRule>
  </conditionalFormatting>
  <conditionalFormatting sqref="E230">
    <cfRule type="containsText" dxfId="6086" priority="609" operator="containsText" text="Buy">
      <formula>NOT(ISERROR(SEARCH("Buy",E230)))</formula>
    </cfRule>
    <cfRule type="containsText" dxfId="6085" priority="610" operator="containsText" text="Sell">
      <formula>NOT(ISERROR(SEARCH("Sell",E230)))</formula>
    </cfRule>
  </conditionalFormatting>
  <conditionalFormatting sqref="E180">
    <cfRule type="containsText" dxfId="6084" priority="629" operator="containsText" text="Buy">
      <formula>NOT(ISERROR(SEARCH("Buy",E180)))</formula>
    </cfRule>
    <cfRule type="containsText" dxfId="6083" priority="630" operator="containsText" text="Sell">
      <formula>NOT(ISERROR(SEARCH("Sell",E180)))</formula>
    </cfRule>
  </conditionalFormatting>
  <conditionalFormatting sqref="E120">
    <cfRule type="containsText" dxfId="6082" priority="635" operator="containsText" text="Buy">
      <formula>NOT(ISERROR(SEARCH("Buy",E120)))</formula>
    </cfRule>
    <cfRule type="containsText" dxfId="6081" priority="636" operator="containsText" text="Sell">
      <formula>NOT(ISERROR(SEARCH("Sell",E120)))</formula>
    </cfRule>
  </conditionalFormatting>
  <conditionalFormatting sqref="E258:E260">
    <cfRule type="containsText" dxfId="6080" priority="615" operator="containsText" text="Buy">
      <formula>NOT(ISERROR(SEARCH("Buy",E258)))</formula>
    </cfRule>
    <cfRule type="containsText" dxfId="6079" priority="616" operator="containsText" text="Sell">
      <formula>NOT(ISERROR(SEARCH("Sell",E258)))</formula>
    </cfRule>
  </conditionalFormatting>
  <conditionalFormatting sqref="E117">
    <cfRule type="containsText" dxfId="6078" priority="637" operator="containsText" text="Buy">
      <formula>NOT(ISERROR(SEARCH("Buy",E117)))</formula>
    </cfRule>
    <cfRule type="containsText" dxfId="6077" priority="638" operator="containsText" text="Sell">
      <formula>NOT(ISERROR(SEARCH("Sell",E117)))</formula>
    </cfRule>
  </conditionalFormatting>
  <conditionalFormatting sqref="E129">
    <cfRule type="containsText" dxfId="6076" priority="631" operator="containsText" text="Buy">
      <formula>NOT(ISERROR(SEARCH("Buy",E129)))</formula>
    </cfRule>
    <cfRule type="containsText" dxfId="6075" priority="632" operator="containsText" text="Sell">
      <formula>NOT(ISERROR(SEARCH("Sell",E129)))</formula>
    </cfRule>
  </conditionalFormatting>
  <conditionalFormatting sqref="E125">
    <cfRule type="containsText" dxfId="6074" priority="633" operator="containsText" text="Buy">
      <formula>NOT(ISERROR(SEARCH("Buy",E125)))</formula>
    </cfRule>
    <cfRule type="containsText" dxfId="6073" priority="634" operator="containsText" text="Sell">
      <formula>NOT(ISERROR(SEARCH("Sell",E125)))</formula>
    </cfRule>
  </conditionalFormatting>
  <conditionalFormatting sqref="E218">
    <cfRule type="containsText" dxfId="6072" priority="597" operator="containsText" text="Buy">
      <formula>NOT(ISERROR(SEARCH("Buy",E218)))</formula>
    </cfRule>
    <cfRule type="containsText" dxfId="6071" priority="598" operator="containsText" text="Sell">
      <formula>NOT(ISERROR(SEARCH("Sell",E218)))</formula>
    </cfRule>
  </conditionalFormatting>
  <conditionalFormatting sqref="E236">
    <cfRule type="containsText" dxfId="6070" priority="611" operator="containsText" text="Buy">
      <formula>NOT(ISERROR(SEARCH("Buy",E236)))</formula>
    </cfRule>
    <cfRule type="containsText" dxfId="6069" priority="612" operator="containsText" text="Sell">
      <formula>NOT(ISERROR(SEARCH("Sell",E236)))</formula>
    </cfRule>
  </conditionalFormatting>
  <conditionalFormatting sqref="E342">
    <cfRule type="containsText" dxfId="6068" priority="593" operator="containsText" text="Buy">
      <formula>NOT(ISERROR(SEARCH("Buy",E342)))</formula>
    </cfRule>
    <cfRule type="containsText" dxfId="6067" priority="594" operator="containsText" text="Sell">
      <formula>NOT(ISERROR(SEARCH("Sell",E342)))</formula>
    </cfRule>
  </conditionalFormatting>
  <conditionalFormatting sqref="E345">
    <cfRule type="containsText" dxfId="6066" priority="627" operator="containsText" text="Buy">
      <formula>NOT(ISERROR(SEARCH("Buy",E345)))</formula>
    </cfRule>
    <cfRule type="containsText" dxfId="6065" priority="628" operator="containsText" text="Sell">
      <formula>NOT(ISERROR(SEARCH("Sell",E345)))</formula>
    </cfRule>
  </conditionalFormatting>
  <conditionalFormatting sqref="E89">
    <cfRule type="containsText" dxfId="6064" priority="595" operator="containsText" text="Buy">
      <formula>NOT(ISERROR(SEARCH("Buy",E89)))</formula>
    </cfRule>
    <cfRule type="containsText" dxfId="6063" priority="596" operator="containsText" text="Sell">
      <formula>NOT(ISERROR(SEARCH("Sell",E89)))</formula>
    </cfRule>
  </conditionalFormatting>
  <conditionalFormatting sqref="E343">
    <cfRule type="containsText" dxfId="6062" priority="599" operator="containsText" text="Buy">
      <formula>NOT(ISERROR(SEARCH("Buy",E343)))</formula>
    </cfRule>
    <cfRule type="containsText" dxfId="6061" priority="600" operator="containsText" text="Sell">
      <formula>NOT(ISERROR(SEARCH("Sell",E343)))</formula>
    </cfRule>
  </conditionalFormatting>
  <conditionalFormatting sqref="E162">
    <cfRule type="containsText" dxfId="6060" priority="621" operator="containsText" text="Buy">
      <formula>NOT(ISERROR(SEARCH("Buy",E162)))</formula>
    </cfRule>
    <cfRule type="containsText" dxfId="6059" priority="622" operator="containsText" text="Sell">
      <formula>NOT(ISERROR(SEARCH("Sell",E162)))</formula>
    </cfRule>
  </conditionalFormatting>
  <conditionalFormatting sqref="E184:E185">
    <cfRule type="containsText" dxfId="6058" priority="617" operator="containsText" text="Buy">
      <formula>NOT(ISERROR(SEARCH("Buy",E184)))</formula>
    </cfRule>
    <cfRule type="containsText" dxfId="6057" priority="618" operator="containsText" text="Sell">
      <formula>NOT(ISERROR(SEARCH("Sell",E184)))</formula>
    </cfRule>
  </conditionalFormatting>
  <conditionalFormatting sqref="E237">
    <cfRule type="containsText" dxfId="6056" priority="613" operator="containsText" text="Buy">
      <formula>NOT(ISERROR(SEARCH("Buy",E237)))</formula>
    </cfRule>
    <cfRule type="containsText" dxfId="6055" priority="614" operator="containsText" text="Sell">
      <formula>NOT(ISERROR(SEARCH("Sell",E237)))</formula>
    </cfRule>
  </conditionalFormatting>
  <conditionalFormatting sqref="E235">
    <cfRule type="containsText" dxfId="6054" priority="607" operator="containsText" text="Buy">
      <formula>NOT(ISERROR(SEARCH("Buy",E235)))</formula>
    </cfRule>
    <cfRule type="containsText" dxfId="6053" priority="608" operator="containsText" text="Sell">
      <formula>NOT(ISERROR(SEARCH("Sell",E235)))</formula>
    </cfRule>
  </conditionalFormatting>
  <conditionalFormatting sqref="E234">
    <cfRule type="containsText" dxfId="6052" priority="605" operator="containsText" text="Buy">
      <formula>NOT(ISERROR(SEARCH("Buy",E234)))</formula>
    </cfRule>
    <cfRule type="containsText" dxfId="6051" priority="606" operator="containsText" text="Sell">
      <formula>NOT(ISERROR(SEARCH("Sell",E234)))</formula>
    </cfRule>
  </conditionalFormatting>
  <conditionalFormatting sqref="E344">
    <cfRule type="containsText" dxfId="6050" priority="603" operator="containsText" text="Buy">
      <formula>NOT(ISERROR(SEARCH("Buy",E344)))</formula>
    </cfRule>
    <cfRule type="containsText" dxfId="6049" priority="604" operator="containsText" text="Sell">
      <formula>NOT(ISERROR(SEARCH("Sell",E344)))</formula>
    </cfRule>
  </conditionalFormatting>
  <conditionalFormatting sqref="E219:E220">
    <cfRule type="containsText" dxfId="6048" priority="601" operator="containsText" text="Buy">
      <formula>NOT(ISERROR(SEARCH("Buy",E219)))</formula>
    </cfRule>
    <cfRule type="containsText" dxfId="6047" priority="602" operator="containsText" text="Sell">
      <formula>NOT(ISERROR(SEARCH("Sell",E219)))</formula>
    </cfRule>
  </conditionalFormatting>
  <conditionalFormatting sqref="V4:Z4">
    <cfRule type="dataBar" priority="5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{558C18A3-4E7D-4F4A-BA8F-E44D282D1F67}</x14:id>
        </ext>
      </extLst>
    </cfRule>
  </conditionalFormatting>
  <conditionalFormatting sqref="V4:Z4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{94A8B308-7118-45E8-8AD4-409DA84025A2}</x14:id>
        </ext>
      </extLst>
    </cfRule>
  </conditionalFormatting>
  <conditionalFormatting sqref="AA4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{C52D8F8E-9252-4C9B-8331-50EF88B8B9BD}</x14:id>
        </ext>
      </extLst>
    </cfRule>
  </conditionalFormatting>
  <conditionalFormatting sqref="V4">
    <cfRule type="dataBar" priority="5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{41647AED-18A7-48F6-89C3-0F44482BA737}</x14:id>
        </ext>
      </extLst>
    </cfRule>
  </conditionalFormatting>
  <conditionalFormatting sqref="W4">
    <cfRule type="dataBar" priority="5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{458E31C0-B9A0-44F3-8031-C40763788FF7}</x14:id>
        </ext>
      </extLst>
    </cfRule>
  </conditionalFormatting>
  <conditionalFormatting sqref="X4">
    <cfRule type="dataBar" priority="5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{1A914846-64D6-4904-AEDC-0ACB3BA943D6}</x14:id>
        </ext>
      </extLst>
    </cfRule>
  </conditionalFormatting>
  <conditionalFormatting sqref="Y4">
    <cfRule type="dataBar" priority="5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{BE2C7719-D418-43C9-80B5-14C180333911}</x14:id>
        </ext>
      </extLst>
    </cfRule>
  </conditionalFormatting>
  <conditionalFormatting sqref="Z4">
    <cfRule type="dataBar" priority="5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{EB5DE692-6E57-41CD-8587-EF1692921017}</x14:id>
        </ext>
      </extLst>
    </cfRule>
  </conditionalFormatting>
  <conditionalFormatting sqref="AA4">
    <cfRule type="dataBar" priority="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{0E154AF8-E4E6-48A1-8667-907783E518B2}</x14:id>
        </ext>
      </extLst>
    </cfRule>
  </conditionalFormatting>
  <conditionalFormatting sqref="AA4">
    <cfRule type="dataBar" priority="5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{26B434F9-F8D0-435A-A5A9-06282F2C3370}</x14:id>
        </ext>
      </extLst>
    </cfRule>
  </conditionalFormatting>
  <conditionalFormatting sqref="V4:Z4">
    <cfRule type="dataBar" priority="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{5BE1623E-B09B-421A-AA1E-162D94E9B015}</x14:id>
        </ext>
      </extLst>
    </cfRule>
  </conditionalFormatting>
  <conditionalFormatting sqref="AB4">
    <cfRule type="dataBar" priority="5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{A4679BEF-0021-4A7A-9348-8AC8A418A786}</x14:id>
        </ext>
      </extLst>
    </cfRule>
  </conditionalFormatting>
  <conditionalFormatting sqref="V4:AA4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{7527D373-36E7-4C6B-B2AF-C53ED9630883}</x14:id>
        </ext>
      </extLst>
    </cfRule>
  </conditionalFormatting>
  <conditionalFormatting sqref="E79">
    <cfRule type="containsText" dxfId="6046" priority="546" operator="containsText" text="Buy">
      <formula>NOT(ISERROR(SEARCH("Buy",E79)))</formula>
    </cfRule>
    <cfRule type="containsText" dxfId="6045" priority="547" operator="containsText" text="Sell">
      <formula>NOT(ISERROR(SEARCH("Sell",E79)))</formula>
    </cfRule>
  </conditionalFormatting>
  <conditionalFormatting sqref="E83">
    <cfRule type="containsText" dxfId="6044" priority="548" operator="containsText" text="Buy">
      <formula>NOT(ISERROR(SEARCH("Buy",E83)))</formula>
    </cfRule>
    <cfRule type="containsText" dxfId="6043" priority="549" operator="containsText" text="Sell">
      <formula>NOT(ISERROR(SEARCH("Sell",E83)))</formula>
    </cfRule>
  </conditionalFormatting>
  <conditionalFormatting sqref="E225">
    <cfRule type="containsText" dxfId="6042" priority="552" operator="containsText" text="Buy">
      <formula>NOT(ISERROR(SEARCH("Buy",E225)))</formula>
    </cfRule>
    <cfRule type="containsText" dxfId="6041" priority="553" operator="containsText" text="Sell">
      <formula>NOT(ISERROR(SEARCH("Sell",E225)))</formula>
    </cfRule>
  </conditionalFormatting>
  <conditionalFormatting sqref="E229">
    <cfRule type="containsText" dxfId="6040" priority="550" operator="containsText" text="Buy">
      <formula>NOT(ISERROR(SEARCH("Buy",E229)))</formula>
    </cfRule>
    <cfRule type="containsText" dxfId="6039" priority="551" operator="containsText" text="Sell">
      <formula>NOT(ISERROR(SEARCH("Sell",E229)))</formula>
    </cfRule>
  </conditionalFormatting>
  <conditionalFormatting sqref="E102">
    <cfRule type="containsText" dxfId="6038" priority="540" operator="containsText" text="Buy">
      <formula>NOT(ISERROR(SEARCH("Buy",E102)))</formula>
    </cfRule>
    <cfRule type="containsText" dxfId="6037" priority="541" operator="containsText" text="Sell">
      <formula>NOT(ISERROR(SEARCH("Sell",E102)))</formula>
    </cfRule>
  </conditionalFormatting>
  <conditionalFormatting sqref="E224">
    <cfRule type="containsText" dxfId="6036" priority="544" operator="containsText" text="Buy">
      <formula>NOT(ISERROR(SEARCH("Buy",E224)))</formula>
    </cfRule>
    <cfRule type="containsText" dxfId="6035" priority="545" operator="containsText" text="Sell">
      <formula>NOT(ISERROR(SEARCH("Sell",E224)))</formula>
    </cfRule>
  </conditionalFormatting>
  <conditionalFormatting sqref="E105">
    <cfRule type="containsText" dxfId="6034" priority="542" operator="containsText" text="Buy">
      <formula>NOT(ISERROR(SEARCH("Buy",E105)))</formula>
    </cfRule>
    <cfRule type="containsText" dxfId="6033" priority="543" operator="containsText" text="Sell">
      <formula>NOT(ISERROR(SEARCH("Sell",E105)))</formula>
    </cfRule>
  </conditionalFormatting>
  <conditionalFormatting sqref="V5:Z5">
    <cfRule type="dataBar" priority="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{A7126F5C-24EC-4905-B191-A6A42502EAAD}</x14:id>
        </ext>
      </extLst>
    </cfRule>
  </conditionalFormatting>
  <conditionalFormatting sqref="V5:Z5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{70FE9A8F-C212-4269-BA5C-C61981908114}</x14:id>
        </ext>
      </extLst>
    </cfRule>
  </conditionalFormatting>
  <conditionalFormatting sqref="AA5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{D0B86E00-6CB8-40D1-A627-48245F898C63}</x14:id>
        </ext>
      </extLst>
    </cfRule>
  </conditionalFormatting>
  <conditionalFormatting sqref="V5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{4C1157E9-B690-4E94-82DC-4BF3E939986B}</x14:id>
        </ext>
      </extLst>
    </cfRule>
  </conditionalFormatting>
  <conditionalFormatting sqref="W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{DE6870B8-76E5-4C88-9858-99CB85732864}</x14:id>
        </ext>
      </extLst>
    </cfRule>
  </conditionalFormatting>
  <conditionalFormatting sqref="X5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{A6AC611A-0C16-4956-832D-0E6577820EDD}</x14:id>
        </ext>
      </extLst>
    </cfRule>
  </conditionalFormatting>
  <conditionalFormatting sqref="Y5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{B4666F52-DFFB-4DF9-B0F5-A6974B37F8C3}</x14:id>
        </ext>
      </extLst>
    </cfRule>
  </conditionalFormatting>
  <conditionalFormatting sqref="Z5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{38AC35CE-085F-41E5-8376-D4ED57008D53}</x14:id>
        </ext>
      </extLst>
    </cfRule>
  </conditionalFormatting>
  <conditionalFormatting sqref="AA5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{6D596AAA-5F02-4B96-8E96-8D37AE5967BB}</x14:id>
        </ext>
      </extLst>
    </cfRule>
  </conditionalFormatting>
  <conditionalFormatting sqref="AA5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{D47D59DA-33C9-4890-810E-CC806DBD5BCA}</x14:id>
        </ext>
      </extLst>
    </cfRule>
  </conditionalFormatting>
  <conditionalFormatting sqref="AB5">
    <cfRule type="dataBar" priority="5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{8E89F392-E0BA-4853-8A12-8F676159A513}</x14:id>
        </ext>
      </extLst>
    </cfRule>
  </conditionalFormatting>
  <conditionalFormatting sqref="V5:AA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{0BB3486E-ADDD-40DC-A9AE-9EBB414F016C}</x14:id>
        </ext>
      </extLst>
    </cfRule>
  </conditionalFormatting>
  <conditionalFormatting sqref="V5:Z5">
    <cfRule type="dataBar" priority="5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{BCD8862C-A169-4BC2-8493-86C396CDBF41}</x14:id>
        </ext>
      </extLst>
    </cfRule>
  </conditionalFormatting>
  <conditionalFormatting sqref="AC5">
    <cfRule type="dataBar" priority="5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{69AE10D0-6100-4792-AFD3-CBB3BFB9E25D}</x14:id>
        </ext>
      </extLst>
    </cfRule>
  </conditionalFormatting>
  <conditionalFormatting sqref="AC5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{EE38619B-684F-4B7D-84A1-14B533143172}</x14:id>
        </ext>
      </extLst>
    </cfRule>
  </conditionalFormatting>
  <conditionalFormatting sqref="AC5">
    <cfRule type="dataBar" priority="5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{35ECDE09-083F-4884-AE5A-6FAF77BD4920}</x14:id>
        </ext>
      </extLst>
    </cfRule>
  </conditionalFormatting>
  <conditionalFormatting sqref="AC5">
    <cfRule type="dataBar" priority="5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{964A8EF4-50B6-49DD-9EC4-CB388DFCB698}</x14:id>
        </ext>
      </extLst>
    </cfRule>
  </conditionalFormatting>
  <conditionalFormatting sqref="E64:E65">
    <cfRule type="containsText" dxfId="6032" priority="497" operator="containsText" text="Buy">
      <formula>NOT(ISERROR(SEARCH("Buy",E64)))</formula>
    </cfRule>
    <cfRule type="containsText" dxfId="6031" priority="498" operator="containsText" text="Sell">
      <formula>NOT(ISERROR(SEARCH("Sell",E64)))</formula>
    </cfRule>
  </conditionalFormatting>
  <conditionalFormatting sqref="E66:E67 E71">
    <cfRule type="containsText" dxfId="6030" priority="499" operator="containsText" text="Buy">
      <formula>NOT(ISERROR(SEARCH("Buy",E66)))</formula>
    </cfRule>
    <cfRule type="containsText" dxfId="6029" priority="500" operator="containsText" text="Sell">
      <formula>NOT(ISERROR(SEARCH("Sell",E66)))</formula>
    </cfRule>
  </conditionalFormatting>
  <conditionalFormatting sqref="AA13:AA14 AA7:AA8">
    <cfRule type="dataBar" priority="9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{AC761FAF-3816-4C67-BAE8-A5EAAA25D215}</x14:id>
        </ext>
      </extLst>
    </cfRule>
  </conditionalFormatting>
  <conditionalFormatting sqref="V13:Z14 V6:Z9"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{F599FD78-87D5-40A5-91FE-2AEEFC9781DF}</x14:id>
        </ext>
      </extLst>
    </cfRule>
  </conditionalFormatting>
  <conditionalFormatting sqref="V7:Z8">
    <cfRule type="dataBar" priority="9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{8C8D2FDB-667F-4F18-B150-E20FC783ACF6}</x14:id>
        </ext>
      </extLst>
    </cfRule>
  </conditionalFormatting>
  <conditionalFormatting sqref="AA6">
    <cfRule type="dataBar" priority="9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{EE444A82-0C31-4F8A-B6AF-2EF484C42FEA}</x14:id>
        </ext>
      </extLst>
    </cfRule>
  </conditionalFormatting>
  <conditionalFormatting sqref="E85">
    <cfRule type="containsText" dxfId="6028" priority="477" operator="containsText" text="Buy">
      <formula>NOT(ISERROR(SEARCH("Buy",E85)))</formula>
    </cfRule>
    <cfRule type="containsText" dxfId="6027" priority="478" operator="containsText" text="Sell">
      <formula>NOT(ISERROR(SEARCH("Sell",E85)))</formula>
    </cfRule>
  </conditionalFormatting>
  <conditionalFormatting sqref="E75:E76">
    <cfRule type="containsText" dxfId="6026" priority="493" operator="containsText" text="Buy">
      <formula>NOT(ISERROR(SEARCH("Buy",E75)))</formula>
    </cfRule>
    <cfRule type="containsText" dxfId="6025" priority="494" operator="containsText" text="Sell">
      <formula>NOT(ISERROR(SEARCH("Sell",E75)))</formula>
    </cfRule>
  </conditionalFormatting>
  <conditionalFormatting sqref="E78">
    <cfRule type="containsText" dxfId="6024" priority="495" operator="containsText" text="Buy">
      <formula>NOT(ISERROR(SEARCH("Buy",E78)))</formula>
    </cfRule>
    <cfRule type="containsText" dxfId="6023" priority="496" operator="containsText" text="Sell">
      <formula>NOT(ISERROR(SEARCH("Sell",E78)))</formula>
    </cfRule>
  </conditionalFormatting>
  <conditionalFormatting sqref="E77">
    <cfRule type="containsText" dxfId="6022" priority="491" operator="containsText" text="Buy">
      <formula>NOT(ISERROR(SEARCH("Buy",E77)))</formula>
    </cfRule>
    <cfRule type="containsText" dxfId="6021" priority="492" operator="containsText" text="Sell">
      <formula>NOT(ISERROR(SEARCH("Sell",E77)))</formula>
    </cfRule>
  </conditionalFormatting>
  <conditionalFormatting sqref="E81">
    <cfRule type="containsText" dxfId="6020" priority="481" operator="containsText" text="Buy">
      <formula>NOT(ISERROR(SEARCH("Buy",E81)))</formula>
    </cfRule>
    <cfRule type="containsText" dxfId="6019" priority="482" operator="containsText" text="Sell">
      <formula>NOT(ISERROR(SEARCH("Sell",E81)))</formula>
    </cfRule>
  </conditionalFormatting>
  <conditionalFormatting sqref="E86">
    <cfRule type="containsText" dxfId="6018" priority="475" operator="containsText" text="Buy">
      <formula>NOT(ISERROR(SEARCH("Buy",E86)))</formula>
    </cfRule>
    <cfRule type="containsText" dxfId="6017" priority="476" operator="containsText" text="Sell">
      <formula>NOT(ISERROR(SEARCH("Sell",E86)))</formula>
    </cfRule>
  </conditionalFormatting>
  <conditionalFormatting sqref="E82">
    <cfRule type="containsText" dxfId="6016" priority="485" operator="containsText" text="Buy">
      <formula>NOT(ISERROR(SEARCH("Buy",E82)))</formula>
    </cfRule>
    <cfRule type="containsText" dxfId="6015" priority="486" operator="containsText" text="Sell">
      <formula>NOT(ISERROR(SEARCH("Sell",E82)))</formula>
    </cfRule>
  </conditionalFormatting>
  <conditionalFormatting sqref="E80">
    <cfRule type="containsText" dxfId="6014" priority="483" operator="containsText" text="Buy">
      <formula>NOT(ISERROR(SEARCH("Buy",E80)))</formula>
    </cfRule>
    <cfRule type="containsText" dxfId="6013" priority="484" operator="containsText" text="Sell">
      <formula>NOT(ISERROR(SEARCH("Sell",E80)))</formula>
    </cfRule>
  </conditionalFormatting>
  <conditionalFormatting sqref="E87">
    <cfRule type="containsText" dxfId="6012" priority="473" operator="containsText" text="Buy">
      <formula>NOT(ISERROR(SEARCH("Buy",E87)))</formula>
    </cfRule>
    <cfRule type="containsText" dxfId="6011" priority="474" operator="containsText" text="Sell">
      <formula>NOT(ISERROR(SEARCH("Sell",E87)))</formula>
    </cfRule>
  </conditionalFormatting>
  <conditionalFormatting sqref="E90">
    <cfRule type="containsText" dxfId="6010" priority="467" operator="containsText" text="Buy">
      <formula>NOT(ISERROR(SEARCH("Buy",E90)))</formula>
    </cfRule>
    <cfRule type="containsText" dxfId="6009" priority="468" operator="containsText" text="Sell">
      <formula>NOT(ISERROR(SEARCH("Sell",E90)))</formula>
    </cfRule>
  </conditionalFormatting>
  <conditionalFormatting sqref="E88">
    <cfRule type="containsText" dxfId="6008" priority="479" operator="containsText" text="Buy">
      <formula>NOT(ISERROR(SEARCH("Buy",E88)))</formula>
    </cfRule>
    <cfRule type="containsText" dxfId="6007" priority="480" operator="containsText" text="Sell">
      <formula>NOT(ISERROR(SEARCH("Sell",E88)))</formula>
    </cfRule>
  </conditionalFormatting>
  <conditionalFormatting sqref="E91">
    <cfRule type="containsText" dxfId="6006" priority="465" operator="containsText" text="Buy">
      <formula>NOT(ISERROR(SEARCH("Buy",E91)))</formula>
    </cfRule>
    <cfRule type="containsText" dxfId="6005" priority="466" operator="containsText" text="Sell">
      <formula>NOT(ISERROR(SEARCH("Sell",E91)))</formula>
    </cfRule>
  </conditionalFormatting>
  <conditionalFormatting sqref="E84">
    <cfRule type="containsText" dxfId="6004" priority="471" operator="containsText" text="Buy">
      <formula>NOT(ISERROR(SEARCH("Buy",E84)))</formula>
    </cfRule>
    <cfRule type="containsText" dxfId="6003" priority="472" operator="containsText" text="Sell">
      <formula>NOT(ISERROR(SEARCH("Sell",E84)))</formula>
    </cfRule>
  </conditionalFormatting>
  <conditionalFormatting sqref="E92">
    <cfRule type="containsText" dxfId="6002" priority="463" operator="containsText" text="Buy">
      <formula>NOT(ISERROR(SEARCH("Buy",E92)))</formula>
    </cfRule>
    <cfRule type="containsText" dxfId="6001" priority="464" operator="containsText" text="Sell">
      <formula>NOT(ISERROR(SEARCH("Sell",E92)))</formula>
    </cfRule>
  </conditionalFormatting>
  <conditionalFormatting sqref="E118">
    <cfRule type="containsText" dxfId="6000" priority="423" operator="containsText" text="Buy">
      <formula>NOT(ISERROR(SEARCH("Buy",E118)))</formula>
    </cfRule>
    <cfRule type="containsText" dxfId="5999" priority="424" operator="containsText" text="Sell">
      <formula>NOT(ISERROR(SEARCH("Sell",E118)))</formula>
    </cfRule>
  </conditionalFormatting>
  <conditionalFormatting sqref="E93">
    <cfRule type="containsText" dxfId="5998" priority="469" operator="containsText" text="Buy">
      <formula>NOT(ISERROR(SEARCH("Buy",E93)))</formula>
    </cfRule>
    <cfRule type="containsText" dxfId="5997" priority="470" operator="containsText" text="Sell">
      <formula>NOT(ISERROR(SEARCH("Sell",E93)))</formula>
    </cfRule>
  </conditionalFormatting>
  <conditionalFormatting sqref="E122">
    <cfRule type="containsText" dxfId="5996" priority="421" operator="containsText" text="Buy">
      <formula>NOT(ISERROR(SEARCH("Buy",E122)))</formula>
    </cfRule>
    <cfRule type="containsText" dxfId="5995" priority="422" operator="containsText" text="Sell">
      <formula>NOT(ISERROR(SEARCH("Sell",E122)))</formula>
    </cfRule>
  </conditionalFormatting>
  <conditionalFormatting sqref="E97">
    <cfRule type="containsText" dxfId="5994" priority="455" operator="containsText" text="Buy">
      <formula>NOT(ISERROR(SEARCH("Buy",E97)))</formula>
    </cfRule>
    <cfRule type="containsText" dxfId="5993" priority="456" operator="containsText" text="Sell">
      <formula>NOT(ISERROR(SEARCH("Sell",E97)))</formula>
    </cfRule>
  </conditionalFormatting>
  <conditionalFormatting sqref="E95">
    <cfRule type="containsText" dxfId="5992" priority="459" operator="containsText" text="Buy">
      <formula>NOT(ISERROR(SEARCH("Buy",E95)))</formula>
    </cfRule>
    <cfRule type="containsText" dxfId="5991" priority="460" operator="containsText" text="Sell">
      <formula>NOT(ISERROR(SEARCH("Sell",E95)))</formula>
    </cfRule>
  </conditionalFormatting>
  <conditionalFormatting sqref="E101">
    <cfRule type="containsText" dxfId="5990" priority="461" operator="containsText" text="Buy">
      <formula>NOT(ISERROR(SEARCH("Buy",E101)))</formula>
    </cfRule>
    <cfRule type="containsText" dxfId="5989" priority="462" operator="containsText" text="Sell">
      <formula>NOT(ISERROR(SEARCH("Sell",E101)))</formula>
    </cfRule>
  </conditionalFormatting>
  <conditionalFormatting sqref="E96">
    <cfRule type="containsText" dxfId="5988" priority="457" operator="containsText" text="Buy">
      <formula>NOT(ISERROR(SEARCH("Buy",E96)))</formula>
    </cfRule>
    <cfRule type="containsText" dxfId="5987" priority="458" operator="containsText" text="Sell">
      <formula>NOT(ISERROR(SEARCH("Sell",E96)))</formula>
    </cfRule>
  </conditionalFormatting>
  <conditionalFormatting sqref="E100">
    <cfRule type="containsText" dxfId="5986" priority="449" operator="containsText" text="Buy">
      <formula>NOT(ISERROR(SEARCH("Buy",E100)))</formula>
    </cfRule>
    <cfRule type="containsText" dxfId="5985" priority="450" operator="containsText" text="Sell">
      <formula>NOT(ISERROR(SEARCH("Sell",E100)))</formula>
    </cfRule>
  </conditionalFormatting>
  <conditionalFormatting sqref="E98">
    <cfRule type="containsText" dxfId="5984" priority="453" operator="containsText" text="Buy">
      <formula>NOT(ISERROR(SEARCH("Buy",E98)))</formula>
    </cfRule>
    <cfRule type="containsText" dxfId="5983" priority="454" operator="containsText" text="Sell">
      <formula>NOT(ISERROR(SEARCH("Sell",E98)))</formula>
    </cfRule>
  </conditionalFormatting>
  <conditionalFormatting sqref="E99">
    <cfRule type="containsText" dxfId="5982" priority="451" operator="containsText" text="Buy">
      <formula>NOT(ISERROR(SEARCH("Buy",E99)))</formula>
    </cfRule>
    <cfRule type="containsText" dxfId="5981" priority="452" operator="containsText" text="Sell">
      <formula>NOT(ISERROR(SEARCH("Sell",E99)))</formula>
    </cfRule>
  </conditionalFormatting>
  <conditionalFormatting sqref="E104">
    <cfRule type="containsText" dxfId="5980" priority="447" operator="containsText" text="Buy">
      <formula>NOT(ISERROR(SEARCH("Buy",E104)))</formula>
    </cfRule>
    <cfRule type="containsText" dxfId="5979" priority="448" operator="containsText" text="Sell">
      <formula>NOT(ISERROR(SEARCH("Sell",E104)))</formula>
    </cfRule>
  </conditionalFormatting>
  <conditionalFormatting sqref="E103">
    <cfRule type="containsText" dxfId="5978" priority="445" operator="containsText" text="Buy">
      <formula>NOT(ISERROR(SEARCH("Buy",E103)))</formula>
    </cfRule>
    <cfRule type="containsText" dxfId="5977" priority="446" operator="containsText" text="Sell">
      <formula>NOT(ISERROR(SEARCH("Sell",E103)))</formula>
    </cfRule>
  </conditionalFormatting>
  <conditionalFormatting sqref="E106">
    <cfRule type="containsText" dxfId="5976" priority="441" operator="containsText" text="Buy">
      <formula>NOT(ISERROR(SEARCH("Buy",E106)))</formula>
    </cfRule>
    <cfRule type="containsText" dxfId="5975" priority="442" operator="containsText" text="Sell">
      <formula>NOT(ISERROR(SEARCH("Sell",E106)))</formula>
    </cfRule>
  </conditionalFormatting>
  <conditionalFormatting sqref="E110">
    <cfRule type="containsText" dxfId="5974" priority="443" operator="containsText" text="Buy">
      <formula>NOT(ISERROR(SEARCH("Buy",E110)))</formula>
    </cfRule>
    <cfRule type="containsText" dxfId="5973" priority="444" operator="containsText" text="Sell">
      <formula>NOT(ISERROR(SEARCH("Sell",E110)))</formula>
    </cfRule>
  </conditionalFormatting>
  <conditionalFormatting sqref="E109">
    <cfRule type="containsText" dxfId="5972" priority="435" operator="containsText" text="Buy">
      <formula>NOT(ISERROR(SEARCH("Buy",E109)))</formula>
    </cfRule>
    <cfRule type="containsText" dxfId="5971" priority="436" operator="containsText" text="Sell">
      <formula>NOT(ISERROR(SEARCH("Sell",E109)))</formula>
    </cfRule>
  </conditionalFormatting>
  <conditionalFormatting sqref="E107">
    <cfRule type="containsText" dxfId="5970" priority="439" operator="containsText" text="Buy">
      <formula>NOT(ISERROR(SEARCH("Buy",E107)))</formula>
    </cfRule>
    <cfRule type="containsText" dxfId="5969" priority="440" operator="containsText" text="Sell">
      <formula>NOT(ISERROR(SEARCH("Sell",E107)))</formula>
    </cfRule>
  </conditionalFormatting>
  <conditionalFormatting sqref="E108">
    <cfRule type="containsText" dxfId="5968" priority="437" operator="containsText" text="Buy">
      <formula>NOT(ISERROR(SEARCH("Buy",E108)))</formula>
    </cfRule>
    <cfRule type="containsText" dxfId="5967" priority="438" operator="containsText" text="Sell">
      <formula>NOT(ISERROR(SEARCH("Sell",E108)))</formula>
    </cfRule>
  </conditionalFormatting>
  <conditionalFormatting sqref="E112">
    <cfRule type="containsText" dxfId="5966" priority="433" operator="containsText" text="Buy">
      <formula>NOT(ISERROR(SEARCH("Buy",E112)))</formula>
    </cfRule>
    <cfRule type="containsText" dxfId="5965" priority="434" operator="containsText" text="Sell">
      <formula>NOT(ISERROR(SEARCH("Sell",E112)))</formula>
    </cfRule>
  </conditionalFormatting>
  <conditionalFormatting sqref="E115">
    <cfRule type="containsText" dxfId="5964" priority="427" operator="containsText" text="Buy">
      <formula>NOT(ISERROR(SEARCH("Buy",E115)))</formula>
    </cfRule>
    <cfRule type="containsText" dxfId="5963" priority="428" operator="containsText" text="Sell">
      <formula>NOT(ISERROR(SEARCH("Sell",E115)))</formula>
    </cfRule>
  </conditionalFormatting>
  <conditionalFormatting sqref="E113">
    <cfRule type="containsText" dxfId="5962" priority="431" operator="containsText" text="Buy">
      <formula>NOT(ISERROR(SEARCH("Buy",E113)))</formula>
    </cfRule>
    <cfRule type="containsText" dxfId="5961" priority="432" operator="containsText" text="Sell">
      <formula>NOT(ISERROR(SEARCH("Sell",E113)))</formula>
    </cfRule>
  </conditionalFormatting>
  <conditionalFormatting sqref="E114">
    <cfRule type="containsText" dxfId="5960" priority="429" operator="containsText" text="Buy">
      <formula>NOT(ISERROR(SEARCH("Buy",E114)))</formula>
    </cfRule>
    <cfRule type="containsText" dxfId="5959" priority="430" operator="containsText" text="Sell">
      <formula>NOT(ISERROR(SEARCH("Sell",E114)))</formula>
    </cfRule>
  </conditionalFormatting>
  <conditionalFormatting sqref="E127">
    <cfRule type="containsText" dxfId="5958" priority="413" operator="containsText" text="Buy">
      <formula>NOT(ISERROR(SEARCH("Buy",E127)))</formula>
    </cfRule>
    <cfRule type="containsText" dxfId="5957" priority="414" operator="containsText" text="Sell">
      <formula>NOT(ISERROR(SEARCH("Sell",E127)))</formula>
    </cfRule>
  </conditionalFormatting>
  <conditionalFormatting sqref="E119">
    <cfRule type="containsText" dxfId="5956" priority="425" operator="containsText" text="Buy">
      <formula>NOT(ISERROR(SEARCH("Buy",E119)))</formula>
    </cfRule>
    <cfRule type="containsText" dxfId="5955" priority="426" operator="containsText" text="Sell">
      <formula>NOT(ISERROR(SEARCH("Sell",E119)))</formula>
    </cfRule>
  </conditionalFormatting>
  <conditionalFormatting sqref="E123">
    <cfRule type="containsText" dxfId="5954" priority="419" operator="containsText" text="Buy">
      <formula>NOT(ISERROR(SEARCH("Buy",E123)))</formula>
    </cfRule>
    <cfRule type="containsText" dxfId="5953" priority="420" operator="containsText" text="Sell">
      <formula>NOT(ISERROR(SEARCH("Sell",E123)))</formula>
    </cfRule>
  </conditionalFormatting>
  <conditionalFormatting sqref="E128">
    <cfRule type="containsText" dxfId="5952" priority="417" operator="containsText" text="Buy">
      <formula>NOT(ISERROR(SEARCH("Buy",E128)))</formula>
    </cfRule>
    <cfRule type="containsText" dxfId="5951" priority="418" operator="containsText" text="Sell">
      <formula>NOT(ISERROR(SEARCH("Sell",E128)))</formula>
    </cfRule>
  </conditionalFormatting>
  <conditionalFormatting sqref="E126">
    <cfRule type="containsText" dxfId="5950" priority="415" operator="containsText" text="Buy">
      <formula>NOT(ISERROR(SEARCH("Buy",E126)))</formula>
    </cfRule>
    <cfRule type="containsText" dxfId="5949" priority="416" operator="containsText" text="Sell">
      <formula>NOT(ISERROR(SEARCH("Sell",E126)))</formula>
    </cfRule>
  </conditionalFormatting>
  <conditionalFormatting sqref="E146">
    <cfRule type="containsText" dxfId="5948" priority="367" operator="containsText" text="Buy">
      <formula>NOT(ISERROR(SEARCH("Buy",E146)))</formula>
    </cfRule>
    <cfRule type="containsText" dxfId="5947" priority="368" operator="containsText" text="Sell">
      <formula>NOT(ISERROR(SEARCH("Sell",E146)))</formula>
    </cfRule>
  </conditionalFormatting>
  <conditionalFormatting sqref="E133">
    <cfRule type="containsText" dxfId="5946" priority="405" operator="containsText" text="Buy">
      <formula>NOT(ISERROR(SEARCH("Buy",E133)))</formula>
    </cfRule>
    <cfRule type="containsText" dxfId="5945" priority="406" operator="containsText" text="Sell">
      <formula>NOT(ISERROR(SEARCH("Sell",E133)))</formula>
    </cfRule>
  </conditionalFormatting>
  <conditionalFormatting sqref="E130">
    <cfRule type="containsText" dxfId="5944" priority="407" operator="containsText" text="Buy">
      <formula>NOT(ISERROR(SEARCH("Buy",E130)))</formula>
    </cfRule>
    <cfRule type="containsText" dxfId="5943" priority="408" operator="containsText" text="Sell">
      <formula>NOT(ISERROR(SEARCH("Sell",E130)))</formula>
    </cfRule>
  </conditionalFormatting>
  <conditionalFormatting sqref="E132">
    <cfRule type="containsText" dxfId="5942" priority="403" operator="containsText" text="Buy">
      <formula>NOT(ISERROR(SEARCH("Buy",E132)))</formula>
    </cfRule>
    <cfRule type="containsText" dxfId="5941" priority="404" operator="containsText" text="Sell">
      <formula>NOT(ISERROR(SEARCH("Sell",E132)))</formula>
    </cfRule>
  </conditionalFormatting>
  <conditionalFormatting sqref="E149">
    <cfRule type="containsText" dxfId="5940" priority="359" operator="containsText" text="Buy">
      <formula>NOT(ISERROR(SEARCH("Buy",E149)))</formula>
    </cfRule>
    <cfRule type="containsText" dxfId="5939" priority="360" operator="containsText" text="Sell">
      <formula>NOT(ISERROR(SEARCH("Sell",E149)))</formula>
    </cfRule>
  </conditionalFormatting>
  <conditionalFormatting sqref="E131">
    <cfRule type="containsText" dxfId="5938" priority="401" operator="containsText" text="Buy">
      <formula>NOT(ISERROR(SEARCH("Buy",E131)))</formula>
    </cfRule>
    <cfRule type="containsText" dxfId="5937" priority="402" operator="containsText" text="Sell">
      <formula>NOT(ISERROR(SEARCH("Sell",E131)))</formula>
    </cfRule>
  </conditionalFormatting>
  <conditionalFormatting sqref="E138">
    <cfRule type="containsText" dxfId="5936" priority="383" operator="containsText" text="Buy">
      <formula>NOT(ISERROR(SEARCH("Buy",E138)))</formula>
    </cfRule>
    <cfRule type="containsText" dxfId="5935" priority="384" operator="containsText" text="Sell">
      <formula>NOT(ISERROR(SEARCH("Sell",E138)))</formula>
    </cfRule>
  </conditionalFormatting>
  <conditionalFormatting sqref="E135">
    <cfRule type="containsText" dxfId="5934" priority="385" operator="containsText" text="Buy">
      <formula>NOT(ISERROR(SEARCH("Buy",E135)))</formula>
    </cfRule>
    <cfRule type="containsText" dxfId="5933" priority="386" operator="containsText" text="Sell">
      <formula>NOT(ISERROR(SEARCH("Sell",E135)))</formula>
    </cfRule>
  </conditionalFormatting>
  <conditionalFormatting sqref="E137">
    <cfRule type="containsText" dxfId="5932" priority="381" operator="containsText" text="Buy">
      <formula>NOT(ISERROR(SEARCH("Buy",E137)))</formula>
    </cfRule>
    <cfRule type="containsText" dxfId="5931" priority="382" operator="containsText" text="Sell">
      <formula>NOT(ISERROR(SEARCH("Sell",E137)))</formula>
    </cfRule>
  </conditionalFormatting>
  <conditionalFormatting sqref="E136">
    <cfRule type="containsText" dxfId="5930" priority="379" operator="containsText" text="Buy">
      <formula>NOT(ISERROR(SEARCH("Buy",E136)))</formula>
    </cfRule>
    <cfRule type="containsText" dxfId="5929" priority="380" operator="containsText" text="Sell">
      <formula>NOT(ISERROR(SEARCH("Sell",E136)))</formula>
    </cfRule>
  </conditionalFormatting>
  <conditionalFormatting sqref="E143">
    <cfRule type="containsText" dxfId="5928" priority="375" operator="containsText" text="Buy">
      <formula>NOT(ISERROR(SEARCH("Buy",E143)))</formula>
    </cfRule>
    <cfRule type="containsText" dxfId="5927" priority="376" operator="containsText" text="Sell">
      <formula>NOT(ISERROR(SEARCH("Sell",E143)))</formula>
    </cfRule>
  </conditionalFormatting>
  <conditionalFormatting sqref="E140">
    <cfRule type="containsText" dxfId="5926" priority="377" operator="containsText" text="Buy">
      <formula>NOT(ISERROR(SEARCH("Buy",E140)))</formula>
    </cfRule>
    <cfRule type="containsText" dxfId="5925" priority="378" operator="containsText" text="Sell">
      <formula>NOT(ISERROR(SEARCH("Sell",E140)))</formula>
    </cfRule>
  </conditionalFormatting>
  <conditionalFormatting sqref="E142">
    <cfRule type="containsText" dxfId="5924" priority="373" operator="containsText" text="Buy">
      <formula>NOT(ISERROR(SEARCH("Buy",E142)))</formula>
    </cfRule>
    <cfRule type="containsText" dxfId="5923" priority="374" operator="containsText" text="Sell">
      <formula>NOT(ISERROR(SEARCH("Sell",E142)))</formula>
    </cfRule>
  </conditionalFormatting>
  <conditionalFormatting sqref="E141">
    <cfRule type="containsText" dxfId="5922" priority="371" operator="containsText" text="Buy">
      <formula>NOT(ISERROR(SEARCH("Buy",E141)))</formula>
    </cfRule>
    <cfRule type="containsText" dxfId="5921" priority="372" operator="containsText" text="Sell">
      <formula>NOT(ISERROR(SEARCH("Sell",E141)))</formula>
    </cfRule>
  </conditionalFormatting>
  <conditionalFormatting sqref="E147">
    <cfRule type="containsText" dxfId="5920" priority="369" operator="containsText" text="Buy">
      <formula>NOT(ISERROR(SEARCH("Buy",E147)))</formula>
    </cfRule>
    <cfRule type="containsText" dxfId="5919" priority="370" operator="containsText" text="Sell">
      <formula>NOT(ISERROR(SEARCH("Sell",E147)))</formula>
    </cfRule>
  </conditionalFormatting>
  <conditionalFormatting sqref="E145">
    <cfRule type="containsText" dxfId="5918" priority="365" operator="containsText" text="Buy">
      <formula>NOT(ISERROR(SEARCH("Buy",E145)))</formula>
    </cfRule>
    <cfRule type="containsText" dxfId="5917" priority="366" operator="containsText" text="Sell">
      <formula>NOT(ISERROR(SEARCH("Sell",E145)))</formula>
    </cfRule>
  </conditionalFormatting>
  <conditionalFormatting sqref="E151">
    <cfRule type="containsText" dxfId="5916" priority="363" operator="containsText" text="Buy">
      <formula>NOT(ISERROR(SEARCH("Buy",E151)))</formula>
    </cfRule>
    <cfRule type="containsText" dxfId="5915" priority="364" operator="containsText" text="Sell">
      <formula>NOT(ISERROR(SEARCH("Sell",E151)))</formula>
    </cfRule>
  </conditionalFormatting>
  <conditionalFormatting sqref="E150">
    <cfRule type="containsText" dxfId="5914" priority="361" operator="containsText" text="Buy">
      <formula>NOT(ISERROR(SEARCH("Buy",E150)))</formula>
    </cfRule>
    <cfRule type="containsText" dxfId="5913" priority="362" operator="containsText" text="Sell">
      <formula>NOT(ISERROR(SEARCH("Sell",E150)))</formula>
    </cfRule>
  </conditionalFormatting>
  <conditionalFormatting sqref="V10:Z10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{0A699EE7-8953-4914-96B8-EB86C93E7C89}</x14:id>
        </ext>
      </extLst>
    </cfRule>
  </conditionalFormatting>
  <conditionalFormatting sqref="V10:Z10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{C1A04C89-0848-4E87-8311-28999D644BA1}</x14:id>
        </ext>
      </extLst>
    </cfRule>
  </conditionalFormatting>
  <conditionalFormatting sqref="L10:M10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{D16EFAAD-63B2-468C-85D0-C671FE7086EF}</x14:id>
        </ext>
      </extLst>
    </cfRule>
  </conditionalFormatting>
  <conditionalFormatting sqref="L10:M1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{D4AF4D6A-25E2-44AE-8DE7-F7061DA64172}</x14:id>
        </ext>
      </extLst>
    </cfRule>
  </conditionalFormatting>
  <conditionalFormatting sqref="L10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{2E7AB637-20DF-4D0D-A2B6-0E53B3221DA0}</x14:id>
        </ext>
      </extLst>
    </cfRule>
  </conditionalFormatting>
  <conditionalFormatting sqref="M10">
    <cfRule type="dataBar" priority="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{40B47564-5B2D-425E-8A25-059A588D0A3E}</x14:id>
        </ext>
      </extLst>
    </cfRule>
  </conditionalFormatting>
  <conditionalFormatting sqref="L10">
    <cfRule type="dataBar" priority="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{99C93EBE-3777-4A49-B694-CFE4B77646D4}</x14:id>
        </ext>
      </extLst>
    </cfRule>
  </conditionalFormatting>
  <conditionalFormatting sqref="M10">
    <cfRule type="dataBar" priority="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{DC64F457-85A4-4749-82C7-039B97A63447}</x14:id>
        </ext>
      </extLst>
    </cfRule>
  </conditionalFormatting>
  <conditionalFormatting sqref="L10">
    <cfRule type="dataBar" priority="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{AEEC819A-042C-4001-9BBD-AFE7F674A7C3}</x14:id>
        </ext>
      </extLst>
    </cfRule>
  </conditionalFormatting>
  <conditionalFormatting sqref="M10">
    <cfRule type="dataBar" priority="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{561F62B4-09FB-4D30-BF85-A98FE052E2BC}</x14:id>
        </ext>
      </extLst>
    </cfRule>
  </conditionalFormatting>
  <conditionalFormatting sqref="AA10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{DF4CFADB-1077-4FD9-BE40-D3DFD0D3BA02}</x14:id>
        </ext>
      </extLst>
    </cfRule>
  </conditionalFormatting>
  <conditionalFormatting sqref="AC1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{0B598DC8-FDC5-4435-A7D2-D3E573F2994A}</x14:id>
        </ext>
      </extLst>
    </cfRule>
  </conditionalFormatting>
  <conditionalFormatting sqref="V10:Z1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{867AAFEE-BAA0-49A5-B5C0-F41AE408074F}</x14:id>
        </ext>
      </extLst>
    </cfRule>
  </conditionalFormatting>
  <conditionalFormatting sqref="V10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{49521F47-81DB-4AA9-9464-1CB73E51F6AF}</x14:id>
        </ext>
      </extLst>
    </cfRule>
  </conditionalFormatting>
  <conditionalFormatting sqref="W10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{FFEE4C35-E745-4224-A1C6-496112C4F869}</x14:id>
        </ext>
      </extLst>
    </cfRule>
  </conditionalFormatting>
  <conditionalFormatting sqref="X10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{B85B4F35-E417-4688-8129-12DB6F21ECDD}</x14:id>
        </ext>
      </extLst>
    </cfRule>
  </conditionalFormatting>
  <conditionalFormatting sqref="Y10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{1BE16B4B-A059-4F5A-BB3F-324AD7D3B1E3}</x14:id>
        </ext>
      </extLst>
    </cfRule>
  </conditionalFormatting>
  <conditionalFormatting sqref="Z10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{5AD99A6E-256A-47B5-B2E1-3C4ADFEC7FBA}</x14:id>
        </ext>
      </extLst>
    </cfRule>
  </conditionalFormatting>
  <conditionalFormatting sqref="AA10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{36F7DE29-791F-4F4C-B16A-7C373C5A3A76}</x14:id>
        </ext>
      </extLst>
    </cfRule>
  </conditionalFormatting>
  <conditionalFormatting sqref="AB10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{93D83E25-9DE0-4305-B885-024477EE1CDD}</x14:id>
        </ext>
      </extLst>
    </cfRule>
  </conditionalFormatting>
  <conditionalFormatting sqref="V10:AA10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{C0056F7E-ADB7-44FD-8629-B2121D9B7892}</x14:id>
        </ext>
      </extLst>
    </cfRule>
  </conditionalFormatting>
  <conditionalFormatting sqref="AC10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{2DD4AD08-3EB1-4EFE-B555-4A5A1E38C193}</x14:id>
        </ext>
      </extLst>
    </cfRule>
  </conditionalFormatting>
  <conditionalFormatting sqref="H26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{5C643AC9-D7F6-417F-B092-1234CEE9C1C0}</x14:id>
        </ext>
      </extLst>
    </cfRule>
    <cfRule type="cellIs" dxfId="5912" priority="334" operator="equal">
      <formula>1</formula>
    </cfRule>
  </conditionalFormatting>
  <conditionalFormatting sqref="D26">
    <cfRule type="containsText" dxfId="5911" priority="332" operator="containsText" text="Buy">
      <formula>NOT(ISERROR(SEARCH("Buy",D26)))</formula>
    </cfRule>
    <cfRule type="containsText" dxfId="5910" priority="333" operator="containsText" text="Sell">
      <formula>NOT(ISERROR(SEARCH("Sell",D26)))</formula>
    </cfRule>
  </conditionalFormatting>
  <conditionalFormatting sqref="H27">
    <cfRule type="dataBar" priority="3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{ECABE65D-2CAB-432E-B544-BB641DD8DD28}</x14:id>
        </ext>
      </extLst>
    </cfRule>
    <cfRule type="cellIs" dxfId="5909" priority="330" operator="equal">
      <formula>1</formula>
    </cfRule>
  </conditionalFormatting>
  <conditionalFormatting sqref="D27">
    <cfRule type="containsText" dxfId="5908" priority="328" operator="containsText" text="Buy">
      <formula>NOT(ISERROR(SEARCH("Buy",D27)))</formula>
    </cfRule>
    <cfRule type="containsText" dxfId="5907" priority="329" operator="containsText" text="Sell">
      <formula>NOT(ISERROR(SEARCH("Sell",D27)))</formula>
    </cfRule>
  </conditionalFormatting>
  <conditionalFormatting sqref="H28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{8F51E74D-984A-4800-A9F8-B82B0284558D}</x14:id>
        </ext>
      </extLst>
    </cfRule>
    <cfRule type="cellIs" dxfId="5906" priority="326" operator="equal">
      <formula>1</formula>
    </cfRule>
  </conditionalFormatting>
  <conditionalFormatting sqref="D28">
    <cfRule type="containsText" dxfId="5905" priority="324" operator="containsText" text="Buy">
      <formula>NOT(ISERROR(SEARCH("Buy",D28)))</formula>
    </cfRule>
    <cfRule type="containsText" dxfId="5904" priority="325" operator="containsText" text="Sell">
      <formula>NOT(ISERROR(SEARCH("Sell",D28)))</formula>
    </cfRule>
  </conditionalFormatting>
  <conditionalFormatting sqref="H29">
    <cfRule type="dataBar" priority="3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{4A9F9E9D-3D1C-431C-9D36-405A63578328}</x14:id>
        </ext>
      </extLst>
    </cfRule>
    <cfRule type="cellIs" dxfId="5903" priority="322" operator="equal">
      <formula>1</formula>
    </cfRule>
  </conditionalFormatting>
  <conditionalFormatting sqref="D29">
    <cfRule type="containsText" dxfId="5902" priority="320" operator="containsText" text="Buy">
      <formula>NOT(ISERROR(SEARCH("Buy",D29)))</formula>
    </cfRule>
    <cfRule type="containsText" dxfId="5901" priority="321" operator="containsText" text="Sell">
      <formula>NOT(ISERROR(SEARCH("Sell",D29)))</formula>
    </cfRule>
  </conditionalFormatting>
  <conditionalFormatting sqref="H30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{B70953B5-5D33-4A57-9325-3A5A61DC6815}</x14:id>
        </ext>
      </extLst>
    </cfRule>
    <cfRule type="cellIs" dxfId="5900" priority="318" operator="equal">
      <formula>1</formula>
    </cfRule>
  </conditionalFormatting>
  <conditionalFormatting sqref="D30">
    <cfRule type="containsText" dxfId="5899" priority="316" operator="containsText" text="Buy">
      <formula>NOT(ISERROR(SEARCH("Buy",D30)))</formula>
    </cfRule>
    <cfRule type="containsText" dxfId="5898" priority="317" operator="containsText" text="Sell">
      <formula>NOT(ISERROR(SEARCH("Sell",D30)))</formula>
    </cfRule>
  </conditionalFormatting>
  <conditionalFormatting sqref="D31">
    <cfRule type="containsText" dxfId="5897" priority="312" operator="containsText" text="Buy">
      <formula>NOT(ISERROR(SEARCH("Buy",D31)))</formula>
    </cfRule>
    <cfRule type="containsText" dxfId="5896" priority="313" operator="containsText" text="Sell">
      <formula>NOT(ISERROR(SEARCH("Sell",D31)))</formula>
    </cfRule>
  </conditionalFormatting>
  <conditionalFormatting sqref="H31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{129FC258-C0FC-41EB-83EB-6D9FA3921619}</x14:id>
        </ext>
      </extLst>
    </cfRule>
    <cfRule type="cellIs" dxfId="5895" priority="314" operator="equal">
      <formula>1</formula>
    </cfRule>
  </conditionalFormatting>
  <conditionalFormatting sqref="D32:D34">
    <cfRule type="containsText" dxfId="5894" priority="308" operator="containsText" text="Buy">
      <formula>NOT(ISERROR(SEARCH("Buy",D32)))</formula>
    </cfRule>
    <cfRule type="containsText" dxfId="5893" priority="309" operator="containsText" text="Sell">
      <formula>NOT(ISERROR(SEARCH("Sell",D32)))</formula>
    </cfRule>
  </conditionalFormatting>
  <conditionalFormatting sqref="H32:H3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{175E879C-D64B-4BA4-9A96-EDAB5FDBECB9}</x14:id>
        </ext>
      </extLst>
    </cfRule>
    <cfRule type="cellIs" dxfId="5892" priority="310" operator="equal">
      <formula>1</formula>
    </cfRule>
  </conditionalFormatting>
  <conditionalFormatting sqref="E73">
    <cfRule type="containsText" dxfId="5891" priority="287" operator="containsText" text="Buy">
      <formula>NOT(ISERROR(SEARCH("Buy",E73)))</formula>
    </cfRule>
    <cfRule type="containsText" dxfId="5890" priority="288" operator="containsText" text="Sell">
      <formula>NOT(ISERROR(SEARCH("Sell",E73)))</formula>
    </cfRule>
  </conditionalFormatting>
  <conditionalFormatting sqref="E72">
    <cfRule type="containsText" dxfId="5889" priority="285" operator="containsText" text="Buy">
      <formula>NOT(ISERROR(SEARCH("Buy",E72)))</formula>
    </cfRule>
    <cfRule type="containsText" dxfId="5888" priority="286" operator="containsText" text="Sell">
      <formula>NOT(ISERROR(SEARCH("Sell",E72)))</formula>
    </cfRule>
  </conditionalFormatting>
  <conditionalFormatting sqref="E69">
    <cfRule type="containsText" dxfId="5887" priority="277" operator="containsText" text="Buy">
      <formula>NOT(ISERROR(SEARCH("Buy",E69)))</formula>
    </cfRule>
    <cfRule type="containsText" dxfId="5886" priority="278" operator="containsText" text="Sell">
      <formula>NOT(ISERROR(SEARCH("Sell",E69)))</formula>
    </cfRule>
  </conditionalFormatting>
  <conditionalFormatting sqref="H36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{15E4C50E-42A9-49EF-8B8D-607201B92A4F}</x14:id>
        </ext>
      </extLst>
    </cfRule>
    <cfRule type="cellIs" dxfId="5885" priority="284" operator="equal">
      <formula>1</formula>
    </cfRule>
  </conditionalFormatting>
  <conditionalFormatting sqref="D36">
    <cfRule type="containsText" dxfId="5884" priority="282" operator="containsText" text="Buy">
      <formula>NOT(ISERROR(SEARCH("Buy",D36)))</formula>
    </cfRule>
    <cfRule type="containsText" dxfId="5883" priority="283" operator="containsText" text="Sell">
      <formula>NOT(ISERROR(SEARCH("Sell",D36)))</formula>
    </cfRule>
  </conditionalFormatting>
  <conditionalFormatting sqref="E70">
    <cfRule type="containsText" dxfId="5882" priority="279" operator="containsText" text="Buy">
      <formula>NOT(ISERROR(SEARCH("Buy",E70)))</formula>
    </cfRule>
    <cfRule type="containsText" dxfId="5881" priority="280" operator="containsText" text="Sell">
      <formula>NOT(ISERROR(SEARCH("Sell",E70)))</formula>
    </cfRule>
  </conditionalFormatting>
  <conditionalFormatting sqref="V12:Z1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{B2D032CC-4882-4FED-A904-D8EFE589D900}</x14:id>
        </ext>
      </extLst>
    </cfRule>
  </conditionalFormatting>
  <conditionalFormatting sqref="V12:Z12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{CFAE57DB-1B61-4324-A01F-711FFB5108CC}</x14:id>
        </ext>
      </extLst>
    </cfRule>
  </conditionalFormatting>
  <conditionalFormatting sqref="AA1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{830DF129-9A19-4783-9711-339F4BF66F4D}</x14:id>
        </ext>
      </extLst>
    </cfRule>
  </conditionalFormatting>
  <conditionalFormatting sqref="V12:Z1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{B283A936-9C4B-4836-B7FB-B171AACB734E}</x14:id>
        </ext>
      </extLst>
    </cfRule>
  </conditionalFormatting>
  <conditionalFormatting sqref="V12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{E59CF266-DCDC-47DC-B86F-C2AF0E3BB755}</x14:id>
        </ext>
      </extLst>
    </cfRule>
  </conditionalFormatting>
  <conditionalFormatting sqref="W12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{71E39BBC-FCFB-48E3-B714-0739B8C334DB}</x14:id>
        </ext>
      </extLst>
    </cfRule>
  </conditionalFormatting>
  <conditionalFormatting sqref="X12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{3A7AEE20-AA4F-4DED-92E6-57AFEDC3FBDF}</x14:id>
        </ext>
      </extLst>
    </cfRule>
  </conditionalFormatting>
  <conditionalFormatting sqref="Y12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{5B170188-256A-41EC-B3DD-CB0063FF2146}</x14:id>
        </ext>
      </extLst>
    </cfRule>
  </conditionalFormatting>
  <conditionalFormatting sqref="Z12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{207916C3-95AF-43DB-BD87-8A28F1A0AB6F}</x14:id>
        </ext>
      </extLst>
    </cfRule>
  </conditionalFormatting>
  <conditionalFormatting sqref="AA12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{53F1F9C0-C1D2-4131-A4B9-BD8838B0B5AB}</x14:id>
        </ext>
      </extLst>
    </cfRule>
  </conditionalFormatting>
  <conditionalFormatting sqref="AB1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{D7FCC642-B223-41B6-BC63-CB7AF1BF6F41}</x14:id>
        </ext>
      </extLst>
    </cfRule>
  </conditionalFormatting>
  <conditionalFormatting sqref="V12:AA12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{1056C452-DF5E-4535-AE3E-6163701408CA}</x14:id>
        </ext>
      </extLst>
    </cfRule>
  </conditionalFormatting>
  <conditionalFormatting sqref="AC12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{6EB0D6F3-0F2A-4723-91CF-462B85A9B32A}</x14:id>
        </ext>
      </extLst>
    </cfRule>
  </conditionalFormatting>
  <conditionalFormatting sqref="L12:M12">
    <cfRule type="dataBar" priority="2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{3B6DE2F2-E9FF-4739-8233-CC5F44D4AD46}</x14:id>
        </ext>
      </extLst>
    </cfRule>
  </conditionalFormatting>
  <conditionalFormatting sqref="L12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{DA0C8C9D-8751-4A1B-A19F-509D6EB13784}</x14:id>
        </ext>
      </extLst>
    </cfRule>
  </conditionalFormatting>
  <conditionalFormatting sqref="M12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{E43507E2-8200-45A0-9817-D12B522BA828}</x14:id>
        </ext>
      </extLst>
    </cfRule>
  </conditionalFormatting>
  <conditionalFormatting sqref="L4">
    <cfRule type="dataBar" priority="2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{0ADDE1A8-7A55-41D8-8466-B855E044D88C}</x14:id>
        </ext>
      </extLst>
    </cfRule>
  </conditionalFormatting>
  <conditionalFormatting sqref="L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{28C8354D-C1FE-41FC-BE1B-F72D8FCAF875}</x14:id>
        </ext>
      </extLst>
    </cfRule>
  </conditionalFormatting>
  <conditionalFormatting sqref="L5">
    <cfRule type="dataBar" priority="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{61187FBB-D66B-4AC1-AB17-A5E7DD1DE778}</x14:id>
        </ext>
      </extLst>
    </cfRule>
  </conditionalFormatting>
  <conditionalFormatting sqref="L5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{10F98A80-D08E-4CA4-8049-7BD2EB6B4A4B}</x14:id>
        </ext>
      </extLst>
    </cfRule>
  </conditionalFormatting>
  <conditionalFormatting sqref="L6">
    <cfRule type="dataBar" priority="2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{C9B54FC3-C6C9-48B6-B64D-A92A3AD237CC}</x14:id>
        </ext>
      </extLst>
    </cfRule>
  </conditionalFormatting>
  <conditionalFormatting sqref="L6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{E5B49578-260D-4C3C-9EC6-86844A4C091B}</x14:id>
        </ext>
      </extLst>
    </cfRule>
  </conditionalFormatting>
  <conditionalFormatting sqref="L7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{F0130567-76A7-42D3-8EAC-A3618EF2BD33}</x14:id>
        </ext>
      </extLst>
    </cfRule>
  </conditionalFormatting>
  <conditionalFormatting sqref="L7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{F05D8709-6839-4DB5-BDEE-2EB8F9C3B24F}</x14:id>
        </ext>
      </extLst>
    </cfRule>
  </conditionalFormatting>
  <conditionalFormatting sqref="L8">
    <cfRule type="dataBar" priority="2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{8D5DA24A-A1B6-4E74-A4DE-A93839A31D19}</x14:id>
        </ext>
      </extLst>
    </cfRule>
  </conditionalFormatting>
  <conditionalFormatting sqref="L8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{83CD6F80-192D-4081-9699-B8B5A378C248}</x14:id>
        </ext>
      </extLst>
    </cfRule>
  </conditionalFormatting>
  <conditionalFormatting sqref="L9">
    <cfRule type="dataBar" priority="2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{C9AA1C4A-96DA-4CE0-9551-90351B947ABB}</x14:id>
        </ext>
      </extLst>
    </cfRule>
  </conditionalFormatting>
  <conditionalFormatting sqref="L9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{C35E0606-9D26-4E2A-8871-1851E6B2C834}</x14:id>
        </ext>
      </extLst>
    </cfRule>
  </conditionalFormatting>
  <conditionalFormatting sqref="L13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{2450B928-27EC-4D3F-9FEF-5DA2701FBE94}</x14:id>
        </ext>
      </extLst>
    </cfRule>
  </conditionalFormatting>
  <conditionalFormatting sqref="L13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{ADC157A3-4399-4B63-A6EB-FB8CDD66522B}</x14:id>
        </ext>
      </extLst>
    </cfRule>
  </conditionalFormatting>
  <conditionalFormatting sqref="H37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{589F44DA-925D-4E92-8850-CDE44DA1BD9D}</x14:id>
        </ext>
      </extLst>
    </cfRule>
    <cfRule type="cellIs" dxfId="5880" priority="236" operator="equal">
      <formula>1</formula>
    </cfRule>
  </conditionalFormatting>
  <conditionalFormatting sqref="D37">
    <cfRule type="containsText" dxfId="5879" priority="234" operator="containsText" text="Buy">
      <formula>NOT(ISERROR(SEARCH("Buy",D37)))</formula>
    </cfRule>
    <cfRule type="containsText" dxfId="5878" priority="235" operator="containsText" text="Sell">
      <formula>NOT(ISERROR(SEARCH("Sell",D37)))</formula>
    </cfRule>
  </conditionalFormatting>
  <conditionalFormatting sqref="E68">
    <cfRule type="containsText" dxfId="5877" priority="231" operator="containsText" text="Buy">
      <formula>NOT(ISERROR(SEARCH("Buy",E68)))</formula>
    </cfRule>
    <cfRule type="containsText" dxfId="5876" priority="232" operator="containsText" text="Sell">
      <formula>NOT(ISERROR(SEARCH("Sell",E68)))</formula>
    </cfRule>
  </conditionalFormatting>
  <conditionalFormatting sqref="D38">
    <cfRule type="containsText" dxfId="5875" priority="226" operator="containsText" text="Buy">
      <formula>NOT(ISERROR(SEARCH("Buy",D38)))</formula>
    </cfRule>
    <cfRule type="containsText" dxfId="5874" priority="227" operator="containsText" text="Sell">
      <formula>NOT(ISERROR(SEARCH("Sell",D38)))</formula>
    </cfRule>
  </conditionalFormatting>
  <conditionalFormatting sqref="H38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{5B143D85-63DA-4580-9BFF-2DE5F7CDA980}</x14:id>
        </ext>
      </extLst>
    </cfRule>
    <cfRule type="cellIs" dxfId="5873" priority="228" operator="equal">
      <formula>1</formula>
    </cfRule>
  </conditionalFormatting>
  <conditionalFormatting sqref="H39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{8F5620E6-2D08-4733-9523-330776BBCF84}</x14:id>
        </ext>
      </extLst>
    </cfRule>
    <cfRule type="cellIs" dxfId="5872" priority="224" operator="equal">
      <formula>1</formula>
    </cfRule>
  </conditionalFormatting>
  <conditionalFormatting sqref="D39">
    <cfRule type="containsText" dxfId="5871" priority="222" operator="containsText" text="Buy">
      <formula>NOT(ISERROR(SEARCH("Buy",D39)))</formula>
    </cfRule>
    <cfRule type="containsText" dxfId="5870" priority="223" operator="containsText" text="Sell">
      <formula>NOT(ISERROR(SEARCH("Sell",D39)))</formula>
    </cfRule>
  </conditionalFormatting>
  <conditionalFormatting sqref="E154">
    <cfRule type="containsText" dxfId="5869" priority="203" operator="containsText" text="Buy">
      <formula>NOT(ISERROR(SEARCH("Buy",E154)))</formula>
    </cfRule>
    <cfRule type="containsText" dxfId="5868" priority="204" operator="containsText" text="Sell">
      <formula>NOT(ISERROR(SEARCH("Sell",E154)))</formula>
    </cfRule>
  </conditionalFormatting>
  <conditionalFormatting sqref="E153">
    <cfRule type="containsText" dxfId="5867" priority="201" operator="containsText" text="Buy">
      <formula>NOT(ISERROR(SEARCH("Buy",E153)))</formula>
    </cfRule>
    <cfRule type="containsText" dxfId="5866" priority="202" operator="containsText" text="Sell">
      <formula>NOT(ISERROR(SEARCH("Sell",E153)))</formula>
    </cfRule>
  </conditionalFormatting>
  <conditionalFormatting sqref="H40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{913BB6FD-DE3B-41C1-820A-F6576B9E2761}</x14:id>
        </ext>
      </extLst>
    </cfRule>
    <cfRule type="cellIs" dxfId="5865" priority="200" operator="equal">
      <formula>1</formula>
    </cfRule>
  </conditionalFormatting>
  <conditionalFormatting sqref="D40">
    <cfRule type="containsText" dxfId="5864" priority="198" operator="containsText" text="Buy">
      <formula>NOT(ISERROR(SEARCH("Buy",D40)))</formula>
    </cfRule>
    <cfRule type="containsText" dxfId="5863" priority="199" operator="containsText" text="Sell">
      <formula>NOT(ISERROR(SEARCH("Sell",D40)))</formula>
    </cfRule>
  </conditionalFormatting>
  <conditionalFormatting sqref="H41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{6F4929C1-77AC-4977-9B86-A653EEE8A71C}</x14:id>
        </ext>
      </extLst>
    </cfRule>
    <cfRule type="cellIs" dxfId="5862" priority="195" operator="equal">
      <formula>1</formula>
    </cfRule>
  </conditionalFormatting>
  <conditionalFormatting sqref="D41">
    <cfRule type="containsText" dxfId="5861" priority="193" operator="containsText" text="Buy">
      <formula>NOT(ISERROR(SEARCH("Buy",D41)))</formula>
    </cfRule>
    <cfRule type="containsText" dxfId="5860" priority="194" operator="containsText" text="Sell">
      <formula>NOT(ISERROR(SEARCH("Sell",D41)))</formula>
    </cfRule>
  </conditionalFormatting>
  <conditionalFormatting sqref="AA6 AA9">
    <cfRule type="dataBar" priority="15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{45F29B4E-C1CE-4A98-9694-6F1E56250A67}</x14:id>
        </ext>
      </extLst>
    </cfRule>
  </conditionalFormatting>
  <conditionalFormatting sqref="V13:V14 V6:V9">
    <cfRule type="dataBar" priority="15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{BB1B58A3-F7FF-4E35-9F1D-0D5B02BABEDB}</x14:id>
        </ext>
      </extLst>
    </cfRule>
  </conditionalFormatting>
  <conditionalFormatting sqref="W13:W14 W6:W9">
    <cfRule type="dataBar" priority="15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{BC1B6876-0EFF-48CA-B969-745F569DE907}</x14:id>
        </ext>
      </extLst>
    </cfRule>
  </conditionalFormatting>
  <conditionalFormatting sqref="X13:X14 X6:X9">
    <cfRule type="dataBar" priority="15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{8EC1608E-EF4A-4B64-8A21-20CF9F9302CC}</x14:id>
        </ext>
      </extLst>
    </cfRule>
  </conditionalFormatting>
  <conditionalFormatting sqref="Y13:Y14 Y6:Y9">
    <cfRule type="dataBar" priority="15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{16D18D54-168D-4819-A7B3-7147A9F4E338}</x14:id>
        </ext>
      </extLst>
    </cfRule>
  </conditionalFormatting>
  <conditionalFormatting sqref="Z13:Z14 Z6:Z9">
    <cfRule type="dataBar" priority="15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{BE7D1443-3575-4C3A-8A48-BD8AC4EDB23A}</x14:id>
        </ext>
      </extLst>
    </cfRule>
  </conditionalFormatting>
  <conditionalFormatting sqref="AA13:AA14 AA6:AA9">
    <cfRule type="dataBar" priority="15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{C9830FBE-6EB8-499E-88E4-99506150F1F8}</x14:id>
        </ext>
      </extLst>
    </cfRule>
  </conditionalFormatting>
  <conditionalFormatting sqref="AB13:AB14 AB6:AB9">
    <cfRule type="dataBar" priority="15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{35136AEB-365A-4CFB-975B-AB855844E952}</x14:id>
        </ext>
      </extLst>
    </cfRule>
  </conditionalFormatting>
  <conditionalFormatting sqref="V13:AA14 V6:AA9">
    <cfRule type="dataBar" priority="15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{353943E7-905C-46A7-B833-112B81781BB3}</x14:id>
        </ext>
      </extLst>
    </cfRule>
  </conditionalFormatting>
  <conditionalFormatting sqref="AC4 AC9">
    <cfRule type="dataBar" priority="15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{B97BCCD6-A266-42C3-9106-F3E5E7A5E26E}</x14:id>
        </ext>
      </extLst>
    </cfRule>
  </conditionalFormatting>
  <conditionalFormatting sqref="AC13:AC14 AC4 AC6:AC9">
    <cfRule type="dataBar" priority="15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{49A9F42D-C8EB-4113-A235-854B3879BCB5}</x14:id>
        </ext>
      </extLst>
    </cfRule>
  </conditionalFormatting>
  <conditionalFormatting sqref="L15:M15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{2BAC625A-D58B-40A3-B550-D7A730677FEF}</x14:id>
        </ext>
      </extLst>
    </cfRule>
  </conditionalFormatting>
  <conditionalFormatting sqref="L15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{34B96569-947F-4786-873D-907C8A15B933}</x14:id>
        </ext>
      </extLst>
    </cfRule>
  </conditionalFormatting>
  <conditionalFormatting sqref="V15:Z15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{0C160654-4066-40BC-8D26-CFD886E68532}</x14:id>
        </ext>
      </extLst>
    </cfRule>
  </conditionalFormatting>
  <conditionalFormatting sqref="V15:Z15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{2441C4EC-FA25-4408-BEAB-07956ED0D230}</x14:id>
        </ext>
      </extLst>
    </cfRule>
  </conditionalFormatting>
  <conditionalFormatting sqref="AA15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{785D4EB7-428D-4AB4-8C99-DCCFAD5E3E0D}</x14:id>
        </ext>
      </extLst>
    </cfRule>
  </conditionalFormatting>
  <conditionalFormatting sqref="V15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{32C85F85-F222-4D8F-8B34-C2F06BBEFFF7}</x14:id>
        </ext>
      </extLst>
    </cfRule>
  </conditionalFormatting>
  <conditionalFormatting sqref="W15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{64A797C1-5CB1-4F2F-AE90-6E444D1654B6}</x14:id>
        </ext>
      </extLst>
    </cfRule>
  </conditionalFormatting>
  <conditionalFormatting sqref="X15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{B22461F4-A677-4D16-80AF-F8221BA794F8}</x14:id>
        </ext>
      </extLst>
    </cfRule>
  </conditionalFormatting>
  <conditionalFormatting sqref="Y15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{C96F825D-CFC8-4A25-A743-C81F0C435838}</x14:id>
        </ext>
      </extLst>
    </cfRule>
  </conditionalFormatting>
  <conditionalFormatting sqref="Z15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{C8140CF7-0813-4F5C-9194-A1C151D4F038}</x14:id>
        </ext>
      </extLst>
    </cfRule>
  </conditionalFormatting>
  <conditionalFormatting sqref="AB15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{A0F18B23-17A2-4B3D-A9BA-17080B2FC10B}</x14:id>
        </ext>
      </extLst>
    </cfRule>
  </conditionalFormatting>
  <conditionalFormatting sqref="V15:AA15">
    <cfRule type="dataBar" priority="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{03F399F2-4F97-4284-A109-422E71A3A5F7}</x14:id>
        </ext>
      </extLst>
    </cfRule>
  </conditionalFormatting>
  <conditionalFormatting sqref="M15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{63CB08D2-17AD-4CA0-BDE7-DB8792A1EF01}</x14:id>
        </ext>
      </extLst>
    </cfRule>
  </conditionalFormatting>
  <conditionalFormatting sqref="L15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{B98AFF9C-D957-4AE5-AD95-769DD26ADD79}</x14:id>
        </ext>
      </extLst>
    </cfRule>
  </conditionalFormatting>
  <conditionalFormatting sqref="M1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{DA4330FB-8078-4E8D-BFD3-9AE88E641096}</x14:id>
        </ext>
      </extLst>
    </cfRule>
  </conditionalFormatting>
  <conditionalFormatting sqref="L15:M1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{07B119C1-967D-4F16-AC07-1C640C67AB8B}</x14:id>
        </ext>
      </extLst>
    </cfRule>
  </conditionalFormatting>
  <conditionalFormatting sqref="E158">
    <cfRule type="containsText" dxfId="5859" priority="173" operator="containsText" text="Buy">
      <formula>NOT(ISERROR(SEARCH("Buy",E158)))</formula>
    </cfRule>
    <cfRule type="containsText" dxfId="5858" priority="174" operator="containsText" text="Sell">
      <formula>NOT(ISERROR(SEARCH("Sell",E158)))</formula>
    </cfRule>
  </conditionalFormatting>
  <conditionalFormatting sqref="E157">
    <cfRule type="containsText" dxfId="5857" priority="171" operator="containsText" text="Buy">
      <formula>NOT(ISERROR(SEARCH("Buy",E157)))</formula>
    </cfRule>
    <cfRule type="containsText" dxfId="5856" priority="172" operator="containsText" text="Sell">
      <formula>NOT(ISERROR(SEARCH("Sell",E157)))</formula>
    </cfRule>
  </conditionalFormatting>
  <conditionalFormatting sqref="E161">
    <cfRule type="containsText" dxfId="5855" priority="152" operator="containsText" text="Buy">
      <formula>NOT(ISERROR(SEARCH("Buy",E161)))</formula>
    </cfRule>
    <cfRule type="containsText" dxfId="5854" priority="153" operator="containsText" text="Sell">
      <formula>NOT(ISERROR(SEARCH("Sell",E161)))</formula>
    </cfRule>
  </conditionalFormatting>
  <conditionalFormatting sqref="E160">
    <cfRule type="containsText" dxfId="5853" priority="150" operator="containsText" text="Buy">
      <formula>NOT(ISERROR(SEARCH("Buy",E160)))</formula>
    </cfRule>
    <cfRule type="containsText" dxfId="5852" priority="151" operator="containsText" text="Sell">
      <formula>NOT(ISERROR(SEARCH("Sell",E160)))</formula>
    </cfRule>
  </conditionalFormatting>
  <conditionalFormatting sqref="E121">
    <cfRule type="containsText" dxfId="5851" priority="148" operator="containsText" text="Buy">
      <formula>NOT(ISERROR(SEARCH("Buy",E121)))</formula>
    </cfRule>
    <cfRule type="containsText" dxfId="5850" priority="149" operator="containsText" text="Sell">
      <formula>NOT(ISERROR(SEARCH("Sell",E121)))</formula>
    </cfRule>
  </conditionalFormatting>
  <conditionalFormatting sqref="E156">
    <cfRule type="containsText" dxfId="5849" priority="146" operator="containsText" text="Buy">
      <formula>NOT(ISERROR(SEARCH("Buy",E156)))</formula>
    </cfRule>
    <cfRule type="containsText" dxfId="5848" priority="147" operator="containsText" text="Sell">
      <formula>NOT(ISERROR(SEARCH("Sell",E156)))</formula>
    </cfRule>
  </conditionalFormatting>
  <conditionalFormatting sqref="D42">
    <cfRule type="containsText" dxfId="5847" priority="143" operator="containsText" text="Buy">
      <formula>NOT(ISERROR(SEARCH("Buy",D42)))</formula>
    </cfRule>
    <cfRule type="containsText" dxfId="5846" priority="144" operator="containsText" text="Sell">
      <formula>NOT(ISERROR(SEARCH("Sell",D42)))</formula>
    </cfRule>
  </conditionalFormatting>
  <conditionalFormatting sqref="H42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{D6994D98-1247-47A2-B52B-3341FF8A2FA3}</x14:id>
        </ext>
      </extLst>
    </cfRule>
    <cfRule type="cellIs" dxfId="5845" priority="145" operator="equal">
      <formula>1</formula>
    </cfRule>
  </conditionalFormatting>
  <conditionalFormatting sqref="D43:D44">
    <cfRule type="containsText" dxfId="5844" priority="139" operator="containsText" text="Buy">
      <formula>NOT(ISERROR(SEARCH("Buy",D43)))</formula>
    </cfRule>
    <cfRule type="containsText" dxfId="5843" priority="140" operator="containsText" text="Sell">
      <formula>NOT(ISERROR(SEARCH("Sell",D43)))</formula>
    </cfRule>
  </conditionalFormatting>
  <conditionalFormatting sqref="H43:H4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{2BA06D61-1FDE-49B6-90EC-D12F4F866DA8}</x14:id>
        </ext>
      </extLst>
    </cfRule>
    <cfRule type="cellIs" dxfId="5842" priority="141" operator="equal">
      <formula>1</formula>
    </cfRule>
  </conditionalFormatting>
  <conditionalFormatting sqref="D50">
    <cfRule type="containsText" dxfId="5841" priority="135" operator="containsText" text="Buy">
      <formula>NOT(ISERROR(SEARCH("Buy",D50)))</formula>
    </cfRule>
    <cfRule type="containsText" dxfId="5840" priority="136" operator="containsText" text="Sell">
      <formula>NOT(ISERROR(SEARCH("Sell",D50)))</formula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{95DDF04D-D69D-485A-B96B-2C361DF7A00E}</x14:id>
        </ext>
      </extLst>
    </cfRule>
    <cfRule type="cellIs" dxfId="5839" priority="137" operator="equal">
      <formula>1</formula>
    </cfRule>
  </conditionalFormatting>
  <conditionalFormatting sqref="D46">
    <cfRule type="containsText" dxfId="5838" priority="131" operator="containsText" text="Buy">
      <formula>NOT(ISERROR(SEARCH("Buy",D46)))</formula>
    </cfRule>
    <cfRule type="containsText" dxfId="5837" priority="132" operator="containsText" text="Sell">
      <formula>NOT(ISERROR(SEARCH("Sell",D46)))</formula>
    </cfRule>
  </conditionalFormatting>
  <conditionalFormatting sqref="H4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{7BEECC2B-8082-41D3-8CAD-7248C7D5DDC9}</x14:id>
        </ext>
      </extLst>
    </cfRule>
    <cfRule type="cellIs" dxfId="5836" priority="133" operator="equal">
      <formula>1</formula>
    </cfRule>
  </conditionalFormatting>
  <conditionalFormatting sqref="D47">
    <cfRule type="containsText" dxfId="5835" priority="127" operator="containsText" text="Buy">
      <formula>NOT(ISERROR(SEARCH("Buy",D47)))</formula>
    </cfRule>
    <cfRule type="containsText" dxfId="5834" priority="128" operator="containsText" text="Sell">
      <formula>NOT(ISERROR(SEARCH("Sell",D47)))</formula>
    </cfRule>
  </conditionalFormatting>
  <conditionalFormatting sqref="H47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{20DD2273-1DDE-4B00-A6FB-E2FA856BC972}</x14:id>
        </ext>
      </extLst>
    </cfRule>
    <cfRule type="cellIs" dxfId="5833" priority="129" operator="equal">
      <formula>1</formula>
    </cfRule>
  </conditionalFormatting>
  <conditionalFormatting sqref="D48">
    <cfRule type="containsText" dxfId="5832" priority="123" operator="containsText" text="Buy">
      <formula>NOT(ISERROR(SEARCH("Buy",D48)))</formula>
    </cfRule>
    <cfRule type="containsText" dxfId="5831" priority="124" operator="containsText" text="Sell">
      <formula>NOT(ISERROR(SEARCH("Sell",D48)))</formula>
    </cfRule>
  </conditionalFormatting>
  <conditionalFormatting sqref="H48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{1B531752-F400-4749-B108-16AED9CA4EAE}</x14:id>
        </ext>
      </extLst>
    </cfRule>
    <cfRule type="cellIs" dxfId="5830" priority="125" operator="equal">
      <formula>1</formula>
    </cfRule>
  </conditionalFormatting>
  <conditionalFormatting sqref="D49">
    <cfRule type="containsText" dxfId="5829" priority="119" operator="containsText" text="Buy">
      <formula>NOT(ISERROR(SEARCH("Buy",D49)))</formula>
    </cfRule>
    <cfRule type="containsText" dxfId="5828" priority="120" operator="containsText" text="Sell">
      <formula>NOT(ISERROR(SEARCH("Sell",D49)))</formula>
    </cfRule>
  </conditionalFormatting>
  <conditionalFormatting sqref="H4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{46147B8E-ADCC-4843-B8FE-4068B18660BD}</x14:id>
        </ext>
      </extLst>
    </cfRule>
    <cfRule type="cellIs" dxfId="5827" priority="121" operator="equal">
      <formula>1</formula>
    </cfRule>
  </conditionalFormatting>
  <conditionalFormatting sqref="D45">
    <cfRule type="containsText" dxfId="5826" priority="115" operator="containsText" text="Buy">
      <formula>NOT(ISERROR(SEARCH("Buy",D45)))</formula>
    </cfRule>
    <cfRule type="containsText" dxfId="5825" priority="116" operator="containsText" text="Sell">
      <formula>NOT(ISERROR(SEARCH("Sell",D45)))</formula>
    </cfRule>
  </conditionalFormatting>
  <conditionalFormatting sqref="H45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{2861E06D-8731-495C-B5EA-CD48B436F7B7}</x14:id>
        </ext>
      </extLst>
    </cfRule>
    <cfRule type="cellIs" dxfId="5824" priority="117" operator="equal">
      <formula>1</formula>
    </cfRule>
  </conditionalFormatting>
  <conditionalFormatting sqref="D51">
    <cfRule type="containsText" dxfId="5823" priority="95" operator="containsText" text="Buy">
      <formula>NOT(ISERROR(SEARCH("Buy",D51)))</formula>
    </cfRule>
    <cfRule type="containsText" dxfId="5822" priority="96" operator="containsText" text="Sell">
      <formula>NOT(ISERROR(SEARCH("Sell",D51)))</formula>
    </cfRule>
  </conditionalFormatting>
  <conditionalFormatting sqref="H5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{AF385C4B-E0C8-468F-AA05-C60AB7264A1B}</x14:id>
        </ext>
      </extLst>
    </cfRule>
    <cfRule type="cellIs" dxfId="5821" priority="97" operator="equal">
      <formula>1</formula>
    </cfRule>
  </conditionalFormatting>
  <conditionalFormatting sqref="D52">
    <cfRule type="containsText" dxfId="5820" priority="91" operator="containsText" text="Buy">
      <formula>NOT(ISERROR(SEARCH("Buy",D52)))</formula>
    </cfRule>
    <cfRule type="containsText" dxfId="5819" priority="92" operator="containsText" text="Sell">
      <formula>NOT(ISERROR(SEARCH("Sell",D52)))</formula>
    </cfRule>
  </conditionalFormatting>
  <conditionalFormatting sqref="H5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{50F14C61-10F4-4B37-B8AE-B47626CDA3A4}</x14:id>
        </ext>
      </extLst>
    </cfRule>
    <cfRule type="cellIs" dxfId="5818" priority="93" operator="equal">
      <formula>1</formula>
    </cfRule>
  </conditionalFormatting>
  <conditionalFormatting sqref="L14:M14 M4:M9 M13 L16:M16 L18:M18">
    <cfRule type="dataBar" priority="267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{BA65D4FF-8BB0-42DF-ACB1-89AC7A85E43B}</x14:id>
        </ext>
      </extLst>
    </cfRule>
  </conditionalFormatting>
  <conditionalFormatting sqref="L14 L16 L18">
    <cfRule type="dataBar" priority="267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{652B2997-1B4A-4C6E-9192-BA4EBB992913}</x14:id>
        </ext>
      </extLst>
    </cfRule>
  </conditionalFormatting>
  <conditionalFormatting sqref="V16:Z16 V18:Z18">
    <cfRule type="dataBar" priority="267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{6D8F3DB1-EF75-4457-B5FE-868884F77DEC}</x14:id>
        </ext>
      </extLst>
    </cfRule>
  </conditionalFormatting>
  <conditionalFormatting sqref="AA16 AA18">
    <cfRule type="dataBar" priority="26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{C91293BD-2E90-451A-A8FC-10B8464BD34F}</x14:id>
        </ext>
      </extLst>
    </cfRule>
  </conditionalFormatting>
  <conditionalFormatting sqref="V18 V16">
    <cfRule type="dataBar" priority="267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{0AC41465-54FC-46B2-ABB8-BADD34A7B71E}</x14:id>
        </ext>
      </extLst>
    </cfRule>
  </conditionalFormatting>
  <conditionalFormatting sqref="W18 W16">
    <cfRule type="dataBar" priority="267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{1C73D0A8-A852-46DB-8095-EA708F843DA1}</x14:id>
        </ext>
      </extLst>
    </cfRule>
  </conditionalFormatting>
  <conditionalFormatting sqref="X18 X16">
    <cfRule type="dataBar" priority="267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{DA1BAE95-E2B1-4EBE-874B-11970DD8E46D}</x14:id>
        </ext>
      </extLst>
    </cfRule>
  </conditionalFormatting>
  <conditionalFormatting sqref="Y16 Y18">
    <cfRule type="dataBar" priority="267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{F09C37F1-A3E9-4A7D-95C3-F9DB6E525308}</x14:id>
        </ext>
      </extLst>
    </cfRule>
  </conditionalFormatting>
  <conditionalFormatting sqref="Z18 Z16">
    <cfRule type="dataBar" priority="267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{09CAF12E-4172-4D35-B90D-83146AF5BDE5}</x14:id>
        </ext>
      </extLst>
    </cfRule>
  </conditionalFormatting>
  <conditionalFormatting sqref="AB16 AB18">
    <cfRule type="dataBar" priority="267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{871BB5ED-093E-44FB-B691-9B31E1A5435C}</x14:id>
        </ext>
      </extLst>
    </cfRule>
  </conditionalFormatting>
  <conditionalFormatting sqref="V16:AA16 V18:AA18">
    <cfRule type="dataBar" priority="26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{4586DB01-5378-4E86-9DEC-665F074F2724}</x14:id>
        </ext>
      </extLst>
    </cfRule>
  </conditionalFormatting>
  <conditionalFormatting sqref="M13:M14 M4:M9 M16 M18">
    <cfRule type="dataBar" priority="267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{C57B4B46-F2A2-4066-A3D4-03A29C7000F7}</x14:id>
        </ext>
      </extLst>
    </cfRule>
  </conditionalFormatting>
  <conditionalFormatting sqref="L4:L10 L16 L18 L12:L14">
    <cfRule type="dataBar" priority="267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{9AF7F39D-ED58-48C4-BFC8-C2D3285652D7}</x14:id>
        </ext>
      </extLst>
    </cfRule>
  </conditionalFormatting>
  <conditionalFormatting sqref="M4:M10 M16 M18 M12:M14">
    <cfRule type="dataBar" priority="267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{1A5F8DDE-A742-47A3-99AB-83524A2A1DF6}</x14:id>
        </ext>
      </extLst>
    </cfRule>
  </conditionalFormatting>
  <conditionalFormatting sqref="D53">
    <cfRule type="containsText" dxfId="5817" priority="87" operator="containsText" text="Buy">
      <formula>NOT(ISERROR(SEARCH("Buy",D53)))</formula>
    </cfRule>
    <cfRule type="containsText" dxfId="5816" priority="88" operator="containsText" text="Sell">
      <formula>NOT(ISERROR(SEARCH("Sell",D53)))</formula>
    </cfRule>
  </conditionalFormatting>
  <conditionalFormatting sqref="H53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{DD4C83D7-2C3D-4C80-AD4E-037870C38525}</x14:id>
        </ext>
      </extLst>
    </cfRule>
    <cfRule type="cellIs" dxfId="5815" priority="89" operator="equal">
      <formula>1</formula>
    </cfRule>
  </conditionalFormatting>
  <conditionalFormatting sqref="H54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{974F0FDE-AA47-4A15-A1FF-F3FFC2F36558}</x14:id>
        </ext>
      </extLst>
    </cfRule>
    <cfRule type="cellIs" dxfId="5814" priority="85" operator="equal">
      <formula>1</formula>
    </cfRule>
  </conditionalFormatting>
  <conditionalFormatting sqref="D54">
    <cfRule type="containsText" dxfId="5813" priority="83" operator="containsText" text="Buy">
      <formula>NOT(ISERROR(SEARCH("Buy",D54)))</formula>
    </cfRule>
    <cfRule type="containsText" dxfId="5812" priority="84" operator="containsText" text="Sell">
      <formula>NOT(ISERROR(SEARCH("Sell",D54)))</formula>
    </cfRule>
  </conditionalFormatting>
  <conditionalFormatting sqref="T4:T10 T12:T14">
    <cfRule type="dataBar" priority="30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{DC9AF98D-B143-4DA0-B219-24F0427AAF9C}</x14:id>
        </ext>
      </extLst>
    </cfRule>
  </conditionalFormatting>
  <conditionalFormatting sqref="L17:M17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{6A21EE4A-1358-443B-AAF4-097B20FCF45D}</x14:id>
        </ext>
      </extLst>
    </cfRule>
  </conditionalFormatting>
  <conditionalFormatting sqref="L17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{63893ED5-0A00-4760-847D-C913088C0D5C}</x14:id>
        </ext>
      </extLst>
    </cfRule>
  </conditionalFormatting>
  <conditionalFormatting sqref="V17:Z17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{88DF8433-8B75-48EA-BA8B-C1E247613BB6}</x14:id>
        </ext>
      </extLst>
    </cfRule>
  </conditionalFormatting>
  <conditionalFormatting sqref="AA1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{D8DF745C-8701-4FEE-ADD2-9CA570414ECD}</x14:id>
        </ext>
      </extLst>
    </cfRule>
  </conditionalFormatting>
  <conditionalFormatting sqref="V17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{19032797-F4EE-471E-A98F-46D53B4CA112}</x14:id>
        </ext>
      </extLst>
    </cfRule>
  </conditionalFormatting>
  <conditionalFormatting sqref="W17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{BACC1952-FF2B-4F22-975E-CADE5E49440B}</x14:id>
        </ext>
      </extLst>
    </cfRule>
  </conditionalFormatting>
  <conditionalFormatting sqref="X17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{29E10D62-2961-4486-B43C-B5262B09358D}</x14:id>
        </ext>
      </extLst>
    </cfRule>
  </conditionalFormatting>
  <conditionalFormatting sqref="Y17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{23A677F2-612D-4F37-8727-F00A1429969A}</x14:id>
        </ext>
      </extLst>
    </cfRule>
  </conditionalFormatting>
  <conditionalFormatting sqref="Z17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{3787FF87-9FD1-4A70-A16E-7B716F48490A}</x14:id>
        </ext>
      </extLst>
    </cfRule>
  </conditionalFormatting>
  <conditionalFormatting sqref="AB17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{E91DD89B-E543-4FDA-AE9E-843BA8613880}</x14:id>
        </ext>
      </extLst>
    </cfRule>
  </conditionalFormatting>
  <conditionalFormatting sqref="V17:AA17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{3BE253E1-94CE-42D3-BE49-D69B2130878F}</x14:id>
        </ext>
      </extLst>
    </cfRule>
  </conditionalFormatting>
  <conditionalFormatting sqref="M17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{43E23E48-C0EF-49A5-BECA-D8F4B98B5F36}</x14:id>
        </ext>
      </extLst>
    </cfRule>
  </conditionalFormatting>
  <conditionalFormatting sqref="L17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{155335DB-FC57-4C1B-B781-158DA49470A8}</x14:id>
        </ext>
      </extLst>
    </cfRule>
  </conditionalFormatting>
  <conditionalFormatting sqref="M1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{F8C8E60F-2515-427E-94D8-295139BD4B64}</x14:id>
        </ext>
      </extLst>
    </cfRule>
  </conditionalFormatting>
  <conditionalFormatting sqref="L17:M1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{327ACB96-498E-410B-9C02-0A7B3FF9A080}</x14:id>
        </ext>
      </extLst>
    </cfRule>
  </conditionalFormatting>
  <conditionalFormatting sqref="T17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{87D640AF-41AC-4083-822C-75EE45C058D1}</x14:id>
        </ext>
      </extLst>
    </cfRule>
  </conditionalFormatting>
  <conditionalFormatting sqref="T17">
    <cfRule type="dataBar" priority="7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{E0BE141A-B1C5-4A5A-86FA-E73059BC527C}</x14:id>
        </ext>
      </extLst>
    </cfRule>
  </conditionalFormatting>
  <conditionalFormatting sqref="L1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{6C5A3A96-D532-4588-AED4-BE24C57AE009}</x14:id>
        </ext>
      </extLst>
    </cfRule>
  </conditionalFormatting>
  <conditionalFormatting sqref="M1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{8A7705ED-EAE2-4D55-AAC2-349E8C7174CF}</x14:id>
        </ext>
      </extLst>
    </cfRule>
  </conditionalFormatting>
  <conditionalFormatting sqref="E164">
    <cfRule type="containsText" dxfId="5811" priority="61" operator="containsText" text="Buy">
      <formula>NOT(ISERROR(SEARCH("Buy",E164)))</formula>
    </cfRule>
    <cfRule type="containsText" dxfId="5810" priority="62" operator="containsText" text="Sell">
      <formula>NOT(ISERROR(SEARCH("Sell",E164)))</formula>
    </cfRule>
  </conditionalFormatting>
  <conditionalFormatting sqref="E163">
    <cfRule type="containsText" dxfId="5809" priority="59" operator="containsText" text="Buy">
      <formula>NOT(ISERROR(SEARCH("Buy",E163)))</formula>
    </cfRule>
    <cfRule type="containsText" dxfId="5808" priority="60" operator="containsText" text="Sell">
      <formula>NOT(ISERROR(SEARCH("Sell",E163)))</formula>
    </cfRule>
  </conditionalFormatting>
  <conditionalFormatting sqref="I4:I10 I12:I1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{175F0CC5-4081-46FC-9486-555969807D6B}</x14:id>
        </ext>
      </extLst>
    </cfRule>
  </conditionalFormatting>
  <conditionalFormatting sqref="I4:I10 I12:I14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{B10C8815-D520-4A31-B267-955988323B3E}</x14:id>
        </ext>
      </extLst>
    </cfRule>
  </conditionalFormatting>
  <conditionalFormatting sqref="I4:I10 I12:I1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{B5BAE7E4-C261-4E3C-8BE7-65E2C596BE0F}</x14:id>
        </ext>
      </extLst>
    </cfRule>
  </conditionalFormatting>
  <conditionalFormatting sqref="L4:M10 L12:M2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{36FDB629-D741-460B-B153-683D44C853A7}</x14:id>
        </ext>
      </extLst>
    </cfRule>
  </conditionalFormatting>
  <conditionalFormatting sqref="T20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{4C4C0C94-D121-4051-A8C4-41CE4CDCBA2D}</x14:id>
        </ext>
      </extLst>
    </cfRule>
  </conditionalFormatting>
  <conditionalFormatting sqref="V11:Z11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{A3ED3FC7-883F-404D-A4C6-A3B26B8CEE9C}</x14:id>
        </ext>
      </extLst>
    </cfRule>
  </conditionalFormatting>
  <conditionalFormatting sqref="V11:Z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{6EA7CC8E-774B-4343-B2F6-C4638391A39C}</x14:id>
        </ext>
      </extLst>
    </cfRule>
  </conditionalFormatting>
  <conditionalFormatting sqref="AA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{F665A69A-DC77-4EDE-9228-4A4473C5B879}</x14:id>
        </ext>
      </extLst>
    </cfRule>
  </conditionalFormatting>
  <conditionalFormatting sqref="V11:Z11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{223C9A7D-861E-444C-802F-02C8434A27C1}</x14:id>
        </ext>
      </extLst>
    </cfRule>
  </conditionalFormatting>
  <conditionalFormatting sqref="V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{3EAE1B87-21FA-4A69-81A9-2BF5B64AF0AF}</x14:id>
        </ext>
      </extLst>
    </cfRule>
  </conditionalFormatting>
  <conditionalFormatting sqref="W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{128073AB-B1B4-4441-871B-E0B81EBED363}</x14:id>
        </ext>
      </extLst>
    </cfRule>
  </conditionalFormatting>
  <conditionalFormatting sqref="X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{07F9F315-11B3-4BE9-BB8B-CDA021E73D60}</x14:id>
        </ext>
      </extLst>
    </cfRule>
  </conditionalFormatting>
  <conditionalFormatting sqref="Y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{B30D9A8E-BB6F-4FC2-BE24-C131AF61D380}</x14:id>
        </ext>
      </extLst>
    </cfRule>
  </conditionalFormatting>
  <conditionalFormatting sqref="Z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{7F3B9E82-FCAE-4A41-8339-323294888BDA}</x14:id>
        </ext>
      </extLst>
    </cfRule>
  </conditionalFormatting>
  <conditionalFormatting sqref="AA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{F5FE4990-95B2-4516-930E-CFEA3E68FA37}</x14:id>
        </ext>
      </extLst>
    </cfRule>
  </conditionalFormatting>
  <conditionalFormatting sqref="AB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{9D2721E6-9DB9-45AF-A989-26AB4D3D37F0}</x14:id>
        </ext>
      </extLst>
    </cfRule>
  </conditionalFormatting>
  <conditionalFormatting sqref="V11:AA11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{38AECA4D-92D6-45AE-8247-9EF08B424FD8}</x14:id>
        </ext>
      </extLst>
    </cfRule>
  </conditionalFormatting>
  <conditionalFormatting sqref="AC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{5D278962-C969-4CD6-9A83-DA7D47748BC7}</x14:id>
        </ext>
      </extLst>
    </cfRule>
  </conditionalFormatting>
  <conditionalFormatting sqref="L11:M1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{3E138FD5-4AAB-49AF-943D-1AF0B80A5826}</x14:id>
        </ext>
      </extLst>
    </cfRule>
  </conditionalFormatting>
  <conditionalFormatting sqref="L11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{3353B43A-BB5B-44DA-8B02-93EB0ADB68D3}</x14:id>
        </ext>
      </extLst>
    </cfRule>
  </conditionalFormatting>
  <conditionalFormatting sqref="M11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{4BCAF9E4-7293-4777-AFC4-C1950D4A99E1}</x14:id>
        </ext>
      </extLst>
    </cfRule>
  </conditionalFormatting>
  <conditionalFormatting sqref="L11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{B3ABA14C-CD90-4CEA-A891-C791FB3D4BA0}</x14:id>
        </ext>
      </extLst>
    </cfRule>
  </conditionalFormatting>
  <conditionalFormatting sqref="M11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{2C91FF87-1A4A-4D9D-87D9-D15477594A8B}</x14:id>
        </ext>
      </extLst>
    </cfRule>
  </conditionalFormatting>
  <conditionalFormatting sqref="L11:M11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{D523E351-A761-4C96-A919-C75F09005F05}</x14:id>
        </ext>
      </extLst>
    </cfRule>
  </conditionalFormatting>
  <conditionalFormatting sqref="T11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{A7018242-2411-462F-BF0B-DBFBEDBFA992}</x14:id>
        </ext>
      </extLst>
    </cfRule>
  </conditionalFormatting>
  <conditionalFormatting sqref="L11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{FD28204F-301F-4E2E-85BD-C316B2DBE627}</x14:id>
        </ext>
      </extLst>
    </cfRule>
  </conditionalFormatting>
  <conditionalFormatting sqref="M11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{39BF3AB2-AC1E-480E-89E9-9320F30B00CC}</x14:id>
        </ext>
      </extLst>
    </cfRule>
  </conditionalFormatting>
  <conditionalFormatting sqref="I11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{596E0F39-8F5F-4783-88F7-FD12D3D7504F}</x14:id>
        </ext>
      </extLst>
    </cfRule>
  </conditionalFormatting>
  <conditionalFormatting sqref="I1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{10B82B58-A814-45CD-AA2B-E473FFFF4505}</x14:id>
        </ext>
      </extLst>
    </cfRule>
  </conditionalFormatting>
  <conditionalFormatting sqref="I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{975A9065-A55D-40DD-BA18-D69B7B3C7D7D}</x14:id>
        </ext>
      </extLst>
    </cfRule>
  </conditionalFormatting>
  <conditionalFormatting sqref="L11:M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{D2175CB4-7ABF-47FE-9876-5329E1E6475F}</x14:id>
        </ext>
      </extLst>
    </cfRule>
  </conditionalFormatting>
  <conditionalFormatting sqref="T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{ABD7F354-D9F9-48DE-859B-F1572947B0BA}</x14:id>
        </ext>
      </extLst>
    </cfRule>
  </conditionalFormatting>
  <conditionalFormatting sqref="L11:M1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{590724B7-6730-4C50-AFDB-413A5F479E83}</x14:id>
        </ext>
      </extLst>
    </cfRule>
  </conditionalFormatting>
  <conditionalFormatting sqref="V11:AA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{BB990DC1-B48F-4095-BD10-D30F314B7E80}</x14:id>
        </ext>
      </extLst>
    </cfRule>
  </conditionalFormatting>
  <conditionalFormatting sqref="E166">
    <cfRule type="containsText" dxfId="5807" priority="10" operator="containsText" text="Buy">
      <formula>NOT(ISERROR(SEARCH("Buy",E166)))</formula>
    </cfRule>
    <cfRule type="containsText" dxfId="5806" priority="11" operator="containsText" text="Sell">
      <formula>NOT(ISERROR(SEARCH("Sell",E166)))</formula>
    </cfRule>
  </conditionalFormatting>
  <conditionalFormatting sqref="E167">
    <cfRule type="containsText" dxfId="5805" priority="12" operator="containsText" text="Buy">
      <formula>NOT(ISERROR(SEARCH("Buy",E167)))</formula>
    </cfRule>
    <cfRule type="containsText" dxfId="5804" priority="13" operator="containsText" text="Sell">
      <formula>NOT(ISERROR(SEARCH("Sell",E167)))</formula>
    </cfRule>
  </conditionalFormatting>
  <conditionalFormatting sqref="D55">
    <cfRule type="containsText" dxfId="5803" priority="6" operator="containsText" text="Buy">
      <formula>NOT(ISERROR(SEARCH("Buy",D55)))</formula>
    </cfRule>
    <cfRule type="containsText" dxfId="5802" priority="7" operator="containsText" text="Sell">
      <formula>NOT(ISERROR(SEARCH("Sell",D55)))</formula>
    </cfRule>
  </conditionalFormatting>
  <conditionalFormatting sqref="H55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{B21D642A-109A-449D-9778-56773FCDDA88}</x14:id>
        </ext>
      </extLst>
    </cfRule>
    <cfRule type="cellIs" dxfId="5801" priority="8" operator="equal">
      <formula>1</formula>
    </cfRule>
  </conditionalFormatting>
  <conditionalFormatting sqref="D56">
    <cfRule type="containsText" dxfId="5800" priority="2" operator="containsText" text="Buy">
      <formula>NOT(ISERROR(SEARCH("Buy",D56)))</formula>
    </cfRule>
    <cfRule type="containsText" dxfId="5799" priority="3" operator="containsText" text="Sell">
      <formula>NOT(ISERROR(SEARCH("Sell",D56)))</formula>
    </cfRule>
  </conditionalFormatting>
  <conditionalFormatting sqref="H5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{0F1D9C37-7B08-4E2B-B247-634F8F6F73CC}</x14:id>
        </ext>
      </extLst>
    </cfRule>
    <cfRule type="cellIs" dxfId="5798" priority="4" operator="equal">
      <formula>1</formula>
    </cfRule>
  </conditionalFormatting>
  <conditionalFormatting sqref="L16:M16 L4:M10 L18:M18 L12:M14">
    <cfRule type="dataBar" priority="337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{24DA4185-C3B7-4520-8135-7DC496FE9894}</x14:id>
        </ext>
      </extLst>
    </cfRule>
  </conditionalFormatting>
  <conditionalFormatting sqref="T15:T16 T18">
    <cfRule type="dataBar" priority="337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{8647610B-77ED-4445-97B7-0E2B2E39B4FE}</x14:id>
        </ext>
      </extLst>
    </cfRule>
  </conditionalFormatting>
  <conditionalFormatting sqref="T15:T16 T18">
    <cfRule type="dataBar" priority="337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{96FF787A-30DD-42D2-A7F6-00F379848E78}</x14:id>
        </ext>
      </extLst>
    </cfRule>
  </conditionalFormatting>
  <conditionalFormatting sqref="L4:L10 L18 L12:L16">
    <cfRule type="dataBar" priority="337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{0AE32523-7277-4A7E-AC9B-605D488A4CAB}</x14:id>
        </ext>
      </extLst>
    </cfRule>
  </conditionalFormatting>
  <conditionalFormatting sqref="M4:M10 M18 M12:M16">
    <cfRule type="dataBar" priority="337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{9F1104DE-8AA2-45C0-85FF-2578C0F14E2A}</x14:id>
        </ext>
      </extLst>
    </cfRule>
  </conditionalFormatting>
  <conditionalFormatting sqref="L4:M10 L12:M18">
    <cfRule type="dataBar" priority="337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{65E34A1A-FCB3-438A-93B1-2F8954781825}</x14:id>
        </ext>
      </extLst>
    </cfRule>
  </conditionalFormatting>
  <conditionalFormatting sqref="T4:T10 T12:T20">
    <cfRule type="dataBar" priority="337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{68933F44-E193-4B62-A7E3-C74BE7C72DA3}</x14:id>
        </ext>
      </extLst>
    </cfRule>
  </conditionalFormatting>
  <conditionalFormatting sqref="V4:AA10 V12:AA18">
    <cfRule type="dataBar" priority="33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{094FF55C-A5C2-42AF-BD6A-B1E7E22E1E51}</x14:id>
        </ext>
      </extLst>
    </cfRule>
  </conditionalFormatting>
  <conditionalFormatting sqref="I4:I20">
    <cfRule type="dataBar" priority="33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{6B444B0D-3C43-410C-AB79-C32700FEB0EF}</x14:id>
        </ext>
      </extLst>
    </cfRule>
  </conditionalFormatting>
  <pageMargins left="0.25" right="0.25" top="0.75" bottom="0.75" header="0.3" footer="0.3"/>
  <pageSetup paperSize="8" scale="1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0F071E-815A-4170-B06A-3E5450E15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079AAB61-5499-4409-981C-EE1F560AF7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866002CB-D8D0-4AD6-892E-1B776E48B1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V6:Z6</xm:sqref>
        </x14:conditionalFormatting>
        <x14:conditionalFormatting xmlns:xm="http://schemas.microsoft.com/office/excel/2006/main">
          <x14:cfRule type="dataBar" id="{AF8DE5E9-EE26-4E2B-BD3C-83900A4E1B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D7EA1B4-9418-4469-BE3C-CBA2272D4B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V13:Z13</xm:sqref>
        </x14:conditionalFormatting>
        <x14:conditionalFormatting xmlns:xm="http://schemas.microsoft.com/office/excel/2006/main">
          <x14:cfRule type="dataBar" id="{0C661023-ECDB-4F31-828C-15BCA1698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6DBF9A7E-4259-462D-BA8A-346A3ED5BB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V14:Z14</xm:sqref>
        </x14:conditionalFormatting>
        <x14:conditionalFormatting xmlns:xm="http://schemas.microsoft.com/office/excel/2006/main">
          <x14:cfRule type="dataBar" id="{7B9D329F-66F9-4FBA-B676-C12552B437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E5BB0EB7-C92A-4A7D-B0C6-CD6135466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V9:Z9</xm:sqref>
        </x14:conditionalFormatting>
        <x14:conditionalFormatting xmlns:xm="http://schemas.microsoft.com/office/excel/2006/main">
          <x14:cfRule type="dataBar" id="{558C18A3-4E7D-4F4A-BA8F-E44D282D1F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94A8B308-7118-45E8-8AD4-409DA8402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C52D8F8E-9252-4C9B-8331-50EF88B8B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41647AED-18A7-48F6-89C3-0F44482BA7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58E31C0-B9A0-44F3-8031-C40763788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A914846-64D6-4904-AEDC-0ACB3BA94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E2C7719-D418-43C9-80B5-14C180333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B5DE692-6E57-41CD-8587-EF16929210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154AF8-E4E6-48A1-8667-907783E518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26B434F9-F8D0-435A-A5A9-06282F2C33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5BE1623E-B09B-421A-AA1E-162D94E9B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V4:Z4</xm:sqref>
        </x14:conditionalFormatting>
        <x14:conditionalFormatting xmlns:xm="http://schemas.microsoft.com/office/excel/2006/main">
          <x14:cfRule type="dataBar" id="{A4679BEF-0021-4A7A-9348-8AC8A418A7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</xm:sqref>
        </x14:conditionalFormatting>
        <x14:conditionalFormatting xmlns:xm="http://schemas.microsoft.com/office/excel/2006/main">
          <x14:cfRule type="dataBar" id="{7527D373-36E7-4C6B-B2AF-C53ED9630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V4:AA4</xm:sqref>
        </x14:conditionalFormatting>
        <x14:conditionalFormatting xmlns:xm="http://schemas.microsoft.com/office/excel/2006/main">
          <x14:cfRule type="dataBar" id="{A7126F5C-24EC-4905-B191-A6A42502EA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70FE9A8F-C212-4269-BA5C-C61981908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D0B86E00-6CB8-40D1-A627-48245F898C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4C1157E9-B690-4E94-82DC-4BF3E93998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E6870B8-76E5-4C88-9858-99CB85732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A6AC611A-0C16-4956-832D-0E6577820E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4666F52-DFFB-4DF9-B0F5-A6974B37F8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38AC35CE-085F-41E5-8376-D4ED57008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6D596AAA-5F02-4B96-8E96-8D37AE5967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D47D59DA-33C9-4890-810E-CC806DBD5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8E89F392-E0BA-4853-8A12-8F676159A5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0BB3486E-ADDD-40DC-A9AE-9EBB414F0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V5:AA5</xm:sqref>
        </x14:conditionalFormatting>
        <x14:conditionalFormatting xmlns:xm="http://schemas.microsoft.com/office/excel/2006/main">
          <x14:cfRule type="dataBar" id="{BCD8862C-A169-4BC2-8493-86C396CDB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V5:Z5</xm:sqref>
        </x14:conditionalFormatting>
        <x14:conditionalFormatting xmlns:xm="http://schemas.microsoft.com/office/excel/2006/main">
          <x14:cfRule type="dataBar" id="{69AE10D0-6100-4792-AFD3-CBB3BFB9E2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EE38619B-684F-4B7D-84A1-14B5331431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5ECDE09-083F-4884-AE5A-6FAF77BD49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964A8EF4-50B6-49DD-9EC4-CB388DFCB6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AC761FAF-3816-4C67-BAE8-A5EAAA25D2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AA7:AA8</xm:sqref>
        </x14:conditionalFormatting>
        <x14:conditionalFormatting xmlns:xm="http://schemas.microsoft.com/office/excel/2006/main">
          <x14:cfRule type="dataBar" id="{F599FD78-87D5-40A5-91FE-2AEEFC978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V13:Z14 V6:Z9</xm:sqref>
        </x14:conditionalFormatting>
        <x14:conditionalFormatting xmlns:xm="http://schemas.microsoft.com/office/excel/2006/main">
          <x14:cfRule type="dataBar" id="{8C8D2FDB-667F-4F18-B150-E20FC783AC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V7:Z8</xm:sqref>
        </x14:conditionalFormatting>
        <x14:conditionalFormatting xmlns:xm="http://schemas.microsoft.com/office/excel/2006/main">
          <x14:cfRule type="dataBar" id="{EE444A82-0C31-4F8A-B6AF-2EF484C42F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0A699EE7-8953-4914-96B8-EB86C93E7C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C1A04C89-0848-4E87-8311-28999D644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D16EFAAD-63B2-468C-85D0-C671FE7086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4AF4D6A-25E2-44AE-8DE7-F7061DA6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E7AB637-20DF-4D0D-A2B6-0E53B3221D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40B47564-5B2D-425E-8A25-059A588D0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99C93EBE-3777-4A49-B694-CFE4B7764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C64F457-85A4-4749-82C7-039B97A63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AEEC819A-042C-4001-9BBD-AFE7F674A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61F62B4-09FB-4D30-BF85-A98FE052E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DF4CFADB-1077-4FD9-BE40-D3DFD0D3BA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0B598DC8-FDC5-4435-A7D2-D3E573F299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867AAFEE-BAA0-49A5-B5C0-F41AE40807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V10:Z10</xm:sqref>
        </x14:conditionalFormatting>
        <x14:conditionalFormatting xmlns:xm="http://schemas.microsoft.com/office/excel/2006/main">
          <x14:cfRule type="dataBar" id="{49521F47-81DB-4AA9-9464-1CB73E51F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FFEE4C35-E745-4224-A1C6-496112C4F8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B85B4F35-E417-4688-8129-12DB6F21E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E16B4B-A059-4F5A-BB3F-324AD7D3B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AD99A6E-256A-47B5-B2E1-3C4ADFEC7F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36F7DE29-791F-4F4C-B16A-7C373C5A3A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3D83E25-9DE0-4305-B885-024477EE1C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AB10</xm:sqref>
        </x14:conditionalFormatting>
        <x14:conditionalFormatting xmlns:xm="http://schemas.microsoft.com/office/excel/2006/main">
          <x14:cfRule type="dataBar" id="{C0056F7E-ADB7-44FD-8629-B2121D9B7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V10:AA10</xm:sqref>
        </x14:conditionalFormatting>
        <x14:conditionalFormatting xmlns:xm="http://schemas.microsoft.com/office/excel/2006/main">
          <x14:cfRule type="dataBar" id="{2DD4AD08-3EB1-4EFE-B555-4A5A1E38C1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AC10</xm:sqref>
        </x14:conditionalFormatting>
        <x14:conditionalFormatting xmlns:xm="http://schemas.microsoft.com/office/excel/2006/main">
          <x14:cfRule type="dataBar" id="{5C643AC9-D7F6-417F-B092-1234CEE9C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ECABE65D-2CAB-432E-B544-BB641DD8DD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F51E74D-984A-4800-A9F8-B82B02845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4A9F9E9D-3D1C-431C-9D36-405A635783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B70953B5-5D33-4A57-9325-3A5A61DC68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29FC258-C0FC-41EB-83EB-6D9FA39216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175E879C-D64B-4BA4-9A96-EDAB5FDBE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H32:H34</xm:sqref>
        </x14:conditionalFormatting>
        <x14:conditionalFormatting xmlns:xm="http://schemas.microsoft.com/office/excel/2006/main">
          <x14:cfRule type="dataBar" id="{15E4C50E-42A9-49EF-8B8D-607201B92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B2D032CC-4882-4FED-A904-D8EFE589D9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CFAE57DB-1B61-4324-A01F-711FFB510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830DF129-9A19-4783-9711-339F4BF66F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B283A936-9C4B-4836-B7FB-B171AACB73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V12:Z12</xm:sqref>
        </x14:conditionalFormatting>
        <x14:conditionalFormatting xmlns:xm="http://schemas.microsoft.com/office/excel/2006/main">
          <x14:cfRule type="dataBar" id="{E59CF266-DCDC-47DC-B86F-C2AF0E3BB7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71E39BBC-FCFB-48E3-B714-0739B8C334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A7AEE20-AA4F-4DED-92E6-57AFEDC3FB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5B170188-256A-41EC-B3DD-CB0063FF2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207916C3-95AF-43DB-BD87-8A28F1A0AB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53F1F9C0-C1D2-4131-A4B9-BD8838B0B5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D7FCC642-B223-41B6-BC63-CB7AF1BF6F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</xm:sqref>
        </x14:conditionalFormatting>
        <x14:conditionalFormatting xmlns:xm="http://schemas.microsoft.com/office/excel/2006/main">
          <x14:cfRule type="dataBar" id="{1056C452-DF5E-4535-AE3E-6163701408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V12:AA12</xm:sqref>
        </x14:conditionalFormatting>
        <x14:conditionalFormatting xmlns:xm="http://schemas.microsoft.com/office/excel/2006/main">
          <x14:cfRule type="dataBar" id="{6EB0D6F3-0F2A-4723-91CF-462B85A9B3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AC12</xm:sqref>
        </x14:conditionalFormatting>
        <x14:conditionalFormatting xmlns:xm="http://schemas.microsoft.com/office/excel/2006/main">
          <x14:cfRule type="dataBar" id="{3B6DE2F2-E9FF-4739-8233-CC5F44D4AD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DA0C8C9D-8751-4A1B-A19F-509D6EB137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43507E2-8200-45A0-9817-D12B522BA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0ADDE1A8-7A55-41D8-8466-B855E044D8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8C8354D-C1FE-41FC-BE1B-F72D8FCAF8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187FBB-D66B-4AC1-AB17-A5E7DD1DE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0F98A80-D08E-4CA4-8049-7BD2EB6B4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9B54FC3-C6C9-48B6-B64D-A92A3AD23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5B49578-260D-4C3C-9EC6-86844A4C09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0130567-76A7-42D3-8EAC-A3618EF2B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05D8709-6839-4DB5-BDEE-2EB8F9C3B2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D5DA24A-A1B6-4E74-A4DE-A93839A31D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83CD6F80-192D-4081-9699-B8B5A378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9AA1C4A-96DA-4CE0-9551-90351B947A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35E0606-9D26-4E2A-8871-1851E6B2C8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2450B928-27EC-4D3F-9FEF-5DA2701FBE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C157A3-4399-4B63-A6EB-FB8CDD6652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9F44DA-925D-4E92-8850-CDE44DA1BD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5B143D85-63DA-4580-9BFF-2DE5F7CDA9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8F5620E6-2D08-4733-9523-330776BBCF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913BB6FD-DE3B-41C1-820A-F6576B9E2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6F4929C1-77AC-4977-9B86-A653EEE8A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5F29B4E-C1CE-4A98-9694-6F1E56250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 AA9</xm:sqref>
        </x14:conditionalFormatting>
        <x14:conditionalFormatting xmlns:xm="http://schemas.microsoft.com/office/excel/2006/main">
          <x14:cfRule type="dataBar" id="{BB1B58A3-F7FF-4E35-9F1D-0D5B02BABE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 V6:V9</xm:sqref>
        </x14:conditionalFormatting>
        <x14:conditionalFormatting xmlns:xm="http://schemas.microsoft.com/office/excel/2006/main">
          <x14:cfRule type="dataBar" id="{BC1B6876-0EFF-48CA-B969-745F569DE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 W6:W9</xm:sqref>
        </x14:conditionalFormatting>
        <x14:conditionalFormatting xmlns:xm="http://schemas.microsoft.com/office/excel/2006/main">
          <x14:cfRule type="dataBar" id="{8EC1608E-EF4A-4B64-8A21-20CF9F930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 X6:X9</xm:sqref>
        </x14:conditionalFormatting>
        <x14:conditionalFormatting xmlns:xm="http://schemas.microsoft.com/office/excel/2006/main">
          <x14:cfRule type="dataBar" id="{16D18D54-168D-4819-A7B3-7147A9F4E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Y13:Y14 Y6:Y9</xm:sqref>
        </x14:conditionalFormatting>
        <x14:conditionalFormatting xmlns:xm="http://schemas.microsoft.com/office/excel/2006/main">
          <x14:cfRule type="dataBar" id="{BE7D1443-3575-4C3A-8A48-BD8AC4EDB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Z13:Z14 Z6:Z9</xm:sqref>
        </x14:conditionalFormatting>
        <x14:conditionalFormatting xmlns:xm="http://schemas.microsoft.com/office/excel/2006/main">
          <x14:cfRule type="dataBar" id="{C9830FBE-6EB8-499E-88E4-99506150F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AA13:AA14 AA6:AA9</xm:sqref>
        </x14:conditionalFormatting>
        <x14:conditionalFormatting xmlns:xm="http://schemas.microsoft.com/office/excel/2006/main">
          <x14:cfRule type="dataBar" id="{35136AEB-365A-4CFB-975B-AB855844E9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AB13:AB14 AB6:AB9</xm:sqref>
        </x14:conditionalFormatting>
        <x14:conditionalFormatting xmlns:xm="http://schemas.microsoft.com/office/excel/2006/main">
          <x14:cfRule type="dataBar" id="{353943E7-905C-46A7-B833-112B81781B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V13:AA14 V6:AA9</xm:sqref>
        </x14:conditionalFormatting>
        <x14:conditionalFormatting xmlns:xm="http://schemas.microsoft.com/office/excel/2006/main">
          <x14:cfRule type="dataBar" id="{B97BCCD6-A266-42C3-9106-F3E5E7A5E2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AC4 AC9</xm:sqref>
        </x14:conditionalFormatting>
        <x14:conditionalFormatting xmlns:xm="http://schemas.microsoft.com/office/excel/2006/main">
          <x14:cfRule type="dataBar" id="{49A9F42D-C8EB-4113-A235-854B3879BC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AC13:AC14 AC4 AC6:AC9</xm:sqref>
        </x14:conditionalFormatting>
        <x14:conditionalFormatting xmlns:xm="http://schemas.microsoft.com/office/excel/2006/main">
          <x14:cfRule type="dataBar" id="{2BAC625A-D58B-40A3-B550-D7A730677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34B96569-947F-4786-873D-907C8A15B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0C160654-4066-40BC-8D26-CFD886E685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2441C4EC-FA25-4408-BEAB-07956ED0D2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V15:Z15</xm:sqref>
        </x14:conditionalFormatting>
        <x14:conditionalFormatting xmlns:xm="http://schemas.microsoft.com/office/excel/2006/main">
          <x14:cfRule type="dataBar" id="{785D4EB7-428D-4AB4-8C99-DCCFAD5E3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32C85F85-F222-4D8F-8B34-C2F06BBEFF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4A797C1-5CB1-4F2F-AE90-6E444D1654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B22461F4-A677-4D16-80AF-F8221BA79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C96F825D-CFC8-4A25-A743-C81F0C4358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C8140CF7-0813-4F5C-9194-A1C151D4F0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A0F18B23-17A2-4B3D-A9BA-17080B2FC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AB15</xm:sqref>
        </x14:conditionalFormatting>
        <x14:conditionalFormatting xmlns:xm="http://schemas.microsoft.com/office/excel/2006/main">
          <x14:cfRule type="dataBar" id="{03F399F2-4F97-4284-A109-422E71A3A5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V15:AA15</xm:sqref>
        </x14:conditionalFormatting>
        <x14:conditionalFormatting xmlns:xm="http://schemas.microsoft.com/office/excel/2006/main">
          <x14:cfRule type="dataBar" id="{63CB08D2-17AD-4CA0-BDE7-DB8792A1EF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B98AFF9C-D957-4AE5-AD95-769DD26AD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A4330FB-8078-4E8D-BFD3-9AE88E6410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07B119C1-967D-4F16-AC07-1C640C67AB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6994D98-1247-47A2-B52B-3341FF8A2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2BA06D61-1FDE-49B6-90EC-D12F4F866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H43:H44</xm:sqref>
        </x14:conditionalFormatting>
        <x14:conditionalFormatting xmlns:xm="http://schemas.microsoft.com/office/excel/2006/main">
          <x14:cfRule type="dataBar" id="{95DDF04D-D69D-485A-B96B-2C361DF7A0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BEECC2B-8082-41D3-8CAD-7248C7D5DD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20DD2273-1DDE-4B00-A6FB-E2FA856BC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1B531752-F400-4749-B108-16AED9CA4E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6147B8E-ADCC-4843-B8FE-4068B18660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2861E06D-8731-495C-B5EA-CD48B436F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AF385C4B-E0C8-468F-AA05-C60AB7264A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50F14C61-10F4-4B37-B8AE-B47626CDA3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BA65D4FF-8BB0-42DF-ACB1-89AC7A85E4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 M4:M9 M13 L16:M16 L18:M18</xm:sqref>
        </x14:conditionalFormatting>
        <x14:conditionalFormatting xmlns:xm="http://schemas.microsoft.com/office/excel/2006/main">
          <x14:cfRule type="dataBar" id="{652B2997-1B4A-4C6E-9192-BA4EBB9929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 L16 L18</xm:sqref>
        </x14:conditionalFormatting>
        <x14:conditionalFormatting xmlns:xm="http://schemas.microsoft.com/office/excel/2006/main">
          <x14:cfRule type="dataBar" id="{6D8F3DB1-EF75-4457-B5FE-868884F7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V16:Z16 V18:Z18</xm:sqref>
        </x14:conditionalFormatting>
        <x14:conditionalFormatting xmlns:xm="http://schemas.microsoft.com/office/excel/2006/main">
          <x14:cfRule type="dataBar" id="{C91293BD-2E90-451A-A8FC-10B8464BD3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AA16 AA18</xm:sqref>
        </x14:conditionalFormatting>
        <x14:conditionalFormatting xmlns:xm="http://schemas.microsoft.com/office/excel/2006/main">
          <x14:cfRule type="dataBar" id="{0AC41465-54FC-46B2-ABB8-BADD34A7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 V16</xm:sqref>
        </x14:conditionalFormatting>
        <x14:conditionalFormatting xmlns:xm="http://schemas.microsoft.com/office/excel/2006/main">
          <x14:cfRule type="dataBar" id="{1C73D0A8-A852-46DB-8095-EA708F843D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 W16</xm:sqref>
        </x14:conditionalFormatting>
        <x14:conditionalFormatting xmlns:xm="http://schemas.microsoft.com/office/excel/2006/main">
          <x14:cfRule type="dataBar" id="{DA1BAE95-E2B1-4EBE-874B-11970DD8E4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 X16</xm:sqref>
        </x14:conditionalFormatting>
        <x14:conditionalFormatting xmlns:xm="http://schemas.microsoft.com/office/excel/2006/main">
          <x14:cfRule type="dataBar" id="{F09C37F1-A3E9-4A7D-95C3-F9DB6E5253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 Y18</xm:sqref>
        </x14:conditionalFormatting>
        <x14:conditionalFormatting xmlns:xm="http://schemas.microsoft.com/office/excel/2006/main">
          <x14:cfRule type="dataBar" id="{09CAF12E-4172-4D35-B90D-83146AF5B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Z18 Z16</xm:sqref>
        </x14:conditionalFormatting>
        <x14:conditionalFormatting xmlns:xm="http://schemas.microsoft.com/office/excel/2006/main">
          <x14:cfRule type="dataBar" id="{871BB5ED-093E-44FB-B691-9B31E1A543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AB16 AB18</xm:sqref>
        </x14:conditionalFormatting>
        <x14:conditionalFormatting xmlns:xm="http://schemas.microsoft.com/office/excel/2006/main">
          <x14:cfRule type="dataBar" id="{4586DB01-5378-4E86-9DEC-665F074F2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V16:AA16 V18:AA18</xm:sqref>
        </x14:conditionalFormatting>
        <x14:conditionalFormatting xmlns:xm="http://schemas.microsoft.com/office/excel/2006/main">
          <x14:cfRule type="dataBar" id="{C57B4B46-F2A2-4066-A3D4-03A29C7000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M13:M14 M4:M9 M16 M18</xm:sqref>
        </x14:conditionalFormatting>
        <x14:conditionalFormatting xmlns:xm="http://schemas.microsoft.com/office/excel/2006/main">
          <x14:cfRule type="dataBar" id="{9AF7F39D-ED58-48C4-BFC8-C2D3285652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L4:L10 L16 L18 L12:L14</xm:sqref>
        </x14:conditionalFormatting>
        <x14:conditionalFormatting xmlns:xm="http://schemas.microsoft.com/office/excel/2006/main">
          <x14:cfRule type="dataBar" id="{1A5F8DDE-A742-47A3-99AB-83524A2A1D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M4:M10 M16 M18 M12:M14</xm:sqref>
        </x14:conditionalFormatting>
        <x14:conditionalFormatting xmlns:xm="http://schemas.microsoft.com/office/excel/2006/main">
          <x14:cfRule type="dataBar" id="{DD4C83D7-2C3D-4C80-AD4E-037870C385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974F0FDE-AA47-4A15-A1FF-F3FFC2F365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DC9AF98D-B143-4DA0-B219-24F0427AA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T4:T10 T12:T14</xm:sqref>
        </x14:conditionalFormatting>
        <x14:conditionalFormatting xmlns:xm="http://schemas.microsoft.com/office/excel/2006/main">
          <x14:cfRule type="dataBar" id="{6A21EE4A-1358-443B-AAF4-097B20FCF4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63893ED5-0A00-4760-847D-C913088C0D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8DF8433-8B75-48EA-BA8B-C1E247613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V17:Z17</xm:sqref>
        </x14:conditionalFormatting>
        <x14:conditionalFormatting xmlns:xm="http://schemas.microsoft.com/office/excel/2006/main">
          <x14:cfRule type="dataBar" id="{D8DF745C-8701-4FEE-ADD2-9CA570414E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19032797-F4EE-471E-A98F-46D53B4CA1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ACC1952-FF2B-4F22-975E-CADE5E494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29E10D62-2961-4486-B43C-B5262B093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23A677F2-612D-4F37-8727-F00A142996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787FF87-9FD1-4A70-A16E-7B716F4849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E91DD89B-E543-4FDA-AE9E-843BA86138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AB17</xm:sqref>
        </x14:conditionalFormatting>
        <x14:conditionalFormatting xmlns:xm="http://schemas.microsoft.com/office/excel/2006/main">
          <x14:cfRule type="dataBar" id="{3BE253E1-94CE-42D3-BE49-D69B213087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V17:AA17</xm:sqref>
        </x14:conditionalFormatting>
        <x14:conditionalFormatting xmlns:xm="http://schemas.microsoft.com/office/excel/2006/main">
          <x14:cfRule type="dataBar" id="{43E23E48-C0EF-49A5-BECA-D8F4B98B5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55335DB-FC57-4C1B-B781-158DA49470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F8C8E60F-2515-427E-94D8-295139BD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327ACB96-498E-410B-9C02-0A7B3FF9A0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7D640AF-41AC-4083-822C-75EE45C05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E0BE141A-B1C5-4A5A-86FA-E73059BC527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6C5A3A96-D532-4588-AED4-BE24C57AE0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A7705ED-EAE2-4D55-AAC2-349E8C7174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75F0CC5-4081-46FC-9486-555969807D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10C8815-D520-4A31-B267-955988323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B5BAE7E4-C261-4E3C-8BE7-65E2C596B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 I12:I14</xm:sqref>
        </x14:conditionalFormatting>
        <x14:conditionalFormatting xmlns:xm="http://schemas.microsoft.com/office/excel/2006/main">
          <x14:cfRule type="dataBar" id="{36FDB629-D741-460B-B153-683D44C853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L12:M20</xm:sqref>
        </x14:conditionalFormatting>
        <x14:conditionalFormatting xmlns:xm="http://schemas.microsoft.com/office/excel/2006/main">
          <x14:cfRule type="dataBar" id="{4C4C0C94-D121-4051-A8C4-41CE4CDCB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A3ED3FC7-883F-404D-A4C6-A3B26B8CEE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6EA7CC8E-774B-4343-B2F6-C4638391A3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F665A69A-DC77-4EDE-9228-4A4473C5B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223C9A7D-861E-444C-802F-02C8434A27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V11:Z11</xm:sqref>
        </x14:conditionalFormatting>
        <x14:conditionalFormatting xmlns:xm="http://schemas.microsoft.com/office/excel/2006/main">
          <x14:cfRule type="dataBar" id="{3EAE1B87-21FA-4A69-81A9-2BF5B64AF0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8073AB-B1B4-4441-871B-E0B81EBE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7F9F315-11B3-4BE9-BB8B-CDA021E73D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30D9A8E-BB6F-4FC2-BE24-C131AF61D3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F3B9E82-FCAE-4A41-8339-323294888B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F5FE4990-95B2-4516-930E-CFEA3E68FA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9D2721E6-9DB9-45AF-A989-26AB4D3D37F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AB11</xm:sqref>
        </x14:conditionalFormatting>
        <x14:conditionalFormatting xmlns:xm="http://schemas.microsoft.com/office/excel/2006/main">
          <x14:cfRule type="dataBar" id="{38AECA4D-92D6-45AE-8247-9EF08B424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5D278962-C969-4CD6-9A83-DA7D47748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AC11</xm:sqref>
        </x14:conditionalFormatting>
        <x14:conditionalFormatting xmlns:xm="http://schemas.microsoft.com/office/excel/2006/main">
          <x14:cfRule type="dataBar" id="{3E138FD5-4AAB-49AF-943D-1AF0B80A58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3353B43A-BB5B-44DA-8B02-93EB0ADB6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CAF9E4-7293-4777-AFC4-C1950D4A9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ABA14C-CD90-4CEA-A891-C791FB3D4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2C91FF87-1A4A-4D9D-87D9-D15477594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523E351-A761-4C96-A919-C75F09005F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7018242-2411-462F-BF0B-DBFBEDBFA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D28204F-301F-4E2E-85BD-C316B2DB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9BF3AB2-AC1E-480E-89E9-9320F30B0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96E0F39-8F5F-4783-88F7-FD12D3D750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10B82B58-A814-45CD-AA2B-E473FFFF4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75A9065-A55D-40DD-BA18-D69B7B3C7D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2175CB4-7ABF-47FE-9876-5329E1E64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BD7F354-D9F9-48DE-859B-F1572947B0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590724B7-6730-4C50-AFDB-413A5F479E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990DC1-B48F-4095-BD10-D30F314B7E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V11:AA11</xm:sqref>
        </x14:conditionalFormatting>
        <x14:conditionalFormatting xmlns:xm="http://schemas.microsoft.com/office/excel/2006/main">
          <x14:cfRule type="dataBar" id="{B21D642A-109A-449D-9778-56773FCDD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0F1D9C37-7B08-4E2B-B247-634F8F6F7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24DA4185-C3B7-4520-8135-7DC496FE9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 L4:M10 L18:M18 L12:M14</xm:sqref>
        </x14:conditionalFormatting>
        <x14:conditionalFormatting xmlns:xm="http://schemas.microsoft.com/office/excel/2006/main">
          <x14:cfRule type="dataBar" id="{8647610B-77ED-4445-97B7-0E2B2E39B4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96FF787A-30DD-42D2-A7F6-00F379848E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T15:T16 T18</xm:sqref>
        </x14:conditionalFormatting>
        <x14:conditionalFormatting xmlns:xm="http://schemas.microsoft.com/office/excel/2006/main">
          <x14:cfRule type="dataBar" id="{0AE32523-7277-4A7E-AC9B-605D488A4C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L4:L10 L18 L12:L16</xm:sqref>
        </x14:conditionalFormatting>
        <x14:conditionalFormatting xmlns:xm="http://schemas.microsoft.com/office/excel/2006/main">
          <x14:cfRule type="dataBar" id="{9F1104DE-8AA2-45C0-85FF-2578C0F14E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M4:M10 M18 M12:M16</xm:sqref>
        </x14:conditionalFormatting>
        <x14:conditionalFormatting xmlns:xm="http://schemas.microsoft.com/office/excel/2006/main">
          <x14:cfRule type="dataBar" id="{65E34A1A-FCB3-438A-93B1-2F89547818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 L12:M18</xm:sqref>
        </x14:conditionalFormatting>
        <x14:conditionalFormatting xmlns:xm="http://schemas.microsoft.com/office/excel/2006/main">
          <x14:cfRule type="dataBar" id="{68933F44-E193-4B62-A7E3-C74BE7C72D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T4:T10 T12:T20</xm:sqref>
        </x14:conditionalFormatting>
        <x14:conditionalFormatting xmlns:xm="http://schemas.microsoft.com/office/excel/2006/main">
          <x14:cfRule type="dataBar" id="{094FF55C-A5C2-42AF-BD6A-B1E7E22E1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V4:AA10 V12:AA18</xm:sqref>
        </x14:conditionalFormatting>
        <x14:conditionalFormatting xmlns:xm="http://schemas.microsoft.com/office/excel/2006/main">
          <x14:cfRule type="dataBar" id="{6B444B0D-3C43-410C-AB79-C32700FEB0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I4:I20</xm:sqref>
        </x14:conditionalFormatting>
        <x14:conditionalFormatting xmlns:xm="http://schemas.microsoft.com/office/excel/2006/main">
          <x14:cfRule type="iconSet" priority="53" id="{D0365479-7FED-42B1-81D3-7C837740090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J4:J10 J12:J14</xm:sqref>
        </x14:conditionalFormatting>
        <x14:conditionalFormatting xmlns:xm="http://schemas.microsoft.com/office/excel/2006/main">
          <x14:cfRule type="iconSet" priority="20" id="{EFCAEDC5-F212-44D3-89C8-D526A7C52B4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J11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  <pageSetUpPr fitToPage="1"/>
  </sheetPr>
  <dimension ref="A1:X478"/>
  <sheetViews>
    <sheetView showGridLines="0" zoomScale="90" zoomScaleNormal="90" workbookViewId="0">
      <pane ySplit="3" topLeftCell="A73" activePane="bottomLeft" state="frozen"/>
      <selection pane="bottomLeft" activeCell="A4" sqref="A4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0.7109375" style="9" customWidth="1"/>
    <col min="13" max="13" width="16.7109375" style="9" bestFit="1" customWidth="1"/>
    <col min="14" max="14" width="12.28515625" style="9" customWidth="1"/>
    <col min="15" max="15" width="11.42578125" style="9" customWidth="1"/>
    <col min="16" max="16" width="12" style="9" bestFit="1" customWidth="1"/>
    <col min="17" max="18" width="12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95.25" customHeight="1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619" t="s">
        <v>813</v>
      </c>
      <c r="U3" s="394" t="s">
        <v>128</v>
      </c>
      <c r="V3" s="394" t="s">
        <v>129</v>
      </c>
      <c r="W3" s="394" t="s">
        <v>283</v>
      </c>
      <c r="X3" s="394" t="s">
        <v>284</v>
      </c>
    </row>
    <row r="4" spans="1:24" s="409" customFormat="1" x14ac:dyDescent="0.2">
      <c r="A4" s="409" t="s">
        <v>664</v>
      </c>
      <c r="B4" s="118" t="s">
        <v>177</v>
      </c>
      <c r="C4" s="118" t="s">
        <v>59</v>
      </c>
      <c r="D4" s="119" t="e">
        <f t="shared" ref="D4:D29" ca="1" si="0">Q4/$Q$32</f>
        <v>#NAME?</v>
      </c>
      <c r="E4" s="120">
        <f>$F$296</f>
        <v>210500</v>
      </c>
      <c r="F4" s="181" t="e">
        <f ca="1">$H$296</f>
        <v>#NAME?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28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$K$296</f>
        <v>#NAME?</v>
      </c>
      <c r="O4" s="120" t="e">
        <f ca="1">$J$296</f>
        <v>#NAME?</v>
      </c>
      <c r="P4" s="120" t="e">
        <f ca="1">E4*G4/$P$1*$I$1</f>
        <v>#NAME?</v>
      </c>
      <c r="Q4" s="203" t="e">
        <f ca="1">P4/$I$1</f>
        <v>#NAME?</v>
      </c>
      <c r="R4" s="123" t="e">
        <f t="shared" ref="R4:R21" ca="1" si="2">P4-N4</f>
        <v>#NAME?</v>
      </c>
      <c r="S4" s="123" t="e">
        <f t="shared" ref="S4:S21" ca="1" si="3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09" customFormat="1" x14ac:dyDescent="0.2">
      <c r="A5" s="409" t="s">
        <v>664</v>
      </c>
      <c r="B5" s="118" t="s">
        <v>206</v>
      </c>
      <c r="C5" s="118" t="s">
        <v>207</v>
      </c>
      <c r="D5" s="119" t="e">
        <f t="shared" ca="1" si="0"/>
        <v>#NAME?</v>
      </c>
      <c r="E5" s="120">
        <f>$F$231</f>
        <v>5600</v>
      </c>
      <c r="F5" s="120" t="e">
        <f ca="1">$H$231</f>
        <v>#NAME?</v>
      </c>
      <c r="G5" s="120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ca="1">Q5/O5-1</f>
        <v>#NAME?</v>
      </c>
      <c r="N5" s="120" t="e">
        <f ca="1">E5*F5</f>
        <v>#NAME?</v>
      </c>
      <c r="O5" s="120" t="e">
        <f ca="1">$J$231</f>
        <v>#NAME?</v>
      </c>
      <c r="P5" s="120" t="e">
        <f ca="1">E5*G5</f>
        <v>#NAME?</v>
      </c>
      <c r="Q5" s="203" t="e">
        <f ca="1">P5/$I$1</f>
        <v>#NAME?</v>
      </c>
      <c r="R5" s="123" t="e">
        <f t="shared" ca="1" si="2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09" customFormat="1" x14ac:dyDescent="0.2">
      <c r="A6" s="409" t="s">
        <v>664</v>
      </c>
      <c r="B6" s="118" t="s">
        <v>349</v>
      </c>
      <c r="C6" s="118" t="s">
        <v>331</v>
      </c>
      <c r="D6" s="119" t="e">
        <f t="shared" ca="1" si="0"/>
        <v>#NAME?</v>
      </c>
      <c r="E6" s="120">
        <f>$F$130</f>
        <v>12000</v>
      </c>
      <c r="F6" s="181">
        <f>$H$130</f>
        <v>10.4175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G6/F6-1</f>
        <v>#NAME?</v>
      </c>
      <c r="N6" s="120" t="e">
        <f ca="1">$K$130</f>
        <v>#NAME?</v>
      </c>
      <c r="O6" s="120">
        <f>E6*F6</f>
        <v>125010</v>
      </c>
      <c r="P6" s="120" t="e">
        <f ca="1">E6*G6*$I$1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09" customFormat="1" x14ac:dyDescent="0.2">
      <c r="A7" s="409" t="s">
        <v>664</v>
      </c>
      <c r="B7" s="118" t="s">
        <v>205</v>
      </c>
      <c r="C7" s="118" t="s">
        <v>204</v>
      </c>
      <c r="D7" s="119" t="e">
        <f t="shared" ca="1" si="0"/>
        <v>#NAME?</v>
      </c>
      <c r="E7" s="120">
        <f>$F$224</f>
        <v>60000</v>
      </c>
      <c r="F7" s="181" t="e">
        <f ca="1">$H$224</f>
        <v>#NAME?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$K$224</f>
        <v>#NAME?</v>
      </c>
      <c r="O7" s="120" t="e">
        <f ca="1">E7*F7</f>
        <v>#NAME?</v>
      </c>
      <c r="P7" s="120" t="e">
        <f ca="1">E7*G7*$I$1</f>
        <v>#NAME?</v>
      </c>
      <c r="Q7" s="203" t="e">
        <f ca="1">P7/$I$1</f>
        <v>#NAME?</v>
      </c>
      <c r="R7" s="123" t="e">
        <f t="shared" ca="1" si="2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09" customFormat="1" x14ac:dyDescent="0.2">
      <c r="A8" s="409" t="s">
        <v>664</v>
      </c>
      <c r="B8" s="118" t="s">
        <v>366</v>
      </c>
      <c r="C8" s="118" t="s">
        <v>360</v>
      </c>
      <c r="D8" s="119" t="e">
        <f t="shared" ca="1" si="0"/>
        <v>#NAME?</v>
      </c>
      <c r="E8" s="120">
        <f>$F$134</f>
        <v>3157</v>
      </c>
      <c r="F8" s="181">
        <f>$H$134</f>
        <v>20.018788153310101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$K$134</f>
        <v>#NAME?</v>
      </c>
      <c r="O8" s="120">
        <f>E8*F8</f>
        <v>63199.314199999993</v>
      </c>
      <c r="P8" s="120" t="e">
        <f ca="1">$E8*$G8*$I$1</f>
        <v>#NAME?</v>
      </c>
      <c r="Q8" s="203" t="e">
        <f ca="1">$P8/$I$1</f>
        <v>#NAME?</v>
      </c>
      <c r="R8" s="123" t="e">
        <f t="shared" ca="1" si="2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09" customFormat="1" x14ac:dyDescent="0.2">
      <c r="A9" s="409" t="s">
        <v>664</v>
      </c>
      <c r="B9" s="118" t="s">
        <v>196</v>
      </c>
      <c r="C9" s="118" t="s">
        <v>197</v>
      </c>
      <c r="D9" s="119" t="e">
        <f t="shared" ca="1" si="0"/>
        <v>#NAME?</v>
      </c>
      <c r="E9" s="120">
        <f>$F$359</f>
        <v>25240</v>
      </c>
      <c r="F9" s="181">
        <f>$H$359</f>
        <v>4.7320000000000002</v>
      </c>
      <c r="G9" s="181" t="e">
        <f ca="1">_xll.BDP($C9,"PX_LAST")/100</f>
        <v>#NAME?</v>
      </c>
      <c r="H9" s="181" t="e">
        <f ca="1">_xll.BDP($C9,"BEST_TARGET_PRICE")/100</f>
        <v>#NAME?</v>
      </c>
      <c r="I9" s="616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Q9/O9-1</f>
        <v>#NAME?</v>
      </c>
      <c r="N9" s="120" t="e">
        <f ca="1">$K$359</f>
        <v>#NAME?</v>
      </c>
      <c r="O9" s="120" t="e">
        <f ca="1">$J$359</f>
        <v>#NAME?</v>
      </c>
      <c r="P9" s="120" t="e">
        <f ca="1">E9*G9*$K$1*$I$1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09" customFormat="1" x14ac:dyDescent="0.2">
      <c r="A10" s="409" t="s">
        <v>664</v>
      </c>
      <c r="B10" s="118" t="s">
        <v>96</v>
      </c>
      <c r="C10" s="118" t="s">
        <v>184</v>
      </c>
      <c r="D10" s="119" t="e">
        <f t="shared" ca="1" si="0"/>
        <v>#NAME?</v>
      </c>
      <c r="E10" s="120">
        <f>$F$96</f>
        <v>10500</v>
      </c>
      <c r="F10" s="181">
        <f>$H$96</f>
        <v>742.17619795238102</v>
      </c>
      <c r="G10" s="181" t="e">
        <f ca="1">_xll.BDP($C10,"PX_LAST")</f>
        <v>#NAME?</v>
      </c>
      <c r="H10" s="181" t="e">
        <f ca="1">_xll.BDP($C10,"BEST_TARGET_PRICE")</f>
        <v>#NAME?</v>
      </c>
      <c r="I10" s="616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7792850.0785000008</v>
      </c>
      <c r="O10" s="120" t="e">
        <f ca="1">$J$96</f>
        <v>#NAME?</v>
      </c>
      <c r="P10" s="120" t="e">
        <f ca="1">E10*G10</f>
        <v>#NAME?</v>
      </c>
      <c r="Q10" s="203" t="e">
        <f ca="1">P10/$I$1</f>
        <v>#NAME?</v>
      </c>
      <c r="R10" s="123" t="e">
        <f t="shared" ca="1" si="2"/>
        <v>#NAME?</v>
      </c>
      <c r="S10" s="123" t="e">
        <f t="shared" ca="1" si="3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_xll.BDP($C10,"EXPECTED_REPORT_DT")</f>
        <v>#NAME?</v>
      </c>
      <c r="X10" s="125" t="e">
        <f ca="1">_xll.BDP($C10,"DVD_EX_DT")</f>
        <v>#NAME?</v>
      </c>
    </row>
    <row r="11" spans="1:24" s="409" customFormat="1" x14ac:dyDescent="0.2">
      <c r="A11" s="409" t="s">
        <v>664</v>
      </c>
      <c r="B11" s="118" t="s">
        <v>227</v>
      </c>
      <c r="C11" s="118" t="s">
        <v>226</v>
      </c>
      <c r="D11" s="119" t="e">
        <f t="shared" ca="1" si="0"/>
        <v>#NAME?</v>
      </c>
      <c r="E11" s="120">
        <f>$F$142</f>
        <v>12090</v>
      </c>
      <c r="F11" s="181">
        <f>$H$142</f>
        <v>18.096</v>
      </c>
      <c r="G11" s="181" t="e">
        <f ca="1">_xll.BDP($C11,"PX_LAST")</f>
        <v>#NAME?</v>
      </c>
      <c r="H11" s="181" t="e">
        <f ca="1">_xll.BDP($C11,"BEST_TARGET_PRICE")</f>
        <v>#NAME?</v>
      </c>
      <c r="I11" s="616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$K$142</f>
        <v>#NAME?</v>
      </c>
      <c r="O11" s="120">
        <f>E11*F11</f>
        <v>218780.64</v>
      </c>
      <c r="P11" s="120" t="e">
        <f ca="1">$E11*$G11*$I$1</f>
        <v>#NAME?</v>
      </c>
      <c r="Q11" s="203" t="e">
        <f ca="1">$P11/$I$1</f>
        <v>#NAME?</v>
      </c>
      <c r="R11" s="123" t="e">
        <f t="shared" ca="1" si="2"/>
        <v>#NAME?</v>
      </c>
      <c r="S11" s="123" t="e">
        <f t="shared" ca="1" si="3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s="409" customFormat="1" x14ac:dyDescent="0.2">
      <c r="A12" s="409" t="s">
        <v>664</v>
      </c>
      <c r="B12" s="118" t="s">
        <v>145</v>
      </c>
      <c r="C12" s="118" t="s">
        <v>146</v>
      </c>
      <c r="D12" s="119" t="e">
        <f t="shared" ca="1" si="0"/>
        <v>#NAME?</v>
      </c>
      <c r="E12" s="120">
        <f>$F$374</f>
        <v>36000</v>
      </c>
      <c r="F12" s="195" t="e">
        <f ca="1">$H$374</f>
        <v>#NAME?</v>
      </c>
      <c r="G12" s="195" t="e">
        <f ca="1">_xll.BDP($C12,"PX_LAST")</f>
        <v>#NAME?</v>
      </c>
      <c r="H12" s="181" t="e">
        <f ca="1">_xll.BDP($C12,"BEST_TARGET_PRICE")</f>
        <v>#NAME?</v>
      </c>
      <c r="I12" s="616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 t="e">
        <f ca="1">E12*F12</f>
        <v>#NAME?</v>
      </c>
      <c r="O12" s="120" t="e">
        <f ca="1">$J$374</f>
        <v>#NAME?</v>
      </c>
      <c r="P12" s="120" t="e">
        <f ca="1">E12*G12</f>
        <v>#NAME?</v>
      </c>
      <c r="Q12" s="203" t="e">
        <f t="shared" ref="Q12:Q21" ca="1" si="4">P12/$I$1</f>
        <v>#NAME?</v>
      </c>
      <c r="R12" s="123" t="e">
        <f t="shared" ca="1" si="2"/>
        <v>#NAME?</v>
      </c>
      <c r="S12" s="123" t="e">
        <f t="shared" ca="1" si="3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s="409" customFormat="1" x14ac:dyDescent="0.2">
      <c r="A13" s="409" t="s">
        <v>664</v>
      </c>
      <c r="B13" s="118" t="s">
        <v>193</v>
      </c>
      <c r="C13" s="118" t="s">
        <v>194</v>
      </c>
      <c r="D13" s="119" t="e">
        <f t="shared" ca="1" si="0"/>
        <v>#NAME?</v>
      </c>
      <c r="E13" s="120">
        <f>$F$382</f>
        <v>258653</v>
      </c>
      <c r="F13" s="181" t="e">
        <f ca="1">$H$382</f>
        <v>#NAME?</v>
      </c>
      <c r="G13" s="181" t="e">
        <f ca="1">_xll.BDP($C13,"PX_LAST")/100</f>
        <v>#NAME?</v>
      </c>
      <c r="H13" s="181" t="e">
        <f ca="1">_xll.BDP($C13,"BEST_TARGET_PRICE")/100</f>
        <v>#NAME?</v>
      </c>
      <c r="I13" s="616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$K$382</f>
        <v>#NAME?</v>
      </c>
      <c r="O13" s="120" t="e">
        <f ca="1">$J$382</f>
        <v>#NAME?</v>
      </c>
      <c r="P13" s="120" t="e">
        <f ca="1">E13*G13*$K$1*$I$1</f>
        <v>#NAME?</v>
      </c>
      <c r="Q13" s="203" t="e">
        <f t="shared" ca="1" si="4"/>
        <v>#NAME?</v>
      </c>
      <c r="R13" s="123" t="e">
        <f t="shared" ca="1" si="2"/>
        <v>#NAME?</v>
      </c>
      <c r="S13" s="123" t="e">
        <f t="shared" ca="1" si="3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409" t="s">
        <v>664</v>
      </c>
      <c r="B14" s="118" t="s">
        <v>223</v>
      </c>
      <c r="C14" s="118" t="s">
        <v>222</v>
      </c>
      <c r="D14" s="119" t="e">
        <f t="shared" ca="1" si="0"/>
        <v>#NAME?</v>
      </c>
      <c r="E14" s="120">
        <f>$F$201</f>
        <v>180000</v>
      </c>
      <c r="F14" s="195" t="e">
        <f ca="1">$H$201</f>
        <v>#NAME?</v>
      </c>
      <c r="G14" s="195" t="e">
        <f ca="1">_xll.BDP($C14,"PX_LAST")</f>
        <v>#NAME?</v>
      </c>
      <c r="H14" s="181" t="e">
        <f ca="1">_xll.BDP($C14,"BEST_TARGET_PRICE")</f>
        <v>#NAME?</v>
      </c>
      <c r="I14" s="616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G14/F14-1</f>
        <v>#NAME?</v>
      </c>
      <c r="M14" s="119" t="e">
        <f ca="1">Q14/O14-1</f>
        <v>#NAME?</v>
      </c>
      <c r="N14" s="120" t="e">
        <f ca="1">E14*F14</f>
        <v>#NAME?</v>
      </c>
      <c r="O14" s="120" t="e">
        <f ca="1">$J$201</f>
        <v>#NAME?</v>
      </c>
      <c r="P14" s="120" t="e">
        <f ca="1">E14*G14</f>
        <v>#NAME?</v>
      </c>
      <c r="Q14" s="203" t="e">
        <f t="shared" ca="1" si="4"/>
        <v>#NAME?</v>
      </c>
      <c r="R14" s="123" t="e">
        <f t="shared" ca="1" si="2"/>
        <v>#NAME?</v>
      </c>
      <c r="S14" s="123" t="e">
        <f t="shared" ca="1" si="3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s="409" customFormat="1" x14ac:dyDescent="0.2">
      <c r="A15" s="409" t="s">
        <v>664</v>
      </c>
      <c r="B15" s="118" t="s">
        <v>367</v>
      </c>
      <c r="C15" s="118" t="s">
        <v>182</v>
      </c>
      <c r="D15" s="119" t="e">
        <f t="shared" ca="1" si="0"/>
        <v>#NAME?</v>
      </c>
      <c r="E15" s="120">
        <f>$F$105</f>
        <v>108000</v>
      </c>
      <c r="F15" s="181">
        <f>$H$105</f>
        <v>38.221191527777783</v>
      </c>
      <c r="G15" s="181" t="e">
        <f ca="1">_xll.BDP($C15,"PX_LAST")</f>
        <v>#NAME?</v>
      </c>
      <c r="H15" s="181" t="e">
        <f ca="1">_xll.BDP($C15,"BEST_TARGET_PRICE")</f>
        <v>#NAME?</v>
      </c>
      <c r="I15" s="616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>
        <f>E15*F15</f>
        <v>4127888.6850000005</v>
      </c>
      <c r="O15" s="120" t="e">
        <f ca="1">$J$105</f>
        <v>#NAME?</v>
      </c>
      <c r="P15" s="120" t="e">
        <f ca="1">E15*G15</f>
        <v>#NAME?</v>
      </c>
      <c r="Q15" s="203" t="e">
        <f t="shared" ca="1" si="4"/>
        <v>#NAME?</v>
      </c>
      <c r="R15" s="123" t="e">
        <f t="shared" ca="1" si="2"/>
        <v>#NAME?</v>
      </c>
      <c r="S15" s="123" t="e">
        <f t="shared" ca="1" si="3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s="409" customFormat="1" x14ac:dyDescent="0.2">
      <c r="A16" s="409" t="s">
        <v>664</v>
      </c>
      <c r="B16" s="118" t="s">
        <v>325</v>
      </c>
      <c r="C16" s="118" t="s">
        <v>460</v>
      </c>
      <c r="D16" s="119" t="e">
        <f t="shared" ca="1" si="0"/>
        <v>#NAME?</v>
      </c>
      <c r="E16" s="120">
        <f>$F$126</f>
        <v>22800</v>
      </c>
      <c r="F16" s="181">
        <f>$H$126</f>
        <v>3.7494736842105265</v>
      </c>
      <c r="G16" s="181" t="e">
        <f ca="1">_xll.BDP($C16,"PX_LAST")</f>
        <v>#NAME?</v>
      </c>
      <c r="H16" s="181" t="e">
        <f ca="1">_xll.BDP($C16,"BEST_TARGET_PRICE")</f>
        <v>#NAME?</v>
      </c>
      <c r="I16" s="616" t="e">
        <f t="shared" ca="1" si="1"/>
        <v>#NAME?</v>
      </c>
      <c r="J16" s="181" t="e">
        <f ca="1">_xll.BDP($C16,"EQY_REC_CONS")</f>
        <v>#NAME?</v>
      </c>
      <c r="K16" s="122" t="e">
        <f ca="1">_xll.BDP($C16,"CRNCY")</f>
        <v>#NAME?</v>
      </c>
      <c r="L16" s="119" t="e">
        <f ca="1">P16/N16-1</f>
        <v>#NAME?</v>
      </c>
      <c r="M16" s="119" t="e">
        <f ca="1">G16/F16-1</f>
        <v>#NAME?</v>
      </c>
      <c r="N16" s="120" t="e">
        <f ca="1">$K$126</f>
        <v>#NAME?</v>
      </c>
      <c r="O16" s="120">
        <f>E16*F16</f>
        <v>85488</v>
      </c>
      <c r="P16" s="120" t="e">
        <f ca="1">E16*G16*$I$1</f>
        <v>#NAME?</v>
      </c>
      <c r="Q16" s="203" t="e">
        <f t="shared" ca="1" si="4"/>
        <v>#NAME?</v>
      </c>
      <c r="R16" s="123" t="e">
        <f t="shared" ca="1" si="2"/>
        <v>#NAME?</v>
      </c>
      <c r="S16" s="123" t="e">
        <f t="shared" ca="1" si="3"/>
        <v>#NAME?</v>
      </c>
      <c r="T16" s="123" t="e">
        <f ca="1">_xll.BDP($C16,"EQY_DVD_YLD_EST")</f>
        <v>#NAME?</v>
      </c>
      <c r="U16" s="125" t="e">
        <f ca="1">_xll.BDP($C16,"CHG_PCT_YTD")</f>
        <v>#NAME?</v>
      </c>
      <c r="V16" s="125" t="e">
        <f ca="1">_xll.BDP($C16,"CHG_PCT_1YR")</f>
        <v>#NAME?</v>
      </c>
      <c r="W16" s="125" t="e">
        <f ca="1">_xll.BDP($C16,"EXPECTED_REPORT_DT")</f>
        <v>#NAME?</v>
      </c>
      <c r="X16" s="125" t="e">
        <f ca="1">_xll.BDP($C16,"DVD_EX_DT")</f>
        <v>#NAME?</v>
      </c>
    </row>
    <row r="17" spans="1:24" s="409" customFormat="1" x14ac:dyDescent="0.2">
      <c r="A17" s="409" t="s">
        <v>664</v>
      </c>
      <c r="B17" s="118" t="s">
        <v>147</v>
      </c>
      <c r="C17" s="118" t="s">
        <v>53</v>
      </c>
      <c r="D17" s="119" t="e">
        <f t="shared" ca="1" si="0"/>
        <v>#NAME?</v>
      </c>
      <c r="E17" s="120">
        <f>$F$340</f>
        <v>12550</v>
      </c>
      <c r="F17" s="120" t="e">
        <f ca="1">$H$340</f>
        <v>#NAME?</v>
      </c>
      <c r="G17" s="120" t="e">
        <f ca="1">_xll.BDP($C17,"PX_LAST")</f>
        <v>#NAME?</v>
      </c>
      <c r="H17" s="181" t="e">
        <f ca="1">_xll.BDP($C17,"BEST_TARGET_PRICE")</f>
        <v>#NAME?</v>
      </c>
      <c r="I17" s="616" t="e">
        <f t="shared" ca="1" si="1"/>
        <v>#NAME?</v>
      </c>
      <c r="J17" s="181" t="e">
        <f ca="1">_xll.BDP($C17,"EQY_REC_CONS")</f>
        <v>#NAME?</v>
      </c>
      <c r="K17" s="122" t="e">
        <f ca="1">_xll.BDP($C17,"CRNCY")</f>
        <v>#NAME?</v>
      </c>
      <c r="L17" s="119" t="e">
        <f ca="1">G17/F17-1</f>
        <v>#NAME?</v>
      </c>
      <c r="M17" s="119" t="e">
        <f ca="1">Q17/O17-1</f>
        <v>#NAME?</v>
      </c>
      <c r="N17" s="120" t="e">
        <f ca="1">E17*F17</f>
        <v>#NAME?</v>
      </c>
      <c r="O17" s="120" t="e">
        <f ca="1">$J$340</f>
        <v>#NAME?</v>
      </c>
      <c r="P17" s="120" t="e">
        <f ca="1">E17*G17</f>
        <v>#NAME?</v>
      </c>
      <c r="Q17" s="203" t="e">
        <f t="shared" ca="1" si="4"/>
        <v>#NAME?</v>
      </c>
      <c r="R17" s="123" t="e">
        <f t="shared" ca="1" si="2"/>
        <v>#NAME?</v>
      </c>
      <c r="S17" s="123" t="e">
        <f t="shared" ca="1" si="3"/>
        <v>#NAME?</v>
      </c>
      <c r="T17" s="123" t="e">
        <f ca="1">_xll.BDP($C17,"EQY_DVD_YLD_EST")</f>
        <v>#NAME?</v>
      </c>
      <c r="U17" s="125" t="e">
        <f ca="1">_xll.BDP($C17,"CHG_PCT_YTD")</f>
        <v>#NAME?</v>
      </c>
      <c r="V17" s="125" t="e">
        <f ca="1">_xll.BDP($C17,"CHG_PCT_1YR")</f>
        <v>#NAME?</v>
      </c>
      <c r="W17" s="125" t="e">
        <f ca="1">_xll.BDP($C17,"EXPECTED_REPORT_DT")</f>
        <v>#NAME?</v>
      </c>
      <c r="X17" s="125" t="e">
        <f ca="1">_xll.BDP($C17,"DVD_EX_DT")</f>
        <v>#NAME?</v>
      </c>
    </row>
    <row r="18" spans="1:24" s="409" customFormat="1" x14ac:dyDescent="0.2">
      <c r="A18" s="409" t="s">
        <v>664</v>
      </c>
      <c r="B18" s="118" t="s">
        <v>208</v>
      </c>
      <c r="C18" s="118" t="s">
        <v>209</v>
      </c>
      <c r="D18" s="119" t="e">
        <f t="shared" ca="1" si="0"/>
        <v>#NAME?</v>
      </c>
      <c r="E18" s="120">
        <f>$F$85</f>
        <v>98400</v>
      </c>
      <c r="F18" s="181">
        <f>$H$85</f>
        <v>53.858066158536587</v>
      </c>
      <c r="G18" s="181" t="e">
        <f ca="1">_xll.BDP($C18,"PX_LAST")</f>
        <v>#NAME?</v>
      </c>
      <c r="H18" s="181" t="e">
        <f ca="1">_xll.BDP($C18,"BEST_TARGET_PRICE")</f>
        <v>#NAME?</v>
      </c>
      <c r="I18" s="616" t="e">
        <f t="shared" ca="1" si="1"/>
        <v>#NAME?</v>
      </c>
      <c r="J18" s="181" t="e">
        <f ca="1">_xll.BDP($C18,"EQY_REC_CONS")</f>
        <v>#NAME?</v>
      </c>
      <c r="K18" s="122" t="e">
        <f ca="1">_xll.BDP($C18,"CRNCY")</f>
        <v>#NAME?</v>
      </c>
      <c r="L18" s="119" t="e">
        <f ca="1">G18/F18-1</f>
        <v>#NAME?</v>
      </c>
      <c r="M18" s="119" t="e">
        <f ca="1">Q18/O18-1</f>
        <v>#NAME?</v>
      </c>
      <c r="N18" s="120">
        <f>E18*F18</f>
        <v>5299633.71</v>
      </c>
      <c r="O18" s="120" t="e">
        <f ca="1">$J$85</f>
        <v>#NAME?</v>
      </c>
      <c r="P18" s="120" t="e">
        <f ca="1">E18*G18</f>
        <v>#NAME?</v>
      </c>
      <c r="Q18" s="203" t="e">
        <f t="shared" ca="1" si="4"/>
        <v>#NAME?</v>
      </c>
      <c r="R18" s="123" t="e">
        <f t="shared" ca="1" si="2"/>
        <v>#NAME?</v>
      </c>
      <c r="S18" s="123" t="e">
        <f t="shared" ca="1" si="3"/>
        <v>#NAME?</v>
      </c>
      <c r="T18" s="123" t="e">
        <f ca="1">_xll.BDP($C18,"EQY_DVD_YLD_EST")</f>
        <v>#NAME?</v>
      </c>
      <c r="U18" s="125" t="e">
        <f ca="1">_xll.BDP($C18,"CHG_PCT_YTD")</f>
        <v>#NAME?</v>
      </c>
      <c r="V18" s="125" t="e">
        <f ca="1">_xll.BDP($C18,"CHG_PCT_1YR")</f>
        <v>#NAME?</v>
      </c>
      <c r="W18" s="125" t="e">
        <f ca="1">_xll.BDP($C18,"EXPECTED_REPORT_DT")</f>
        <v>#NAME?</v>
      </c>
      <c r="X18" s="125" t="e">
        <f ca="1">_xll.BDP($C18,"DVD_EX_DT")</f>
        <v>#NAME?</v>
      </c>
    </row>
    <row r="19" spans="1:24" s="409" customFormat="1" x14ac:dyDescent="0.2">
      <c r="A19" s="409" t="s">
        <v>664</v>
      </c>
      <c r="B19" s="118" t="s">
        <v>293</v>
      </c>
      <c r="C19" s="118" t="s">
        <v>58</v>
      </c>
      <c r="D19" s="119" t="e">
        <f t="shared" ca="1" si="0"/>
        <v>#NAME?</v>
      </c>
      <c r="E19" s="120">
        <f>$F$260</f>
        <v>71110</v>
      </c>
      <c r="F19" s="181" t="e">
        <f ca="1">$H$260</f>
        <v>#NAME?</v>
      </c>
      <c r="G19" s="181" t="e">
        <f ca="1">_xll.BDP($C19,"PX_LAST")</f>
        <v>#NAME?</v>
      </c>
      <c r="H19" s="181" t="e">
        <f ca="1">_xll.BDP($C19,"BEST_TARGET_PRICE")</f>
        <v>#NAME?</v>
      </c>
      <c r="I19" s="616" t="e">
        <f t="shared" ca="1" si="1"/>
        <v>#NAME?</v>
      </c>
      <c r="J19" s="181" t="e">
        <f ca="1">_xll.BDP($C19,"EQY_REC_CONS")</f>
        <v>#NAME?</v>
      </c>
      <c r="K19" s="122" t="e">
        <f ca="1">_xll.BDP($C19,"CRNCY")</f>
        <v>#NAME?</v>
      </c>
      <c r="L19" s="119" t="e">
        <f ca="1">G19/F19-1</f>
        <v>#NAME?</v>
      </c>
      <c r="M19" s="119" t="e">
        <f ca="1">Q19/O19-1</f>
        <v>#NAME?</v>
      </c>
      <c r="N19" s="120" t="e">
        <f ca="1">E19*F19</f>
        <v>#NAME?</v>
      </c>
      <c r="O19" s="120" t="e">
        <f ca="1">$J$260</f>
        <v>#NAME?</v>
      </c>
      <c r="P19" s="120" t="e">
        <f ca="1">E19*G19</f>
        <v>#NAME?</v>
      </c>
      <c r="Q19" s="203" t="e">
        <f t="shared" ca="1" si="4"/>
        <v>#NAME?</v>
      </c>
      <c r="R19" s="123" t="e">
        <f t="shared" ca="1" si="2"/>
        <v>#NAME?</v>
      </c>
      <c r="S19" s="123" t="e">
        <f t="shared" ca="1" si="3"/>
        <v>#NAME?</v>
      </c>
      <c r="T19" s="123" t="e">
        <f ca="1">_xll.BDP($C19,"EQY_DVD_YLD_EST")</f>
        <v>#NAME?</v>
      </c>
      <c r="U19" s="125" t="e">
        <f ca="1">_xll.BDP($C19,"CHG_PCT_YTD")</f>
        <v>#NAME?</v>
      </c>
      <c r="V19" s="125" t="e">
        <f ca="1">_xll.BDP($C19,"CHG_PCT_1YR")</f>
        <v>#NAME?</v>
      </c>
      <c r="W19" s="125" t="e">
        <f ca="1">_xll.BDP($C19,"EXPECTED_REPORT_DT")</f>
        <v>#NAME?</v>
      </c>
      <c r="X19" s="125" t="e">
        <f ca="1">_xll.BDP($C19,"DVD_EX_DT")</f>
        <v>#NAME?</v>
      </c>
    </row>
    <row r="20" spans="1:24" s="409" customFormat="1" x14ac:dyDescent="0.2">
      <c r="A20" s="409" t="s">
        <v>664</v>
      </c>
      <c r="B20" s="118" t="s">
        <v>150</v>
      </c>
      <c r="C20" s="118" t="s">
        <v>728</v>
      </c>
      <c r="D20" s="119" t="e">
        <f t="shared" ca="1" si="0"/>
        <v>#NAME?</v>
      </c>
      <c r="E20" s="120">
        <f>$F$367</f>
        <v>1600000</v>
      </c>
      <c r="F20" s="181">
        <f>$H$367</f>
        <v>2.5499999999999998</v>
      </c>
      <c r="G20" s="181" t="e">
        <f ca="1">_xll.BDP($C20,"PX_LAST")</f>
        <v>#NAME?</v>
      </c>
      <c r="H20" s="181" t="e">
        <f ca="1">_xll.BDP($C20,"BEST_TARGET_PRICE")</f>
        <v>#NAME?</v>
      </c>
      <c r="I20" s="616" t="e">
        <f t="shared" ca="1" si="1"/>
        <v>#NAME?</v>
      </c>
      <c r="J20" s="181" t="e">
        <f ca="1">_xll.BDP($C20,"EQY_REC_CONS")</f>
        <v>#NAME?</v>
      </c>
      <c r="K20" s="122" t="e">
        <f ca="1">_xll.BDP($C20,"CRNCY")</f>
        <v>#NAME?</v>
      </c>
      <c r="L20" s="119" t="e">
        <f ca="1">G20/F20-1</f>
        <v>#NAME?</v>
      </c>
      <c r="M20" s="119" t="e">
        <f ca="1">Q20/O20-1</f>
        <v>#NAME?</v>
      </c>
      <c r="N20" s="120">
        <f>E20*F20</f>
        <v>4079999.9999999995</v>
      </c>
      <c r="O20" s="120" t="e">
        <f ca="1">$J$367</f>
        <v>#NAME?</v>
      </c>
      <c r="P20" s="120" t="e">
        <f ca="1">E20*G20</f>
        <v>#NAME?</v>
      </c>
      <c r="Q20" s="203" t="e">
        <f t="shared" ca="1" si="4"/>
        <v>#NAME?</v>
      </c>
      <c r="R20" s="123" t="e">
        <f t="shared" ca="1" si="2"/>
        <v>#NAME?</v>
      </c>
      <c r="S20" s="123" t="e">
        <f t="shared" ca="1" si="3"/>
        <v>#NAME?</v>
      </c>
      <c r="T20" s="123" t="e">
        <f ca="1">_xll.BDP($C20,"EQY_DVD_YLD_EST")</f>
        <v>#NAME?</v>
      </c>
      <c r="U20" s="125" t="e">
        <f ca="1">_xll.BDP($C20,"CHG_PCT_YTD")</f>
        <v>#NAME?</v>
      </c>
      <c r="V20" s="125" t="e">
        <f ca="1">_xll.BDP($C20,"CHG_PCT_1YR")</f>
        <v>#NAME?</v>
      </c>
      <c r="W20" s="125" t="e">
        <f ca="1">_xll.BDP($C20,"EXPECTED_REPORT_DT")</f>
        <v>#NAME?</v>
      </c>
      <c r="X20" s="125" t="e">
        <f ca="1">_xll.BDP($C20,"DVD_EX_DT")</f>
        <v>#NAME?</v>
      </c>
    </row>
    <row r="21" spans="1:24" s="409" customFormat="1" x14ac:dyDescent="0.2">
      <c r="A21" s="409" t="s">
        <v>664</v>
      </c>
      <c r="B21" s="118" t="s">
        <v>153</v>
      </c>
      <c r="C21" s="118" t="s">
        <v>54</v>
      </c>
      <c r="D21" s="119" t="e">
        <f t="shared" ca="1" si="0"/>
        <v>#NAME?</v>
      </c>
      <c r="E21" s="120">
        <f>$F$302</f>
        <v>180000</v>
      </c>
      <c r="F21" s="195" t="e">
        <f ca="1">$H$302</f>
        <v>#NAME?</v>
      </c>
      <c r="G21" s="195" t="e">
        <f ca="1">_xll.BDP($C21,"PX_LAST")</f>
        <v>#NAME?</v>
      </c>
      <c r="H21" s="181" t="e">
        <f ca="1">_xll.BDP($C21,"BEST_TARGET_PRICE")</f>
        <v>#NAME?</v>
      </c>
      <c r="I21" s="616" t="e">
        <f t="shared" ca="1" si="1"/>
        <v>#NAME?</v>
      </c>
      <c r="J21" s="181" t="e">
        <f ca="1">_xll.BDP($C21,"EQY_REC_CONS")</f>
        <v>#NAME?</v>
      </c>
      <c r="K21" s="122" t="e">
        <f ca="1">_xll.BDP($C21,"CRNCY")</f>
        <v>#NAME?</v>
      </c>
      <c r="L21" s="119" t="e">
        <f ca="1">G21/F21-1</f>
        <v>#NAME?</v>
      </c>
      <c r="M21" s="119" t="e">
        <f ca="1">Q21/O21-1</f>
        <v>#NAME?</v>
      </c>
      <c r="N21" s="120" t="e">
        <f ca="1">E21*F21</f>
        <v>#NAME?</v>
      </c>
      <c r="O21" s="120" t="e">
        <f ca="1">$J$302</f>
        <v>#NAME?</v>
      </c>
      <c r="P21" s="120" t="e">
        <f ca="1">E21*G21</f>
        <v>#NAME?</v>
      </c>
      <c r="Q21" s="203" t="e">
        <f t="shared" ca="1" si="4"/>
        <v>#NAME?</v>
      </c>
      <c r="R21" s="123" t="e">
        <f t="shared" ca="1" si="2"/>
        <v>#NAME?</v>
      </c>
      <c r="S21" s="123" t="e">
        <f t="shared" ca="1" si="3"/>
        <v>#NAME?</v>
      </c>
      <c r="T21" s="123" t="e">
        <f ca="1">_xll.BDP($C21,"EQY_DVD_YLD_EST")</f>
        <v>#NAME?</v>
      </c>
      <c r="U21" s="125" t="e">
        <f ca="1">_xll.BDP($C21,"CHG_PCT_YTD")</f>
        <v>#NAME?</v>
      </c>
      <c r="V21" s="125" t="e">
        <f ca="1">_xll.BDP($C21,"CHG_PCT_1YR")</f>
        <v>#NAME?</v>
      </c>
      <c r="W21" s="125" t="e">
        <f ca="1">_xll.BDP($C21,"EXPECTED_REPORT_DT")</f>
        <v>#NAME?</v>
      </c>
      <c r="X21" s="125" t="e">
        <f ca="1">_xll.BDP($C21,"DVD_EX_DT")</f>
        <v>#NAME?</v>
      </c>
    </row>
    <row r="22" spans="1:24" s="409" customFormat="1" x14ac:dyDescent="0.2">
      <c r="A22" s="409" t="s">
        <v>664</v>
      </c>
      <c r="B22" s="118" t="s">
        <v>170</v>
      </c>
      <c r="C22" s="118" t="s">
        <v>169</v>
      </c>
      <c r="D22" s="119" t="e">
        <f t="shared" ca="1" si="0"/>
        <v>#NAME?</v>
      </c>
      <c r="E22" s="120">
        <f>$F$101</f>
        <v>49357</v>
      </c>
      <c r="F22" s="181">
        <f>$H$101</f>
        <v>2.2552829385902711</v>
      </c>
      <c r="G22" s="181" t="e">
        <f ca="1">_xll.BDP($C22,"PX_LAST")</f>
        <v>#NAME?</v>
      </c>
      <c r="H22" s="181" t="e">
        <f ca="1">_xll.BDP($C22,"BEST_TARGET_PRICE")</f>
        <v>#NAME?</v>
      </c>
      <c r="I22" s="616" t="e">
        <f t="shared" ca="1" si="1"/>
        <v>#NAME?</v>
      </c>
      <c r="J22" s="181" t="e">
        <f ca="1">_xll.BDP($C22,"EQY_REC_CONS")</f>
        <v>#NAME?</v>
      </c>
      <c r="K22" s="122" t="e">
        <f ca="1">_xll.BDP($C22,"CRNCY")</f>
        <v>#NAME?</v>
      </c>
      <c r="L22" s="119" t="e">
        <f ca="1">P22/N22-1</f>
        <v>#NAME?</v>
      </c>
      <c r="M22" s="119" t="e">
        <f ca="1">G22/F22-1</f>
        <v>#NAME?</v>
      </c>
      <c r="N22" s="120" t="e">
        <f ca="1">$K$101</f>
        <v>#NAME?</v>
      </c>
      <c r="O22" s="120">
        <f>$E22*$F22</f>
        <v>111314.00000000001</v>
      </c>
      <c r="P22" s="120" t="e">
        <f ca="1">$E22*$G22*$I$1</f>
        <v>#NAME?</v>
      </c>
      <c r="Q22" s="203" t="e">
        <f ca="1">$P22/$I$1</f>
        <v>#NAME?</v>
      </c>
      <c r="R22" s="123" t="e">
        <f ca="1">$P22-$N22</f>
        <v>#NAME?</v>
      </c>
      <c r="S22" s="123" t="e">
        <f t="shared" ref="S22:S29" ca="1" si="5">Q22-O22</f>
        <v>#NAME?</v>
      </c>
      <c r="T22" s="123" t="e">
        <f ca="1">_xll.BDP($C22,"EQY_DVD_YLD_EST")</f>
        <v>#NAME?</v>
      </c>
      <c r="U22" s="125" t="e">
        <f ca="1">_xll.BDP($C22,"CHG_PCT_YTD")</f>
        <v>#NAME?</v>
      </c>
      <c r="V22" s="125" t="e">
        <f ca="1">_xll.BDP($C22,"CHG_PCT_1YR")</f>
        <v>#NAME?</v>
      </c>
      <c r="W22" s="125" t="e">
        <f ca="1">_xll.BDP($C22,"EXPECTED_REPORT_DT")</f>
        <v>#NAME?</v>
      </c>
      <c r="X22" s="125" t="e">
        <f ca="1">_xll.BDP($C22,"DVD_EX_DT")</f>
        <v>#NAME?</v>
      </c>
    </row>
    <row r="23" spans="1:24" s="409" customFormat="1" x14ac:dyDescent="0.2">
      <c r="A23" s="409" t="s">
        <v>664</v>
      </c>
      <c r="B23" s="118" t="s">
        <v>152</v>
      </c>
      <c r="C23" s="118" t="s">
        <v>52</v>
      </c>
      <c r="D23" s="119" t="e">
        <f t="shared" ca="1" si="0"/>
        <v>#NAME?</v>
      </c>
      <c r="E23" s="120">
        <v>50000</v>
      </c>
      <c r="F23" s="181" t="e">
        <f ca="1">$H$299</f>
        <v>#NAME?</v>
      </c>
      <c r="G23" s="181" t="e">
        <f ca="1">_xll.BDP($C23,"PX_LAST")</f>
        <v>#NAME?</v>
      </c>
      <c r="H23" s="181" t="e">
        <f ca="1">_xll.BDP($C23,"BEST_TARGET_PRICE")</f>
        <v>#NAME?</v>
      </c>
      <c r="I23" s="616" t="e">
        <f t="shared" ca="1" si="1"/>
        <v>#NAME?</v>
      </c>
      <c r="J23" s="181" t="e">
        <f ca="1">_xll.BDP($C23,"EQY_REC_CONS")</f>
        <v>#NAME?</v>
      </c>
      <c r="K23" s="122" t="e">
        <f ca="1">_xll.BDP($C23,"CRNCY")</f>
        <v>#NAME?</v>
      </c>
      <c r="L23" s="119" t="e">
        <f t="shared" ref="L23:L29" ca="1" si="6">G23/F23-1</f>
        <v>#NAME?</v>
      </c>
      <c r="M23" s="119" t="e">
        <f t="shared" ref="M23:M29" ca="1" si="7">Q23/O23-1</f>
        <v>#NAME?</v>
      </c>
      <c r="N23" s="120" t="e">
        <f t="shared" ref="N23:N29" ca="1" si="8">E23*F23</f>
        <v>#NAME?</v>
      </c>
      <c r="O23" s="120" t="e">
        <f ca="1">$J$299</f>
        <v>#NAME?</v>
      </c>
      <c r="P23" s="120" t="e">
        <f t="shared" ref="P23:P29" ca="1" si="9">E23*G23</f>
        <v>#NAME?</v>
      </c>
      <c r="Q23" s="203" t="e">
        <f t="shared" ref="Q23:Q29" ca="1" si="10">P23/$I$1</f>
        <v>#NAME?</v>
      </c>
      <c r="R23" s="123" t="e">
        <f t="shared" ref="R23:R29" ca="1" si="11">P23-N23</f>
        <v>#NAME?</v>
      </c>
      <c r="S23" s="123" t="e">
        <f t="shared" ca="1" si="5"/>
        <v>#NAME?</v>
      </c>
      <c r="T23" s="123" t="e">
        <f ca="1">_xll.BDP($C23,"EQY_DVD_YLD_EST")</f>
        <v>#NAME?</v>
      </c>
      <c r="U23" s="125" t="e">
        <f ca="1">_xll.BDP($C23,"CHG_PCT_YTD")</f>
        <v>#NAME?</v>
      </c>
      <c r="V23" s="125" t="e">
        <f ca="1">_xll.BDP($C23,"CHG_PCT_1YR")</f>
        <v>#NAME?</v>
      </c>
      <c r="W23" s="125" t="e">
        <f ca="1">_xll.BDP($C23,"EXPECTED_REPORT_DT")</f>
        <v>#NAME?</v>
      </c>
      <c r="X23" s="125" t="e">
        <f ca="1">_xll.BDP($C23,"DVD_EX_DT")</f>
        <v>#NAME?</v>
      </c>
    </row>
    <row r="24" spans="1:24" s="409" customFormat="1" x14ac:dyDescent="0.2">
      <c r="A24" s="409" t="s">
        <v>664</v>
      </c>
      <c r="B24" s="118" t="s">
        <v>211</v>
      </c>
      <c r="C24" s="118" t="s">
        <v>212</v>
      </c>
      <c r="D24" s="119" t="e">
        <f t="shared" ca="1" si="0"/>
        <v>#NAME?</v>
      </c>
      <c r="E24" s="120">
        <f>$F$216</f>
        <v>82800</v>
      </c>
      <c r="F24" s="181" t="e">
        <f ca="1">$H$216</f>
        <v>#NAME?</v>
      </c>
      <c r="G24" s="181" t="e">
        <f ca="1">_xll.BDP($C24,"PX_LAST")</f>
        <v>#NAME?</v>
      </c>
      <c r="H24" s="181">
        <v>50</v>
      </c>
      <c r="I24" s="616" t="e">
        <f t="shared" ca="1" si="1"/>
        <v>#NAME?</v>
      </c>
      <c r="J24" s="181" t="e">
        <f ca="1">_xll.BDP($C24,"EQY_REC_CONS")</f>
        <v>#NAME?</v>
      </c>
      <c r="K24" s="122" t="e">
        <f ca="1">_xll.BDP($C24,"CRNCY")</f>
        <v>#NAME?</v>
      </c>
      <c r="L24" s="119" t="e">
        <f t="shared" ca="1" si="6"/>
        <v>#NAME?</v>
      </c>
      <c r="M24" s="119" t="e">
        <f t="shared" ca="1" si="7"/>
        <v>#NAME?</v>
      </c>
      <c r="N24" s="120" t="e">
        <f t="shared" ca="1" si="8"/>
        <v>#NAME?</v>
      </c>
      <c r="O24" s="120" t="e">
        <f ca="1">$J$216</f>
        <v>#NAME?</v>
      </c>
      <c r="P24" s="120" t="e">
        <f t="shared" ca="1" si="9"/>
        <v>#NAME?</v>
      </c>
      <c r="Q24" s="203" t="e">
        <f t="shared" ca="1" si="10"/>
        <v>#NAME?</v>
      </c>
      <c r="R24" s="123" t="e">
        <f t="shared" ca="1" si="11"/>
        <v>#NAME?</v>
      </c>
      <c r="S24" s="123" t="e">
        <f t="shared" ca="1" si="5"/>
        <v>#NAME?</v>
      </c>
      <c r="T24" s="123" t="e">
        <f ca="1">_xll.BDP($C24,"EQY_DVD_YLD_EST")</f>
        <v>#NAME?</v>
      </c>
      <c r="U24" s="125" t="e">
        <f ca="1">_xll.BDP($C24,"CHG_PCT_YTD")</f>
        <v>#NAME?</v>
      </c>
      <c r="V24" s="125" t="e">
        <f ca="1">_xll.BDP($C24,"CHG_PCT_1YR")</f>
        <v>#NAME?</v>
      </c>
      <c r="W24" s="125" t="e">
        <f ca="1">_xll.BDP($C24,"EXPECTED_REPORT_DT")</f>
        <v>#NAME?</v>
      </c>
      <c r="X24" s="125" t="e">
        <f ca="1">_xll.BDP($C24,"DVD_EX_DT")</f>
        <v>#NAME?</v>
      </c>
    </row>
    <row r="25" spans="1:24" s="409" customFormat="1" x14ac:dyDescent="0.2">
      <c r="A25" s="409" t="s">
        <v>664</v>
      </c>
      <c r="B25" s="118" t="s">
        <v>333</v>
      </c>
      <c r="C25" s="118" t="s">
        <v>332</v>
      </c>
      <c r="D25" s="119" t="e">
        <f t="shared" ca="1" si="0"/>
        <v>#NAME?</v>
      </c>
      <c r="E25" s="120">
        <f>$F$114</f>
        <v>67855</v>
      </c>
      <c r="F25" s="181">
        <f>$H$114</f>
        <v>257.94925740918137</v>
      </c>
      <c r="G25" s="181" t="e">
        <f ca="1">_xll.BDP($C25,"PX_LAST")</f>
        <v>#NAME?</v>
      </c>
      <c r="H25" s="181" t="e">
        <f ca="1">_xll.BDP($C25,"BEST_TARGET_PRICE")</f>
        <v>#NAME?</v>
      </c>
      <c r="I25" s="616" t="e">
        <f t="shared" ca="1" si="1"/>
        <v>#NAME?</v>
      </c>
      <c r="J25" s="181" t="e">
        <f ca="1">_xll.BDP($C25,"EQY_REC_CONS")</f>
        <v>#NAME?</v>
      </c>
      <c r="K25" s="122" t="e">
        <f ca="1">_xll.BDP($C25,"CRNCY")</f>
        <v>#NAME?</v>
      </c>
      <c r="L25" s="119" t="e">
        <f t="shared" ca="1" si="6"/>
        <v>#NAME?</v>
      </c>
      <c r="M25" s="119" t="e">
        <f t="shared" ca="1" si="7"/>
        <v>#NAME?</v>
      </c>
      <c r="N25" s="120">
        <f t="shared" si="8"/>
        <v>17503146.861500002</v>
      </c>
      <c r="O25" s="120" t="e">
        <f ca="1">$J$114</f>
        <v>#NAME?</v>
      </c>
      <c r="P25" s="120" t="e">
        <f t="shared" ca="1" si="9"/>
        <v>#NAME?</v>
      </c>
      <c r="Q25" s="203" t="e">
        <f t="shared" ca="1" si="10"/>
        <v>#NAME?</v>
      </c>
      <c r="R25" s="123" t="e">
        <f t="shared" ca="1" si="11"/>
        <v>#NAME?</v>
      </c>
      <c r="S25" s="123" t="e">
        <f t="shared" ca="1" si="5"/>
        <v>#NAME?</v>
      </c>
      <c r="T25" s="123" t="e">
        <f ca="1">_xll.BDP($C25,"EQY_DVD_YLD_EST")</f>
        <v>#NAME?</v>
      </c>
      <c r="U25" s="125" t="e">
        <f ca="1">_xll.BDP($C25,"CHG_PCT_YTD")</f>
        <v>#NAME?</v>
      </c>
      <c r="V25" s="125" t="e">
        <f ca="1">_xll.BDP($C25,"CHG_PCT_1YR")</f>
        <v>#NAME?</v>
      </c>
      <c r="W25" s="125" t="e">
        <f ca="1">_xll.BDP($C25,"EXPECTED_REPORT_DT")</f>
        <v>#NAME?</v>
      </c>
      <c r="X25" s="125" t="e">
        <f ca="1">_xll.BDP($C25,"DVD_EX_DT")</f>
        <v>#NAME?</v>
      </c>
    </row>
    <row r="26" spans="1:24" s="409" customFormat="1" x14ac:dyDescent="0.2">
      <c r="A26" s="409" t="s">
        <v>664</v>
      </c>
      <c r="B26" s="118" t="s">
        <v>95</v>
      </c>
      <c r="C26" s="118" t="s">
        <v>78</v>
      </c>
      <c r="D26" s="119" t="e">
        <f t="shared" ca="1" si="0"/>
        <v>#NAME?</v>
      </c>
      <c r="E26" s="120">
        <f>$F$346</f>
        <v>68800</v>
      </c>
      <c r="F26" s="181" t="e">
        <f ca="1">$H$346</f>
        <v>#NAME?</v>
      </c>
      <c r="G26" s="181" t="e">
        <f ca="1">_xll.BDP($C26,"PX_LAST")</f>
        <v>#NAME?</v>
      </c>
      <c r="H26" s="181" t="e">
        <f ca="1">_xll.BDP($C26,"BEST_TARGET_PRICE")</f>
        <v>#NAME?</v>
      </c>
      <c r="I26" s="616" t="e">
        <f t="shared" ca="1" si="1"/>
        <v>#NAME?</v>
      </c>
      <c r="J26" s="181" t="e">
        <f ca="1">_xll.BDP($C26,"EQY_REC_CONS")</f>
        <v>#NAME?</v>
      </c>
      <c r="K26" s="122" t="e">
        <f ca="1">_xll.BDP($C26,"CRNCY")</f>
        <v>#NAME?</v>
      </c>
      <c r="L26" s="119" t="e">
        <f t="shared" ca="1" si="6"/>
        <v>#NAME?</v>
      </c>
      <c r="M26" s="119" t="e">
        <f t="shared" ca="1" si="7"/>
        <v>#NAME?</v>
      </c>
      <c r="N26" s="120" t="e">
        <f t="shared" ca="1" si="8"/>
        <v>#NAME?</v>
      </c>
      <c r="O26" s="120" t="e">
        <f ca="1">$J$346</f>
        <v>#NAME?</v>
      </c>
      <c r="P26" s="120" t="e">
        <f t="shared" ca="1" si="9"/>
        <v>#NAME?</v>
      </c>
      <c r="Q26" s="203" t="e">
        <f t="shared" ca="1" si="10"/>
        <v>#NAME?</v>
      </c>
      <c r="R26" s="123" t="e">
        <f t="shared" ca="1" si="11"/>
        <v>#NAME?</v>
      </c>
      <c r="S26" s="123" t="e">
        <f t="shared" ca="1" si="5"/>
        <v>#NAME?</v>
      </c>
      <c r="T26" s="123" t="e">
        <f ca="1">_xll.BDP($C26,"EQY_DVD_YLD_EST")</f>
        <v>#NAME?</v>
      </c>
      <c r="U26" s="125" t="e">
        <f ca="1">_xll.BDP($C26,"CHG_PCT_YTD")</f>
        <v>#NAME?</v>
      </c>
      <c r="V26" s="125" t="e">
        <f ca="1">_xll.BDP($C26,"CHG_PCT_1YR")</f>
        <v>#NAME?</v>
      </c>
      <c r="W26" s="125" t="e">
        <f ca="1">_xll.BDP($C26,"EXPECTED_REPORT_DT")</f>
        <v>#NAME?</v>
      </c>
      <c r="X26" s="125" t="e">
        <f ca="1">_xll.BDP($C26,"DVD_EX_DT")</f>
        <v>#NAME?</v>
      </c>
    </row>
    <row r="27" spans="1:24" s="409" customFormat="1" x14ac:dyDescent="0.2">
      <c r="A27" s="409" t="s">
        <v>664</v>
      </c>
      <c r="B27" s="118" t="s">
        <v>201</v>
      </c>
      <c r="C27" s="118" t="s">
        <v>202</v>
      </c>
      <c r="D27" s="119" t="e">
        <f t="shared" ca="1" si="0"/>
        <v>#NAME?</v>
      </c>
      <c r="E27" s="120">
        <f>$F$240</f>
        <v>10645</v>
      </c>
      <c r="F27" s="120" t="e">
        <f ca="1">$H$240</f>
        <v>#NAME?</v>
      </c>
      <c r="G27" s="120" t="e">
        <f ca="1">_xll.BDP($C27,"PX_LAST")</f>
        <v>#NAME?</v>
      </c>
      <c r="H27" s="181" t="e">
        <f ca="1">_xll.BDP($C27,"BEST_TARGET_PRICE")</f>
        <v>#NAME?</v>
      </c>
      <c r="I27" s="616" t="e">
        <f t="shared" ca="1" si="1"/>
        <v>#NAME?</v>
      </c>
      <c r="J27" s="181" t="e">
        <f ca="1">_xll.BDP($C27,"EQY_REC_CONS")</f>
        <v>#NAME?</v>
      </c>
      <c r="K27" s="122" t="e">
        <f ca="1">_xll.BDP($C27,"CRNCY")</f>
        <v>#NAME?</v>
      </c>
      <c r="L27" s="119" t="e">
        <f t="shared" ca="1" si="6"/>
        <v>#NAME?</v>
      </c>
      <c r="M27" s="119" t="e">
        <f t="shared" ca="1" si="7"/>
        <v>#NAME?</v>
      </c>
      <c r="N27" s="120" t="e">
        <f t="shared" ca="1" si="8"/>
        <v>#NAME?</v>
      </c>
      <c r="O27" s="120" t="e">
        <f ca="1">$J$240</f>
        <v>#NAME?</v>
      </c>
      <c r="P27" s="120" t="e">
        <f t="shared" ca="1" si="9"/>
        <v>#NAME?</v>
      </c>
      <c r="Q27" s="203" t="e">
        <f t="shared" ca="1" si="10"/>
        <v>#NAME?</v>
      </c>
      <c r="R27" s="123" t="e">
        <f t="shared" ca="1" si="11"/>
        <v>#NAME?</v>
      </c>
      <c r="S27" s="123" t="e">
        <f t="shared" ca="1" si="5"/>
        <v>#NAME?</v>
      </c>
      <c r="T27" s="123" t="e">
        <f ca="1">_xll.BDP($C27,"EQY_DVD_YLD_EST")</f>
        <v>#NAME?</v>
      </c>
      <c r="U27" s="125" t="e">
        <f ca="1">_xll.BDP($C27,"CHG_PCT_YTD")</f>
        <v>#NAME?</v>
      </c>
      <c r="V27" s="125" t="e">
        <f ca="1">_xll.BDP($C27,"CHG_PCT_1YR")</f>
        <v>#NAME?</v>
      </c>
      <c r="W27" s="125" t="e">
        <f ca="1">_xll.BDP($C27,"EXPECTED_REPORT_DT")</f>
        <v>#NAME?</v>
      </c>
      <c r="X27" s="125" t="e">
        <f ca="1">_xll.BDP($C27,"DVD_EX_DT")</f>
        <v>#NAME?</v>
      </c>
    </row>
    <row r="28" spans="1:24" s="409" customFormat="1" x14ac:dyDescent="0.2">
      <c r="A28" s="409" t="s">
        <v>664</v>
      </c>
      <c r="B28" s="118" t="s">
        <v>259</v>
      </c>
      <c r="C28" s="118" t="s">
        <v>258</v>
      </c>
      <c r="D28" s="119" t="e">
        <f t="shared" ca="1" si="0"/>
        <v>#NAME?</v>
      </c>
      <c r="E28" s="120">
        <v>1572138</v>
      </c>
      <c r="F28" s="194" t="e">
        <f ca="1">$H$119</f>
        <v>#NAME?</v>
      </c>
      <c r="G28" s="181" t="e">
        <f ca="1">_xll.BDP($C28,"PX_LAST")</f>
        <v>#NAME?</v>
      </c>
      <c r="H28" s="181" t="e">
        <f ca="1">_xll.BDP("NCSP LI EQUITY","BEST_TARGET_PRICE")*$I$1/75</f>
        <v>#NAME?</v>
      </c>
      <c r="I28" s="616" t="e">
        <f t="shared" ca="1" si="1"/>
        <v>#NAME?</v>
      </c>
      <c r="J28" s="181" t="e">
        <f ca="1">_xll.BDP($C28,"EQY_REC_CONS")</f>
        <v>#NAME?</v>
      </c>
      <c r="K28" s="122" t="e">
        <f ca="1">_xll.BDP($C28,"CRNCY")</f>
        <v>#NAME?</v>
      </c>
      <c r="L28" s="119" t="e">
        <f t="shared" ca="1" si="6"/>
        <v>#NAME?</v>
      </c>
      <c r="M28" s="119" t="e">
        <f t="shared" ca="1" si="7"/>
        <v>#NAME?</v>
      </c>
      <c r="N28" s="120" t="e">
        <f t="shared" ca="1" si="8"/>
        <v>#NAME?</v>
      </c>
      <c r="O28" s="120" t="e">
        <f ca="1">$J$119</f>
        <v>#NAME?</v>
      </c>
      <c r="P28" s="120" t="e">
        <f t="shared" ca="1" si="9"/>
        <v>#NAME?</v>
      </c>
      <c r="Q28" s="203" t="e">
        <f t="shared" ca="1" si="10"/>
        <v>#NAME?</v>
      </c>
      <c r="R28" s="123" t="e">
        <f t="shared" ca="1" si="11"/>
        <v>#NAME?</v>
      </c>
      <c r="S28" s="123" t="e">
        <f t="shared" ca="1" si="5"/>
        <v>#NAME?</v>
      </c>
      <c r="T28" s="123" t="e">
        <f ca="1">_xll.BDP($C28,"EQY_DVD_YLD_EST")</f>
        <v>#NAME?</v>
      </c>
      <c r="U28" s="125" t="e">
        <f ca="1">_xll.BDP($C28,"CHG_PCT_YTD")</f>
        <v>#NAME?</v>
      </c>
      <c r="V28" s="125" t="e">
        <f ca="1">_xll.BDP($C28,"CHG_PCT_1YR")</f>
        <v>#NAME?</v>
      </c>
      <c r="W28" s="125" t="e">
        <f ca="1">_xll.BDP($C28,"EXPECTED_REPORT_DT")</f>
        <v>#NAME?</v>
      </c>
      <c r="X28" s="125" t="e">
        <f ca="1">_xll.BDP($C28,"DVD_EX_DT")</f>
        <v>#NAME?</v>
      </c>
    </row>
    <row r="29" spans="1:24" s="409" customFormat="1" x14ac:dyDescent="0.2">
      <c r="A29" s="409" t="s">
        <v>664</v>
      </c>
      <c r="B29" s="118" t="s">
        <v>348</v>
      </c>
      <c r="C29" s="118" t="s">
        <v>352</v>
      </c>
      <c r="D29" s="119" t="e">
        <f t="shared" ca="1" si="0"/>
        <v>#NAME?</v>
      </c>
      <c r="E29" s="120">
        <f>$F$91</f>
        <v>7000</v>
      </c>
      <c r="F29" s="181" t="e">
        <f ca="1">$H$91</f>
        <v>#NAME?</v>
      </c>
      <c r="G29" s="181" t="e">
        <f ca="1">_xll.BDP($C29,"PX_LAST")</f>
        <v>#NAME?</v>
      </c>
      <c r="H29" s="181" t="e">
        <f ca="1">_xll.BDP($C29,"BEST_TARGET_PRICE")</f>
        <v>#NAME?</v>
      </c>
      <c r="I29" s="616"/>
      <c r="J29" s="181" t="e">
        <f ca="1">_xll.BDP($C29,"EQY_REC_CONS")</f>
        <v>#NAME?</v>
      </c>
      <c r="K29" s="122" t="e">
        <f ca="1">_xll.BDP($C29,"CRNCY")</f>
        <v>#NAME?</v>
      </c>
      <c r="L29" s="119" t="e">
        <f t="shared" ca="1" si="6"/>
        <v>#NAME?</v>
      </c>
      <c r="M29" s="119" t="e">
        <f t="shared" ca="1" si="7"/>
        <v>#NAME?</v>
      </c>
      <c r="N29" s="120" t="e">
        <f t="shared" ca="1" si="8"/>
        <v>#NAME?</v>
      </c>
      <c r="O29" s="120" t="e">
        <f ca="1">$J$91</f>
        <v>#NAME?</v>
      </c>
      <c r="P29" s="120" t="e">
        <f t="shared" ca="1" si="9"/>
        <v>#NAME?</v>
      </c>
      <c r="Q29" s="203" t="e">
        <f t="shared" ca="1" si="10"/>
        <v>#NAME?</v>
      </c>
      <c r="R29" s="123" t="e">
        <f t="shared" ca="1" si="11"/>
        <v>#NAME?</v>
      </c>
      <c r="S29" s="123" t="e">
        <f t="shared" ca="1" si="5"/>
        <v>#NAME?</v>
      </c>
      <c r="T29" s="123" t="e">
        <f ca="1">_xll.BDP($C29,"EQY_DVD_YLD_EST")</f>
        <v>#NAME?</v>
      </c>
      <c r="U29" s="125" t="e">
        <f ca="1">_xll.BDP($C29,"CHG_PCT_YTD")</f>
        <v>#NAME?</v>
      </c>
      <c r="V29" s="125" t="e">
        <f ca="1">_xll.BDP($C29,"CHG_PCT_1YR")</f>
        <v>#NAME?</v>
      </c>
      <c r="W29" s="125" t="e">
        <f ca="1">_xll.BDP($C29,"EXPECTED_REPORT_DT")</f>
        <v>#NAME?</v>
      </c>
      <c r="X29" s="125" t="e">
        <f ca="1">_xll.BDP($C29,"DVD_EX_DT")</f>
        <v>#NAME?</v>
      </c>
    </row>
    <row r="30" spans="1:24" s="440" customFormat="1" x14ac:dyDescent="0.2">
      <c r="A30" s="440" t="s">
        <v>663</v>
      </c>
      <c r="B30" s="440" t="e">
        <f ca="1">_xll.BDP(C30,"SECURITY_NAME")</f>
        <v>#NAME?</v>
      </c>
      <c r="C30" s="440" t="s">
        <v>697</v>
      </c>
      <c r="D30" s="442" t="e">
        <f t="shared" ref="D30:D31" ca="1" si="12">Q30/$Q$32</f>
        <v>#NAME?</v>
      </c>
      <c r="E30" s="443">
        <f>$F$190</f>
        <v>200000</v>
      </c>
      <c r="F30" s="468">
        <f>$H$190</f>
        <v>91</v>
      </c>
      <c r="G30" s="444" t="e">
        <f ca="1">_xll.BDP(C30,"PX LAST")</f>
        <v>#NAME?</v>
      </c>
      <c r="K30" s="445" t="e">
        <f ca="1">_xll.BDP($C30,"CRNCY")</f>
        <v>#NAME?</v>
      </c>
      <c r="L30" s="442" t="e">
        <f ca="1">P30/N30-1</f>
        <v>#NAME?</v>
      </c>
      <c r="M30" s="442" t="e">
        <f ca="1">G30/F30-1</f>
        <v>#NAME?</v>
      </c>
      <c r="N30" s="443" t="e">
        <f ca="1">$K$190</f>
        <v>#NAME?</v>
      </c>
      <c r="O30" s="443">
        <f>E30*F30/100</f>
        <v>182000</v>
      </c>
      <c r="P30" s="443" t="e">
        <f ca="1">E30*G30/100*$I$1</f>
        <v>#NAME?</v>
      </c>
      <c r="Q30" s="443" t="e">
        <f t="shared" ref="Q30" ca="1" si="13">P30/$I$1</f>
        <v>#NAME?</v>
      </c>
      <c r="R30" s="446" t="e">
        <f t="shared" ref="R30" ca="1" si="14">P30-N30</f>
        <v>#NAME?</v>
      </c>
      <c r="S30" s="446" t="e">
        <f t="shared" ref="S30" ca="1" si="15">Q30-O30</f>
        <v>#NAME?</v>
      </c>
      <c r="T30" s="446" t="e">
        <f ca="1">_xll.BDP(C30,"YLD_YTM_BID")</f>
        <v>#NAME?</v>
      </c>
      <c r="U30" s="448" t="e">
        <f ca="1">_xll.BDP($C30,"CHG_PCT_YTD")</f>
        <v>#NAME?</v>
      </c>
      <c r="V30" s="448" t="e">
        <f ca="1">_xll.BDP($C30,"CHG_PCT_1YR")</f>
        <v>#NAME?</v>
      </c>
      <c r="W30" s="448"/>
    </row>
    <row r="31" spans="1:24" x14ac:dyDescent="0.2">
      <c r="B31" s="68" t="s">
        <v>106</v>
      </c>
      <c r="C31" s="68" t="s">
        <v>106</v>
      </c>
      <c r="D31" s="101" t="e">
        <f t="shared" ca="1" si="12"/>
        <v>#NAME?</v>
      </c>
      <c r="E31" s="64"/>
      <c r="F31" s="67"/>
      <c r="G31" s="66"/>
      <c r="H31" s="66"/>
      <c r="I31" s="66"/>
      <c r="J31" s="66"/>
      <c r="K31" s="60"/>
      <c r="L31" s="65"/>
      <c r="M31" s="65"/>
      <c r="N31" s="64"/>
      <c r="O31" s="64"/>
      <c r="P31" s="64"/>
      <c r="Q31" s="63" t="e">
        <f ca="1">2593725+103515*$G$1+12933*$K$1</f>
        <v>#NAME?</v>
      </c>
      <c r="R31" s="62"/>
      <c r="S31" s="61"/>
      <c r="T31" s="61"/>
      <c r="U31" s="60"/>
      <c r="V31" s="60"/>
      <c r="W31" s="60"/>
      <c r="X31" s="60"/>
    </row>
    <row r="32" spans="1:24" ht="13.5" customHeight="1" thickBot="1" x14ac:dyDescent="0.25">
      <c r="B32" s="58"/>
      <c r="C32" s="58"/>
      <c r="D32" s="59" t="e">
        <f ca="1">SUM(D4:D31)</f>
        <v>#NAME?</v>
      </c>
      <c r="E32" s="58"/>
      <c r="F32" s="58"/>
      <c r="G32" s="58"/>
      <c r="H32" s="58"/>
      <c r="I32" s="624" t="e">
        <f ca="1">SUMPRODUCT($D4:$D29,I4:I29)</f>
        <v>#NAME?</v>
      </c>
      <c r="J32" s="58"/>
      <c r="K32" s="55"/>
      <c r="L32" s="58"/>
      <c r="M32" s="58"/>
      <c r="N32" s="137" t="e">
        <f ca="1">SUM(N4:N31)</f>
        <v>#NAME?</v>
      </c>
      <c r="O32" s="57">
        <f>7710000+955000</f>
        <v>8665000</v>
      </c>
      <c r="P32" s="137" t="e">
        <f ca="1">SUM(P4:P31)</f>
        <v>#NAME?</v>
      </c>
      <c r="Q32" s="57" t="e">
        <f ca="1">SUM(Q4:Q31)</f>
        <v>#NAME?</v>
      </c>
      <c r="R32" s="138" t="e">
        <f ca="1">SUM(R4:R31)</f>
        <v>#NAME?</v>
      </c>
      <c r="S32" s="56" t="e">
        <f ca="1">SUM(S4:S31)</f>
        <v>#NAME?</v>
      </c>
      <c r="T32" s="673" t="e">
        <f ca="1">SUMPRODUCT($D4:$D30,T4:T30)</f>
        <v>#NAME?</v>
      </c>
      <c r="U32" s="55"/>
      <c r="V32" s="55"/>
      <c r="W32" s="55"/>
      <c r="X32" s="55"/>
    </row>
    <row r="33" spans="2:23" ht="13.5" customHeight="1" x14ac:dyDescent="0.2">
      <c r="B33" s="41"/>
      <c r="C33" s="41"/>
      <c r="D33" s="54"/>
      <c r="E33" s="41"/>
      <c r="F33" s="41"/>
      <c r="G33" s="41"/>
      <c r="I33" s="840" t="s">
        <v>804</v>
      </c>
      <c r="J33" s="840"/>
      <c r="K33" s="41"/>
      <c r="L33" s="40"/>
      <c r="M33" s="40"/>
      <c r="N33" s="40"/>
      <c r="O33" s="40"/>
      <c r="P33" s="52"/>
      <c r="Q33" s="53"/>
      <c r="R33" s="98" t="e">
        <f ca="1">P32/N32-1</f>
        <v>#NAME?</v>
      </c>
      <c r="S33" s="98" t="e">
        <f ca="1">Q32/O32-1</f>
        <v>#NAME?</v>
      </c>
      <c r="T33" s="840" t="s">
        <v>816</v>
      </c>
      <c r="U33" s="840"/>
    </row>
    <row r="34" spans="2:23" x14ac:dyDescent="0.2">
      <c r="B34" s="32" t="s">
        <v>276</v>
      </c>
      <c r="E34" s="10"/>
      <c r="I34" s="841"/>
      <c r="J34" s="841"/>
      <c r="M34" s="352"/>
      <c r="N34" s="34"/>
      <c r="O34" s="34"/>
      <c r="P34" s="30"/>
      <c r="T34" s="841"/>
      <c r="U34" s="841"/>
    </row>
    <row r="35" spans="2:23" x14ac:dyDescent="0.2">
      <c r="B35" s="379">
        <v>2015</v>
      </c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53"/>
      <c r="N35" s="34"/>
      <c r="O35" s="34"/>
      <c r="P35" s="30"/>
    </row>
    <row r="36" spans="2:23" ht="40.5" customHeight="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23" x14ac:dyDescent="0.2">
      <c r="B37" s="46" t="s">
        <v>297</v>
      </c>
      <c r="C37" s="103" t="s">
        <v>134</v>
      </c>
      <c r="D37" s="73" t="s">
        <v>51</v>
      </c>
      <c r="E37" s="43" t="e">
        <f ca="1">F37*_xll.BDP(C37,"PX_LAST")</f>
        <v>#NAME?</v>
      </c>
      <c r="F37" s="43">
        <v>129700</v>
      </c>
      <c r="G37" s="43">
        <v>1170</v>
      </c>
      <c r="H37" s="47">
        <f t="shared" ref="H37:H43" si="16">G37/F37</f>
        <v>9.020817270624518E-3</v>
      </c>
      <c r="I37" s="43">
        <f t="shared" ref="I37:I43" si="17">G37*K37</f>
        <v>336.375</v>
      </c>
      <c r="J37" s="45">
        <f t="shared" ref="J37:J43" si="18">G37*L37</f>
        <v>468</v>
      </c>
      <c r="K37" s="105">
        <v>0.28749999999999998</v>
      </c>
      <c r="L37" s="105">
        <v>0.4</v>
      </c>
      <c r="M37" s="44">
        <f t="shared" ref="M37:M43" si="19">L37/K37-1</f>
        <v>0.39130434782608714</v>
      </c>
      <c r="N37" s="43">
        <f t="shared" ref="N37:N43" si="20">J37-I37</f>
        <v>131.625</v>
      </c>
      <c r="O37" s="106" t="e">
        <f ca="1">_xll.BDP($C37,"CRNCY")</f>
        <v>#NAME?</v>
      </c>
      <c r="P37" s="43" t="e">
        <f ca="1">N37*R37</f>
        <v>#NAME?</v>
      </c>
      <c r="Q37" s="14">
        <v>42024</v>
      </c>
      <c r="R37" s="22" t="e">
        <f ca="1">_xll.BDH("GBP curncy","PX_LAST",$Q37)</f>
        <v>#NAME?</v>
      </c>
    </row>
    <row r="38" spans="2:23" x14ac:dyDescent="0.2">
      <c r="B38" s="108" t="s">
        <v>198</v>
      </c>
      <c r="C38" s="41" t="s">
        <v>199</v>
      </c>
      <c r="D38" s="73" t="s">
        <v>51</v>
      </c>
      <c r="E38" s="43" t="e">
        <f ca="1">F38*_xll.BDP(C38,"PX_LAST")</f>
        <v>#NAME?</v>
      </c>
      <c r="F38" s="43">
        <v>34620</v>
      </c>
      <c r="G38" s="104">
        <v>34620</v>
      </c>
      <c r="H38" s="47">
        <f>G38/F38</f>
        <v>1</v>
      </c>
      <c r="I38" s="43">
        <f>G38*K38</f>
        <v>2801450.4</v>
      </c>
      <c r="J38" s="45">
        <f>G38*L38</f>
        <v>3077718</v>
      </c>
      <c r="K38" s="105">
        <v>80.92</v>
      </c>
      <c r="L38" s="105">
        <v>88.9</v>
      </c>
      <c r="M38" s="44">
        <f>L38/K38-1</f>
        <v>9.8615916955017369E-2</v>
      </c>
      <c r="N38" s="43">
        <f>J38-I38</f>
        <v>276267.60000000009</v>
      </c>
      <c r="O38" s="106" t="e">
        <f ca="1">_xll.BDP($C38,"CRNCY")</f>
        <v>#NAME?</v>
      </c>
      <c r="P38" s="43" t="e">
        <f ca="1">N38/R38</f>
        <v>#NAME?</v>
      </c>
      <c r="Q38" s="14">
        <v>42202</v>
      </c>
      <c r="R38" s="22" t="e">
        <f ca="1">_xll.BDH("RUB curncy","PX_LAST",$Q38)</f>
        <v>#NAME?</v>
      </c>
      <c r="U38" s="9">
        <v>5000000</v>
      </c>
      <c r="V38" s="9">
        <v>63.05</v>
      </c>
      <c r="W38" s="9">
        <f>U38*V38</f>
        <v>315250000</v>
      </c>
    </row>
    <row r="39" spans="2:23" x14ac:dyDescent="0.2">
      <c r="B39" s="46" t="s">
        <v>290</v>
      </c>
      <c r="C39" s="41" t="s">
        <v>57</v>
      </c>
      <c r="D39" s="73" t="s">
        <v>51</v>
      </c>
      <c r="E39" s="43" t="e">
        <f ca="1">F39*_xll.BDP(C39,"PX_LAST")</f>
        <v>#NAME?</v>
      </c>
      <c r="F39" s="43">
        <v>7500</v>
      </c>
      <c r="G39" s="104">
        <v>7500</v>
      </c>
      <c r="H39" s="47">
        <f t="shared" si="16"/>
        <v>1</v>
      </c>
      <c r="I39" s="43">
        <f t="shared" si="17"/>
        <v>2310000</v>
      </c>
      <c r="J39" s="45">
        <f t="shared" si="18"/>
        <v>4473000</v>
      </c>
      <c r="K39" s="105">
        <v>308</v>
      </c>
      <c r="L39" s="105">
        <v>596.4</v>
      </c>
      <c r="M39" s="44">
        <f t="shared" si="19"/>
        <v>0.93636363636363629</v>
      </c>
      <c r="N39" s="43">
        <f t="shared" si="20"/>
        <v>2163000</v>
      </c>
      <c r="O39" s="106" t="e">
        <f ca="1">_xll.BDP($C39,"CRNCY")</f>
        <v>#NAME?</v>
      </c>
      <c r="P39" s="43" t="e">
        <f t="shared" ref="P39:P44" ca="1" si="21">N39/R39</f>
        <v>#NAME?</v>
      </c>
      <c r="Q39" s="14">
        <v>42068</v>
      </c>
      <c r="R39" s="22" t="e">
        <f ca="1">_xll.BDH("RUB curncy","PX_LAST",$Q39)</f>
        <v>#NAME?</v>
      </c>
      <c r="U39" s="9">
        <v>5000000</v>
      </c>
      <c r="V39" s="9">
        <v>63</v>
      </c>
      <c r="W39" s="9">
        <f t="shared" ref="W39:W40" si="22">U39*V39</f>
        <v>315000000</v>
      </c>
    </row>
    <row r="40" spans="2:23" x14ac:dyDescent="0.2">
      <c r="B40" s="46" t="s">
        <v>291</v>
      </c>
      <c r="C40" s="41" t="s">
        <v>55</v>
      </c>
      <c r="D40" s="73" t="s">
        <v>51</v>
      </c>
      <c r="E40" s="43" t="e">
        <f ca="1">F40*_xll.BDP(C40,"PX_LAST")</f>
        <v>#NAME?</v>
      </c>
      <c r="F40" s="43">
        <v>1000</v>
      </c>
      <c r="G40" s="104">
        <v>1000</v>
      </c>
      <c r="H40" s="47">
        <f t="shared" si="16"/>
        <v>1</v>
      </c>
      <c r="I40" s="43">
        <f t="shared" si="17"/>
        <v>5272000</v>
      </c>
      <c r="J40" s="45">
        <f t="shared" si="18"/>
        <v>10000000</v>
      </c>
      <c r="K40" s="105">
        <v>5272</v>
      </c>
      <c r="L40" s="105">
        <v>10000</v>
      </c>
      <c r="M40" s="44">
        <f t="shared" si="19"/>
        <v>0.896813353566009</v>
      </c>
      <c r="N40" s="43">
        <f t="shared" si="20"/>
        <v>4728000</v>
      </c>
      <c r="O40" s="106" t="e">
        <f ca="1">_xll.BDP($C40,"CRNCY")</f>
        <v>#NAME?</v>
      </c>
      <c r="P40" s="43" t="e">
        <f t="shared" ca="1" si="21"/>
        <v>#NAME?</v>
      </c>
      <c r="Q40" s="14">
        <v>42068</v>
      </c>
      <c r="R40" s="22" t="e">
        <f ca="1">_xll.BDH("RUB curncy","PX_LAST",$Q40)</f>
        <v>#NAME?</v>
      </c>
      <c r="U40" s="9">
        <v>5300000</v>
      </c>
      <c r="V40" s="9">
        <v>62.95</v>
      </c>
      <c r="W40" s="9">
        <f t="shared" si="22"/>
        <v>333635000</v>
      </c>
    </row>
    <row r="41" spans="2:23" x14ac:dyDescent="0.2">
      <c r="B41" s="46" t="s">
        <v>107</v>
      </c>
      <c r="C41" s="41" t="s">
        <v>292</v>
      </c>
      <c r="D41" s="73" t="s">
        <v>51</v>
      </c>
      <c r="E41" s="43" t="e">
        <f ca="1">F41*_xll.BDP(C41,"PX_LAST")</f>
        <v>#NAME?</v>
      </c>
      <c r="F41" s="43">
        <v>3500</v>
      </c>
      <c r="G41" s="104">
        <v>3500</v>
      </c>
      <c r="H41" s="47">
        <f t="shared" si="16"/>
        <v>1</v>
      </c>
      <c r="I41" s="43">
        <f t="shared" si="17"/>
        <v>1245090</v>
      </c>
      <c r="J41" s="45">
        <f t="shared" si="18"/>
        <v>1762250</v>
      </c>
      <c r="K41" s="105">
        <v>355.74</v>
      </c>
      <c r="L41" s="105">
        <v>503.5</v>
      </c>
      <c r="M41" s="44">
        <f t="shared" si="19"/>
        <v>0.4153595322426491</v>
      </c>
      <c r="N41" s="43">
        <f t="shared" si="20"/>
        <v>517160</v>
      </c>
      <c r="O41" s="106" t="e">
        <f ca="1">_xll.BDP($C41,"CRNCY")</f>
        <v>#NAME?</v>
      </c>
      <c r="P41" s="43" t="e">
        <f t="shared" ca="1" si="21"/>
        <v>#NAME?</v>
      </c>
      <c r="Q41" s="14">
        <v>42068</v>
      </c>
      <c r="R41" s="22" t="e">
        <f ca="1">_xll.BDH("RUB curncy","PX_LAST",$Q41)</f>
        <v>#NAME?</v>
      </c>
      <c r="U41" s="9">
        <v>15300000</v>
      </c>
      <c r="V41" s="9">
        <f>W41/U41</f>
        <v>62.999019607843138</v>
      </c>
      <c r="W41" s="9">
        <f>SUM(W38:W40)</f>
        <v>963885000</v>
      </c>
    </row>
    <row r="42" spans="2:23" x14ac:dyDescent="0.2">
      <c r="B42" s="46" t="s">
        <v>188</v>
      </c>
      <c r="C42" s="41" t="s">
        <v>189</v>
      </c>
      <c r="D42" s="73" t="s">
        <v>51</v>
      </c>
      <c r="E42" s="43" t="e">
        <f ca="1">F42*_xll.BDP(C42,"PX_LAST")</f>
        <v>#NAME?</v>
      </c>
      <c r="F42" s="43">
        <v>23500</v>
      </c>
      <c r="G42" s="104">
        <v>23500</v>
      </c>
      <c r="H42" s="47">
        <f t="shared" si="16"/>
        <v>1</v>
      </c>
      <c r="I42" s="43">
        <f t="shared" si="17"/>
        <v>1229050</v>
      </c>
      <c r="J42" s="45">
        <f t="shared" si="18"/>
        <v>1880000</v>
      </c>
      <c r="K42" s="105">
        <v>52.3</v>
      </c>
      <c r="L42" s="105">
        <v>80</v>
      </c>
      <c r="M42" s="44">
        <f t="shared" si="19"/>
        <v>0.52963671128107093</v>
      </c>
      <c r="N42" s="43">
        <f t="shared" si="20"/>
        <v>650950</v>
      </c>
      <c r="O42" s="106" t="e">
        <f ca="1">_xll.BDP($C42,"CRNCY")</f>
        <v>#NAME?</v>
      </c>
      <c r="P42" s="43" t="e">
        <f t="shared" ca="1" si="21"/>
        <v>#NAME?</v>
      </c>
      <c r="Q42" s="14">
        <v>42068</v>
      </c>
      <c r="R42" s="22" t="e">
        <f ca="1">_xll.BDH("RUB curncy","PX_LAST",$Q42)</f>
        <v>#NAME?</v>
      </c>
    </row>
    <row r="43" spans="2:23" x14ac:dyDescent="0.2">
      <c r="B43" s="46" t="s">
        <v>187</v>
      </c>
      <c r="C43" s="41" t="s">
        <v>56</v>
      </c>
      <c r="D43" s="73" t="s">
        <v>51</v>
      </c>
      <c r="E43" s="43" t="e">
        <f ca="1">F43*_xll.BDP(C43,"PX_LAST")</f>
        <v>#NAME?</v>
      </c>
      <c r="F43" s="43">
        <v>1300000</v>
      </c>
      <c r="G43" s="104">
        <v>600000</v>
      </c>
      <c r="H43" s="47">
        <f t="shared" si="16"/>
        <v>0.46153846153846156</v>
      </c>
      <c r="I43" s="43">
        <f t="shared" si="17"/>
        <v>4362000</v>
      </c>
      <c r="J43" s="45">
        <f t="shared" si="18"/>
        <v>8914800</v>
      </c>
      <c r="K43" s="105">
        <v>7.27</v>
      </c>
      <c r="L43" s="105">
        <v>14.858000000000001</v>
      </c>
      <c r="M43" s="44">
        <f t="shared" si="19"/>
        <v>1.0437414030261349</v>
      </c>
      <c r="N43" s="43">
        <f t="shared" si="20"/>
        <v>4552800</v>
      </c>
      <c r="O43" s="106" t="e">
        <f ca="1">_xll.BDP($C43,"CRNCY")</f>
        <v>#NAME?</v>
      </c>
      <c r="P43" s="43" t="e">
        <f t="shared" ca="1" si="21"/>
        <v>#NAME?</v>
      </c>
      <c r="Q43" s="14">
        <v>42068</v>
      </c>
      <c r="R43" s="22" t="e">
        <f ca="1">_xll.BDH("RUB curncy","PX_LAST",$Q43)</f>
        <v>#NAME?</v>
      </c>
    </row>
    <row r="44" spans="2:23" x14ac:dyDescent="0.2">
      <c r="B44" s="46" t="s">
        <v>150</v>
      </c>
      <c r="C44" s="41" t="s">
        <v>149</v>
      </c>
      <c r="D44" s="73" t="s">
        <v>51</v>
      </c>
      <c r="E44" s="43" t="e">
        <f ca="1">F44*_xll.BDP(C44,"PX_LAST")</f>
        <v>#NAME?</v>
      </c>
      <c r="F44" s="43">
        <v>102738</v>
      </c>
      <c r="G44" s="104">
        <v>102738</v>
      </c>
      <c r="H44" s="47">
        <f t="shared" ref="H44:H53" si="23">G44/F44</f>
        <v>1</v>
      </c>
      <c r="I44" s="43">
        <f t="shared" ref="I44:I49" si="24">G44*K44</f>
        <v>256947.73799999998</v>
      </c>
      <c r="J44" s="45">
        <f t="shared" ref="J44:J49" si="25">G44*L44</f>
        <v>309241.38</v>
      </c>
      <c r="K44" s="105">
        <v>2.5009999999999999</v>
      </c>
      <c r="L44" s="105">
        <v>3.01</v>
      </c>
      <c r="M44" s="44">
        <f t="shared" ref="M44:M53" si="26">L44/K44-1</f>
        <v>0.20351859256297478</v>
      </c>
      <c r="N44" s="43">
        <f t="shared" ref="N44:N49" si="27">J44-I44</f>
        <v>52293.642000000022</v>
      </c>
      <c r="O44" s="106" t="e">
        <f ca="1">_xll.BDP($C44,"CRNCY")</f>
        <v>#NAME?</v>
      </c>
      <c r="P44" s="43" t="e">
        <f t="shared" ca="1" si="21"/>
        <v>#NAME?</v>
      </c>
      <c r="Q44" s="14">
        <v>42101</v>
      </c>
      <c r="R44" s="22" t="e">
        <f ca="1">_xll.BDH("RUB curncy","PX_LAST",$Q44)</f>
        <v>#NAME?</v>
      </c>
    </row>
    <row r="45" spans="2:23" x14ac:dyDescent="0.2">
      <c r="B45" s="46" t="s">
        <v>325</v>
      </c>
      <c r="C45" s="41" t="s">
        <v>326</v>
      </c>
      <c r="D45" s="73" t="s">
        <v>51</v>
      </c>
      <c r="E45" s="43" t="e">
        <f ca="1">F45*_xll.BDP(C45,"PX_LAST")</f>
        <v>#NAME?</v>
      </c>
      <c r="F45" s="43">
        <v>6169</v>
      </c>
      <c r="G45" s="104">
        <v>6196</v>
      </c>
      <c r="H45" s="47">
        <f t="shared" si="23"/>
        <v>1.0043767223212838</v>
      </c>
      <c r="I45" s="43">
        <f t="shared" si="24"/>
        <v>53628.139664000002</v>
      </c>
      <c r="J45" s="45">
        <f t="shared" si="25"/>
        <v>61960</v>
      </c>
      <c r="K45" s="105">
        <v>8.655284</v>
      </c>
      <c r="L45" s="105">
        <v>10</v>
      </c>
      <c r="M45" s="44">
        <f t="shared" si="26"/>
        <v>0.15536359061123828</v>
      </c>
      <c r="N45" s="43">
        <f t="shared" si="27"/>
        <v>8331.8603359999979</v>
      </c>
      <c r="O45" s="106" t="e">
        <f ca="1">_xll.BDP($C45,"CRNCY")</f>
        <v>#NAME?</v>
      </c>
      <c r="P45" s="43">
        <f>N45</f>
        <v>8331.8603359999979</v>
      </c>
      <c r="Q45" s="14">
        <v>42101</v>
      </c>
      <c r="R45" s="22" t="e">
        <f ca="1">_xll.BDH("RUB curncy","PX_LAST",$Q45)</f>
        <v>#NAME?</v>
      </c>
    </row>
    <row r="46" spans="2:23" x14ac:dyDescent="0.2">
      <c r="B46" s="46" t="s">
        <v>187</v>
      </c>
      <c r="C46" s="41" t="s">
        <v>56</v>
      </c>
      <c r="D46" s="73" t="s">
        <v>51</v>
      </c>
      <c r="E46" s="43" t="e">
        <f ca="1">F46*_xll.BDP(C46,"PX_LAST")</f>
        <v>#NAME?</v>
      </c>
      <c r="F46" s="43">
        <v>1300000</v>
      </c>
      <c r="G46" s="104">
        <v>700000</v>
      </c>
      <c r="H46" s="47">
        <f t="shared" si="23"/>
        <v>0.53846153846153844</v>
      </c>
      <c r="I46" s="43">
        <f t="shared" si="24"/>
        <v>5089000</v>
      </c>
      <c r="J46" s="45">
        <f t="shared" si="25"/>
        <v>10238109</v>
      </c>
      <c r="K46" s="105">
        <v>7.27</v>
      </c>
      <c r="L46" s="105">
        <v>14.625870000000001</v>
      </c>
      <c r="M46" s="44">
        <f t="shared" si="26"/>
        <v>1.011811554332875</v>
      </c>
      <c r="N46" s="43">
        <f t="shared" si="27"/>
        <v>5149109</v>
      </c>
      <c r="O46" s="106" t="e">
        <f ca="1">_xll.BDP($C46,"CRNCY")</f>
        <v>#NAME?</v>
      </c>
      <c r="P46" s="43" t="e">
        <f ca="1">N46/R46</f>
        <v>#NAME?</v>
      </c>
      <c r="Q46" s="14">
        <v>42104</v>
      </c>
      <c r="R46" s="22" t="e">
        <f ca="1">_xll.BDH("RUB curncy","PX_LAST",$Q46)</f>
        <v>#NAME?</v>
      </c>
    </row>
    <row r="47" spans="2:23" x14ac:dyDescent="0.2">
      <c r="B47" s="46" t="s">
        <v>338</v>
      </c>
      <c r="C47" s="41" t="s">
        <v>339</v>
      </c>
      <c r="D47" s="73" t="s">
        <v>51</v>
      </c>
      <c r="E47" s="43" t="e">
        <f ca="1">F47*_xll.BDP(C47,"PX_LAST")</f>
        <v>#NAME?</v>
      </c>
      <c r="F47" s="43">
        <v>5600</v>
      </c>
      <c r="G47" s="104">
        <v>5600</v>
      </c>
      <c r="H47" s="47">
        <f t="shared" si="23"/>
        <v>1</v>
      </c>
      <c r="I47" s="43">
        <f t="shared" si="24"/>
        <v>62719.999999999993</v>
      </c>
      <c r="J47" s="45">
        <f t="shared" si="25"/>
        <v>66711.148000000001</v>
      </c>
      <c r="K47" s="105">
        <v>11.2</v>
      </c>
      <c r="L47" s="105">
        <v>11.912705000000001</v>
      </c>
      <c r="M47" s="44">
        <f t="shared" si="26"/>
        <v>6.3634375000000132E-2</v>
      </c>
      <c r="N47" s="43">
        <f t="shared" si="27"/>
        <v>3991.1480000000083</v>
      </c>
      <c r="O47" s="106" t="e">
        <f ca="1">_xll.BDP($C47,"CRNCY")</f>
        <v>#NAME?</v>
      </c>
      <c r="P47" s="43">
        <f>N47</f>
        <v>3991.1480000000083</v>
      </c>
      <c r="Q47" s="14">
        <v>42122</v>
      </c>
      <c r="R47" s="22" t="e">
        <f ca="1">_xll.BDH("RUB curncy","PX_LAST",$Q47)</f>
        <v>#NAME?</v>
      </c>
    </row>
    <row r="48" spans="2:23" x14ac:dyDescent="0.2">
      <c r="B48" s="46" t="s">
        <v>350</v>
      </c>
      <c r="C48" s="41" t="s">
        <v>294</v>
      </c>
      <c r="D48" s="73" t="s">
        <v>51</v>
      </c>
      <c r="E48" s="43" t="e">
        <f ca="1">F48*_xll.BDP(C48,"PX_LAST")</f>
        <v>#NAME?</v>
      </c>
      <c r="F48" s="43">
        <v>66000</v>
      </c>
      <c r="G48" s="104">
        <v>22000</v>
      </c>
      <c r="H48" s="47">
        <f t="shared" si="23"/>
        <v>0.33333333333333331</v>
      </c>
      <c r="I48" s="43">
        <f t="shared" si="24"/>
        <v>3167439</v>
      </c>
      <c r="J48" s="45">
        <f t="shared" si="25"/>
        <v>4026000</v>
      </c>
      <c r="K48" s="105">
        <v>143.97450000000001</v>
      </c>
      <c r="L48" s="105">
        <v>183</v>
      </c>
      <c r="M48" s="44">
        <f t="shared" si="26"/>
        <v>0.27105841659460528</v>
      </c>
      <c r="N48" s="43">
        <f t="shared" si="27"/>
        <v>858561</v>
      </c>
      <c r="O48" s="106" t="e">
        <f ca="1">_xll.BDP($C48,"CRNCY")</f>
        <v>#NAME?</v>
      </c>
      <c r="P48" s="43" t="e">
        <f t="shared" ref="P48:P53" ca="1" si="28">N48/R48</f>
        <v>#NAME?</v>
      </c>
      <c r="Q48" s="14">
        <v>42047</v>
      </c>
      <c r="R48" s="22" t="e">
        <f ca="1">_xll.BDH("RUB curncy","PX_LAST",$Q48)</f>
        <v>#NAME?</v>
      </c>
    </row>
    <row r="49" spans="2:18" x14ac:dyDescent="0.2">
      <c r="B49" s="46" t="s">
        <v>350</v>
      </c>
      <c r="C49" s="41" t="s">
        <v>294</v>
      </c>
      <c r="D49" s="73" t="s">
        <v>51</v>
      </c>
      <c r="E49" s="43" t="e">
        <f ca="1">F49*_xll.BDP(C49,"PX_LAST")</f>
        <v>#NAME?</v>
      </c>
      <c r="F49" s="43">
        <v>66000</v>
      </c>
      <c r="G49" s="104">
        <v>22000</v>
      </c>
      <c r="H49" s="47">
        <f t="shared" si="23"/>
        <v>0.33333333333333331</v>
      </c>
      <c r="I49" s="43">
        <f t="shared" si="24"/>
        <v>3167439</v>
      </c>
      <c r="J49" s="45">
        <f t="shared" si="25"/>
        <v>3505223.0399999996</v>
      </c>
      <c r="K49" s="105">
        <v>143.97450000000001</v>
      </c>
      <c r="L49" s="105">
        <v>159.32831999999999</v>
      </c>
      <c r="M49" s="44">
        <f t="shared" si="26"/>
        <v>0.1066426346332161</v>
      </c>
      <c r="N49" s="43">
        <f t="shared" si="27"/>
        <v>337784.03999999957</v>
      </c>
      <c r="O49" s="106" t="e">
        <f ca="1">_xll.BDP($C49,"CRNCY")</f>
        <v>#NAME?</v>
      </c>
      <c r="P49" s="43" t="e">
        <f t="shared" ca="1" si="28"/>
        <v>#NAME?</v>
      </c>
      <c r="Q49" s="14">
        <v>42149</v>
      </c>
      <c r="R49" s="22" t="e">
        <f ca="1">_xll.BDH("RUB curncy","PX_LAST",$Q49)</f>
        <v>#NAME?</v>
      </c>
    </row>
    <row r="50" spans="2:18" x14ac:dyDescent="0.2">
      <c r="B50" s="46" t="e">
        <f ca="1">_xll.BDP(C50,"SECURITY_NAME")</f>
        <v>#NAME?</v>
      </c>
      <c r="C50" s="41" t="s">
        <v>219</v>
      </c>
      <c r="D50" s="73" t="s">
        <v>51</v>
      </c>
      <c r="E50" s="43" t="e">
        <f ca="1">F50*_xll.BDP(C50,"PX_LAST")/100</f>
        <v>#NAME?</v>
      </c>
      <c r="F50" s="43">
        <v>200000</v>
      </c>
      <c r="G50" s="43">
        <v>200000</v>
      </c>
      <c r="H50" s="47">
        <f t="shared" si="23"/>
        <v>1</v>
      </c>
      <c r="I50" s="43">
        <f>G50*K50/100</f>
        <v>181560</v>
      </c>
      <c r="J50" s="45">
        <f>G50*L50/100</f>
        <v>193440</v>
      </c>
      <c r="K50" s="105">
        <v>90.78</v>
      </c>
      <c r="L50" s="105">
        <v>96.72</v>
      </c>
      <c r="M50" s="44">
        <f t="shared" si="26"/>
        <v>6.5432914738929204E-2</v>
      </c>
      <c r="N50" s="43" t="e">
        <f ca="1">(J50-I50)*R50</f>
        <v>#NAME?</v>
      </c>
      <c r="O50" s="106" t="e">
        <f ca="1">_xll.BDP($C50,"CRNCY")</f>
        <v>#NAME?</v>
      </c>
      <c r="P50" s="43" t="e">
        <f t="shared" ca="1" si="28"/>
        <v>#NAME?</v>
      </c>
      <c r="Q50" s="14">
        <v>42293</v>
      </c>
      <c r="R50" s="22" t="e">
        <f ca="1">_xll.BDH("RUB curncy","PX_LAST",$Q50)</f>
        <v>#NAME?</v>
      </c>
    </row>
    <row r="51" spans="2:18" x14ac:dyDescent="0.2">
      <c r="B51" s="46" t="s">
        <v>176</v>
      </c>
      <c r="C51" s="41" t="s">
        <v>200</v>
      </c>
      <c r="D51" s="73" t="s">
        <v>51</v>
      </c>
      <c r="E51" s="43" t="e">
        <f ca="1">F51*_xll.BDP(C51,"PX_LAST")</f>
        <v>#NAME?</v>
      </c>
      <c r="F51" s="43">
        <v>165700</v>
      </c>
      <c r="G51" s="104">
        <v>50000</v>
      </c>
      <c r="H51" s="47">
        <f t="shared" si="23"/>
        <v>0.30175015087507545</v>
      </c>
      <c r="I51" s="43">
        <f>G51*K51</f>
        <v>1729500.0000000002</v>
      </c>
      <c r="J51" s="45">
        <f>G51*L51</f>
        <v>2407500</v>
      </c>
      <c r="K51" s="105">
        <v>34.590000000000003</v>
      </c>
      <c r="L51" s="105">
        <v>48.15</v>
      </c>
      <c r="M51" s="44">
        <f t="shared" si="26"/>
        <v>0.39202081526452703</v>
      </c>
      <c r="N51" s="43">
        <f>J51-I51</f>
        <v>677999.99999999977</v>
      </c>
      <c r="O51" s="106" t="e">
        <f ca="1">_xll.BDP($C51,"CRNCY")</f>
        <v>#NAME?</v>
      </c>
      <c r="P51" s="43" t="e">
        <f t="shared" ca="1" si="28"/>
        <v>#NAME?</v>
      </c>
      <c r="Q51" s="14">
        <v>42299</v>
      </c>
      <c r="R51" s="22" t="e">
        <f ca="1">_xll.BDH("RUB curncy","PX_LAST",$Q51)</f>
        <v>#NAME?</v>
      </c>
    </row>
    <row r="52" spans="2:18" x14ac:dyDescent="0.2">
      <c r="B52" s="46" t="s">
        <v>259</v>
      </c>
      <c r="C52" s="41" t="s">
        <v>258</v>
      </c>
      <c r="D52" s="73" t="s">
        <v>51</v>
      </c>
      <c r="E52" s="43" t="e">
        <f ca="1">F52*_xll.BDP(C52,"PX_LAST")</f>
        <v>#NAME?</v>
      </c>
      <c r="F52" s="43">
        <v>3433000</v>
      </c>
      <c r="G52" s="104">
        <v>760000</v>
      </c>
      <c r="H52" s="47">
        <f t="shared" si="23"/>
        <v>0.22138071657442471</v>
      </c>
      <c r="I52" s="43">
        <f>G52*K52</f>
        <v>1166600</v>
      </c>
      <c r="J52" s="45">
        <f>G52*L52</f>
        <v>2356000</v>
      </c>
      <c r="K52" s="105">
        <v>1.5349999999999999</v>
      </c>
      <c r="L52" s="105">
        <v>3.1</v>
      </c>
      <c r="M52" s="44">
        <f t="shared" si="26"/>
        <v>1.0195439739413681</v>
      </c>
      <c r="N52" s="43">
        <f>J52-I52</f>
        <v>1189400</v>
      </c>
      <c r="O52" s="106" t="e">
        <f ca="1">_xll.BDP($C52,"CRNCY")</f>
        <v>#NAME?</v>
      </c>
      <c r="P52" s="43" t="e">
        <f t="shared" ca="1" si="28"/>
        <v>#NAME?</v>
      </c>
      <c r="Q52" s="14">
        <v>42305</v>
      </c>
      <c r="R52" s="22" t="e">
        <f ca="1">_xll.BDH("RUB curncy","PX_LAST",$Q52)</f>
        <v>#NAME?</v>
      </c>
    </row>
    <row r="53" spans="2:18" x14ac:dyDescent="0.2">
      <c r="B53" s="46" t="e">
        <f ca="1">_xll.BDP(C53,"SECURITY_NAME")</f>
        <v>#NAME?</v>
      </c>
      <c r="C53" s="41" t="s">
        <v>221</v>
      </c>
      <c r="D53" s="73" t="s">
        <v>51</v>
      </c>
      <c r="E53" s="43" t="e">
        <f ca="1">F53*_xll.BDP(C53,"PX_LAST")/100</f>
        <v>#NAME?</v>
      </c>
      <c r="F53" s="43">
        <v>200000</v>
      </c>
      <c r="G53" s="43">
        <v>200000</v>
      </c>
      <c r="H53" s="47">
        <f t="shared" si="23"/>
        <v>1</v>
      </c>
      <c r="I53" s="43">
        <f>G53*K53/100</f>
        <v>175400</v>
      </c>
      <c r="J53" s="45">
        <f>G53*L53/100</f>
        <v>194500</v>
      </c>
      <c r="K53" s="105">
        <v>87.7</v>
      </c>
      <c r="L53" s="105">
        <v>97.25</v>
      </c>
      <c r="M53" s="44">
        <f t="shared" si="26"/>
        <v>0.10889395667046742</v>
      </c>
      <c r="N53" s="43" t="e">
        <f ca="1">(J53-I53)*R53</f>
        <v>#NAME?</v>
      </c>
      <c r="O53" s="106" t="e">
        <f ca="1">_xll.BDP($C53,"CRNCY")</f>
        <v>#NAME?</v>
      </c>
      <c r="P53" s="43" t="e">
        <f t="shared" ca="1" si="28"/>
        <v>#NAME?</v>
      </c>
      <c r="Q53" s="14">
        <v>42318</v>
      </c>
      <c r="R53" s="22" t="e">
        <f ca="1">_xll.BDH("RUB curncy","PX_LAST",$Q53)</f>
        <v>#NAME?</v>
      </c>
    </row>
    <row r="54" spans="2:18" x14ac:dyDescent="0.2">
      <c r="B54" s="46" t="s">
        <v>379</v>
      </c>
      <c r="C54" s="41" t="s">
        <v>52</v>
      </c>
      <c r="D54" s="73" t="s">
        <v>51</v>
      </c>
      <c r="E54" s="43" t="e">
        <f ca="1">F54*_xll.BDP(C54,"PX_LAST")</f>
        <v>#NAME?</v>
      </c>
      <c r="F54" s="43">
        <v>690000</v>
      </c>
      <c r="G54" s="104">
        <v>69000</v>
      </c>
      <c r="H54" s="47">
        <f t="shared" ref="H54:H60" si="29">G54/F54</f>
        <v>0.1</v>
      </c>
      <c r="I54" s="43">
        <f t="shared" ref="I54:I59" si="30">G54*K54</f>
        <v>6805470</v>
      </c>
      <c r="J54" s="45">
        <f t="shared" ref="J54:J59" si="31">G54*L54</f>
        <v>7003500</v>
      </c>
      <c r="K54" s="105">
        <v>98.63</v>
      </c>
      <c r="L54" s="105">
        <v>101.5</v>
      </c>
      <c r="M54" s="44">
        <f t="shared" ref="M54:M60" si="32">L54/K54-1</f>
        <v>2.9098651525904851E-2</v>
      </c>
      <c r="N54" s="43">
        <f t="shared" ref="N54:N59" si="33">J54-I54</f>
        <v>198030</v>
      </c>
      <c r="O54" s="106" t="e">
        <f ca="1">_xll.BDP($C54,"CRNCY")</f>
        <v>#NAME?</v>
      </c>
      <c r="P54" s="43" t="e">
        <f ca="1">N54/R54</f>
        <v>#NAME?</v>
      </c>
      <c r="Q54" s="14">
        <v>42325</v>
      </c>
      <c r="R54" s="22" t="e">
        <f ca="1">_xll.BDH("RUB curncy","PX_LAST",$Q54)</f>
        <v>#NAME?</v>
      </c>
    </row>
    <row r="55" spans="2:18" x14ac:dyDescent="0.2">
      <c r="B55" s="46" t="s">
        <v>176</v>
      </c>
      <c r="C55" s="41" t="s">
        <v>200</v>
      </c>
      <c r="D55" s="73" t="s">
        <v>51</v>
      </c>
      <c r="E55" s="43" t="e">
        <f ca="1">F55*_xll.BDP(C55,"PX_LAST")</f>
        <v>#NAME?</v>
      </c>
      <c r="F55" s="43">
        <v>165700</v>
      </c>
      <c r="G55" s="104">
        <v>40000</v>
      </c>
      <c r="H55" s="47">
        <f t="shared" si="29"/>
        <v>0.24140012070006034</v>
      </c>
      <c r="I55" s="43">
        <f t="shared" si="30"/>
        <v>1383600.0000000002</v>
      </c>
      <c r="J55" s="45">
        <f t="shared" si="31"/>
        <v>2200000</v>
      </c>
      <c r="K55" s="105">
        <v>34.590000000000003</v>
      </c>
      <c r="L55" s="105">
        <v>55</v>
      </c>
      <c r="M55" s="44">
        <f t="shared" si="32"/>
        <v>0.59005492917028035</v>
      </c>
      <c r="N55" s="43">
        <f t="shared" si="33"/>
        <v>816399.99999999977</v>
      </c>
      <c r="O55" s="106" t="e">
        <f ca="1">_xll.BDP($C55,"CRNCY")</f>
        <v>#NAME?</v>
      </c>
      <c r="P55" s="43" t="e">
        <f ca="1">N55/R55</f>
        <v>#NAME?</v>
      </c>
      <c r="Q55" s="14">
        <v>42325</v>
      </c>
      <c r="R55" s="22" t="e">
        <f ca="1">_xll.BDH("RUB curncy","PX_LAST",$Q55)</f>
        <v>#NAME?</v>
      </c>
    </row>
    <row r="56" spans="2:18" x14ac:dyDescent="0.2">
      <c r="B56" s="46" t="s">
        <v>379</v>
      </c>
      <c r="C56" s="41" t="s">
        <v>52</v>
      </c>
      <c r="D56" s="73" t="s">
        <v>51</v>
      </c>
      <c r="E56" s="43" t="e">
        <f ca="1">F56*_xll.BDP(C56,"PX_LAST")</f>
        <v>#NAME?</v>
      </c>
      <c r="F56" s="43">
        <v>690000</v>
      </c>
      <c r="G56" s="104">
        <v>62100</v>
      </c>
      <c r="H56" s="47">
        <f t="shared" si="29"/>
        <v>0.09</v>
      </c>
      <c r="I56" s="43">
        <f t="shared" si="30"/>
        <v>6124923</v>
      </c>
      <c r="J56" s="45">
        <f t="shared" si="31"/>
        <v>6520500</v>
      </c>
      <c r="K56" s="105">
        <v>98.63</v>
      </c>
      <c r="L56" s="105">
        <v>105</v>
      </c>
      <c r="M56" s="44">
        <f t="shared" si="32"/>
        <v>6.4584811923349861E-2</v>
      </c>
      <c r="N56" s="43">
        <f t="shared" si="33"/>
        <v>395577</v>
      </c>
      <c r="O56" s="106" t="e">
        <f ca="1">_xll.BDP($C56,"CRNCY")</f>
        <v>#NAME?</v>
      </c>
      <c r="P56" s="43" t="e">
        <f ca="1">N56/R56</f>
        <v>#NAME?</v>
      </c>
      <c r="Q56" s="14">
        <v>42327</v>
      </c>
      <c r="R56" s="22" t="e">
        <f ca="1">_xll.BDH("RUB curncy","PX_LAST",$Q56)</f>
        <v>#NAME?</v>
      </c>
    </row>
    <row r="57" spans="2:18" x14ac:dyDescent="0.2">
      <c r="B57" s="46" t="s">
        <v>379</v>
      </c>
      <c r="C57" s="41" t="s">
        <v>52</v>
      </c>
      <c r="D57" s="73" t="s">
        <v>51</v>
      </c>
      <c r="E57" s="43" t="e">
        <f ca="1">F57*_xll.BDP(C57,"PX_LAST")</f>
        <v>#NAME?</v>
      </c>
      <c r="F57" s="43">
        <v>690000</v>
      </c>
      <c r="G57" s="104">
        <v>58900</v>
      </c>
      <c r="H57" s="47">
        <f t="shared" si="29"/>
        <v>8.536231884057971E-2</v>
      </c>
      <c r="I57" s="43">
        <f t="shared" si="30"/>
        <v>5809307</v>
      </c>
      <c r="J57" s="45">
        <f t="shared" si="31"/>
        <v>6365275.8799999999</v>
      </c>
      <c r="K57" s="105">
        <v>98.63</v>
      </c>
      <c r="L57" s="105">
        <v>108.0692</v>
      </c>
      <c r="M57" s="44">
        <f t="shared" si="32"/>
        <v>9.5703132921017842E-2</v>
      </c>
      <c r="N57" s="43">
        <f t="shared" si="33"/>
        <v>555968.87999999989</v>
      </c>
      <c r="O57" s="106" t="e">
        <f ca="1">_xll.BDP($C57,"CRNCY")</f>
        <v>#NAME?</v>
      </c>
      <c r="P57" s="43" t="e">
        <f ca="1">N57/R57</f>
        <v>#NAME?</v>
      </c>
      <c r="Q57" s="14">
        <v>42327</v>
      </c>
      <c r="R57" s="22" t="e">
        <f ca="1">_xll.BDH("RUB curncy","PX_LAST",$Q57)</f>
        <v>#NAME?</v>
      </c>
    </row>
    <row r="58" spans="2:18" x14ac:dyDescent="0.2">
      <c r="B58" s="46" t="s">
        <v>379</v>
      </c>
      <c r="C58" s="41" t="s">
        <v>52</v>
      </c>
      <c r="D58" s="73" t="s">
        <v>51</v>
      </c>
      <c r="E58" s="43" t="e">
        <f ca="1">F58*_xll.BDP(C58,"PX_LAST")</f>
        <v>#NAME?</v>
      </c>
      <c r="F58" s="43">
        <v>690000</v>
      </c>
      <c r="G58" s="104">
        <v>50000</v>
      </c>
      <c r="H58" s="47">
        <f t="shared" si="29"/>
        <v>7.2463768115942032E-2</v>
      </c>
      <c r="I58" s="43">
        <f t="shared" si="30"/>
        <v>4931500</v>
      </c>
      <c r="J58" s="45">
        <f t="shared" si="31"/>
        <v>5489761.3999999994</v>
      </c>
      <c r="K58" s="105">
        <v>98.63</v>
      </c>
      <c r="L58" s="105">
        <v>109.79522799999999</v>
      </c>
      <c r="M58" s="44">
        <f t="shared" si="32"/>
        <v>0.11320316333772684</v>
      </c>
      <c r="N58" s="43">
        <f t="shared" si="33"/>
        <v>558261.39999999944</v>
      </c>
      <c r="O58" s="106" t="e">
        <f ca="1">_xll.BDP($C58,"CRNCY")</f>
        <v>#NAME?</v>
      </c>
      <c r="P58" s="43" t="e">
        <f ca="1">N58/R58</f>
        <v>#NAME?</v>
      </c>
      <c r="Q58" s="14">
        <v>42331</v>
      </c>
      <c r="R58" s="22" t="e">
        <f ca="1">_xll.BDH("RUB curncy","PX_LAST",$Q58)</f>
        <v>#NAME?</v>
      </c>
    </row>
    <row r="59" spans="2:18" x14ac:dyDescent="0.2">
      <c r="B59" s="46" t="s">
        <v>191</v>
      </c>
      <c r="C59" s="41" t="s">
        <v>192</v>
      </c>
      <c r="D59" s="73" t="s">
        <v>51</v>
      </c>
      <c r="E59" s="43" t="e">
        <f ca="1">F59*_xll.BDP(C59,"PX_LAST")</f>
        <v>#NAME?</v>
      </c>
      <c r="F59" s="43">
        <v>16500</v>
      </c>
      <c r="G59" s="104">
        <v>16500</v>
      </c>
      <c r="H59" s="47">
        <f t="shared" si="29"/>
        <v>1</v>
      </c>
      <c r="I59" s="43">
        <f t="shared" si="30"/>
        <v>316748.06509499997</v>
      </c>
      <c r="J59" s="45">
        <f t="shared" si="31"/>
        <v>193875</v>
      </c>
      <c r="K59" s="105">
        <v>19.19685243</v>
      </c>
      <c r="L59" s="105">
        <v>11.75</v>
      </c>
      <c r="M59" s="44">
        <f t="shared" si="32"/>
        <v>-0.38792049150528374</v>
      </c>
      <c r="N59" s="43">
        <f t="shared" si="33"/>
        <v>-122873.06509499997</v>
      </c>
      <c r="O59" s="106" t="e">
        <f ca="1">_xll.BDP($C59,"CRNCY")</f>
        <v>#NAME?</v>
      </c>
      <c r="P59" s="43">
        <f>N59</f>
        <v>-122873.06509499997</v>
      </c>
      <c r="Q59" s="14">
        <v>42335</v>
      </c>
      <c r="R59" s="22" t="e">
        <f ca="1">_xll.BDH("RUB curncy","PX_LAST",$Q59)</f>
        <v>#NAME?</v>
      </c>
    </row>
    <row r="60" spans="2:18" x14ac:dyDescent="0.2">
      <c r="B60" s="46" t="e">
        <f ca="1">_xll.BDP(C60,"SECURITY_NAME")</f>
        <v>#NAME?</v>
      </c>
      <c r="C60" s="41" t="s">
        <v>272</v>
      </c>
      <c r="D60" s="73" t="s">
        <v>51</v>
      </c>
      <c r="E60" s="43" t="e">
        <f ca="1">F60*_xll.BDP(C60,"PX_LAST")/100</f>
        <v>#NAME?</v>
      </c>
      <c r="F60" s="43">
        <v>5000000</v>
      </c>
      <c r="G60" s="43">
        <v>5000000</v>
      </c>
      <c r="H60" s="47">
        <f t="shared" si="29"/>
        <v>1</v>
      </c>
      <c r="I60" s="43">
        <f>G60*K60/100</f>
        <v>4376500</v>
      </c>
      <c r="J60" s="45">
        <f>G60*L60/100</f>
        <v>5000000</v>
      </c>
      <c r="K60" s="105">
        <v>87.53</v>
      </c>
      <c r="L60" s="105">
        <v>100</v>
      </c>
      <c r="M60" s="44">
        <f t="shared" si="32"/>
        <v>0.1424654404204273</v>
      </c>
      <c r="N60" s="43">
        <f>(J60-I60)</f>
        <v>623500</v>
      </c>
      <c r="O60" s="106" t="e">
        <f ca="1">_xll.BDP($C60,"CRNCY")</f>
        <v>#NAME?</v>
      </c>
      <c r="P60" s="43" t="e">
        <f ca="1">N60/R60</f>
        <v>#NAME?</v>
      </c>
      <c r="Q60" s="14">
        <v>42353</v>
      </c>
      <c r="R60" s="22" t="e">
        <f ca="1">_xll.BDH("RUB curncy","PX_LAST",$Q60)</f>
        <v>#NAME?</v>
      </c>
    </row>
    <row r="61" spans="2:18" x14ac:dyDescent="0.2">
      <c r="B61" s="46" t="e">
        <f ca="1">_xll.BDP(C61,"SECURITY_NAME")</f>
        <v>#NAME?</v>
      </c>
      <c r="C61" s="41" t="s">
        <v>295</v>
      </c>
      <c r="D61" s="73" t="s">
        <v>51</v>
      </c>
      <c r="E61" s="43" t="e">
        <f ca="1">F61*_xll.BDP(C61,"PX_LAST")/100</f>
        <v>#NAME?</v>
      </c>
      <c r="F61" s="43">
        <v>100000</v>
      </c>
      <c r="G61" s="43">
        <v>100000</v>
      </c>
      <c r="H61" s="47">
        <f>G61/F61</f>
        <v>1</v>
      </c>
      <c r="I61" s="43">
        <f>G61*K61/100</f>
        <v>93480</v>
      </c>
      <c r="J61" s="45">
        <f>G61*L61/100</f>
        <v>100100</v>
      </c>
      <c r="K61" s="105">
        <v>93.48</v>
      </c>
      <c r="L61" s="105">
        <v>100.1</v>
      </c>
      <c r="M61" s="44">
        <f>L61/K61-1</f>
        <v>7.0817287120239492E-2</v>
      </c>
      <c r="N61" s="43">
        <f>(J61-I61)</f>
        <v>6620</v>
      </c>
      <c r="O61" s="106" t="e">
        <f ca="1">_xll.BDP($C61,"CRNCY")</f>
        <v>#NAME?</v>
      </c>
      <c r="P61" s="43" t="e">
        <f ca="1">N61*R61</f>
        <v>#NAME?</v>
      </c>
      <c r="Q61" s="14">
        <v>42502</v>
      </c>
      <c r="R61" s="22" t="e">
        <f ca="1">_xll.BDH("EUR curncy","PX_LAST",$Q61)</f>
        <v>#NAME?</v>
      </c>
    </row>
    <row r="62" spans="2:18" x14ac:dyDescent="0.2">
      <c r="B62" s="41"/>
      <c r="C62" s="41"/>
      <c r="D62" s="42"/>
      <c r="G62" s="41"/>
      <c r="H62" s="41"/>
      <c r="I62" s="41"/>
      <c r="J62" s="41"/>
      <c r="K62" s="41"/>
      <c r="L62" s="41"/>
      <c r="N62" s="35" t="s">
        <v>94</v>
      </c>
      <c r="O62" s="34" t="s">
        <v>75</v>
      </c>
      <c r="P62" s="40" t="e">
        <f ca="1">SUM(P37:P61)</f>
        <v>#NAME?</v>
      </c>
    </row>
    <row r="63" spans="2:18" x14ac:dyDescent="0.2">
      <c r="B63" s="32" t="s">
        <v>276</v>
      </c>
      <c r="E63" s="10"/>
      <c r="M63" s="352"/>
      <c r="N63" s="34"/>
      <c r="O63" s="34"/>
      <c r="P63" s="30"/>
    </row>
    <row r="64" spans="2:18" x14ac:dyDescent="0.2">
      <c r="B64" s="379">
        <v>2016</v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53"/>
      <c r="N64" s="34"/>
      <c r="O64" s="34"/>
      <c r="P64" s="30"/>
    </row>
    <row r="65" spans="2:18" ht="51" x14ac:dyDescent="0.2">
      <c r="B65" s="51" t="s">
        <v>105</v>
      </c>
      <c r="C65" s="50" t="s">
        <v>104</v>
      </c>
      <c r="D65" s="50" t="s">
        <v>174</v>
      </c>
      <c r="E65" s="50" t="s">
        <v>173</v>
      </c>
      <c r="F65" s="50" t="s">
        <v>175</v>
      </c>
      <c r="G65" s="50" t="s">
        <v>172</v>
      </c>
      <c r="H65" s="50" t="s">
        <v>103</v>
      </c>
      <c r="I65" s="50" t="s">
        <v>102</v>
      </c>
      <c r="J65" s="50" t="s">
        <v>101</v>
      </c>
      <c r="K65" s="50" t="s">
        <v>100</v>
      </c>
      <c r="L65" s="50" t="s">
        <v>99</v>
      </c>
      <c r="M65" s="50" t="s">
        <v>98</v>
      </c>
      <c r="N65" s="50" t="s">
        <v>280</v>
      </c>
      <c r="O65" s="50" t="s">
        <v>97</v>
      </c>
      <c r="P65" s="50" t="s">
        <v>279</v>
      </c>
      <c r="Q65" s="50" t="s">
        <v>277</v>
      </c>
      <c r="R65" s="50" t="s">
        <v>278</v>
      </c>
    </row>
    <row r="66" spans="2:18" x14ac:dyDescent="0.2">
      <c r="B66" s="46" t="s">
        <v>176</v>
      </c>
      <c r="C66" s="41" t="s">
        <v>200</v>
      </c>
      <c r="D66" s="73" t="s">
        <v>51</v>
      </c>
      <c r="E66" s="43" t="e">
        <f ca="1">F66*_xll.BDP(C66,"PX_LAST")</f>
        <v>#NAME?</v>
      </c>
      <c r="F66" s="43">
        <v>165700</v>
      </c>
      <c r="G66" s="104">
        <v>75700</v>
      </c>
      <c r="H66" s="47">
        <f t="shared" ref="H66:H72" si="34">G66/F66</f>
        <v>0.45684972842486421</v>
      </c>
      <c r="I66" s="43">
        <f>G66*K66</f>
        <v>2618463.0000000005</v>
      </c>
      <c r="J66" s="45">
        <f>G66*L66</f>
        <v>5322550.2699999996</v>
      </c>
      <c r="K66" s="105">
        <v>34.590000000000003</v>
      </c>
      <c r="L66" s="105">
        <v>70.311099999999996</v>
      </c>
      <c r="M66" s="44">
        <f t="shared" ref="M66:M72" si="35">L66/K66-1</f>
        <v>1.0327002023706271</v>
      </c>
      <c r="N66" s="43">
        <f>J66-I66</f>
        <v>2704087.2699999991</v>
      </c>
      <c r="O66" s="106" t="e">
        <f ca="1">_xll.BDP($C66,"CRNCY")</f>
        <v>#NAME?</v>
      </c>
      <c r="P66" s="43" t="e">
        <f t="shared" ref="P66:P72" ca="1" si="36">N66/R66</f>
        <v>#NAME?</v>
      </c>
      <c r="Q66" s="14">
        <v>42446</v>
      </c>
      <c r="R66" s="22" t="e">
        <f ca="1">_xll.BDH("RUB curncy","PX_LAST",$Q66)</f>
        <v>#NAME?</v>
      </c>
    </row>
    <row r="67" spans="2:18" x14ac:dyDescent="0.2">
      <c r="B67" s="46" t="e">
        <f ca="1">_xll.BDP(C67,"SECURITY_NAME")</f>
        <v>#NAME?</v>
      </c>
      <c r="C67" s="41" t="s">
        <v>265</v>
      </c>
      <c r="D67" s="73" t="s">
        <v>51</v>
      </c>
      <c r="E67" s="43" t="e">
        <f ca="1">F67*_xll.BDP(C67,"PX_LAST")/100</f>
        <v>#NAME?</v>
      </c>
      <c r="F67" s="43">
        <v>8300000</v>
      </c>
      <c r="G67" s="43">
        <v>8300000</v>
      </c>
      <c r="H67" s="47">
        <f t="shared" si="34"/>
        <v>1</v>
      </c>
      <c r="I67" s="43">
        <f>G67*K67/100</f>
        <v>7057490</v>
      </c>
      <c r="J67" s="45">
        <f>G67*L67/100</f>
        <v>8300000</v>
      </c>
      <c r="K67" s="105">
        <v>85.03</v>
      </c>
      <c r="L67" s="105">
        <v>100</v>
      </c>
      <c r="M67" s="44">
        <f t="shared" si="35"/>
        <v>0.17605550982006357</v>
      </c>
      <c r="N67" s="43">
        <f>(J67-I67)</f>
        <v>1242510</v>
      </c>
      <c r="O67" s="106" t="e">
        <f ca="1">_xll.BDP($C67,"CRNCY")</f>
        <v>#NAME?</v>
      </c>
      <c r="P67" s="43" t="e">
        <f t="shared" ca="1" si="36"/>
        <v>#NAME?</v>
      </c>
      <c r="Q67" s="14">
        <v>42446</v>
      </c>
      <c r="R67" s="22" t="e">
        <f ca="1">_xll.BDH("RUB curncy","PX_LAST",$Q67)</f>
        <v>#NAME?</v>
      </c>
    </row>
    <row r="68" spans="2:18" x14ac:dyDescent="0.2">
      <c r="B68" s="46" t="s">
        <v>379</v>
      </c>
      <c r="C68" s="41" t="s">
        <v>52</v>
      </c>
      <c r="D68" s="73" t="s">
        <v>51</v>
      </c>
      <c r="E68" s="43" t="e">
        <f ca="1">F68*_xll.BDP(C68,"PX_LAST")</f>
        <v>#NAME?</v>
      </c>
      <c r="F68" s="43">
        <v>690000</v>
      </c>
      <c r="G68" s="104">
        <v>36000</v>
      </c>
      <c r="H68" s="47">
        <f t="shared" si="34"/>
        <v>5.2173913043478258E-2</v>
      </c>
      <c r="I68" s="43">
        <f t="shared" ref="I68:I74" si="37">G68*K68</f>
        <v>3550680</v>
      </c>
      <c r="J68" s="45">
        <f t="shared" ref="J68:J74" si="38">G68*L68</f>
        <v>3818882.4948</v>
      </c>
      <c r="K68" s="105">
        <v>98.63</v>
      </c>
      <c r="L68" s="105">
        <v>106.08006930000001</v>
      </c>
      <c r="M68" s="44">
        <f t="shared" si="35"/>
        <v>7.5535529757680298E-2</v>
      </c>
      <c r="N68" s="43">
        <f t="shared" ref="N68:N74" si="39">J68-I68</f>
        <v>268202.49479999999</v>
      </c>
      <c r="O68" s="106" t="e">
        <f ca="1">_xll.BDP($C68,"CRNCY")</f>
        <v>#NAME?</v>
      </c>
      <c r="P68" s="43" t="e">
        <f t="shared" ca="1" si="36"/>
        <v>#NAME?</v>
      </c>
      <c r="Q68" s="14">
        <v>42465</v>
      </c>
      <c r="R68" s="22" t="e">
        <f ca="1">_xll.BDH("RUB curncy","PX_LAST",$Q68)</f>
        <v>#NAME?</v>
      </c>
    </row>
    <row r="69" spans="2:18" x14ac:dyDescent="0.2">
      <c r="B69" s="46" t="s">
        <v>379</v>
      </c>
      <c r="C69" s="41" t="s">
        <v>52</v>
      </c>
      <c r="D69" s="73" t="s">
        <v>51</v>
      </c>
      <c r="E69" s="43" t="e">
        <f ca="1">F69*_xll.BDP(C69,"PX_LAST")</f>
        <v>#NAME?</v>
      </c>
      <c r="F69" s="43">
        <v>690000</v>
      </c>
      <c r="G69" s="104">
        <v>36000</v>
      </c>
      <c r="H69" s="47">
        <f t="shared" si="34"/>
        <v>5.2173913043478258E-2</v>
      </c>
      <c r="I69" s="43">
        <f t="shared" si="37"/>
        <v>3550680</v>
      </c>
      <c r="J69" s="45">
        <f t="shared" si="38"/>
        <v>4290681.5999999996</v>
      </c>
      <c r="K69" s="105">
        <v>98.63</v>
      </c>
      <c r="L69" s="105">
        <v>119.18559999999999</v>
      </c>
      <c r="M69" s="44">
        <f t="shared" si="35"/>
        <v>0.20841123390449146</v>
      </c>
      <c r="N69" s="43">
        <f t="shared" si="39"/>
        <v>740001.59999999963</v>
      </c>
      <c r="O69" s="106" t="e">
        <f ca="1">_xll.BDP($C69,"CRNCY")</f>
        <v>#NAME?</v>
      </c>
      <c r="P69" s="43" t="e">
        <f t="shared" ca="1" si="36"/>
        <v>#NAME?</v>
      </c>
      <c r="Q69" s="14">
        <v>42475</v>
      </c>
      <c r="R69" s="22" t="e">
        <f ca="1">_xll.BDH("RUB curncy","PX_LAST",$Q69)</f>
        <v>#NAME?</v>
      </c>
    </row>
    <row r="70" spans="2:18" x14ac:dyDescent="0.2">
      <c r="B70" s="46" t="s">
        <v>317</v>
      </c>
      <c r="C70" s="41" t="s">
        <v>294</v>
      </c>
      <c r="D70" s="73" t="s">
        <v>51</v>
      </c>
      <c r="E70" s="43" t="e">
        <f ca="1">F70*_xll.BDP(C70,"PX_LAST")</f>
        <v>#NAME?</v>
      </c>
      <c r="F70" s="43">
        <v>58350</v>
      </c>
      <c r="G70" s="104">
        <v>33770</v>
      </c>
      <c r="H70" s="47">
        <f t="shared" si="34"/>
        <v>0.57874892887746354</v>
      </c>
      <c r="I70" s="43">
        <f t="shared" si="37"/>
        <v>5538280</v>
      </c>
      <c r="J70" s="45">
        <f t="shared" si="38"/>
        <v>5546722.5</v>
      </c>
      <c r="K70" s="105">
        <v>164</v>
      </c>
      <c r="L70" s="105">
        <v>164.25</v>
      </c>
      <c r="M70" s="44">
        <f t="shared" si="35"/>
        <v>1.5243902439023849E-3</v>
      </c>
      <c r="N70" s="43">
        <f t="shared" si="39"/>
        <v>8442.5</v>
      </c>
      <c r="O70" s="106" t="e">
        <f ca="1">_xll.BDP($C70,"CRNCY")</f>
        <v>#NAME?</v>
      </c>
      <c r="P70" s="43" t="e">
        <f t="shared" ca="1" si="36"/>
        <v>#NAME?</v>
      </c>
      <c r="Q70" s="14">
        <v>42503</v>
      </c>
      <c r="R70" s="22" t="e">
        <f ca="1">_xll.BDH("RUB curncy","PX_LAST",$Q70)</f>
        <v>#NAME?</v>
      </c>
    </row>
    <row r="71" spans="2:18" x14ac:dyDescent="0.2">
      <c r="B71" s="46" t="s">
        <v>317</v>
      </c>
      <c r="C71" s="41" t="s">
        <v>294</v>
      </c>
      <c r="D71" s="73" t="s">
        <v>51</v>
      </c>
      <c r="E71" s="43" t="e">
        <f ca="1">F71*_xll.BDP(C71,"PX_LAST")</f>
        <v>#NAME?</v>
      </c>
      <c r="F71" s="43">
        <v>58350</v>
      </c>
      <c r="G71" s="104">
        <v>24580</v>
      </c>
      <c r="H71" s="47">
        <f t="shared" si="34"/>
        <v>0.4212510711225364</v>
      </c>
      <c r="I71" s="43">
        <f t="shared" si="37"/>
        <v>4031120</v>
      </c>
      <c r="J71" s="45" t="e">
        <f t="shared" ca="1" si="38"/>
        <v>#NAME?</v>
      </c>
      <c r="K71" s="105">
        <v>164</v>
      </c>
      <c r="L71" s="105" t="e">
        <f ca="1">_xll.BDH(C71,"PX_LAST",Q71)</f>
        <v>#NAME?</v>
      </c>
      <c r="M71" s="44" t="e">
        <f t="shared" ca="1" si="35"/>
        <v>#NAME?</v>
      </c>
      <c r="N71" s="43" t="e">
        <f t="shared" ca="1" si="39"/>
        <v>#NAME?</v>
      </c>
      <c r="O71" s="106" t="e">
        <f ca="1">_xll.BDP($C71,"CRNCY")</f>
        <v>#NAME?</v>
      </c>
      <c r="P71" s="43" t="e">
        <f t="shared" ca="1" si="36"/>
        <v>#NAME?</v>
      </c>
      <c r="Q71" s="14">
        <v>42508</v>
      </c>
      <c r="R71" s="22" t="e">
        <f ca="1">_xll.BDH("RUB curncy","PX_LAST",$Q71)</f>
        <v>#NAME?</v>
      </c>
    </row>
    <row r="72" spans="2:18" x14ac:dyDescent="0.2">
      <c r="B72" s="46" t="s">
        <v>379</v>
      </c>
      <c r="C72" s="41" t="s">
        <v>52</v>
      </c>
      <c r="D72" s="73" t="s">
        <v>51</v>
      </c>
      <c r="E72" s="43" t="e">
        <f ca="1">F72*_xll.BDP(C72,"PX_LAST")</f>
        <v>#NAME?</v>
      </c>
      <c r="F72" s="43">
        <v>690000</v>
      </c>
      <c r="G72" s="104">
        <v>50000</v>
      </c>
      <c r="H72" s="47">
        <f t="shared" si="34"/>
        <v>7.2463768115942032E-2</v>
      </c>
      <c r="I72" s="43">
        <f t="shared" si="37"/>
        <v>4931500</v>
      </c>
      <c r="J72" s="45">
        <f t="shared" si="38"/>
        <v>6609999.9999999991</v>
      </c>
      <c r="K72" s="105">
        <v>98.63</v>
      </c>
      <c r="L72" s="105">
        <v>132.19999999999999</v>
      </c>
      <c r="M72" s="44">
        <f t="shared" si="35"/>
        <v>0.34036297272635085</v>
      </c>
      <c r="N72" s="43">
        <f t="shared" si="39"/>
        <v>1678499.9999999991</v>
      </c>
      <c r="O72" s="106" t="e">
        <f ca="1">_xll.BDP($C72,"CRNCY")</f>
        <v>#NAME?</v>
      </c>
      <c r="P72" s="43" t="e">
        <f t="shared" ca="1" si="36"/>
        <v>#NAME?</v>
      </c>
      <c r="Q72" s="14">
        <v>42475</v>
      </c>
      <c r="R72" s="22" t="e">
        <f ca="1">_xll.BDH("RUB curncy","PX_LAST",$Q72)</f>
        <v>#NAME?</v>
      </c>
    </row>
    <row r="73" spans="2:18" x14ac:dyDescent="0.2">
      <c r="B73" s="46" t="s">
        <v>379</v>
      </c>
      <c r="C73" s="41" t="s">
        <v>52</v>
      </c>
      <c r="D73" s="73" t="s">
        <v>51</v>
      </c>
      <c r="E73" s="43" t="e">
        <f ca="1">F73*_xll.BDP(C73,"PX_LAST")</f>
        <v>#NAME?</v>
      </c>
      <c r="F73" s="43">
        <v>690000</v>
      </c>
      <c r="G73" s="104">
        <v>50000</v>
      </c>
      <c r="H73" s="47">
        <f>G73/F73</f>
        <v>7.2463768115942032E-2</v>
      </c>
      <c r="I73" s="43">
        <f t="shared" si="37"/>
        <v>4931500</v>
      </c>
      <c r="J73" s="45">
        <f t="shared" si="38"/>
        <v>7025000</v>
      </c>
      <c r="K73" s="105">
        <v>98.63</v>
      </c>
      <c r="L73" s="105">
        <v>140.5</v>
      </c>
      <c r="M73" s="44">
        <f>L73/K73-1</f>
        <v>0.42451586738314928</v>
      </c>
      <c r="N73" s="43">
        <f t="shared" si="39"/>
        <v>2093500</v>
      </c>
      <c r="O73" s="106" t="e">
        <f ca="1">_xll.BDP($C73,"CRNCY")</f>
        <v>#NAME?</v>
      </c>
      <c r="P73" s="43" t="e">
        <f ca="1">N73/R73</f>
        <v>#NAME?</v>
      </c>
      <c r="Q73" s="14">
        <v>42529</v>
      </c>
      <c r="R73" s="22" t="e">
        <f ca="1">_xll.BDH("RUB curncy","PX_LAST",$Q73)</f>
        <v>#NAME?</v>
      </c>
    </row>
    <row r="74" spans="2:18" x14ac:dyDescent="0.2">
      <c r="B74" s="46" t="s">
        <v>379</v>
      </c>
      <c r="C74" s="41" t="s">
        <v>52</v>
      </c>
      <c r="D74" s="73" t="s">
        <v>51</v>
      </c>
      <c r="E74" s="43" t="e">
        <f ca="1">F74*_xll.BDP(C74,"PX_LAST")</f>
        <v>#NAME?</v>
      </c>
      <c r="F74" s="43">
        <v>690000</v>
      </c>
      <c r="G74" s="104">
        <v>50000</v>
      </c>
      <c r="H74" s="47">
        <f>G74/F74</f>
        <v>7.2463768115942032E-2</v>
      </c>
      <c r="I74" s="43">
        <f t="shared" si="37"/>
        <v>4931500</v>
      </c>
      <c r="J74" s="45">
        <f t="shared" si="38"/>
        <v>6980000</v>
      </c>
      <c r="K74" s="105">
        <v>98.63</v>
      </c>
      <c r="L74" s="105">
        <v>139.6</v>
      </c>
      <c r="M74" s="44">
        <f>L74/K74-1</f>
        <v>0.41539085470952042</v>
      </c>
      <c r="N74" s="43">
        <f t="shared" si="39"/>
        <v>2048500</v>
      </c>
      <c r="O74" s="106" t="e">
        <f ca="1">_xll.BDP($C74,"CRNCY")</f>
        <v>#NAME?</v>
      </c>
      <c r="P74" s="43" t="e">
        <f ca="1">N74/R74</f>
        <v>#NAME?</v>
      </c>
      <c r="Q74" s="14">
        <v>42530</v>
      </c>
      <c r="R74" s="22" t="e">
        <f ca="1">_xll.BDH("RUB curncy","PX_LAST",$Q74)</f>
        <v>#NAME?</v>
      </c>
    </row>
    <row r="75" spans="2:18" x14ac:dyDescent="0.2">
      <c r="B75" s="46" t="s">
        <v>259</v>
      </c>
      <c r="C75" s="41" t="s">
        <v>258</v>
      </c>
      <c r="D75" s="73" t="s">
        <v>51</v>
      </c>
      <c r="E75" s="43" t="e">
        <f ca="1">F75*_xll.BDP(C75,"PX_LAST")</f>
        <v>#NAME?</v>
      </c>
      <c r="F75" s="43">
        <v>3433000</v>
      </c>
      <c r="G75" s="104">
        <v>550431</v>
      </c>
      <c r="H75" s="47">
        <f>G75/F75</f>
        <v>0.16033527526944363</v>
      </c>
      <c r="I75" s="43">
        <f>G75*K75</f>
        <v>847663.74</v>
      </c>
      <c r="J75" s="45">
        <f>G75*L75</f>
        <v>4524542.82</v>
      </c>
      <c r="K75" s="105">
        <v>1.54</v>
      </c>
      <c r="L75" s="105">
        <v>8.2200000000000006</v>
      </c>
      <c r="M75" s="44">
        <f>L75/K75-1</f>
        <v>4.337662337662338</v>
      </c>
      <c r="N75" s="43">
        <f>J75-I75</f>
        <v>3676879.08</v>
      </c>
      <c r="O75" s="106" t="e">
        <f ca="1">_xll.BDP($C75,"CRNCY")</f>
        <v>#NAME?</v>
      </c>
      <c r="P75" s="43" t="e">
        <f ca="1">N75/R75</f>
        <v>#NAME?</v>
      </c>
      <c r="Q75" s="14">
        <v>42648</v>
      </c>
      <c r="R75" s="22" t="e">
        <f ca="1">_xll.BDH("RUB curncy","PX_LAST",$Q75)</f>
        <v>#NAME?</v>
      </c>
    </row>
    <row r="76" spans="2:18" x14ac:dyDescent="0.2">
      <c r="B76" s="46" t="s">
        <v>379</v>
      </c>
      <c r="C76" s="41" t="s">
        <v>52</v>
      </c>
      <c r="D76" s="73" t="s">
        <v>51</v>
      </c>
      <c r="E76" s="43" t="e">
        <f ca="1">F76*_xll.BDP(C76,"PX_LAST")</f>
        <v>#NAME?</v>
      </c>
      <c r="F76" s="43">
        <v>690000</v>
      </c>
      <c r="G76" s="104">
        <v>50000</v>
      </c>
      <c r="H76" s="47">
        <f>G76/F76</f>
        <v>7.2463768115942032E-2</v>
      </c>
      <c r="I76" s="43">
        <f t="shared" ref="I76" si="40">G76*K76</f>
        <v>4931500</v>
      </c>
      <c r="J76" s="45">
        <f t="shared" ref="J76" si="41">G76*L76</f>
        <v>8815000</v>
      </c>
      <c r="K76" s="105">
        <v>98.63</v>
      </c>
      <c r="L76" s="105">
        <v>176.3</v>
      </c>
      <c r="M76" s="44">
        <f>L76/K76-1</f>
        <v>0.78748859373415825</v>
      </c>
      <c r="N76" s="43">
        <f t="shared" ref="N76" si="42">J76-I76</f>
        <v>3883500</v>
      </c>
      <c r="O76" s="106" t="e">
        <f ca="1">_xll.BDP($C76,"CRNCY")</f>
        <v>#NAME?</v>
      </c>
      <c r="P76" s="43" t="e">
        <f ca="1">N76/R76</f>
        <v>#NAME?</v>
      </c>
      <c r="Q76" s="14">
        <v>42717</v>
      </c>
      <c r="R76" s="22" t="e">
        <f ca="1">_xll.BDH("RUB curncy","PX_LAST",$Q76)</f>
        <v>#NAME?</v>
      </c>
    </row>
    <row r="77" spans="2:18" x14ac:dyDescent="0.2">
      <c r="B77" s="33"/>
      <c r="C77" s="33"/>
      <c r="D77" s="33"/>
      <c r="G77" s="33"/>
      <c r="H77" s="33"/>
      <c r="I77" s="33"/>
      <c r="J77" s="38"/>
      <c r="K77" s="37"/>
      <c r="L77" s="36"/>
      <c r="M77" s="35"/>
      <c r="N77" s="35" t="s">
        <v>94</v>
      </c>
      <c r="O77" s="34" t="s">
        <v>75</v>
      </c>
      <c r="P77" s="40" t="e">
        <f ca="1">SUM(P66:P76)</f>
        <v>#NAME?</v>
      </c>
      <c r="R77" s="39"/>
    </row>
    <row r="78" spans="2:18" x14ac:dyDescent="0.2">
      <c r="B78" s="33"/>
      <c r="C78" s="33"/>
      <c r="D78" s="33"/>
      <c r="E78" s="33"/>
      <c r="F78" s="33"/>
      <c r="G78" s="33"/>
      <c r="H78" s="38"/>
      <c r="I78" s="37"/>
      <c r="J78" s="36"/>
      <c r="K78" s="35"/>
      <c r="L78" s="30"/>
      <c r="M78" s="34"/>
      <c r="N78" s="33"/>
    </row>
    <row r="79" spans="2:18" x14ac:dyDescent="0.2">
      <c r="B79" s="32" t="s">
        <v>93</v>
      </c>
      <c r="C79" s="10"/>
      <c r="D79" s="31"/>
      <c r="H79" s="31"/>
      <c r="I79" s="10"/>
      <c r="J79" s="10"/>
      <c r="K79" s="29"/>
    </row>
    <row r="80" spans="2:18" ht="13.5" thickBot="1" x14ac:dyDescent="0.25">
      <c r="C80" s="29"/>
      <c r="D80" s="29"/>
      <c r="G80" s="29"/>
      <c r="H80" s="10"/>
      <c r="I80" s="30"/>
      <c r="J80" s="10"/>
      <c r="K80" s="29"/>
    </row>
    <row r="81" spans="2:18" ht="15" x14ac:dyDescent="0.35">
      <c r="B81" s="26"/>
      <c r="C81" s="26"/>
      <c r="D81" s="26"/>
      <c r="E81" s="26"/>
      <c r="F81" s="26"/>
      <c r="G81" s="26"/>
      <c r="H81" s="28" t="s">
        <v>92</v>
      </c>
      <c r="I81" s="27" t="s">
        <v>91</v>
      </c>
      <c r="J81" s="27" t="s">
        <v>90</v>
      </c>
      <c r="K81" s="27"/>
      <c r="L81" s="26"/>
      <c r="M81" s="26"/>
      <c r="N81" s="26"/>
      <c r="Q81" s="129"/>
    </row>
    <row r="82" spans="2:18" ht="15" x14ac:dyDescent="0.35">
      <c r="B82" s="23" t="s">
        <v>89</v>
      </c>
      <c r="C82" s="23" t="s">
        <v>88</v>
      </c>
      <c r="D82" s="23" t="s">
        <v>87</v>
      </c>
      <c r="E82" s="23" t="s">
        <v>86</v>
      </c>
      <c r="F82" s="23" t="s">
        <v>85</v>
      </c>
      <c r="G82" s="23" t="s">
        <v>84</v>
      </c>
      <c r="H82" s="25" t="s">
        <v>83</v>
      </c>
      <c r="I82" s="24" t="s">
        <v>83</v>
      </c>
      <c r="J82" s="24" t="s">
        <v>75</v>
      </c>
      <c r="K82" s="24" t="s">
        <v>73</v>
      </c>
      <c r="L82" s="23" t="s">
        <v>82</v>
      </c>
      <c r="M82" s="23" t="s">
        <v>81</v>
      </c>
      <c r="N82" s="23" t="s">
        <v>80</v>
      </c>
    </row>
    <row r="83" spans="2:18" x14ac:dyDescent="0.2">
      <c r="B83" s="21" t="s">
        <v>126</v>
      </c>
      <c r="C83" s="20" t="s">
        <v>72</v>
      </c>
      <c r="D83" s="18" t="e">
        <f ca="1">_xll.BDP(C83,"SECURITY_NAME")</f>
        <v>#NAME?</v>
      </c>
      <c r="E83" s="18" t="s">
        <v>50</v>
      </c>
      <c r="F83" s="19">
        <v>74300</v>
      </c>
      <c r="G83" s="18" t="e">
        <f ca="1">_xll.BDP(C83,"CRNCY")</f>
        <v>#NAME?</v>
      </c>
      <c r="H83" s="22">
        <v>49.919699999999999</v>
      </c>
      <c r="I83" s="15">
        <f>F83*H83</f>
        <v>3709033.71</v>
      </c>
      <c r="J83" s="16" t="e">
        <f ca="1">I83/L83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42348</v>
      </c>
    </row>
    <row r="84" spans="2:18" x14ac:dyDescent="0.2">
      <c r="B84" s="21" t="s">
        <v>126</v>
      </c>
      <c r="C84" s="20" t="s">
        <v>72</v>
      </c>
      <c r="D84" s="18" t="e">
        <f ca="1">_xll.BDP(C84,"SECURITY_NAME")</f>
        <v>#NAME?</v>
      </c>
      <c r="E84" s="18" t="s">
        <v>50</v>
      </c>
      <c r="F84" s="19">
        <v>24100</v>
      </c>
      <c r="G84" s="18" t="e">
        <f ca="1">_xll.BDP(C84,"CRNCY")</f>
        <v>#NAME?</v>
      </c>
      <c r="H84" s="22">
        <v>66</v>
      </c>
      <c r="I84" s="15">
        <f>F84*H84</f>
        <v>1590600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42237</v>
      </c>
      <c r="Q84" s="150"/>
      <c r="R84" s="149"/>
    </row>
    <row r="85" spans="2:18" x14ac:dyDescent="0.2">
      <c r="B85" s="71"/>
      <c r="C85" s="33"/>
      <c r="D85" s="73"/>
      <c r="E85" s="73"/>
      <c r="F85" s="79">
        <f>SUM(F83:F84)</f>
        <v>98400</v>
      </c>
      <c r="G85" s="73"/>
      <c r="H85" s="80">
        <f>I85/F85</f>
        <v>53.858066158536587</v>
      </c>
      <c r="I85" s="79">
        <f>SUM(I83:I84)</f>
        <v>5299633.71</v>
      </c>
      <c r="J85" s="79" t="e">
        <f ca="1">SUM(J83:J84)</f>
        <v>#NAME?</v>
      </c>
      <c r="K85" s="79" t="e">
        <f ca="1">SUM(K83:K84)</f>
        <v>#NAME?</v>
      </c>
      <c r="L85" s="75"/>
      <c r="M85" s="86"/>
      <c r="N85" s="14"/>
      <c r="Q85" s="150"/>
      <c r="R85" s="149"/>
    </row>
    <row r="86" spans="2:18" x14ac:dyDescent="0.2">
      <c r="B86" s="71"/>
      <c r="C86" s="33"/>
      <c r="D86" s="73"/>
      <c r="E86" s="73"/>
      <c r="F86" s="79"/>
      <c r="G86" s="73"/>
      <c r="H86" s="80"/>
      <c r="I86" s="79"/>
      <c r="J86" s="79"/>
      <c r="K86" s="79"/>
      <c r="L86" s="75"/>
      <c r="M86" s="86"/>
      <c r="N86" s="14"/>
      <c r="Q86" s="150"/>
      <c r="R86" s="149"/>
    </row>
    <row r="87" spans="2:18" x14ac:dyDescent="0.2">
      <c r="B87" s="21" t="s">
        <v>126</v>
      </c>
      <c r="C87" s="20" t="s">
        <v>253</v>
      </c>
      <c r="D87" s="18" t="e">
        <f ca="1">_xll.BDP(C87,"SECURITY_NAME")</f>
        <v>#NAME?</v>
      </c>
      <c r="E87" s="18" t="s">
        <v>50</v>
      </c>
      <c r="F87" s="19">
        <v>58350</v>
      </c>
      <c r="G87" s="18" t="e">
        <f ca="1">_xll.BDP(C87,"CRNCY")</f>
        <v>#NAME?</v>
      </c>
      <c r="H87" s="22">
        <v>164</v>
      </c>
      <c r="I87" s="15">
        <f>F87*H87</f>
        <v>9569400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42416</v>
      </c>
      <c r="Q87" s="150"/>
      <c r="R87" s="149"/>
    </row>
    <row r="88" spans="2:18" x14ac:dyDescent="0.2">
      <c r="B88" s="71"/>
      <c r="C88" s="33"/>
      <c r="D88" s="73"/>
      <c r="E88" s="73"/>
      <c r="F88" s="79">
        <f>SUM(F87)</f>
        <v>58350</v>
      </c>
      <c r="G88" s="73"/>
      <c r="H88" s="80">
        <f>I88/F88</f>
        <v>164</v>
      </c>
      <c r="I88" s="79">
        <f>SUM(I87)</f>
        <v>9569400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  <c r="Q88" s="150"/>
      <c r="R88" s="149"/>
    </row>
    <row r="89" spans="2:18" x14ac:dyDescent="0.2">
      <c r="Q89" s="150"/>
      <c r="R89" s="149"/>
    </row>
    <row r="90" spans="2:18" x14ac:dyDescent="0.2">
      <c r="B90" s="21" t="s">
        <v>126</v>
      </c>
      <c r="C90" s="20" t="s">
        <v>353</v>
      </c>
      <c r="D90" s="18" t="e">
        <f ca="1">_xll.BDP(C90,"SECURITY_NAME")</f>
        <v>#NAME?</v>
      </c>
      <c r="E90" s="18" t="s">
        <v>50</v>
      </c>
      <c r="F90" s="19">
        <v>7000</v>
      </c>
      <c r="G90" s="18" t="e">
        <f ca="1">_xll.BDP(C90,"CRNCY")</f>
        <v>#NAME?</v>
      </c>
      <c r="H90" s="22" t="e">
        <f ca="1">_xll.BDH(C90,"PX_LAST",N90)</f>
        <v>#NAME?</v>
      </c>
      <c r="I90" s="15" t="e">
        <f ca="1">F90*H90</f>
        <v>#NAME?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42150</v>
      </c>
    </row>
    <row r="91" spans="2:18" x14ac:dyDescent="0.2">
      <c r="B91" s="71"/>
      <c r="C91" s="33"/>
      <c r="D91" s="73"/>
      <c r="E91" s="73"/>
      <c r="F91" s="79">
        <f>SUM(F90)</f>
        <v>7000</v>
      </c>
      <c r="G91" s="73"/>
      <c r="H91" s="80" t="e">
        <f ca="1">I91/F91</f>
        <v>#NAME?</v>
      </c>
      <c r="I91" s="79" t="e">
        <f ca="1">SUM(I90)</f>
        <v>#NAME?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8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8" x14ac:dyDescent="0.2">
      <c r="B93" s="21" t="s">
        <v>126</v>
      </c>
      <c r="C93" s="20" t="s">
        <v>2</v>
      </c>
      <c r="D93" s="18" t="e">
        <f ca="1">_xll.BDP(C93,"SECURITY_NAME")</f>
        <v>#NAME?</v>
      </c>
      <c r="E93" s="18" t="s">
        <v>50</v>
      </c>
      <c r="F93" s="19">
        <v>5270</v>
      </c>
      <c r="G93" s="18" t="e">
        <f ca="1">_xll.BDP(C93,"CRNCY")</f>
        <v>#NAME?</v>
      </c>
      <c r="H93" s="22">
        <v>700</v>
      </c>
      <c r="I93" s="15">
        <f>F93*H93</f>
        <v>3689000</v>
      </c>
      <c r="J93" s="16" t="e">
        <f ca="1">I93/L93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42465</v>
      </c>
    </row>
    <row r="94" spans="2:18" x14ac:dyDescent="0.2">
      <c r="B94" s="21" t="s">
        <v>126</v>
      </c>
      <c r="C94" s="20" t="s">
        <v>2</v>
      </c>
      <c r="D94" s="18" t="e">
        <f ca="1">_xll.BDP(C94,"SECURITY_NAME")</f>
        <v>#NAME?</v>
      </c>
      <c r="E94" s="18" t="s">
        <v>50</v>
      </c>
      <c r="F94" s="19">
        <v>3430</v>
      </c>
      <c r="G94" s="18" t="e">
        <f ca="1">_xll.BDP(C94,"CRNCY")</f>
        <v>#NAME?</v>
      </c>
      <c r="H94" s="22">
        <v>814.51895000000002</v>
      </c>
      <c r="I94" s="15">
        <f>F94*H94</f>
        <v>2793799.9985000002</v>
      </c>
      <c r="J94" s="16" t="e">
        <f ca="1">I94/L94</f>
        <v>#NAME?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42305</v>
      </c>
    </row>
    <row r="95" spans="2:18" s="354" customFormat="1" x14ac:dyDescent="0.2">
      <c r="B95" s="797" t="s">
        <v>126</v>
      </c>
      <c r="C95" s="798" t="s">
        <v>2</v>
      </c>
      <c r="D95" s="799" t="e">
        <f ca="1">_xll.BDP(C95,"SECURITY_NAME")</f>
        <v>#NAME?</v>
      </c>
      <c r="E95" s="799" t="s">
        <v>50</v>
      </c>
      <c r="F95" s="800">
        <v>1800</v>
      </c>
      <c r="G95" s="799" t="e">
        <f ca="1">_xll.BDP(C95,"CRNCY")</f>
        <v>#NAME?</v>
      </c>
      <c r="H95" s="801">
        <v>727.80560000000003</v>
      </c>
      <c r="I95" s="802">
        <f>F95*H95</f>
        <v>1310050.08</v>
      </c>
      <c r="J95" s="803" t="e">
        <f ca="1">I95/L95</f>
        <v>#NAME?</v>
      </c>
      <c r="K95" s="802" t="e">
        <f ca="1">J95*L95</f>
        <v>#NAME?</v>
      </c>
      <c r="L95" s="801" t="e">
        <f ca="1">_xll.BDH("RUB curncy","PX_LAST",$N95)</f>
        <v>#NAME?</v>
      </c>
      <c r="M95" s="804" t="e">
        <f ca="1">1/_xll.BDH("RUB curncy","PX_LAST",$N95)</f>
        <v>#NAME?</v>
      </c>
      <c r="N95" s="805">
        <v>42213</v>
      </c>
    </row>
    <row r="96" spans="2:18" x14ac:dyDescent="0.2">
      <c r="B96" s="71"/>
      <c r="C96" s="33"/>
      <c r="D96" s="73"/>
      <c r="E96" s="73"/>
      <c r="F96" s="79">
        <f>SUM(F93:F95)</f>
        <v>10500</v>
      </c>
      <c r="G96" s="73"/>
      <c r="H96" s="80">
        <f>I96/F96</f>
        <v>742.17619795238102</v>
      </c>
      <c r="I96" s="79">
        <f>SUM(I93:I95)</f>
        <v>7792850.0785000008</v>
      </c>
      <c r="J96" s="79" t="e">
        <f ca="1">SUM(J93:J95)</f>
        <v>#NAME?</v>
      </c>
      <c r="K96" s="79" t="e">
        <f ca="1">SUM(K93:K95)</f>
        <v>#NAME?</v>
      </c>
      <c r="L96" s="75"/>
      <c r="M96" s="86"/>
      <c r="N96" s="14"/>
    </row>
    <row r="97" spans="2:14" x14ac:dyDescent="0.2">
      <c r="B97" s="71"/>
      <c r="C97" s="33"/>
      <c r="D97" s="73"/>
      <c r="E97" s="73"/>
      <c r="F97" s="79"/>
      <c r="G97" s="73"/>
      <c r="H97" s="80"/>
      <c r="I97" s="79"/>
      <c r="J97" s="79"/>
      <c r="K97" s="79"/>
      <c r="L97" s="75"/>
      <c r="M97" s="86"/>
      <c r="N97" s="14"/>
    </row>
    <row r="98" spans="2:14" x14ac:dyDescent="0.2">
      <c r="B98" s="21" t="s">
        <v>126</v>
      </c>
      <c r="C98" s="20" t="s">
        <v>4</v>
      </c>
      <c r="D98" s="18" t="e">
        <f ca="1">_xll.BDP(C98,"SECURITY_NAME")</f>
        <v>#NAME?</v>
      </c>
      <c r="E98" s="18" t="s">
        <v>50</v>
      </c>
      <c r="F98" s="19">
        <v>1957</v>
      </c>
      <c r="G98" s="18" t="e">
        <f ca="1">_xll.BDP(C98,"CRNCY")</f>
        <v>#NAME?</v>
      </c>
      <c r="H98" s="22">
        <v>2</v>
      </c>
      <c r="I98" s="15">
        <f>F98*H98</f>
        <v>3914</v>
      </c>
      <c r="J98" s="16">
        <f>I98</f>
        <v>3914</v>
      </c>
      <c r="K98" s="15" t="e">
        <f ca="1">J98*L98</f>
        <v>#NAME?</v>
      </c>
      <c r="L98" s="22" t="e">
        <f ca="1">_xll.BDH("RUB curncy","PX_LAST",$N98)</f>
        <v>#NAME?</v>
      </c>
      <c r="M98" s="85" t="e">
        <f ca="1">1/_xll.BDH("RUB curncy","PX_LAST",$N98)</f>
        <v>#NAME?</v>
      </c>
      <c r="N98" s="14">
        <v>42228</v>
      </c>
    </row>
    <row r="99" spans="2:14" s="354" customFormat="1" x14ac:dyDescent="0.2">
      <c r="B99" s="797" t="s">
        <v>126</v>
      </c>
      <c r="C99" s="798" t="s">
        <v>4</v>
      </c>
      <c r="D99" s="799" t="e">
        <f ca="1">_xll.BDP(C99,"SECURITY_NAME")</f>
        <v>#NAME?</v>
      </c>
      <c r="E99" s="799" t="s">
        <v>50</v>
      </c>
      <c r="F99" s="800">
        <v>21000</v>
      </c>
      <c r="G99" s="799" t="e">
        <f ca="1">_xll.BDP(C99,"CRNCY")</f>
        <v>#NAME?</v>
      </c>
      <c r="H99" s="801">
        <v>2.16</v>
      </c>
      <c r="I99" s="802">
        <f>F99*H99</f>
        <v>45360</v>
      </c>
      <c r="J99" s="803">
        <f>I99</f>
        <v>45360</v>
      </c>
      <c r="K99" s="802" t="e">
        <f ca="1">J99*L99</f>
        <v>#NAME?</v>
      </c>
      <c r="L99" s="801" t="e">
        <f ca="1">_xll.BDH("RUB curncy","PX_LAST",$N99)</f>
        <v>#NAME?</v>
      </c>
      <c r="M99" s="804" t="e">
        <f ca="1">1/_xll.BDH("RUB curncy","PX_LAST",$N99)</f>
        <v>#NAME?</v>
      </c>
      <c r="N99" s="805">
        <v>42159</v>
      </c>
    </row>
    <row r="100" spans="2:14" s="354" customFormat="1" x14ac:dyDescent="0.2">
      <c r="B100" s="797" t="s">
        <v>126</v>
      </c>
      <c r="C100" s="798" t="s">
        <v>4</v>
      </c>
      <c r="D100" s="799" t="e">
        <f ca="1">_xll.BDP(C100,"SECURITY_NAME")</f>
        <v>#NAME?</v>
      </c>
      <c r="E100" s="799" t="s">
        <v>50</v>
      </c>
      <c r="F100" s="800">
        <v>26400</v>
      </c>
      <c r="G100" s="799" t="e">
        <f ca="1">_xll.BDP(C100,"CRNCY")</f>
        <v>#NAME?</v>
      </c>
      <c r="H100" s="801">
        <v>2.35</v>
      </c>
      <c r="I100" s="802">
        <f>F100*H100</f>
        <v>62040</v>
      </c>
      <c r="J100" s="803">
        <f>I100</f>
        <v>62040</v>
      </c>
      <c r="K100" s="802" t="e">
        <f ca="1">J100*L100</f>
        <v>#NAME?</v>
      </c>
      <c r="L100" s="801" t="e">
        <f ca="1">_xll.BDH("RUB curncy","PX_LAST",$N100)</f>
        <v>#NAME?</v>
      </c>
      <c r="M100" s="804" t="e">
        <f ca="1">1/_xll.BDH("RUB curncy","PX_LAST",$N100)</f>
        <v>#NAME?</v>
      </c>
      <c r="N100" s="805">
        <v>42152</v>
      </c>
    </row>
    <row r="101" spans="2:14" x14ac:dyDescent="0.2">
      <c r="B101" s="71"/>
      <c r="C101" s="72"/>
      <c r="D101" s="73"/>
      <c r="E101" s="73"/>
      <c r="F101" s="79">
        <f>SUM(F98:F100)</f>
        <v>49357</v>
      </c>
      <c r="G101" s="87"/>
      <c r="H101" s="99">
        <f>I101/F101</f>
        <v>2.2552829385902711</v>
      </c>
      <c r="I101" s="79">
        <f>SUM(I98:I100)</f>
        <v>111314</v>
      </c>
      <c r="J101" s="79">
        <f>SUM(J98:J100)</f>
        <v>111314</v>
      </c>
      <c r="K101" s="79" t="e">
        <f ca="1">SUM(K98:K100)</f>
        <v>#NAME?</v>
      </c>
      <c r="L101" s="75"/>
      <c r="M101" s="86"/>
      <c r="N101" s="14"/>
    </row>
    <row r="102" spans="2:14" x14ac:dyDescent="0.2">
      <c r="B102" s="71"/>
      <c r="C102" s="72"/>
      <c r="D102" s="73"/>
      <c r="E102" s="73"/>
      <c r="F102" s="79"/>
      <c r="G102" s="87"/>
      <c r="H102" s="99"/>
      <c r="I102" s="79"/>
      <c r="J102" s="79"/>
      <c r="K102" s="79"/>
      <c r="L102" s="75"/>
      <c r="M102" s="86"/>
      <c r="N102" s="14"/>
    </row>
    <row r="103" spans="2:14" x14ac:dyDescent="0.2">
      <c r="B103" s="21" t="s">
        <v>126</v>
      </c>
      <c r="C103" s="20" t="s">
        <v>44</v>
      </c>
      <c r="D103" s="18" t="e">
        <f ca="1">_xll.BDP(C103,"SECURITY_NAME")</f>
        <v>#NAME?</v>
      </c>
      <c r="E103" s="18" t="s">
        <v>50</v>
      </c>
      <c r="F103" s="19">
        <v>83150</v>
      </c>
      <c r="G103" s="18" t="e">
        <f ca="1">_xll.BDP(C103,"CRNCY")</f>
        <v>#NAME?</v>
      </c>
      <c r="H103" s="22">
        <v>38.200000000000003</v>
      </c>
      <c r="I103" s="15">
        <f>F103*H103</f>
        <v>3176330.0000000005</v>
      </c>
      <c r="J103" s="16" t="e">
        <f ca="1">I103/L103</f>
        <v>#NAME?</v>
      </c>
      <c r="K103" s="15" t="e">
        <f ca="1">J103*L103</f>
        <v>#NAME?</v>
      </c>
      <c r="L103" s="22" t="e">
        <f ca="1">_xll.BDH("RUB curncy","PX_LAST",$N103)</f>
        <v>#NAME?</v>
      </c>
      <c r="M103" s="85" t="e">
        <f ca="1">1/_xll.BDH("RUB curncy","PX_LAST",$N103)</f>
        <v>#NAME?</v>
      </c>
      <c r="N103" s="14">
        <v>42536</v>
      </c>
    </row>
    <row r="104" spans="2:14" x14ac:dyDescent="0.2">
      <c r="B104" s="21" t="s">
        <v>126</v>
      </c>
      <c r="C104" s="20" t="s">
        <v>44</v>
      </c>
      <c r="D104" s="18" t="e">
        <f ca="1">_xll.BDP(C104,"SECURITY_NAME")</f>
        <v>#NAME?</v>
      </c>
      <c r="E104" s="18" t="s">
        <v>50</v>
      </c>
      <c r="F104" s="19">
        <v>24850</v>
      </c>
      <c r="G104" s="18" t="e">
        <f ca="1">_xll.BDP(C104,"CRNCY")</f>
        <v>#NAME?</v>
      </c>
      <c r="H104" s="22">
        <v>38.292099999999998</v>
      </c>
      <c r="I104" s="15">
        <f>F104*H104</f>
        <v>951558.68499999994</v>
      </c>
      <c r="J104" s="16" t="e">
        <f ca="1">I104/L104</f>
        <v>#NAME?</v>
      </c>
      <c r="K104" s="15" t="e">
        <f ca="1">J104*L104</f>
        <v>#NAME?</v>
      </c>
      <c r="L104" s="22" t="e">
        <f ca="1">_xll.BDH("RUB curncy","PX_LAST",$N104)</f>
        <v>#NAME?</v>
      </c>
      <c r="M104" s="85" t="e">
        <f ca="1">1/_xll.BDH("RUB curncy","PX_LAST",$N104)</f>
        <v>#NAME?</v>
      </c>
      <c r="N104" s="14">
        <v>42199</v>
      </c>
    </row>
    <row r="105" spans="2:14" x14ac:dyDescent="0.2">
      <c r="B105" s="71"/>
      <c r="C105" s="33"/>
      <c r="D105" s="73"/>
      <c r="E105" s="73"/>
      <c r="F105" s="79">
        <f>SUM(F102:F104)</f>
        <v>108000</v>
      </c>
      <c r="G105" s="73"/>
      <c r="H105" s="80">
        <f>I105/F105</f>
        <v>38.221191527777783</v>
      </c>
      <c r="I105" s="79">
        <f>SUM(I102:I104)</f>
        <v>4127888.6850000005</v>
      </c>
      <c r="J105" s="79" t="e">
        <f ca="1">SUM(J102:J104)</f>
        <v>#NAME?</v>
      </c>
      <c r="K105" s="79" t="e">
        <f ca="1">SUM(K102:K104)</f>
        <v>#NAME?</v>
      </c>
      <c r="L105" s="75"/>
      <c r="M105" s="86"/>
      <c r="N105" s="14"/>
    </row>
    <row r="106" spans="2:14" x14ac:dyDescent="0.2">
      <c r="B106" s="71"/>
      <c r="C106" s="72"/>
      <c r="D106" s="73"/>
      <c r="E106" s="73"/>
      <c r="F106" s="79"/>
      <c r="G106" s="87"/>
      <c r="H106" s="99"/>
      <c r="I106" s="79"/>
      <c r="J106" s="79"/>
      <c r="K106" s="79"/>
      <c r="L106" s="75"/>
      <c r="M106" s="86"/>
      <c r="N106" s="14"/>
    </row>
    <row r="107" spans="2:14" x14ac:dyDescent="0.2">
      <c r="B107" s="21" t="s">
        <v>126</v>
      </c>
      <c r="C107" s="20" t="s">
        <v>334</v>
      </c>
      <c r="D107" s="18" t="e">
        <f ca="1">_xll.BDP(C107,"SECURITY_NAME")</f>
        <v>#NAME?</v>
      </c>
      <c r="E107" s="18" t="s">
        <v>50</v>
      </c>
      <c r="F107" s="19">
        <v>10610</v>
      </c>
      <c r="G107" s="18" t="e">
        <f ca="1">_xll.BDP(C107,"CRNCY")</f>
        <v>#NAME?</v>
      </c>
      <c r="H107" s="22">
        <v>220</v>
      </c>
      <c r="I107" s="15">
        <f>F107*H107</f>
        <v>2334200</v>
      </c>
      <c r="J107" s="16" t="e">
        <f ca="1">I107/L107</f>
        <v>#NAME?</v>
      </c>
      <c r="K107" s="15" t="e">
        <f t="shared" ref="K107:K113" ca="1" si="43">J107*L107</f>
        <v>#NAME?</v>
      </c>
      <c r="L107" s="22" t="e">
        <f ca="1">_xll.BDH("RUB curncy","PX_LAST",$N107)</f>
        <v>#NAME?</v>
      </c>
      <c r="M107" s="85" t="e">
        <f ca="1">1/_xll.BDH("RUB curncy","PX_LAST",$N107)</f>
        <v>#NAME?</v>
      </c>
      <c r="N107" s="14">
        <v>42396</v>
      </c>
    </row>
    <row r="108" spans="2:14" x14ac:dyDescent="0.2">
      <c r="B108" s="21" t="s">
        <v>126</v>
      </c>
      <c r="C108" s="20" t="s">
        <v>334</v>
      </c>
      <c r="D108" s="18" t="e">
        <f ca="1">_xll.BDP(C108,"SECURITY_NAME")</f>
        <v>#NAME?</v>
      </c>
      <c r="E108" s="18" t="s">
        <v>50</v>
      </c>
      <c r="F108" s="19">
        <v>6720</v>
      </c>
      <c r="G108" s="18" t="e">
        <f ca="1">_xll.BDP(C108,"CRNCY")</f>
        <v>#NAME?</v>
      </c>
      <c r="H108" s="22">
        <v>224.98065500000001</v>
      </c>
      <c r="I108" s="15">
        <f t="shared" ref="I108:I113" si="44">F108*H108</f>
        <v>1511870.0016000001</v>
      </c>
      <c r="J108" s="16" t="e">
        <f t="shared" ref="J108:J113" ca="1" si="45">I108/L108</f>
        <v>#NAME?</v>
      </c>
      <c r="K108" s="15" t="e">
        <f t="shared" ca="1" si="43"/>
        <v>#NAME?</v>
      </c>
      <c r="L108" s="22" t="e">
        <f ca="1">_xll.BDH("RUB curncy","PX_LAST",$N108)</f>
        <v>#NAME?</v>
      </c>
      <c r="M108" s="85" t="e">
        <f ca="1">1/_xll.BDH("RUB curncy","PX_LAST",$N108)</f>
        <v>#NAME?</v>
      </c>
      <c r="N108" s="14">
        <v>42383</v>
      </c>
    </row>
    <row r="109" spans="2:14" x14ac:dyDescent="0.2">
      <c r="B109" s="21" t="s">
        <v>126</v>
      </c>
      <c r="C109" s="20" t="s">
        <v>334</v>
      </c>
      <c r="D109" s="18" t="e">
        <f ca="1">_xll.BDP(C109,"SECURITY_NAME")</f>
        <v>#NAME?</v>
      </c>
      <c r="E109" s="18" t="s">
        <v>50</v>
      </c>
      <c r="F109" s="19">
        <v>11395</v>
      </c>
      <c r="G109" s="18" t="e">
        <f ca="1">_xll.BDP(C109,"CRNCY")</f>
        <v>#NAME?</v>
      </c>
      <c r="H109" s="22">
        <v>225.92161999999999</v>
      </c>
      <c r="I109" s="15">
        <f t="shared" si="44"/>
        <v>2574376.8599</v>
      </c>
      <c r="J109" s="16" t="e">
        <f t="shared" ca="1" si="45"/>
        <v>#NAME?</v>
      </c>
      <c r="K109" s="15" t="e">
        <f t="shared" ca="1" si="43"/>
        <v>#NAME?</v>
      </c>
      <c r="L109" s="22" t="e">
        <f ca="1">_xll.BDH("RUB curncy","PX_LAST",$N109)</f>
        <v>#NAME?</v>
      </c>
      <c r="M109" s="85" t="e">
        <f ca="1">1/_xll.BDH("RUB curncy","PX_LAST",$N109)</f>
        <v>#NAME?</v>
      </c>
      <c r="N109" s="14">
        <v>42374</v>
      </c>
    </row>
    <row r="110" spans="2:14" x14ac:dyDescent="0.2">
      <c r="B110" s="21" t="s">
        <v>126</v>
      </c>
      <c r="C110" s="20" t="s">
        <v>334</v>
      </c>
      <c r="D110" s="18" t="e">
        <f ca="1">_xll.BDP(C110,"SECURITY_NAME")</f>
        <v>#NAME?</v>
      </c>
      <c r="E110" s="18" t="s">
        <v>50</v>
      </c>
      <c r="F110" s="19">
        <v>9130</v>
      </c>
      <c r="G110" s="18" t="e">
        <f ca="1">_xll.BDP(C110,"CRNCY")</f>
        <v>#NAME?</v>
      </c>
      <c r="H110" s="22">
        <v>250</v>
      </c>
      <c r="I110" s="15">
        <f t="shared" si="44"/>
        <v>2282500</v>
      </c>
      <c r="J110" s="16" t="e">
        <f t="shared" ca="1" si="45"/>
        <v>#NAME?</v>
      </c>
      <c r="K110" s="15" t="e">
        <f t="shared" ca="1" si="43"/>
        <v>#NAME?</v>
      </c>
      <c r="L110" s="22" t="e">
        <f ca="1">_xll.BDH("RUB curncy","PX_LAST",$N110)</f>
        <v>#NAME?</v>
      </c>
      <c r="M110" s="85" t="e">
        <f ca="1">1/_xll.BDH("RUB curncy","PX_LAST",$N110)</f>
        <v>#NAME?</v>
      </c>
      <c r="N110" s="14">
        <v>42311</v>
      </c>
    </row>
    <row r="111" spans="2:14" x14ac:dyDescent="0.2">
      <c r="B111" s="21" t="s">
        <v>126</v>
      </c>
      <c r="C111" s="20" t="s">
        <v>334</v>
      </c>
      <c r="D111" s="18" t="e">
        <f ca="1">_xll.BDP(C111,"SECURITY_NAME")</f>
        <v>#NAME?</v>
      </c>
      <c r="E111" s="18" t="s">
        <v>50</v>
      </c>
      <c r="F111" s="19">
        <v>7800</v>
      </c>
      <c r="G111" s="18" t="e">
        <f ca="1">_xll.BDP(C111,"CRNCY")</f>
        <v>#NAME?</v>
      </c>
      <c r="H111" s="22">
        <v>300</v>
      </c>
      <c r="I111" s="15">
        <f t="shared" si="44"/>
        <v>2340000</v>
      </c>
      <c r="J111" s="16" t="e">
        <f t="shared" ca="1" si="45"/>
        <v>#NAME?</v>
      </c>
      <c r="K111" s="15" t="e">
        <f t="shared" ca="1" si="43"/>
        <v>#NAME?</v>
      </c>
      <c r="L111" s="22" t="e">
        <f ca="1">_xll.BDH("RUB curncy","PX_LAST",$N111)</f>
        <v>#NAME?</v>
      </c>
      <c r="M111" s="85" t="e">
        <f ca="1">1/_xll.BDH("RUB curncy","PX_LAST",$N111)</f>
        <v>#NAME?</v>
      </c>
      <c r="N111" s="14">
        <v>42227</v>
      </c>
    </row>
    <row r="112" spans="2:14" s="354" customFormat="1" x14ac:dyDescent="0.2">
      <c r="B112" s="797" t="s">
        <v>126</v>
      </c>
      <c r="C112" s="798" t="s">
        <v>334</v>
      </c>
      <c r="D112" s="799" t="e">
        <f ca="1">_xll.BDP(C112,"SECURITY_NAME")</f>
        <v>#NAME?</v>
      </c>
      <c r="E112" s="799" t="s">
        <v>50</v>
      </c>
      <c r="F112" s="800">
        <v>11100</v>
      </c>
      <c r="G112" s="799" t="e">
        <f ca="1">_xll.BDP(C112,"CRNCY")</f>
        <v>#NAME?</v>
      </c>
      <c r="H112" s="801">
        <v>290</v>
      </c>
      <c r="I112" s="802">
        <f t="shared" si="44"/>
        <v>3219000</v>
      </c>
      <c r="J112" s="803" t="e">
        <f t="shared" ca="1" si="45"/>
        <v>#NAME?</v>
      </c>
      <c r="K112" s="802" t="e">
        <f t="shared" ca="1" si="43"/>
        <v>#NAME?</v>
      </c>
      <c r="L112" s="801" t="e">
        <f ca="1">_xll.BDH("RUB curncy","PX_LAST",$N112)</f>
        <v>#NAME?</v>
      </c>
      <c r="M112" s="804" t="e">
        <f ca="1">1/_xll.BDH("RUB curncy","PX_LAST",$N112)</f>
        <v>#NAME?</v>
      </c>
      <c r="N112" s="805">
        <v>42159</v>
      </c>
    </row>
    <row r="113" spans="2:17" s="354" customFormat="1" x14ac:dyDescent="0.2">
      <c r="B113" s="797" t="s">
        <v>126</v>
      </c>
      <c r="C113" s="798" t="s">
        <v>334</v>
      </c>
      <c r="D113" s="799" t="e">
        <f ca="1">_xll.BDP(C113,"SECURITY_NAME")</f>
        <v>#NAME?</v>
      </c>
      <c r="E113" s="799" t="s">
        <v>50</v>
      </c>
      <c r="F113" s="800">
        <v>11100</v>
      </c>
      <c r="G113" s="799" t="e">
        <f ca="1">_xll.BDP(C113,"CRNCY")</f>
        <v>#NAME?</v>
      </c>
      <c r="H113" s="801">
        <v>292</v>
      </c>
      <c r="I113" s="802">
        <f t="shared" si="44"/>
        <v>3241200</v>
      </c>
      <c r="J113" s="803" t="e">
        <f t="shared" ca="1" si="45"/>
        <v>#NAME?</v>
      </c>
      <c r="K113" s="802" t="e">
        <f t="shared" ca="1" si="43"/>
        <v>#NAME?</v>
      </c>
      <c r="L113" s="801" t="e">
        <f ca="1">_xll.BDH("RUB curncy","PX_LAST",$N113)</f>
        <v>#NAME?</v>
      </c>
      <c r="M113" s="804" t="e">
        <f ca="1">1/_xll.BDH("RUB curncy","PX_LAST",$N113)</f>
        <v>#NAME?</v>
      </c>
      <c r="N113" s="805">
        <v>42153</v>
      </c>
    </row>
    <row r="114" spans="2:17" x14ac:dyDescent="0.2">
      <c r="B114" s="71"/>
      <c r="C114" s="33"/>
      <c r="D114" s="73"/>
      <c r="E114" s="73"/>
      <c r="F114" s="79">
        <f>SUM(F107:F113)</f>
        <v>67855</v>
      </c>
      <c r="G114" s="73"/>
      <c r="H114" s="80">
        <f>I114/F114</f>
        <v>257.94925740918137</v>
      </c>
      <c r="I114" s="79">
        <f>SUM(I107:I113)</f>
        <v>17503146.861500002</v>
      </c>
      <c r="J114" s="79" t="e">
        <f ca="1">SUM(J107:J113)</f>
        <v>#NAME?</v>
      </c>
      <c r="K114" s="79" t="e">
        <f ca="1">SUM(K107:K113)</f>
        <v>#NAME?</v>
      </c>
      <c r="L114" s="75"/>
      <c r="M114" s="86"/>
      <c r="N114" s="14"/>
    </row>
    <row r="115" spans="2:17" x14ac:dyDescent="0.2">
      <c r="Q115" s="9">
        <v>2882569</v>
      </c>
    </row>
    <row r="116" spans="2:17" s="354" customFormat="1" x14ac:dyDescent="0.2">
      <c r="B116" s="797" t="s">
        <v>126</v>
      </c>
      <c r="C116" s="798" t="s">
        <v>257</v>
      </c>
      <c r="D116" s="799" t="e">
        <f ca="1">_xll.BDP(C116,"SECURITY_NAME")</f>
        <v>#NAME?</v>
      </c>
      <c r="E116" s="799" t="s">
        <v>50</v>
      </c>
      <c r="F116" s="800">
        <v>1300000</v>
      </c>
      <c r="G116" s="799" t="e">
        <f ca="1">_xll.BDP(C116,"CRNCY")</f>
        <v>#NAME?</v>
      </c>
      <c r="H116" s="801" t="e">
        <f ca="1">_xll.BDH(C116,"PX_LAST",N116)</f>
        <v>#NAME?</v>
      </c>
      <c r="I116" s="802" t="e">
        <f ca="1">F116*H116</f>
        <v>#NAME?</v>
      </c>
      <c r="J116" s="803" t="e">
        <f ca="1">I116/L116</f>
        <v>#NAME?</v>
      </c>
      <c r="K116" s="802" t="e">
        <f ca="1">J116*L116</f>
        <v>#NAME?</v>
      </c>
      <c r="L116" s="801" t="e">
        <f ca="1">_xll.BDH("RUB curncy","PX_LAST",$N116)</f>
        <v>#NAME?</v>
      </c>
      <c r="M116" s="804" t="e">
        <f ca="1">1/_xll.BDH("RUB curncy","PX_LAST",$N116)</f>
        <v>#NAME?</v>
      </c>
      <c r="N116" s="805">
        <v>42082</v>
      </c>
    </row>
    <row r="117" spans="2:17" s="354" customFormat="1" x14ac:dyDescent="0.2">
      <c r="B117" s="797" t="s">
        <v>126</v>
      </c>
      <c r="C117" s="798" t="s">
        <v>257</v>
      </c>
      <c r="D117" s="799" t="e">
        <f ca="1">_xll.BDP(C117,"SECURITY_NAME")</f>
        <v>#NAME?</v>
      </c>
      <c r="E117" s="799" t="s">
        <v>50</v>
      </c>
      <c r="F117" s="800">
        <v>200000</v>
      </c>
      <c r="G117" s="799" t="e">
        <f ca="1">_xll.BDP(C117,"CRNCY")</f>
        <v>#NAME?</v>
      </c>
      <c r="H117" s="801" t="e">
        <f ca="1">_xll.BDH(C117,"PX_LAST",N117)</f>
        <v>#NAME?</v>
      </c>
      <c r="I117" s="802" t="e">
        <f ca="1">F117*H117</f>
        <v>#NAME?</v>
      </c>
      <c r="J117" s="803" t="e">
        <f ca="1">I117/L117</f>
        <v>#NAME?</v>
      </c>
      <c r="K117" s="802" t="e">
        <f ca="1">J117*L117</f>
        <v>#NAME?</v>
      </c>
      <c r="L117" s="801" t="e">
        <f ca="1">_xll.BDH("RUB curncy","PX_LAST",$N117)</f>
        <v>#NAME?</v>
      </c>
      <c r="M117" s="804" t="e">
        <f ca="1">1/_xll.BDH("RUB curncy","PX_LAST",$N117)</f>
        <v>#NAME?</v>
      </c>
      <c r="N117" s="805">
        <v>42073</v>
      </c>
    </row>
    <row r="118" spans="2:17" s="354" customFormat="1" x14ac:dyDescent="0.2">
      <c r="B118" s="797" t="s">
        <v>126</v>
      </c>
      <c r="C118" s="798" t="s">
        <v>257</v>
      </c>
      <c r="D118" s="799" t="e">
        <f ca="1">_xll.BDP(C118,"SECURITY_NAME")</f>
        <v>#NAME?</v>
      </c>
      <c r="E118" s="799" t="s">
        <v>50</v>
      </c>
      <c r="F118" s="800">
        <v>1933000</v>
      </c>
      <c r="G118" s="799" t="e">
        <f ca="1">_xll.BDP(C118,"CRNCY")</f>
        <v>#NAME?</v>
      </c>
      <c r="H118" s="801" t="e">
        <f ca="1">_xll.BDH(C118,"PX_LAST",N118)</f>
        <v>#NAME?</v>
      </c>
      <c r="I118" s="802" t="e">
        <f ca="1">F118*H118</f>
        <v>#NAME?</v>
      </c>
      <c r="J118" s="803" t="e">
        <f ca="1">I118/L118</f>
        <v>#NAME?</v>
      </c>
      <c r="K118" s="802" t="e">
        <f ca="1">J118*L118</f>
        <v>#NAME?</v>
      </c>
      <c r="L118" s="801" t="e">
        <f ca="1">_xll.BDH("RUB curncy","PX_LAST",$N118)</f>
        <v>#NAME?</v>
      </c>
      <c r="M118" s="804" t="e">
        <f ca="1">1/_xll.BDH("RUB curncy","PX_LAST",$N118)</f>
        <v>#NAME?</v>
      </c>
      <c r="N118" s="805">
        <v>41955</v>
      </c>
    </row>
    <row r="119" spans="2:17" x14ac:dyDescent="0.2">
      <c r="B119" s="71"/>
      <c r="C119" s="33"/>
      <c r="D119" s="73">
        <f>E119/F119</f>
        <v>0.45794873288668803</v>
      </c>
      <c r="E119" s="73">
        <v>1572138</v>
      </c>
      <c r="F119" s="79">
        <f>SUM(F116:F118)</f>
        <v>3433000</v>
      </c>
      <c r="G119" s="73"/>
      <c r="H119" s="80" t="e">
        <f ca="1">I119/F119</f>
        <v>#NAME?</v>
      </c>
      <c r="I119" s="79" t="e">
        <f ca="1">SUM(I116:I118)</f>
        <v>#NAME?</v>
      </c>
      <c r="J119" s="79" t="e">
        <f ca="1">SUM(J116:J118)*D119</f>
        <v>#NAME?</v>
      </c>
      <c r="K119" s="79" t="e">
        <f ca="1">SUM(K116:K118)</f>
        <v>#NAME?</v>
      </c>
      <c r="L119" s="75"/>
      <c r="M119" s="86"/>
      <c r="N119" s="14"/>
      <c r="Q119" s="114">
        <f>F119-Q115</f>
        <v>550431</v>
      </c>
    </row>
    <row r="121" spans="2:17" x14ac:dyDescent="0.2">
      <c r="B121" s="21" t="s">
        <v>126</v>
      </c>
      <c r="C121" s="20" t="s">
        <v>35</v>
      </c>
      <c r="D121" s="18" t="e">
        <f ca="1">_xll.BDP(C121,"SECURITY_NAME")</f>
        <v>#NAME?</v>
      </c>
      <c r="E121" s="18" t="s">
        <v>50</v>
      </c>
      <c r="F121" s="19">
        <v>1000</v>
      </c>
      <c r="G121" s="18" t="e">
        <f ca="1">_xll.BDP(C121,"CRNCY")</f>
        <v>#NAME?</v>
      </c>
      <c r="H121" s="22" t="e">
        <f ca="1">_xll.BDH(C121,"PX_LAST",N121)</f>
        <v>#NAME?</v>
      </c>
      <c r="I121" s="15" t="e">
        <f ca="1">F121*H121</f>
        <v>#NAME?</v>
      </c>
      <c r="J121" s="16" t="e">
        <f ca="1">I121/L121</f>
        <v>#NAME?</v>
      </c>
      <c r="K121" s="15" t="e">
        <f ca="1">J121*L121</f>
        <v>#NAME?</v>
      </c>
      <c r="L121" s="22" t="e">
        <f ca="1">_xll.BDH("RUB curncy","PX_LAST",$N121)</f>
        <v>#NAME?</v>
      </c>
      <c r="M121" s="85" t="e">
        <f ca="1">1/_xll.BDH("RUB curncy","PX_LAST",$N121)</f>
        <v>#NAME?</v>
      </c>
      <c r="N121" s="14">
        <v>41645</v>
      </c>
    </row>
    <row r="122" spans="2:17" x14ac:dyDescent="0.2">
      <c r="B122" s="71"/>
      <c r="C122" s="33"/>
      <c r="D122" s="73"/>
      <c r="E122" s="73"/>
      <c r="F122" s="79">
        <f>SUM(F121)</f>
        <v>1000</v>
      </c>
      <c r="G122" s="73"/>
      <c r="H122" s="80" t="e">
        <f ca="1">I122/F122</f>
        <v>#NAME?</v>
      </c>
      <c r="I122" s="79" t="e">
        <f ca="1">SUM(I121)</f>
        <v>#NAME?</v>
      </c>
      <c r="J122" s="79" t="e">
        <f ca="1">SUM(J121)</f>
        <v>#NAME?</v>
      </c>
      <c r="K122" s="79" t="e">
        <f ca="1">SUM(K121)</f>
        <v>#NAME?</v>
      </c>
      <c r="L122" s="75"/>
      <c r="M122" s="86"/>
      <c r="N122" s="14"/>
    </row>
    <row r="123" spans="2:17" x14ac:dyDescent="0.2">
      <c r="B123" s="71"/>
      <c r="C123" s="33"/>
      <c r="D123" s="73"/>
      <c r="E123" s="73"/>
      <c r="F123" s="79"/>
      <c r="G123" s="73"/>
      <c r="H123" s="80"/>
      <c r="I123" s="79"/>
      <c r="J123" s="79"/>
      <c r="K123" s="79"/>
      <c r="L123" s="75"/>
      <c r="M123" s="86"/>
      <c r="N123" s="14"/>
    </row>
    <row r="124" spans="2:17" x14ac:dyDescent="0.2">
      <c r="B124" s="21" t="s">
        <v>126</v>
      </c>
      <c r="C124" s="20" t="s">
        <v>461</v>
      </c>
      <c r="D124" s="18" t="e">
        <f ca="1">_xll.BDP(C124,"SECURITY_NAME")</f>
        <v>#NAME?</v>
      </c>
      <c r="E124" s="18" t="s">
        <v>50</v>
      </c>
      <c r="F124" s="19">
        <v>10800</v>
      </c>
      <c r="G124" s="18" t="e">
        <f ca="1">_xll.BDP(C124,"CRNCY")</f>
        <v>#NAME?</v>
      </c>
      <c r="H124" s="22">
        <v>3.16</v>
      </c>
      <c r="I124" s="15">
        <f>F124*H124</f>
        <v>34128</v>
      </c>
      <c r="J124" s="16">
        <f>I124</f>
        <v>34128</v>
      </c>
      <c r="K124" s="15" t="e">
        <f ca="1">J124*L124</f>
        <v>#NAME?</v>
      </c>
      <c r="L124" s="22" t="e">
        <f ca="1">_xll.BDH("RUB curncy","PX_LAST",$N124)</f>
        <v>#NAME?</v>
      </c>
      <c r="M124" s="85" t="e">
        <f ca="1">1/_xll.BDH("RUB curncy","PX_LAST",$N124)</f>
        <v>#NAME?</v>
      </c>
      <c r="N124" s="14">
        <v>42381</v>
      </c>
    </row>
    <row r="125" spans="2:17" x14ac:dyDescent="0.2">
      <c r="B125" s="21" t="s">
        <v>126</v>
      </c>
      <c r="C125" s="20" t="s">
        <v>461</v>
      </c>
      <c r="D125" s="18" t="e">
        <f ca="1">_xll.BDP(C125,"SECURITY_NAME")</f>
        <v>#NAME?</v>
      </c>
      <c r="E125" s="18" t="s">
        <v>50</v>
      </c>
      <c r="F125" s="19">
        <v>12000</v>
      </c>
      <c r="G125" s="18" t="e">
        <f ca="1">_xll.BDP(C125,"CRNCY")</f>
        <v>#NAME?</v>
      </c>
      <c r="H125" s="22">
        <v>4.28</v>
      </c>
      <c r="I125" s="15">
        <f>F125*H125</f>
        <v>51360</v>
      </c>
      <c r="J125" s="16">
        <f>I125</f>
        <v>51360</v>
      </c>
      <c r="K125" s="15" t="e">
        <f ca="1">J125*L125</f>
        <v>#NAME?</v>
      </c>
      <c r="L125" s="22" t="e">
        <f ca="1">_xll.BDH("RUB curncy","PX_LAST",$N125)</f>
        <v>#NAME?</v>
      </c>
      <c r="M125" s="85" t="e">
        <f ca="1">1/_xll.BDH("RUB curncy","PX_LAST",$N125)</f>
        <v>#NAME?</v>
      </c>
      <c r="N125" s="14">
        <v>42328</v>
      </c>
    </row>
    <row r="126" spans="2:17" x14ac:dyDescent="0.2">
      <c r="B126" s="71"/>
      <c r="C126" s="72"/>
      <c r="D126" s="73"/>
      <c r="E126" s="73"/>
      <c r="F126" s="79">
        <f>SUM(F124:F125)</f>
        <v>22800</v>
      </c>
      <c r="G126" s="87"/>
      <c r="H126" s="99">
        <f>I126/F126</f>
        <v>3.7494736842105265</v>
      </c>
      <c r="I126" s="79">
        <f>SUM(I124:I125)</f>
        <v>85488</v>
      </c>
      <c r="J126" s="79">
        <f>SUM(J124:J125)</f>
        <v>85488</v>
      </c>
      <c r="K126" s="79" t="e">
        <f ca="1">SUM(K124:K125)</f>
        <v>#NAME?</v>
      </c>
      <c r="L126" s="75"/>
      <c r="M126" s="86"/>
      <c r="N126" s="14"/>
    </row>
    <row r="127" spans="2:17" x14ac:dyDescent="0.2">
      <c r="B127" s="71"/>
      <c r="C127" s="33"/>
      <c r="D127" s="73"/>
      <c r="E127" s="73"/>
      <c r="F127" s="79"/>
      <c r="G127" s="73"/>
      <c r="H127" s="80"/>
      <c r="I127" s="79"/>
      <c r="J127" s="79"/>
      <c r="K127" s="79"/>
      <c r="L127" s="75"/>
      <c r="M127" s="86"/>
      <c r="N127" s="14"/>
    </row>
    <row r="128" spans="2:17" s="354" customFormat="1" x14ac:dyDescent="0.2">
      <c r="B128" s="797" t="s">
        <v>126</v>
      </c>
      <c r="C128" s="798" t="s">
        <v>66</v>
      </c>
      <c r="D128" s="799" t="e">
        <f ca="1">_xll.BDP(C128,"SECURITY_NAME")</f>
        <v>#NAME?</v>
      </c>
      <c r="E128" s="799" t="s">
        <v>50</v>
      </c>
      <c r="F128" s="800">
        <v>6300</v>
      </c>
      <c r="G128" s="799" t="e">
        <f ca="1">_xll.BDP(C128,"CRNCY")</f>
        <v>#NAME?</v>
      </c>
      <c r="H128" s="801">
        <v>9.8000000000000007</v>
      </c>
      <c r="I128" s="802">
        <f>F128*H128</f>
        <v>61740.000000000007</v>
      </c>
      <c r="J128" s="803">
        <f>I128</f>
        <v>61740.000000000007</v>
      </c>
      <c r="K128" s="802" t="e">
        <f ca="1">J128*L128</f>
        <v>#NAME?</v>
      </c>
      <c r="L128" s="801" t="e">
        <f ca="1">_xll.BDH("RUB curncy","PX_LAST",$N128)</f>
        <v>#NAME?</v>
      </c>
      <c r="M128" s="804" t="e">
        <f ca="1">1/_xll.BDH("RUB curncy","PX_LAST",$N128)</f>
        <v>#NAME?</v>
      </c>
      <c r="N128" s="805">
        <v>42186</v>
      </c>
    </row>
    <row r="129" spans="2:14" s="354" customFormat="1" x14ac:dyDescent="0.2">
      <c r="B129" s="797" t="s">
        <v>126</v>
      </c>
      <c r="C129" s="798" t="s">
        <v>66</v>
      </c>
      <c r="D129" s="799" t="e">
        <f ca="1">_xll.BDP(C129,"SECURITY_NAME")</f>
        <v>#NAME?</v>
      </c>
      <c r="E129" s="799" t="s">
        <v>50</v>
      </c>
      <c r="F129" s="800">
        <v>5700</v>
      </c>
      <c r="G129" s="799" t="e">
        <f ca="1">_xll.BDP(C129,"CRNCY")</f>
        <v>#NAME?</v>
      </c>
      <c r="H129" s="801">
        <v>11.1</v>
      </c>
      <c r="I129" s="802">
        <f>F129*H129</f>
        <v>63270</v>
      </c>
      <c r="J129" s="803">
        <f>I129</f>
        <v>63270</v>
      </c>
      <c r="K129" s="802" t="e">
        <f ca="1">J129*L129</f>
        <v>#NAME?</v>
      </c>
      <c r="L129" s="801" t="e">
        <f ca="1">_xll.BDH("RUB curncy","PX_LAST",$N129)</f>
        <v>#NAME?</v>
      </c>
      <c r="M129" s="804" t="e">
        <f ca="1">1/_xll.BDH("RUB curncy","PX_LAST",$N129)</f>
        <v>#NAME?</v>
      </c>
      <c r="N129" s="805">
        <v>42152</v>
      </c>
    </row>
    <row r="130" spans="2:14" x14ac:dyDescent="0.2">
      <c r="B130" s="71"/>
      <c r="C130" s="72"/>
      <c r="D130" s="73"/>
      <c r="E130" s="73"/>
      <c r="F130" s="79">
        <f>SUM(F128:F129)</f>
        <v>12000</v>
      </c>
      <c r="G130" s="87"/>
      <c r="H130" s="99">
        <f>I130/F130</f>
        <v>10.4175</v>
      </c>
      <c r="I130" s="79">
        <f>SUM(I128:I129)</f>
        <v>125010</v>
      </c>
      <c r="J130" s="79">
        <f>SUM(J128:J129)</f>
        <v>125010</v>
      </c>
      <c r="K130" s="79" t="e">
        <f ca="1">SUM(K128:K129)</f>
        <v>#NAME?</v>
      </c>
      <c r="L130" s="75"/>
      <c r="M130" s="86"/>
      <c r="N130" s="14"/>
    </row>
    <row r="131" spans="2:14" x14ac:dyDescent="0.2">
      <c r="B131" s="71"/>
      <c r="C131" s="72"/>
      <c r="D131" s="73"/>
      <c r="E131" s="73"/>
      <c r="F131" s="79"/>
      <c r="G131" s="87"/>
      <c r="H131" s="99"/>
      <c r="I131" s="79"/>
      <c r="J131" s="79"/>
      <c r="K131" s="79"/>
      <c r="L131" s="75"/>
      <c r="M131" s="86"/>
      <c r="N131" s="14"/>
    </row>
    <row r="132" spans="2:14" x14ac:dyDescent="0.2">
      <c r="B132" s="21" t="s">
        <v>126</v>
      </c>
      <c r="C132" s="20" t="s">
        <v>12</v>
      </c>
      <c r="D132" s="18" t="e">
        <f ca="1">_xll.BDP(C132,"SECURITY_NAME")</f>
        <v>#NAME?</v>
      </c>
      <c r="E132" s="18" t="s">
        <v>50</v>
      </c>
      <c r="F132" s="19">
        <v>2246</v>
      </c>
      <c r="G132" s="18" t="e">
        <f ca="1">_xll.BDP(C132,"CRNCY")</f>
        <v>#NAME?</v>
      </c>
      <c r="H132" s="22">
        <v>17.227699999999999</v>
      </c>
      <c r="I132" s="15">
        <f>F132*H132</f>
        <v>38693.414199999999</v>
      </c>
      <c r="J132" s="16">
        <f>I132</f>
        <v>38693.414199999999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42319</v>
      </c>
    </row>
    <row r="133" spans="2:14" x14ac:dyDescent="0.2">
      <c r="B133" s="21" t="s">
        <v>126</v>
      </c>
      <c r="C133" s="20" t="s">
        <v>12</v>
      </c>
      <c r="D133" s="18" t="e">
        <f ca="1">_xll.BDP(C133,"SECURITY_NAME")</f>
        <v>#NAME?</v>
      </c>
      <c r="E133" s="18" t="s">
        <v>50</v>
      </c>
      <c r="F133" s="19">
        <v>911</v>
      </c>
      <c r="G133" s="18" t="e">
        <f ca="1">_xll.BDP(C133,"CRNCY")</f>
        <v>#NAME?</v>
      </c>
      <c r="H133" s="22">
        <v>26.9</v>
      </c>
      <c r="I133" s="15">
        <f>F133*H133</f>
        <v>24505.899999999998</v>
      </c>
      <c r="J133" s="16">
        <f>I133</f>
        <v>24505.899999999998</v>
      </c>
      <c r="K133" s="15" t="e">
        <f ca="1">J133*L133</f>
        <v>#NAME?</v>
      </c>
      <c r="L133" s="22" t="e">
        <f ca="1">_xll.BDH("RUB curncy","PX_LAST",$N133)</f>
        <v>#NAME?</v>
      </c>
      <c r="M133" s="85" t="e">
        <f ca="1">1/_xll.BDH("RUB curncy","PX_LAST",$N133)</f>
        <v>#NAME?</v>
      </c>
      <c r="N133" s="14">
        <v>42199</v>
      </c>
    </row>
    <row r="134" spans="2:14" x14ac:dyDescent="0.2">
      <c r="B134" s="71"/>
      <c r="C134" s="72"/>
      <c r="D134" s="73"/>
      <c r="E134" s="73"/>
      <c r="F134" s="79">
        <f>SUM(F132:F133)</f>
        <v>3157</v>
      </c>
      <c r="G134" s="87"/>
      <c r="H134" s="99">
        <f>I134/F134</f>
        <v>20.018788153310101</v>
      </c>
      <c r="I134" s="79">
        <f>SUM(I132:I133)</f>
        <v>63199.314199999993</v>
      </c>
      <c r="J134" s="79">
        <f>SUM(J132:J133)</f>
        <v>63199.314199999993</v>
      </c>
      <c r="K134" s="79" t="e">
        <f ca="1">SUM(K132:K133)</f>
        <v>#NAME?</v>
      </c>
      <c r="L134" s="75"/>
      <c r="M134" s="86"/>
      <c r="N134" s="14"/>
    </row>
    <row r="136" spans="2:14" s="354" customFormat="1" x14ac:dyDescent="0.2">
      <c r="B136" s="797" t="s">
        <v>126</v>
      </c>
      <c r="C136" s="798" t="s">
        <v>10</v>
      </c>
      <c r="D136" s="799" t="e">
        <f ca="1">_xll.BDP(C136,"SECURITY_NAME")</f>
        <v>#NAME?</v>
      </c>
      <c r="E136" s="799" t="s">
        <v>50</v>
      </c>
      <c r="F136" s="800">
        <v>1390</v>
      </c>
      <c r="G136" s="799" t="e">
        <f ca="1">_xll.BDP(C136,"CRNCY")</f>
        <v>#NAME?</v>
      </c>
      <c r="H136" s="801">
        <v>15.49</v>
      </c>
      <c r="I136" s="802">
        <f t="shared" ref="I136:I141" si="46">F136*H136</f>
        <v>21531.1</v>
      </c>
      <c r="J136" s="803">
        <f t="shared" ref="J136:J141" si="47">I136</f>
        <v>21531.1</v>
      </c>
      <c r="K136" s="802" t="e">
        <f t="shared" ref="K136:K141" ca="1" si="48">J136*L136</f>
        <v>#NAME?</v>
      </c>
      <c r="L136" s="801" t="e">
        <f ca="1">_xll.BDH("RUB curncy","PX_LAST",$N136)</f>
        <v>#NAME?</v>
      </c>
      <c r="M136" s="804" t="e">
        <f ca="1">1/_xll.BDH("RUB curncy","PX_LAST",$N136)</f>
        <v>#NAME?</v>
      </c>
      <c r="N136" s="805">
        <v>42186</v>
      </c>
    </row>
    <row r="137" spans="2:14" s="354" customFormat="1" x14ac:dyDescent="0.2">
      <c r="B137" s="797" t="s">
        <v>126</v>
      </c>
      <c r="C137" s="798" t="s">
        <v>10</v>
      </c>
      <c r="D137" s="799" t="e">
        <f ca="1">_xll.BDP(C137,"SECURITY_NAME")</f>
        <v>#NAME?</v>
      </c>
      <c r="E137" s="799" t="s">
        <v>50</v>
      </c>
      <c r="F137" s="800">
        <v>2700</v>
      </c>
      <c r="G137" s="799" t="e">
        <f ca="1">_xll.BDP(C137,"CRNCY")</f>
        <v>#NAME?</v>
      </c>
      <c r="H137" s="801" t="e">
        <f ca="1">_xll.BDH(C137,"PX_LAST",N137)</f>
        <v>#NAME?</v>
      </c>
      <c r="I137" s="802" t="e">
        <f t="shared" ca="1" si="46"/>
        <v>#NAME?</v>
      </c>
      <c r="J137" s="803" t="e">
        <f t="shared" ca="1" si="47"/>
        <v>#NAME?</v>
      </c>
      <c r="K137" s="802" t="e">
        <f t="shared" ca="1" si="48"/>
        <v>#NAME?</v>
      </c>
      <c r="L137" s="801" t="e">
        <f ca="1">_xll.BDH("RUB curncy","PX_LAST",$N137)</f>
        <v>#NAME?</v>
      </c>
      <c r="M137" s="804" t="e">
        <f ca="1">1/_xll.BDH("RUB curncy","PX_LAST",$N137)</f>
        <v>#NAME?</v>
      </c>
      <c r="N137" s="805">
        <v>42076</v>
      </c>
    </row>
    <row r="138" spans="2:14" s="354" customFormat="1" x14ac:dyDescent="0.2">
      <c r="B138" s="797" t="s">
        <v>126</v>
      </c>
      <c r="C138" s="798" t="s">
        <v>10</v>
      </c>
      <c r="D138" s="799" t="e">
        <f ca="1">_xll.BDP(C138,"SECURITY_NAME")</f>
        <v>#NAME?</v>
      </c>
      <c r="E138" s="799" t="s">
        <v>50</v>
      </c>
      <c r="F138" s="800">
        <v>4000</v>
      </c>
      <c r="G138" s="799" t="e">
        <f ca="1">_xll.BDP(C138,"CRNCY")</f>
        <v>#NAME?</v>
      </c>
      <c r="H138" s="801" t="e">
        <f ca="1">_xll.BDH(C138,"PX_LAST",N138)</f>
        <v>#NAME?</v>
      </c>
      <c r="I138" s="802" t="e">
        <f t="shared" ca="1" si="46"/>
        <v>#NAME?</v>
      </c>
      <c r="J138" s="803" t="e">
        <f t="shared" ca="1" si="47"/>
        <v>#NAME?</v>
      </c>
      <c r="K138" s="802" t="e">
        <f t="shared" ca="1" si="48"/>
        <v>#NAME?</v>
      </c>
      <c r="L138" s="801" t="e">
        <f ca="1">_xll.BDH("RUB curncy","PX_LAST",$N138)</f>
        <v>#NAME?</v>
      </c>
      <c r="M138" s="804" t="e">
        <f ca="1">1/_xll.BDH("RUB curncy","PX_LAST",$N138)</f>
        <v>#NAME?</v>
      </c>
      <c r="N138" s="805">
        <v>42041</v>
      </c>
    </row>
    <row r="139" spans="2:14" s="354" customFormat="1" x14ac:dyDescent="0.2">
      <c r="B139" s="797" t="s">
        <v>126</v>
      </c>
      <c r="C139" s="798" t="s">
        <v>10</v>
      </c>
      <c r="D139" s="799" t="e">
        <f ca="1">_xll.BDP(C139,"SECURITY_NAME")</f>
        <v>#NAME?</v>
      </c>
      <c r="E139" s="799" t="s">
        <v>50</v>
      </c>
      <c r="F139" s="800">
        <v>1000</v>
      </c>
      <c r="G139" s="799" t="e">
        <f ca="1">_xll.BDP(C139,"CRNCY")</f>
        <v>#NAME?</v>
      </c>
      <c r="H139" s="801" t="e">
        <f ca="1">_xll.BDH(C139,"PX_LAST",N139)</f>
        <v>#NAME?</v>
      </c>
      <c r="I139" s="802" t="e">
        <f t="shared" ca="1" si="46"/>
        <v>#NAME?</v>
      </c>
      <c r="J139" s="803" t="e">
        <f t="shared" ca="1" si="47"/>
        <v>#NAME?</v>
      </c>
      <c r="K139" s="802" t="e">
        <f t="shared" ca="1" si="48"/>
        <v>#NAME?</v>
      </c>
      <c r="L139" s="801" t="e">
        <f ca="1">_xll.BDH("RUB curncy","PX_LAST",$N139)</f>
        <v>#NAME?</v>
      </c>
      <c r="M139" s="804" t="e">
        <f ca="1">1/_xll.BDH("RUB curncy","PX_LAST",$N139)</f>
        <v>#NAME?</v>
      </c>
      <c r="N139" s="805">
        <v>41981</v>
      </c>
    </row>
    <row r="140" spans="2:14" s="354" customFormat="1" x14ac:dyDescent="0.2">
      <c r="B140" s="797" t="s">
        <v>126</v>
      </c>
      <c r="C140" s="798" t="s">
        <v>10</v>
      </c>
      <c r="D140" s="799" t="e">
        <f ca="1">_xll.BDP(C140,"SECURITY_NAME")</f>
        <v>#NAME?</v>
      </c>
      <c r="E140" s="799" t="s">
        <v>50</v>
      </c>
      <c r="F140" s="800">
        <v>1000</v>
      </c>
      <c r="G140" s="799" t="e">
        <f ca="1">_xll.BDP(C140,"CRNCY")</f>
        <v>#NAME?</v>
      </c>
      <c r="H140" s="801" t="e">
        <f ca="1">_xll.BDH(C140,"PX_LAST",N140)</f>
        <v>#NAME?</v>
      </c>
      <c r="I140" s="802" t="e">
        <f t="shared" ca="1" si="46"/>
        <v>#NAME?</v>
      </c>
      <c r="J140" s="803" t="e">
        <f t="shared" ca="1" si="47"/>
        <v>#NAME?</v>
      </c>
      <c r="K140" s="802" t="e">
        <f t="shared" ca="1" si="48"/>
        <v>#NAME?</v>
      </c>
      <c r="L140" s="801" t="e">
        <f ca="1">_xll.BDH("RUB curncy","PX_LAST",$N140)</f>
        <v>#NAME?</v>
      </c>
      <c r="M140" s="804" t="e">
        <f ca="1">1/_xll.BDH("RUB curncy","PX_LAST",$N140)</f>
        <v>#NAME?</v>
      </c>
      <c r="N140" s="805">
        <v>41978</v>
      </c>
    </row>
    <row r="141" spans="2:14" s="354" customFormat="1" x14ac:dyDescent="0.2">
      <c r="B141" s="797" t="s">
        <v>126</v>
      </c>
      <c r="C141" s="798" t="s">
        <v>10</v>
      </c>
      <c r="D141" s="799" t="e">
        <f ca="1">_xll.BDP(C141,"SECURITY_NAME")</f>
        <v>#NAME?</v>
      </c>
      <c r="E141" s="799" t="s">
        <v>50</v>
      </c>
      <c r="F141" s="800">
        <v>2000</v>
      </c>
      <c r="G141" s="799" t="e">
        <f ca="1">_xll.BDP(C141,"CRNCY")</f>
        <v>#NAME?</v>
      </c>
      <c r="H141" s="801" t="e">
        <f ca="1">_xll.BDH(C141,"PX_LAST",N141)</f>
        <v>#NAME?</v>
      </c>
      <c r="I141" s="802" t="e">
        <f t="shared" ca="1" si="46"/>
        <v>#NAME?</v>
      </c>
      <c r="J141" s="803" t="e">
        <f t="shared" ca="1" si="47"/>
        <v>#NAME?</v>
      </c>
      <c r="K141" s="802" t="e">
        <f t="shared" ca="1" si="48"/>
        <v>#NAME?</v>
      </c>
      <c r="L141" s="801" t="e">
        <f ca="1">_xll.BDH("RUB curncy","PX_LAST",$N141)</f>
        <v>#NAME?</v>
      </c>
      <c r="M141" s="804" t="e">
        <f ca="1">1/_xll.BDH("RUB curncy","PX_LAST",$N141)</f>
        <v>#NAME?</v>
      </c>
      <c r="N141" s="805">
        <v>41975</v>
      </c>
    </row>
    <row r="142" spans="2:14" x14ac:dyDescent="0.2">
      <c r="B142" s="71"/>
      <c r="C142" s="72"/>
      <c r="D142" s="73"/>
      <c r="E142" s="73"/>
      <c r="F142" s="79">
        <f>SUM(F136:F141)</f>
        <v>12090</v>
      </c>
      <c r="G142" s="87"/>
      <c r="H142" s="99">
        <v>18.096</v>
      </c>
      <c r="I142" s="79" t="e">
        <f ca="1">SUM(I136:I141)</f>
        <v>#NAME?</v>
      </c>
      <c r="J142" s="79" t="e">
        <f ca="1">SUM(J136:J141)</f>
        <v>#NAME?</v>
      </c>
      <c r="K142" s="79" t="e">
        <f ca="1">SUM(K136:K141)</f>
        <v>#NAME?</v>
      </c>
      <c r="L142" s="75"/>
      <c r="M142" s="86"/>
      <c r="N142" s="14"/>
    </row>
    <row r="143" spans="2:14" x14ac:dyDescent="0.2">
      <c r="B143" s="71"/>
      <c r="C143" s="72"/>
      <c r="D143" s="73"/>
      <c r="E143" s="73"/>
      <c r="F143" s="79"/>
      <c r="G143" s="87"/>
      <c r="H143" s="99"/>
      <c r="I143" s="79"/>
      <c r="J143" s="79"/>
      <c r="K143" s="79"/>
      <c r="L143" s="75"/>
      <c r="M143" s="86"/>
      <c r="N143" s="14"/>
    </row>
    <row r="144" spans="2:14" x14ac:dyDescent="0.2">
      <c r="B144" s="21" t="s">
        <v>126</v>
      </c>
      <c r="C144" s="20" t="s">
        <v>264</v>
      </c>
      <c r="D144" s="18" t="e">
        <f ca="1">_xll.BDP(C144,"SECURITY_NAME")</f>
        <v>#NAME?</v>
      </c>
      <c r="E144" s="18" t="s">
        <v>50</v>
      </c>
      <c r="F144" s="19">
        <v>8300000</v>
      </c>
      <c r="G144" s="18" t="e">
        <f ca="1">_xll.BDP(C144,"CRNCY")</f>
        <v>#NAME?</v>
      </c>
      <c r="H144" s="22">
        <v>85.03</v>
      </c>
      <c r="I144" s="15">
        <f>F144*H144/100</f>
        <v>7057490</v>
      </c>
      <c r="J144" s="16" t="e">
        <f ca="1">I144/L144</f>
        <v>#NAME?</v>
      </c>
      <c r="K144" s="15" t="e">
        <f ca="1">J144*L144</f>
        <v>#NAME?</v>
      </c>
      <c r="L144" s="22" t="e">
        <f ca="1">_xll.BDH("RUB curncy","PX_LAST",$N144)</f>
        <v>#NAME?</v>
      </c>
      <c r="M144" s="85" t="e">
        <f ca="1">1/_xll.BDH("RUB curncy","PX_LAST",$N144)</f>
        <v>#NAME?</v>
      </c>
      <c r="N144" s="14">
        <v>41996</v>
      </c>
    </row>
    <row r="145" spans="2:14" x14ac:dyDescent="0.2">
      <c r="B145" s="71"/>
      <c r="C145" s="72"/>
      <c r="D145" s="73"/>
      <c r="E145" s="73"/>
      <c r="F145" s="79">
        <f>SUM(F144:F144)</f>
        <v>8300000</v>
      </c>
      <c r="G145" s="87"/>
      <c r="H145" s="99">
        <f>I145/F145*100</f>
        <v>85.03</v>
      </c>
      <c r="I145" s="79">
        <f>SUM(I144:I144)</f>
        <v>7057490</v>
      </c>
      <c r="J145" s="79" t="e">
        <f ca="1">SUM(J144:J144)</f>
        <v>#NAME?</v>
      </c>
      <c r="K145" s="79" t="e">
        <f ca="1">SUM(K144:K144)</f>
        <v>#NAME?</v>
      </c>
      <c r="L145" s="75"/>
      <c r="M145" s="86"/>
      <c r="N145" s="14"/>
    </row>
    <row r="146" spans="2:14" x14ac:dyDescent="0.2">
      <c r="B146" s="71"/>
      <c r="C146" s="72"/>
      <c r="D146" s="73"/>
      <c r="E146" s="73"/>
      <c r="F146" s="79"/>
      <c r="G146" s="87"/>
      <c r="H146" s="99"/>
      <c r="I146" s="79"/>
      <c r="J146" s="79"/>
      <c r="K146" s="79"/>
      <c r="L146" s="75"/>
      <c r="M146" s="86"/>
      <c r="N146" s="14"/>
    </row>
    <row r="147" spans="2:14" x14ac:dyDescent="0.2">
      <c r="B147" s="21" t="s">
        <v>126</v>
      </c>
      <c r="C147" s="20" t="s">
        <v>266</v>
      </c>
      <c r="D147" s="18" t="e">
        <f ca="1">_xll.BDP(C147,"SECURITY_NAME")</f>
        <v>#NAME?</v>
      </c>
      <c r="E147" s="18" t="s">
        <v>50</v>
      </c>
      <c r="F147" s="19">
        <v>50000000</v>
      </c>
      <c r="G147" s="18" t="e">
        <f ca="1">_xll.BDP(C147,"CRNCY")</f>
        <v>#NAME?</v>
      </c>
      <c r="H147" s="22">
        <v>81.03</v>
      </c>
      <c r="I147" s="15">
        <f>F147*H147/100</f>
        <v>40515000</v>
      </c>
      <c r="J147" s="16" t="e">
        <f ca="1">I147/L147</f>
        <v>#NAME?</v>
      </c>
      <c r="K147" s="15" t="e">
        <f ca="1">J147*L147</f>
        <v>#NAME?</v>
      </c>
      <c r="L147" s="22" t="e">
        <f ca="1">_xll.BDH("RUB curncy","PX_LAST",$N147)</f>
        <v>#NAME?</v>
      </c>
      <c r="M147" s="85" t="e">
        <f ca="1">1/_xll.BDH("RUB curncy","PX_LAST",$N147)</f>
        <v>#NAME?</v>
      </c>
      <c r="N147" s="14">
        <v>41992</v>
      </c>
    </row>
    <row r="148" spans="2:14" x14ac:dyDescent="0.2">
      <c r="B148" s="71"/>
      <c r="C148" s="72"/>
      <c r="D148" s="73"/>
      <c r="E148" s="73"/>
      <c r="F148" s="79">
        <f>SUM(F147)</f>
        <v>50000000</v>
      </c>
      <c r="G148" s="87"/>
      <c r="H148" s="99">
        <f>I148/F148*100</f>
        <v>81.03</v>
      </c>
      <c r="I148" s="79">
        <f>SUM(I147)</f>
        <v>40515000</v>
      </c>
      <c r="J148" s="79" t="e">
        <f ca="1">SUM(J147)</f>
        <v>#NAME?</v>
      </c>
      <c r="K148" s="79" t="e">
        <f ca="1">SUM(K147)</f>
        <v>#NAME?</v>
      </c>
      <c r="L148" s="75"/>
      <c r="M148" s="86"/>
      <c r="N148" s="14"/>
    </row>
    <row r="149" spans="2:14" x14ac:dyDescent="0.2">
      <c r="B149" s="71"/>
      <c r="C149" s="72"/>
      <c r="D149" s="73"/>
      <c r="E149" s="73"/>
      <c r="F149" s="79"/>
      <c r="G149" s="87"/>
      <c r="H149" s="99"/>
      <c r="I149" s="79"/>
      <c r="J149" s="79"/>
      <c r="K149" s="79"/>
      <c r="L149" s="75"/>
      <c r="M149" s="86"/>
      <c r="N149" s="14"/>
    </row>
    <row r="150" spans="2:14" x14ac:dyDescent="0.2">
      <c r="B150" s="21" t="s">
        <v>126</v>
      </c>
      <c r="C150" s="20" t="s">
        <v>268</v>
      </c>
      <c r="D150" s="18" t="e">
        <f ca="1">_xll.BDP(C150,"SECURITY_NAME")</f>
        <v>#NAME?</v>
      </c>
      <c r="E150" s="18" t="s">
        <v>50</v>
      </c>
      <c r="F150" s="19">
        <v>50000000</v>
      </c>
      <c r="G150" s="18" t="e">
        <f ca="1">_xll.BDP(C150,"CRNCY")</f>
        <v>#NAME?</v>
      </c>
      <c r="H150" s="22">
        <v>70.03</v>
      </c>
      <c r="I150" s="15">
        <f>F150*H150/100</f>
        <v>35015000</v>
      </c>
      <c r="J150" s="16" t="e">
        <f ca="1">I150/L150</f>
        <v>#NAME?</v>
      </c>
      <c r="K150" s="15" t="e">
        <f ca="1">J150*L150</f>
        <v>#NAME?</v>
      </c>
      <c r="L150" s="22" t="e">
        <f ca="1">_xll.BDH("RUB curncy","PX_LAST",$N150)</f>
        <v>#NAME?</v>
      </c>
      <c r="M150" s="85" t="e">
        <f ca="1">1/_xll.BDH("RUB curncy","PX_LAST",$N150)</f>
        <v>#NAME?</v>
      </c>
      <c r="N150" s="14">
        <v>41992</v>
      </c>
    </row>
    <row r="151" spans="2:14" x14ac:dyDescent="0.2">
      <c r="B151" s="71"/>
      <c r="C151" s="72"/>
      <c r="D151" s="73"/>
      <c r="E151" s="73"/>
      <c r="F151" s="79">
        <f>SUM(F150)</f>
        <v>50000000</v>
      </c>
      <c r="G151" s="87"/>
      <c r="H151" s="99">
        <f>I151/F151*100</f>
        <v>70.03</v>
      </c>
      <c r="I151" s="79">
        <f>SUM(I150)</f>
        <v>35015000</v>
      </c>
      <c r="J151" s="79" t="e">
        <f ca="1">SUM(J150)</f>
        <v>#NAME?</v>
      </c>
      <c r="K151" s="79" t="e">
        <f ca="1">SUM(K150)</f>
        <v>#NAME?</v>
      </c>
      <c r="L151" s="75"/>
      <c r="M151" s="86"/>
      <c r="N151" s="14"/>
    </row>
    <row r="152" spans="2:14" x14ac:dyDescent="0.2">
      <c r="B152" s="71"/>
      <c r="C152" s="72"/>
      <c r="D152" s="73"/>
      <c r="E152" s="73"/>
      <c r="F152" s="79"/>
      <c r="G152" s="87"/>
      <c r="H152" s="99"/>
      <c r="I152" s="79"/>
      <c r="J152" s="79"/>
      <c r="K152" s="79"/>
      <c r="L152" s="75"/>
      <c r="M152" s="86"/>
      <c r="N152" s="14"/>
    </row>
    <row r="153" spans="2:14" x14ac:dyDescent="0.2">
      <c r="B153" s="21" t="s">
        <v>126</v>
      </c>
      <c r="C153" s="20" t="s">
        <v>270</v>
      </c>
      <c r="D153" s="18" t="e">
        <f ca="1">_xll.BDP(C153,"SECURITY_NAME")</f>
        <v>#NAME?</v>
      </c>
      <c r="E153" s="18" t="s">
        <v>50</v>
      </c>
      <c r="F153" s="19">
        <v>50000000</v>
      </c>
      <c r="G153" s="18" t="e">
        <f ca="1">_xll.BDP(C153,"CRNCY")</f>
        <v>#NAME?</v>
      </c>
      <c r="H153" s="22">
        <v>67.03</v>
      </c>
      <c r="I153" s="15">
        <f>F153*H153/100</f>
        <v>33515000</v>
      </c>
      <c r="J153" s="16" t="e">
        <f ca="1">I153/L153</f>
        <v>#NAME?</v>
      </c>
      <c r="K153" s="15" t="e">
        <f ca="1">J153*L153</f>
        <v>#NAME?</v>
      </c>
      <c r="L153" s="22" t="e">
        <f ca="1">_xll.BDH("RUB curncy","PX_LAST",$N153)</f>
        <v>#NAME?</v>
      </c>
      <c r="M153" s="85" t="e">
        <f ca="1">1/_xll.BDH("RUB curncy","PX_LAST",$N153)</f>
        <v>#NAME?</v>
      </c>
      <c r="N153" s="14">
        <v>41992</v>
      </c>
    </row>
    <row r="154" spans="2:14" x14ac:dyDescent="0.2">
      <c r="B154" s="71"/>
      <c r="C154" s="72"/>
      <c r="D154" s="73"/>
      <c r="E154" s="73"/>
      <c r="F154" s="79">
        <f>SUM(F153)</f>
        <v>50000000</v>
      </c>
      <c r="G154" s="87"/>
      <c r="H154" s="99">
        <f>I154/F154*100</f>
        <v>67.03</v>
      </c>
      <c r="I154" s="79">
        <f>SUM(I153)</f>
        <v>33515000</v>
      </c>
      <c r="J154" s="79" t="e">
        <f ca="1">SUM(J153)</f>
        <v>#NAME?</v>
      </c>
      <c r="K154" s="79" t="e">
        <f ca="1">SUM(K153)</f>
        <v>#NAME?</v>
      </c>
      <c r="L154" s="75"/>
      <c r="M154" s="86"/>
      <c r="N154" s="14"/>
    </row>
    <row r="155" spans="2:14" x14ac:dyDescent="0.2">
      <c r="B155" s="71"/>
      <c r="C155" s="72"/>
      <c r="D155" s="73"/>
      <c r="E155" s="73"/>
      <c r="F155" s="79"/>
      <c r="G155" s="87"/>
      <c r="H155" s="99"/>
      <c r="I155" s="79"/>
      <c r="J155" s="79"/>
      <c r="K155" s="79"/>
      <c r="L155" s="75"/>
      <c r="M155" s="86"/>
      <c r="N155" s="14"/>
    </row>
    <row r="156" spans="2:14" x14ac:dyDescent="0.2">
      <c r="B156" s="21" t="s">
        <v>126</v>
      </c>
      <c r="C156" s="20" t="s">
        <v>271</v>
      </c>
      <c r="D156" s="18" t="e">
        <f ca="1">_xll.BDP(C156,"SECURITY_NAME")</f>
        <v>#NAME?</v>
      </c>
      <c r="E156" s="18" t="s">
        <v>50</v>
      </c>
      <c r="F156" s="19">
        <v>5000000</v>
      </c>
      <c r="G156" s="18" t="e">
        <f ca="1">_xll.BDP(C156,"CRNCY")</f>
        <v>#NAME?</v>
      </c>
      <c r="H156" s="22">
        <v>87.53</v>
      </c>
      <c r="I156" s="15">
        <f>F156*H156/100</f>
        <v>4376500</v>
      </c>
      <c r="J156" s="16" t="e">
        <f ca="1">I156/L156</f>
        <v>#NAME?</v>
      </c>
      <c r="K156" s="15" t="e">
        <f ca="1">J156*L156</f>
        <v>#NAME?</v>
      </c>
      <c r="L156" s="22" t="e">
        <f ca="1">_xll.BDH("RUB curncy","PX_LAST",$N156)</f>
        <v>#NAME?</v>
      </c>
      <c r="M156" s="85" t="e">
        <f ca="1">1/_xll.BDH("RUB curncy","PX_LAST",$N156)</f>
        <v>#NAME?</v>
      </c>
      <c r="N156" s="14">
        <v>41992</v>
      </c>
    </row>
    <row r="157" spans="2:14" x14ac:dyDescent="0.2">
      <c r="B157" s="71"/>
      <c r="C157" s="72"/>
      <c r="D157" s="73"/>
      <c r="E157" s="73"/>
      <c r="F157" s="79">
        <f>SUM(F156)</f>
        <v>5000000</v>
      </c>
      <c r="G157" s="87"/>
      <c r="H157" s="99">
        <f>I157/F157*100</f>
        <v>87.53</v>
      </c>
      <c r="I157" s="79">
        <f>SUM(I156)</f>
        <v>4376500</v>
      </c>
      <c r="J157" s="79" t="e">
        <f ca="1">SUM(J156)</f>
        <v>#NAME?</v>
      </c>
      <c r="K157" s="79" t="e">
        <f ca="1">SUM(K156)</f>
        <v>#NAME?</v>
      </c>
      <c r="L157" s="75"/>
      <c r="M157" s="86"/>
      <c r="N157" s="14"/>
    </row>
    <row r="158" spans="2:14" x14ac:dyDescent="0.2">
      <c r="B158" s="71"/>
      <c r="C158" s="72"/>
      <c r="D158" s="73"/>
      <c r="E158" s="73"/>
      <c r="F158" s="79"/>
      <c r="G158" s="87"/>
      <c r="H158" s="99"/>
      <c r="I158" s="79"/>
      <c r="J158" s="79"/>
      <c r="K158" s="79"/>
      <c r="L158" s="75"/>
      <c r="M158" s="86"/>
      <c r="N158" s="14"/>
    </row>
    <row r="159" spans="2:14" x14ac:dyDescent="0.2">
      <c r="B159" s="21" t="s">
        <v>126</v>
      </c>
      <c r="C159" s="20" t="s">
        <v>273</v>
      </c>
      <c r="D159" s="18" t="e">
        <f ca="1">_xll.BDP(C159,"SECURITY_NAME")</f>
        <v>#NAME?</v>
      </c>
      <c r="E159" s="18" t="s">
        <v>50</v>
      </c>
      <c r="F159" s="19">
        <v>50000000</v>
      </c>
      <c r="G159" s="18" t="e">
        <f ca="1">_xll.BDP(C159,"CRNCY")</f>
        <v>#NAME?</v>
      </c>
      <c r="H159" s="22">
        <v>91.53</v>
      </c>
      <c r="I159" s="15">
        <f>F159*H159/100</f>
        <v>45765000</v>
      </c>
      <c r="J159" s="16" t="e">
        <f ca="1">I159/L159</f>
        <v>#NAME?</v>
      </c>
      <c r="K159" s="15" t="e">
        <f ca="1">J159*L159</f>
        <v>#NAME?</v>
      </c>
      <c r="L159" s="22" t="e">
        <f ca="1">_xll.BDH("RUB curncy","PX_LAST",$N159)</f>
        <v>#NAME?</v>
      </c>
      <c r="M159" s="85" t="e">
        <f ca="1">1/_xll.BDH("RUB curncy","PX_LAST",$N159)</f>
        <v>#NAME?</v>
      </c>
      <c r="N159" s="14">
        <v>41995</v>
      </c>
    </row>
    <row r="160" spans="2:14" x14ac:dyDescent="0.2">
      <c r="B160" s="71"/>
      <c r="C160" s="72"/>
      <c r="D160" s="73"/>
      <c r="E160" s="73"/>
      <c r="F160" s="79">
        <f>SUM(F159)</f>
        <v>50000000</v>
      </c>
      <c r="G160" s="87"/>
      <c r="H160" s="99">
        <f>I160/F160*100</f>
        <v>91.53</v>
      </c>
      <c r="I160" s="79">
        <f>SUM(I159)</f>
        <v>45765000</v>
      </c>
      <c r="J160" s="79" t="e">
        <f ca="1">SUM(J159)</f>
        <v>#NAME?</v>
      </c>
      <c r="K160" s="79" t="e">
        <f ca="1">SUM(K159)</f>
        <v>#NAME?</v>
      </c>
      <c r="L160" s="75"/>
      <c r="M160" s="86"/>
      <c r="N160" s="14"/>
    </row>
    <row r="161" spans="2:14" x14ac:dyDescent="0.2">
      <c r="B161" s="71"/>
      <c r="C161" s="72"/>
      <c r="D161" s="73"/>
      <c r="E161" s="73"/>
      <c r="F161" s="79"/>
      <c r="G161" s="87"/>
      <c r="H161" s="99"/>
      <c r="I161" s="79"/>
      <c r="J161" s="79"/>
      <c r="K161" s="79"/>
      <c r="L161" s="75"/>
      <c r="M161" s="86"/>
      <c r="N161" s="14"/>
    </row>
    <row r="162" spans="2:14" x14ac:dyDescent="0.2">
      <c r="B162" s="21" t="s">
        <v>126</v>
      </c>
      <c r="C162" s="20" t="s">
        <v>262</v>
      </c>
      <c r="D162" s="18" t="e">
        <f ca="1">_xll.BDP(C162,"SECURITY_NAME")</f>
        <v>#NAME?</v>
      </c>
      <c r="E162" s="18" t="s">
        <v>50</v>
      </c>
      <c r="F162" s="19">
        <v>50000000</v>
      </c>
      <c r="G162" s="18" t="e">
        <f ca="1">_xll.BDP(C162,"CRNCY")</f>
        <v>#NAME?</v>
      </c>
      <c r="H162" s="22">
        <v>84.6</v>
      </c>
      <c r="I162" s="15">
        <f>F162*H162/100</f>
        <v>42299999.999999993</v>
      </c>
      <c r="J162" s="16" t="e">
        <f ca="1">I162/L162</f>
        <v>#NAME?</v>
      </c>
      <c r="K162" s="15" t="e">
        <f ca="1">J162*L162</f>
        <v>#NAME?</v>
      </c>
      <c r="L162" s="22" t="e">
        <f ca="1">_xll.BDH("RUB curncy","PX_LAST",$N162)</f>
        <v>#NAME?</v>
      </c>
      <c r="M162" s="85" t="e">
        <f ca="1">1/_xll.BDH("RUB curncy","PX_LAST",$N162)</f>
        <v>#NAME?</v>
      </c>
      <c r="N162" s="14">
        <v>41992</v>
      </c>
    </row>
    <row r="163" spans="2:14" x14ac:dyDescent="0.2">
      <c r="B163" s="71"/>
      <c r="C163" s="72"/>
      <c r="D163" s="73"/>
      <c r="E163" s="73"/>
      <c r="F163" s="79">
        <f>SUM(F162)</f>
        <v>50000000</v>
      </c>
      <c r="G163" s="87"/>
      <c r="H163" s="99">
        <f>I163/F163*100</f>
        <v>84.59999999999998</v>
      </c>
      <c r="I163" s="79">
        <f>SUM(I162)</f>
        <v>42299999.999999993</v>
      </c>
      <c r="J163" s="79" t="e">
        <f ca="1">SUM(J162)</f>
        <v>#NAME?</v>
      </c>
      <c r="K163" s="79" t="e">
        <f ca="1">SUM(K162)</f>
        <v>#NAME?</v>
      </c>
      <c r="L163" s="75"/>
      <c r="M163" s="86"/>
      <c r="N163" s="14"/>
    </row>
    <row r="164" spans="2:14" x14ac:dyDescent="0.2">
      <c r="B164" s="71"/>
      <c r="C164" s="72"/>
      <c r="D164" s="73"/>
      <c r="E164" s="73"/>
      <c r="F164" s="79"/>
      <c r="G164" s="87"/>
      <c r="H164" s="99"/>
      <c r="I164" s="79"/>
      <c r="J164" s="79"/>
      <c r="K164" s="79"/>
      <c r="L164" s="75"/>
      <c r="M164" s="86"/>
      <c r="N164" s="14"/>
    </row>
    <row r="165" spans="2:14" x14ac:dyDescent="0.2">
      <c r="B165" s="21" t="s">
        <v>126</v>
      </c>
      <c r="C165" s="20" t="s">
        <v>218</v>
      </c>
      <c r="D165" s="18" t="e">
        <f ca="1">_xll.BDP(C165,"SECURITY_NAME")</f>
        <v>#NAME?</v>
      </c>
      <c r="E165" s="18" t="s">
        <v>50</v>
      </c>
      <c r="F165" s="19">
        <v>200000</v>
      </c>
      <c r="G165" s="18" t="e">
        <f ca="1">_xll.BDP(C165,"CRNCY")</f>
        <v>#NAME?</v>
      </c>
      <c r="H165" s="22">
        <v>90.78</v>
      </c>
      <c r="I165" s="15">
        <f>F165*H165/100</f>
        <v>181560</v>
      </c>
      <c r="J165" s="16">
        <f>I165</f>
        <v>181560</v>
      </c>
      <c r="K165" s="15" t="e">
        <f ca="1">J165*L165</f>
        <v>#NAME?</v>
      </c>
      <c r="L165" s="22" t="e">
        <f ca="1">_xll.BDH("RUB curncy","PX_LAST",$N165)</f>
        <v>#NAME?</v>
      </c>
      <c r="M165" s="85" t="e">
        <f ca="1">1/_xll.BDH("RUB curncy","PX_LAST",$N165)</f>
        <v>#NAME?</v>
      </c>
      <c r="N165" s="14">
        <v>41967</v>
      </c>
    </row>
    <row r="166" spans="2:14" x14ac:dyDescent="0.2">
      <c r="B166" s="71"/>
      <c r="C166" s="72"/>
      <c r="D166" s="73"/>
      <c r="E166" s="73"/>
      <c r="F166" s="79">
        <f>SUM(F165)</f>
        <v>200000</v>
      </c>
      <c r="G166" s="87"/>
      <c r="H166" s="99">
        <f>I166/F166*100</f>
        <v>90.78</v>
      </c>
      <c r="I166" s="79">
        <f>SUM(I165)</f>
        <v>181560</v>
      </c>
      <c r="J166" s="79">
        <f>SUM(J165)</f>
        <v>181560</v>
      </c>
      <c r="K166" s="79" t="e">
        <f ca="1">SUM(K165)</f>
        <v>#NAME?</v>
      </c>
      <c r="L166" s="75"/>
      <c r="M166" s="86"/>
      <c r="N166" s="14"/>
    </row>
    <row r="167" spans="2:14" x14ac:dyDescent="0.2">
      <c r="B167" s="71"/>
      <c r="C167" s="72"/>
      <c r="D167" s="73"/>
      <c r="E167" s="73"/>
      <c r="F167" s="79"/>
      <c r="G167" s="87"/>
      <c r="H167" s="99"/>
      <c r="I167" s="79"/>
      <c r="J167" s="79"/>
      <c r="K167" s="79"/>
      <c r="L167" s="75"/>
      <c r="M167" s="86"/>
      <c r="N167" s="14"/>
    </row>
    <row r="168" spans="2:14" x14ac:dyDescent="0.2">
      <c r="B168" s="21" t="s">
        <v>126</v>
      </c>
      <c r="C168" s="20" t="s">
        <v>296</v>
      </c>
      <c r="D168" s="18" t="e">
        <f ca="1">_xll.BDP(C168,"SECURITY_NAME")</f>
        <v>#NAME?</v>
      </c>
      <c r="E168" s="18" t="s">
        <v>50</v>
      </c>
      <c r="F168" s="19">
        <v>100000</v>
      </c>
      <c r="G168" s="18" t="e">
        <f ca="1">_xll.BDP(C168,"CRNCY")</f>
        <v>#NAME?</v>
      </c>
      <c r="H168" s="22">
        <v>93.48</v>
      </c>
      <c r="I168" s="15">
        <f>F168*H168/100</f>
        <v>93480</v>
      </c>
      <c r="J168" s="16" t="e">
        <f ca="1">I168*L168</f>
        <v>#NAME?</v>
      </c>
      <c r="K168" s="15" t="e">
        <f ca="1">J168*M168</f>
        <v>#NAME?</v>
      </c>
      <c r="L168" s="22" t="e">
        <f ca="1">_xll.BDH("EUR curncy","PX_LAST",$N168)</f>
        <v>#NAME?</v>
      </c>
      <c r="M168" s="85" t="e">
        <f ca="1">_xll.BDH("RUB curncy","PX_LAST",$N168)</f>
        <v>#NAME?</v>
      </c>
      <c r="N168" s="14">
        <v>41849</v>
      </c>
    </row>
    <row r="169" spans="2:14" x14ac:dyDescent="0.2">
      <c r="B169" s="71"/>
      <c r="C169" s="72"/>
      <c r="D169" s="73"/>
      <c r="E169" s="73"/>
      <c r="F169" s="79">
        <f>SUM(F168)</f>
        <v>100000</v>
      </c>
      <c r="G169" s="87"/>
      <c r="H169" s="99">
        <f>I169/F169*100</f>
        <v>93.47999999999999</v>
      </c>
      <c r="I169" s="79">
        <f>SUM(I168)</f>
        <v>93480</v>
      </c>
      <c r="J169" s="79" t="e">
        <f ca="1">SUM(J168)</f>
        <v>#NAME?</v>
      </c>
      <c r="K169" s="79" t="e">
        <f ca="1">SUM(K168)</f>
        <v>#NAME?</v>
      </c>
      <c r="L169" s="75"/>
      <c r="M169" s="86"/>
      <c r="N169" s="14"/>
    </row>
    <row r="170" spans="2:14" x14ac:dyDescent="0.2">
      <c r="B170" s="71"/>
      <c r="C170" s="72"/>
      <c r="D170" s="73"/>
      <c r="E170" s="73"/>
      <c r="F170" s="79"/>
      <c r="G170" s="87"/>
      <c r="H170" s="99"/>
      <c r="I170" s="79"/>
      <c r="J170" s="79"/>
      <c r="K170" s="79"/>
      <c r="L170" s="75"/>
      <c r="M170" s="86"/>
      <c r="N170" s="14"/>
    </row>
    <row r="171" spans="2:14" x14ac:dyDescent="0.2">
      <c r="B171" s="21" t="s">
        <v>126</v>
      </c>
      <c r="C171" s="20" t="s">
        <v>242</v>
      </c>
      <c r="D171" s="18" t="e">
        <f ca="1">_xll.BDP(C171,"SECURITY_NAME")</f>
        <v>#NAME?</v>
      </c>
      <c r="E171" s="18" t="s">
        <v>50</v>
      </c>
      <c r="F171" s="19">
        <v>500000</v>
      </c>
      <c r="G171" s="18" t="e">
        <f ca="1">_xll.BDP(C171,"CRNCY")</f>
        <v>#NAME?</v>
      </c>
      <c r="H171" s="22">
        <v>92.28</v>
      </c>
      <c r="I171" s="15">
        <f>F171*H171/100</f>
        <v>461400</v>
      </c>
      <c r="J171" s="16">
        <f>I171</f>
        <v>461400</v>
      </c>
      <c r="K171" s="15" t="e">
        <f ca="1">J171*L171</f>
        <v>#NAME?</v>
      </c>
      <c r="L171" s="22" t="e">
        <f ca="1">_xll.BDH("RUB curncy","PX_LAST",$N171)</f>
        <v>#NAME?</v>
      </c>
      <c r="M171" s="85" t="e">
        <f ca="1">1/_xll.BDH("RUB curncy","PX_LAST",$N171)</f>
        <v>#NAME?</v>
      </c>
      <c r="N171" s="14">
        <v>41991</v>
      </c>
    </row>
    <row r="172" spans="2:14" x14ac:dyDescent="0.2">
      <c r="B172" s="71"/>
      <c r="C172" s="72"/>
      <c r="D172" s="73"/>
      <c r="E172" s="73"/>
      <c r="F172" s="79">
        <f>SUM(F171)</f>
        <v>500000</v>
      </c>
      <c r="G172" s="87"/>
      <c r="H172" s="99">
        <f>I172/F172*100</f>
        <v>92.28</v>
      </c>
      <c r="I172" s="79">
        <f>SUM(I171)</f>
        <v>461400</v>
      </c>
      <c r="J172" s="79">
        <f>SUM(J171)</f>
        <v>461400</v>
      </c>
      <c r="K172" s="79" t="e">
        <f ca="1">SUM(K171)</f>
        <v>#NAME?</v>
      </c>
      <c r="L172" s="75"/>
      <c r="M172" s="86"/>
      <c r="N172" s="14"/>
    </row>
    <row r="173" spans="2:14" x14ac:dyDescent="0.2">
      <c r="B173" s="71"/>
      <c r="C173" s="72"/>
      <c r="D173" s="73"/>
      <c r="E173" s="73"/>
      <c r="F173" s="79"/>
      <c r="G173" s="87"/>
      <c r="H173" s="99"/>
      <c r="I173" s="79"/>
      <c r="J173" s="79"/>
      <c r="K173" s="79"/>
      <c r="L173" s="75"/>
      <c r="M173" s="86"/>
      <c r="N173" s="14"/>
    </row>
    <row r="174" spans="2:14" x14ac:dyDescent="0.2">
      <c r="B174" s="21" t="s">
        <v>126</v>
      </c>
      <c r="C174" s="20" t="s">
        <v>274</v>
      </c>
      <c r="D174" s="18" t="e">
        <f ca="1">_xll.BDP(C174,"SECURITY_NAME")</f>
        <v>#NAME?</v>
      </c>
      <c r="E174" s="18" t="s">
        <v>50</v>
      </c>
      <c r="F174" s="19">
        <v>1000000</v>
      </c>
      <c r="G174" s="18" t="e">
        <f ca="1">_xll.BDP(C174,"CRNCY")</f>
        <v>#NAME?</v>
      </c>
      <c r="H174" s="22">
        <v>95.91</v>
      </c>
      <c r="I174" s="15">
        <f>F174*H174/100</f>
        <v>959100</v>
      </c>
      <c r="J174" s="16">
        <f>I174</f>
        <v>959100</v>
      </c>
      <c r="K174" s="15" t="e">
        <f ca="1">J174*L174</f>
        <v>#NAME?</v>
      </c>
      <c r="L174" s="22" t="e">
        <f ca="1">_xll.BDH("RUB curncy","PX_LAST",$N174)</f>
        <v>#NAME?</v>
      </c>
      <c r="M174" s="85" t="e">
        <f ca="1">1/_xll.BDH("RUB curncy","PX_LAST",$N174)</f>
        <v>#NAME?</v>
      </c>
      <c r="N174" s="14">
        <v>41995</v>
      </c>
    </row>
    <row r="175" spans="2:14" x14ac:dyDescent="0.2">
      <c r="B175" s="71"/>
      <c r="C175" s="72"/>
      <c r="D175" s="73"/>
      <c r="E175" s="73"/>
      <c r="F175" s="79">
        <f>SUM(F174)</f>
        <v>1000000</v>
      </c>
      <c r="G175" s="87"/>
      <c r="H175" s="99">
        <f>I175/F175*100</f>
        <v>95.91</v>
      </c>
      <c r="I175" s="79">
        <f>SUM(I174)</f>
        <v>959100</v>
      </c>
      <c r="J175" s="79">
        <f>SUM(J174)</f>
        <v>959100</v>
      </c>
      <c r="K175" s="79" t="e">
        <f ca="1">SUM(K174)</f>
        <v>#NAME?</v>
      </c>
      <c r="L175" s="75"/>
      <c r="M175" s="86"/>
      <c r="N175" s="14"/>
    </row>
    <row r="176" spans="2:14" x14ac:dyDescent="0.2">
      <c r="B176" s="71"/>
      <c r="C176" s="72"/>
      <c r="D176" s="73"/>
      <c r="E176" s="73"/>
      <c r="F176" s="79"/>
      <c r="G176" s="87"/>
      <c r="H176" s="99"/>
      <c r="I176" s="79"/>
      <c r="J176" s="79"/>
      <c r="K176" s="79"/>
      <c r="L176" s="75"/>
      <c r="M176" s="86"/>
      <c r="N176" s="14"/>
    </row>
    <row r="177" spans="2:14" x14ac:dyDescent="0.2">
      <c r="B177" s="21" t="s">
        <v>126</v>
      </c>
      <c r="C177" s="20" t="s">
        <v>240</v>
      </c>
      <c r="D177" s="18" t="e">
        <f ca="1">_xll.BDP(C177,"SECURITY_NAME")</f>
        <v>#NAME?</v>
      </c>
      <c r="E177" s="18" t="s">
        <v>50</v>
      </c>
      <c r="F177" s="19">
        <v>367000</v>
      </c>
      <c r="G177" s="18" t="e">
        <f ca="1">_xll.BDP(C177,"CRNCY")</f>
        <v>#NAME?</v>
      </c>
      <c r="H177" s="22">
        <v>87.03</v>
      </c>
      <c r="I177" s="15">
        <f>F177*H177/100</f>
        <v>319400.09999999998</v>
      </c>
      <c r="J177" s="16">
        <f>I177</f>
        <v>319400.09999999998</v>
      </c>
      <c r="K177" s="15" t="e">
        <f ca="1">J177*L177</f>
        <v>#NAME?</v>
      </c>
      <c r="L177" s="22" t="e">
        <f ca="1">_xll.BDH("RUB curncy","PX_LAST",$N177)</f>
        <v>#NAME?</v>
      </c>
      <c r="M177" s="85" t="e">
        <f ca="1">1/_xll.BDH("RUB curncy","PX_LAST",$N177)</f>
        <v>#NAME?</v>
      </c>
      <c r="N177" s="14">
        <v>41991</v>
      </c>
    </row>
    <row r="178" spans="2:14" x14ac:dyDescent="0.2">
      <c r="B178" s="71"/>
      <c r="C178" s="72"/>
      <c r="D178" s="73"/>
      <c r="E178" s="73"/>
      <c r="F178" s="79">
        <f>SUM(F177)</f>
        <v>367000</v>
      </c>
      <c r="G178" s="87"/>
      <c r="H178" s="99">
        <f>I178/F178*100</f>
        <v>87.03</v>
      </c>
      <c r="I178" s="79">
        <f>SUM(I177)</f>
        <v>319400.09999999998</v>
      </c>
      <c r="J178" s="79">
        <f>SUM(J177)</f>
        <v>319400.09999999998</v>
      </c>
      <c r="K178" s="79" t="e">
        <f ca="1">SUM(K177)</f>
        <v>#NAME?</v>
      </c>
      <c r="L178" s="75"/>
      <c r="M178" s="86"/>
      <c r="N178" s="14"/>
    </row>
    <row r="179" spans="2:14" x14ac:dyDescent="0.2">
      <c r="B179" s="71"/>
      <c r="C179" s="72"/>
      <c r="D179" s="73"/>
      <c r="E179" s="73"/>
      <c r="F179" s="79"/>
      <c r="G179" s="87"/>
      <c r="H179" s="99"/>
      <c r="I179" s="79"/>
      <c r="J179" s="79"/>
      <c r="K179" s="79"/>
      <c r="L179" s="75"/>
      <c r="M179" s="86"/>
      <c r="N179" s="14"/>
    </row>
    <row r="180" spans="2:14" x14ac:dyDescent="0.2">
      <c r="B180" s="21" t="s">
        <v>126</v>
      </c>
      <c r="C180" s="20" t="s">
        <v>239</v>
      </c>
      <c r="D180" s="18" t="e">
        <f ca="1">_xll.BDP(C180,"SECURITY_NAME")</f>
        <v>#NAME?</v>
      </c>
      <c r="E180" s="18" t="s">
        <v>50</v>
      </c>
      <c r="F180" s="19">
        <v>800000</v>
      </c>
      <c r="G180" s="18" t="e">
        <f ca="1">_xll.BDP(C180,"CRNCY")</f>
        <v>#NAME?</v>
      </c>
      <c r="H180" s="22">
        <v>71</v>
      </c>
      <c r="I180" s="15">
        <f>F180*H180/100</f>
        <v>568000</v>
      </c>
      <c r="J180" s="16">
        <f>I180</f>
        <v>568000</v>
      </c>
      <c r="K180" s="15" t="e">
        <f ca="1">J180*L180</f>
        <v>#NAME?</v>
      </c>
      <c r="L180" s="22" t="e">
        <f ca="1">_xll.BDH("RUB curncy","PX_LAST",$N180)</f>
        <v>#NAME?</v>
      </c>
      <c r="M180" s="85" t="e">
        <f ca="1">1/_xll.BDH("RUB curncy","PX_LAST",$N180)</f>
        <v>#NAME?</v>
      </c>
      <c r="N180" s="14">
        <v>41989</v>
      </c>
    </row>
    <row r="181" spans="2:14" x14ac:dyDescent="0.2">
      <c r="B181" s="71"/>
      <c r="C181" s="72"/>
      <c r="D181" s="73"/>
      <c r="E181" s="73"/>
      <c r="F181" s="79">
        <f>SUM(F180)</f>
        <v>800000</v>
      </c>
      <c r="G181" s="87"/>
      <c r="H181" s="99">
        <f>I181/F181*100</f>
        <v>71</v>
      </c>
      <c r="I181" s="79">
        <f>SUM(I180)</f>
        <v>568000</v>
      </c>
      <c r="J181" s="79">
        <f>SUM(J180)</f>
        <v>568000</v>
      </c>
      <c r="K181" s="79" t="e">
        <f ca="1">SUM(K180)</f>
        <v>#NAME?</v>
      </c>
      <c r="L181" s="75"/>
      <c r="M181" s="86"/>
      <c r="N181" s="14"/>
    </row>
    <row r="182" spans="2:14" x14ac:dyDescent="0.2">
      <c r="B182" s="71"/>
      <c r="C182" s="72"/>
      <c r="D182" s="73"/>
      <c r="E182" s="73"/>
      <c r="F182" s="79"/>
      <c r="G182" s="87"/>
      <c r="H182" s="99"/>
      <c r="I182" s="79"/>
      <c r="J182" s="79"/>
      <c r="K182" s="79"/>
      <c r="L182" s="75"/>
      <c r="M182" s="86"/>
      <c r="N182" s="14"/>
    </row>
    <row r="183" spans="2:14" x14ac:dyDescent="0.2">
      <c r="B183" s="21" t="s">
        <v>126</v>
      </c>
      <c r="C183" s="20" t="s">
        <v>237</v>
      </c>
      <c r="D183" s="18" t="e">
        <f ca="1">_xll.BDP(C183,"SECURITY_NAME")</f>
        <v>#NAME?</v>
      </c>
      <c r="E183" s="18" t="s">
        <v>50</v>
      </c>
      <c r="F183" s="19">
        <v>800000</v>
      </c>
      <c r="G183" s="18" t="e">
        <f ca="1">_xll.BDP(C183,"CRNCY")</f>
        <v>#NAME?</v>
      </c>
      <c r="H183" s="22">
        <v>83.53</v>
      </c>
      <c r="I183" s="15">
        <f>F183*H183/100</f>
        <v>668240</v>
      </c>
      <c r="J183" s="16">
        <f>I183</f>
        <v>668240</v>
      </c>
      <c r="K183" s="15" t="e">
        <f ca="1">J183*L183</f>
        <v>#NAME?</v>
      </c>
      <c r="L183" s="22" t="e">
        <f ca="1">_xll.BDH("RUB curncy","PX_LAST",$N183)</f>
        <v>#NAME?</v>
      </c>
      <c r="M183" s="85" t="e">
        <f ca="1">1/_xll.BDH("RUB curncy","PX_LAST",$N183)</f>
        <v>#NAME?</v>
      </c>
      <c r="N183" s="14">
        <v>41990</v>
      </c>
    </row>
    <row r="184" spans="2:14" x14ac:dyDescent="0.2">
      <c r="B184" s="71"/>
      <c r="C184" s="72"/>
      <c r="D184" s="73"/>
      <c r="E184" s="73"/>
      <c r="F184" s="79">
        <f>SUM(F183)</f>
        <v>800000</v>
      </c>
      <c r="G184" s="87"/>
      <c r="H184" s="99">
        <f>I184/F184*100</f>
        <v>83.53</v>
      </c>
      <c r="I184" s="79">
        <f>SUM(I183)</f>
        <v>668240</v>
      </c>
      <c r="J184" s="79">
        <f>SUM(J183)</f>
        <v>668240</v>
      </c>
      <c r="K184" s="79" t="e">
        <f ca="1">SUM(K183)</f>
        <v>#NAME?</v>
      </c>
      <c r="L184" s="75"/>
      <c r="M184" s="86"/>
      <c r="N184" s="14"/>
    </row>
    <row r="185" spans="2:14" x14ac:dyDescent="0.2">
      <c r="B185" s="71"/>
      <c r="C185" s="72"/>
      <c r="D185" s="73"/>
      <c r="E185" s="73"/>
      <c r="F185" s="79"/>
      <c r="G185" s="87"/>
      <c r="H185" s="99"/>
      <c r="I185" s="79"/>
      <c r="J185" s="79"/>
      <c r="K185" s="79"/>
      <c r="L185" s="75"/>
      <c r="M185" s="86"/>
      <c r="N185" s="14"/>
    </row>
    <row r="186" spans="2:14" x14ac:dyDescent="0.2">
      <c r="B186" s="21" t="s">
        <v>126</v>
      </c>
      <c r="C186" s="20" t="s">
        <v>235</v>
      </c>
      <c r="D186" s="18" t="e">
        <f ca="1">_xll.BDP(C186,"SECURITY_NAME")</f>
        <v>#NAME?</v>
      </c>
      <c r="E186" s="18" t="s">
        <v>50</v>
      </c>
      <c r="F186" s="19">
        <v>129000</v>
      </c>
      <c r="G186" s="18" t="e">
        <f ca="1">_xll.BDP(C186,"CRNCY")</f>
        <v>#NAME?</v>
      </c>
      <c r="H186" s="22">
        <v>88</v>
      </c>
      <c r="I186" s="15">
        <f>F186*H186/100</f>
        <v>113520</v>
      </c>
      <c r="J186" s="16">
        <f>I186</f>
        <v>113520</v>
      </c>
      <c r="K186" s="15" t="e">
        <f ca="1">J186*L186</f>
        <v>#NAME?</v>
      </c>
      <c r="L186" s="22" t="e">
        <f ca="1">_xll.BDH("RUB curncy","PX_LAST",$N186)</f>
        <v>#NAME?</v>
      </c>
      <c r="M186" s="85" t="e">
        <f ca="1">1/_xll.BDH("RUB curncy","PX_LAST",$N186)</f>
        <v>#NAME?</v>
      </c>
      <c r="N186" s="14">
        <v>41992</v>
      </c>
    </row>
    <row r="187" spans="2:14" x14ac:dyDescent="0.2">
      <c r="B187" s="71"/>
      <c r="C187" s="72"/>
      <c r="D187" s="73"/>
      <c r="E187" s="73"/>
      <c r="F187" s="79">
        <f>SUM(F186)</f>
        <v>129000</v>
      </c>
      <c r="G187" s="87"/>
      <c r="H187" s="99">
        <f>I187/F187*100</f>
        <v>88</v>
      </c>
      <c r="I187" s="79">
        <f>SUM(I186)</f>
        <v>113520</v>
      </c>
      <c r="J187" s="79">
        <f>SUM(J186)</f>
        <v>113520</v>
      </c>
      <c r="K187" s="79" t="e">
        <f ca="1">SUM(K186)</f>
        <v>#NAME?</v>
      </c>
      <c r="L187" s="75"/>
      <c r="M187" s="86"/>
      <c r="N187" s="14"/>
    </row>
    <row r="188" spans="2:14" x14ac:dyDescent="0.2">
      <c r="B188" s="71"/>
      <c r="C188" s="72"/>
      <c r="D188" s="73"/>
      <c r="E188" s="73"/>
      <c r="F188" s="79"/>
      <c r="G188" s="87"/>
      <c r="H188" s="99"/>
      <c r="I188" s="79"/>
      <c r="J188" s="79"/>
      <c r="K188" s="79"/>
      <c r="L188" s="75"/>
      <c r="M188" s="86"/>
      <c r="N188" s="14"/>
    </row>
    <row r="189" spans="2:14" x14ac:dyDescent="0.2">
      <c r="B189" s="287" t="s">
        <v>663</v>
      </c>
      <c r="C189" s="284" t="s">
        <v>697</v>
      </c>
      <c r="D189" s="284" t="e">
        <f ca="1">_xll.BDP(C189,"SECURITY_NAME")</f>
        <v>#NAME?</v>
      </c>
      <c r="E189" s="284" t="s">
        <v>50</v>
      </c>
      <c r="F189" s="285">
        <v>200000</v>
      </c>
      <c r="G189" s="284" t="e">
        <f ca="1">_xll.BDP(C189,"CRNCY")</f>
        <v>#NAME?</v>
      </c>
      <c r="H189" s="281">
        <v>91</v>
      </c>
      <c r="I189" s="282">
        <f>F189*H189/100</f>
        <v>182000</v>
      </c>
      <c r="J189" s="283">
        <f>I189</f>
        <v>182000</v>
      </c>
      <c r="K189" s="282" t="e">
        <f ca="1">J189*L189</f>
        <v>#NAME?</v>
      </c>
      <c r="L189" s="281" t="e">
        <f ca="1">_xll.BDH("RUB curncy","PX_LAST",$N189)</f>
        <v>#NAME?</v>
      </c>
      <c r="M189" s="280" t="e">
        <f ca="1">1/_xll.BDH("RUB curncy","PX_LAST",$N189)</f>
        <v>#NAME?</v>
      </c>
      <c r="N189" s="274">
        <v>42482</v>
      </c>
    </row>
    <row r="190" spans="2:14" x14ac:dyDescent="0.2">
      <c r="B190" s="279"/>
      <c r="C190" s="279"/>
      <c r="D190" s="278"/>
      <c r="E190" s="278"/>
      <c r="F190" s="277">
        <f>SUM(F189)</f>
        <v>200000</v>
      </c>
      <c r="G190" s="278"/>
      <c r="H190" s="276">
        <f>J190/F190*100</f>
        <v>91</v>
      </c>
      <c r="I190" s="277">
        <f>SUM(I189)</f>
        <v>182000</v>
      </c>
      <c r="J190" s="277">
        <f>SUM(J189)</f>
        <v>182000</v>
      </c>
      <c r="K190" s="277" t="e">
        <f ca="1">SUM(K189)</f>
        <v>#NAME?</v>
      </c>
      <c r="L190" s="276"/>
      <c r="M190" s="275"/>
      <c r="N190" s="274"/>
    </row>
    <row r="192" spans="2:14" x14ac:dyDescent="0.2">
      <c r="B192" s="21" t="s">
        <v>126</v>
      </c>
      <c r="C192" s="20" t="s">
        <v>224</v>
      </c>
      <c r="D192" s="18" t="e">
        <f ca="1">_xll.BDP(C192,"SECURITY_NAME")</f>
        <v>#NAME?</v>
      </c>
      <c r="E192" s="18" t="s">
        <v>50</v>
      </c>
      <c r="F192" s="19">
        <v>200000</v>
      </c>
      <c r="G192" s="18" t="e">
        <f ca="1">_xll.BDP(C192,"CRNCY")</f>
        <v>#NAME?</v>
      </c>
      <c r="H192" s="22">
        <v>81.5</v>
      </c>
      <c r="I192" s="15">
        <f>F192*H192/100</f>
        <v>163000</v>
      </c>
      <c r="J192" s="16">
        <f>I192</f>
        <v>163000</v>
      </c>
      <c r="K192" s="15" t="e">
        <f ca="1">J192*L192</f>
        <v>#NAME?</v>
      </c>
      <c r="L192" s="22" t="e">
        <f ca="1">_xll.BDH("RUB curncy","PX_LAST",$N192)</f>
        <v>#NAME?</v>
      </c>
      <c r="M192" s="85" t="e">
        <f ca="1">1/_xll.BDH("RUB curncy","PX_LAST",$N192)</f>
        <v>#NAME?</v>
      </c>
      <c r="N192" s="14">
        <v>41971</v>
      </c>
    </row>
    <row r="193" spans="2:14" x14ac:dyDescent="0.2">
      <c r="B193" s="71"/>
      <c r="C193" s="72"/>
      <c r="D193" s="73"/>
      <c r="E193" s="73"/>
      <c r="F193" s="79">
        <f>SUM(F192:F192)</f>
        <v>200000</v>
      </c>
      <c r="G193" s="87"/>
      <c r="H193" s="99">
        <f>H192</f>
        <v>81.5</v>
      </c>
      <c r="I193" s="79">
        <f>SUM(I192:I192)</f>
        <v>163000</v>
      </c>
      <c r="J193" s="79">
        <f>SUM(J192:J192)</f>
        <v>163000</v>
      </c>
      <c r="K193" s="79" t="e">
        <f ca="1">SUM(K192:K192)</f>
        <v>#NAME?</v>
      </c>
      <c r="L193" s="75"/>
      <c r="M193" s="86"/>
      <c r="N193" s="14"/>
    </row>
    <row r="195" spans="2:14" s="354" customFormat="1" x14ac:dyDescent="0.2">
      <c r="B195" s="797" t="s">
        <v>126</v>
      </c>
      <c r="C195" s="798" t="s">
        <v>34</v>
      </c>
      <c r="D195" s="799" t="e">
        <f ca="1">_xll.BDP(C195,"SECURITY_NAME")</f>
        <v>#NAME?</v>
      </c>
      <c r="E195" s="799" t="s">
        <v>50</v>
      </c>
      <c r="F195" s="800">
        <v>20000</v>
      </c>
      <c r="G195" s="799" t="e">
        <f ca="1">_xll.BDP(C195,"CRNCY")</f>
        <v>#NAME?</v>
      </c>
      <c r="H195" s="801" t="e">
        <f ca="1">_xll.BDH(C195,"PX_LAST",N195)</f>
        <v>#NAME?</v>
      </c>
      <c r="I195" s="802" t="e">
        <f t="shared" ref="I195:I200" ca="1" si="49">F195*H195</f>
        <v>#NAME?</v>
      </c>
      <c r="J195" s="803" t="e">
        <f t="shared" ref="J195:J200" ca="1" si="50">I195/L195</f>
        <v>#NAME?</v>
      </c>
      <c r="K195" s="802" t="e">
        <f t="shared" ref="K195:K200" ca="1" si="51">J195*L195</f>
        <v>#NAME?</v>
      </c>
      <c r="L195" s="801" t="e">
        <f ca="1">_xll.BDH("RUB curncy","PX_LAST",$N195)</f>
        <v>#NAME?</v>
      </c>
      <c r="M195" s="804" t="e">
        <f ca="1">1/_xll.BDH("RUB curncy","PX_LAST",$N195)</f>
        <v>#NAME?</v>
      </c>
      <c r="N195" s="805">
        <v>42019</v>
      </c>
    </row>
    <row r="196" spans="2:14" s="354" customFormat="1" x14ac:dyDescent="0.2">
      <c r="B196" s="797" t="s">
        <v>126</v>
      </c>
      <c r="C196" s="798" t="s">
        <v>34</v>
      </c>
      <c r="D196" s="799" t="e">
        <f ca="1">_xll.BDP(C196,"SECURITY_NAME")</f>
        <v>#NAME?</v>
      </c>
      <c r="E196" s="799" t="s">
        <v>50</v>
      </c>
      <c r="F196" s="800">
        <v>40000</v>
      </c>
      <c r="G196" s="799" t="e">
        <f ca="1">_xll.BDP(C196,"CRNCY")</f>
        <v>#NAME?</v>
      </c>
      <c r="H196" s="801" t="e">
        <f ca="1">_xll.BDH(C196,"PX_LAST",N196)</f>
        <v>#NAME?</v>
      </c>
      <c r="I196" s="802" t="e">
        <f t="shared" ca="1" si="49"/>
        <v>#NAME?</v>
      </c>
      <c r="J196" s="803" t="e">
        <f t="shared" ca="1" si="50"/>
        <v>#NAME?</v>
      </c>
      <c r="K196" s="802" t="e">
        <f t="shared" ca="1" si="51"/>
        <v>#NAME?</v>
      </c>
      <c r="L196" s="801" t="e">
        <f ca="1">_xll.BDH("RUB curncy","PX_LAST",$N196)</f>
        <v>#NAME?</v>
      </c>
      <c r="M196" s="804" t="e">
        <f ca="1">1/_xll.BDH("RUB curncy","PX_LAST",$N196)</f>
        <v>#NAME?</v>
      </c>
      <c r="N196" s="805">
        <v>41991</v>
      </c>
    </row>
    <row r="197" spans="2:14" s="354" customFormat="1" x14ac:dyDescent="0.2">
      <c r="B197" s="797" t="s">
        <v>126</v>
      </c>
      <c r="C197" s="798" t="s">
        <v>34</v>
      </c>
      <c r="D197" s="799" t="e">
        <f ca="1">_xll.BDP(C197,"SECURITY_NAME")</f>
        <v>#NAME?</v>
      </c>
      <c r="E197" s="799" t="s">
        <v>50</v>
      </c>
      <c r="F197" s="800">
        <v>30000</v>
      </c>
      <c r="G197" s="799" t="e">
        <f ca="1">_xll.BDP(C197,"CRNCY")</f>
        <v>#NAME?</v>
      </c>
      <c r="H197" s="801" t="e">
        <f ca="1">_xll.BDH(C197,"PX_LAST",N197)</f>
        <v>#NAME?</v>
      </c>
      <c r="I197" s="802" t="e">
        <f t="shared" ca="1" si="49"/>
        <v>#NAME?</v>
      </c>
      <c r="J197" s="803" t="e">
        <f t="shared" ca="1" si="50"/>
        <v>#NAME?</v>
      </c>
      <c r="K197" s="802" t="e">
        <f t="shared" ca="1" si="51"/>
        <v>#NAME?</v>
      </c>
      <c r="L197" s="801" t="e">
        <f ca="1">_xll.BDH("RUB curncy","PX_LAST",$N197)</f>
        <v>#NAME?</v>
      </c>
      <c r="M197" s="804" t="e">
        <f ca="1">1/_xll.BDH("RUB curncy","PX_LAST",$N197)</f>
        <v>#NAME?</v>
      </c>
      <c r="N197" s="805">
        <v>41985</v>
      </c>
    </row>
    <row r="198" spans="2:14" s="354" customFormat="1" x14ac:dyDescent="0.2">
      <c r="B198" s="797" t="s">
        <v>126</v>
      </c>
      <c r="C198" s="798" t="s">
        <v>34</v>
      </c>
      <c r="D198" s="799" t="e">
        <f ca="1">_xll.BDP(C198,"SECURITY_NAME")</f>
        <v>#NAME?</v>
      </c>
      <c r="E198" s="799" t="s">
        <v>50</v>
      </c>
      <c r="F198" s="800">
        <v>10000</v>
      </c>
      <c r="G198" s="799" t="e">
        <f ca="1">_xll.BDP(C198,"CRNCY")</f>
        <v>#NAME?</v>
      </c>
      <c r="H198" s="801" t="e">
        <f ca="1">_xll.BDH(C198,"PX_LAST",N198)</f>
        <v>#NAME?</v>
      </c>
      <c r="I198" s="802" t="e">
        <f t="shared" ca="1" si="49"/>
        <v>#NAME?</v>
      </c>
      <c r="J198" s="803" t="e">
        <f t="shared" ca="1" si="50"/>
        <v>#NAME?</v>
      </c>
      <c r="K198" s="802" t="e">
        <f t="shared" ca="1" si="51"/>
        <v>#NAME?</v>
      </c>
      <c r="L198" s="801" t="e">
        <f ca="1">_xll.BDH("RUB curncy","PX_LAST",$N198)</f>
        <v>#NAME?</v>
      </c>
      <c r="M198" s="804" t="e">
        <f ca="1">1/_xll.BDH("RUB curncy","PX_LAST",$N198)</f>
        <v>#NAME?</v>
      </c>
      <c r="N198" s="805">
        <v>41975</v>
      </c>
    </row>
    <row r="199" spans="2:14" s="354" customFormat="1" x14ac:dyDescent="0.2">
      <c r="B199" s="797" t="s">
        <v>126</v>
      </c>
      <c r="C199" s="798" t="s">
        <v>34</v>
      </c>
      <c r="D199" s="799" t="e">
        <f ca="1">_xll.BDP(C199,"SECURITY_NAME")</f>
        <v>#NAME?</v>
      </c>
      <c r="E199" s="799" t="s">
        <v>50</v>
      </c>
      <c r="F199" s="800">
        <v>40000</v>
      </c>
      <c r="G199" s="799" t="e">
        <f ca="1">_xll.BDP(C199,"CRNCY")</f>
        <v>#NAME?</v>
      </c>
      <c r="H199" s="801" t="e">
        <f ca="1">_xll.BDH(C199,"PX_LAST",N199)</f>
        <v>#NAME?</v>
      </c>
      <c r="I199" s="802" t="e">
        <f t="shared" ca="1" si="49"/>
        <v>#NAME?</v>
      </c>
      <c r="J199" s="803" t="e">
        <f t="shared" ca="1" si="50"/>
        <v>#NAME?</v>
      </c>
      <c r="K199" s="802" t="e">
        <f t="shared" ca="1" si="51"/>
        <v>#NAME?</v>
      </c>
      <c r="L199" s="801" t="e">
        <f ca="1">_xll.BDH("RUB curncy","PX_LAST",$N199)</f>
        <v>#NAME?</v>
      </c>
      <c r="M199" s="804" t="e">
        <f ca="1">1/_xll.BDH("RUB curncy","PX_LAST",$N199)</f>
        <v>#NAME?</v>
      </c>
      <c r="N199" s="805">
        <v>41971</v>
      </c>
    </row>
    <row r="200" spans="2:14" s="354" customFormat="1" x14ac:dyDescent="0.2">
      <c r="B200" s="797" t="s">
        <v>126</v>
      </c>
      <c r="C200" s="798" t="s">
        <v>34</v>
      </c>
      <c r="D200" s="799" t="e">
        <f ca="1">_xll.BDP(C200,"SECURITY_NAME")</f>
        <v>#NAME?</v>
      </c>
      <c r="E200" s="799" t="s">
        <v>50</v>
      </c>
      <c r="F200" s="800">
        <v>40000</v>
      </c>
      <c r="G200" s="799" t="e">
        <f ca="1">_xll.BDP(C200,"CRNCY")</f>
        <v>#NAME?</v>
      </c>
      <c r="H200" s="801" t="e">
        <f ca="1">_xll.BDH(C200,"PX_LAST",N200)</f>
        <v>#NAME?</v>
      </c>
      <c r="I200" s="802" t="e">
        <f t="shared" ca="1" si="49"/>
        <v>#NAME?</v>
      </c>
      <c r="J200" s="803" t="e">
        <f t="shared" ca="1" si="50"/>
        <v>#NAME?</v>
      </c>
      <c r="K200" s="802" t="e">
        <f t="shared" ca="1" si="51"/>
        <v>#NAME?</v>
      </c>
      <c r="L200" s="801" t="e">
        <f ca="1">_xll.BDH("RUB curncy","PX_LAST",$N200)</f>
        <v>#NAME?</v>
      </c>
      <c r="M200" s="804" t="e">
        <f ca="1">1/_xll.BDH("RUB curncy","PX_LAST",$N200)</f>
        <v>#NAME?</v>
      </c>
      <c r="N200" s="805">
        <v>41970</v>
      </c>
    </row>
    <row r="201" spans="2:14" x14ac:dyDescent="0.2">
      <c r="B201" s="71"/>
      <c r="C201" s="33"/>
      <c r="D201" s="73"/>
      <c r="E201" s="73"/>
      <c r="F201" s="79">
        <f>SUM(F195:F200)</f>
        <v>180000</v>
      </c>
      <c r="G201" s="73"/>
      <c r="H201" s="80" t="e">
        <f ca="1">I201/F201</f>
        <v>#NAME?</v>
      </c>
      <c r="I201" s="79" t="e">
        <f ca="1">SUM(I195:I200)</f>
        <v>#NAME?</v>
      </c>
      <c r="J201" s="79" t="e">
        <f ca="1">SUM(J195:J200)</f>
        <v>#NAME?</v>
      </c>
      <c r="K201" s="79" t="e">
        <f ca="1">SUM(K195:K200)</f>
        <v>#NAME?</v>
      </c>
      <c r="L201" s="75"/>
      <c r="M201" s="86"/>
      <c r="N201" s="14"/>
    </row>
    <row r="203" spans="2:14" x14ac:dyDescent="0.2">
      <c r="B203" s="21" t="s">
        <v>126</v>
      </c>
      <c r="C203" s="20" t="s">
        <v>220</v>
      </c>
      <c r="D203" s="18" t="e">
        <f ca="1">_xll.BDP(C203,"SECURITY_NAME")</f>
        <v>#NAME?</v>
      </c>
      <c r="E203" s="18" t="s">
        <v>50</v>
      </c>
      <c r="F203" s="19">
        <v>200000</v>
      </c>
      <c r="G203" s="18" t="e">
        <f ca="1">_xll.BDP(C203,"CRNCY")</f>
        <v>#NAME?</v>
      </c>
      <c r="H203" s="22">
        <v>87.7</v>
      </c>
      <c r="I203" s="15">
        <f>F203*H203/100</f>
        <v>175400</v>
      </c>
      <c r="J203" s="16">
        <f>I203</f>
        <v>175400</v>
      </c>
      <c r="K203" s="15" t="e">
        <f ca="1">J203*L203</f>
        <v>#NAME?</v>
      </c>
      <c r="L203" s="22" t="e">
        <f ca="1">_xll.BDH("RUB curncy","PX_LAST",$N203)</f>
        <v>#NAME?</v>
      </c>
      <c r="M203" s="85" t="e">
        <f ca="1">1/_xll.BDH("RUB curncy","PX_LAST",$N203)</f>
        <v>#NAME?</v>
      </c>
      <c r="N203" s="14">
        <v>41968</v>
      </c>
    </row>
    <row r="204" spans="2:14" x14ac:dyDescent="0.2">
      <c r="B204" s="71"/>
      <c r="C204" s="72"/>
      <c r="D204" s="73"/>
      <c r="E204" s="73"/>
      <c r="F204" s="79">
        <f>SUM(F203)</f>
        <v>200000</v>
      </c>
      <c r="G204" s="87"/>
      <c r="H204" s="99">
        <f>H203</f>
        <v>87.7</v>
      </c>
      <c r="I204" s="79">
        <f>SUM(I203)</f>
        <v>175400</v>
      </c>
      <c r="J204" s="79">
        <f>SUM(J203)</f>
        <v>175400</v>
      </c>
      <c r="K204" s="79" t="e">
        <f ca="1">SUM(K203)</f>
        <v>#NAME?</v>
      </c>
      <c r="L204" s="75"/>
      <c r="M204" s="86"/>
      <c r="N204" s="14"/>
    </row>
    <row r="206" spans="2:14" x14ac:dyDescent="0.2">
      <c r="B206" s="21" t="s">
        <v>126</v>
      </c>
      <c r="C206" s="20" t="s">
        <v>218</v>
      </c>
      <c r="D206" s="18" t="e">
        <f ca="1">_xll.BDP(C206,"SECURITY_NAME")</f>
        <v>#NAME?</v>
      </c>
      <c r="E206" s="18" t="s">
        <v>50</v>
      </c>
      <c r="F206" s="19">
        <v>260000</v>
      </c>
      <c r="G206" s="18" t="e">
        <f ca="1">_xll.BDP(C206,"CRNCY")</f>
        <v>#NAME?</v>
      </c>
      <c r="H206" s="22">
        <v>90.53</v>
      </c>
      <c r="I206" s="15">
        <f>F206*H206/100</f>
        <v>235378</v>
      </c>
      <c r="J206" s="16">
        <f>I206</f>
        <v>235378</v>
      </c>
      <c r="K206" s="15" t="e">
        <f ca="1">J206*L206</f>
        <v>#NAME?</v>
      </c>
      <c r="L206" s="22" t="e">
        <f ca="1">_xll.BDH("RUB curncy","PX_LAST",$N206)</f>
        <v>#NAME?</v>
      </c>
      <c r="M206" s="85" t="e">
        <f ca="1">1/_xll.BDH("RUB curncy","PX_LAST",$N206)</f>
        <v>#NAME?</v>
      </c>
      <c r="N206" s="14">
        <v>41967</v>
      </c>
    </row>
    <row r="207" spans="2:14" x14ac:dyDescent="0.2">
      <c r="B207" s="71"/>
      <c r="C207" s="72"/>
      <c r="D207" s="73"/>
      <c r="E207" s="73"/>
      <c r="F207" s="79">
        <f>SUM(F206)</f>
        <v>260000</v>
      </c>
      <c r="G207" s="87"/>
      <c r="H207" s="99">
        <f>H206</f>
        <v>90.53</v>
      </c>
      <c r="I207" s="79">
        <f>SUM(I206)</f>
        <v>235378</v>
      </c>
      <c r="J207" s="79">
        <f>SUM(J206)</f>
        <v>235378</v>
      </c>
      <c r="K207" s="79" t="e">
        <f ca="1">SUM(K206)</f>
        <v>#NAME?</v>
      </c>
      <c r="L207" s="75"/>
      <c r="M207" s="86"/>
      <c r="N207" s="14"/>
    </row>
    <row r="209" spans="2:14" x14ac:dyDescent="0.2">
      <c r="B209" s="21" t="s">
        <v>126</v>
      </c>
      <c r="C209" s="20" t="s">
        <v>216</v>
      </c>
      <c r="D209" s="18" t="e">
        <f ca="1">_xll.BDP(C209,"SECURITY_NAME")</f>
        <v>#NAME?</v>
      </c>
      <c r="E209" s="18" t="s">
        <v>50</v>
      </c>
      <c r="F209" s="19">
        <v>200000</v>
      </c>
      <c r="G209" s="18" t="e">
        <f ca="1">_xll.BDP(C209,"CRNCY")</f>
        <v>#NAME?</v>
      </c>
      <c r="H209" s="22">
        <v>87.75</v>
      </c>
      <c r="I209" s="15">
        <f>F209*H209/100</f>
        <v>175500</v>
      </c>
      <c r="J209" s="16">
        <f>I209</f>
        <v>175500</v>
      </c>
      <c r="K209" s="15" t="e">
        <f ca="1">J209*L209</f>
        <v>#NAME?</v>
      </c>
      <c r="L209" s="22" t="e">
        <f ca="1">_xll.BDH("RUB curncy","PX_LAST",$N209)</f>
        <v>#NAME?</v>
      </c>
      <c r="M209" s="85" t="e">
        <f ca="1">1/_xll.BDH("RUB curncy","PX_LAST",$N209)</f>
        <v>#NAME?</v>
      </c>
      <c r="N209" s="14">
        <v>41964</v>
      </c>
    </row>
    <row r="210" spans="2:14" x14ac:dyDescent="0.2">
      <c r="B210" s="71"/>
      <c r="C210" s="72"/>
      <c r="D210" s="73"/>
      <c r="E210" s="73"/>
      <c r="F210" s="79">
        <f>SUM(F209)</f>
        <v>200000</v>
      </c>
      <c r="G210" s="87"/>
      <c r="H210" s="99">
        <f>H209</f>
        <v>87.75</v>
      </c>
      <c r="I210" s="79">
        <f>SUM(I209)</f>
        <v>175500</v>
      </c>
      <c r="J210" s="79">
        <f>SUM(J209)</f>
        <v>175500</v>
      </c>
      <c r="K210" s="79" t="e">
        <f ca="1">SUM(K209)</f>
        <v>#NAME?</v>
      </c>
      <c r="L210" s="75"/>
      <c r="M210" s="86"/>
      <c r="N210" s="14"/>
    </row>
    <row r="212" spans="2:14" x14ac:dyDescent="0.2">
      <c r="B212" s="21" t="s">
        <v>126</v>
      </c>
      <c r="C212" s="20" t="s">
        <v>215</v>
      </c>
      <c r="D212" s="18" t="e">
        <f ca="1">_xll.BDP(C212,"SECURITY_NAME")</f>
        <v>#NAME?</v>
      </c>
      <c r="E212" s="18" t="s">
        <v>50</v>
      </c>
      <c r="F212" s="19">
        <v>30000000</v>
      </c>
      <c r="G212" s="18" t="e">
        <f ca="1">_xll.BDP(C212,"CRNCY")</f>
        <v>#NAME?</v>
      </c>
      <c r="H212" s="22">
        <v>96.5</v>
      </c>
      <c r="I212" s="15">
        <f>F212*H212/100</f>
        <v>28950000</v>
      </c>
      <c r="J212" s="16" t="e">
        <f ca="1">I212/$L$212</f>
        <v>#NAME?</v>
      </c>
      <c r="K212" s="15" t="e">
        <f ca="1">J212*$L$212</f>
        <v>#NAME?</v>
      </c>
      <c r="L212" s="22" t="e">
        <f ca="1">_xll.BDH("RUB curncy","PX_LAST",$N212)</f>
        <v>#NAME?</v>
      </c>
      <c r="M212" s="85" t="e">
        <f ca="1">1/_xll.BDH("RUB curncy","PX_LAST",$N212)</f>
        <v>#NAME?</v>
      </c>
      <c r="N212" s="14">
        <v>41961</v>
      </c>
    </row>
    <row r="213" spans="2:14" x14ac:dyDescent="0.2">
      <c r="B213" s="71"/>
      <c r="C213" s="72"/>
      <c r="D213" s="73"/>
      <c r="E213" s="73"/>
      <c r="F213" s="79">
        <f>SUM(F212)</f>
        <v>30000000</v>
      </c>
      <c r="G213" s="87"/>
      <c r="H213" s="100">
        <v>96.5</v>
      </c>
      <c r="I213" s="79">
        <f>SUM(I212)</f>
        <v>28950000</v>
      </c>
      <c r="J213" s="79" t="e">
        <f ca="1">SUM(J212)</f>
        <v>#NAME?</v>
      </c>
      <c r="K213" s="79" t="e">
        <f ca="1">SUM(K212)</f>
        <v>#NAME?</v>
      </c>
      <c r="L213" s="75"/>
      <c r="M213" s="86"/>
      <c r="N213" s="14"/>
    </row>
    <row r="215" spans="2:14" s="354" customFormat="1" x14ac:dyDescent="0.2">
      <c r="B215" s="797" t="s">
        <v>126</v>
      </c>
      <c r="C215" s="798" t="s">
        <v>123</v>
      </c>
      <c r="D215" s="799" t="e">
        <f ca="1">_xll.BDP(C215,"SECURITY_NAME")</f>
        <v>#NAME?</v>
      </c>
      <c r="E215" s="799" t="s">
        <v>50</v>
      </c>
      <c r="F215" s="800">
        <v>82800</v>
      </c>
      <c r="G215" s="799" t="e">
        <f ca="1">_xll.BDP(C215,"CRNCY")</f>
        <v>#NAME?</v>
      </c>
      <c r="H215" s="801" t="e">
        <f ca="1">_xll.BDH(C215,"PX_LAST",N215)</f>
        <v>#NAME?</v>
      </c>
      <c r="I215" s="802" t="e">
        <f ca="1">F215*H215</f>
        <v>#NAME?</v>
      </c>
      <c r="J215" s="803" t="e">
        <f ca="1">I215/L215</f>
        <v>#NAME?</v>
      </c>
      <c r="K215" s="802" t="e">
        <f ca="1">J215*L215</f>
        <v>#NAME?</v>
      </c>
      <c r="L215" s="801" t="e">
        <f ca="1">_xll.BDH("RUB curncy","PX_LAST",$N215)</f>
        <v>#NAME?</v>
      </c>
      <c r="M215" s="804" t="e">
        <f ca="1">1/_xll.BDH("RUB curncy","PX_LAST",$N215)</f>
        <v>#NAME?</v>
      </c>
      <c r="N215" s="805">
        <v>41982</v>
      </c>
    </row>
    <row r="216" spans="2:14" x14ac:dyDescent="0.2">
      <c r="B216" s="71"/>
      <c r="C216" s="33"/>
      <c r="D216" s="73"/>
      <c r="E216" s="73"/>
      <c r="F216" s="79">
        <f>SUM(F215:F215)</f>
        <v>82800</v>
      </c>
      <c r="G216" s="73"/>
      <c r="H216" s="80" t="e">
        <f ca="1">I216/F216</f>
        <v>#NAME?</v>
      </c>
      <c r="I216" s="79" t="e">
        <f ca="1">SUM(I215:I215)</f>
        <v>#NAME?</v>
      </c>
      <c r="J216" s="79" t="e">
        <f ca="1">SUM(J215:J215)</f>
        <v>#NAME?</v>
      </c>
      <c r="K216" s="79" t="e">
        <f ca="1">SUM(K215:K215)</f>
        <v>#NAME?</v>
      </c>
      <c r="L216" s="75"/>
      <c r="M216" s="86"/>
      <c r="N216" s="14"/>
    </row>
    <row r="218" spans="2:14" s="354" customFormat="1" x14ac:dyDescent="0.2">
      <c r="B218" s="797" t="s">
        <v>126</v>
      </c>
      <c r="C218" s="798" t="s">
        <v>42</v>
      </c>
      <c r="D218" s="799" t="e">
        <f ca="1">_xll.BDP(C218,"SECURITY_NAME")</f>
        <v>#NAME?</v>
      </c>
      <c r="E218" s="799" t="s">
        <v>50</v>
      </c>
      <c r="F218" s="800">
        <v>4500</v>
      </c>
      <c r="G218" s="799" t="e">
        <f ca="1">_xll.BDP(C218,"CRNCY")</f>
        <v>#NAME?</v>
      </c>
      <c r="H218" s="801" t="e">
        <f ca="1">_xll.BDH(C218,"PX_LAST",N218)</f>
        <v>#NAME?</v>
      </c>
      <c r="I218" s="802" t="e">
        <f t="shared" ref="I218:I223" ca="1" si="52">F218*H218</f>
        <v>#NAME?</v>
      </c>
      <c r="J218" s="803" t="e">
        <f t="shared" ref="J218:J223" ca="1" si="53">I218</f>
        <v>#NAME?</v>
      </c>
      <c r="K218" s="802" t="e">
        <f t="shared" ref="K218:K223" ca="1" si="54">J218*L218</f>
        <v>#NAME?</v>
      </c>
      <c r="L218" s="801" t="e">
        <f ca="1">_xll.BDH("RUB curncy","PX_LAST",$N218)</f>
        <v>#NAME?</v>
      </c>
      <c r="M218" s="804" t="e">
        <f ca="1">1/_xll.BDH("RUB curncy","PX_LAST",$N218)</f>
        <v>#NAME?</v>
      </c>
      <c r="N218" s="805">
        <v>41981</v>
      </c>
    </row>
    <row r="219" spans="2:14" s="354" customFormat="1" x14ac:dyDescent="0.2">
      <c r="B219" s="797" t="s">
        <v>126</v>
      </c>
      <c r="C219" s="798" t="s">
        <v>42</v>
      </c>
      <c r="D219" s="799" t="e">
        <f ca="1">_xll.BDP(C219,"SECURITY_NAME")</f>
        <v>#NAME?</v>
      </c>
      <c r="E219" s="799" t="s">
        <v>50</v>
      </c>
      <c r="F219" s="800">
        <v>11100</v>
      </c>
      <c r="G219" s="799" t="e">
        <f ca="1">_xll.BDP(C219,"CRNCY")</f>
        <v>#NAME?</v>
      </c>
      <c r="H219" s="801" t="e">
        <f ca="1">_xll.BDH(C219,"PX_LAST",N219)</f>
        <v>#NAME?</v>
      </c>
      <c r="I219" s="802" t="e">
        <f t="shared" ca="1" si="52"/>
        <v>#NAME?</v>
      </c>
      <c r="J219" s="803" t="e">
        <f t="shared" ca="1" si="53"/>
        <v>#NAME?</v>
      </c>
      <c r="K219" s="802" t="e">
        <f t="shared" ca="1" si="54"/>
        <v>#NAME?</v>
      </c>
      <c r="L219" s="801" t="e">
        <f ca="1">_xll.BDH("RUB curncy","PX_LAST",$N219)</f>
        <v>#NAME?</v>
      </c>
      <c r="M219" s="804" t="e">
        <f ca="1">1/_xll.BDH("RUB curncy","PX_LAST",$N219)</f>
        <v>#NAME?</v>
      </c>
      <c r="N219" s="805">
        <v>41955</v>
      </c>
    </row>
    <row r="220" spans="2:14" s="354" customFormat="1" x14ac:dyDescent="0.2">
      <c r="B220" s="797" t="s">
        <v>126</v>
      </c>
      <c r="C220" s="798" t="s">
        <v>42</v>
      </c>
      <c r="D220" s="799" t="e">
        <f ca="1">_xll.BDP(C220,"SECURITY_NAME")</f>
        <v>#NAME?</v>
      </c>
      <c r="E220" s="799" t="s">
        <v>50</v>
      </c>
      <c r="F220" s="800">
        <v>10000</v>
      </c>
      <c r="G220" s="799" t="e">
        <f ca="1">_xll.BDP(C220,"CRNCY")</f>
        <v>#NAME?</v>
      </c>
      <c r="H220" s="801" t="e">
        <f ca="1">_xll.BDH(C220,"PX_LAST",N220)</f>
        <v>#NAME?</v>
      </c>
      <c r="I220" s="802" t="e">
        <f t="shared" ca="1" si="52"/>
        <v>#NAME?</v>
      </c>
      <c r="J220" s="803" t="e">
        <f t="shared" ca="1" si="53"/>
        <v>#NAME?</v>
      </c>
      <c r="K220" s="802" t="e">
        <f t="shared" ca="1" si="54"/>
        <v>#NAME?</v>
      </c>
      <c r="L220" s="801" t="e">
        <f ca="1">_xll.BDH("RUB curncy","PX_LAST",$N220)</f>
        <v>#NAME?</v>
      </c>
      <c r="M220" s="804" t="e">
        <f ca="1">1/_xll.BDH("RUB curncy","PX_LAST",$N220)</f>
        <v>#NAME?</v>
      </c>
      <c r="N220" s="805">
        <v>41939</v>
      </c>
    </row>
    <row r="221" spans="2:14" s="354" customFormat="1" x14ac:dyDescent="0.2">
      <c r="B221" s="797" t="s">
        <v>126</v>
      </c>
      <c r="C221" s="798" t="s">
        <v>42</v>
      </c>
      <c r="D221" s="799" t="e">
        <f ca="1">_xll.BDP(C221,"SECURITY_NAME")</f>
        <v>#NAME?</v>
      </c>
      <c r="E221" s="799" t="s">
        <v>50</v>
      </c>
      <c r="F221" s="800">
        <v>8000</v>
      </c>
      <c r="G221" s="799" t="e">
        <f ca="1">_xll.BDP(C221,"CRNCY")</f>
        <v>#NAME?</v>
      </c>
      <c r="H221" s="801" t="e">
        <f ca="1">_xll.BDH(C221,"PX_LAST",N221)</f>
        <v>#NAME?</v>
      </c>
      <c r="I221" s="802" t="e">
        <f t="shared" ca="1" si="52"/>
        <v>#NAME?</v>
      </c>
      <c r="J221" s="803" t="e">
        <f t="shared" ca="1" si="53"/>
        <v>#NAME?</v>
      </c>
      <c r="K221" s="802" t="e">
        <f t="shared" ca="1" si="54"/>
        <v>#NAME?</v>
      </c>
      <c r="L221" s="801" t="e">
        <f ca="1">_xll.BDH("RUB curncy","PX_LAST",$N221)</f>
        <v>#NAME?</v>
      </c>
      <c r="M221" s="804" t="e">
        <f ca="1">1/_xll.BDH("RUB curncy","PX_LAST",$N221)</f>
        <v>#NAME?</v>
      </c>
      <c r="N221" s="805">
        <v>41915</v>
      </c>
    </row>
    <row r="222" spans="2:14" s="354" customFormat="1" x14ac:dyDescent="0.2">
      <c r="B222" s="797" t="s">
        <v>126</v>
      </c>
      <c r="C222" s="798" t="s">
        <v>42</v>
      </c>
      <c r="D222" s="799" t="e">
        <f ca="1">_xll.BDP(C222,"SECURITY_NAME")</f>
        <v>#NAME?</v>
      </c>
      <c r="E222" s="799" t="s">
        <v>50</v>
      </c>
      <c r="F222" s="800">
        <v>8750</v>
      </c>
      <c r="G222" s="799" t="e">
        <f ca="1">_xll.BDP(C222,"CRNCY")</f>
        <v>#NAME?</v>
      </c>
      <c r="H222" s="801" t="e">
        <f ca="1">_xll.BDH(C222,"PX_LAST",N222)</f>
        <v>#NAME?</v>
      </c>
      <c r="I222" s="802" t="e">
        <f t="shared" ca="1" si="52"/>
        <v>#NAME?</v>
      </c>
      <c r="J222" s="803" t="e">
        <f t="shared" ca="1" si="53"/>
        <v>#NAME?</v>
      </c>
      <c r="K222" s="802" t="e">
        <f t="shared" ca="1" si="54"/>
        <v>#NAME?</v>
      </c>
      <c r="L222" s="801" t="e">
        <f ca="1">_xll.BDH("RUB curncy","PX_LAST",$N222)</f>
        <v>#NAME?</v>
      </c>
      <c r="M222" s="804" t="e">
        <f ca="1">1/_xll.BDH("RUB curncy","PX_LAST",$N222)</f>
        <v>#NAME?</v>
      </c>
      <c r="N222" s="805">
        <v>41907</v>
      </c>
    </row>
    <row r="223" spans="2:14" s="354" customFormat="1" x14ac:dyDescent="0.2">
      <c r="B223" s="797" t="s">
        <v>126</v>
      </c>
      <c r="C223" s="798" t="s">
        <v>42</v>
      </c>
      <c r="D223" s="799" t="e">
        <f ca="1">_xll.BDP(C223,"SECURITY_NAME")</f>
        <v>#NAME?</v>
      </c>
      <c r="E223" s="799" t="s">
        <v>50</v>
      </c>
      <c r="F223" s="800">
        <v>17650</v>
      </c>
      <c r="G223" s="799" t="e">
        <f ca="1">_xll.BDP(C223,"CRNCY")</f>
        <v>#NAME?</v>
      </c>
      <c r="H223" s="801" t="e">
        <f ca="1">_xll.BDH(C223,"PX_LAST",N223)</f>
        <v>#NAME?</v>
      </c>
      <c r="I223" s="802" t="e">
        <f t="shared" ca="1" si="52"/>
        <v>#NAME?</v>
      </c>
      <c r="J223" s="803" t="e">
        <f t="shared" ca="1" si="53"/>
        <v>#NAME?</v>
      </c>
      <c r="K223" s="802" t="e">
        <f t="shared" ca="1" si="54"/>
        <v>#NAME?</v>
      </c>
      <c r="L223" s="801" t="e">
        <f ca="1">_xll.BDH("RUB curncy","PX_LAST",$N223)</f>
        <v>#NAME?</v>
      </c>
      <c r="M223" s="804" t="e">
        <f ca="1">1/_xll.BDH("RUB curncy","PX_LAST",$N223)</f>
        <v>#NAME?</v>
      </c>
      <c r="N223" s="805">
        <v>41904</v>
      </c>
    </row>
    <row r="224" spans="2:14" x14ac:dyDescent="0.2">
      <c r="F224" s="79">
        <f>SUM(F218:F223)</f>
        <v>60000</v>
      </c>
      <c r="H224" s="80" t="e">
        <f ca="1">I224/F224</f>
        <v>#NAME?</v>
      </c>
      <c r="I224" s="79" t="e">
        <f ca="1">SUM(I218:I223)</f>
        <v>#NAME?</v>
      </c>
      <c r="J224" s="79" t="e">
        <f ca="1">SUM(J218:J223)</f>
        <v>#NAME?</v>
      </c>
      <c r="K224" s="79" t="e">
        <f ca="1">SUM(K218:K223)</f>
        <v>#NAME?</v>
      </c>
    </row>
    <row r="226" spans="2:14" x14ac:dyDescent="0.2">
      <c r="B226" s="21" t="s">
        <v>126</v>
      </c>
      <c r="C226" s="20" t="s">
        <v>31</v>
      </c>
      <c r="D226" s="18" t="e">
        <f ca="1">_xll.BDP(C226,"SECURITY_NAME")</f>
        <v>#NAME?</v>
      </c>
      <c r="E226" s="18" t="s">
        <v>50</v>
      </c>
      <c r="F226" s="19">
        <v>3500</v>
      </c>
      <c r="G226" s="18" t="e">
        <f ca="1">_xll.BDP(C226,"CRNCY")</f>
        <v>#NAME?</v>
      </c>
      <c r="H226" s="22" t="e">
        <f ca="1">_xll.BDH(C226,"PX_LAST",N226)</f>
        <v>#NAME?</v>
      </c>
      <c r="I226" s="15" t="e">
        <f ca="1">F226*H226</f>
        <v>#NAME?</v>
      </c>
      <c r="J226" s="16" t="e">
        <f ca="1">I226/L226</f>
        <v>#NAME?</v>
      </c>
      <c r="K226" s="15" t="e">
        <f ca="1">J226*L226</f>
        <v>#NAME?</v>
      </c>
      <c r="L226" s="22" t="e">
        <f ca="1">_xll.BDH("RUB curncy","PX_LAST",$N226)</f>
        <v>#NAME?</v>
      </c>
      <c r="M226" s="85" t="e">
        <f ca="1">1/_xll.BDH("RUB curncy","PX_LAST",$N226)</f>
        <v>#NAME?</v>
      </c>
      <c r="N226" s="14">
        <v>41849</v>
      </c>
    </row>
    <row r="227" spans="2:14" x14ac:dyDescent="0.2">
      <c r="B227" s="71"/>
      <c r="C227" s="33"/>
      <c r="D227" s="73"/>
      <c r="E227" s="73"/>
      <c r="F227" s="79">
        <f>SUM(F226)</f>
        <v>3500</v>
      </c>
      <c r="G227" s="73"/>
      <c r="H227" s="80" t="e">
        <f ca="1">I227/F227</f>
        <v>#NAME?</v>
      </c>
      <c r="I227" s="79" t="e">
        <f ca="1">SUM(I226)</f>
        <v>#NAME?</v>
      </c>
      <c r="J227" s="79" t="e">
        <f ca="1">SUM(J226)</f>
        <v>#NAME?</v>
      </c>
      <c r="K227" s="79" t="e">
        <f ca="1">SUM(K226)</f>
        <v>#NAME?</v>
      </c>
      <c r="L227" s="75"/>
      <c r="M227" s="86"/>
      <c r="N227" s="14"/>
    </row>
    <row r="228" spans="2:14" x14ac:dyDescent="0.2">
      <c r="B228" s="71"/>
      <c r="C228" s="33"/>
      <c r="D228" s="73"/>
      <c r="E228" s="73"/>
      <c r="F228" s="79"/>
      <c r="G228" s="73"/>
      <c r="H228" s="80"/>
      <c r="I228" s="79"/>
      <c r="J228" s="79"/>
      <c r="K228" s="79"/>
      <c r="L228" s="75"/>
      <c r="M228" s="86"/>
      <c r="N228" s="14"/>
    </row>
    <row r="229" spans="2:14" s="354" customFormat="1" x14ac:dyDescent="0.2">
      <c r="B229" s="797" t="s">
        <v>126</v>
      </c>
      <c r="C229" s="798" t="s">
        <v>46</v>
      </c>
      <c r="D229" s="799" t="e">
        <f ca="1">_xll.BDP(C229,"SECURITY_NAME")</f>
        <v>#NAME?</v>
      </c>
      <c r="E229" s="799" t="s">
        <v>50</v>
      </c>
      <c r="F229" s="800">
        <v>2800</v>
      </c>
      <c r="G229" s="799" t="e">
        <f ca="1">_xll.BDP(C229,"CRNCY")</f>
        <v>#NAME?</v>
      </c>
      <c r="H229" s="801" t="e">
        <f ca="1">_xll.BDH(C229,"PX_LAST",N229)</f>
        <v>#NAME?</v>
      </c>
      <c r="I229" s="802" t="e">
        <f ca="1">F229*H229</f>
        <v>#NAME?</v>
      </c>
      <c r="J229" s="803" t="e">
        <f ca="1">I229/L229</f>
        <v>#NAME?</v>
      </c>
      <c r="K229" s="802" t="e">
        <f ca="1">J229*L229</f>
        <v>#NAME?</v>
      </c>
      <c r="L229" s="801" t="e">
        <f ca="1">_xll.BDH("RUB curncy","PX_LAST",$N229)</f>
        <v>#NAME?</v>
      </c>
      <c r="M229" s="804" t="e">
        <f ca="1">1/_xll.BDH("RUB curncy","PX_LAST",$N229)</f>
        <v>#NAME?</v>
      </c>
      <c r="N229" s="805">
        <v>41940</v>
      </c>
    </row>
    <row r="230" spans="2:14" s="354" customFormat="1" x14ac:dyDescent="0.2">
      <c r="B230" s="797" t="s">
        <v>126</v>
      </c>
      <c r="C230" s="798" t="s">
        <v>46</v>
      </c>
      <c r="D230" s="799" t="e">
        <f ca="1">_xll.BDP(C230,"SECURITY_NAME")</f>
        <v>#NAME?</v>
      </c>
      <c r="E230" s="799" t="s">
        <v>50</v>
      </c>
      <c r="F230" s="800">
        <v>2800</v>
      </c>
      <c r="G230" s="799" t="e">
        <f ca="1">_xll.BDP(C230,"CRNCY")</f>
        <v>#NAME?</v>
      </c>
      <c r="H230" s="801" t="e">
        <f ca="1">_xll.BDH(C230,"PX_LAST",N230)</f>
        <v>#NAME?</v>
      </c>
      <c r="I230" s="802" t="e">
        <f ca="1">F230*H230</f>
        <v>#NAME?</v>
      </c>
      <c r="J230" s="803" t="e">
        <f ca="1">I230/L230</f>
        <v>#NAME?</v>
      </c>
      <c r="K230" s="802" t="e">
        <f ca="1">J230*L230</f>
        <v>#NAME?</v>
      </c>
      <c r="L230" s="801" t="e">
        <f ca="1">_xll.BDH("RUB curncy","PX_LAST",$N230)</f>
        <v>#NAME?</v>
      </c>
      <c r="M230" s="804" t="e">
        <f ca="1">1/_xll.BDH("RUB curncy","PX_LAST",$N230)</f>
        <v>#NAME?</v>
      </c>
      <c r="N230" s="805">
        <v>41904</v>
      </c>
    </row>
    <row r="231" spans="2:14" x14ac:dyDescent="0.2">
      <c r="B231" s="71"/>
      <c r="C231" s="33"/>
      <c r="D231" s="73"/>
      <c r="E231" s="73"/>
      <c r="F231" s="79">
        <f>SUM(F229:F230)</f>
        <v>5600</v>
      </c>
      <c r="G231" s="73"/>
      <c r="H231" s="80" t="e">
        <f ca="1">I231/F231</f>
        <v>#NAME?</v>
      </c>
      <c r="I231" s="79" t="e">
        <f ca="1">SUM(I229:I230)</f>
        <v>#NAME?</v>
      </c>
      <c r="J231" s="79" t="e">
        <f ca="1">SUM(J229:J230)</f>
        <v>#NAME?</v>
      </c>
      <c r="K231" s="79" t="e">
        <f ca="1">SUM(K229:K230)</f>
        <v>#NAME?</v>
      </c>
      <c r="L231" s="75"/>
      <c r="M231" s="86"/>
      <c r="N231" s="14"/>
    </row>
    <row r="233" spans="2:14" x14ac:dyDescent="0.2">
      <c r="B233" s="21" t="s">
        <v>126</v>
      </c>
      <c r="C233" s="20" t="s">
        <v>65</v>
      </c>
      <c r="D233" s="18" t="e">
        <f ca="1">_xll.BDP(C233,"SECURITY_NAME")</f>
        <v>#NAME?</v>
      </c>
      <c r="E233" s="18" t="s">
        <v>50</v>
      </c>
      <c r="F233" s="19">
        <v>765</v>
      </c>
      <c r="G233" s="18" t="e">
        <f ca="1">_xll.BDP(C233,"CRNCY")</f>
        <v>#NAME?</v>
      </c>
      <c r="H233" s="22">
        <v>3541.5</v>
      </c>
      <c r="I233" s="15">
        <f t="shared" ref="I233" si="55">F233*H233</f>
        <v>2709247.5</v>
      </c>
      <c r="J233" s="16" t="e">
        <f t="shared" ref="J233" ca="1" si="56">I233/L233</f>
        <v>#NAME?</v>
      </c>
      <c r="K233" s="15" t="e">
        <f t="shared" ref="K233" ca="1" si="57">J233*L233</f>
        <v>#NAME?</v>
      </c>
      <c r="L233" s="22" t="e">
        <f ca="1">_xll.BDH("RUB curncy","PX_LAST",$N233)</f>
        <v>#NAME?</v>
      </c>
      <c r="M233" s="85" t="e">
        <f ca="1">1/_xll.BDH("RUB curncy","PX_LAST",$N233)</f>
        <v>#NAME?</v>
      </c>
      <c r="N233" s="14">
        <v>42698</v>
      </c>
    </row>
    <row r="234" spans="2:14" x14ac:dyDescent="0.2">
      <c r="B234" s="21" t="s">
        <v>126</v>
      </c>
      <c r="C234" s="20" t="s">
        <v>65</v>
      </c>
      <c r="D234" s="18" t="e">
        <f ca="1">_xll.BDP(C234,"SECURITY_NAME")</f>
        <v>#NAME?</v>
      </c>
      <c r="E234" s="18" t="s">
        <v>50</v>
      </c>
      <c r="F234" s="19">
        <v>1580</v>
      </c>
      <c r="G234" s="18" t="e">
        <f ca="1">_xll.BDP(C234,"CRNCY")</f>
        <v>#NAME?</v>
      </c>
      <c r="H234" s="22" t="e">
        <f ca="1">_xll.BDH(C234,"PX_LAST",N234)</f>
        <v>#NAME?</v>
      </c>
      <c r="I234" s="15" t="e">
        <f t="shared" ref="I234:I239" ca="1" si="58">F234*H234</f>
        <v>#NAME?</v>
      </c>
      <c r="J234" s="16" t="e">
        <f t="shared" ref="J234:J239" ca="1" si="59">I234/L234</f>
        <v>#NAME?</v>
      </c>
      <c r="K234" s="15" t="e">
        <f t="shared" ref="K234:K239" ca="1" si="60">J234*L234</f>
        <v>#NAME?</v>
      </c>
      <c r="L234" s="22" t="e">
        <f ca="1">_xll.BDH("RUB curncy","PX_LAST",$N234)</f>
        <v>#NAME?</v>
      </c>
      <c r="M234" s="85" t="e">
        <f ca="1">1/_xll.BDH("RUB curncy","PX_LAST",$N234)</f>
        <v>#NAME?</v>
      </c>
      <c r="N234" s="14">
        <v>41977</v>
      </c>
    </row>
    <row r="235" spans="2:14" x14ac:dyDescent="0.2">
      <c r="B235" s="21" t="s">
        <v>126</v>
      </c>
      <c r="C235" s="20" t="s">
        <v>65</v>
      </c>
      <c r="D235" s="18" t="e">
        <f ca="1">_xll.BDP(C235,"SECURITY_NAME")</f>
        <v>#NAME?</v>
      </c>
      <c r="E235" s="18" t="s">
        <v>50</v>
      </c>
      <c r="F235" s="19">
        <v>4150</v>
      </c>
      <c r="G235" s="18" t="e">
        <f ca="1">_xll.BDP(C235,"CRNCY")</f>
        <v>#NAME?</v>
      </c>
      <c r="H235" s="22" t="e">
        <f ca="1">_xll.BDH(C235,"PX_LAST",N235)</f>
        <v>#NAME?</v>
      </c>
      <c r="I235" s="15" t="e">
        <f t="shared" ca="1" si="58"/>
        <v>#NAME?</v>
      </c>
      <c r="J235" s="16" t="e">
        <f t="shared" ca="1" si="59"/>
        <v>#NAME?</v>
      </c>
      <c r="K235" s="15" t="e">
        <f t="shared" ca="1" si="60"/>
        <v>#NAME?</v>
      </c>
      <c r="L235" s="22" t="e">
        <f ca="1">_xll.BDH("RUB curncy","PX_LAST",$N235)</f>
        <v>#NAME?</v>
      </c>
      <c r="M235" s="85" t="e">
        <f ca="1">1/_xll.BDH("RUB curncy","PX_LAST",$N235)</f>
        <v>#NAME?</v>
      </c>
      <c r="N235" s="14">
        <v>41940</v>
      </c>
    </row>
    <row r="236" spans="2:14" x14ac:dyDescent="0.2">
      <c r="B236" s="21" t="s">
        <v>126</v>
      </c>
      <c r="C236" s="20" t="s">
        <v>65</v>
      </c>
      <c r="D236" s="18" t="e">
        <f ca="1">_xll.BDP(C236,"SECURITY_NAME")</f>
        <v>#NAME?</v>
      </c>
      <c r="E236" s="18" t="s">
        <v>50</v>
      </c>
      <c r="F236" s="19">
        <v>2200</v>
      </c>
      <c r="G236" s="18" t="e">
        <f ca="1">_xll.BDP(C236,"CRNCY")</f>
        <v>#NAME?</v>
      </c>
      <c r="H236" s="22" t="e">
        <f ca="1">_xll.BDH(C236,"PX_LAST",N236)</f>
        <v>#NAME?</v>
      </c>
      <c r="I236" s="15" t="e">
        <f t="shared" ca="1" si="58"/>
        <v>#NAME?</v>
      </c>
      <c r="J236" s="16" t="e">
        <f t="shared" ca="1" si="59"/>
        <v>#NAME?</v>
      </c>
      <c r="K236" s="15" t="e">
        <f t="shared" ca="1" si="60"/>
        <v>#NAME?</v>
      </c>
      <c r="L236" s="22" t="e">
        <f ca="1">_xll.BDH("RUB curncy","PX_LAST",$N236)</f>
        <v>#NAME?</v>
      </c>
      <c r="M236" s="85" t="e">
        <f ca="1">1/_xll.BDH("RUB curncy","PX_LAST",$N236)</f>
        <v>#NAME?</v>
      </c>
      <c r="N236" s="14">
        <v>41911</v>
      </c>
    </row>
    <row r="237" spans="2:14" x14ac:dyDescent="0.2">
      <c r="B237" s="21" t="s">
        <v>126</v>
      </c>
      <c r="C237" s="20" t="s">
        <v>65</v>
      </c>
      <c r="D237" s="18" t="e">
        <f ca="1">_xll.BDP(C237,"SECURITY_NAME")</f>
        <v>#NAME?</v>
      </c>
      <c r="E237" s="18" t="s">
        <v>50</v>
      </c>
      <c r="F237" s="19">
        <v>830</v>
      </c>
      <c r="G237" s="18" t="e">
        <f ca="1">_xll.BDP(C237,"CRNCY")</f>
        <v>#NAME?</v>
      </c>
      <c r="H237" s="22" t="e">
        <f ca="1">_xll.BDH(C237,"PX_LAST",N237)</f>
        <v>#NAME?</v>
      </c>
      <c r="I237" s="15" t="e">
        <f t="shared" ca="1" si="58"/>
        <v>#NAME?</v>
      </c>
      <c r="J237" s="16" t="e">
        <f t="shared" ca="1" si="59"/>
        <v>#NAME?</v>
      </c>
      <c r="K237" s="15" t="e">
        <f t="shared" ca="1" si="60"/>
        <v>#NAME?</v>
      </c>
      <c r="L237" s="22" t="e">
        <f ca="1">_xll.BDH("RUB curncy","PX_LAST",$N237)</f>
        <v>#NAME?</v>
      </c>
      <c r="M237" s="85" t="e">
        <f ca="1">1/_xll.BDH("RUB curncy","PX_LAST",$N237)</f>
        <v>#NAME?</v>
      </c>
      <c r="N237" s="14">
        <v>41904</v>
      </c>
    </row>
    <row r="238" spans="2:14" x14ac:dyDescent="0.2">
      <c r="B238" s="21" t="s">
        <v>126</v>
      </c>
      <c r="C238" s="20" t="s">
        <v>65</v>
      </c>
      <c r="D238" s="18" t="e">
        <f ca="1">_xll.BDP(C238,"SECURITY_NAME")</f>
        <v>#NAME?</v>
      </c>
      <c r="E238" s="18" t="s">
        <v>50</v>
      </c>
      <c r="F238" s="19">
        <v>470</v>
      </c>
      <c r="G238" s="18" t="e">
        <f ca="1">_xll.BDP(C238,"CRNCY")</f>
        <v>#NAME?</v>
      </c>
      <c r="H238" s="22" t="e">
        <f ca="1">_xll.BDH(C238,"PX_LAST",N238)</f>
        <v>#NAME?</v>
      </c>
      <c r="I238" s="15" t="e">
        <f t="shared" ca="1" si="58"/>
        <v>#NAME?</v>
      </c>
      <c r="J238" s="16" t="e">
        <f t="shared" ca="1" si="59"/>
        <v>#NAME?</v>
      </c>
      <c r="K238" s="15" t="e">
        <f t="shared" ca="1" si="60"/>
        <v>#NAME?</v>
      </c>
      <c r="L238" s="22" t="e">
        <f ca="1">_xll.BDH("RUB curncy","PX_LAST",$N238)</f>
        <v>#NAME?</v>
      </c>
      <c r="M238" s="85" t="e">
        <f ca="1">1/_xll.BDH("RUB curncy","PX_LAST",$N238)</f>
        <v>#NAME?</v>
      </c>
      <c r="N238" s="14">
        <v>41901</v>
      </c>
    </row>
    <row r="239" spans="2:14" x14ac:dyDescent="0.2">
      <c r="B239" s="21" t="s">
        <v>126</v>
      </c>
      <c r="C239" s="20" t="s">
        <v>65</v>
      </c>
      <c r="D239" s="18" t="e">
        <f ca="1">_xll.BDP(C239,"SECURITY_NAME")</f>
        <v>#NAME?</v>
      </c>
      <c r="E239" s="18" t="s">
        <v>50</v>
      </c>
      <c r="F239" s="19">
        <v>650</v>
      </c>
      <c r="G239" s="18" t="e">
        <f ca="1">_xll.BDP(C239,"CRNCY")</f>
        <v>#NAME?</v>
      </c>
      <c r="H239" s="22" t="e">
        <f ca="1">_xll.BDH(C239,"PX_LAST",N239)</f>
        <v>#NAME?</v>
      </c>
      <c r="I239" s="15" t="e">
        <f t="shared" ca="1" si="58"/>
        <v>#NAME?</v>
      </c>
      <c r="J239" s="16" t="e">
        <f t="shared" ca="1" si="59"/>
        <v>#NAME?</v>
      </c>
      <c r="K239" s="15" t="e">
        <f t="shared" ca="1" si="60"/>
        <v>#NAME?</v>
      </c>
      <c r="L239" s="22" t="e">
        <f ca="1">_xll.BDH("RUB curncy","PX_LAST",$N239)</f>
        <v>#NAME?</v>
      </c>
      <c r="M239" s="85" t="e">
        <f ca="1">1/_xll.BDH("RUB curncy","PX_LAST",$N239)</f>
        <v>#NAME?</v>
      </c>
      <c r="N239" s="14">
        <v>41849</v>
      </c>
    </row>
    <row r="240" spans="2:14" x14ac:dyDescent="0.2">
      <c r="F240" s="79">
        <f>SUM(F233:F239)</f>
        <v>10645</v>
      </c>
      <c r="H240" s="80" t="e">
        <f ca="1">I240/F240</f>
        <v>#NAME?</v>
      </c>
      <c r="I240" s="79" t="e">
        <f ca="1">SUM(I233:I239)</f>
        <v>#NAME?</v>
      </c>
      <c r="J240" s="79" t="e">
        <f ca="1">SUM(J233:J239)</f>
        <v>#NAME?</v>
      </c>
      <c r="K240" s="79" t="e">
        <f ca="1">SUM(K233:K239)</f>
        <v>#NAME?</v>
      </c>
    </row>
    <row r="242" spans="2:14" x14ac:dyDescent="0.2">
      <c r="G242" s="79"/>
      <c r="H242" s="80"/>
      <c r="I242" s="79"/>
      <c r="J242" s="79"/>
      <c r="K242" s="79"/>
    </row>
    <row r="243" spans="2:14" x14ac:dyDescent="0.2">
      <c r="B243" s="21" t="s">
        <v>126</v>
      </c>
      <c r="C243" s="20" t="s">
        <v>26</v>
      </c>
      <c r="D243" s="18" t="e">
        <f ca="1">_xll.BDP(C243,"SECURITY_NAME")</f>
        <v>#NAME?</v>
      </c>
      <c r="E243" s="18" t="s">
        <v>50</v>
      </c>
      <c r="F243" s="19">
        <v>27000</v>
      </c>
      <c r="G243" s="18" t="e">
        <f ca="1">_xll.BDP(C243,"CRNCY")</f>
        <v>#NAME?</v>
      </c>
      <c r="H243" s="22" t="e">
        <f ca="1">_xll.BDH(C243,"PX_LAST",N243)</f>
        <v>#NAME?</v>
      </c>
      <c r="I243" s="15" t="e">
        <f ca="1">F243*H243</f>
        <v>#NAME?</v>
      </c>
      <c r="J243" s="16" t="e">
        <f ca="1">I243/L243</f>
        <v>#NAME?</v>
      </c>
      <c r="K243" s="15" t="e">
        <f ca="1">J243*L243</f>
        <v>#NAME?</v>
      </c>
      <c r="L243" s="22" t="e">
        <f ca="1">_xll.BDH("RUB curncy","PX_LAST",$N243)</f>
        <v>#NAME?</v>
      </c>
      <c r="M243" s="85" t="e">
        <f ca="1">1/_xll.BDH("RUB curncy","PX_LAST",$N243)</f>
        <v>#NAME?</v>
      </c>
      <c r="N243" s="14">
        <v>41968</v>
      </c>
    </row>
    <row r="244" spans="2:14" x14ac:dyDescent="0.2">
      <c r="B244" s="21" t="s">
        <v>126</v>
      </c>
      <c r="C244" s="20" t="s">
        <v>26</v>
      </c>
      <c r="D244" s="18" t="e">
        <f ca="1">_xll.BDP(C244,"SECURITY_NAME")</f>
        <v>#NAME?</v>
      </c>
      <c r="E244" s="18" t="s">
        <v>50</v>
      </c>
      <c r="F244" s="19">
        <v>1620</v>
      </c>
      <c r="G244" s="18" t="e">
        <f ca="1">_xll.BDP(C244,"CRNCY")</f>
        <v>#NAME?</v>
      </c>
      <c r="H244" s="22" t="e">
        <f ca="1">_xll.BDH(C244,"PX_LAST",N244)</f>
        <v>#NAME?</v>
      </c>
      <c r="I244" s="15" t="e">
        <f ca="1">F244*H244</f>
        <v>#NAME?</v>
      </c>
      <c r="J244" s="16" t="e">
        <f ca="1">I244/L244</f>
        <v>#NAME?</v>
      </c>
      <c r="K244" s="15" t="e">
        <f ca="1">J244*L244</f>
        <v>#NAME?</v>
      </c>
      <c r="L244" s="22" t="e">
        <f ca="1">_xll.BDH("RUB curncy","PX_LAST",$N244)</f>
        <v>#NAME?</v>
      </c>
      <c r="M244" s="85" t="e">
        <f ca="1">1/_xll.BDH("RUB curncy","PX_LAST",$N244)</f>
        <v>#NAME?</v>
      </c>
      <c r="N244" s="14">
        <v>41932</v>
      </c>
    </row>
    <row r="245" spans="2:14" x14ac:dyDescent="0.2">
      <c r="B245" s="21" t="s">
        <v>126</v>
      </c>
      <c r="C245" s="20" t="s">
        <v>26</v>
      </c>
      <c r="D245" s="18" t="e">
        <f ca="1">_xll.BDP(C245,"SECURITY_NAME")</f>
        <v>#NAME?</v>
      </c>
      <c r="E245" s="18" t="s">
        <v>50</v>
      </c>
      <c r="F245" s="19">
        <v>6000</v>
      </c>
      <c r="G245" s="18" t="e">
        <f ca="1">_xll.BDP(C245,"CRNCY")</f>
        <v>#NAME?</v>
      </c>
      <c r="H245" s="22" t="e">
        <f ca="1">_xll.BDH(C245,"PX_LAST",N245)</f>
        <v>#NAME?</v>
      </c>
      <c r="I245" s="15" t="e">
        <f ca="1">F245*H245</f>
        <v>#NAME?</v>
      </c>
      <c r="J245" s="16" t="e">
        <f ca="1">I245/L245</f>
        <v>#NAME?</v>
      </c>
      <c r="K245" s="15" t="e">
        <f ca="1">J245*L245</f>
        <v>#NAME?</v>
      </c>
      <c r="L245" s="22" t="e">
        <f ca="1">_xll.BDH("RUB curncy","PX_LAST",$N245)</f>
        <v>#NAME?</v>
      </c>
      <c r="M245" s="85" t="e">
        <f ca="1">1/_xll.BDH("RUB curncy","PX_LAST",$N245)</f>
        <v>#NAME?</v>
      </c>
      <c r="N245" s="14">
        <v>41908</v>
      </c>
    </row>
    <row r="246" spans="2:14" x14ac:dyDescent="0.2">
      <c r="B246" s="71"/>
      <c r="C246" s="72"/>
      <c r="D246" s="73"/>
      <c r="E246" s="73"/>
      <c r="F246" s="79">
        <f>SUM(F243:F245)</f>
        <v>34620</v>
      </c>
      <c r="G246" s="87"/>
      <c r="H246" s="79" t="e">
        <f ca="1">I246/F246</f>
        <v>#NAME?</v>
      </c>
      <c r="I246" s="79" t="e">
        <f ca="1">SUM(I243:I245)</f>
        <v>#NAME?</v>
      </c>
      <c r="J246" s="79" t="e">
        <f ca="1">SUM(J243:J245)</f>
        <v>#NAME?</v>
      </c>
      <c r="K246" s="79" t="e">
        <f ca="1">SUM(K243:K245)</f>
        <v>#NAME?</v>
      </c>
      <c r="L246" s="75"/>
      <c r="M246" s="86"/>
      <c r="N246" s="14"/>
    </row>
    <row r="248" spans="2:14" x14ac:dyDescent="0.2">
      <c r="B248" s="21" t="s">
        <v>126</v>
      </c>
      <c r="C248" s="20" t="s">
        <v>23</v>
      </c>
      <c r="D248" s="18" t="e">
        <f ca="1">_xll.BDP(C248,"SECURITY_NAME")</f>
        <v>#NAME?</v>
      </c>
      <c r="E248" s="18" t="s">
        <v>50</v>
      </c>
      <c r="F248" s="19">
        <v>23500</v>
      </c>
      <c r="G248" s="18" t="e">
        <f ca="1">_xll.BDP(C248,"CRNCY")</f>
        <v>#NAME?</v>
      </c>
      <c r="H248" s="22" t="e">
        <f ca="1">_xll.BDH(C248,"PX_LAST",N248)</f>
        <v>#NAME?</v>
      </c>
      <c r="I248" s="15" t="e">
        <f ca="1">F248*H248</f>
        <v>#NAME?</v>
      </c>
      <c r="J248" s="16" t="e">
        <f ca="1">I248/L248</f>
        <v>#NAME?</v>
      </c>
      <c r="K248" s="15" t="e">
        <f ca="1">J248*L248</f>
        <v>#NAME?</v>
      </c>
      <c r="L248" s="22" t="e">
        <f ca="1">_xll.BDH("RUB curncy","PX_LAST",$N248)</f>
        <v>#NAME?</v>
      </c>
      <c r="M248" s="85" t="e">
        <f ca="1">1/_xll.BDH("RUB curncy","PX_LAST",$N248)</f>
        <v>#NAME?</v>
      </c>
      <c r="N248" s="14">
        <v>41939</v>
      </c>
    </row>
    <row r="249" spans="2:14" x14ac:dyDescent="0.2">
      <c r="B249" s="71"/>
      <c r="C249" s="72"/>
      <c r="D249" s="73"/>
      <c r="E249" s="73"/>
      <c r="F249" s="79">
        <f>SUM(F248:F248)</f>
        <v>23500</v>
      </c>
      <c r="G249" s="87"/>
      <c r="H249" s="80" t="e">
        <f ca="1">I249/F249</f>
        <v>#NAME?</v>
      </c>
      <c r="I249" s="79" t="e">
        <f ca="1">SUM(I248:I248)</f>
        <v>#NAME?</v>
      </c>
      <c r="J249" s="79" t="e">
        <f ca="1">SUM(J248:J248)</f>
        <v>#NAME?</v>
      </c>
      <c r="K249" s="79" t="e">
        <f ca="1">SUM(K248:K248)</f>
        <v>#NAME?</v>
      </c>
      <c r="L249" s="75"/>
      <c r="M249" s="86"/>
      <c r="N249" s="14"/>
    </row>
    <row r="251" spans="2:14" x14ac:dyDescent="0.2">
      <c r="B251" s="21" t="s">
        <v>126</v>
      </c>
      <c r="C251" s="20" t="s">
        <v>17</v>
      </c>
      <c r="D251" s="18" t="e">
        <f ca="1">_xll.BDP(C251,"SECURITY_NAME")</f>
        <v>#NAME?</v>
      </c>
      <c r="E251" s="18" t="s">
        <v>51</v>
      </c>
      <c r="F251" s="19">
        <v>-100000</v>
      </c>
      <c r="G251" s="18" t="e">
        <f ca="1">_xll.BDP(C251,"CRNCY")</f>
        <v>#NAME?</v>
      </c>
      <c r="H251" s="22" t="e">
        <f ca="1">_xll.BDH(C251,"PX_LAST",N251)</f>
        <v>#NAME?</v>
      </c>
      <c r="I251" s="15" t="e">
        <f ca="1">F251*H251</f>
        <v>#NAME?</v>
      </c>
      <c r="J251" s="16" t="e">
        <f ca="1">I251/L251</f>
        <v>#NAME?</v>
      </c>
      <c r="K251" s="15" t="e">
        <f ca="1">J251*L251</f>
        <v>#NAME?</v>
      </c>
      <c r="L251" s="22" t="e">
        <f ca="1">_xll.BDH("RUB curncy","PX_LAST",$N251)</f>
        <v>#NAME?</v>
      </c>
      <c r="M251" s="85" t="e">
        <f ca="1">1/_xll.BDH("RUB curncy","PX_LAST",$N251)</f>
        <v>#NAME?</v>
      </c>
      <c r="N251" s="14">
        <v>42068</v>
      </c>
    </row>
    <row r="252" spans="2:14" x14ac:dyDescent="0.2">
      <c r="B252" s="21" t="s">
        <v>126</v>
      </c>
      <c r="C252" s="20" t="s">
        <v>17</v>
      </c>
      <c r="D252" s="18" t="e">
        <f ca="1">_xll.BDP(C252,"SECURITY_NAME")</f>
        <v>#NAME?</v>
      </c>
      <c r="E252" s="18" t="s">
        <v>51</v>
      </c>
      <c r="F252" s="19">
        <v>-200000</v>
      </c>
      <c r="G252" s="18" t="e">
        <f ca="1">_xll.BDP(C252,"CRNCY")</f>
        <v>#NAME?</v>
      </c>
      <c r="H252" s="22" t="e">
        <f ca="1">_xll.BDH(C252,"PX_LAST",N252)</f>
        <v>#NAME?</v>
      </c>
      <c r="I252" s="15" t="e">
        <f ca="1">F252*H252</f>
        <v>#NAME?</v>
      </c>
      <c r="J252" s="16" t="e">
        <f ca="1">I252/L252</f>
        <v>#NAME?</v>
      </c>
      <c r="K252" s="15" t="e">
        <f ca="1">J252*L252</f>
        <v>#NAME?</v>
      </c>
      <c r="L252" s="22" t="e">
        <f ca="1">_xll.BDH("RUB curncy","PX_LAST",$N252)</f>
        <v>#NAME?</v>
      </c>
      <c r="M252" s="85" t="e">
        <f ca="1">1/_xll.BDH("RUB curncy","PX_LAST",$N252)</f>
        <v>#NAME?</v>
      </c>
      <c r="N252" s="14">
        <v>42065</v>
      </c>
    </row>
    <row r="253" spans="2:14" x14ac:dyDescent="0.2">
      <c r="B253" s="21" t="s">
        <v>126</v>
      </c>
      <c r="C253" s="20" t="s">
        <v>17</v>
      </c>
      <c r="D253" s="18" t="e">
        <f ca="1">_xll.BDP(C253,"SECURITY_NAME")</f>
        <v>#NAME?</v>
      </c>
      <c r="E253" s="18" t="s">
        <v>51</v>
      </c>
      <c r="F253" s="19">
        <v>-300000</v>
      </c>
      <c r="G253" s="18" t="e">
        <f ca="1">_xll.BDP(C253,"CRNCY")</f>
        <v>#NAME?</v>
      </c>
      <c r="H253" s="22" t="e">
        <f ca="1">_xll.BDH(C253,"PX_LAST",N253)</f>
        <v>#NAME?</v>
      </c>
      <c r="I253" s="15" t="e">
        <f ca="1">F253*H253</f>
        <v>#NAME?</v>
      </c>
      <c r="J253" s="16" t="e">
        <f ca="1">I253/L253</f>
        <v>#NAME?</v>
      </c>
      <c r="K253" s="15" t="e">
        <f ca="1">J253*L253</f>
        <v>#NAME?</v>
      </c>
      <c r="L253" s="22" t="e">
        <f ca="1">_xll.BDH("RUB curncy","PX_LAST",$N253)</f>
        <v>#NAME?</v>
      </c>
      <c r="M253" s="85" t="e">
        <f ca="1">1/_xll.BDH("RUB curncy","PX_LAST",$N253)</f>
        <v>#NAME?</v>
      </c>
      <c r="N253" s="14">
        <v>42052</v>
      </c>
    </row>
    <row r="254" spans="2:14" x14ac:dyDescent="0.2">
      <c r="B254" s="21" t="s">
        <v>126</v>
      </c>
      <c r="C254" s="20" t="s">
        <v>17</v>
      </c>
      <c r="D254" s="18" t="e">
        <f ca="1">_xll.BDP(C254,"SECURITY_NAME")</f>
        <v>#NAME?</v>
      </c>
      <c r="E254" s="18" t="s">
        <v>50</v>
      </c>
      <c r="F254" s="19">
        <v>1300000</v>
      </c>
      <c r="G254" s="18" t="e">
        <f ca="1">_xll.BDP(C254,"CRNCY")</f>
        <v>#NAME?</v>
      </c>
      <c r="H254" s="22" t="e">
        <f ca="1">_xll.BDH(C254,"PX_LAST",N254)</f>
        <v>#NAME?</v>
      </c>
      <c r="I254" s="15" t="e">
        <f ca="1">F254*H254</f>
        <v>#NAME?</v>
      </c>
      <c r="J254" s="16" t="e">
        <f ca="1">I254/L254</f>
        <v>#NAME?</v>
      </c>
      <c r="K254" s="15" t="e">
        <f ca="1">J254*L254</f>
        <v>#NAME?</v>
      </c>
      <c r="L254" s="22" t="e">
        <f ca="1">_xll.BDH("RUB curncy","PX_LAST",$N254)</f>
        <v>#NAME?</v>
      </c>
      <c r="M254" s="85" t="e">
        <f ca="1">1/_xll.BDH("RUB curncy","PX_LAST",$N254)</f>
        <v>#NAME?</v>
      </c>
      <c r="N254" s="14">
        <v>41645</v>
      </c>
    </row>
    <row r="255" spans="2:14" x14ac:dyDescent="0.2">
      <c r="B255" s="71"/>
      <c r="C255" s="72"/>
      <c r="D255" s="73"/>
      <c r="E255" s="73"/>
      <c r="F255" s="79">
        <f>SUM(F251:F254)</f>
        <v>700000</v>
      </c>
      <c r="G255" s="87"/>
      <c r="H255" s="80">
        <v>7.27</v>
      </c>
      <c r="I255" s="79" t="e">
        <f ca="1">SUM(I251:I254)</f>
        <v>#NAME?</v>
      </c>
      <c r="J255" s="79" t="e">
        <f ca="1">SUM(J251:J254)</f>
        <v>#NAME?</v>
      </c>
      <c r="K255" s="79" t="e">
        <f ca="1">SUM(K251:K254)</f>
        <v>#NAME?</v>
      </c>
      <c r="L255" s="80"/>
      <c r="M255" s="86"/>
      <c r="N255" s="14"/>
    </row>
    <row r="257" spans="2:14" s="354" customFormat="1" x14ac:dyDescent="0.2">
      <c r="B257" s="797" t="s">
        <v>126</v>
      </c>
      <c r="C257" s="798" t="s">
        <v>27</v>
      </c>
      <c r="D257" s="799" t="e">
        <f ca="1">_xll.BDP(C257,"SECURITY_NAME")</f>
        <v>#NAME?</v>
      </c>
      <c r="E257" s="799" t="s">
        <v>50</v>
      </c>
      <c r="F257" s="800">
        <v>11110</v>
      </c>
      <c r="G257" s="799" t="e">
        <f ca="1">_xll.BDP(C257,"CRNCY")</f>
        <v>#NAME?</v>
      </c>
      <c r="H257" s="801">
        <v>135</v>
      </c>
      <c r="I257" s="802">
        <f>F257*H257</f>
        <v>1499850</v>
      </c>
      <c r="J257" s="803" t="e">
        <f ca="1">I257/L257</f>
        <v>#NAME?</v>
      </c>
      <c r="K257" s="802" t="e">
        <f ca="1">J257*L257</f>
        <v>#NAME?</v>
      </c>
      <c r="L257" s="801" t="e">
        <f ca="1">_xll.BDH("RUB curncy","PX_LAST",$N257)</f>
        <v>#NAME?</v>
      </c>
      <c r="M257" s="804" t="e">
        <f ca="1">1/_xll.BDH("RUB curncy","PX_LAST",$N257)</f>
        <v>#NAME?</v>
      </c>
      <c r="N257" s="805">
        <v>42160</v>
      </c>
    </row>
    <row r="258" spans="2:14" s="354" customFormat="1" x14ac:dyDescent="0.2">
      <c r="B258" s="797" t="s">
        <v>126</v>
      </c>
      <c r="C258" s="798" t="s">
        <v>27</v>
      </c>
      <c r="D258" s="799" t="e">
        <f ca="1">_xll.BDP(C258,"SECURITY_NAME")</f>
        <v>#NAME?</v>
      </c>
      <c r="E258" s="799" t="s">
        <v>50</v>
      </c>
      <c r="F258" s="800">
        <v>16850</v>
      </c>
      <c r="G258" s="799" t="e">
        <f ca="1">_xll.BDP(C258,"CRNCY")</f>
        <v>#NAME?</v>
      </c>
      <c r="H258" s="801">
        <v>136</v>
      </c>
      <c r="I258" s="802">
        <f>F258*H258</f>
        <v>2291600</v>
      </c>
      <c r="J258" s="803" t="e">
        <f ca="1">I258/L258</f>
        <v>#NAME?</v>
      </c>
      <c r="K258" s="802" t="e">
        <f ca="1">J258*L258</f>
        <v>#NAME?</v>
      </c>
      <c r="L258" s="801" t="e">
        <f ca="1">_xll.BDH("RUB curncy","PX_LAST",$N258)</f>
        <v>#NAME?</v>
      </c>
      <c r="M258" s="804" t="e">
        <f ca="1">1/_xll.BDH("RUB curncy","PX_LAST",$N258)</f>
        <v>#NAME?</v>
      </c>
      <c r="N258" s="805">
        <v>42158</v>
      </c>
    </row>
    <row r="259" spans="2:14" s="354" customFormat="1" x14ac:dyDescent="0.2">
      <c r="B259" s="797" t="s">
        <v>126</v>
      </c>
      <c r="C259" s="798" t="s">
        <v>27</v>
      </c>
      <c r="D259" s="799" t="e">
        <f ca="1">_xll.BDP(C259,"SECURITY_NAME")</f>
        <v>#NAME?</v>
      </c>
      <c r="E259" s="799" t="s">
        <v>50</v>
      </c>
      <c r="F259" s="800">
        <v>43150</v>
      </c>
      <c r="G259" s="799" t="e">
        <f ca="1">_xll.BDP(C259,"CRNCY")</f>
        <v>#NAME?</v>
      </c>
      <c r="H259" s="801" t="e">
        <f ca="1">_xll.BDH(C259,"PX_LAST",N259)</f>
        <v>#NAME?</v>
      </c>
      <c r="I259" s="802" t="e">
        <f ca="1">F259*H259</f>
        <v>#NAME?</v>
      </c>
      <c r="J259" s="803" t="e">
        <f ca="1">I259/L259</f>
        <v>#NAME?</v>
      </c>
      <c r="K259" s="802" t="e">
        <f ca="1">J259*L259</f>
        <v>#NAME?</v>
      </c>
      <c r="L259" s="801" t="e">
        <f ca="1">_xll.BDH("RUB curncy","PX_LAST",$N259)</f>
        <v>#NAME?</v>
      </c>
      <c r="M259" s="804" t="e">
        <f ca="1">1/_xll.BDH("RUB curncy","PX_LAST",$N259)</f>
        <v>#NAME?</v>
      </c>
      <c r="N259" s="805">
        <v>41645</v>
      </c>
    </row>
    <row r="260" spans="2:14" x14ac:dyDescent="0.2">
      <c r="B260" s="71"/>
      <c r="C260" s="72"/>
      <c r="D260" s="73"/>
      <c r="E260" s="73"/>
      <c r="F260" s="79">
        <f>SUM(F257:F259)</f>
        <v>71110</v>
      </c>
      <c r="G260" s="87"/>
      <c r="H260" s="80" t="e">
        <f ca="1">I260/F260</f>
        <v>#NAME?</v>
      </c>
      <c r="I260" s="79" t="e">
        <f ca="1">SUM(I257:I259)</f>
        <v>#NAME?</v>
      </c>
      <c r="J260" s="79" t="e">
        <f ca="1">SUM(J257:J259)</f>
        <v>#NAME?</v>
      </c>
      <c r="K260" s="79" t="e">
        <f ca="1">SUM(K257:K259)</f>
        <v>#NAME?</v>
      </c>
      <c r="L260" s="75"/>
      <c r="M260" s="86"/>
      <c r="N260" s="14"/>
    </row>
    <row r="262" spans="2:14" x14ac:dyDescent="0.2">
      <c r="B262" s="21" t="s">
        <v>126</v>
      </c>
      <c r="C262" s="20" t="s">
        <v>253</v>
      </c>
      <c r="D262" s="18" t="e">
        <f ca="1">_xll.BDP(C262,"SECURITY_NAME")</f>
        <v>#NAME?</v>
      </c>
      <c r="E262" s="18" t="s">
        <v>50</v>
      </c>
      <c r="F262" s="19">
        <v>22000</v>
      </c>
      <c r="G262" s="18" t="e">
        <f ca="1">_xll.BDP(C262,"CRNCY")</f>
        <v>#NAME?</v>
      </c>
      <c r="H262" s="22">
        <v>152.94999999999999</v>
      </c>
      <c r="I262" s="15">
        <f>F262*H262</f>
        <v>3364899.9999999995</v>
      </c>
      <c r="J262" s="16" t="e">
        <f ca="1">I262/L262</f>
        <v>#NAME?</v>
      </c>
      <c r="K262" s="15" t="e">
        <f ca="1">J262*L262</f>
        <v>#NAME?</v>
      </c>
      <c r="L262" s="22" t="e">
        <f ca="1">_xll.BDH("RUB curncy","PX_LAST",$N262)</f>
        <v>#NAME?</v>
      </c>
      <c r="M262" s="85" t="e">
        <f ca="1">1/_xll.BDH("RUB curncy","PX_LAST",$N262)</f>
        <v>#NAME?</v>
      </c>
      <c r="N262" s="14">
        <v>42080</v>
      </c>
    </row>
    <row r="263" spans="2:14" x14ac:dyDescent="0.2">
      <c r="B263" s="21" t="s">
        <v>126</v>
      </c>
      <c r="C263" s="20" t="s">
        <v>253</v>
      </c>
      <c r="D263" s="18" t="e">
        <f ca="1">_xll.BDP(C263,"SECURITY_NAME")</f>
        <v>#NAME?</v>
      </c>
      <c r="E263" s="18" t="s">
        <v>51</v>
      </c>
      <c r="F263" s="19">
        <v>-22000</v>
      </c>
      <c r="G263" s="18" t="e">
        <f ca="1">_xll.BDP(C263,"CRNCY")</f>
        <v>#NAME?</v>
      </c>
      <c r="H263" s="22">
        <v>183</v>
      </c>
      <c r="I263" s="15">
        <f>F263*H263</f>
        <v>-4026000</v>
      </c>
      <c r="J263" s="16" t="e">
        <f ca="1">I263/L263</f>
        <v>#NAME?</v>
      </c>
      <c r="K263" s="15" t="e">
        <f ca="1">J263*L263</f>
        <v>#NAME?</v>
      </c>
      <c r="L263" s="22" t="e">
        <f ca="1">_xll.BDH("RUB curncy","PX_LAST",$N263)</f>
        <v>#NAME?</v>
      </c>
      <c r="M263" s="85" t="e">
        <f ca="1">1/_xll.BDH("RUB curncy","PX_LAST",$N263)</f>
        <v>#NAME?</v>
      </c>
      <c r="N263" s="14">
        <v>42047</v>
      </c>
    </row>
    <row r="264" spans="2:14" x14ac:dyDescent="0.2">
      <c r="B264" s="21" t="s">
        <v>126</v>
      </c>
      <c r="C264" s="20" t="s">
        <v>253</v>
      </c>
      <c r="D264" s="18" t="e">
        <f ca="1">_xll.BDP(C264,"SECURITY_NAME")</f>
        <v>#NAME?</v>
      </c>
      <c r="E264" s="18" t="s">
        <v>50</v>
      </c>
      <c r="F264" s="19">
        <v>44000</v>
      </c>
      <c r="G264" s="18" t="e">
        <f ca="1">_xll.BDP(C264,"CRNCY")</f>
        <v>#NAME?</v>
      </c>
      <c r="H264" s="22">
        <v>135</v>
      </c>
      <c r="I264" s="15">
        <f>F264*H264</f>
        <v>5940000</v>
      </c>
      <c r="J264" s="16" t="e">
        <f ca="1">I264/L264</f>
        <v>#NAME?</v>
      </c>
      <c r="K264" s="15" t="e">
        <f ca="1">J264*L264</f>
        <v>#NAME?</v>
      </c>
      <c r="L264" s="22" t="e">
        <f ca="1">_xll.BDH("RUB curncy","PX_LAST",$N264)</f>
        <v>#NAME?</v>
      </c>
      <c r="M264" s="85" t="e">
        <f ca="1">1/_xll.BDH("RUB curncy","PX_LAST",$N264)</f>
        <v>#NAME?</v>
      </c>
      <c r="N264" s="14">
        <v>41967</v>
      </c>
    </row>
    <row r="265" spans="2:14" x14ac:dyDescent="0.2">
      <c r="B265" s="71"/>
      <c r="C265" s="72"/>
      <c r="D265" s="73"/>
      <c r="E265" s="73"/>
      <c r="F265" s="79">
        <f>SUM(F262:F264)</f>
        <v>44000</v>
      </c>
      <c r="G265" s="87"/>
      <c r="H265" s="79">
        <f>I265/F265</f>
        <v>119.97499999999999</v>
      </c>
      <c r="I265" s="79">
        <f>SUM(I262:I264)</f>
        <v>5278900</v>
      </c>
      <c r="J265" s="79" t="e">
        <f ca="1">SUM(J262:J264)</f>
        <v>#NAME?</v>
      </c>
      <c r="K265" s="79" t="e">
        <f ca="1">SUM(K262:K264)</f>
        <v>#NAME?</v>
      </c>
      <c r="L265" s="75"/>
      <c r="M265" s="86"/>
      <c r="N265" s="14"/>
    </row>
    <row r="266" spans="2:14" x14ac:dyDescent="0.2">
      <c r="B266" s="71"/>
      <c r="C266" s="72"/>
      <c r="D266" s="73"/>
      <c r="E266" s="73"/>
      <c r="F266" s="79"/>
      <c r="G266" s="87"/>
      <c r="H266" s="80"/>
      <c r="I266" s="79"/>
      <c r="J266" s="79"/>
      <c r="K266" s="79"/>
      <c r="L266" s="75"/>
      <c r="M266" s="86"/>
      <c r="N266" s="14"/>
    </row>
    <row r="267" spans="2:14" x14ac:dyDescent="0.2">
      <c r="B267" s="21" t="s">
        <v>126</v>
      </c>
      <c r="C267" s="20" t="s">
        <v>49</v>
      </c>
      <c r="D267" s="18" t="e">
        <f ca="1">_xll.BDP(C267,"SECURITY_NAME")</f>
        <v>#NAME?</v>
      </c>
      <c r="E267" s="18" t="s">
        <v>50</v>
      </c>
      <c r="F267" s="19">
        <v>1000</v>
      </c>
      <c r="G267" s="18" t="e">
        <f ca="1">_xll.BDP(C267,"CRNCY")</f>
        <v>#NAME?</v>
      </c>
      <c r="H267" s="22" t="e">
        <f ca="1">_xll.BDH(C267,"PX_LAST",N267)</f>
        <v>#NAME?</v>
      </c>
      <c r="I267" s="15" t="e">
        <f t="shared" ref="I267:I275" ca="1" si="61">F267*H267</f>
        <v>#NAME?</v>
      </c>
      <c r="J267" s="16" t="e">
        <f t="shared" ref="J267:J275" ca="1" si="62">I267</f>
        <v>#NAME?</v>
      </c>
      <c r="K267" s="15" t="e">
        <f t="shared" ref="K267:K275" ca="1" si="63">J267*L267</f>
        <v>#NAME?</v>
      </c>
      <c r="L267" s="22" t="e">
        <f ca="1">_xll.BDH("RUB curncy","PX_LAST",$N267)</f>
        <v>#NAME?</v>
      </c>
      <c r="M267" s="85" t="e">
        <f ca="1">1/_xll.BDH("RUB curncy","PX_LAST",$N267)</f>
        <v>#NAME?</v>
      </c>
      <c r="N267" s="14">
        <v>42059</v>
      </c>
    </row>
    <row r="268" spans="2:14" x14ac:dyDescent="0.2">
      <c r="B268" s="21" t="s">
        <v>126</v>
      </c>
      <c r="C268" s="20" t="s">
        <v>49</v>
      </c>
      <c r="D268" s="18" t="e">
        <f ca="1">_xll.BDP(C268,"SECURITY_NAME")</f>
        <v>#NAME?</v>
      </c>
      <c r="E268" s="18" t="s">
        <v>50</v>
      </c>
      <c r="F268" s="19">
        <v>1000</v>
      </c>
      <c r="G268" s="18" t="e">
        <f ca="1">_xll.BDP(C268,"CRNCY")</f>
        <v>#NAME?</v>
      </c>
      <c r="H268" s="22" t="e">
        <f ca="1">_xll.BDH(C268,"PX_LAST",N268)</f>
        <v>#NAME?</v>
      </c>
      <c r="I268" s="15" t="e">
        <f t="shared" ca="1" si="61"/>
        <v>#NAME?</v>
      </c>
      <c r="J268" s="16" t="e">
        <f t="shared" ca="1" si="62"/>
        <v>#NAME?</v>
      </c>
      <c r="K268" s="15" t="e">
        <f t="shared" ca="1" si="63"/>
        <v>#NAME?</v>
      </c>
      <c r="L268" s="22" t="e">
        <f ca="1">_xll.BDH("RUB curncy","PX_LAST",$N268)</f>
        <v>#NAME?</v>
      </c>
      <c r="M268" s="85" t="e">
        <f ca="1">1/_xll.BDH("RUB curncy","PX_LAST",$N268)</f>
        <v>#NAME?</v>
      </c>
      <c r="N268" s="14">
        <v>42055</v>
      </c>
    </row>
    <row r="269" spans="2:14" x14ac:dyDescent="0.2">
      <c r="B269" s="21" t="s">
        <v>126</v>
      </c>
      <c r="C269" s="20" t="s">
        <v>49</v>
      </c>
      <c r="D269" s="18" t="e">
        <f ca="1">_xll.BDP(C269,"SECURITY_NAME")</f>
        <v>#NAME?</v>
      </c>
      <c r="E269" s="18" t="s">
        <v>50</v>
      </c>
      <c r="F269" s="19">
        <v>4500</v>
      </c>
      <c r="G269" s="18" t="e">
        <f ca="1">_xll.BDP(C269,"CRNCY")</f>
        <v>#NAME?</v>
      </c>
      <c r="H269" s="22" t="e">
        <f ca="1">_xll.BDH(C269,"PX_LAST",N269)</f>
        <v>#NAME?</v>
      </c>
      <c r="I269" s="15" t="e">
        <f t="shared" ca="1" si="61"/>
        <v>#NAME?</v>
      </c>
      <c r="J269" s="16" t="e">
        <f t="shared" ca="1" si="62"/>
        <v>#NAME?</v>
      </c>
      <c r="K269" s="15" t="e">
        <f t="shared" ca="1" si="63"/>
        <v>#NAME?</v>
      </c>
      <c r="L269" s="22" t="e">
        <f ca="1">_xll.BDH("RUB curncy","PX_LAST",$N269)</f>
        <v>#NAME?</v>
      </c>
      <c r="M269" s="85" t="e">
        <f ca="1">1/_xll.BDH("RUB curncy","PX_LAST",$N269)</f>
        <v>#NAME?</v>
      </c>
      <c r="N269" s="14">
        <v>42026</v>
      </c>
    </row>
    <row r="270" spans="2:14" x14ac:dyDescent="0.2">
      <c r="B270" s="21" t="s">
        <v>126</v>
      </c>
      <c r="C270" s="20" t="s">
        <v>49</v>
      </c>
      <c r="D270" s="18" t="e">
        <f ca="1">_xll.BDP(C270,"SECURITY_NAME")</f>
        <v>#NAME?</v>
      </c>
      <c r="E270" s="18" t="s">
        <v>50</v>
      </c>
      <c r="F270" s="19">
        <v>2000</v>
      </c>
      <c r="G270" s="18" t="e">
        <f ca="1">_xll.BDP(C270,"CRNCY")</f>
        <v>#NAME?</v>
      </c>
      <c r="H270" s="22" t="e">
        <f ca="1">_xll.BDH(C270,"PX_LAST",N270)</f>
        <v>#NAME?</v>
      </c>
      <c r="I270" s="15" t="e">
        <f t="shared" ca="1" si="61"/>
        <v>#NAME?</v>
      </c>
      <c r="J270" s="16" t="e">
        <f t="shared" ca="1" si="62"/>
        <v>#NAME?</v>
      </c>
      <c r="K270" s="15" t="e">
        <f t="shared" ca="1" si="63"/>
        <v>#NAME?</v>
      </c>
      <c r="L270" s="22" t="e">
        <f ca="1">_xll.BDH("RUB curncy","PX_LAST",$N270)</f>
        <v>#NAME?</v>
      </c>
      <c r="M270" s="85" t="e">
        <f ca="1">1/_xll.BDH("RUB curncy","PX_LAST",$N270)</f>
        <v>#NAME?</v>
      </c>
      <c r="N270" s="14">
        <v>42024</v>
      </c>
    </row>
    <row r="271" spans="2:14" x14ac:dyDescent="0.2">
      <c r="B271" s="21" t="s">
        <v>126</v>
      </c>
      <c r="C271" s="20" t="s">
        <v>49</v>
      </c>
      <c r="D271" s="18" t="e">
        <f ca="1">_xll.BDP(C271,"SECURITY_NAME")</f>
        <v>#NAME?</v>
      </c>
      <c r="E271" s="18" t="s">
        <v>50</v>
      </c>
      <c r="F271" s="19">
        <v>1000</v>
      </c>
      <c r="G271" s="18" t="e">
        <f ca="1">_xll.BDP(C271,"CRNCY")</f>
        <v>#NAME?</v>
      </c>
      <c r="H271" s="22" t="e">
        <f ca="1">_xll.BDH(C271,"PX_LAST",N271)</f>
        <v>#NAME?</v>
      </c>
      <c r="I271" s="15" t="e">
        <f t="shared" ca="1" si="61"/>
        <v>#NAME?</v>
      </c>
      <c r="J271" s="16" t="e">
        <f t="shared" ca="1" si="62"/>
        <v>#NAME?</v>
      </c>
      <c r="K271" s="15" t="e">
        <f t="shared" ca="1" si="63"/>
        <v>#NAME?</v>
      </c>
      <c r="L271" s="22" t="e">
        <f ca="1">_xll.BDH("RUB curncy","PX_LAST",$N271)</f>
        <v>#NAME?</v>
      </c>
      <c r="M271" s="85" t="e">
        <f ca="1">1/_xll.BDH("RUB curncy","PX_LAST",$N271)</f>
        <v>#NAME?</v>
      </c>
      <c r="N271" s="14">
        <v>41982</v>
      </c>
    </row>
    <row r="272" spans="2:14" x14ac:dyDescent="0.2">
      <c r="B272" s="21" t="s">
        <v>126</v>
      </c>
      <c r="C272" s="20" t="s">
        <v>49</v>
      </c>
      <c r="D272" s="18" t="e">
        <f ca="1">_xll.BDP(C272,"SECURITY_NAME")</f>
        <v>#NAME?</v>
      </c>
      <c r="E272" s="18" t="s">
        <v>50</v>
      </c>
      <c r="F272" s="19">
        <v>1000</v>
      </c>
      <c r="G272" s="18" t="e">
        <f ca="1">_xll.BDP(C272,"CRNCY")</f>
        <v>#NAME?</v>
      </c>
      <c r="H272" s="22" t="e">
        <f ca="1">_xll.BDH(C272,"PX_LAST",N272)</f>
        <v>#NAME?</v>
      </c>
      <c r="I272" s="15" t="e">
        <f t="shared" ca="1" si="61"/>
        <v>#NAME?</v>
      </c>
      <c r="J272" s="16" t="e">
        <f t="shared" ca="1" si="62"/>
        <v>#NAME?</v>
      </c>
      <c r="K272" s="15" t="e">
        <f t="shared" ca="1" si="63"/>
        <v>#NAME?</v>
      </c>
      <c r="L272" s="22" t="e">
        <f ca="1">_xll.BDH("RUB curncy","PX_LAST",$N272)</f>
        <v>#NAME?</v>
      </c>
      <c r="M272" s="85" t="e">
        <f ca="1">1/_xll.BDH("RUB curncy","PX_LAST",$N272)</f>
        <v>#NAME?</v>
      </c>
      <c r="N272" s="14">
        <v>41981</v>
      </c>
    </row>
    <row r="273" spans="2:14" x14ac:dyDescent="0.2">
      <c r="B273" s="21" t="s">
        <v>126</v>
      </c>
      <c r="C273" s="20" t="s">
        <v>49</v>
      </c>
      <c r="D273" s="18" t="e">
        <f ca="1">_xll.BDP(C273,"SECURITY_NAME")</f>
        <v>#NAME?</v>
      </c>
      <c r="E273" s="18" t="s">
        <v>50</v>
      </c>
      <c r="F273" s="19">
        <v>1000</v>
      </c>
      <c r="G273" s="18" t="e">
        <f ca="1">_xll.BDP(C273,"CRNCY")</f>
        <v>#NAME?</v>
      </c>
      <c r="H273" s="22" t="e">
        <f ca="1">_xll.BDH(C273,"PX_LAST",N273)</f>
        <v>#NAME?</v>
      </c>
      <c r="I273" s="15" t="e">
        <f t="shared" ca="1" si="61"/>
        <v>#NAME?</v>
      </c>
      <c r="J273" s="16" t="e">
        <f t="shared" ca="1" si="62"/>
        <v>#NAME?</v>
      </c>
      <c r="K273" s="15" t="e">
        <f t="shared" ca="1" si="63"/>
        <v>#NAME?</v>
      </c>
      <c r="L273" s="22" t="e">
        <f ca="1">_xll.BDH("RUB curncy","PX_LAST",$N273)</f>
        <v>#NAME?</v>
      </c>
      <c r="M273" s="85" t="e">
        <f ca="1">1/_xll.BDH("RUB curncy","PX_LAST",$N273)</f>
        <v>#NAME?</v>
      </c>
      <c r="N273" s="14">
        <v>41975</v>
      </c>
    </row>
    <row r="274" spans="2:14" x14ac:dyDescent="0.2">
      <c r="B274" s="21" t="s">
        <v>126</v>
      </c>
      <c r="C274" s="20" t="s">
        <v>49</v>
      </c>
      <c r="D274" s="18" t="e">
        <f ca="1">_xll.BDP(C274,"SECURITY_NAME")</f>
        <v>#NAME?</v>
      </c>
      <c r="E274" s="18" t="s">
        <v>50</v>
      </c>
      <c r="F274" s="19">
        <v>2440</v>
      </c>
      <c r="G274" s="18" t="e">
        <f ca="1">_xll.BDP(C274,"CRNCY")</f>
        <v>#NAME?</v>
      </c>
      <c r="H274" s="22" t="e">
        <f ca="1">_xll.BDH(C274,"PX_LAST",N274)</f>
        <v>#NAME?</v>
      </c>
      <c r="I274" s="15" t="e">
        <f t="shared" ca="1" si="61"/>
        <v>#NAME?</v>
      </c>
      <c r="J274" s="16" t="e">
        <f t="shared" ca="1" si="62"/>
        <v>#NAME?</v>
      </c>
      <c r="K274" s="15" t="e">
        <f t="shared" ca="1" si="63"/>
        <v>#NAME?</v>
      </c>
      <c r="L274" s="22" t="e">
        <f ca="1">_xll.BDH("RUB curncy","PX_LAST",$N274)</f>
        <v>#NAME?</v>
      </c>
      <c r="M274" s="85" t="e">
        <f ca="1">1/_xll.BDH("RUB curncy","PX_LAST",$N274)</f>
        <v>#NAME?</v>
      </c>
      <c r="N274" s="14">
        <v>41971</v>
      </c>
    </row>
    <row r="275" spans="2:14" x14ac:dyDescent="0.2">
      <c r="B275" s="21" t="s">
        <v>126</v>
      </c>
      <c r="C275" s="20" t="s">
        <v>49</v>
      </c>
      <c r="D275" s="18" t="e">
        <f ca="1">_xll.BDP(C275,"SECURITY_NAME")</f>
        <v>#NAME?</v>
      </c>
      <c r="E275" s="18" t="s">
        <v>50</v>
      </c>
      <c r="F275" s="19">
        <v>2560</v>
      </c>
      <c r="G275" s="18" t="e">
        <f ca="1">_xll.BDP(C275,"CRNCY")</f>
        <v>#NAME?</v>
      </c>
      <c r="H275" s="22" t="e">
        <f ca="1">_xll.BDH(C275,"PX_LAST",N275)</f>
        <v>#NAME?</v>
      </c>
      <c r="I275" s="15" t="e">
        <f t="shared" ca="1" si="61"/>
        <v>#NAME?</v>
      </c>
      <c r="J275" s="16" t="e">
        <f t="shared" ca="1" si="62"/>
        <v>#NAME?</v>
      </c>
      <c r="K275" s="15" t="e">
        <f t="shared" ca="1" si="63"/>
        <v>#NAME?</v>
      </c>
      <c r="L275" s="22" t="e">
        <f ca="1">_xll.BDH("RUB curncy","PX_LAST",$N275)</f>
        <v>#NAME?</v>
      </c>
      <c r="M275" s="85" t="e">
        <f ca="1">1/_xll.BDH("RUB curncy","PX_LAST",$N275)</f>
        <v>#NAME?</v>
      </c>
      <c r="N275" s="14">
        <v>41932</v>
      </c>
    </row>
    <row r="276" spans="2:14" x14ac:dyDescent="0.2">
      <c r="B276" s="71"/>
      <c r="C276" s="72"/>
      <c r="D276" s="73"/>
      <c r="E276" s="73"/>
      <c r="F276" s="79">
        <f>SUM(F267:F275)</f>
        <v>16500</v>
      </c>
      <c r="G276" s="87"/>
      <c r="H276" s="80">
        <v>19.2</v>
      </c>
      <c r="I276" s="79" t="e">
        <f ca="1">SUM(I267:I275)</f>
        <v>#NAME?</v>
      </c>
      <c r="J276" s="79" t="e">
        <f ca="1">SUM(J267:J275)</f>
        <v>#NAME?</v>
      </c>
      <c r="K276" s="79" t="e">
        <f ca="1">SUM(K267:K275)</f>
        <v>#NAME?</v>
      </c>
      <c r="L276" s="75"/>
      <c r="M276" s="86"/>
      <c r="N276" s="14"/>
    </row>
    <row r="277" spans="2:14" x14ac:dyDescent="0.2">
      <c r="B277" s="71"/>
      <c r="C277" s="72"/>
      <c r="D277" s="73"/>
      <c r="E277" s="73"/>
      <c r="F277" s="79"/>
      <c r="G277" s="87"/>
      <c r="H277" s="80"/>
      <c r="I277" s="79"/>
      <c r="J277" s="79"/>
      <c r="K277" s="79"/>
      <c r="L277" s="75"/>
      <c r="M277" s="86"/>
      <c r="N277" s="14"/>
    </row>
    <row r="278" spans="2:14" x14ac:dyDescent="0.2">
      <c r="B278" s="21" t="s">
        <v>126</v>
      </c>
      <c r="C278" s="20" t="s">
        <v>14</v>
      </c>
      <c r="D278" s="18" t="e">
        <f ca="1">_xll.BDP(C278,"SECURITY_NAME")</f>
        <v>#NAME?</v>
      </c>
      <c r="E278" s="18" t="s">
        <v>50</v>
      </c>
      <c r="F278" s="19">
        <v>45000</v>
      </c>
      <c r="G278" s="18" t="e">
        <f ca="1">_xll.BDP(C278,"CRNCY")</f>
        <v>#NAME?</v>
      </c>
      <c r="H278" s="22" t="e">
        <f ca="1">_xll.BDH(C278,"PX_LAST",N278)</f>
        <v>#NAME?</v>
      </c>
      <c r="I278" s="15" t="e">
        <f ca="1">F278*H278</f>
        <v>#NAME?</v>
      </c>
      <c r="J278" s="16" t="e">
        <f ca="1">I278</f>
        <v>#NAME?</v>
      </c>
      <c r="K278" s="15" t="e">
        <f ca="1">J278*L278</f>
        <v>#NAME?</v>
      </c>
      <c r="L278" s="22" t="e">
        <f ca="1">_xll.BDH("RUB curncy","PX_LAST",$N278)</f>
        <v>#NAME?</v>
      </c>
      <c r="M278" s="85" t="e">
        <f ca="1">1/_xll.BDH("RUB curncy","PX_LAST",$N278)</f>
        <v>#NAME?</v>
      </c>
      <c r="N278" s="14">
        <v>41702</v>
      </c>
    </row>
    <row r="279" spans="2:14" x14ac:dyDescent="0.2">
      <c r="B279" s="71"/>
      <c r="C279" s="72"/>
      <c r="D279" s="73"/>
      <c r="E279" s="73"/>
      <c r="F279" s="79">
        <f>SUM(F278)</f>
        <v>45000</v>
      </c>
      <c r="G279" s="87"/>
      <c r="H279" s="80" t="e">
        <f ca="1">I279/F279</f>
        <v>#NAME?</v>
      </c>
      <c r="I279" s="79" t="e">
        <f ca="1">SUM(I278)</f>
        <v>#NAME?</v>
      </c>
      <c r="J279" s="79" t="e">
        <f ca="1">SUM(J278)</f>
        <v>#NAME?</v>
      </c>
      <c r="K279" s="79" t="e">
        <f ca="1">SUM(K278)</f>
        <v>#NAME?</v>
      </c>
      <c r="L279" s="75"/>
      <c r="M279" s="86"/>
      <c r="N279" s="14"/>
    </row>
    <row r="281" spans="2:14" x14ac:dyDescent="0.2">
      <c r="B281" s="21" t="s">
        <v>126</v>
      </c>
      <c r="C281" s="20" t="s">
        <v>4</v>
      </c>
      <c r="D281" s="18" t="e">
        <f ca="1">_xll.BDP(C281,"SECURITY_NAME")</f>
        <v>#NAME?</v>
      </c>
      <c r="E281" s="18" t="s">
        <v>50</v>
      </c>
      <c r="F281" s="19">
        <v>26100</v>
      </c>
      <c r="G281" s="18" t="e">
        <f ca="1">_xll.BDP(C281,"CRNCY")</f>
        <v>#NAME?</v>
      </c>
      <c r="H281" s="22" t="e">
        <f ca="1">_xll.BDH(C281,"PX_LAST",N281)</f>
        <v>#NAME?</v>
      </c>
      <c r="I281" s="15" t="e">
        <f ca="1">F281*H281</f>
        <v>#NAME?</v>
      </c>
      <c r="J281" s="16" t="e">
        <f ca="1">I281</f>
        <v>#NAME?</v>
      </c>
      <c r="K281" s="15" t="e">
        <f ca="1">J281*L281</f>
        <v>#NAME?</v>
      </c>
      <c r="L281" s="22" t="e">
        <f ca="1">_xll.BDH("RUB curncy","PX_LAST",$N281)</f>
        <v>#NAME?</v>
      </c>
      <c r="M281" s="85" t="e">
        <f ca="1">1/_xll.BDH("RUB curncy","PX_LAST",$N281)</f>
        <v>#NAME?</v>
      </c>
      <c r="N281" s="14">
        <v>41974</v>
      </c>
    </row>
    <row r="282" spans="2:14" x14ac:dyDescent="0.2">
      <c r="B282" s="21" t="s">
        <v>126</v>
      </c>
      <c r="C282" s="20" t="s">
        <v>4</v>
      </c>
      <c r="D282" s="18" t="e">
        <f ca="1">_xll.BDP(C282,"SECURITY_NAME")</f>
        <v>#NAME?</v>
      </c>
      <c r="E282" s="18" t="s">
        <v>50</v>
      </c>
      <c r="F282" s="19">
        <v>38900</v>
      </c>
      <c r="G282" s="18" t="e">
        <f ca="1">_xll.BDP(C282,"CRNCY")</f>
        <v>#NAME?</v>
      </c>
      <c r="H282" s="22" t="e">
        <f ca="1">_xll.BDH(C282,"PX_LAST",N282)</f>
        <v>#NAME?</v>
      </c>
      <c r="I282" s="15" t="e">
        <f ca="1">F282*H282</f>
        <v>#NAME?</v>
      </c>
      <c r="J282" s="16" t="e">
        <f ca="1">I282</f>
        <v>#NAME?</v>
      </c>
      <c r="K282" s="15" t="e">
        <f ca="1">J282*L282</f>
        <v>#NAME?</v>
      </c>
      <c r="L282" s="22" t="e">
        <f ca="1">_xll.BDH("RUB curncy","PX_LAST",$N282)</f>
        <v>#NAME?</v>
      </c>
      <c r="M282" s="85" t="e">
        <f ca="1">1/_xll.BDH("RUB curncy","PX_LAST",$N282)</f>
        <v>#NAME?</v>
      </c>
      <c r="N282" s="14">
        <v>41934</v>
      </c>
    </row>
    <row r="283" spans="2:14" x14ac:dyDescent="0.2">
      <c r="B283" s="21" t="s">
        <v>126</v>
      </c>
      <c r="C283" s="20" t="s">
        <v>4</v>
      </c>
      <c r="D283" s="18" t="e">
        <f ca="1">_xll.BDP(C283,"SECURITY_NAME")</f>
        <v>#NAME?</v>
      </c>
      <c r="E283" s="18" t="s">
        <v>50</v>
      </c>
      <c r="F283" s="19">
        <v>35000</v>
      </c>
      <c r="G283" s="18" t="e">
        <f ca="1">_xll.BDP(C283,"CRNCY")</f>
        <v>#NAME?</v>
      </c>
      <c r="H283" s="22" t="e">
        <f ca="1">_xll.BDH(C283,"PX_LAST",N283)</f>
        <v>#NAME?</v>
      </c>
      <c r="I283" s="15" t="e">
        <f ca="1">F283*H283</f>
        <v>#NAME?</v>
      </c>
      <c r="J283" s="16" t="e">
        <f ca="1">I283</f>
        <v>#NAME?</v>
      </c>
      <c r="K283" s="15" t="e">
        <f ca="1">J283*L283</f>
        <v>#NAME?</v>
      </c>
      <c r="L283" s="22" t="e">
        <f ca="1">_xll.BDH("RUB curncy","PX_LAST",$N283)</f>
        <v>#NAME?</v>
      </c>
      <c r="M283" s="85" t="e">
        <f ca="1">1/_xll.BDH("RUB curncy","PX_LAST",$N283)</f>
        <v>#NAME?</v>
      </c>
      <c r="N283" s="14">
        <v>41702</v>
      </c>
    </row>
    <row r="284" spans="2:14" x14ac:dyDescent="0.2">
      <c r="B284" s="71"/>
      <c r="C284" s="72"/>
      <c r="D284" s="73"/>
      <c r="E284" s="73"/>
      <c r="F284" s="79">
        <f>SUM(F281:F283)</f>
        <v>100000</v>
      </c>
      <c r="G284" s="87"/>
      <c r="H284" s="80" t="e">
        <f ca="1">I284/F284</f>
        <v>#NAME?</v>
      </c>
      <c r="I284" s="79" t="e">
        <f ca="1">SUM(I281:I283)</f>
        <v>#NAME?</v>
      </c>
      <c r="J284" s="79" t="e">
        <f ca="1">SUM(J281:J283)</f>
        <v>#NAME?</v>
      </c>
      <c r="K284" s="79" t="e">
        <f ca="1">SUM(K281:K283)</f>
        <v>#NAME?</v>
      </c>
      <c r="L284" s="75"/>
      <c r="M284" s="86"/>
      <c r="N284" s="14"/>
    </row>
    <row r="286" spans="2:14" x14ac:dyDescent="0.2">
      <c r="B286" s="21" t="s">
        <v>126</v>
      </c>
      <c r="C286" s="20" t="s">
        <v>154</v>
      </c>
      <c r="D286" s="18" t="e">
        <f ca="1">_xll.BDP(C286,"SECURITY_NAME")</f>
        <v>#NAME?</v>
      </c>
      <c r="E286" s="18" t="s">
        <v>50</v>
      </c>
      <c r="F286" s="19">
        <v>708</v>
      </c>
      <c r="G286" s="18" t="e">
        <f ca="1">_xll.BDP(C286,"CRNCY")</f>
        <v>#NAME?</v>
      </c>
      <c r="H286" s="22" t="e">
        <f ca="1">_xll.BDH(C286,"PX_LAST",N286)</f>
        <v>#NAME?</v>
      </c>
      <c r="I286" s="15" t="e">
        <f ca="1">F286*H286</f>
        <v>#NAME?</v>
      </c>
      <c r="J286" s="16" t="e">
        <f ca="1">I286</f>
        <v>#NAME?</v>
      </c>
      <c r="K286" s="15" t="e">
        <f ca="1">J286*L286</f>
        <v>#NAME?</v>
      </c>
      <c r="L286" s="22" t="e">
        <f ca="1">_xll.BDH("RUB curncy","PX_LAST",$N286)</f>
        <v>#NAME?</v>
      </c>
      <c r="M286" s="85" t="e">
        <f ca="1">1/_xll.BDH("RUB curncy","PX_LAST",$N286)</f>
        <v>#NAME?</v>
      </c>
      <c r="N286" s="14">
        <v>41332</v>
      </c>
    </row>
    <row r="287" spans="2:14" x14ac:dyDescent="0.2">
      <c r="B287" s="71"/>
      <c r="C287" s="72"/>
      <c r="D287" s="73"/>
      <c r="E287" s="73"/>
      <c r="F287" s="79">
        <f>SUM(F286)</f>
        <v>708</v>
      </c>
      <c r="G287" s="87"/>
      <c r="H287" s="80" t="e">
        <f ca="1">I287/F287</f>
        <v>#NAME?</v>
      </c>
      <c r="I287" s="79" t="e">
        <f ca="1">SUM(I286)</f>
        <v>#NAME?</v>
      </c>
      <c r="J287" s="79" t="e">
        <f ca="1">SUM(J286)</f>
        <v>#NAME?</v>
      </c>
      <c r="K287" s="79" t="e">
        <f ca="1">SUM(K286)</f>
        <v>#NAME?</v>
      </c>
      <c r="L287" s="75"/>
      <c r="M287" s="86"/>
      <c r="N287" s="14"/>
    </row>
    <row r="288" spans="2:14" x14ac:dyDescent="0.2">
      <c r="B288" s="71"/>
      <c r="C288" s="72"/>
      <c r="D288" s="73"/>
      <c r="E288" s="73"/>
      <c r="F288" s="79"/>
      <c r="G288" s="87"/>
      <c r="H288" s="80"/>
      <c r="I288" s="79"/>
      <c r="J288" s="79"/>
      <c r="K288" s="79"/>
      <c r="L288" s="75"/>
      <c r="M288" s="86"/>
      <c r="N288" s="14"/>
    </row>
    <row r="289" spans="2:14" x14ac:dyDescent="0.2">
      <c r="B289" s="71"/>
      <c r="C289" s="72"/>
      <c r="D289" s="73"/>
      <c r="E289" s="73"/>
      <c r="F289" s="79"/>
      <c r="G289" s="87"/>
      <c r="H289" s="80"/>
      <c r="I289" s="79"/>
      <c r="J289" s="79"/>
      <c r="K289" s="79"/>
      <c r="L289" s="75"/>
      <c r="M289" s="86"/>
      <c r="N289" s="14"/>
    </row>
    <row r="290" spans="2:14" x14ac:dyDescent="0.2">
      <c r="B290" s="21" t="s">
        <v>126</v>
      </c>
      <c r="C290" s="20" t="s">
        <v>48</v>
      </c>
      <c r="D290" s="18" t="e">
        <f ca="1">_xll.BDP(C290,"SECURITY_NAME")</f>
        <v>#NAME?</v>
      </c>
      <c r="E290" s="18" t="s">
        <v>50</v>
      </c>
      <c r="F290" s="19">
        <v>40000</v>
      </c>
      <c r="G290" s="18" t="e">
        <f ca="1">_xll.BDP(C290,"CRNCY")</f>
        <v>#NAME?</v>
      </c>
      <c r="H290" s="22" t="e">
        <f ca="1">_xll.BDH(C290,"PX_LAST",N290)</f>
        <v>#NAME?</v>
      </c>
      <c r="I290" s="15" t="e">
        <f t="shared" ref="I290:I295" ca="1" si="64">F290*H290</f>
        <v>#NAME?</v>
      </c>
      <c r="J290" s="16" t="e">
        <f t="shared" ref="J290:J295" ca="1" si="65">I290/L290</f>
        <v>#NAME?</v>
      </c>
      <c r="K290" s="15" t="e">
        <f t="shared" ref="K290:K295" ca="1" si="66">J290*M290</f>
        <v>#NAME?</v>
      </c>
      <c r="L290" s="22" t="e">
        <f ca="1">_xll.BDH("CAD curncy","PX_LAST",$N290)</f>
        <v>#NAME?</v>
      </c>
      <c r="M290" s="22" t="e">
        <f ca="1">_xll.BDH("RUB curncy","PX_LAST",$N290)</f>
        <v>#NAME?</v>
      </c>
      <c r="N290" s="14">
        <v>41864</v>
      </c>
    </row>
    <row r="291" spans="2:14" x14ac:dyDescent="0.2">
      <c r="B291" s="21" t="s">
        <v>126</v>
      </c>
      <c r="C291" s="20" t="s">
        <v>48</v>
      </c>
      <c r="D291" s="18" t="e">
        <f ca="1">_xll.BDP(C291,"SECURITY_NAME")</f>
        <v>#NAME?</v>
      </c>
      <c r="E291" s="18" t="s">
        <v>50</v>
      </c>
      <c r="F291" s="19">
        <v>30500</v>
      </c>
      <c r="G291" s="18" t="e">
        <f ca="1">_xll.BDP(C291,"CRNCY")</f>
        <v>#NAME?</v>
      </c>
      <c r="H291" s="22" t="e">
        <f ca="1">_xll.BDH(C291,"PX_LAST",N291)</f>
        <v>#NAME?</v>
      </c>
      <c r="I291" s="15" t="e">
        <f ca="1">F291*H291</f>
        <v>#NAME?</v>
      </c>
      <c r="J291" s="16" t="e">
        <f ca="1">I291/L291</f>
        <v>#NAME?</v>
      </c>
      <c r="K291" s="15" t="e">
        <f t="shared" ca="1" si="66"/>
        <v>#NAME?</v>
      </c>
      <c r="L291" s="22" t="e">
        <f ca="1">_xll.BDH("CAD curncy","PX_LAST",$N291)</f>
        <v>#NAME?</v>
      </c>
      <c r="M291" s="22" t="e">
        <f ca="1">_xll.BDH("RUB curncy","PX_LAST",$N291)</f>
        <v>#NAME?</v>
      </c>
      <c r="N291" s="14">
        <v>41863</v>
      </c>
    </row>
    <row r="292" spans="2:14" x14ac:dyDescent="0.2">
      <c r="B292" s="21" t="s">
        <v>126</v>
      </c>
      <c r="C292" s="20" t="s">
        <v>48</v>
      </c>
      <c r="D292" s="18" t="e">
        <f ca="1">_xll.BDP(C292,"SECURITY_NAME")</f>
        <v>#NAME?</v>
      </c>
      <c r="E292" s="18" t="s">
        <v>50</v>
      </c>
      <c r="F292" s="19">
        <v>70000</v>
      </c>
      <c r="G292" s="18" t="e">
        <f ca="1">_xll.BDP(C292,"CRNCY")</f>
        <v>#NAME?</v>
      </c>
      <c r="H292" s="22" t="e">
        <f ca="1">_xll.BDH(C292,"PX_LAST",N292)</f>
        <v>#NAME?</v>
      </c>
      <c r="I292" s="15" t="e">
        <f ca="1">F292*H292</f>
        <v>#NAME?</v>
      </c>
      <c r="J292" s="16" t="e">
        <f ca="1">I292/L292</f>
        <v>#NAME?</v>
      </c>
      <c r="K292" s="15" t="e">
        <f t="shared" ca="1" si="66"/>
        <v>#NAME?</v>
      </c>
      <c r="L292" s="22" t="e">
        <f ca="1">_xll.BDH("CAD curncy","PX_LAST",$N292)</f>
        <v>#NAME?</v>
      </c>
      <c r="M292" s="22" t="e">
        <f ca="1">_xll.BDH("RUB curncy","PX_LAST",$N292)</f>
        <v>#NAME?</v>
      </c>
      <c r="N292" s="14">
        <v>41842</v>
      </c>
    </row>
    <row r="293" spans="2:14" x14ac:dyDescent="0.2">
      <c r="B293" s="21" t="s">
        <v>126</v>
      </c>
      <c r="C293" s="20" t="s">
        <v>48</v>
      </c>
      <c r="D293" s="18" t="e">
        <f ca="1">_xll.BDP(C293,"SECURITY_NAME")</f>
        <v>#NAME?</v>
      </c>
      <c r="E293" s="18" t="s">
        <v>50</v>
      </c>
      <c r="F293" s="19">
        <v>10000</v>
      </c>
      <c r="G293" s="18" t="e">
        <f ca="1">_xll.BDP(C293,"CRNCY")</f>
        <v>#NAME?</v>
      </c>
      <c r="H293" s="22" t="e">
        <f ca="1">_xll.BDH(C293,"PX_LAST",N293)</f>
        <v>#NAME?</v>
      </c>
      <c r="I293" s="15" t="e">
        <f ca="1">F293*H293</f>
        <v>#NAME?</v>
      </c>
      <c r="J293" s="16" t="e">
        <f ca="1">I293/L293</f>
        <v>#NAME?</v>
      </c>
      <c r="K293" s="15" t="e">
        <f t="shared" ca="1" si="66"/>
        <v>#NAME?</v>
      </c>
      <c r="L293" s="22" t="e">
        <f ca="1">_xll.BDH("CAD curncy","PX_LAST",$N293)</f>
        <v>#NAME?</v>
      </c>
      <c r="M293" s="22" t="e">
        <f ca="1">_xll.BDH("RUB curncy","PX_LAST",$N293)</f>
        <v>#NAME?</v>
      </c>
      <c r="N293" s="14">
        <v>41793</v>
      </c>
    </row>
    <row r="294" spans="2:14" x14ac:dyDescent="0.2">
      <c r="B294" s="21" t="s">
        <v>126</v>
      </c>
      <c r="C294" s="20" t="s">
        <v>48</v>
      </c>
      <c r="D294" s="18" t="e">
        <f ca="1">_xll.BDP(C294,"SECURITY_NAME")</f>
        <v>#NAME?</v>
      </c>
      <c r="E294" s="18" t="s">
        <v>50</v>
      </c>
      <c r="F294" s="19">
        <v>10000</v>
      </c>
      <c r="G294" s="18" t="e">
        <f ca="1">_xll.BDP(C294,"CRNCY")</f>
        <v>#NAME?</v>
      </c>
      <c r="H294" s="22" t="e">
        <f ca="1">_xll.BDH(C294,"PX_LAST",N294)</f>
        <v>#NAME?</v>
      </c>
      <c r="I294" s="15" t="e">
        <f t="shared" ca="1" si="64"/>
        <v>#NAME?</v>
      </c>
      <c r="J294" s="16" t="e">
        <f t="shared" ca="1" si="65"/>
        <v>#NAME?</v>
      </c>
      <c r="K294" s="15" t="e">
        <f t="shared" ca="1" si="66"/>
        <v>#NAME?</v>
      </c>
      <c r="L294" s="22" t="e">
        <f ca="1">_xll.BDH("CAD curncy","PX_LAST",$N294)</f>
        <v>#NAME?</v>
      </c>
      <c r="M294" s="22" t="e">
        <f ca="1">_xll.BDH("RUB curncy","PX_LAST",$N294)</f>
        <v>#NAME?</v>
      </c>
      <c r="N294" s="14">
        <v>41788</v>
      </c>
    </row>
    <row r="295" spans="2:14" x14ac:dyDescent="0.2">
      <c r="B295" s="21" t="s">
        <v>126</v>
      </c>
      <c r="C295" s="20" t="s">
        <v>48</v>
      </c>
      <c r="D295" s="18" t="e">
        <f ca="1">_xll.BDP(C295,"SECURITY_NAME")</f>
        <v>#NAME?</v>
      </c>
      <c r="E295" s="18" t="s">
        <v>50</v>
      </c>
      <c r="F295" s="19">
        <v>50000</v>
      </c>
      <c r="G295" s="18" t="e">
        <f ca="1">_xll.BDP(C295,"CRNCY")</f>
        <v>#NAME?</v>
      </c>
      <c r="H295" s="22" t="e">
        <f ca="1">_xll.BDH(C295,"PX_LAST",N295)</f>
        <v>#NAME?</v>
      </c>
      <c r="I295" s="15" t="e">
        <f t="shared" ca="1" si="64"/>
        <v>#NAME?</v>
      </c>
      <c r="J295" s="16" t="e">
        <f t="shared" ca="1" si="65"/>
        <v>#NAME?</v>
      </c>
      <c r="K295" s="15" t="e">
        <f t="shared" ca="1" si="66"/>
        <v>#NAME?</v>
      </c>
      <c r="L295" s="22" t="e">
        <f ca="1">_xll.BDH("CAD curncy","PX_LAST",$N295)</f>
        <v>#NAME?</v>
      </c>
      <c r="M295" s="22" t="e">
        <f ca="1">_xll.BDH("RUB curncy","PX_LAST",$N295)</f>
        <v>#NAME?</v>
      </c>
      <c r="N295" s="14">
        <v>41785</v>
      </c>
    </row>
    <row r="296" spans="2:14" x14ac:dyDescent="0.2">
      <c r="B296" s="71"/>
      <c r="C296" s="72"/>
      <c r="D296" s="73"/>
      <c r="E296" s="73"/>
      <c r="F296" s="79">
        <f>SUM(F290:F295)</f>
        <v>210500</v>
      </c>
      <c r="G296" s="87"/>
      <c r="H296" s="80" t="e">
        <f ca="1">I296/F296</f>
        <v>#NAME?</v>
      </c>
      <c r="I296" s="79" t="e">
        <f ca="1">SUM(I290:I295)</f>
        <v>#NAME?</v>
      </c>
      <c r="J296" s="79" t="e">
        <f ca="1">SUM(J290:J295)</f>
        <v>#NAME?</v>
      </c>
      <c r="K296" s="79" t="e">
        <f ca="1">SUM(K290:K295)</f>
        <v>#NAME?</v>
      </c>
      <c r="L296" s="75"/>
      <c r="M296" s="86"/>
      <c r="N296" s="14"/>
    </row>
    <row r="297" spans="2:14" x14ac:dyDescent="0.2">
      <c r="B297" s="71"/>
      <c r="C297" s="72"/>
      <c r="D297" s="73"/>
      <c r="E297" s="73"/>
      <c r="F297" s="79"/>
      <c r="G297" s="87"/>
      <c r="H297" s="80"/>
      <c r="I297" s="79"/>
      <c r="J297" s="79"/>
      <c r="K297" s="79"/>
      <c r="L297" s="75"/>
      <c r="M297" s="86"/>
      <c r="N297" s="14"/>
    </row>
    <row r="298" spans="2:14" x14ac:dyDescent="0.2">
      <c r="B298" s="21" t="s">
        <v>126</v>
      </c>
      <c r="C298" s="20" t="s">
        <v>6</v>
      </c>
      <c r="D298" s="18" t="e">
        <f ca="1">_xll.BDP(C298,"SECURITY_NAME")</f>
        <v>#NAME?</v>
      </c>
      <c r="E298" s="18" t="s">
        <v>50</v>
      </c>
      <c r="F298" s="19">
        <v>690000</v>
      </c>
      <c r="G298" s="18" t="e">
        <f ca="1">_xll.BDP(C298,"CRNCY")</f>
        <v>#NAME?</v>
      </c>
      <c r="H298" s="22" t="e">
        <f ca="1">_xll.BDH(C298,"PX_LAST",N298)</f>
        <v>#NAME?</v>
      </c>
      <c r="I298" s="15" t="e">
        <f ca="1">F298*H298</f>
        <v>#NAME?</v>
      </c>
      <c r="J298" s="16" t="e">
        <f ca="1">I298/L298</f>
        <v>#NAME?</v>
      </c>
      <c r="K298" s="15" t="e">
        <f ca="1">J298*L298</f>
        <v>#NAME?</v>
      </c>
      <c r="L298" s="22" t="e">
        <f ca="1">_xll.BDH("RUB curncy","PX_LAST",$N298)</f>
        <v>#NAME?</v>
      </c>
      <c r="M298" s="85" t="e">
        <f ca="1">1/_xll.BDH("RUB curncy","PX_LAST",$N298)</f>
        <v>#NAME?</v>
      </c>
      <c r="N298" s="14">
        <v>41645</v>
      </c>
    </row>
    <row r="299" spans="2:14" x14ac:dyDescent="0.2">
      <c r="B299" s="71"/>
      <c r="C299" s="72"/>
      <c r="D299" s="73">
        <f>E299/F299</f>
        <v>7.2463768115942032E-2</v>
      </c>
      <c r="E299" s="73">
        <v>50000</v>
      </c>
      <c r="F299" s="79">
        <f>SUM(F298:F298)</f>
        <v>690000</v>
      </c>
      <c r="G299" s="87"/>
      <c r="H299" s="80" t="e">
        <f ca="1">I299/F299</f>
        <v>#NAME?</v>
      </c>
      <c r="I299" s="79" t="e">
        <f ca="1">SUM(I298:I298)</f>
        <v>#NAME?</v>
      </c>
      <c r="J299" s="79" t="e">
        <f ca="1">SUM(J298:J298)*D299</f>
        <v>#NAME?</v>
      </c>
      <c r="K299" s="79" t="e">
        <f ca="1">SUM(K298:K298)</f>
        <v>#NAME?</v>
      </c>
      <c r="L299" s="75"/>
      <c r="M299" s="86"/>
      <c r="N299" s="14"/>
    </row>
    <row r="301" spans="2:14" s="354" customFormat="1" x14ac:dyDescent="0.2">
      <c r="B301" s="797" t="s">
        <v>126</v>
      </c>
      <c r="C301" s="798" t="s">
        <v>7</v>
      </c>
      <c r="D301" s="799" t="e">
        <f ca="1">_xll.BDP(C301,"SECURITY_NAME")</f>
        <v>#NAME?</v>
      </c>
      <c r="E301" s="799" t="s">
        <v>50</v>
      </c>
      <c r="F301" s="800">
        <v>180000</v>
      </c>
      <c r="G301" s="799" t="e">
        <f ca="1">_xll.BDP(C301,"CRNCY")</f>
        <v>#NAME?</v>
      </c>
      <c r="H301" s="801" t="e">
        <f ca="1">_xll.BDH(C301,"PX_LAST",N301)</f>
        <v>#NAME?</v>
      </c>
      <c r="I301" s="802" t="e">
        <f ca="1">F301*H301</f>
        <v>#NAME?</v>
      </c>
      <c r="J301" s="803" t="e">
        <f ca="1">I301/L301</f>
        <v>#NAME?</v>
      </c>
      <c r="K301" s="802" t="e">
        <f ca="1">J301*L301</f>
        <v>#NAME?</v>
      </c>
      <c r="L301" s="801" t="e">
        <f ca="1">_xll.BDH("RUB curncy","PX_LAST",$N301)</f>
        <v>#NAME?</v>
      </c>
      <c r="M301" s="804" t="e">
        <f ca="1">1/_xll.BDH("RUB curncy","PX_LAST",$N301)</f>
        <v>#NAME?</v>
      </c>
      <c r="N301" s="805">
        <v>41645</v>
      </c>
    </row>
    <row r="302" spans="2:14" x14ac:dyDescent="0.2">
      <c r="F302" s="79">
        <f>SUM(F301:F301)</f>
        <v>180000</v>
      </c>
      <c r="H302" s="88" t="e">
        <f ca="1">I302/F302</f>
        <v>#NAME?</v>
      </c>
      <c r="I302" s="79" t="e">
        <f ca="1">SUM(I301:I301)</f>
        <v>#NAME?</v>
      </c>
      <c r="J302" s="79" t="e">
        <f ca="1">SUM(J301:J301)</f>
        <v>#NAME?</v>
      </c>
      <c r="K302" s="79" t="e">
        <f ca="1">SUM(K301:K301)</f>
        <v>#NAME?</v>
      </c>
    </row>
    <row r="304" spans="2:14" x14ac:dyDescent="0.2">
      <c r="B304" s="21" t="s">
        <v>126</v>
      </c>
      <c r="C304" s="20" t="s">
        <v>64</v>
      </c>
      <c r="D304" s="18" t="e">
        <f ca="1">_xll.BDP(C304,"SECURITY_NAME")</f>
        <v>#NAME?</v>
      </c>
      <c r="E304" s="18" t="s">
        <v>50</v>
      </c>
      <c r="F304" s="19">
        <v>1800</v>
      </c>
      <c r="G304" s="18" t="e">
        <f ca="1">_xll.BDP(C304,"CRNCY")</f>
        <v>#NAME?</v>
      </c>
      <c r="H304" s="22" t="e">
        <f ca="1">_xll.BDH(C304,"PX_LAST",N304)</f>
        <v>#NAME?</v>
      </c>
      <c r="I304" s="15" t="e">
        <f ca="1">F304*H304</f>
        <v>#NAME?</v>
      </c>
      <c r="J304" s="16" t="e">
        <f ca="1">I304</f>
        <v>#NAME?</v>
      </c>
      <c r="K304" s="15" t="e">
        <f ca="1">J304*L304</f>
        <v>#NAME?</v>
      </c>
      <c r="L304" s="22" t="e">
        <f ca="1">_xll.BDH("RUB curncy","PX_LAST",$N304)</f>
        <v>#NAME?</v>
      </c>
      <c r="M304" s="85" t="e">
        <f ca="1">1/_xll.BDH("RUB curncy","PX_LAST",$N304)</f>
        <v>#NAME?</v>
      </c>
      <c r="N304" s="14">
        <v>41675</v>
      </c>
    </row>
    <row r="305" spans="2:14" x14ac:dyDescent="0.2">
      <c r="B305" s="21" t="s">
        <v>126</v>
      </c>
      <c r="C305" s="20" t="s">
        <v>64</v>
      </c>
      <c r="D305" s="18" t="e">
        <f ca="1">_xll.BDP(C305,"SECURITY_NAME")</f>
        <v>#NAME?</v>
      </c>
      <c r="E305" s="18" t="s">
        <v>50</v>
      </c>
      <c r="F305" s="19">
        <v>8200</v>
      </c>
      <c r="G305" s="18" t="e">
        <f ca="1">_xll.BDP(C305,"CRNCY")</f>
        <v>#NAME?</v>
      </c>
      <c r="H305" s="22" t="e">
        <f ca="1">_xll.BDH(C305,"PX_LAST",N305)</f>
        <v>#NAME?</v>
      </c>
      <c r="I305" s="15" t="e">
        <f ca="1">F305*H305</f>
        <v>#NAME?</v>
      </c>
      <c r="J305" s="16" t="e">
        <f ca="1">I305</f>
        <v>#NAME?</v>
      </c>
      <c r="K305" s="15" t="e">
        <f ca="1">J305*L305</f>
        <v>#NAME?</v>
      </c>
      <c r="L305" s="22" t="e">
        <f ca="1">_xll.BDH("RUB curncy","PX_LAST",$N305)</f>
        <v>#NAME?</v>
      </c>
      <c r="M305" s="85" t="e">
        <f ca="1">1/_xll.BDH("RUB curncy","PX_LAST",$N305)</f>
        <v>#NAME?</v>
      </c>
      <c r="N305" s="14">
        <v>41624</v>
      </c>
    </row>
    <row r="306" spans="2:14" x14ac:dyDescent="0.2">
      <c r="B306" s="71"/>
      <c r="C306" s="72"/>
      <c r="D306" s="73"/>
      <c r="E306" s="73"/>
      <c r="F306" s="79">
        <f>SUM(F304:F305)</f>
        <v>10000</v>
      </c>
      <c r="G306" s="73"/>
      <c r="H306" s="80" t="e">
        <f ca="1">I306/F306</f>
        <v>#NAME?</v>
      </c>
      <c r="I306" s="79" t="e">
        <f ca="1">SUM(I304:I305)</f>
        <v>#NAME?</v>
      </c>
      <c r="J306" s="79" t="e">
        <f ca="1">SUM(J304:J305)</f>
        <v>#NAME?</v>
      </c>
      <c r="K306" s="79" t="e">
        <f ca="1">SUM(K304:K305)</f>
        <v>#NAME?</v>
      </c>
      <c r="L306" s="75"/>
      <c r="M306" s="78"/>
      <c r="N306" s="14"/>
    </row>
    <row r="307" spans="2:14" x14ac:dyDescent="0.2">
      <c r="B307" s="71"/>
      <c r="C307" s="72"/>
      <c r="D307" s="73"/>
      <c r="E307" s="73"/>
      <c r="F307" s="79"/>
      <c r="G307" s="73"/>
      <c r="H307" s="80"/>
      <c r="I307" s="79"/>
      <c r="J307" s="79"/>
      <c r="K307" s="79"/>
      <c r="L307" s="75"/>
      <c r="M307" s="78"/>
      <c r="N307" s="14"/>
    </row>
    <row r="308" spans="2:14" x14ac:dyDescent="0.2">
      <c r="B308" s="21" t="s">
        <v>126</v>
      </c>
      <c r="C308" s="20" t="s">
        <v>141</v>
      </c>
      <c r="D308" s="18" t="e">
        <f ca="1">_xll.BDP(C308,"SECURITY_NAME")</f>
        <v>#NAME?</v>
      </c>
      <c r="E308" s="18" t="s">
        <v>50</v>
      </c>
      <c r="F308" s="19">
        <v>58000</v>
      </c>
      <c r="G308" s="18" t="e">
        <f ca="1">_xll.BDP(C308,"CRNCY")</f>
        <v>#NAME?</v>
      </c>
      <c r="H308" s="22" t="e">
        <f ca="1">_xll.BDH(C308,"PX_LAST",N308)</f>
        <v>#NAME?</v>
      </c>
      <c r="I308" s="15" t="e">
        <f ca="1">F308*H308</f>
        <v>#NAME?</v>
      </c>
      <c r="J308" s="16" t="e">
        <f ca="1">I308</f>
        <v>#NAME?</v>
      </c>
      <c r="K308" s="15" t="e">
        <f ca="1">J308*L308</f>
        <v>#NAME?</v>
      </c>
      <c r="L308" s="22" t="e">
        <f ca="1">_xll.BDH("RUB curncy","PX_LAST",$N308)</f>
        <v>#NAME?</v>
      </c>
      <c r="M308" s="85" t="e">
        <f ca="1">1/_xll.BDH("RUB curncy","PX_LAST",$N308)</f>
        <v>#NAME?</v>
      </c>
      <c r="N308" s="14">
        <v>41107</v>
      </c>
    </row>
    <row r="309" spans="2:14" x14ac:dyDescent="0.2">
      <c r="B309" s="71"/>
      <c r="C309" s="72"/>
      <c r="D309" s="73"/>
      <c r="E309" s="73"/>
      <c r="F309" s="79">
        <f>SUM(F308)</f>
        <v>58000</v>
      </c>
      <c r="G309" s="73"/>
      <c r="H309" s="88" t="e">
        <f ca="1">I309/F309</f>
        <v>#NAME?</v>
      </c>
      <c r="I309" s="79" t="e">
        <f ca="1">SUM(I308)</f>
        <v>#NAME?</v>
      </c>
      <c r="J309" s="79" t="e">
        <f ca="1">SUM(J308)</f>
        <v>#NAME?</v>
      </c>
      <c r="K309" s="79" t="e">
        <f ca="1">SUM(K308)</f>
        <v>#NAME?</v>
      </c>
      <c r="L309" s="75"/>
      <c r="M309" s="78"/>
      <c r="N309" s="14"/>
    </row>
    <row r="310" spans="2:14" x14ac:dyDescent="0.2">
      <c r="B310" s="71"/>
      <c r="C310" s="72"/>
      <c r="D310" s="73"/>
      <c r="E310" s="73"/>
      <c r="F310" s="79"/>
      <c r="G310" s="73"/>
      <c r="H310" s="80"/>
      <c r="I310" s="79"/>
      <c r="J310" s="79"/>
      <c r="K310" s="79"/>
      <c r="L310" s="75"/>
      <c r="M310" s="78"/>
      <c r="N310" s="14"/>
    </row>
    <row r="311" spans="2:14" x14ac:dyDescent="0.2">
      <c r="B311" s="21" t="s">
        <v>126</v>
      </c>
      <c r="C311" s="20" t="s">
        <v>62</v>
      </c>
      <c r="D311" s="18" t="e">
        <f ca="1">_xll.BDP(C311,"SECURITY_NAME")</f>
        <v>#NAME?</v>
      </c>
      <c r="E311" s="18" t="s">
        <v>51</v>
      </c>
      <c r="F311" s="19">
        <v>-269900</v>
      </c>
      <c r="G311" s="18" t="e">
        <f ca="1">_xll.BDP(C311,"CRNCY")</f>
        <v>#NAME?</v>
      </c>
      <c r="H311" s="22" t="e">
        <f ca="1">_xll.BDH(C311,"PX_LAST",N311)</f>
        <v>#NAME?</v>
      </c>
      <c r="I311" s="15" t="e">
        <f t="shared" ref="I311:I323" ca="1" si="67">F311*H311</f>
        <v>#NAME?</v>
      </c>
      <c r="J311" s="16" t="e">
        <f t="shared" ref="J311:J323" ca="1" si="68">I311</f>
        <v>#NAME?</v>
      </c>
      <c r="K311" s="15" t="e">
        <f t="shared" ref="K311:K323" ca="1" si="69">J311*L311</f>
        <v>#NAME?</v>
      </c>
      <c r="L311" s="22" t="e">
        <f ca="1">_xll.BDH("RUB curncy","PX_LAST",$N311)</f>
        <v>#NAME?</v>
      </c>
      <c r="M311" s="85" t="e">
        <f ca="1">1/_xll.BDH("RUB curncy","PX_LAST",$N311)</f>
        <v>#NAME?</v>
      </c>
      <c r="N311" s="14">
        <v>41985</v>
      </c>
    </row>
    <row r="312" spans="2:14" x14ac:dyDescent="0.2">
      <c r="B312" s="21" t="s">
        <v>126</v>
      </c>
      <c r="C312" s="20" t="s">
        <v>62</v>
      </c>
      <c r="D312" s="18" t="e">
        <f ca="1">_xll.BDP(C312,"SECURITY_NAME")</f>
        <v>#NAME?</v>
      </c>
      <c r="E312" s="18" t="s">
        <v>50</v>
      </c>
      <c r="F312" s="19">
        <v>61500</v>
      </c>
      <c r="G312" s="18" t="e">
        <f ca="1">_xll.BDP(C312,"CRNCY")</f>
        <v>#NAME?</v>
      </c>
      <c r="H312" s="22" t="e">
        <f ca="1">_xll.BDH(C312,"PX_LAST",N312)</f>
        <v>#NAME?</v>
      </c>
      <c r="I312" s="15" t="e">
        <f t="shared" ca="1" si="67"/>
        <v>#NAME?</v>
      </c>
      <c r="J312" s="16" t="e">
        <f t="shared" ca="1" si="68"/>
        <v>#NAME?</v>
      </c>
      <c r="K312" s="15" t="e">
        <f t="shared" ca="1" si="69"/>
        <v>#NAME?</v>
      </c>
      <c r="L312" s="22" t="e">
        <f ca="1">_xll.BDH("RUB curncy","PX_LAST",$N312)</f>
        <v>#NAME?</v>
      </c>
      <c r="M312" s="85" t="e">
        <f ca="1">1/_xll.BDH("RUB curncy","PX_LAST",$N312)</f>
        <v>#NAME?</v>
      </c>
      <c r="N312" s="14">
        <v>41624</v>
      </c>
    </row>
    <row r="313" spans="2:14" x14ac:dyDescent="0.2">
      <c r="B313" s="21" t="s">
        <v>126</v>
      </c>
      <c r="C313" s="20" t="s">
        <v>62</v>
      </c>
      <c r="D313" s="18" t="e">
        <f ca="1">_xll.BDP(C313,"SECURITY_NAME")</f>
        <v>#NAME?</v>
      </c>
      <c r="E313" s="18" t="s">
        <v>51</v>
      </c>
      <c r="F313" s="19">
        <v>-52600</v>
      </c>
      <c r="G313" s="18" t="e">
        <f ca="1">_xll.BDP(C313,"CRNCY")</f>
        <v>#NAME?</v>
      </c>
      <c r="H313" s="22" t="e">
        <f ca="1">_xll.BDH(C313,"PX_LAST",N313)</f>
        <v>#NAME?</v>
      </c>
      <c r="I313" s="15" t="e">
        <f t="shared" ca="1" si="67"/>
        <v>#NAME?</v>
      </c>
      <c r="J313" s="16" t="e">
        <f t="shared" ca="1" si="68"/>
        <v>#NAME?</v>
      </c>
      <c r="K313" s="15" t="e">
        <f t="shared" ca="1" si="69"/>
        <v>#NAME?</v>
      </c>
      <c r="L313" s="22" t="e">
        <f ca="1">_xll.BDH("RUB curncy","PX_LAST",$N313)</f>
        <v>#NAME?</v>
      </c>
      <c r="M313" s="85" t="e">
        <f ca="1">1/_xll.BDH("RUB curncy","PX_LAST",$N313)</f>
        <v>#NAME?</v>
      </c>
      <c r="N313" s="14">
        <v>41571</v>
      </c>
    </row>
    <row r="314" spans="2:14" x14ac:dyDescent="0.2">
      <c r="B314" s="21" t="s">
        <v>126</v>
      </c>
      <c r="C314" s="20" t="s">
        <v>62</v>
      </c>
      <c r="D314" s="18" t="e">
        <f ca="1">_xll.BDP(C314,"SECURITY_NAME")</f>
        <v>#NAME?</v>
      </c>
      <c r="E314" s="18" t="s">
        <v>50</v>
      </c>
      <c r="F314" s="19">
        <v>15900</v>
      </c>
      <c r="G314" s="18" t="e">
        <f ca="1">_xll.BDP(C314,"CRNCY")</f>
        <v>#NAME?</v>
      </c>
      <c r="H314" s="22" t="e">
        <f ca="1">_xll.BDH(C314,"PX_LAST",N314)</f>
        <v>#NAME?</v>
      </c>
      <c r="I314" s="15" t="e">
        <f t="shared" ca="1" si="67"/>
        <v>#NAME?</v>
      </c>
      <c r="J314" s="16" t="e">
        <f t="shared" ca="1" si="68"/>
        <v>#NAME?</v>
      </c>
      <c r="K314" s="15" t="e">
        <f t="shared" ca="1" si="69"/>
        <v>#NAME?</v>
      </c>
      <c r="L314" s="22" t="e">
        <f ca="1">_xll.BDH("RUB curncy","PX_LAST",$N314)</f>
        <v>#NAME?</v>
      </c>
      <c r="M314" s="85" t="e">
        <f ca="1">1/_xll.BDH("RUB curncy","PX_LAST",$N314)</f>
        <v>#NAME?</v>
      </c>
      <c r="N314" s="14">
        <v>41439</v>
      </c>
    </row>
    <row r="315" spans="2:14" x14ac:dyDescent="0.2">
      <c r="B315" s="21" t="s">
        <v>126</v>
      </c>
      <c r="C315" s="20" t="s">
        <v>62</v>
      </c>
      <c r="D315" s="18" t="e">
        <f ca="1">_xll.BDP(C315,"SECURITY_NAME")</f>
        <v>#NAME?</v>
      </c>
      <c r="E315" s="18" t="s">
        <v>50</v>
      </c>
      <c r="F315" s="19">
        <v>14800</v>
      </c>
      <c r="G315" s="18" t="e">
        <f ca="1">_xll.BDP(C315,"CRNCY")</f>
        <v>#NAME?</v>
      </c>
      <c r="H315" s="22" t="e">
        <f ca="1">_xll.BDH(C315,"PX_LAST",N315)</f>
        <v>#NAME?</v>
      </c>
      <c r="I315" s="15" t="e">
        <f t="shared" ca="1" si="67"/>
        <v>#NAME?</v>
      </c>
      <c r="J315" s="16" t="e">
        <f t="shared" ca="1" si="68"/>
        <v>#NAME?</v>
      </c>
      <c r="K315" s="15" t="e">
        <f t="shared" ca="1" si="69"/>
        <v>#NAME?</v>
      </c>
      <c r="L315" s="22" t="e">
        <f ca="1">_xll.BDH("RUB curncy","PX_LAST",$N315)</f>
        <v>#NAME?</v>
      </c>
      <c r="M315" s="85" t="e">
        <f ca="1">1/_xll.BDH("RUB curncy","PX_LAST",$N315)</f>
        <v>#NAME?</v>
      </c>
      <c r="N315" s="14">
        <v>41438</v>
      </c>
    </row>
    <row r="316" spans="2:14" x14ac:dyDescent="0.2">
      <c r="B316" s="21" t="s">
        <v>126</v>
      </c>
      <c r="C316" s="20" t="s">
        <v>62</v>
      </c>
      <c r="D316" s="18" t="e">
        <f ca="1">_xll.BDP(C316,"SECURITY_NAME")</f>
        <v>#NAME?</v>
      </c>
      <c r="E316" s="18" t="s">
        <v>50</v>
      </c>
      <c r="F316" s="19">
        <v>27500</v>
      </c>
      <c r="G316" s="18" t="e">
        <f ca="1">_xll.BDP(C316,"CRNCY")</f>
        <v>#NAME?</v>
      </c>
      <c r="H316" s="22" t="e">
        <f ca="1">_xll.BDH(C316,"PX_LAST",N316)</f>
        <v>#NAME?</v>
      </c>
      <c r="I316" s="15" t="e">
        <f t="shared" ca="1" si="67"/>
        <v>#NAME?</v>
      </c>
      <c r="J316" s="16" t="e">
        <f t="shared" ca="1" si="68"/>
        <v>#NAME?</v>
      </c>
      <c r="K316" s="15" t="e">
        <f t="shared" ca="1" si="69"/>
        <v>#NAME?</v>
      </c>
      <c r="L316" s="22" t="e">
        <f ca="1">_xll.BDH("RUB curncy","PX_LAST",$N316)</f>
        <v>#NAME?</v>
      </c>
      <c r="M316" s="85" t="e">
        <f ca="1">1/_xll.BDH("RUB curncy","PX_LAST",$N316)</f>
        <v>#NAME?</v>
      </c>
      <c r="N316" s="14">
        <v>41435</v>
      </c>
    </row>
    <row r="317" spans="2:14" x14ac:dyDescent="0.2">
      <c r="B317" s="21" t="s">
        <v>126</v>
      </c>
      <c r="C317" s="20" t="s">
        <v>62</v>
      </c>
      <c r="D317" s="18" t="e">
        <f ca="1">_xll.BDP(C317,"SECURITY_NAME")</f>
        <v>#NAME?</v>
      </c>
      <c r="E317" s="18" t="s">
        <v>50</v>
      </c>
      <c r="F317" s="19">
        <v>11500</v>
      </c>
      <c r="G317" s="18" t="e">
        <f ca="1">_xll.BDP(C317,"CRNCY")</f>
        <v>#NAME?</v>
      </c>
      <c r="H317" s="22" t="e">
        <f ca="1">_xll.BDH(C317,"PX_LAST",N317)</f>
        <v>#NAME?</v>
      </c>
      <c r="I317" s="15" t="e">
        <f t="shared" ca="1" si="67"/>
        <v>#NAME?</v>
      </c>
      <c r="J317" s="16" t="e">
        <f t="shared" ca="1" si="68"/>
        <v>#NAME?</v>
      </c>
      <c r="K317" s="15" t="e">
        <f t="shared" ca="1" si="69"/>
        <v>#NAME?</v>
      </c>
      <c r="L317" s="22" t="e">
        <f ca="1">_xll.BDH("RUB curncy","PX_LAST",$N317)</f>
        <v>#NAME?</v>
      </c>
      <c r="M317" s="85" t="e">
        <f ca="1">1/_xll.BDH("RUB curncy","PX_LAST",$N317)</f>
        <v>#NAME?</v>
      </c>
      <c r="N317" s="14">
        <v>41320</v>
      </c>
    </row>
    <row r="318" spans="2:14" x14ac:dyDescent="0.2">
      <c r="B318" s="21" t="s">
        <v>126</v>
      </c>
      <c r="C318" s="20" t="s">
        <v>62</v>
      </c>
      <c r="D318" s="18" t="e">
        <f ca="1">_xll.BDP(C318,"SECURITY_NAME")</f>
        <v>#NAME?</v>
      </c>
      <c r="E318" s="18" t="s">
        <v>50</v>
      </c>
      <c r="F318" s="19">
        <v>27500</v>
      </c>
      <c r="G318" s="18" t="e">
        <f ca="1">_xll.BDP(C318,"CRNCY")</f>
        <v>#NAME?</v>
      </c>
      <c r="H318" s="22" t="e">
        <f ca="1">_xll.BDH(C318,"PX_LAST",N318)</f>
        <v>#NAME?</v>
      </c>
      <c r="I318" s="15" t="e">
        <f t="shared" ca="1" si="67"/>
        <v>#NAME?</v>
      </c>
      <c r="J318" s="16" t="e">
        <f t="shared" ca="1" si="68"/>
        <v>#NAME?</v>
      </c>
      <c r="K318" s="15" t="e">
        <f t="shared" ca="1" si="69"/>
        <v>#NAME?</v>
      </c>
      <c r="L318" s="22" t="e">
        <f ca="1">_xll.BDH("RUB curncy","PX_LAST",$N318)</f>
        <v>#NAME?</v>
      </c>
      <c r="M318" s="85" t="e">
        <f ca="1">1/_xll.BDH("RUB curncy","PX_LAST",$N318)</f>
        <v>#NAME?</v>
      </c>
      <c r="N318" s="14">
        <v>41319</v>
      </c>
    </row>
    <row r="319" spans="2:14" x14ac:dyDescent="0.2">
      <c r="B319" s="21" t="s">
        <v>126</v>
      </c>
      <c r="C319" s="20" t="s">
        <v>62</v>
      </c>
      <c r="D319" s="18" t="e">
        <f ca="1">_xll.BDP(C319,"SECURITY_NAME")</f>
        <v>#NAME?</v>
      </c>
      <c r="E319" s="18" t="s">
        <v>51</v>
      </c>
      <c r="F319" s="19">
        <v>-20400</v>
      </c>
      <c r="G319" s="18" t="e">
        <f ca="1">_xll.BDP(C319,"CRNCY")</f>
        <v>#NAME?</v>
      </c>
      <c r="H319" s="22" t="e">
        <f ca="1">_xll.BDH(C319,"PX_LAST",N319)</f>
        <v>#NAME?</v>
      </c>
      <c r="I319" s="15" t="e">
        <f t="shared" ca="1" si="67"/>
        <v>#NAME?</v>
      </c>
      <c r="J319" s="16" t="e">
        <f t="shared" ca="1" si="68"/>
        <v>#NAME?</v>
      </c>
      <c r="K319" s="15" t="e">
        <f t="shared" ca="1" si="69"/>
        <v>#NAME?</v>
      </c>
      <c r="L319" s="22" t="e">
        <f ca="1">_xll.BDH("RUB curncy","PX_LAST",$N319)</f>
        <v>#NAME?</v>
      </c>
      <c r="M319" s="85" t="e">
        <f ca="1">1/_xll.BDH("RUB curncy","PX_LAST",$N319)</f>
        <v>#NAME?</v>
      </c>
      <c r="N319" s="14">
        <v>41292</v>
      </c>
    </row>
    <row r="320" spans="2:14" x14ac:dyDescent="0.2">
      <c r="B320" s="21" t="s">
        <v>126</v>
      </c>
      <c r="C320" s="20" t="s">
        <v>62</v>
      </c>
      <c r="D320" s="18" t="e">
        <f ca="1">_xll.BDP(C320,"SECURITY_NAME")</f>
        <v>#NAME?</v>
      </c>
      <c r="E320" s="18" t="s">
        <v>51</v>
      </c>
      <c r="F320" s="19">
        <v>-20600</v>
      </c>
      <c r="G320" s="18" t="e">
        <f ca="1">_xll.BDP(C320,"CRNCY")</f>
        <v>#NAME?</v>
      </c>
      <c r="H320" s="22" t="e">
        <f ca="1">_xll.BDH(C320,"PX_LAST",N320)</f>
        <v>#NAME?</v>
      </c>
      <c r="I320" s="15" t="e">
        <f t="shared" ca="1" si="67"/>
        <v>#NAME?</v>
      </c>
      <c r="J320" s="16" t="e">
        <f t="shared" ca="1" si="68"/>
        <v>#NAME?</v>
      </c>
      <c r="K320" s="15" t="e">
        <f t="shared" ca="1" si="69"/>
        <v>#NAME?</v>
      </c>
      <c r="L320" s="22" t="e">
        <f ca="1">_xll.BDH("RUB curncy","PX_LAST",$N320)</f>
        <v>#NAME?</v>
      </c>
      <c r="M320" s="85" t="e">
        <f ca="1">1/_xll.BDH("RUB curncy","PX_LAST",$N320)</f>
        <v>#NAME?</v>
      </c>
      <c r="N320" s="14">
        <v>41291</v>
      </c>
    </row>
    <row r="321" spans="2:14" x14ac:dyDescent="0.2">
      <c r="B321" s="21" t="s">
        <v>126</v>
      </c>
      <c r="C321" s="20" t="s">
        <v>62</v>
      </c>
      <c r="D321" s="18" t="e">
        <f ca="1">_xll.BDP(C321,"SECURITY_NAME")</f>
        <v>#NAME?</v>
      </c>
      <c r="E321" s="18" t="s">
        <v>50</v>
      </c>
      <c r="F321" s="19">
        <v>52000</v>
      </c>
      <c r="G321" s="18" t="e">
        <f ca="1">_xll.BDP(C321,"CRNCY")</f>
        <v>#NAME?</v>
      </c>
      <c r="H321" s="22" t="e">
        <f ca="1">_xll.BDH(C321,"PX_LAST",N321)</f>
        <v>#NAME?</v>
      </c>
      <c r="I321" s="15" t="e">
        <f t="shared" ca="1" si="67"/>
        <v>#NAME?</v>
      </c>
      <c r="J321" s="16" t="e">
        <f t="shared" ca="1" si="68"/>
        <v>#NAME?</v>
      </c>
      <c r="K321" s="15" t="e">
        <f t="shared" ca="1" si="69"/>
        <v>#NAME?</v>
      </c>
      <c r="L321" s="22" t="e">
        <f ca="1">_xll.BDH("RUB curncy","PX_LAST",$N321)</f>
        <v>#NAME?</v>
      </c>
      <c r="M321" s="85" t="e">
        <f ca="1">1/_xll.BDH("RUB curncy","PX_LAST",$N321)</f>
        <v>#NAME?</v>
      </c>
      <c r="N321" s="14">
        <v>41108</v>
      </c>
    </row>
    <row r="322" spans="2:14" x14ac:dyDescent="0.2">
      <c r="B322" s="21" t="s">
        <v>126</v>
      </c>
      <c r="C322" s="20" t="s">
        <v>62</v>
      </c>
      <c r="D322" s="18" t="e">
        <f ca="1">_xll.BDP(C322,"SECURITY_NAME")</f>
        <v>#NAME?</v>
      </c>
      <c r="E322" s="18" t="s">
        <v>50</v>
      </c>
      <c r="F322" s="19">
        <v>106000</v>
      </c>
      <c r="G322" s="18" t="e">
        <f ca="1">_xll.BDP(C322,"CRNCY")</f>
        <v>#NAME?</v>
      </c>
      <c r="H322" s="22" t="e">
        <f ca="1">_xll.BDH(C322,"PX_LAST",N322)</f>
        <v>#NAME?</v>
      </c>
      <c r="I322" s="15" t="e">
        <f t="shared" ca="1" si="67"/>
        <v>#NAME?</v>
      </c>
      <c r="J322" s="16" t="e">
        <f t="shared" ca="1" si="68"/>
        <v>#NAME?</v>
      </c>
      <c r="K322" s="15" t="e">
        <f t="shared" ca="1" si="69"/>
        <v>#NAME?</v>
      </c>
      <c r="L322" s="22" t="e">
        <f ca="1">_xll.BDH("RUB curncy","PX_LAST",$N322)</f>
        <v>#NAME?</v>
      </c>
      <c r="M322" s="85" t="e">
        <f ca="1">1/_xll.BDH("RUB curncy","PX_LAST",$N322)</f>
        <v>#NAME?</v>
      </c>
      <c r="N322" s="14">
        <v>41106</v>
      </c>
    </row>
    <row r="323" spans="2:14" x14ac:dyDescent="0.2">
      <c r="B323" s="21" t="s">
        <v>126</v>
      </c>
      <c r="C323" s="20" t="s">
        <v>62</v>
      </c>
      <c r="D323" s="18" t="e">
        <f ca="1">_xll.BDP(C323,"SECURITY_NAME")</f>
        <v>#NAME?</v>
      </c>
      <c r="E323" s="18" t="s">
        <v>50</v>
      </c>
      <c r="F323" s="19">
        <v>52000</v>
      </c>
      <c r="G323" s="18" t="e">
        <f ca="1">_xll.BDP(C323,"CRNCY")</f>
        <v>#NAME?</v>
      </c>
      <c r="H323" s="22" t="e">
        <f ca="1">_xll.BDH(C323,"PX_LAST",N323)</f>
        <v>#NAME?</v>
      </c>
      <c r="I323" s="15" t="e">
        <f t="shared" ca="1" si="67"/>
        <v>#NAME?</v>
      </c>
      <c r="J323" s="16" t="e">
        <f t="shared" ca="1" si="68"/>
        <v>#NAME?</v>
      </c>
      <c r="K323" s="15" t="e">
        <f t="shared" ca="1" si="69"/>
        <v>#NAME?</v>
      </c>
      <c r="L323" s="22" t="e">
        <f ca="1">_xll.BDH("RUB curncy","PX_LAST",$N323)</f>
        <v>#NAME?</v>
      </c>
      <c r="M323" s="85" t="e">
        <f ca="1">1/_xll.BDH("RUB curncy","PX_LAST",$N323)</f>
        <v>#NAME?</v>
      </c>
      <c r="N323" s="14">
        <v>41092</v>
      </c>
    </row>
    <row r="324" spans="2:14" x14ac:dyDescent="0.2">
      <c r="B324" s="71"/>
      <c r="C324" s="72"/>
      <c r="D324" s="73"/>
      <c r="E324" s="73"/>
      <c r="F324" s="79">
        <f>SUM(F311:F323)</f>
        <v>5200</v>
      </c>
      <c r="G324" s="87"/>
      <c r="H324" s="80" t="e">
        <f ca="1">I324/F324</f>
        <v>#NAME?</v>
      </c>
      <c r="I324" s="79" t="e">
        <f ca="1">SUM(I311:I323)</f>
        <v>#NAME?</v>
      </c>
      <c r="J324" s="79" t="e">
        <f ca="1">SUM(J311:J323)</f>
        <v>#NAME?</v>
      </c>
      <c r="K324" s="79" t="e">
        <f ca="1">SUM(K311:K323)</f>
        <v>#NAME?</v>
      </c>
      <c r="L324" s="75"/>
      <c r="M324" s="86"/>
      <c r="N324" s="14"/>
    </row>
    <row r="325" spans="2:14" x14ac:dyDescent="0.2">
      <c r="B325" s="71"/>
      <c r="C325" s="72"/>
      <c r="D325" s="73"/>
      <c r="E325" s="73"/>
      <c r="F325" s="74"/>
      <c r="G325" s="73"/>
      <c r="H325" s="75"/>
      <c r="I325" s="76"/>
      <c r="J325" s="77"/>
      <c r="K325" s="76"/>
      <c r="L325" s="75"/>
      <c r="M325" s="86"/>
      <c r="N325" s="14"/>
    </row>
    <row r="326" spans="2:14" x14ac:dyDescent="0.2">
      <c r="B326" s="21" t="s">
        <v>126</v>
      </c>
      <c r="C326" s="20" t="s">
        <v>13</v>
      </c>
      <c r="D326" s="18" t="e">
        <f ca="1">_xll.BDP(C326,"SECURITY_NAME")</f>
        <v>#NAME?</v>
      </c>
      <c r="E326" s="18" t="s">
        <v>50</v>
      </c>
      <c r="F326" s="19">
        <v>7400</v>
      </c>
      <c r="G326" s="18" t="e">
        <f ca="1">_xll.BDP(C326,"CRNCY")</f>
        <v>#NAME?</v>
      </c>
      <c r="H326" s="22" t="e">
        <f ca="1">_xll.BDH(C326,"PX_LAST",N326)</f>
        <v>#NAME?</v>
      </c>
      <c r="I326" s="15" t="e">
        <f ca="1">F326*H326</f>
        <v>#NAME?</v>
      </c>
      <c r="J326" s="16" t="e">
        <f ca="1">I326</f>
        <v>#NAME?</v>
      </c>
      <c r="K326" s="15" t="e">
        <f ca="1">J326*L326</f>
        <v>#NAME?</v>
      </c>
      <c r="L326" s="22" t="e">
        <f ca="1">_xll.BDH("RUB curncy","PX_LAST",$N326)</f>
        <v>#NAME?</v>
      </c>
      <c r="M326" s="85" t="e">
        <f ca="1">1/_xll.BDH("RUB curncy","PX_LAST",$N326)</f>
        <v>#NAME?</v>
      </c>
      <c r="N326" s="14">
        <v>41974</v>
      </c>
    </row>
    <row r="327" spans="2:14" x14ac:dyDescent="0.2">
      <c r="B327" s="21" t="s">
        <v>126</v>
      </c>
      <c r="C327" s="20" t="s">
        <v>13</v>
      </c>
      <c r="D327" s="18" t="e">
        <f ca="1">_xll.BDP(C327,"SECURITY_NAME")</f>
        <v>#NAME?</v>
      </c>
      <c r="E327" s="18" t="s">
        <v>50</v>
      </c>
      <c r="F327" s="19">
        <v>494</v>
      </c>
      <c r="G327" s="18" t="e">
        <f ca="1">_xll.BDP(C327,"CRNCY")</f>
        <v>#NAME?</v>
      </c>
      <c r="H327" s="22" t="e">
        <f ca="1">_xll.BDH(C327,"PX_LAST",N327)</f>
        <v>#NAME?</v>
      </c>
      <c r="I327" s="15" t="e">
        <f t="shared" ref="I327:I336" ca="1" si="70">F327*H327</f>
        <v>#NAME?</v>
      </c>
      <c r="J327" s="16" t="e">
        <f t="shared" ref="J327:J336" ca="1" si="71">I327</f>
        <v>#NAME?</v>
      </c>
      <c r="K327" s="15" t="e">
        <f t="shared" ref="K327:K336" ca="1" si="72">J327*L327</f>
        <v>#NAME?</v>
      </c>
      <c r="L327" s="22" t="e">
        <f ca="1">_xll.BDH("RUB curncy","PX_LAST",$N327)</f>
        <v>#NAME?</v>
      </c>
      <c r="M327" s="85" t="e">
        <f ca="1">1/_xll.BDH("RUB curncy","PX_LAST",$N327)</f>
        <v>#NAME?</v>
      </c>
      <c r="N327" s="14">
        <v>41950</v>
      </c>
    </row>
    <row r="328" spans="2:14" x14ac:dyDescent="0.2">
      <c r="B328" s="21" t="s">
        <v>126</v>
      </c>
      <c r="C328" s="20" t="s">
        <v>13</v>
      </c>
      <c r="D328" s="18" t="e">
        <f ca="1">_xll.BDP(C328,"SECURITY_NAME")</f>
        <v>#NAME?</v>
      </c>
      <c r="E328" s="18" t="s">
        <v>50</v>
      </c>
      <c r="F328" s="19">
        <v>5000</v>
      </c>
      <c r="G328" s="18" t="e">
        <f ca="1">_xll.BDP(C328,"CRNCY")</f>
        <v>#NAME?</v>
      </c>
      <c r="H328" s="22" t="e">
        <f ca="1">_xll.BDH(C328,"PX_LAST",N328)</f>
        <v>#NAME?</v>
      </c>
      <c r="I328" s="15" t="e">
        <f t="shared" ca="1" si="70"/>
        <v>#NAME?</v>
      </c>
      <c r="J328" s="16" t="e">
        <f t="shared" ca="1" si="71"/>
        <v>#NAME?</v>
      </c>
      <c r="K328" s="15" t="e">
        <f t="shared" ca="1" si="72"/>
        <v>#NAME?</v>
      </c>
      <c r="L328" s="22" t="e">
        <f ca="1">_xll.BDH("RUB curncy","PX_LAST",$N328)</f>
        <v>#NAME?</v>
      </c>
      <c r="M328" s="85" t="e">
        <f ca="1">1/_xll.BDH("RUB curncy","PX_LAST",$N328)</f>
        <v>#NAME?</v>
      </c>
      <c r="N328" s="14">
        <v>41949</v>
      </c>
    </row>
    <row r="329" spans="2:14" x14ac:dyDescent="0.2">
      <c r="B329" s="21" t="s">
        <v>126</v>
      </c>
      <c r="C329" s="20" t="s">
        <v>13</v>
      </c>
      <c r="D329" s="18" t="e">
        <f ca="1">_xll.BDP(C329,"SECURITY_NAME")</f>
        <v>#NAME?</v>
      </c>
      <c r="E329" s="18" t="s">
        <v>50</v>
      </c>
      <c r="F329" s="19">
        <v>16700</v>
      </c>
      <c r="G329" s="18" t="e">
        <f ca="1">_xll.BDP(C329,"CRNCY")</f>
        <v>#NAME?</v>
      </c>
      <c r="H329" s="22" t="e">
        <f ca="1">_xll.BDH(C329,"PX_LAST",N329)</f>
        <v>#NAME?</v>
      </c>
      <c r="I329" s="15" t="e">
        <f t="shared" ca="1" si="70"/>
        <v>#NAME?</v>
      </c>
      <c r="J329" s="16" t="e">
        <f t="shared" ca="1" si="71"/>
        <v>#NAME?</v>
      </c>
      <c r="K329" s="15" t="e">
        <f t="shared" ca="1" si="72"/>
        <v>#NAME?</v>
      </c>
      <c r="L329" s="22" t="e">
        <f ca="1">_xll.BDH("RUB curncy","PX_LAST",$N329)</f>
        <v>#NAME?</v>
      </c>
      <c r="M329" s="85" t="e">
        <f ca="1">1/_xll.BDH("RUB curncy","PX_LAST",$N329)</f>
        <v>#NAME?</v>
      </c>
      <c r="N329" s="14">
        <v>41934</v>
      </c>
    </row>
    <row r="330" spans="2:14" x14ac:dyDescent="0.2">
      <c r="B330" s="21" t="s">
        <v>126</v>
      </c>
      <c r="C330" s="20" t="s">
        <v>13</v>
      </c>
      <c r="D330" s="18" t="e">
        <f ca="1">_xll.BDP(C330,"SECURITY_NAME")</f>
        <v>#NAME?</v>
      </c>
      <c r="E330" s="18" t="s">
        <v>50</v>
      </c>
      <c r="F330" s="19">
        <v>1830</v>
      </c>
      <c r="G330" s="18" t="e">
        <f ca="1">_xll.BDP(C330,"CRNCY")</f>
        <v>#NAME?</v>
      </c>
      <c r="H330" s="22" t="e">
        <f ca="1">_xll.BDH(C330,"PX_LAST",N330)</f>
        <v>#NAME?</v>
      </c>
      <c r="I330" s="15" t="e">
        <f t="shared" ca="1" si="70"/>
        <v>#NAME?</v>
      </c>
      <c r="J330" s="16" t="e">
        <f t="shared" ca="1" si="71"/>
        <v>#NAME?</v>
      </c>
      <c r="K330" s="15" t="e">
        <f t="shared" ca="1" si="72"/>
        <v>#NAME?</v>
      </c>
      <c r="L330" s="22" t="e">
        <f ca="1">_xll.BDH("RUB curncy","PX_LAST",$N330)</f>
        <v>#NAME?</v>
      </c>
      <c r="M330" s="85" t="e">
        <f ca="1">1/_xll.BDH("RUB curncy","PX_LAST",$N330)</f>
        <v>#NAME?</v>
      </c>
      <c r="N330" s="14">
        <v>41337</v>
      </c>
    </row>
    <row r="331" spans="2:14" x14ac:dyDescent="0.2">
      <c r="B331" s="21" t="s">
        <v>126</v>
      </c>
      <c r="C331" s="20" t="s">
        <v>13</v>
      </c>
      <c r="D331" s="18" t="e">
        <f ca="1">_xll.BDP(C331,"SECURITY_NAME")</f>
        <v>#NAME?</v>
      </c>
      <c r="E331" s="18" t="s">
        <v>50</v>
      </c>
      <c r="F331" s="19">
        <v>1420</v>
      </c>
      <c r="G331" s="18" t="e">
        <f ca="1">_xll.BDP(C331,"CRNCY")</f>
        <v>#NAME?</v>
      </c>
      <c r="H331" s="22" t="e">
        <f ca="1">_xll.BDH(C331,"PX_LAST",N331)</f>
        <v>#NAME?</v>
      </c>
      <c r="I331" s="15" t="e">
        <f t="shared" ca="1" si="70"/>
        <v>#NAME?</v>
      </c>
      <c r="J331" s="16" t="e">
        <f t="shared" ca="1" si="71"/>
        <v>#NAME?</v>
      </c>
      <c r="K331" s="15" t="e">
        <f t="shared" ca="1" si="72"/>
        <v>#NAME?</v>
      </c>
      <c r="L331" s="22" t="e">
        <f ca="1">_xll.BDH("RUB curncy","PX_LAST",$N331)</f>
        <v>#NAME?</v>
      </c>
      <c r="M331" s="85" t="e">
        <f ca="1">1/_xll.BDH("RUB curncy","PX_LAST",$N331)</f>
        <v>#NAME?</v>
      </c>
      <c r="N331" s="14">
        <v>41333</v>
      </c>
    </row>
    <row r="332" spans="2:14" x14ac:dyDescent="0.2">
      <c r="B332" s="21" t="s">
        <v>126</v>
      </c>
      <c r="C332" s="20" t="s">
        <v>13</v>
      </c>
      <c r="D332" s="18" t="e">
        <f ca="1">_xll.BDP(C332,"SECURITY_NAME")</f>
        <v>#NAME?</v>
      </c>
      <c r="E332" s="18" t="s">
        <v>50</v>
      </c>
      <c r="F332" s="19">
        <v>3450</v>
      </c>
      <c r="G332" s="18" t="e">
        <f ca="1">_xll.BDP(C332,"CRNCY")</f>
        <v>#NAME?</v>
      </c>
      <c r="H332" s="22" t="e">
        <f ca="1">_xll.BDH(C332,"PX_LAST",N332)</f>
        <v>#NAME?</v>
      </c>
      <c r="I332" s="15" t="e">
        <f t="shared" ca="1" si="70"/>
        <v>#NAME?</v>
      </c>
      <c r="J332" s="16" t="e">
        <f t="shared" ca="1" si="71"/>
        <v>#NAME?</v>
      </c>
      <c r="K332" s="15" t="e">
        <f t="shared" ca="1" si="72"/>
        <v>#NAME?</v>
      </c>
      <c r="L332" s="22" t="e">
        <f ca="1">_xll.BDH("RUB curncy","PX_LAST",$N332)</f>
        <v>#NAME?</v>
      </c>
      <c r="M332" s="85" t="e">
        <f ca="1">1/_xll.BDH("RUB curncy","PX_LAST",$N332)</f>
        <v>#NAME?</v>
      </c>
      <c r="N332" s="14">
        <v>41296</v>
      </c>
    </row>
    <row r="333" spans="2:14" x14ac:dyDescent="0.2">
      <c r="B333" s="21" t="s">
        <v>126</v>
      </c>
      <c r="C333" s="20" t="s">
        <v>13</v>
      </c>
      <c r="D333" s="18" t="e">
        <f ca="1">_xll.BDP(C333,"SECURITY_NAME")</f>
        <v>#NAME?</v>
      </c>
      <c r="E333" s="18" t="s">
        <v>50</v>
      </c>
      <c r="F333" s="19">
        <v>14000</v>
      </c>
      <c r="G333" s="18" t="e">
        <f ca="1">_xll.BDP(C333,"CRNCY")</f>
        <v>#NAME?</v>
      </c>
      <c r="H333" s="22" t="e">
        <f ca="1">_xll.BDH(C333,"PX_LAST",N333)</f>
        <v>#NAME?</v>
      </c>
      <c r="I333" s="15" t="e">
        <f t="shared" ca="1" si="70"/>
        <v>#NAME?</v>
      </c>
      <c r="J333" s="16" t="e">
        <f t="shared" ca="1" si="71"/>
        <v>#NAME?</v>
      </c>
      <c r="K333" s="15" t="e">
        <f t="shared" ca="1" si="72"/>
        <v>#NAME?</v>
      </c>
      <c r="L333" s="22" t="e">
        <f ca="1">_xll.BDH("RUB curncy","PX_LAST",$N333)</f>
        <v>#NAME?</v>
      </c>
      <c r="M333" s="85" t="e">
        <f ca="1">1/_xll.BDH("RUB curncy","PX_LAST",$N333)</f>
        <v>#NAME?</v>
      </c>
      <c r="N333" s="14">
        <v>41292</v>
      </c>
    </row>
    <row r="334" spans="2:14" x14ac:dyDescent="0.2">
      <c r="B334" s="21" t="s">
        <v>126</v>
      </c>
      <c r="C334" s="20" t="s">
        <v>13</v>
      </c>
      <c r="D334" s="18" t="e">
        <f ca="1">_xll.BDP(C334,"SECURITY_NAME")</f>
        <v>#NAME?</v>
      </c>
      <c r="E334" s="18" t="s">
        <v>50</v>
      </c>
      <c r="F334" s="19">
        <v>6000</v>
      </c>
      <c r="G334" s="18" t="e">
        <f ca="1">_xll.BDP(C334,"CRNCY")</f>
        <v>#NAME?</v>
      </c>
      <c r="H334" s="22" t="e">
        <f ca="1">_xll.BDH(C334,"PX_LAST",N334)</f>
        <v>#NAME?</v>
      </c>
      <c r="I334" s="15" t="e">
        <f t="shared" ca="1" si="70"/>
        <v>#NAME?</v>
      </c>
      <c r="J334" s="16" t="e">
        <f t="shared" ca="1" si="71"/>
        <v>#NAME?</v>
      </c>
      <c r="K334" s="15" t="e">
        <f t="shared" ca="1" si="72"/>
        <v>#NAME?</v>
      </c>
      <c r="L334" s="22" t="e">
        <f ca="1">_xll.BDH("RUB curncy","PX_LAST",$N334)</f>
        <v>#NAME?</v>
      </c>
      <c r="M334" s="85" t="e">
        <f ca="1">1/_xll.BDH("RUB curncy","PX_LAST",$N334)</f>
        <v>#NAME?</v>
      </c>
      <c r="N334" s="14">
        <v>41239</v>
      </c>
    </row>
    <row r="335" spans="2:14" x14ac:dyDescent="0.2">
      <c r="B335" s="21" t="s">
        <v>126</v>
      </c>
      <c r="C335" s="20" t="s">
        <v>13</v>
      </c>
      <c r="D335" s="18" t="e">
        <f ca="1">_xll.BDP(C335,"SECURITY_NAME")</f>
        <v>#NAME?</v>
      </c>
      <c r="E335" s="18" t="s">
        <v>50</v>
      </c>
      <c r="F335" s="19">
        <v>10800</v>
      </c>
      <c r="G335" s="18" t="e">
        <f ca="1">_xll.BDP(C335,"CRNCY")</f>
        <v>#NAME?</v>
      </c>
      <c r="H335" s="22" t="e">
        <f ca="1">_xll.BDH(C335,"PX_LAST",N335)</f>
        <v>#NAME?</v>
      </c>
      <c r="I335" s="15" t="e">
        <f t="shared" ca="1" si="70"/>
        <v>#NAME?</v>
      </c>
      <c r="J335" s="16" t="e">
        <f t="shared" ca="1" si="71"/>
        <v>#NAME?</v>
      </c>
      <c r="K335" s="15" t="e">
        <f t="shared" ca="1" si="72"/>
        <v>#NAME?</v>
      </c>
      <c r="L335" s="22" t="e">
        <f ca="1">_xll.BDH("RUB curncy","PX_LAST",$N335)</f>
        <v>#NAME?</v>
      </c>
      <c r="M335" s="85" t="e">
        <f ca="1">1/_xll.BDH("RUB curncy","PX_LAST",$N335)</f>
        <v>#NAME?</v>
      </c>
      <c r="N335" s="14">
        <v>41205</v>
      </c>
    </row>
    <row r="336" spans="2:14" x14ac:dyDescent="0.2">
      <c r="B336" s="21" t="s">
        <v>126</v>
      </c>
      <c r="C336" s="20" t="s">
        <v>13</v>
      </c>
      <c r="D336" s="18" t="e">
        <f ca="1">_xll.BDP(C336,"SECURITY_NAME")</f>
        <v>#NAME?</v>
      </c>
      <c r="E336" s="18" t="s">
        <v>50</v>
      </c>
      <c r="F336" s="19">
        <v>5150</v>
      </c>
      <c r="G336" s="18" t="e">
        <f ca="1">_xll.BDP(C336,"CRNCY")</f>
        <v>#NAME?</v>
      </c>
      <c r="H336" s="22" t="e">
        <f ca="1">_xll.BDH(C336,"PX_LAST",N336)</f>
        <v>#NAME?</v>
      </c>
      <c r="I336" s="15" t="e">
        <f t="shared" ca="1" si="70"/>
        <v>#NAME?</v>
      </c>
      <c r="J336" s="16" t="e">
        <f t="shared" ca="1" si="71"/>
        <v>#NAME?</v>
      </c>
      <c r="K336" s="15" t="e">
        <f t="shared" ca="1" si="72"/>
        <v>#NAME?</v>
      </c>
      <c r="L336" s="22" t="e">
        <f ca="1">_xll.BDH("RUB curncy","PX_LAST",$N336)</f>
        <v>#NAME?</v>
      </c>
      <c r="M336" s="85" t="e">
        <f ca="1">1/_xll.BDH("RUB curncy","PX_LAST",$N336)</f>
        <v>#NAME?</v>
      </c>
      <c r="N336" s="14">
        <v>41201</v>
      </c>
    </row>
    <row r="337" spans="2:14" x14ac:dyDescent="0.2">
      <c r="B337" s="71"/>
      <c r="C337" s="72"/>
      <c r="D337" s="73"/>
      <c r="E337" s="73"/>
      <c r="F337" s="79">
        <f>SUM(F326:F336)</f>
        <v>72244</v>
      </c>
      <c r="G337" s="73"/>
      <c r="H337" s="80" t="e">
        <f ca="1">I337/F337</f>
        <v>#NAME?</v>
      </c>
      <c r="I337" s="79" t="e">
        <f ca="1">SUM(I326:I336)</f>
        <v>#NAME?</v>
      </c>
      <c r="J337" s="79" t="e">
        <f ca="1">SUM(J326:J336)</f>
        <v>#NAME?</v>
      </c>
      <c r="K337" s="79" t="e">
        <f ca="1">SUM(K326:K336)</f>
        <v>#NAME?</v>
      </c>
      <c r="L337" s="75"/>
      <c r="M337" s="78"/>
      <c r="N337" s="14"/>
    </row>
    <row r="338" spans="2:14" x14ac:dyDescent="0.2">
      <c r="B338" s="71"/>
      <c r="C338" s="72"/>
      <c r="D338" s="73"/>
      <c r="E338" s="73"/>
      <c r="F338" s="79"/>
      <c r="G338" s="73"/>
      <c r="H338" s="80"/>
      <c r="I338" s="79"/>
      <c r="J338" s="79"/>
      <c r="K338" s="79"/>
      <c r="L338" s="75"/>
      <c r="M338" s="78"/>
      <c r="N338" s="14"/>
    </row>
    <row r="339" spans="2:14" s="354" customFormat="1" x14ac:dyDescent="0.2">
      <c r="B339" s="797" t="s">
        <v>126</v>
      </c>
      <c r="C339" s="798" t="s">
        <v>63</v>
      </c>
      <c r="D339" s="799" t="e">
        <f ca="1">_xll.BDP(C339,"SECURITY_NAME")</f>
        <v>#NAME?</v>
      </c>
      <c r="E339" s="799" t="s">
        <v>50</v>
      </c>
      <c r="F339" s="800">
        <v>12550</v>
      </c>
      <c r="G339" s="799" t="e">
        <f ca="1">_xll.BDP(C339,"CRNCY")</f>
        <v>#NAME?</v>
      </c>
      <c r="H339" s="801" t="e">
        <f ca="1">_xll.BDH(C339,"PX_LAST",N339)</f>
        <v>#NAME?</v>
      </c>
      <c r="I339" s="802" t="e">
        <f ca="1">F339*H339</f>
        <v>#NAME?</v>
      </c>
      <c r="J339" s="803" t="e">
        <f ca="1">I339/L339</f>
        <v>#NAME?</v>
      </c>
      <c r="K339" s="802" t="e">
        <f ca="1">J339*L339</f>
        <v>#NAME?</v>
      </c>
      <c r="L339" s="801" t="e">
        <f ca="1">_xll.BDH("RUB curncy","PX_LAST",$N339)</f>
        <v>#NAME?</v>
      </c>
      <c r="M339" s="804" t="e">
        <f ca="1">1/_xll.BDH("RUB curncy","PX_LAST",$N339)</f>
        <v>#NAME?</v>
      </c>
      <c r="N339" s="805">
        <v>41645</v>
      </c>
    </row>
    <row r="340" spans="2:14" x14ac:dyDescent="0.2">
      <c r="B340" s="71"/>
      <c r="C340" s="72"/>
      <c r="D340" s="73"/>
      <c r="E340" s="73"/>
      <c r="F340" s="79">
        <f>SUM(F339:F339)</f>
        <v>12550</v>
      </c>
      <c r="G340" s="73"/>
      <c r="H340" s="80" t="e">
        <f ca="1">I340/F340</f>
        <v>#NAME?</v>
      </c>
      <c r="I340" s="79" t="e">
        <f ca="1">SUM(I339:I339)</f>
        <v>#NAME?</v>
      </c>
      <c r="J340" s="79" t="e">
        <f ca="1">SUM(J339:J339)</f>
        <v>#NAME?</v>
      </c>
      <c r="K340" s="79" t="e">
        <f ca="1">SUM(K339:K339)</f>
        <v>#NAME?</v>
      </c>
      <c r="L340" s="75"/>
      <c r="M340" s="86"/>
      <c r="N340" s="14"/>
    </row>
    <row r="341" spans="2:14" x14ac:dyDescent="0.2">
      <c r="B341" s="71"/>
      <c r="C341" s="72"/>
      <c r="D341" s="73"/>
      <c r="E341" s="73"/>
      <c r="F341" s="74"/>
      <c r="G341" s="73"/>
      <c r="H341" s="75"/>
      <c r="I341" s="76"/>
      <c r="J341" s="77"/>
      <c r="K341" s="76"/>
      <c r="L341" s="75"/>
      <c r="M341" s="86"/>
      <c r="N341" s="14"/>
    </row>
    <row r="342" spans="2:14" s="354" customFormat="1" x14ac:dyDescent="0.2">
      <c r="B342" s="797" t="s">
        <v>126</v>
      </c>
      <c r="C342" s="798" t="s">
        <v>18</v>
      </c>
      <c r="D342" s="799" t="e">
        <f ca="1">_xll.BDP(C342,"SECURITY_NAME")</f>
        <v>#NAME?</v>
      </c>
      <c r="E342" s="799" t="s">
        <v>50</v>
      </c>
      <c r="F342" s="800">
        <v>17000</v>
      </c>
      <c r="G342" s="799" t="e">
        <f ca="1">_xll.BDP(C342,"CRNCY")</f>
        <v>#NAME?</v>
      </c>
      <c r="H342" s="801" t="e">
        <f ca="1">_xll.BDH(C342,"PX_LAST",N342)</f>
        <v>#NAME?</v>
      </c>
      <c r="I342" s="802" t="e">
        <f ca="1">F342*H342</f>
        <v>#NAME?</v>
      </c>
      <c r="J342" s="803" t="e">
        <f ca="1">I342/L342</f>
        <v>#NAME?</v>
      </c>
      <c r="K342" s="802" t="e">
        <f ca="1">J342*L342</f>
        <v>#NAME?</v>
      </c>
      <c r="L342" s="801" t="e">
        <f ca="1">_xll.BDH("RUB curncy","PX_LAST",$N342)</f>
        <v>#NAME?</v>
      </c>
      <c r="M342" s="804" t="e">
        <f ca="1">1/_xll.BDH("RUB curncy","PX_LAST",$N342)</f>
        <v>#NAME?</v>
      </c>
      <c r="N342" s="805">
        <v>41991</v>
      </c>
    </row>
    <row r="343" spans="2:14" s="354" customFormat="1" x14ac:dyDescent="0.2">
      <c r="B343" s="797" t="s">
        <v>126</v>
      </c>
      <c r="C343" s="798" t="s">
        <v>18</v>
      </c>
      <c r="D343" s="799" t="e">
        <f ca="1">_xll.BDP(C343,"SECURITY_NAME")</f>
        <v>#NAME?</v>
      </c>
      <c r="E343" s="799" t="s">
        <v>50</v>
      </c>
      <c r="F343" s="800">
        <v>10000</v>
      </c>
      <c r="G343" s="799" t="e">
        <f ca="1">_xll.BDP(C343,"CRNCY")</f>
        <v>#NAME?</v>
      </c>
      <c r="H343" s="801" t="e">
        <f ca="1">_xll.BDH(C343,"PX_LAST",N343)</f>
        <v>#NAME?</v>
      </c>
      <c r="I343" s="802" t="e">
        <f ca="1">F343*H343</f>
        <v>#NAME?</v>
      </c>
      <c r="J343" s="803" t="e">
        <f ca="1">I343/L343</f>
        <v>#NAME?</v>
      </c>
      <c r="K343" s="802" t="e">
        <f ca="1">J343*L343</f>
        <v>#NAME?</v>
      </c>
      <c r="L343" s="801" t="e">
        <f ca="1">_xll.BDH("RUB curncy","PX_LAST",$N343)</f>
        <v>#NAME?</v>
      </c>
      <c r="M343" s="804" t="e">
        <f ca="1">1/_xll.BDH("RUB curncy","PX_LAST",$N343)</f>
        <v>#NAME?</v>
      </c>
      <c r="N343" s="805">
        <v>41956</v>
      </c>
    </row>
    <row r="344" spans="2:14" s="354" customFormat="1" x14ac:dyDescent="0.2">
      <c r="B344" s="797" t="s">
        <v>126</v>
      </c>
      <c r="C344" s="798" t="s">
        <v>18</v>
      </c>
      <c r="D344" s="799" t="e">
        <f ca="1">_xll.BDP(C344,"SECURITY_NAME")</f>
        <v>#NAME?</v>
      </c>
      <c r="E344" s="799" t="s">
        <v>50</v>
      </c>
      <c r="F344" s="800">
        <v>30000</v>
      </c>
      <c r="G344" s="799" t="e">
        <f ca="1">_xll.BDP(C344,"CRNCY")</f>
        <v>#NAME?</v>
      </c>
      <c r="H344" s="801" t="e">
        <f ca="1">_xll.BDH(C344,"PX_LAST",N344)</f>
        <v>#NAME?</v>
      </c>
      <c r="I344" s="802" t="e">
        <f ca="1">F344*H344</f>
        <v>#NAME?</v>
      </c>
      <c r="J344" s="803" t="e">
        <f ca="1">I344/L344</f>
        <v>#NAME?</v>
      </c>
      <c r="K344" s="802" t="e">
        <f ca="1">J344*L344</f>
        <v>#NAME?</v>
      </c>
      <c r="L344" s="801" t="e">
        <f ca="1">_xll.BDH("RUB curncy","PX_LAST",$N344)</f>
        <v>#NAME?</v>
      </c>
      <c r="M344" s="804" t="e">
        <f ca="1">1/_xll.BDH("RUB curncy","PX_LAST",$N344)</f>
        <v>#NAME?</v>
      </c>
      <c r="N344" s="805">
        <v>41955</v>
      </c>
    </row>
    <row r="345" spans="2:14" s="354" customFormat="1" x14ac:dyDescent="0.2">
      <c r="B345" s="797" t="s">
        <v>126</v>
      </c>
      <c r="C345" s="798" t="s">
        <v>18</v>
      </c>
      <c r="D345" s="799" t="e">
        <f ca="1">_xll.BDP(C345,"SECURITY_NAME")</f>
        <v>#NAME?</v>
      </c>
      <c r="E345" s="799" t="s">
        <v>50</v>
      </c>
      <c r="F345" s="800">
        <v>11800</v>
      </c>
      <c r="G345" s="799" t="e">
        <f ca="1">_xll.BDP(C345,"CRNCY")</f>
        <v>#NAME?</v>
      </c>
      <c r="H345" s="801" t="e">
        <f ca="1">_xll.BDH(C345,"PX_LAST",N345)</f>
        <v>#NAME?</v>
      </c>
      <c r="I345" s="802" t="e">
        <f ca="1">F345*H345</f>
        <v>#NAME?</v>
      </c>
      <c r="J345" s="803" t="e">
        <f ca="1">I345/L345</f>
        <v>#NAME?</v>
      </c>
      <c r="K345" s="802" t="e">
        <f ca="1">J345*L345</f>
        <v>#NAME?</v>
      </c>
      <c r="L345" s="801" t="e">
        <f ca="1">_xll.BDH("RUB curncy","PX_LAST",$N345)</f>
        <v>#NAME?</v>
      </c>
      <c r="M345" s="804" t="e">
        <f ca="1">1/_xll.BDH("RUB curncy","PX_LAST",$N345)</f>
        <v>#NAME?</v>
      </c>
      <c r="N345" s="805">
        <v>41929</v>
      </c>
    </row>
    <row r="346" spans="2:14" x14ac:dyDescent="0.2">
      <c r="B346" s="71"/>
      <c r="C346" s="72"/>
      <c r="D346" s="73"/>
      <c r="E346" s="73"/>
      <c r="F346" s="79">
        <f>SUM(F342:F345)</f>
        <v>68800</v>
      </c>
      <c r="G346" s="73"/>
      <c r="H346" s="80" t="e">
        <f ca="1">I346/F346</f>
        <v>#NAME?</v>
      </c>
      <c r="I346" s="79" t="e">
        <f ca="1">SUM(I342:I345)</f>
        <v>#NAME?</v>
      </c>
      <c r="J346" s="79" t="e">
        <f ca="1">SUM(J342:J345)</f>
        <v>#NAME?</v>
      </c>
      <c r="K346" s="79" t="e">
        <f ca="1">SUM(K342:K345)</f>
        <v>#NAME?</v>
      </c>
      <c r="L346" s="75"/>
      <c r="M346" s="78"/>
      <c r="N346" s="14"/>
    </row>
    <row r="347" spans="2:14" x14ac:dyDescent="0.2">
      <c r="B347" s="71"/>
      <c r="C347" s="72"/>
      <c r="D347" s="73"/>
      <c r="E347" s="73"/>
      <c r="F347" s="79"/>
      <c r="G347" s="73"/>
      <c r="H347" s="80"/>
      <c r="I347" s="79"/>
      <c r="J347" s="79"/>
      <c r="K347" s="79"/>
      <c r="L347" s="75"/>
      <c r="M347" s="78"/>
      <c r="N347" s="14"/>
    </row>
    <row r="348" spans="2:14" x14ac:dyDescent="0.2">
      <c r="B348" s="21" t="s">
        <v>126</v>
      </c>
      <c r="C348" s="20" t="s">
        <v>43</v>
      </c>
      <c r="D348" s="18" t="e">
        <f ca="1">_xll.BDP(C348,"SECURITY_NAME")</f>
        <v>#NAME?</v>
      </c>
      <c r="E348" s="18" t="s">
        <v>51</v>
      </c>
      <c r="F348" s="19">
        <v>-5800</v>
      </c>
      <c r="G348" s="18" t="e">
        <f ca="1">_xll.BDP(C348,"CRNCY")</f>
        <v>#NAME?</v>
      </c>
      <c r="H348" s="22" t="e">
        <f ca="1">_xll.BDH(C348,"PX_LAST",N348)</f>
        <v>#NAME?</v>
      </c>
      <c r="I348" s="15" t="e">
        <f ca="1">F348*H348</f>
        <v>#NAME?</v>
      </c>
      <c r="J348" s="16" t="e">
        <f ca="1">I348</f>
        <v>#NAME?</v>
      </c>
      <c r="K348" s="15" t="e">
        <f ca="1">J348*L348</f>
        <v>#NAME?</v>
      </c>
      <c r="L348" s="22" t="e">
        <f ca="1">_xll.BDH("RUB curncy","PX_LAST",$N348)</f>
        <v>#NAME?</v>
      </c>
      <c r="M348" s="85" t="e">
        <f ca="1">1/_xll.BDH("RUB curncy","PX_LAST",$N348)</f>
        <v>#NAME?</v>
      </c>
      <c r="N348" s="14">
        <v>41955</v>
      </c>
    </row>
    <row r="349" spans="2:14" x14ac:dyDescent="0.2">
      <c r="B349" s="21" t="s">
        <v>126</v>
      </c>
      <c r="C349" s="20" t="s">
        <v>43</v>
      </c>
      <c r="D349" s="18" t="e">
        <f ca="1">_xll.BDP(C349,"SECURITY_NAME")</f>
        <v>#NAME?</v>
      </c>
      <c r="E349" s="18" t="s">
        <v>50</v>
      </c>
      <c r="F349" s="19">
        <v>5800</v>
      </c>
      <c r="G349" s="18" t="e">
        <f ca="1">_xll.BDP(C349,"CRNCY")</f>
        <v>#NAME?</v>
      </c>
      <c r="H349" s="22" t="e">
        <f ca="1">_xll.BDH(C349,"PX_LAST",N349)</f>
        <v>#NAME?</v>
      </c>
      <c r="I349" s="15" t="e">
        <f ca="1">F349*H349</f>
        <v>#NAME?</v>
      </c>
      <c r="J349" s="16" t="e">
        <f ca="1">I349</f>
        <v>#NAME?</v>
      </c>
      <c r="K349" s="15" t="e">
        <f ca="1">J349*L349</f>
        <v>#NAME?</v>
      </c>
      <c r="L349" s="22" t="e">
        <f ca="1">_xll.BDH("RUB curncy","PX_LAST",$N349)</f>
        <v>#NAME?</v>
      </c>
      <c r="M349" s="85" t="e">
        <f ca="1">1/_xll.BDH("RUB curncy","PX_LAST",$N349)</f>
        <v>#NAME?</v>
      </c>
      <c r="N349" s="14">
        <v>41675</v>
      </c>
    </row>
    <row r="350" spans="2:14" x14ac:dyDescent="0.2">
      <c r="B350" s="71"/>
      <c r="C350" s="72"/>
      <c r="D350" s="73"/>
      <c r="E350" s="73"/>
      <c r="F350" s="79">
        <f>SUM(F348:F349)</f>
        <v>0</v>
      </c>
      <c r="G350" s="73"/>
      <c r="H350" s="80" t="e">
        <f ca="1">I350/F350</f>
        <v>#NAME?</v>
      </c>
      <c r="I350" s="79" t="e">
        <f ca="1">SUM(I348:I349)</f>
        <v>#NAME?</v>
      </c>
      <c r="J350" s="79" t="e">
        <f ca="1">SUM(J348:J349)</f>
        <v>#NAME?</v>
      </c>
      <c r="K350" s="79" t="e">
        <f ca="1">SUM(K348:K349)</f>
        <v>#NAME?</v>
      </c>
      <c r="L350" s="75"/>
      <c r="M350" s="78"/>
      <c r="N350" s="14"/>
    </row>
    <row r="351" spans="2:14" x14ac:dyDescent="0.2">
      <c r="B351" s="71"/>
      <c r="C351" s="72"/>
      <c r="D351" s="73"/>
      <c r="E351" s="73"/>
      <c r="F351" s="79"/>
      <c r="G351" s="73"/>
      <c r="H351" s="80"/>
      <c r="I351" s="79"/>
      <c r="J351" s="79"/>
      <c r="K351" s="79"/>
      <c r="L351" s="75"/>
      <c r="M351" s="78"/>
      <c r="N351" s="14"/>
    </row>
    <row r="352" spans="2:14" x14ac:dyDescent="0.2">
      <c r="B352" s="21" t="s">
        <v>126</v>
      </c>
      <c r="C352" s="20" t="s">
        <v>139</v>
      </c>
      <c r="D352" s="18" t="e">
        <f ca="1">_xll.BDP(C352,"SECURITY_NAME")</f>
        <v>#NAME?</v>
      </c>
      <c r="E352" s="18" t="s">
        <v>50</v>
      </c>
      <c r="F352" s="19">
        <v>22000</v>
      </c>
      <c r="G352" s="18" t="e">
        <f ca="1">_xll.BDP(C352,"CRNCY")</f>
        <v>#NAME?</v>
      </c>
      <c r="H352" s="22" t="e">
        <f ca="1">_xll.BDH(C352,"PX_LAST",N352)</f>
        <v>#NAME?</v>
      </c>
      <c r="I352" s="15" t="e">
        <f ca="1">F352*H352</f>
        <v>#NAME?</v>
      </c>
      <c r="J352" s="16" t="e">
        <f ca="1">I352</f>
        <v>#NAME?</v>
      </c>
      <c r="K352" s="15" t="e">
        <f ca="1">J352*L352</f>
        <v>#NAME?</v>
      </c>
      <c r="L352" s="22" t="e">
        <f ca="1">_xll.BDH("RUB curncy","PX_LAST",$N352)</f>
        <v>#NAME?</v>
      </c>
      <c r="M352" s="85" t="e">
        <f ca="1">1/_xll.BDH("RUB curncy","PX_LAST",$N352)</f>
        <v>#NAME?</v>
      </c>
      <c r="N352" s="14">
        <v>41075</v>
      </c>
    </row>
    <row r="353" spans="2:14" x14ac:dyDescent="0.2">
      <c r="B353" s="21" t="s">
        <v>126</v>
      </c>
      <c r="C353" s="20" t="s">
        <v>139</v>
      </c>
      <c r="D353" s="18" t="e">
        <f ca="1">_xll.BDP(C353,"SECURITY_NAME")</f>
        <v>#NAME?</v>
      </c>
      <c r="E353" s="18" t="s">
        <v>50</v>
      </c>
      <c r="F353" s="19">
        <v>20751</v>
      </c>
      <c r="G353" s="18" t="e">
        <f ca="1">_xll.BDP(C353,"CRNCY")</f>
        <v>#NAME?</v>
      </c>
      <c r="H353" s="22" t="e">
        <f ca="1">_xll.BDH(C353,"PX_LAST",N353)</f>
        <v>#NAME?</v>
      </c>
      <c r="I353" s="15" t="e">
        <f ca="1">F353*H353</f>
        <v>#NAME?</v>
      </c>
      <c r="J353" s="16" t="e">
        <f ca="1">I353</f>
        <v>#NAME?</v>
      </c>
      <c r="K353" s="15" t="e">
        <f ca="1">J353*L353</f>
        <v>#NAME?</v>
      </c>
      <c r="L353" s="22" t="e">
        <f ca="1">_xll.BDH("RUB curncy","PX_LAST",$N353)</f>
        <v>#NAME?</v>
      </c>
      <c r="M353" s="85" t="e">
        <f ca="1">1/_xll.BDH("RUB curncy","PX_LAST",$N353)</f>
        <v>#NAME?</v>
      </c>
      <c r="N353" s="14">
        <v>41073</v>
      </c>
    </row>
    <row r="354" spans="2:14" x14ac:dyDescent="0.2">
      <c r="B354" s="71"/>
      <c r="C354" s="72"/>
      <c r="D354" s="73"/>
      <c r="E354" s="73"/>
      <c r="F354" s="79">
        <f>SUM(F352:F353)</f>
        <v>42751</v>
      </c>
      <c r="G354" s="73"/>
      <c r="H354" s="80" t="e">
        <f ca="1">I354/F354</f>
        <v>#NAME?</v>
      </c>
      <c r="I354" s="79" t="e">
        <f ca="1">SUM(I352:I353)</f>
        <v>#NAME?</v>
      </c>
      <c r="J354" s="79" t="e">
        <f ca="1">SUM(J352:J353)</f>
        <v>#NAME?</v>
      </c>
      <c r="K354" s="79" t="e">
        <f ca="1">SUM(K352:K353)</f>
        <v>#NAME?</v>
      </c>
      <c r="L354" s="75"/>
      <c r="M354" s="78"/>
      <c r="N354" s="14"/>
    </row>
    <row r="355" spans="2:14" x14ac:dyDescent="0.2">
      <c r="B355" s="71"/>
      <c r="C355" s="72"/>
      <c r="D355" s="73"/>
      <c r="E355" s="73"/>
      <c r="F355" s="79"/>
      <c r="G355" s="73"/>
      <c r="H355" s="75"/>
      <c r="I355" s="79"/>
      <c r="J355" s="79"/>
      <c r="K355" s="79"/>
      <c r="L355" s="75"/>
      <c r="M355" s="78"/>
      <c r="N355" s="14"/>
    </row>
    <row r="356" spans="2:14" x14ac:dyDescent="0.2">
      <c r="B356" s="21" t="s">
        <v>126</v>
      </c>
      <c r="C356" s="20" t="s">
        <v>71</v>
      </c>
      <c r="D356" s="18" t="e">
        <f ca="1">_xll.BDP(C356,"SECURITY_NAME")</f>
        <v>#NAME?</v>
      </c>
      <c r="E356" s="18" t="s">
        <v>50</v>
      </c>
      <c r="F356" s="19">
        <v>7490</v>
      </c>
      <c r="G356" s="18" t="e">
        <f ca="1">_xll.BDP(C356,"CRNCY")</f>
        <v>#NAME?</v>
      </c>
      <c r="H356" s="22" t="e">
        <f ca="1">_xll.BDH(C356,"PX_LAST",N356)/100</f>
        <v>#NAME?</v>
      </c>
      <c r="I356" s="15" t="e">
        <f ca="1">F356*H356</f>
        <v>#NAME?</v>
      </c>
      <c r="J356" s="16" t="e">
        <f ca="1">I356*L356</f>
        <v>#NAME?</v>
      </c>
      <c r="K356" s="15" t="e">
        <f ca="1">J356/M356</f>
        <v>#NAME?</v>
      </c>
      <c r="L356" s="22" t="e">
        <f ca="1">_xll.BDH("GBP curncy","PX_LAST",$N356)</f>
        <v>#NAME?</v>
      </c>
      <c r="M356" s="85" t="e">
        <f ca="1">1/_xll.BDH("RUB curncy","PX_LAST",$N356)</f>
        <v>#NAME?</v>
      </c>
      <c r="N356" s="14">
        <v>42227</v>
      </c>
    </row>
    <row r="357" spans="2:14" s="354" customFormat="1" x14ac:dyDescent="0.2">
      <c r="B357" s="797" t="s">
        <v>126</v>
      </c>
      <c r="C357" s="798" t="s">
        <v>71</v>
      </c>
      <c r="D357" s="799" t="e">
        <f ca="1">_xll.BDP(C357,"SECURITY_NAME")</f>
        <v>#NAME?</v>
      </c>
      <c r="E357" s="799" t="s">
        <v>50</v>
      </c>
      <c r="F357" s="800">
        <v>8750</v>
      </c>
      <c r="G357" s="799" t="e">
        <f ca="1">_xll.BDP(C357,"CRNCY")</f>
        <v>#NAME?</v>
      </c>
      <c r="H357" s="801" t="e">
        <f ca="1">_xll.BDH(C357,"PX_LAST",N357)/100</f>
        <v>#NAME?</v>
      </c>
      <c r="I357" s="802" t="e">
        <f ca="1">F357*H357</f>
        <v>#NAME?</v>
      </c>
      <c r="J357" s="803" t="e">
        <f ca="1">I357*L357</f>
        <v>#NAME?</v>
      </c>
      <c r="K357" s="802" t="e">
        <f ca="1">J357/M357</f>
        <v>#NAME?</v>
      </c>
      <c r="L357" s="801" t="e">
        <f ca="1">_xll.BDH("GBP curncy","PX_LAST",$N357)</f>
        <v>#NAME?</v>
      </c>
      <c r="M357" s="804" t="e">
        <f ca="1">1/_xll.BDH("RUB curncy","PX_LAST",$N357)</f>
        <v>#NAME?</v>
      </c>
      <c r="N357" s="805">
        <v>41907</v>
      </c>
    </row>
    <row r="358" spans="2:14" s="354" customFormat="1" x14ac:dyDescent="0.2">
      <c r="B358" s="797" t="s">
        <v>126</v>
      </c>
      <c r="C358" s="798" t="s">
        <v>71</v>
      </c>
      <c r="D358" s="799" t="e">
        <f ca="1">_xll.BDP(C358,"SECURITY_NAME")</f>
        <v>#NAME?</v>
      </c>
      <c r="E358" s="799" t="s">
        <v>50</v>
      </c>
      <c r="F358" s="800">
        <v>9000</v>
      </c>
      <c r="G358" s="799" t="e">
        <f ca="1">_xll.BDP(C358,"CRNCY")</f>
        <v>#NAME?</v>
      </c>
      <c r="H358" s="801" t="e">
        <f ca="1">_xll.BDH(C358,"PX_LAST",N358)/100</f>
        <v>#NAME?</v>
      </c>
      <c r="I358" s="802" t="e">
        <f ca="1">F358*H358</f>
        <v>#NAME?</v>
      </c>
      <c r="J358" s="803" t="e">
        <f ca="1">I358*L358</f>
        <v>#NAME?</v>
      </c>
      <c r="K358" s="802" t="e">
        <f ca="1">J358/M358</f>
        <v>#NAME?</v>
      </c>
      <c r="L358" s="801" t="e">
        <f ca="1">_xll.BDH("GBP curncy","PX_LAST",$N358)</f>
        <v>#NAME?</v>
      </c>
      <c r="M358" s="804" t="e">
        <f ca="1">1/_xll.BDH("RUB curncy","PX_LAST",$N358)</f>
        <v>#NAME?</v>
      </c>
      <c r="N358" s="805">
        <v>41905</v>
      </c>
    </row>
    <row r="359" spans="2:14" x14ac:dyDescent="0.2">
      <c r="B359" s="71"/>
      <c r="C359" s="72"/>
      <c r="D359" s="73"/>
      <c r="E359" s="73"/>
      <c r="F359" s="79">
        <f>SUM(F356:F358)</f>
        <v>25240</v>
      </c>
      <c r="G359" s="87"/>
      <c r="H359" s="80">
        <v>4.7320000000000002</v>
      </c>
      <c r="I359" s="79" t="e">
        <f ca="1">SUM(I356:I358)</f>
        <v>#NAME?</v>
      </c>
      <c r="J359" s="79" t="e">
        <f ca="1">SUM(J356:J358)</f>
        <v>#NAME?</v>
      </c>
      <c r="K359" s="79" t="e">
        <f ca="1">SUM(K356:K358)</f>
        <v>#NAME?</v>
      </c>
      <c r="L359" s="75"/>
      <c r="M359" s="86"/>
      <c r="N359" s="14"/>
    </row>
    <row r="360" spans="2:14" x14ac:dyDescent="0.2">
      <c r="B360" s="71"/>
      <c r="C360" s="72"/>
      <c r="D360" s="73"/>
      <c r="E360" s="73"/>
      <c r="F360" s="74"/>
      <c r="G360" s="73"/>
      <c r="H360" s="75"/>
      <c r="I360" s="76"/>
      <c r="J360" s="77"/>
      <c r="K360" s="76"/>
      <c r="L360" s="75"/>
      <c r="M360" s="78"/>
      <c r="N360" s="14"/>
    </row>
    <row r="361" spans="2:14" x14ac:dyDescent="0.2">
      <c r="B361" s="71"/>
      <c r="C361" s="72"/>
      <c r="D361" s="73"/>
      <c r="E361" s="73"/>
      <c r="F361" s="79"/>
      <c r="G361" s="73"/>
      <c r="H361" s="91"/>
      <c r="I361" s="79"/>
      <c r="J361" s="79"/>
      <c r="K361" s="79"/>
      <c r="L361" s="75"/>
      <c r="M361" s="86"/>
      <c r="N361" s="14"/>
    </row>
    <row r="362" spans="2:14" x14ac:dyDescent="0.2">
      <c r="B362" s="21" t="s">
        <v>126</v>
      </c>
      <c r="C362" s="20" t="s">
        <v>68</v>
      </c>
      <c r="D362" s="18" t="e">
        <f ca="1">_xll.BDP(C362,"SECURITY_NAME")</f>
        <v>#NAME?</v>
      </c>
      <c r="E362" s="18" t="s">
        <v>50</v>
      </c>
      <c r="F362" s="19">
        <v>357000</v>
      </c>
      <c r="G362" s="18" t="e">
        <f ca="1">_xll.BDP(C362,"CRNCY")</f>
        <v>#NAME?</v>
      </c>
      <c r="H362" s="22" t="e">
        <f ca="1">_xll.BDH(C362,"PX_LAST",N362)</f>
        <v>#NAME?</v>
      </c>
      <c r="I362" s="15" t="e">
        <f ca="1">F362*H362</f>
        <v>#NAME?</v>
      </c>
      <c r="J362" s="16" t="e">
        <f ca="1">I362/L362</f>
        <v>#NAME?</v>
      </c>
      <c r="K362" s="15" t="e">
        <f ca="1">J362*L362</f>
        <v>#NAME?</v>
      </c>
      <c r="L362" s="22" t="e">
        <f ca="1">_xll.BDH("RUB curncy","PX_LAST",$N362)</f>
        <v>#NAME?</v>
      </c>
      <c r="M362" s="85" t="e">
        <f ca="1">1/_xll.BDH("RUB curncy","PX_LAST",$N362)</f>
        <v>#NAME?</v>
      </c>
      <c r="N362" s="14">
        <v>41933</v>
      </c>
    </row>
    <row r="363" spans="2:14" x14ac:dyDescent="0.2">
      <c r="B363" s="21" t="s">
        <v>126</v>
      </c>
      <c r="C363" s="20" t="s">
        <v>68</v>
      </c>
      <c r="D363" s="18" t="e">
        <f ca="1">_xll.BDP(C363,"SECURITY_NAME")</f>
        <v>#NAME?</v>
      </c>
      <c r="E363" s="18" t="s">
        <v>50</v>
      </c>
      <c r="F363" s="19">
        <v>120000</v>
      </c>
      <c r="G363" s="18" t="e">
        <f ca="1">_xll.BDP(C363,"CRNCY")</f>
        <v>#NAME?</v>
      </c>
      <c r="H363" s="22" t="e">
        <f ca="1">_xll.BDH(C363,"PX_LAST",N363)</f>
        <v>#NAME?</v>
      </c>
      <c r="I363" s="15" t="e">
        <f ca="1">F363*H363</f>
        <v>#NAME?</v>
      </c>
      <c r="J363" s="16" t="e">
        <f ca="1">I363/L363</f>
        <v>#NAME?</v>
      </c>
      <c r="K363" s="15" t="e">
        <f ca="1">J363*L363</f>
        <v>#NAME?</v>
      </c>
      <c r="L363" s="22" t="e">
        <f ca="1">_xll.BDH("RUB curncy","PX_LAST",$N363)</f>
        <v>#NAME?</v>
      </c>
      <c r="M363" s="85" t="e">
        <f ca="1">1/_xll.BDH("RUB curncy","PX_LAST",$N363)</f>
        <v>#NAME?</v>
      </c>
      <c r="N363" s="14">
        <v>41236</v>
      </c>
    </row>
    <row r="364" spans="2:14" x14ac:dyDescent="0.2">
      <c r="B364" s="71"/>
      <c r="C364" s="72"/>
      <c r="D364" s="73"/>
      <c r="E364" s="73"/>
      <c r="F364" s="79">
        <f>SUM(F362:F363)</f>
        <v>477000</v>
      </c>
      <c r="G364" s="73"/>
      <c r="H364" s="80" t="e">
        <f ca="1">I364/F364</f>
        <v>#NAME?</v>
      </c>
      <c r="I364" s="79" t="e">
        <f ca="1">SUM(I362:I363)</f>
        <v>#NAME?</v>
      </c>
      <c r="J364" s="79" t="e">
        <f ca="1">SUM(J362:J363)</f>
        <v>#NAME?</v>
      </c>
      <c r="K364" s="79" t="e">
        <f ca="1">SUM(K362:K363)</f>
        <v>#NAME?</v>
      </c>
      <c r="L364" s="75"/>
      <c r="M364" s="86"/>
      <c r="N364" s="14"/>
    </row>
    <row r="365" spans="2:14" x14ac:dyDescent="0.2">
      <c r="B365" s="71"/>
      <c r="C365" s="72"/>
      <c r="D365" s="73"/>
      <c r="E365" s="73"/>
      <c r="F365" s="79"/>
      <c r="G365" s="73"/>
      <c r="H365" s="91"/>
      <c r="I365" s="79"/>
      <c r="J365" s="79"/>
      <c r="K365" s="79"/>
      <c r="L365" s="75"/>
      <c r="M365" s="86"/>
      <c r="N365" s="14"/>
    </row>
    <row r="366" spans="2:14" x14ac:dyDescent="0.2">
      <c r="B366" s="21" t="s">
        <v>126</v>
      </c>
      <c r="C366" s="20" t="s">
        <v>69</v>
      </c>
      <c r="D366" s="18" t="e">
        <f ca="1">_xll.BDP(C366,"SECURITY_NAME")</f>
        <v>#NAME?</v>
      </c>
      <c r="E366" s="18" t="s">
        <v>50</v>
      </c>
      <c r="F366" s="19">
        <v>1600000</v>
      </c>
      <c r="G366" s="18" t="e">
        <f ca="1">_xll.BDP(C366,"CRNCY")</f>
        <v>#NAME?</v>
      </c>
      <c r="H366" s="84">
        <v>2.5499999999999998</v>
      </c>
      <c r="I366" s="15">
        <f>F366*H366</f>
        <v>4079999.9999999995</v>
      </c>
      <c r="J366" s="16" t="e">
        <f ca="1">I366/L366</f>
        <v>#NAME?</v>
      </c>
      <c r="K366" s="15" t="e">
        <f ca="1">J366*L366</f>
        <v>#NAME?</v>
      </c>
      <c r="L366" s="22" t="e">
        <f ca="1">_xll.BDH("RUB curncy","PX_LAST",$N366)</f>
        <v>#NAME?</v>
      </c>
      <c r="M366" s="85" t="e">
        <f ca="1">1/_xll.BDH("RUB curncy","PX_LAST",$N366)</f>
        <v>#NAME?</v>
      </c>
      <c r="N366" s="14">
        <v>42446</v>
      </c>
    </row>
    <row r="367" spans="2:14" x14ac:dyDescent="0.2">
      <c r="B367" s="71"/>
      <c r="C367" s="72"/>
      <c r="D367" s="73"/>
      <c r="E367" s="73"/>
      <c r="F367" s="79">
        <f>SUM(F366:F366)</f>
        <v>1600000</v>
      </c>
      <c r="G367" s="73"/>
      <c r="H367" s="93">
        <f>I367/F367</f>
        <v>2.5499999999999998</v>
      </c>
      <c r="I367" s="79">
        <f>SUM(I366:I366)</f>
        <v>4079999.9999999995</v>
      </c>
      <c r="J367" s="79" t="e">
        <f ca="1">SUM(J366:J366)</f>
        <v>#NAME?</v>
      </c>
      <c r="K367" s="79" t="e">
        <f ca="1">SUM(K366:K366)</f>
        <v>#NAME?</v>
      </c>
      <c r="L367" s="75"/>
      <c r="M367" s="86"/>
      <c r="N367" s="14"/>
    </row>
    <row r="368" spans="2:14" x14ac:dyDescent="0.2">
      <c r="B368" s="71"/>
      <c r="C368" s="72"/>
      <c r="D368" s="73"/>
      <c r="E368" s="73"/>
      <c r="F368" s="79"/>
      <c r="G368" s="73"/>
      <c r="H368" s="90"/>
      <c r="I368" s="79"/>
      <c r="J368" s="79"/>
      <c r="K368" s="79"/>
      <c r="L368" s="75"/>
      <c r="M368" s="86"/>
      <c r="N368" s="14"/>
    </row>
    <row r="369" spans="2:14" x14ac:dyDescent="0.2">
      <c r="B369" s="21" t="s">
        <v>126</v>
      </c>
      <c r="C369" s="20" t="s">
        <v>143</v>
      </c>
      <c r="D369" s="18" t="e">
        <f ca="1">_xll.BDP(C369,"SECURITY_NAME")</f>
        <v>#NAME?</v>
      </c>
      <c r="E369" s="18" t="s">
        <v>50</v>
      </c>
      <c r="F369" s="19">
        <v>922100000</v>
      </c>
      <c r="G369" s="18" t="e">
        <f ca="1">_xll.BDP(C369,"CRNCY")</f>
        <v>#NAME?</v>
      </c>
      <c r="H369" s="17" t="e">
        <f ca="1">_xll.BDH(C369,"PX_LAST",N369)</f>
        <v>#NAME?</v>
      </c>
      <c r="I369" s="15" t="e">
        <f ca="1">F369*H369</f>
        <v>#NAME?</v>
      </c>
      <c r="J369" s="16" t="e">
        <f ca="1">I369/L369</f>
        <v>#NAME?</v>
      </c>
      <c r="K369" s="15" t="e">
        <f ca="1">J369*L369</f>
        <v>#NAME?</v>
      </c>
      <c r="L369" s="22" t="e">
        <f ca="1">_xll.BDH("RUB curncy","PX_LAST",$N369)</f>
        <v>#NAME?</v>
      </c>
      <c r="M369" s="85" t="e">
        <f ca="1">1/_xll.BDH("RUB curncy","PX_LAST",$N369)</f>
        <v>#NAME?</v>
      </c>
      <c r="N369" s="14">
        <v>41107</v>
      </c>
    </row>
    <row r="370" spans="2:14" x14ac:dyDescent="0.2">
      <c r="B370" s="71"/>
      <c r="C370" s="72"/>
      <c r="D370" s="73"/>
      <c r="E370" s="73"/>
      <c r="F370" s="79">
        <f>SUM(F369)</f>
        <v>922100000</v>
      </c>
      <c r="G370" s="73"/>
      <c r="H370" s="92" t="e">
        <f ca="1">I370/F370</f>
        <v>#NAME?</v>
      </c>
      <c r="I370" s="79" t="e">
        <f ca="1">SUM(I369)</f>
        <v>#NAME?</v>
      </c>
      <c r="J370" s="79" t="e">
        <f ca="1">SUM(J369)</f>
        <v>#NAME?</v>
      </c>
      <c r="K370" s="79" t="e">
        <f ca="1">SUM(K369)</f>
        <v>#NAME?</v>
      </c>
      <c r="L370" s="75"/>
      <c r="M370" s="86"/>
      <c r="N370" s="14"/>
    </row>
    <row r="371" spans="2:14" x14ac:dyDescent="0.2">
      <c r="B371" s="71"/>
      <c r="C371" s="72"/>
      <c r="D371" s="73"/>
      <c r="E371" s="73"/>
      <c r="F371" s="79"/>
      <c r="G371" s="73"/>
      <c r="H371" s="92"/>
      <c r="I371" s="79"/>
      <c r="J371" s="79"/>
      <c r="K371" s="79"/>
      <c r="L371" s="75"/>
      <c r="M371" s="86"/>
      <c r="N371" s="14"/>
    </row>
    <row r="372" spans="2:14" s="354" customFormat="1" x14ac:dyDescent="0.2">
      <c r="B372" s="797" t="s">
        <v>126</v>
      </c>
      <c r="C372" s="798" t="s">
        <v>21</v>
      </c>
      <c r="D372" s="799" t="e">
        <f ca="1">_xll.BDP(C372,"SECURITY_NAME")</f>
        <v>#NAME?</v>
      </c>
      <c r="E372" s="799" t="s">
        <v>50</v>
      </c>
      <c r="F372" s="800">
        <v>21000</v>
      </c>
      <c r="G372" s="799" t="e">
        <f ca="1">_xll.BDP(C372,"CRNCY")</f>
        <v>#NAME?</v>
      </c>
      <c r="H372" s="806" t="e">
        <f ca="1">_xll.BDH(C372,"PX_LAST",N372)</f>
        <v>#NAME?</v>
      </c>
      <c r="I372" s="802" t="e">
        <f ca="1">F372*H372</f>
        <v>#NAME?</v>
      </c>
      <c r="J372" s="803" t="e">
        <f ca="1">I372/L372</f>
        <v>#NAME?</v>
      </c>
      <c r="K372" s="802" t="e">
        <f ca="1">J372*L372</f>
        <v>#NAME?</v>
      </c>
      <c r="L372" s="801" t="e">
        <f ca="1">_xll.BDH("RUB curncy","PX_LAST",$N372)</f>
        <v>#NAME?</v>
      </c>
      <c r="M372" s="804" t="e">
        <f ca="1">1/_xll.BDH("RUB curncy","PX_LAST",$N372)</f>
        <v>#NAME?</v>
      </c>
      <c r="N372" s="805">
        <v>41991</v>
      </c>
    </row>
    <row r="373" spans="2:14" s="354" customFormat="1" x14ac:dyDescent="0.2">
      <c r="B373" s="797" t="s">
        <v>126</v>
      </c>
      <c r="C373" s="798" t="s">
        <v>21</v>
      </c>
      <c r="D373" s="799" t="e">
        <f ca="1">_xll.BDP(C373,"SECURITY_NAME")</f>
        <v>#NAME?</v>
      </c>
      <c r="E373" s="799" t="s">
        <v>50</v>
      </c>
      <c r="F373" s="800">
        <v>15000</v>
      </c>
      <c r="G373" s="799" t="e">
        <f ca="1">_xll.BDP(C373,"CRNCY")</f>
        <v>#NAME?</v>
      </c>
      <c r="H373" s="806" t="e">
        <f ca="1">_xll.BDH(C373,"PX_LAST",N373)</f>
        <v>#NAME?</v>
      </c>
      <c r="I373" s="802" t="e">
        <f ca="1">F373*H373</f>
        <v>#NAME?</v>
      </c>
      <c r="J373" s="803" t="e">
        <f ca="1">I373/L373</f>
        <v>#NAME?</v>
      </c>
      <c r="K373" s="802" t="e">
        <f ca="1">J373*L373</f>
        <v>#NAME?</v>
      </c>
      <c r="L373" s="801" t="e">
        <f ca="1">_xll.BDH("RUB curncy","PX_LAST",$N373)</f>
        <v>#NAME?</v>
      </c>
      <c r="M373" s="804" t="e">
        <f ca="1">1/_xll.BDH("RUB curncy","PX_LAST",$N373)</f>
        <v>#NAME?</v>
      </c>
      <c r="N373" s="805">
        <v>41976</v>
      </c>
    </row>
    <row r="374" spans="2:14" x14ac:dyDescent="0.2">
      <c r="B374" s="71"/>
      <c r="C374" s="72"/>
      <c r="D374" s="73"/>
      <c r="E374" s="73"/>
      <c r="F374" s="79">
        <f>SUM(F372:F373)</f>
        <v>36000</v>
      </c>
      <c r="G374" s="73"/>
      <c r="H374" s="95" t="e">
        <f ca="1">I374/F374</f>
        <v>#NAME?</v>
      </c>
      <c r="I374" s="79" t="e">
        <f ca="1">SUM(I372:I373)</f>
        <v>#NAME?</v>
      </c>
      <c r="J374" s="79" t="e">
        <f ca="1">SUM(J372:J373)</f>
        <v>#NAME?</v>
      </c>
      <c r="K374" s="79" t="e">
        <f ca="1">SUM(K372:K373)</f>
        <v>#NAME?</v>
      </c>
      <c r="L374" s="75"/>
      <c r="M374" s="86"/>
      <c r="N374" s="14"/>
    </row>
    <row r="375" spans="2:14" x14ac:dyDescent="0.2">
      <c r="B375" s="71"/>
      <c r="C375" s="72"/>
      <c r="D375" s="73"/>
      <c r="E375" s="73"/>
      <c r="F375" s="74"/>
      <c r="G375" s="73"/>
      <c r="H375" s="75"/>
      <c r="I375" s="76"/>
      <c r="J375" s="77"/>
      <c r="K375" s="76"/>
      <c r="L375" s="75"/>
      <c r="M375" s="86"/>
      <c r="N375" s="14"/>
    </row>
    <row r="376" spans="2:14" x14ac:dyDescent="0.2">
      <c r="B376" s="21" t="s">
        <v>126</v>
      </c>
      <c r="C376" s="20" t="s">
        <v>134</v>
      </c>
      <c r="D376" s="18" t="e">
        <f ca="1">_xll.BDP(C376,"SECURITY_NAME")</f>
        <v>#NAME?</v>
      </c>
      <c r="E376" s="18" t="s">
        <v>50</v>
      </c>
      <c r="F376" s="19">
        <v>6300</v>
      </c>
      <c r="G376" s="18" t="e">
        <f ca="1">_xll.BDP(C376,"CRNCY")</f>
        <v>#NAME?</v>
      </c>
      <c r="H376" s="22">
        <v>0.99750000000000005</v>
      </c>
      <c r="I376" s="15">
        <f t="shared" ref="I376:I381" si="73">F376*H376</f>
        <v>6284.25</v>
      </c>
      <c r="J376" s="16" t="e">
        <f t="shared" ref="J376:J381" ca="1" si="74">I376*L376</f>
        <v>#NAME?</v>
      </c>
      <c r="K376" s="15" t="e">
        <f t="shared" ref="K376:K381" ca="1" si="75">J376/M376</f>
        <v>#NAME?</v>
      </c>
      <c r="L376" s="22" t="e">
        <f ca="1">_xll.BDH("GBP curncy","PX_LAST",$N376)</f>
        <v>#NAME?</v>
      </c>
      <c r="M376" s="85" t="e">
        <f ca="1">1/_xll.BDH("RUB curncy","PX_LAST",$N376)</f>
        <v>#NAME?</v>
      </c>
      <c r="N376" s="14">
        <v>42548</v>
      </c>
    </row>
    <row r="377" spans="2:14" x14ac:dyDescent="0.2">
      <c r="B377" s="21" t="s">
        <v>126</v>
      </c>
      <c r="C377" s="20" t="s">
        <v>134</v>
      </c>
      <c r="D377" s="18" t="e">
        <f ca="1">_xll.BDP(C377,"SECURITY_NAME")</f>
        <v>#NAME?</v>
      </c>
      <c r="E377" s="18" t="s">
        <v>50</v>
      </c>
      <c r="F377" s="19">
        <v>9705</v>
      </c>
      <c r="G377" s="18" t="e">
        <f ca="1">_xll.BDP(C377,"CRNCY")</f>
        <v>#NAME?</v>
      </c>
      <c r="H377" s="22">
        <v>0.5</v>
      </c>
      <c r="I377" s="15">
        <f t="shared" si="73"/>
        <v>4852.5</v>
      </c>
      <c r="J377" s="16" t="e">
        <f t="shared" ca="1" si="74"/>
        <v>#NAME?</v>
      </c>
      <c r="K377" s="15" t="e">
        <f t="shared" ca="1" si="75"/>
        <v>#NAME?</v>
      </c>
      <c r="L377" s="22" t="e">
        <f ca="1">_xll.BDH("GBP curncy","PX_LAST",$N377)</f>
        <v>#NAME?</v>
      </c>
      <c r="M377" s="85" t="e">
        <f ca="1">1/_xll.BDH("RUB curncy","PX_LAST",$N377)</f>
        <v>#NAME?</v>
      </c>
      <c r="N377" s="14">
        <v>42401</v>
      </c>
    </row>
    <row r="378" spans="2:14" s="354" customFormat="1" x14ac:dyDescent="0.2">
      <c r="B378" s="797" t="s">
        <v>126</v>
      </c>
      <c r="C378" s="798" t="s">
        <v>134</v>
      </c>
      <c r="D378" s="799" t="e">
        <f ca="1">_xll.BDP(C378,"SECURITY_NAME")</f>
        <v>#NAME?</v>
      </c>
      <c r="E378" s="799" t="s">
        <v>50</v>
      </c>
      <c r="F378" s="800">
        <v>50222</v>
      </c>
      <c r="G378" s="799" t="e">
        <f ca="1">_xll.BDP(C378,"CRNCY")</f>
        <v>#NAME?</v>
      </c>
      <c r="H378" s="801" t="e">
        <f ca="1">_xll.BDH(C378,"PX_LAST",N378)/100</f>
        <v>#NAME?</v>
      </c>
      <c r="I378" s="802" t="e">
        <f t="shared" ca="1" si="73"/>
        <v>#NAME?</v>
      </c>
      <c r="J378" s="803" t="e">
        <f t="shared" ca="1" si="74"/>
        <v>#NAME?</v>
      </c>
      <c r="K378" s="802" t="e">
        <f t="shared" ca="1" si="75"/>
        <v>#NAME?</v>
      </c>
      <c r="L378" s="801" t="e">
        <f ca="1">_xll.BDH("GBP curncy","PX_LAST",$N378)</f>
        <v>#NAME?</v>
      </c>
      <c r="M378" s="804" t="e">
        <f ca="1">1/_xll.BDH("RUB curncy","PX_LAST",$N378)</f>
        <v>#NAME?</v>
      </c>
      <c r="N378" s="805">
        <v>42079</v>
      </c>
    </row>
    <row r="379" spans="2:14" s="354" customFormat="1" x14ac:dyDescent="0.2">
      <c r="B379" s="797" t="s">
        <v>126</v>
      </c>
      <c r="C379" s="798" t="s">
        <v>134</v>
      </c>
      <c r="D379" s="799" t="e">
        <f ca="1">_xll.BDP(C379,"SECURITY_NAME")</f>
        <v>#NAME?</v>
      </c>
      <c r="E379" s="799" t="s">
        <v>50</v>
      </c>
      <c r="F379" s="800">
        <v>32426</v>
      </c>
      <c r="G379" s="799" t="e">
        <f ca="1">_xll.BDP(C379,"CRNCY")</f>
        <v>#NAME?</v>
      </c>
      <c r="H379" s="801" t="e">
        <f ca="1">_xll.BDH(C379,"PX_LAST",N379)/100</f>
        <v>#NAME?</v>
      </c>
      <c r="I379" s="802" t="e">
        <f t="shared" ca="1" si="73"/>
        <v>#NAME?</v>
      </c>
      <c r="J379" s="803" t="e">
        <f t="shared" ca="1" si="74"/>
        <v>#NAME?</v>
      </c>
      <c r="K379" s="802" t="e">
        <f t="shared" ca="1" si="75"/>
        <v>#NAME?</v>
      </c>
      <c r="L379" s="801" t="e">
        <f ca="1">_xll.BDH("GBP curncy","PX_LAST",$N379)</f>
        <v>#NAME?</v>
      </c>
      <c r="M379" s="804" t="e">
        <f ca="1">1/_xll.BDH("RUB curncy","PX_LAST",$N379)</f>
        <v>#NAME?</v>
      </c>
      <c r="N379" s="805">
        <v>42067</v>
      </c>
    </row>
    <row r="380" spans="2:14" s="354" customFormat="1" x14ac:dyDescent="0.2">
      <c r="B380" s="797" t="s">
        <v>126</v>
      </c>
      <c r="C380" s="798" t="s">
        <v>134</v>
      </c>
      <c r="D380" s="799" t="e">
        <f ca="1">_xll.BDP(C380,"SECURITY_NAME")</f>
        <v>#NAME?</v>
      </c>
      <c r="E380" s="799" t="s">
        <v>50</v>
      </c>
      <c r="F380" s="800">
        <v>31470</v>
      </c>
      <c r="G380" s="799" t="e">
        <f ca="1">_xll.BDP(C380,"CRNCY")</f>
        <v>#NAME?</v>
      </c>
      <c r="H380" s="801" t="e">
        <f ca="1">_xll.BDH(C380,"PX_LAST",N380)/100</f>
        <v>#NAME?</v>
      </c>
      <c r="I380" s="802" t="e">
        <f t="shared" ca="1" si="73"/>
        <v>#NAME?</v>
      </c>
      <c r="J380" s="803" t="e">
        <f t="shared" ca="1" si="74"/>
        <v>#NAME?</v>
      </c>
      <c r="K380" s="802" t="e">
        <f t="shared" ca="1" si="75"/>
        <v>#NAME?</v>
      </c>
      <c r="L380" s="801" t="e">
        <f ca="1">_xll.BDH("GBP curncy","PX_LAST",$N380)</f>
        <v>#NAME?</v>
      </c>
      <c r="M380" s="804" t="e">
        <f ca="1">1/_xll.BDH("RUB curncy","PX_LAST",$N380)</f>
        <v>#NAME?</v>
      </c>
      <c r="N380" s="805">
        <v>42062</v>
      </c>
    </row>
    <row r="381" spans="2:14" s="354" customFormat="1" x14ac:dyDescent="0.2">
      <c r="B381" s="797" t="s">
        <v>126</v>
      </c>
      <c r="C381" s="798" t="s">
        <v>134</v>
      </c>
      <c r="D381" s="799" t="e">
        <f ca="1">_xll.BDP(C381,"SECURITY_NAME")</f>
        <v>#NAME?</v>
      </c>
      <c r="E381" s="799" t="s">
        <v>50</v>
      </c>
      <c r="F381" s="800">
        <v>128530</v>
      </c>
      <c r="G381" s="799" t="e">
        <f ca="1">_xll.BDP(C381,"CRNCY")</f>
        <v>#NAME?</v>
      </c>
      <c r="H381" s="801" t="e">
        <f ca="1">_xll.BDH(C381,"PX_LAST",N381)/100</f>
        <v>#NAME?</v>
      </c>
      <c r="I381" s="802" t="e">
        <f t="shared" ca="1" si="73"/>
        <v>#NAME?</v>
      </c>
      <c r="J381" s="803" t="e">
        <f t="shared" ca="1" si="74"/>
        <v>#NAME?</v>
      </c>
      <c r="K381" s="802" t="e">
        <f t="shared" ca="1" si="75"/>
        <v>#NAME?</v>
      </c>
      <c r="L381" s="801" t="e">
        <f ca="1">_xll.BDH("GBP curncy","PX_LAST",$N381)</f>
        <v>#NAME?</v>
      </c>
      <c r="M381" s="804" t="e">
        <f ca="1">1/_xll.BDH("RUB curncy","PX_LAST",$N381)</f>
        <v>#NAME?</v>
      </c>
      <c r="N381" s="805">
        <v>42002</v>
      </c>
    </row>
    <row r="382" spans="2:14" x14ac:dyDescent="0.2">
      <c r="B382" s="71"/>
      <c r="C382" s="72"/>
      <c r="D382" s="73"/>
      <c r="E382" s="73"/>
      <c r="F382" s="79">
        <f>SUM(F376:F381)</f>
        <v>258653</v>
      </c>
      <c r="G382" s="87"/>
      <c r="H382" s="80" t="e">
        <f ca="1">I382/F382</f>
        <v>#NAME?</v>
      </c>
      <c r="I382" s="79" t="e">
        <f ca="1">SUM(I376:I381)</f>
        <v>#NAME?</v>
      </c>
      <c r="J382" s="79" t="e">
        <f ca="1">SUM(J376:J381)</f>
        <v>#NAME?</v>
      </c>
      <c r="K382" s="79" t="e">
        <f ca="1">SUM(K376:K381)</f>
        <v>#NAME?</v>
      </c>
      <c r="L382" s="75"/>
      <c r="M382" s="86"/>
      <c r="N382" s="14"/>
    </row>
    <row r="383" spans="2:14" x14ac:dyDescent="0.2">
      <c r="B383" s="71"/>
      <c r="C383" s="72"/>
      <c r="D383" s="73"/>
      <c r="E383" s="73"/>
      <c r="F383" s="74"/>
      <c r="G383" s="73"/>
      <c r="H383" s="75"/>
      <c r="I383" s="76"/>
      <c r="J383" s="77"/>
      <c r="K383" s="76"/>
      <c r="L383" s="75"/>
      <c r="M383" s="86"/>
      <c r="N383" s="14"/>
    </row>
    <row r="384" spans="2:14" x14ac:dyDescent="0.2">
      <c r="B384" s="21" t="s">
        <v>126</v>
      </c>
      <c r="C384" s="20" t="s">
        <v>44</v>
      </c>
      <c r="D384" s="18" t="e">
        <f ca="1">_xll.BDP(C384,"SECURITY_NAME")</f>
        <v>#NAME?</v>
      </c>
      <c r="E384" s="18" t="s">
        <v>51</v>
      </c>
      <c r="F384" s="19">
        <v>-8200</v>
      </c>
      <c r="G384" s="18" t="e">
        <f ca="1">_xll.BDP(C384,"CRNCY")</f>
        <v>#NAME?</v>
      </c>
      <c r="H384" s="22" t="e">
        <f ca="1">_xll.BDH(C384,"PX_LAST",N384)</f>
        <v>#NAME?</v>
      </c>
      <c r="I384" s="15" t="e">
        <f ca="1">F384*H384</f>
        <v>#NAME?</v>
      </c>
      <c r="J384" s="16" t="e">
        <f ca="1">I384/L384</f>
        <v>#NAME?</v>
      </c>
      <c r="K384" s="15" t="e">
        <f ca="1">J384*L384</f>
        <v>#NAME?</v>
      </c>
      <c r="L384" s="22" t="e">
        <f ca="1">_xll.BDH("RUB curncy","PX_LAST",$N384)</f>
        <v>#NAME?</v>
      </c>
      <c r="M384" s="85" t="e">
        <f ca="1">1/_xll.BDH("RUB curncy","PX_LAST",$N384)</f>
        <v>#NAME?</v>
      </c>
      <c r="N384" s="14">
        <v>41967</v>
      </c>
    </row>
    <row r="385" spans="2:14" x14ac:dyDescent="0.2">
      <c r="B385" s="21" t="s">
        <v>126</v>
      </c>
      <c r="C385" s="20" t="s">
        <v>44</v>
      </c>
      <c r="D385" s="18" t="e">
        <f ca="1">_xll.BDP(C385,"SECURITY_NAME")</f>
        <v>#NAME?</v>
      </c>
      <c r="E385" s="18" t="s">
        <v>51</v>
      </c>
      <c r="F385" s="19">
        <v>-200000</v>
      </c>
      <c r="G385" s="18" t="e">
        <f ca="1">_xll.BDP(C385,"CRNCY")</f>
        <v>#NAME?</v>
      </c>
      <c r="H385" s="22" t="e">
        <f ca="1">_xll.BDH(C385,"PX_LAST",N385)</f>
        <v>#NAME?</v>
      </c>
      <c r="I385" s="15" t="e">
        <f t="shared" ref="I385:I398" ca="1" si="76">F385*H385</f>
        <v>#NAME?</v>
      </c>
      <c r="J385" s="16" t="e">
        <f t="shared" ref="J385:J398" ca="1" si="77">I385/L385</f>
        <v>#NAME?</v>
      </c>
      <c r="K385" s="15" t="e">
        <f t="shared" ref="K385:K398" ca="1" si="78">J385*L385</f>
        <v>#NAME?</v>
      </c>
      <c r="L385" s="22" t="e">
        <f ca="1">_xll.BDH("RUB curncy","PX_LAST",$N385)</f>
        <v>#NAME?</v>
      </c>
      <c r="M385" s="85" t="e">
        <f ca="1">1/_xll.BDH("RUB curncy","PX_LAST",$N385)</f>
        <v>#NAME?</v>
      </c>
      <c r="N385" s="14">
        <v>41954</v>
      </c>
    </row>
    <row r="386" spans="2:14" x14ac:dyDescent="0.2">
      <c r="B386" s="21" t="s">
        <v>126</v>
      </c>
      <c r="C386" s="20" t="s">
        <v>44</v>
      </c>
      <c r="D386" s="18" t="e">
        <f ca="1">_xll.BDP(C386,"SECURITY_NAME")</f>
        <v>#NAME?</v>
      </c>
      <c r="E386" s="18" t="s">
        <v>51</v>
      </c>
      <c r="F386" s="19">
        <v>-600000</v>
      </c>
      <c r="G386" s="18" t="e">
        <f ca="1">_xll.BDP(C386,"CRNCY")</f>
        <v>#NAME?</v>
      </c>
      <c r="H386" s="22" t="e">
        <f ca="1">_xll.BDH(C386,"PX_LAST",N386)</f>
        <v>#NAME?</v>
      </c>
      <c r="I386" s="15" t="e">
        <f t="shared" ca="1" si="76"/>
        <v>#NAME?</v>
      </c>
      <c r="J386" s="16" t="e">
        <f t="shared" ca="1" si="77"/>
        <v>#NAME?</v>
      </c>
      <c r="K386" s="15" t="e">
        <f t="shared" ca="1" si="78"/>
        <v>#NAME?</v>
      </c>
      <c r="L386" s="22" t="e">
        <f ca="1">_xll.BDH("RUB curncy","PX_LAST",$N386)</f>
        <v>#NAME?</v>
      </c>
      <c r="M386" s="85" t="e">
        <f ca="1">1/_xll.BDH("RUB curncy","PX_LAST",$N386)</f>
        <v>#NAME?</v>
      </c>
      <c r="N386" s="14">
        <v>41953</v>
      </c>
    </row>
    <row r="387" spans="2:14" x14ac:dyDescent="0.2">
      <c r="B387" s="21" t="s">
        <v>126</v>
      </c>
      <c r="C387" s="20" t="s">
        <v>44</v>
      </c>
      <c r="D387" s="18" t="e">
        <f ca="1">_xll.BDP(C387,"SECURITY_NAME")</f>
        <v>#NAME?</v>
      </c>
      <c r="E387" s="18" t="s">
        <v>51</v>
      </c>
      <c r="F387" s="19">
        <v>-231500</v>
      </c>
      <c r="G387" s="18" t="e">
        <f ca="1">_xll.BDP(C387,"CRNCY")</f>
        <v>#NAME?</v>
      </c>
      <c r="H387" s="22" t="e">
        <f ca="1">_xll.BDH(C387,"PX_LAST",N387)</f>
        <v>#NAME?</v>
      </c>
      <c r="I387" s="15" t="e">
        <f t="shared" ca="1" si="76"/>
        <v>#NAME?</v>
      </c>
      <c r="J387" s="16" t="e">
        <f t="shared" ca="1" si="77"/>
        <v>#NAME?</v>
      </c>
      <c r="K387" s="15" t="e">
        <f t="shared" ca="1" si="78"/>
        <v>#NAME?</v>
      </c>
      <c r="L387" s="22" t="e">
        <f ca="1">_xll.BDH("RUB curncy","PX_LAST",$N387)</f>
        <v>#NAME?</v>
      </c>
      <c r="M387" s="85" t="e">
        <f ca="1">1/_xll.BDH("RUB curncy","PX_LAST",$N387)</f>
        <v>#NAME?</v>
      </c>
      <c r="N387" s="14">
        <v>41949</v>
      </c>
    </row>
    <row r="388" spans="2:14" x14ac:dyDescent="0.2">
      <c r="B388" s="21" t="s">
        <v>126</v>
      </c>
      <c r="C388" s="20" t="s">
        <v>44</v>
      </c>
      <c r="D388" s="18" t="e">
        <f ca="1">_xll.BDP(C388,"SECURITY_NAME")</f>
        <v>#NAME?</v>
      </c>
      <c r="E388" s="18" t="s">
        <v>50</v>
      </c>
      <c r="F388" s="19">
        <v>258000</v>
      </c>
      <c r="G388" s="18" t="e">
        <f ca="1">_xll.BDP(C388,"CRNCY")</f>
        <v>#NAME?</v>
      </c>
      <c r="H388" s="22" t="e">
        <f ca="1">_xll.BDH(C388,"PX_LAST",N388)</f>
        <v>#NAME?</v>
      </c>
      <c r="I388" s="15" t="e">
        <f t="shared" ca="1" si="76"/>
        <v>#NAME?</v>
      </c>
      <c r="J388" s="16" t="e">
        <f t="shared" ca="1" si="77"/>
        <v>#NAME?</v>
      </c>
      <c r="K388" s="15" t="e">
        <f t="shared" ca="1" si="78"/>
        <v>#NAME?</v>
      </c>
      <c r="L388" s="22" t="e">
        <f ca="1">_xll.BDH("RUB curncy","PX_LAST",$N388)</f>
        <v>#NAME?</v>
      </c>
      <c r="M388" s="85" t="e">
        <f ca="1">1/_xll.BDH("RUB curncy","PX_LAST",$N388)</f>
        <v>#NAME?</v>
      </c>
      <c r="N388" s="14">
        <v>41942</v>
      </c>
    </row>
    <row r="389" spans="2:14" x14ac:dyDescent="0.2">
      <c r="B389" s="21" t="s">
        <v>126</v>
      </c>
      <c r="C389" s="20" t="s">
        <v>44</v>
      </c>
      <c r="D389" s="18" t="e">
        <f ca="1">_xll.BDP(C389,"SECURITY_NAME")</f>
        <v>#NAME?</v>
      </c>
      <c r="E389" s="18" t="s">
        <v>50</v>
      </c>
      <c r="F389" s="19">
        <v>754000</v>
      </c>
      <c r="G389" s="18" t="e">
        <f ca="1">_xll.BDP(C389,"CRNCY")</f>
        <v>#NAME?</v>
      </c>
      <c r="H389" s="22" t="e">
        <f ca="1">_xll.BDH(C389,"PX_LAST",N389)</f>
        <v>#NAME?</v>
      </c>
      <c r="I389" s="15" t="e">
        <f t="shared" ca="1" si="76"/>
        <v>#NAME?</v>
      </c>
      <c r="J389" s="16" t="e">
        <f t="shared" ca="1" si="77"/>
        <v>#NAME?</v>
      </c>
      <c r="K389" s="15" t="e">
        <f t="shared" ca="1" si="78"/>
        <v>#NAME?</v>
      </c>
      <c r="L389" s="22" t="e">
        <f ca="1">_xll.BDH("RUB curncy","PX_LAST",$N389)</f>
        <v>#NAME?</v>
      </c>
      <c r="M389" s="85" t="e">
        <f ca="1">1/_xll.BDH("RUB curncy","PX_LAST",$N389)</f>
        <v>#NAME?</v>
      </c>
      <c r="N389" s="14">
        <v>41933</v>
      </c>
    </row>
    <row r="390" spans="2:14" x14ac:dyDescent="0.2">
      <c r="B390" s="21" t="s">
        <v>126</v>
      </c>
      <c r="C390" s="20" t="s">
        <v>44</v>
      </c>
      <c r="D390" s="18" t="e">
        <f ca="1">_xll.BDP(C390,"SECURITY_NAME")</f>
        <v>#NAME?</v>
      </c>
      <c r="E390" s="18" t="s">
        <v>50</v>
      </c>
      <c r="F390" s="19">
        <v>397000</v>
      </c>
      <c r="G390" s="18" t="e">
        <f ca="1">_xll.BDP(C390,"CRNCY")</f>
        <v>#NAME?</v>
      </c>
      <c r="H390" s="22" t="e">
        <f ca="1">_xll.BDH(C390,"PX_LAST",N390)</f>
        <v>#NAME?</v>
      </c>
      <c r="I390" s="15" t="e">
        <f t="shared" ca="1" si="76"/>
        <v>#NAME?</v>
      </c>
      <c r="J390" s="16" t="e">
        <f t="shared" ca="1" si="77"/>
        <v>#NAME?</v>
      </c>
      <c r="K390" s="15" t="e">
        <f t="shared" ca="1" si="78"/>
        <v>#NAME?</v>
      </c>
      <c r="L390" s="22" t="e">
        <f ca="1">_xll.BDH("RUB curncy","PX_LAST",$N390)</f>
        <v>#NAME?</v>
      </c>
      <c r="M390" s="85" t="e">
        <f ca="1">1/_xll.BDH("RUB curncy","PX_LAST",$N390)</f>
        <v>#NAME?</v>
      </c>
      <c r="N390" s="14">
        <v>41673</v>
      </c>
    </row>
    <row r="391" spans="2:14" x14ac:dyDescent="0.2">
      <c r="B391" s="21" t="s">
        <v>126</v>
      </c>
      <c r="C391" s="20" t="s">
        <v>44</v>
      </c>
      <c r="D391" s="18" t="e">
        <f ca="1">_xll.BDP(C391,"SECURITY_NAME")</f>
        <v>#NAME?</v>
      </c>
      <c r="E391" s="18" t="s">
        <v>50</v>
      </c>
      <c r="F391" s="19">
        <v>130000</v>
      </c>
      <c r="G391" s="18" t="e">
        <f ca="1">_xll.BDP(C391,"CRNCY")</f>
        <v>#NAME?</v>
      </c>
      <c r="H391" s="22" t="e">
        <f ca="1">_xll.BDH(C391,"PX_LAST",N391)</f>
        <v>#NAME?</v>
      </c>
      <c r="I391" s="15" t="e">
        <f t="shared" ca="1" si="76"/>
        <v>#NAME?</v>
      </c>
      <c r="J391" s="16" t="e">
        <f t="shared" ca="1" si="77"/>
        <v>#NAME?</v>
      </c>
      <c r="K391" s="15" t="e">
        <f t="shared" ca="1" si="78"/>
        <v>#NAME?</v>
      </c>
      <c r="L391" s="22" t="e">
        <f ca="1">_xll.BDH("RUB curncy","PX_LAST",$N391)</f>
        <v>#NAME?</v>
      </c>
      <c r="M391" s="85" t="e">
        <f ca="1">1/_xll.BDH("RUB curncy","PX_LAST",$N391)</f>
        <v>#NAME?</v>
      </c>
      <c r="N391" s="14">
        <v>41653</v>
      </c>
    </row>
    <row r="392" spans="2:14" x14ac:dyDescent="0.2">
      <c r="B392" s="21" t="s">
        <v>126</v>
      </c>
      <c r="C392" s="20" t="s">
        <v>44</v>
      </c>
      <c r="D392" s="18" t="e">
        <f ca="1">_xll.BDP(C392,"SECURITY_NAME")</f>
        <v>#NAME?</v>
      </c>
      <c r="E392" s="18" t="s">
        <v>51</v>
      </c>
      <c r="F392" s="19">
        <v>-113700</v>
      </c>
      <c r="G392" s="18" t="e">
        <f ca="1">_xll.BDP(C392,"CRNCY")</f>
        <v>#NAME?</v>
      </c>
      <c r="H392" s="22" t="e">
        <f ca="1">_xll.BDH(C392,"PX_LAST",N392)</f>
        <v>#NAME?</v>
      </c>
      <c r="I392" s="15" t="e">
        <f t="shared" ca="1" si="76"/>
        <v>#NAME?</v>
      </c>
      <c r="J392" s="16" t="e">
        <f t="shared" ca="1" si="77"/>
        <v>#NAME?</v>
      </c>
      <c r="K392" s="15" t="e">
        <f t="shared" ca="1" si="78"/>
        <v>#NAME?</v>
      </c>
      <c r="L392" s="22" t="e">
        <f ca="1">_xll.BDH("RUB curncy","PX_LAST",$N392)</f>
        <v>#NAME?</v>
      </c>
      <c r="M392" s="85" t="e">
        <f ca="1">1/_xll.BDH("RUB curncy","PX_LAST",$N392)</f>
        <v>#NAME?</v>
      </c>
      <c r="N392" s="14">
        <v>41586</v>
      </c>
    </row>
    <row r="393" spans="2:14" x14ac:dyDescent="0.2">
      <c r="B393" s="21" t="s">
        <v>126</v>
      </c>
      <c r="C393" s="20" t="s">
        <v>44</v>
      </c>
      <c r="D393" s="18" t="e">
        <f ca="1">_xll.BDP(C393,"SECURITY_NAME")</f>
        <v>#NAME?</v>
      </c>
      <c r="E393" s="18" t="s">
        <v>51</v>
      </c>
      <c r="F393" s="19">
        <v>-140000</v>
      </c>
      <c r="G393" s="18" t="e">
        <f ca="1">_xll.BDP(C393,"CRNCY")</f>
        <v>#NAME?</v>
      </c>
      <c r="H393" s="22" t="e">
        <f ca="1">_xll.BDH(C393,"PX_LAST",N393)</f>
        <v>#NAME?</v>
      </c>
      <c r="I393" s="15" t="e">
        <f t="shared" ca="1" si="76"/>
        <v>#NAME?</v>
      </c>
      <c r="J393" s="16" t="e">
        <f t="shared" ca="1" si="77"/>
        <v>#NAME?</v>
      </c>
      <c r="K393" s="15" t="e">
        <f t="shared" ca="1" si="78"/>
        <v>#NAME?</v>
      </c>
      <c r="L393" s="22" t="e">
        <f ca="1">_xll.BDH("RUB curncy","PX_LAST",$N393)</f>
        <v>#NAME?</v>
      </c>
      <c r="M393" s="85" t="e">
        <f ca="1">1/_xll.BDH("RUB curncy","PX_LAST",$N393)</f>
        <v>#NAME?</v>
      </c>
      <c r="N393" s="14">
        <v>41540</v>
      </c>
    </row>
    <row r="394" spans="2:14" x14ac:dyDescent="0.2">
      <c r="B394" s="21" t="s">
        <v>126</v>
      </c>
      <c r="C394" s="20" t="s">
        <v>44</v>
      </c>
      <c r="D394" s="18" t="e">
        <f ca="1">_xll.BDP(C394,"SECURITY_NAME")</f>
        <v>#NAME?</v>
      </c>
      <c r="E394" s="18" t="s">
        <v>51</v>
      </c>
      <c r="F394" s="19">
        <v>-150000</v>
      </c>
      <c r="G394" s="18" t="e">
        <f ca="1">_xll.BDP(C394,"CRNCY")</f>
        <v>#NAME?</v>
      </c>
      <c r="H394" s="22" t="e">
        <f ca="1">_xll.BDH(C394,"PX_LAST",N394)</f>
        <v>#NAME?</v>
      </c>
      <c r="I394" s="15" t="e">
        <f t="shared" ca="1" si="76"/>
        <v>#NAME?</v>
      </c>
      <c r="J394" s="16" t="e">
        <f t="shared" ca="1" si="77"/>
        <v>#NAME?</v>
      </c>
      <c r="K394" s="15" t="e">
        <f t="shared" ca="1" si="78"/>
        <v>#NAME?</v>
      </c>
      <c r="L394" s="22" t="e">
        <f ca="1">_xll.BDH("RUB curncy","PX_LAST",$N394)</f>
        <v>#NAME?</v>
      </c>
      <c r="M394" s="85" t="e">
        <f ca="1">1/_xll.BDH("RUB curncy","PX_LAST",$N394)</f>
        <v>#NAME?</v>
      </c>
      <c r="N394" s="14">
        <v>41373</v>
      </c>
    </row>
    <row r="395" spans="2:14" x14ac:dyDescent="0.2">
      <c r="B395" s="21" t="s">
        <v>126</v>
      </c>
      <c r="C395" s="20" t="s">
        <v>44</v>
      </c>
      <c r="D395" s="18" t="e">
        <f ca="1">_xll.BDP(C395,"SECURITY_NAME")</f>
        <v>#NAME?</v>
      </c>
      <c r="E395" s="18" t="s">
        <v>50</v>
      </c>
      <c r="F395" s="19">
        <v>500000</v>
      </c>
      <c r="G395" s="18" t="e">
        <f ca="1">_xll.BDP(C395,"CRNCY")</f>
        <v>#NAME?</v>
      </c>
      <c r="H395" s="22" t="e">
        <f ca="1">_xll.BDH(C395,"PX_LAST",N395)</f>
        <v>#NAME?</v>
      </c>
      <c r="I395" s="15" t="e">
        <f t="shared" ca="1" si="76"/>
        <v>#NAME?</v>
      </c>
      <c r="J395" s="16" t="e">
        <f t="shared" ca="1" si="77"/>
        <v>#NAME?</v>
      </c>
      <c r="K395" s="15" t="e">
        <f t="shared" ca="1" si="78"/>
        <v>#NAME?</v>
      </c>
      <c r="L395" s="22" t="e">
        <f ca="1">_xll.BDH("RUB curncy","PX_LAST",$N395)</f>
        <v>#NAME?</v>
      </c>
      <c r="M395" s="85" t="e">
        <f ca="1">1/_xll.BDH("RUB curncy","PX_LAST",$N395)</f>
        <v>#NAME?</v>
      </c>
      <c r="N395" s="14">
        <v>41066</v>
      </c>
    </row>
    <row r="396" spans="2:14" x14ac:dyDescent="0.2">
      <c r="B396" s="21" t="s">
        <v>126</v>
      </c>
      <c r="C396" s="20" t="s">
        <v>44</v>
      </c>
      <c r="D396" s="18" t="e">
        <f ca="1">_xll.BDP(C396,"SECURITY_NAME")</f>
        <v>#NAME?</v>
      </c>
      <c r="E396" s="18" t="s">
        <v>50</v>
      </c>
      <c r="F396" s="19">
        <v>430000</v>
      </c>
      <c r="G396" s="18" t="e">
        <f ca="1">_xll.BDP(C396,"CRNCY")</f>
        <v>#NAME?</v>
      </c>
      <c r="H396" s="22" t="e">
        <f ca="1">_xll.BDH(C396,"PX_LAST",N396)</f>
        <v>#NAME?</v>
      </c>
      <c r="I396" s="15" t="e">
        <f t="shared" ca="1" si="76"/>
        <v>#NAME?</v>
      </c>
      <c r="J396" s="16" t="e">
        <f t="shared" ca="1" si="77"/>
        <v>#NAME?</v>
      </c>
      <c r="K396" s="15" t="e">
        <f t="shared" ca="1" si="78"/>
        <v>#NAME?</v>
      </c>
      <c r="L396" s="22" t="e">
        <f ca="1">_xll.BDH("RUB curncy","PX_LAST",$N396)</f>
        <v>#NAME?</v>
      </c>
      <c r="M396" s="85" t="e">
        <f ca="1">1/_xll.BDH("RUB curncy","PX_LAST",$N396)</f>
        <v>#NAME?</v>
      </c>
      <c r="N396" s="14">
        <v>41060</v>
      </c>
    </row>
    <row r="397" spans="2:14" x14ac:dyDescent="0.2">
      <c r="B397" s="21" t="s">
        <v>126</v>
      </c>
      <c r="C397" s="20" t="s">
        <v>44</v>
      </c>
      <c r="D397" s="18" t="e">
        <f ca="1">_xll.BDP(C397,"SECURITY_NAME")</f>
        <v>#NAME?</v>
      </c>
      <c r="E397" s="18" t="s">
        <v>50</v>
      </c>
      <c r="F397" s="19">
        <v>216000</v>
      </c>
      <c r="G397" s="18" t="e">
        <f ca="1">_xll.BDP(C397,"CRNCY")</f>
        <v>#NAME?</v>
      </c>
      <c r="H397" s="22" t="e">
        <f ca="1">_xll.BDH(C397,"PX_LAST",N397)</f>
        <v>#NAME?</v>
      </c>
      <c r="I397" s="15" t="e">
        <f t="shared" ca="1" si="76"/>
        <v>#NAME?</v>
      </c>
      <c r="J397" s="16" t="e">
        <f t="shared" ca="1" si="77"/>
        <v>#NAME?</v>
      </c>
      <c r="K397" s="15" t="e">
        <f t="shared" ca="1" si="78"/>
        <v>#NAME?</v>
      </c>
      <c r="L397" s="22" t="e">
        <f ca="1">_xll.BDH("RUB curncy","PX_LAST",$N397)</f>
        <v>#NAME?</v>
      </c>
      <c r="M397" s="85" t="e">
        <f ca="1">1/_xll.BDH("RUB curncy","PX_LAST",$N397)</f>
        <v>#NAME?</v>
      </c>
      <c r="N397" s="14">
        <v>41015</v>
      </c>
    </row>
    <row r="398" spans="2:14" x14ac:dyDescent="0.2">
      <c r="B398" s="21" t="s">
        <v>126</v>
      </c>
      <c r="C398" s="20" t="s">
        <v>44</v>
      </c>
      <c r="D398" s="18" t="e">
        <f ca="1">_xll.BDP(C398,"SECURITY_NAME")</f>
        <v>#NAME?</v>
      </c>
      <c r="E398" s="18" t="s">
        <v>50</v>
      </c>
      <c r="F398" s="19">
        <v>24000</v>
      </c>
      <c r="G398" s="18" t="e">
        <f ca="1">_xll.BDP(C398,"CRNCY")</f>
        <v>#NAME?</v>
      </c>
      <c r="H398" s="22" t="e">
        <f ca="1">_xll.BDH(C398,"PX_LAST",N398)</f>
        <v>#NAME?</v>
      </c>
      <c r="I398" s="15" t="e">
        <f t="shared" ca="1" si="76"/>
        <v>#NAME?</v>
      </c>
      <c r="J398" s="16" t="e">
        <f t="shared" ca="1" si="77"/>
        <v>#NAME?</v>
      </c>
      <c r="K398" s="15" t="e">
        <f t="shared" ca="1" si="78"/>
        <v>#NAME?</v>
      </c>
      <c r="L398" s="22" t="e">
        <f ca="1">_xll.BDH("RUB curncy","PX_LAST",$N398)</f>
        <v>#NAME?</v>
      </c>
      <c r="M398" s="85" t="e">
        <f ca="1">1/_xll.BDH("RUB curncy","PX_LAST",$N398)</f>
        <v>#NAME?</v>
      </c>
      <c r="N398" s="14">
        <v>41011</v>
      </c>
    </row>
    <row r="399" spans="2:14" x14ac:dyDescent="0.2">
      <c r="B399" s="21"/>
      <c r="C399" s="20"/>
      <c r="D399" s="18"/>
      <c r="E399" s="18"/>
      <c r="F399" s="96">
        <f>SUM(F384:F398)</f>
        <v>1265600</v>
      </c>
      <c r="G399" s="18"/>
      <c r="H399" s="97" t="e">
        <f ca="1">I399/F399</f>
        <v>#NAME?</v>
      </c>
      <c r="I399" s="96" t="e">
        <f ca="1">SUM(I384:I398)</f>
        <v>#NAME?</v>
      </c>
      <c r="J399" s="96" t="e">
        <f ca="1">SUM(J384:J398)</f>
        <v>#NAME?</v>
      </c>
      <c r="K399" s="96" t="e">
        <f ca="1">SUM(K384:K398)</f>
        <v>#NAME?</v>
      </c>
      <c r="L399" s="22"/>
      <c r="M399" s="85"/>
      <c r="N399" s="14"/>
    </row>
    <row r="400" spans="2:14" x14ac:dyDescent="0.2">
      <c r="B400" s="21"/>
      <c r="C400" s="20"/>
      <c r="D400" s="18"/>
      <c r="E400" s="18"/>
      <c r="F400" s="96"/>
      <c r="G400" s="18"/>
      <c r="H400" s="22"/>
      <c r="I400" s="96"/>
      <c r="J400" s="96"/>
      <c r="K400" s="96"/>
      <c r="L400" s="22"/>
      <c r="M400" s="85"/>
      <c r="N400" s="14"/>
    </row>
    <row r="401" spans="2:14" x14ac:dyDescent="0.2">
      <c r="B401" s="21" t="s">
        <v>126</v>
      </c>
      <c r="C401" s="20" t="s">
        <v>213</v>
      </c>
      <c r="D401" s="18" t="e">
        <f ca="1">_xll.BDP(C401,"SECURITY_NAME")</f>
        <v>#NAME?</v>
      </c>
      <c r="E401" s="18" t="s">
        <v>50</v>
      </c>
      <c r="F401" s="19">
        <v>200000</v>
      </c>
      <c r="G401" s="18" t="e">
        <f ca="1">_xll.BDP(C401,"CRNCY")</f>
        <v>#NAME?</v>
      </c>
      <c r="H401" s="22">
        <v>108.25</v>
      </c>
      <c r="I401" s="15">
        <f>F401*H401/100</f>
        <v>216500</v>
      </c>
      <c r="J401" s="16">
        <f>I401</f>
        <v>216500</v>
      </c>
      <c r="K401" s="15" t="e">
        <f ca="1">J401*L401</f>
        <v>#NAME?</v>
      </c>
      <c r="L401" s="22" t="e">
        <f ca="1">_xll.BDH("RUB curncy","PX_LAST",$N401)</f>
        <v>#NAME?</v>
      </c>
      <c r="M401" s="85" t="e">
        <f ca="1">1/_xll.BDH("RUB curncy","PX_LAST",$N401)</f>
        <v>#NAME?</v>
      </c>
      <c r="N401" s="14">
        <v>41949</v>
      </c>
    </row>
    <row r="402" spans="2:14" x14ac:dyDescent="0.2">
      <c r="B402" s="71"/>
      <c r="C402" s="72"/>
      <c r="D402" s="73"/>
      <c r="E402" s="73"/>
      <c r="F402" s="79">
        <f>SUM(F401)</f>
        <v>200000</v>
      </c>
      <c r="G402" s="73"/>
      <c r="H402" s="80">
        <f>I402/F402*100</f>
        <v>108.25</v>
      </c>
      <c r="I402" s="79">
        <f>SUM(I401)</f>
        <v>216500</v>
      </c>
      <c r="J402" s="79">
        <f>SUM(J401)</f>
        <v>216500</v>
      </c>
      <c r="K402" s="79" t="e">
        <f ca="1">SUM(K401)</f>
        <v>#NAME?</v>
      </c>
      <c r="L402" s="75"/>
      <c r="M402" s="86"/>
      <c r="N402" s="14"/>
    </row>
    <row r="403" spans="2:14" x14ac:dyDescent="0.2">
      <c r="B403" s="71"/>
      <c r="C403" s="72"/>
      <c r="D403" s="73"/>
      <c r="E403" s="73"/>
      <c r="F403" s="79"/>
      <c r="G403" s="73"/>
      <c r="H403" s="80"/>
      <c r="I403" s="79"/>
      <c r="J403" s="79"/>
      <c r="K403" s="79"/>
      <c r="L403" s="75"/>
      <c r="M403" s="86"/>
      <c r="N403" s="14"/>
    </row>
    <row r="404" spans="2:14" x14ac:dyDescent="0.2">
      <c r="B404" s="21" t="s">
        <v>126</v>
      </c>
      <c r="C404" s="20" t="s">
        <v>181</v>
      </c>
      <c r="D404" s="18" t="e">
        <f ca="1">_xll.BDP(C404,"SECURITY_NAME")</f>
        <v>#NAME?</v>
      </c>
      <c r="E404" s="18" t="s">
        <v>50</v>
      </c>
      <c r="F404" s="19">
        <v>200000</v>
      </c>
      <c r="G404" s="18" t="e">
        <f ca="1">_xll.BDP(C404,"CRNCY")</f>
        <v>#NAME?</v>
      </c>
      <c r="H404" s="22">
        <v>99</v>
      </c>
      <c r="I404" s="15">
        <f>F404*H404/100</f>
        <v>198000</v>
      </c>
      <c r="J404" s="16">
        <f>I404</f>
        <v>198000</v>
      </c>
      <c r="K404" s="15" t="e">
        <f ca="1">J404*L404</f>
        <v>#NAME?</v>
      </c>
      <c r="L404" s="22" t="e">
        <f ca="1">_xll.BDH("RUB curncy","PX_LAST",$N404)</f>
        <v>#NAME?</v>
      </c>
      <c r="M404" s="85" t="e">
        <f ca="1">1/_xll.BDH("RUB curncy","PX_LAST",$N404)</f>
        <v>#NAME?</v>
      </c>
      <c r="N404" s="14">
        <v>41971</v>
      </c>
    </row>
    <row r="405" spans="2:14" x14ac:dyDescent="0.2">
      <c r="B405" s="21" t="s">
        <v>126</v>
      </c>
      <c r="C405" s="20" t="s">
        <v>181</v>
      </c>
      <c r="D405" s="18" t="e">
        <f ca="1">_xll.BDP(C405,"SECURITY_NAME")</f>
        <v>#NAME?</v>
      </c>
      <c r="E405" s="18" t="s">
        <v>50</v>
      </c>
      <c r="F405" s="19">
        <v>200000</v>
      </c>
      <c r="G405" s="18" t="e">
        <f ca="1">_xll.BDP(C405,"CRNCY")</f>
        <v>#NAME?</v>
      </c>
      <c r="H405" s="22">
        <v>101.625</v>
      </c>
      <c r="I405" s="15">
        <f>F405*H405/100</f>
        <v>203250</v>
      </c>
      <c r="J405" s="16">
        <f>I405</f>
        <v>203250</v>
      </c>
      <c r="K405" s="15" t="e">
        <f ca="1">J405*L405</f>
        <v>#NAME?</v>
      </c>
      <c r="L405" s="22" t="e">
        <f ca="1">_xll.BDH("RUB curncy","PX_LAST",$N405)</f>
        <v>#NAME?</v>
      </c>
      <c r="M405" s="85" t="e">
        <f ca="1">1/_xll.BDH("RUB curncy","PX_LAST",$N405)</f>
        <v>#NAME?</v>
      </c>
      <c r="N405" s="14">
        <v>41849</v>
      </c>
    </row>
    <row r="406" spans="2:14" x14ac:dyDescent="0.2">
      <c r="B406" s="71"/>
      <c r="C406" s="72"/>
      <c r="D406" s="73"/>
      <c r="E406" s="73"/>
      <c r="F406" s="79">
        <f>SUM(F404:F405)</f>
        <v>400000</v>
      </c>
      <c r="G406" s="73"/>
      <c r="H406" s="80">
        <f>I406/F406*100</f>
        <v>100.3125</v>
      </c>
      <c r="I406" s="79">
        <f>SUM(I404:I405)</f>
        <v>401250</v>
      </c>
      <c r="J406" s="79">
        <f>SUM(J404:J405)</f>
        <v>401250</v>
      </c>
      <c r="K406" s="79" t="e">
        <f ca="1">SUM(K404:K405)</f>
        <v>#NAME?</v>
      </c>
      <c r="L406" s="75"/>
      <c r="M406" s="86"/>
      <c r="N406" s="14"/>
    </row>
    <row r="407" spans="2:14" x14ac:dyDescent="0.2">
      <c r="B407" s="21"/>
      <c r="C407" s="20"/>
      <c r="D407" s="18"/>
      <c r="E407" s="18"/>
      <c r="F407" s="19"/>
      <c r="G407" s="18"/>
      <c r="H407" s="22"/>
      <c r="I407" s="15"/>
      <c r="J407" s="16"/>
      <c r="K407" s="15"/>
      <c r="L407" s="22"/>
      <c r="M407" s="85"/>
      <c r="N407" s="14"/>
    </row>
    <row r="408" spans="2:14" x14ac:dyDescent="0.2">
      <c r="B408" s="21" t="s">
        <v>126</v>
      </c>
      <c r="C408" s="20" t="s">
        <v>179</v>
      </c>
      <c r="D408" s="18" t="e">
        <f ca="1">_xll.BDP(C408,"SECURITY_NAME")</f>
        <v>#NAME?</v>
      </c>
      <c r="E408" s="18" t="s">
        <v>50</v>
      </c>
      <c r="F408" s="19">
        <v>200000</v>
      </c>
      <c r="G408" s="18" t="e">
        <f ca="1">_xll.BDP(C408,"CRNCY")</f>
        <v>#NAME?</v>
      </c>
      <c r="H408" s="22">
        <v>83</v>
      </c>
      <c r="I408" s="15">
        <f>F408*H408/100</f>
        <v>166000</v>
      </c>
      <c r="J408" s="16">
        <f>I408</f>
        <v>166000</v>
      </c>
      <c r="K408" s="15" t="e">
        <f ca="1">J408*L408</f>
        <v>#NAME?</v>
      </c>
      <c r="L408" s="22" t="e">
        <f ca="1">_xll.BDH("RUB curncy","PX_LAST",$N408)</f>
        <v>#NAME?</v>
      </c>
      <c r="M408" s="85" t="e">
        <f ca="1">1/_xll.BDH("RUB curncy","PX_LAST",$N408)</f>
        <v>#NAME?</v>
      </c>
      <c r="N408" s="14">
        <v>41971</v>
      </c>
    </row>
    <row r="409" spans="2:14" x14ac:dyDescent="0.2">
      <c r="B409" s="21" t="s">
        <v>126</v>
      </c>
      <c r="C409" s="20" t="s">
        <v>179</v>
      </c>
      <c r="D409" s="18" t="e">
        <f ca="1">_xll.BDP(C409,"SECURITY_NAME")</f>
        <v>#NAME?</v>
      </c>
      <c r="E409" s="18" t="s">
        <v>50</v>
      </c>
      <c r="F409" s="19">
        <v>200000</v>
      </c>
      <c r="G409" s="18" t="e">
        <f ca="1">_xll.BDP(C409,"CRNCY")</f>
        <v>#NAME?</v>
      </c>
      <c r="H409" s="22">
        <v>85.35</v>
      </c>
      <c r="I409" s="15">
        <f>F409*H409/100</f>
        <v>170700</v>
      </c>
      <c r="J409" s="16">
        <f>I409</f>
        <v>170700</v>
      </c>
      <c r="K409" s="15" t="e">
        <f ca="1">J409*L409</f>
        <v>#NAME?</v>
      </c>
      <c r="L409" s="22" t="e">
        <f ca="1">_xll.BDH("RUB curncy","PX_LAST",$N409)</f>
        <v>#NAME?</v>
      </c>
      <c r="M409" s="85" t="e">
        <f ca="1">1/_xll.BDH("RUB curncy","PX_LAST",$N409)</f>
        <v>#NAME?</v>
      </c>
      <c r="N409" s="14">
        <v>41849</v>
      </c>
    </row>
    <row r="410" spans="2:14" x14ac:dyDescent="0.2">
      <c r="B410" s="71"/>
      <c r="C410" s="72"/>
      <c r="D410" s="73"/>
      <c r="E410" s="73"/>
      <c r="F410" s="79">
        <f>SUM(F408:F409)</f>
        <v>400000</v>
      </c>
      <c r="G410" s="73"/>
      <c r="H410" s="80">
        <f>I410/F410*100</f>
        <v>84.174999999999997</v>
      </c>
      <c r="I410" s="79">
        <f>SUM(I408:I409)</f>
        <v>336700</v>
      </c>
      <c r="J410" s="79">
        <f>SUM(J408:J409)</f>
        <v>336700</v>
      </c>
      <c r="K410" s="79" t="e">
        <f ca="1">SUM(K408:K409)</f>
        <v>#NAME?</v>
      </c>
      <c r="L410" s="75"/>
      <c r="M410" s="86"/>
      <c r="N410" s="14"/>
    </row>
    <row r="411" spans="2:14" x14ac:dyDescent="0.2">
      <c r="B411" s="71"/>
      <c r="C411" s="72"/>
      <c r="D411" s="73"/>
      <c r="E411" s="73"/>
      <c r="F411" s="79"/>
      <c r="G411" s="73"/>
      <c r="H411" s="80"/>
      <c r="I411" s="79"/>
      <c r="J411" s="79"/>
      <c r="K411" s="79"/>
      <c r="L411" s="75"/>
      <c r="M411" s="86"/>
      <c r="N411" s="14"/>
    </row>
    <row r="412" spans="2:14" x14ac:dyDescent="0.2">
      <c r="B412" s="71" t="s">
        <v>126</v>
      </c>
      <c r="C412" s="20" t="s">
        <v>60</v>
      </c>
      <c r="D412" s="18" t="e">
        <f ca="1">_xll.BDP(C412,"SECURITY_NAME")</f>
        <v>#NAME?</v>
      </c>
      <c r="E412" s="18" t="s">
        <v>50</v>
      </c>
      <c r="F412" s="19">
        <v>450000</v>
      </c>
      <c r="G412" s="18" t="e">
        <f ca="1">_xll.BDP(C412,"CRNCY")</f>
        <v>#NAME?</v>
      </c>
      <c r="H412" s="22">
        <v>86.5</v>
      </c>
      <c r="I412" s="15">
        <f>F412*H412/100</f>
        <v>389250</v>
      </c>
      <c r="J412" s="16">
        <f>I412</f>
        <v>389250</v>
      </c>
      <c r="K412" s="15" t="e">
        <f ca="1">J412*L412</f>
        <v>#NAME?</v>
      </c>
      <c r="L412" s="22" t="e">
        <f ca="1">_xll.BDH("RUB curncy","PX_LAST",$N412)</f>
        <v>#NAME?</v>
      </c>
      <c r="M412" s="85" t="e">
        <f ca="1">1/_xll.BDH("RUB curncy","PX_LAST",$N412)</f>
        <v>#NAME?</v>
      </c>
      <c r="N412" s="14">
        <v>41985</v>
      </c>
    </row>
    <row r="413" spans="2:14" x14ac:dyDescent="0.2">
      <c r="B413" s="71" t="s">
        <v>126</v>
      </c>
      <c r="C413" s="20" t="s">
        <v>60</v>
      </c>
      <c r="D413" s="18" t="e">
        <f ca="1">_xll.BDP(C413,"SECURITY_NAME")</f>
        <v>#NAME?</v>
      </c>
      <c r="E413" s="18" t="s">
        <v>50</v>
      </c>
      <c r="F413" s="19">
        <v>200000</v>
      </c>
      <c r="G413" s="18" t="e">
        <f ca="1">_xll.BDP(C413,"CRNCY")</f>
        <v>#NAME?</v>
      </c>
      <c r="H413" s="22">
        <v>100</v>
      </c>
      <c r="I413" s="15">
        <f>F413*H413/100</f>
        <v>200000</v>
      </c>
      <c r="J413" s="16">
        <f>I413</f>
        <v>200000</v>
      </c>
      <c r="K413" s="15" t="e">
        <f ca="1">J413*L413</f>
        <v>#NAME?</v>
      </c>
      <c r="L413" s="22" t="e">
        <f ca="1">_xll.BDH("RUB curncy","PX_LAST",$N413)</f>
        <v>#NAME?</v>
      </c>
      <c r="M413" s="85" t="e">
        <f ca="1">1/_xll.BDH("RUB curncy","PX_LAST",$N413)</f>
        <v>#NAME?</v>
      </c>
      <c r="N413" s="14">
        <v>41971</v>
      </c>
    </row>
    <row r="414" spans="2:14" x14ac:dyDescent="0.2">
      <c r="B414" s="71" t="s">
        <v>126</v>
      </c>
      <c r="C414" s="20" t="s">
        <v>60</v>
      </c>
      <c r="D414" s="18" t="e">
        <f ca="1">_xll.BDP(C414,"SECURITY_NAME")</f>
        <v>#NAME?</v>
      </c>
      <c r="E414" s="18" t="s">
        <v>50</v>
      </c>
      <c r="F414" s="19">
        <v>200000</v>
      </c>
      <c r="G414" s="18" t="e">
        <f ca="1">_xll.BDP(C414,"CRNCY")</f>
        <v>#NAME?</v>
      </c>
      <c r="H414" s="22">
        <v>103.65</v>
      </c>
      <c r="I414" s="15">
        <f>F414*H414/100</f>
        <v>207300</v>
      </c>
      <c r="J414" s="16">
        <f>I414</f>
        <v>207300</v>
      </c>
      <c r="K414" s="15" t="e">
        <f ca="1">J414*L414</f>
        <v>#NAME?</v>
      </c>
      <c r="L414" s="22" t="e">
        <f ca="1">_xll.BDH("RUB curncy","PX_LAST",$N414)</f>
        <v>#NAME?</v>
      </c>
      <c r="M414" s="85" t="e">
        <f ca="1">1/_xll.BDH("RUB curncy","PX_LAST",$N414)</f>
        <v>#NAME?</v>
      </c>
      <c r="N414" s="14">
        <v>41949</v>
      </c>
    </row>
    <row r="415" spans="2:14" x14ac:dyDescent="0.2">
      <c r="B415" s="21" t="s">
        <v>126</v>
      </c>
      <c r="C415" s="20" t="s">
        <v>60</v>
      </c>
      <c r="D415" s="18" t="e">
        <f ca="1">_xll.BDP(C415,"SECURITY_NAME")</f>
        <v>#NAME?</v>
      </c>
      <c r="E415" s="18" t="s">
        <v>50</v>
      </c>
      <c r="F415" s="19">
        <v>200000</v>
      </c>
      <c r="G415" s="18" t="e">
        <f ca="1">_xll.BDP(C415,"CRNCY")</f>
        <v>#NAME?</v>
      </c>
      <c r="H415" s="22">
        <v>106.25</v>
      </c>
      <c r="I415" s="15">
        <f>F415*H415/100</f>
        <v>212500</v>
      </c>
      <c r="J415" s="16">
        <f>I415</f>
        <v>212500</v>
      </c>
      <c r="K415" s="15" t="e">
        <f ca="1">J415*L415</f>
        <v>#NAME?</v>
      </c>
      <c r="L415" s="22" t="e">
        <f ca="1">_xll.BDH("RUB curncy","PX_LAST",$N415)</f>
        <v>#NAME?</v>
      </c>
      <c r="M415" s="85" t="e">
        <f ca="1">1/_xll.BDH("RUB curncy","PX_LAST",$N415)</f>
        <v>#NAME?</v>
      </c>
      <c r="N415" s="14">
        <v>41849</v>
      </c>
    </row>
    <row r="416" spans="2:14" x14ac:dyDescent="0.2">
      <c r="B416" s="71"/>
      <c r="C416" s="72"/>
      <c r="D416" s="73"/>
      <c r="E416" s="73"/>
      <c r="F416" s="79">
        <f>SUM(F412:F415)</f>
        <v>1050000</v>
      </c>
      <c r="G416" s="73"/>
      <c r="H416" s="80">
        <f>I416/F416*100</f>
        <v>96.1</v>
      </c>
      <c r="I416" s="79">
        <f>SUM(I412:I415)</f>
        <v>1009050</v>
      </c>
      <c r="J416" s="79">
        <f>SUM(J412:J415)</f>
        <v>1009050</v>
      </c>
      <c r="K416" s="79" t="e">
        <f ca="1">SUM(K412:K415)</f>
        <v>#NAME?</v>
      </c>
      <c r="L416" s="75"/>
      <c r="M416" s="86"/>
      <c r="N416" s="14"/>
    </row>
    <row r="417" spans="2:14" x14ac:dyDescent="0.2">
      <c r="B417" s="21"/>
      <c r="C417" s="20"/>
      <c r="D417" s="18"/>
      <c r="E417" s="18"/>
      <c r="F417" s="19"/>
      <c r="G417" s="18"/>
      <c r="H417" s="22"/>
      <c r="I417" s="15"/>
      <c r="J417" s="16"/>
      <c r="K417" s="15"/>
      <c r="L417" s="22"/>
      <c r="M417" s="85"/>
      <c r="N417" s="14"/>
    </row>
    <row r="418" spans="2:14" x14ac:dyDescent="0.2">
      <c r="B418" s="21" t="s">
        <v>126</v>
      </c>
      <c r="C418" s="20" t="s">
        <v>61</v>
      </c>
      <c r="D418" s="18" t="e">
        <f ca="1">_xll.BDP(C418,"SECURITY_NAME")</f>
        <v>#NAME?</v>
      </c>
      <c r="E418" s="18" t="s">
        <v>50</v>
      </c>
      <c r="F418" s="19">
        <v>200000</v>
      </c>
      <c r="G418" s="18" t="e">
        <f ca="1">_xll.BDP(C418,"CRNCY")</f>
        <v>#NAME?</v>
      </c>
      <c r="H418" s="22">
        <v>99</v>
      </c>
      <c r="I418" s="15">
        <f>F418*H418/100</f>
        <v>198000</v>
      </c>
      <c r="J418" s="16">
        <f>I418</f>
        <v>198000</v>
      </c>
      <c r="K418" s="15" t="e">
        <f ca="1">J418*L418</f>
        <v>#NAME?</v>
      </c>
      <c r="L418" s="22" t="e">
        <f ca="1">_xll.BDH("RUB curncy","PX_LAST",$N418)</f>
        <v>#NAME?</v>
      </c>
      <c r="M418" s="85" t="e">
        <f ca="1">1/_xll.BDH("RUB curncy","PX_LAST",$N418)</f>
        <v>#NAME?</v>
      </c>
      <c r="N418" s="14">
        <v>41827</v>
      </c>
    </row>
    <row r="419" spans="2:14" x14ac:dyDescent="0.2">
      <c r="B419" s="71"/>
      <c r="C419" s="72"/>
      <c r="D419" s="73"/>
      <c r="E419" s="73"/>
      <c r="F419" s="79">
        <f>SUM(F418)</f>
        <v>200000</v>
      </c>
      <c r="G419" s="73"/>
      <c r="H419" s="80">
        <f>I419/F419*100</f>
        <v>99</v>
      </c>
      <c r="I419" s="79">
        <f>SUM(I418)</f>
        <v>198000</v>
      </c>
      <c r="J419" s="79">
        <f>SUM(J418)</f>
        <v>198000</v>
      </c>
      <c r="K419" s="79" t="e">
        <f ca="1">SUM(K418)</f>
        <v>#NAME?</v>
      </c>
      <c r="L419" s="75"/>
      <c r="M419" s="86"/>
      <c r="N419" s="14"/>
    </row>
    <row r="420" spans="2:14" x14ac:dyDescent="0.2">
      <c r="B420" s="71"/>
      <c r="C420" s="72"/>
      <c r="D420" s="73"/>
      <c r="E420" s="73"/>
      <c r="F420" s="79"/>
      <c r="G420" s="73"/>
      <c r="H420" s="80"/>
      <c r="I420" s="79"/>
      <c r="J420" s="79"/>
      <c r="K420" s="79"/>
      <c r="L420" s="75"/>
      <c r="M420" s="86"/>
      <c r="N420" s="14"/>
    </row>
    <row r="421" spans="2:14" x14ac:dyDescent="0.2">
      <c r="B421" s="21" t="s">
        <v>126</v>
      </c>
      <c r="C421" s="20" t="s">
        <v>168</v>
      </c>
      <c r="D421" s="18" t="e">
        <f ca="1">_xll.BDP(C421,"SECURITY_NAME")</f>
        <v>#NAME?</v>
      </c>
      <c r="E421" s="18" t="s">
        <v>50</v>
      </c>
      <c r="F421" s="19">
        <v>200000</v>
      </c>
      <c r="G421" s="18" t="e">
        <f ca="1">_xll.BDP(C421,"CRNCY")</f>
        <v>#NAME?</v>
      </c>
      <c r="H421" s="22">
        <v>100</v>
      </c>
      <c r="I421" s="15">
        <f>F421*H421/100</f>
        <v>200000</v>
      </c>
      <c r="J421" s="16">
        <f>I421</f>
        <v>200000</v>
      </c>
      <c r="K421" s="15" t="e">
        <f ca="1">J421*L421</f>
        <v>#NAME?</v>
      </c>
      <c r="L421" s="22" t="e">
        <f ca="1">_xll.BDH("RUB curncy","PX_LAST",$N421)</f>
        <v>#NAME?</v>
      </c>
      <c r="M421" s="85" t="e">
        <f ca="1">1/_xll.BDH("RUB curncy","PX_LAST",$N421)</f>
        <v>#NAME?</v>
      </c>
      <c r="N421" s="14">
        <v>41683</v>
      </c>
    </row>
    <row r="422" spans="2:14" x14ac:dyDescent="0.2">
      <c r="B422" s="71"/>
      <c r="C422" s="72"/>
      <c r="D422" s="73"/>
      <c r="E422" s="73"/>
      <c r="F422" s="79">
        <f>SUM(F421)</f>
        <v>200000</v>
      </c>
      <c r="G422" s="73"/>
      <c r="H422" s="80">
        <f>I422/F422*100</f>
        <v>100</v>
      </c>
      <c r="I422" s="79">
        <f>SUM(I421)</f>
        <v>200000</v>
      </c>
      <c r="J422" s="79">
        <f>SUM(J421)</f>
        <v>200000</v>
      </c>
      <c r="K422" s="79" t="e">
        <f ca="1">SUM(K421)</f>
        <v>#NAME?</v>
      </c>
      <c r="L422" s="75"/>
      <c r="M422" s="86"/>
      <c r="N422" s="14"/>
    </row>
    <row r="423" spans="2:14" x14ac:dyDescent="0.2">
      <c r="B423" s="21"/>
      <c r="C423" s="20"/>
      <c r="D423" s="18"/>
      <c r="E423" s="18"/>
      <c r="F423" s="19"/>
      <c r="G423" s="18"/>
      <c r="H423" s="22"/>
      <c r="I423" s="15"/>
      <c r="J423" s="16"/>
      <c r="K423" s="15"/>
      <c r="L423" s="22"/>
      <c r="M423" s="85"/>
      <c r="N423" s="14"/>
    </row>
    <row r="424" spans="2:14" x14ac:dyDescent="0.2">
      <c r="B424" s="21" t="s">
        <v>126</v>
      </c>
      <c r="C424" s="20" t="s">
        <v>167</v>
      </c>
      <c r="D424" s="18" t="e">
        <f ca="1">_xll.BDP(C424,"SECURITY_NAME")</f>
        <v>#NAME?</v>
      </c>
      <c r="E424" s="18" t="s">
        <v>50</v>
      </c>
      <c r="F424" s="19">
        <v>135000</v>
      </c>
      <c r="G424" s="18" t="e">
        <f ca="1">_xll.BDP(C424,"CRNCY")</f>
        <v>#NAME?</v>
      </c>
      <c r="H424" s="22">
        <v>70.78</v>
      </c>
      <c r="I424" s="15">
        <f>F424*H424/100</f>
        <v>95553</v>
      </c>
      <c r="J424" s="16">
        <f>I424</f>
        <v>95553</v>
      </c>
      <c r="K424" s="15" t="e">
        <f ca="1">J424*L424</f>
        <v>#NAME?</v>
      </c>
      <c r="L424" s="22" t="e">
        <f ca="1">_xll.BDH("RUB curncy","PX_LAST",$N424)</f>
        <v>#NAME?</v>
      </c>
      <c r="M424" s="85" t="e">
        <f ca="1">1/_xll.BDH("RUB curncy","PX_LAST",$N424)</f>
        <v>#NAME?</v>
      </c>
      <c r="N424" s="14">
        <v>41990</v>
      </c>
    </row>
    <row r="425" spans="2:14" x14ac:dyDescent="0.2">
      <c r="B425" s="21" t="s">
        <v>126</v>
      </c>
      <c r="C425" s="20" t="s">
        <v>167</v>
      </c>
      <c r="D425" s="18" t="e">
        <f ca="1">_xll.BDP(C425,"SECURITY_NAME")</f>
        <v>#NAME?</v>
      </c>
      <c r="E425" s="18" t="s">
        <v>50</v>
      </c>
      <c r="F425" s="19">
        <v>200000</v>
      </c>
      <c r="G425" s="18" t="e">
        <f ca="1">_xll.BDP(C425,"CRNCY")</f>
        <v>#NAME?</v>
      </c>
      <c r="H425" s="22">
        <v>101.8</v>
      </c>
      <c r="I425" s="15">
        <f>F425*H425/100</f>
        <v>203600</v>
      </c>
      <c r="J425" s="16">
        <f>I425</f>
        <v>203600</v>
      </c>
      <c r="K425" s="15" t="e">
        <f ca="1">J425*L425</f>
        <v>#NAME?</v>
      </c>
      <c r="L425" s="22" t="e">
        <f ca="1">_xll.BDH("RUB curncy","PX_LAST",$N425)</f>
        <v>#NAME?</v>
      </c>
      <c r="M425" s="85" t="e">
        <f ca="1">1/_xll.BDH("RUB curncy","PX_LAST",$N425)</f>
        <v>#NAME?</v>
      </c>
      <c r="N425" s="14">
        <v>41635</v>
      </c>
    </row>
    <row r="426" spans="2:14" x14ac:dyDescent="0.2">
      <c r="B426" s="71"/>
      <c r="C426" s="72"/>
      <c r="D426" s="73"/>
      <c r="E426" s="73"/>
      <c r="F426" s="79">
        <f>SUM(F424:F425)</f>
        <v>335000</v>
      </c>
      <c r="G426" s="73"/>
      <c r="H426" s="80">
        <f>I426/F426*100</f>
        <v>89.299402985074622</v>
      </c>
      <c r="I426" s="79">
        <f>SUM(I424:I425)</f>
        <v>299153</v>
      </c>
      <c r="J426" s="79">
        <f>SUM(J424:J425)</f>
        <v>299153</v>
      </c>
      <c r="K426" s="79" t="e">
        <f ca="1">SUM(K424:K425)</f>
        <v>#NAME?</v>
      </c>
      <c r="L426" s="75"/>
      <c r="M426" s="86"/>
      <c r="N426" s="14"/>
    </row>
    <row r="427" spans="2:14" x14ac:dyDescent="0.2">
      <c r="B427" s="21"/>
      <c r="C427" s="20"/>
      <c r="D427" s="18"/>
      <c r="E427" s="18"/>
      <c r="F427" s="19"/>
      <c r="G427" s="18"/>
      <c r="H427" s="22"/>
      <c r="I427" s="15"/>
      <c r="J427" s="16"/>
      <c r="K427" s="15"/>
      <c r="L427" s="22"/>
      <c r="M427" s="85"/>
      <c r="N427" s="14"/>
    </row>
    <row r="428" spans="2:14" x14ac:dyDescent="0.2">
      <c r="B428" s="21" t="s">
        <v>126</v>
      </c>
      <c r="C428" s="20" t="s">
        <v>165</v>
      </c>
      <c r="D428" s="18" t="e">
        <f ca="1">_xll.BDP(C428,"SECURITY_NAME")</f>
        <v>#NAME?</v>
      </c>
      <c r="E428" s="18" t="s">
        <v>50</v>
      </c>
      <c r="F428" s="19">
        <v>250000</v>
      </c>
      <c r="G428" s="18" t="e">
        <f ca="1">_xll.BDP(C428,"CRNCY")</f>
        <v>#NAME?</v>
      </c>
      <c r="H428" s="22">
        <v>76.599999999999994</v>
      </c>
      <c r="I428" s="15">
        <f>F428*H428/100</f>
        <v>191500</v>
      </c>
      <c r="J428" s="16">
        <f>I428</f>
        <v>191500</v>
      </c>
      <c r="K428" s="15" t="e">
        <f ca="1">J428*L428</f>
        <v>#NAME?</v>
      </c>
      <c r="L428" s="22" t="e">
        <f ca="1">_xll.BDH("RUB curncy","PX_LAST",$N428)</f>
        <v>#NAME?</v>
      </c>
      <c r="M428" s="85" t="e">
        <f ca="1">1/_xll.BDH("RUB curncy","PX_LAST",$N428)</f>
        <v>#NAME?</v>
      </c>
      <c r="N428" s="14">
        <v>41985</v>
      </c>
    </row>
    <row r="429" spans="2:14" x14ac:dyDescent="0.2">
      <c r="B429" s="21" t="s">
        <v>126</v>
      </c>
      <c r="C429" s="20" t="s">
        <v>165</v>
      </c>
      <c r="D429" s="18" t="e">
        <f ca="1">_xll.BDP(C429,"SECURITY_NAME")</f>
        <v>#NAME?</v>
      </c>
      <c r="E429" s="18" t="s">
        <v>50</v>
      </c>
      <c r="F429" s="19">
        <v>200000</v>
      </c>
      <c r="G429" s="18" t="e">
        <f ca="1">_xll.BDP(C429,"CRNCY")</f>
        <v>#NAME?</v>
      </c>
      <c r="H429" s="22">
        <v>76</v>
      </c>
      <c r="I429" s="15">
        <f>F429*H429/100</f>
        <v>152000</v>
      </c>
      <c r="J429" s="16">
        <f>I429</f>
        <v>152000</v>
      </c>
      <c r="K429" s="15" t="e">
        <f ca="1">J429*L429</f>
        <v>#NAME?</v>
      </c>
      <c r="L429" s="22" t="e">
        <f ca="1">_xll.BDH("RUB curncy","PX_LAST",$N429)</f>
        <v>#NAME?</v>
      </c>
      <c r="M429" s="85" t="e">
        <f ca="1">1/_xll.BDH("RUB curncy","PX_LAST",$N429)</f>
        <v>#NAME?</v>
      </c>
      <c r="N429" s="14">
        <v>41982</v>
      </c>
    </row>
    <row r="430" spans="2:14" x14ac:dyDescent="0.2">
      <c r="B430" s="21" t="s">
        <v>126</v>
      </c>
      <c r="C430" s="20" t="s">
        <v>165</v>
      </c>
      <c r="D430" s="18" t="e">
        <f ca="1">_xll.BDP(C430,"SECURITY_NAME")</f>
        <v>#NAME?</v>
      </c>
      <c r="E430" s="18" t="s">
        <v>50</v>
      </c>
      <c r="F430" s="19">
        <v>200000</v>
      </c>
      <c r="G430" s="18" t="e">
        <f ca="1">_xll.BDP(C430,"CRNCY")</f>
        <v>#NAME?</v>
      </c>
      <c r="H430" s="22">
        <v>89</v>
      </c>
      <c r="I430" s="15">
        <f>F430*H430/100</f>
        <v>178000</v>
      </c>
      <c r="J430" s="16">
        <f>I430</f>
        <v>178000</v>
      </c>
      <c r="K430" s="15" t="e">
        <f ca="1">J430*L430</f>
        <v>#NAME?</v>
      </c>
      <c r="L430" s="22" t="e">
        <f ca="1">_xll.BDH("RUB curncy","PX_LAST",$N430)</f>
        <v>#NAME?</v>
      </c>
      <c r="M430" s="85" t="e">
        <f ca="1">1/_xll.BDH("RUB curncy","PX_LAST",$N430)</f>
        <v>#NAME?</v>
      </c>
      <c r="N430" s="14">
        <v>41971</v>
      </c>
    </row>
    <row r="431" spans="2:14" x14ac:dyDescent="0.2">
      <c r="B431" s="21" t="s">
        <v>126</v>
      </c>
      <c r="C431" s="20" t="s">
        <v>165</v>
      </c>
      <c r="D431" s="18" t="e">
        <f ca="1">_xll.BDP(C431,"SECURITY_NAME")</f>
        <v>#NAME?</v>
      </c>
      <c r="E431" s="18" t="s">
        <v>50</v>
      </c>
      <c r="F431" s="19">
        <v>200000</v>
      </c>
      <c r="G431" s="18" t="e">
        <f ca="1">_xll.BDP(C431,"CRNCY")</f>
        <v>#NAME?</v>
      </c>
      <c r="H431" s="22">
        <v>94.25</v>
      </c>
      <c r="I431" s="15">
        <f>F431*H431/100</f>
        <v>188500</v>
      </c>
      <c r="J431" s="16">
        <f>I431</f>
        <v>188500</v>
      </c>
      <c r="K431" s="15" t="e">
        <f ca="1">J431*L431</f>
        <v>#NAME?</v>
      </c>
      <c r="L431" s="22" t="e">
        <f ca="1">_xll.BDH("RUB curncy","PX_LAST",$N431)</f>
        <v>#NAME?</v>
      </c>
      <c r="M431" s="85" t="e">
        <f ca="1">1/_xll.BDH("RUB curncy","PX_LAST",$N431)</f>
        <v>#NAME?</v>
      </c>
      <c r="N431" s="14">
        <v>41849</v>
      </c>
    </row>
    <row r="432" spans="2:14" x14ac:dyDescent="0.2">
      <c r="B432" s="21" t="s">
        <v>126</v>
      </c>
      <c r="C432" s="20" t="s">
        <v>165</v>
      </c>
      <c r="D432" s="18" t="e">
        <f ca="1">_xll.BDP(C432,"SECURITY_NAME")</f>
        <v>#NAME?</v>
      </c>
      <c r="E432" s="18" t="s">
        <v>50</v>
      </c>
      <c r="F432" s="19">
        <v>300000</v>
      </c>
      <c r="G432" s="18" t="e">
        <f ca="1">_xll.BDP(C432,"CRNCY")</f>
        <v>#NAME?</v>
      </c>
      <c r="H432" s="22">
        <v>97.4</v>
      </c>
      <c r="I432" s="15">
        <f>F432*H432/100</f>
        <v>292200</v>
      </c>
      <c r="J432" s="16">
        <f>I432</f>
        <v>292200</v>
      </c>
      <c r="K432" s="15" t="e">
        <f ca="1">J432*L432</f>
        <v>#NAME?</v>
      </c>
      <c r="L432" s="22" t="e">
        <f ca="1">_xll.BDH("RUB curncy","PX_LAST",$N432)</f>
        <v>#NAME?</v>
      </c>
      <c r="M432" s="85" t="e">
        <f ca="1">1/_xll.BDH("RUB curncy","PX_LAST",$N432)</f>
        <v>#NAME?</v>
      </c>
      <c r="N432" s="14">
        <v>41631</v>
      </c>
    </row>
    <row r="433" spans="2:14" x14ac:dyDescent="0.2">
      <c r="B433" s="71"/>
      <c r="C433" s="72"/>
      <c r="D433" s="73"/>
      <c r="E433" s="73"/>
      <c r="F433" s="79">
        <f>SUM(F428:F432)</f>
        <v>1150000</v>
      </c>
      <c r="G433" s="73"/>
      <c r="H433" s="80">
        <f>I433/F433*100</f>
        <v>87.147826086956528</v>
      </c>
      <c r="I433" s="79">
        <f>SUM(I428:I432)</f>
        <v>1002200</v>
      </c>
      <c r="J433" s="79">
        <f>SUM(J428:J432)</f>
        <v>1002200</v>
      </c>
      <c r="K433" s="79" t="e">
        <f ca="1">SUM(K428:K432)</f>
        <v>#NAME?</v>
      </c>
      <c r="L433" s="75"/>
      <c r="M433" s="86"/>
      <c r="N433" s="14"/>
    </row>
    <row r="434" spans="2:14" x14ac:dyDescent="0.2">
      <c r="B434" s="21"/>
      <c r="C434" s="20"/>
      <c r="D434" s="18"/>
      <c r="E434" s="18"/>
      <c r="F434" s="19"/>
      <c r="G434" s="18"/>
      <c r="H434" s="22"/>
      <c r="I434" s="15"/>
      <c r="J434" s="16"/>
      <c r="K434" s="15"/>
      <c r="L434" s="22"/>
      <c r="M434" s="85"/>
      <c r="N434" s="14"/>
    </row>
    <row r="435" spans="2:14" x14ac:dyDescent="0.2">
      <c r="B435" s="21" t="s">
        <v>126</v>
      </c>
      <c r="C435" s="20" t="s">
        <v>164</v>
      </c>
      <c r="D435" s="18" t="e">
        <f ca="1">_xll.BDP(C435,"SECURITY_NAME")</f>
        <v>#NAME?</v>
      </c>
      <c r="E435" s="18" t="s">
        <v>50</v>
      </c>
      <c r="F435" s="19">
        <v>300000</v>
      </c>
      <c r="G435" s="18" t="e">
        <f ca="1">_xll.BDP(C435,"CRNCY")</f>
        <v>#NAME?</v>
      </c>
      <c r="H435" s="22">
        <v>100.3</v>
      </c>
      <c r="I435" s="15">
        <f>F435*H435/100</f>
        <v>300900</v>
      </c>
      <c r="J435" s="16">
        <f>I435</f>
        <v>300900</v>
      </c>
      <c r="K435" s="15" t="e">
        <f ca="1">J435*L435</f>
        <v>#NAME?</v>
      </c>
      <c r="L435" s="22" t="e">
        <f ca="1">_xll.BDH("RUB curncy","PX_LAST",$N435)</f>
        <v>#NAME?</v>
      </c>
      <c r="M435" s="85" t="e">
        <f ca="1">1/_xll.BDH("RUB curncy","PX_LAST",$N435)</f>
        <v>#NAME?</v>
      </c>
      <c r="N435" s="14">
        <v>41631</v>
      </c>
    </row>
    <row r="436" spans="2:14" x14ac:dyDescent="0.2">
      <c r="B436" s="71"/>
      <c r="C436" s="72"/>
      <c r="D436" s="73"/>
      <c r="E436" s="73"/>
      <c r="F436" s="79">
        <f>SUM(F435)</f>
        <v>300000</v>
      </c>
      <c r="G436" s="73"/>
      <c r="H436" s="80">
        <f>I436/F436*100</f>
        <v>100.29999999999998</v>
      </c>
      <c r="I436" s="79">
        <f>SUM(I435)</f>
        <v>300900</v>
      </c>
      <c r="J436" s="79">
        <f>SUM(J435)</f>
        <v>300900</v>
      </c>
      <c r="K436" s="79" t="e">
        <f ca="1">SUM(K435)</f>
        <v>#NAME?</v>
      </c>
      <c r="L436" s="75"/>
      <c r="M436" s="86"/>
      <c r="N436" s="14"/>
    </row>
    <row r="437" spans="2:14" x14ac:dyDescent="0.2">
      <c r="B437" s="21"/>
      <c r="C437" s="20"/>
      <c r="D437" s="18"/>
      <c r="E437" s="18"/>
      <c r="F437" s="19"/>
      <c r="G437" s="18"/>
      <c r="H437" s="22"/>
      <c r="I437" s="15"/>
      <c r="J437" s="16"/>
      <c r="K437" s="15"/>
      <c r="L437" s="22"/>
      <c r="M437" s="85"/>
      <c r="N437" s="14"/>
    </row>
    <row r="438" spans="2:14" x14ac:dyDescent="0.2">
      <c r="B438" s="21" t="s">
        <v>126</v>
      </c>
      <c r="C438" s="20" t="s">
        <v>162</v>
      </c>
      <c r="D438" s="18" t="e">
        <f ca="1">_xll.BDP(C438,"SECURITY_NAME")</f>
        <v>#NAME?</v>
      </c>
      <c r="E438" s="18" t="s">
        <v>50</v>
      </c>
      <c r="F438" s="19">
        <v>500000</v>
      </c>
      <c r="G438" s="18" t="e">
        <f ca="1">_xll.BDP(C438,"CRNCY")</f>
        <v>#NAME?</v>
      </c>
      <c r="H438" s="22">
        <v>98.947000000000003</v>
      </c>
      <c r="I438" s="15">
        <f>F438*H438/100</f>
        <v>494735</v>
      </c>
      <c r="J438" s="16">
        <f>I438</f>
        <v>494735</v>
      </c>
      <c r="K438" s="15" t="e">
        <f ca="1">J438*L438</f>
        <v>#NAME?</v>
      </c>
      <c r="L438" s="22" t="e">
        <f ca="1">_xll.BDH("RUB curncy","PX_LAST",$N438)</f>
        <v>#NAME?</v>
      </c>
      <c r="M438" s="85" t="e">
        <f ca="1">1/_xll.BDH("RUB curncy","PX_LAST",$N438)</f>
        <v>#NAME?</v>
      </c>
      <c r="N438" s="14">
        <v>41617</v>
      </c>
    </row>
    <row r="439" spans="2:14" x14ac:dyDescent="0.2">
      <c r="B439" s="71"/>
      <c r="C439" s="72"/>
      <c r="D439" s="73"/>
      <c r="E439" s="73"/>
      <c r="F439" s="79">
        <f>SUM(F438)</f>
        <v>500000</v>
      </c>
      <c r="G439" s="73"/>
      <c r="H439" s="80">
        <f>I439/F439*100</f>
        <v>98.947000000000003</v>
      </c>
      <c r="I439" s="79">
        <f>SUM(I438)</f>
        <v>494735</v>
      </c>
      <c r="J439" s="79">
        <f>SUM(J438)</f>
        <v>494735</v>
      </c>
      <c r="K439" s="79" t="e">
        <f ca="1">SUM(K438)</f>
        <v>#NAME?</v>
      </c>
      <c r="L439" s="75"/>
      <c r="M439" s="86"/>
      <c r="N439" s="14"/>
    </row>
    <row r="440" spans="2:14" x14ac:dyDescent="0.2">
      <c r="B440" s="71"/>
      <c r="C440" s="72"/>
      <c r="D440" s="73"/>
      <c r="E440" s="73"/>
      <c r="F440" s="74"/>
      <c r="G440" s="73"/>
      <c r="H440" s="75"/>
      <c r="I440" s="76"/>
      <c r="J440" s="77"/>
      <c r="K440" s="76"/>
      <c r="L440" s="75"/>
      <c r="M440" s="86"/>
      <c r="N440" s="14"/>
    </row>
    <row r="441" spans="2:14" x14ac:dyDescent="0.2">
      <c r="B441" s="21" t="s">
        <v>126</v>
      </c>
      <c r="C441" s="20" t="s">
        <v>161</v>
      </c>
      <c r="D441" s="18" t="e">
        <f ca="1">_xll.BDP(C441,"SECURITY_NAME")</f>
        <v>#NAME?</v>
      </c>
      <c r="E441" s="18" t="s">
        <v>50</v>
      </c>
      <c r="F441" s="19">
        <v>500000</v>
      </c>
      <c r="G441" s="18" t="e">
        <f ca="1">_xll.BDP(C441,"CRNCY")</f>
        <v>#NAME?</v>
      </c>
      <c r="H441" s="22">
        <v>90.5</v>
      </c>
      <c r="I441" s="15">
        <f>F441*H441/100</f>
        <v>452500</v>
      </c>
      <c r="J441" s="16">
        <f>I441</f>
        <v>452500</v>
      </c>
      <c r="K441" s="15" t="e">
        <f ca="1">J441*L441</f>
        <v>#NAME?</v>
      </c>
      <c r="L441" s="22" t="e">
        <f ca="1">_xll.BDH("RUB curncy","PX_LAST",$N441)</f>
        <v>#NAME?</v>
      </c>
      <c r="M441" s="85" t="e">
        <f ca="1">1/_xll.BDH("RUB curncy","PX_LAST",$N441)</f>
        <v>#NAME?</v>
      </c>
      <c r="N441" s="14">
        <v>41607</v>
      </c>
    </row>
    <row r="442" spans="2:14" x14ac:dyDescent="0.2">
      <c r="B442" s="71"/>
      <c r="C442" s="72"/>
      <c r="D442" s="73"/>
      <c r="E442" s="73"/>
      <c r="F442" s="79">
        <f>SUM(F441)</f>
        <v>500000</v>
      </c>
      <c r="G442" s="73"/>
      <c r="H442" s="80">
        <f>I442/F442*100</f>
        <v>90.5</v>
      </c>
      <c r="I442" s="79">
        <f>SUM(I441)</f>
        <v>452500</v>
      </c>
      <c r="J442" s="79">
        <f>SUM(J441)</f>
        <v>452500</v>
      </c>
      <c r="K442" s="79" t="e">
        <f ca="1">SUM(K441)</f>
        <v>#NAME?</v>
      </c>
      <c r="L442" s="75"/>
      <c r="M442" s="86"/>
      <c r="N442" s="14"/>
    </row>
    <row r="443" spans="2:14" x14ac:dyDescent="0.2">
      <c r="B443" s="71"/>
      <c r="C443" s="72"/>
      <c r="D443" s="73"/>
      <c r="E443" s="73"/>
      <c r="F443" s="74"/>
      <c r="G443" s="73"/>
      <c r="H443" s="75"/>
      <c r="I443" s="76"/>
      <c r="J443" s="77"/>
      <c r="K443" s="76"/>
      <c r="L443" s="75"/>
      <c r="M443" s="86"/>
      <c r="N443" s="14"/>
    </row>
    <row r="444" spans="2:14" x14ac:dyDescent="0.2">
      <c r="B444" s="21" t="s">
        <v>126</v>
      </c>
      <c r="C444" s="20" t="s">
        <v>159</v>
      </c>
      <c r="D444" s="18" t="e">
        <f ca="1">_xll.BDP(C444,"SECURITY_NAME")</f>
        <v>#NAME?</v>
      </c>
      <c r="E444" s="18" t="s">
        <v>50</v>
      </c>
      <c r="F444" s="19">
        <v>300000</v>
      </c>
      <c r="G444" s="18" t="e">
        <f ca="1">_xll.BDP(C444,"CRNCY")</f>
        <v>#NAME?</v>
      </c>
      <c r="H444" s="22">
        <v>101</v>
      </c>
      <c r="I444" s="15">
        <f>F444*H444/100</f>
        <v>303000</v>
      </c>
      <c r="J444" s="16">
        <f>I444</f>
        <v>303000</v>
      </c>
      <c r="K444" s="15" t="e">
        <f ca="1">J444*L444</f>
        <v>#NAME?</v>
      </c>
      <c r="L444" s="22" t="e">
        <f ca="1">_xll.BDH("RUB curncy","PX_LAST",$N444)</f>
        <v>#NAME?</v>
      </c>
      <c r="M444" s="85" t="e">
        <f ca="1">1/_xll.BDH("RUB curncy","PX_LAST",$N444)</f>
        <v>#NAME?</v>
      </c>
      <c r="N444" s="14">
        <v>41599</v>
      </c>
    </row>
    <row r="445" spans="2:14" x14ac:dyDescent="0.2">
      <c r="B445" s="71"/>
      <c r="C445" s="72"/>
      <c r="D445" s="73"/>
      <c r="E445" s="73"/>
      <c r="F445" s="79">
        <f>SUM(F444)</f>
        <v>300000</v>
      </c>
      <c r="G445" s="73"/>
      <c r="H445" s="80">
        <f>I445/F445*100</f>
        <v>101</v>
      </c>
      <c r="I445" s="79">
        <f>SUM(I444)</f>
        <v>303000</v>
      </c>
      <c r="J445" s="79">
        <f>SUM(J444)</f>
        <v>303000</v>
      </c>
      <c r="K445" s="79" t="e">
        <f ca="1">SUM(K444)</f>
        <v>#NAME?</v>
      </c>
      <c r="L445" s="75"/>
      <c r="M445" s="86"/>
      <c r="N445" s="14"/>
    </row>
    <row r="446" spans="2:14" x14ac:dyDescent="0.2">
      <c r="B446" s="71"/>
      <c r="C446" s="72"/>
      <c r="D446" s="73"/>
      <c r="E446" s="73"/>
      <c r="F446" s="79"/>
      <c r="G446" s="73"/>
      <c r="H446" s="80"/>
      <c r="I446" s="79"/>
      <c r="J446" s="79"/>
      <c r="K446" s="79"/>
      <c r="L446" s="75"/>
      <c r="M446" s="86"/>
      <c r="N446" s="14"/>
    </row>
    <row r="447" spans="2:14" x14ac:dyDescent="0.2">
      <c r="B447" s="21" t="s">
        <v>126</v>
      </c>
      <c r="C447" s="20" t="s">
        <v>158</v>
      </c>
      <c r="D447" s="18" t="e">
        <f ca="1">_xll.BDP(C447,"SECURITY_NAME")</f>
        <v>#NAME?</v>
      </c>
      <c r="E447" s="18" t="s">
        <v>50</v>
      </c>
      <c r="F447" s="19">
        <v>200000</v>
      </c>
      <c r="G447" s="18" t="e">
        <f ca="1">_xll.BDP(C447,"CRNCY")</f>
        <v>#NAME?</v>
      </c>
      <c r="H447" s="22">
        <v>99.55</v>
      </c>
      <c r="I447" s="15">
        <f>F447*H447/100</f>
        <v>199100</v>
      </c>
      <c r="J447" s="16">
        <f>I447</f>
        <v>199100</v>
      </c>
      <c r="K447" s="15" t="e">
        <f ca="1">J447*L447</f>
        <v>#NAME?</v>
      </c>
      <c r="L447" s="22" t="e">
        <f ca="1">_xll.BDH("RUB curncy","PX_LAST",$N447)</f>
        <v>#NAME?</v>
      </c>
      <c r="M447" s="85" t="e">
        <f ca="1">1/_xll.BDH("RUB curncy","PX_LAST",$N447)</f>
        <v>#NAME?</v>
      </c>
      <c r="N447" s="14">
        <v>41599</v>
      </c>
    </row>
    <row r="448" spans="2:14" x14ac:dyDescent="0.2">
      <c r="B448" s="71"/>
      <c r="C448" s="72"/>
      <c r="D448" s="73"/>
      <c r="E448" s="73"/>
      <c r="F448" s="79">
        <f>SUM(F447)</f>
        <v>200000</v>
      </c>
      <c r="G448" s="73"/>
      <c r="H448" s="80">
        <f>I448/F448*100</f>
        <v>99.550000000000011</v>
      </c>
      <c r="I448" s="79">
        <f>SUM(I447)</f>
        <v>199100</v>
      </c>
      <c r="J448" s="79">
        <f>SUM(J447)</f>
        <v>199100</v>
      </c>
      <c r="K448" s="79" t="e">
        <f ca="1">SUM(K447)</f>
        <v>#NAME?</v>
      </c>
      <c r="L448" s="75"/>
      <c r="M448" s="86"/>
      <c r="N448" s="14"/>
    </row>
    <row r="449" spans="2:14" x14ac:dyDescent="0.2">
      <c r="B449" s="71"/>
      <c r="C449" s="72"/>
      <c r="D449" s="73"/>
      <c r="E449" s="73"/>
      <c r="F449" s="74"/>
      <c r="G449" s="73"/>
      <c r="H449" s="75"/>
      <c r="I449" s="76"/>
      <c r="J449" s="77"/>
      <c r="K449" s="76"/>
      <c r="L449" s="75"/>
      <c r="M449" s="86"/>
      <c r="N449" s="14"/>
    </row>
    <row r="450" spans="2:14" x14ac:dyDescent="0.2">
      <c r="B450" s="21" t="s">
        <v>126</v>
      </c>
      <c r="C450" s="20" t="s">
        <v>157</v>
      </c>
      <c r="D450" s="18" t="e">
        <f ca="1">_xll.BDP(C450,"SECURITY_NAME")</f>
        <v>#NAME?</v>
      </c>
      <c r="E450" s="18" t="s">
        <v>50</v>
      </c>
      <c r="F450" s="19">
        <v>500000</v>
      </c>
      <c r="G450" s="18" t="e">
        <f ca="1">_xll.BDP(C450,"CRNCY")</f>
        <v>#NAME?</v>
      </c>
      <c r="H450" s="22">
        <v>91</v>
      </c>
      <c r="I450" s="15">
        <f>F450*H450/100</f>
        <v>455000</v>
      </c>
      <c r="J450" s="16">
        <f>I450</f>
        <v>455000</v>
      </c>
      <c r="K450" s="15" t="e">
        <f ca="1">J450*L450</f>
        <v>#NAME?</v>
      </c>
      <c r="L450" s="22" t="e">
        <f ca="1">_xll.BDH("RUB curncy","PX_LAST",$N450)</f>
        <v>#NAME?</v>
      </c>
      <c r="M450" s="85" t="e">
        <f ca="1">1/_xll.BDH("RUB curncy","PX_LAST",$N450)</f>
        <v>#NAME?</v>
      </c>
      <c r="N450" s="14">
        <v>41653</v>
      </c>
    </row>
    <row r="451" spans="2:14" x14ac:dyDescent="0.2">
      <c r="B451" s="21" t="s">
        <v>126</v>
      </c>
      <c r="C451" s="20" t="s">
        <v>157</v>
      </c>
      <c r="D451" s="18" t="e">
        <f ca="1">_xll.BDP(C451,"SECURITY_NAME")</f>
        <v>#NAME?</v>
      </c>
      <c r="E451" s="18" t="s">
        <v>50</v>
      </c>
      <c r="F451" s="19">
        <v>1000000</v>
      </c>
      <c r="G451" s="18" t="e">
        <f ca="1">_xll.BDP(C451,"CRNCY")</f>
        <v>#NAME?</v>
      </c>
      <c r="H451" s="22">
        <v>84.95</v>
      </c>
      <c r="I451" s="15">
        <f>F451*H451/100</f>
        <v>849500</v>
      </c>
      <c r="J451" s="16">
        <f>I451</f>
        <v>849500</v>
      </c>
      <c r="K451" s="15" t="e">
        <f ca="1">J451*L451</f>
        <v>#NAME?</v>
      </c>
      <c r="L451" s="22" t="e">
        <f ca="1">_xll.BDH("RUB curncy","PX_LAST",$N451)</f>
        <v>#NAME?</v>
      </c>
      <c r="M451" s="85" t="e">
        <f ca="1">1/_xll.BDH("RUB curncy","PX_LAST",$N451)</f>
        <v>#NAME?</v>
      </c>
      <c r="N451" s="14">
        <v>41600</v>
      </c>
    </row>
    <row r="452" spans="2:14" x14ac:dyDescent="0.2">
      <c r="B452" s="21" t="s">
        <v>126</v>
      </c>
      <c r="C452" s="20" t="s">
        <v>157</v>
      </c>
      <c r="D452" s="18" t="e">
        <f ca="1">_xll.BDP(C452,"SECURITY_NAME")</f>
        <v>#NAME?</v>
      </c>
      <c r="E452" s="18" t="s">
        <v>50</v>
      </c>
      <c r="F452" s="19">
        <v>500000</v>
      </c>
      <c r="G452" s="18" t="e">
        <f ca="1">_xll.BDP(C452,"CRNCY")</f>
        <v>#NAME?</v>
      </c>
      <c r="H452" s="22">
        <v>85</v>
      </c>
      <c r="I452" s="15">
        <f>F452*H452/100</f>
        <v>425000</v>
      </c>
      <c r="J452" s="16">
        <f>I452</f>
        <v>425000</v>
      </c>
      <c r="K452" s="15" t="e">
        <f ca="1">J452*L452</f>
        <v>#NAME?</v>
      </c>
      <c r="L452" s="22" t="e">
        <f ca="1">_xll.BDH("RUB curncy","PX_LAST",$N452)</f>
        <v>#NAME?</v>
      </c>
      <c r="M452" s="85" t="e">
        <f ca="1">1/_xll.BDH("RUB curncy","PX_LAST",$N452)</f>
        <v>#NAME?</v>
      </c>
      <c r="N452" s="14">
        <v>41591</v>
      </c>
    </row>
    <row r="453" spans="2:14" x14ac:dyDescent="0.2">
      <c r="B453" s="71"/>
      <c r="C453" s="72"/>
      <c r="D453" s="73"/>
      <c r="E453" s="73"/>
      <c r="F453" s="79">
        <f>SUM(F450:F452)</f>
        <v>2000000</v>
      </c>
      <c r="G453" s="73"/>
      <c r="H453" s="80">
        <f>I453/F453*100</f>
        <v>86.475000000000009</v>
      </c>
      <c r="I453" s="79">
        <f>SUM(I450:I452)</f>
        <v>1729500</v>
      </c>
      <c r="J453" s="79">
        <f>SUM(J450:J452)</f>
        <v>1729500</v>
      </c>
      <c r="K453" s="79" t="e">
        <f ca="1">SUM(K450:K452)</f>
        <v>#NAME?</v>
      </c>
      <c r="L453" s="75"/>
      <c r="M453" s="86"/>
      <c r="N453" s="14"/>
    </row>
    <row r="454" spans="2:14" x14ac:dyDescent="0.2">
      <c r="B454" s="71"/>
      <c r="C454" s="72"/>
      <c r="D454" s="73"/>
      <c r="E454" s="73"/>
      <c r="F454" s="74"/>
      <c r="G454" s="73"/>
      <c r="H454" s="75"/>
      <c r="I454" s="76"/>
      <c r="J454" s="77"/>
      <c r="K454" s="76"/>
      <c r="L454" s="75"/>
      <c r="M454" s="86"/>
      <c r="N454" s="14"/>
    </row>
    <row r="455" spans="2:14" x14ac:dyDescent="0.2">
      <c r="B455" s="21" t="s">
        <v>126</v>
      </c>
      <c r="C455" s="20" t="s">
        <v>156</v>
      </c>
      <c r="D455" s="18" t="e">
        <f ca="1">_xll.BDP(C455,"SECURITY_NAME")</f>
        <v>#NAME?</v>
      </c>
      <c r="E455" s="18" t="s">
        <v>50</v>
      </c>
      <c r="F455" s="19">
        <v>500000</v>
      </c>
      <c r="G455" s="18" t="e">
        <f ca="1">_xll.BDP(C455,"CRNCY")</f>
        <v>#NAME?</v>
      </c>
      <c r="H455" s="22">
        <v>100</v>
      </c>
      <c r="I455" s="15">
        <f>F455*H455/100</f>
        <v>500000</v>
      </c>
      <c r="J455" s="16">
        <f>I455</f>
        <v>500000</v>
      </c>
      <c r="K455" s="15" t="e">
        <f ca="1">J455*L455</f>
        <v>#NAME?</v>
      </c>
      <c r="L455" s="22" t="e">
        <f ca="1">_xll.BDH("RUB curncy","PX_LAST",$N455)</f>
        <v>#NAME?</v>
      </c>
      <c r="M455" s="85" t="e">
        <f ca="1">1/_xll.BDH("RUB curncy","PX_LAST",$N455)</f>
        <v>#NAME?</v>
      </c>
      <c r="N455" s="14">
        <v>41542</v>
      </c>
    </row>
    <row r="456" spans="2:14" x14ac:dyDescent="0.2">
      <c r="B456" s="71"/>
      <c r="C456" s="72"/>
      <c r="D456" s="73"/>
      <c r="E456" s="73"/>
      <c r="F456" s="79">
        <f>SUM(F455)</f>
        <v>500000</v>
      </c>
      <c r="G456" s="73"/>
      <c r="H456" s="80">
        <f>I456/F456*100</f>
        <v>100</v>
      </c>
      <c r="I456" s="79">
        <f>SUM(I455)</f>
        <v>500000</v>
      </c>
      <c r="J456" s="79">
        <f>SUM(J455)</f>
        <v>500000</v>
      </c>
      <c r="K456" s="79" t="e">
        <f ca="1">SUM(K455)</f>
        <v>#NAME?</v>
      </c>
      <c r="L456" s="75"/>
      <c r="M456" s="86"/>
      <c r="N456" s="14"/>
    </row>
    <row r="457" spans="2:14" x14ac:dyDescent="0.2">
      <c r="B457" s="71"/>
      <c r="C457" s="72"/>
      <c r="D457" s="73"/>
      <c r="E457" s="73"/>
      <c r="F457" s="74"/>
      <c r="G457" s="73"/>
      <c r="H457" s="75"/>
      <c r="I457" s="76"/>
      <c r="J457" s="77"/>
      <c r="K457" s="76"/>
      <c r="L457" s="75"/>
      <c r="M457" s="86"/>
      <c r="N457" s="14"/>
    </row>
    <row r="458" spans="2:14" x14ac:dyDescent="0.2">
      <c r="B458" s="21" t="s">
        <v>126</v>
      </c>
      <c r="C458" s="20" t="s">
        <v>148</v>
      </c>
      <c r="D458" s="18" t="e">
        <f ca="1">_xll.BDP(C458,"SECURITY_NAME")</f>
        <v>#NAME?</v>
      </c>
      <c r="E458" s="18" t="s">
        <v>50</v>
      </c>
      <c r="F458" s="19">
        <v>500000</v>
      </c>
      <c r="G458" s="18" t="e">
        <f ca="1">_xll.BDP(C458,"CRNCY")</f>
        <v>#NAME?</v>
      </c>
      <c r="H458" s="22">
        <v>101</v>
      </c>
      <c r="I458" s="15">
        <f>F458*H458/100</f>
        <v>505000</v>
      </c>
      <c r="J458" s="16">
        <f>I458</f>
        <v>505000</v>
      </c>
      <c r="K458" s="15" t="e">
        <f ca="1">J458*L458</f>
        <v>#NAME?</v>
      </c>
      <c r="L458" s="22" t="e">
        <f ca="1">_xll.BDH("RUB curncy","PX_LAST",$N458)</f>
        <v>#NAME?</v>
      </c>
      <c r="M458" s="85" t="e">
        <f ca="1">1/_xll.BDH("RUB curncy","PX_LAST",$N458)</f>
        <v>#NAME?</v>
      </c>
      <c r="N458" s="14">
        <v>41011</v>
      </c>
    </row>
    <row r="459" spans="2:14" x14ac:dyDescent="0.2">
      <c r="B459" s="71"/>
      <c r="C459" s="72"/>
      <c r="D459" s="73"/>
      <c r="E459" s="73"/>
      <c r="F459" s="79">
        <f>SUM(F458)</f>
        <v>500000</v>
      </c>
      <c r="G459" s="73"/>
      <c r="H459" s="80">
        <f>I459/F459*100</f>
        <v>101</v>
      </c>
      <c r="I459" s="79">
        <f>SUM(I458)</f>
        <v>505000</v>
      </c>
      <c r="J459" s="79">
        <f>SUM(J458)</f>
        <v>505000</v>
      </c>
      <c r="K459" s="79" t="e">
        <f ca="1">SUM(K458)</f>
        <v>#NAME?</v>
      </c>
      <c r="L459" s="75"/>
      <c r="M459" s="86"/>
      <c r="N459" s="14"/>
    </row>
    <row r="460" spans="2:14" x14ac:dyDescent="0.2">
      <c r="B460" s="110"/>
      <c r="C460" s="110"/>
      <c r="D460" s="110"/>
      <c r="E460" s="110"/>
      <c r="F460" s="110"/>
      <c r="G460" s="110"/>
      <c r="H460" s="110"/>
      <c r="I460" s="110"/>
      <c r="J460" s="110"/>
      <c r="K460" s="110"/>
      <c r="L460" s="110"/>
      <c r="M460" s="110"/>
      <c r="N460" s="110"/>
    </row>
    <row r="461" spans="2:14" x14ac:dyDescent="0.2">
      <c r="H461" s="10"/>
    </row>
    <row r="462" spans="2:14" x14ac:dyDescent="0.2">
      <c r="H462" s="10"/>
    </row>
    <row r="464" spans="2:14" x14ac:dyDescent="0.2">
      <c r="H464" s="10"/>
    </row>
    <row r="465" spans="7:12" x14ac:dyDescent="0.2">
      <c r="H465" s="10"/>
    </row>
    <row r="466" spans="7:12" x14ac:dyDescent="0.2">
      <c r="L466" s="10"/>
    </row>
    <row r="467" spans="7:12" x14ac:dyDescent="0.2">
      <c r="L467" s="10"/>
    </row>
    <row r="468" spans="7:12" x14ac:dyDescent="0.2">
      <c r="L468" s="13"/>
    </row>
    <row r="470" spans="7:12" x14ac:dyDescent="0.2">
      <c r="L470" s="12"/>
    </row>
    <row r="474" spans="7:12" x14ac:dyDescent="0.2">
      <c r="G474" s="10"/>
    </row>
    <row r="475" spans="7:12" x14ac:dyDescent="0.2">
      <c r="G475" s="11"/>
    </row>
    <row r="478" spans="7:12" x14ac:dyDescent="0.2">
      <c r="G478" s="10"/>
    </row>
  </sheetData>
  <sortState ref="A4:X29">
    <sortCondition descending="1" ref="I4:I29"/>
  </sortState>
  <mergeCells count="2">
    <mergeCell ref="I33:J34"/>
    <mergeCell ref="T33:U34"/>
  </mergeCells>
  <conditionalFormatting sqref="E306:E307 E354:E355 E347 E337:E338 E309:E310 E350:E351 E141 E188 E170 E359:E361">
    <cfRule type="containsText" dxfId="5797" priority="1802" operator="containsText" text="Buy">
      <formula>NOT(ISERROR(SEARCH("Buy",E141)))</formula>
    </cfRule>
    <cfRule type="containsText" dxfId="5796" priority="1803" operator="containsText" text="Sell">
      <formula>NOT(ISERROR(SEARCH("Sell",E141)))</formula>
    </cfRule>
  </conditionalFormatting>
  <conditionalFormatting sqref="E382:E383 E370:E371 E375">
    <cfRule type="containsText" dxfId="5795" priority="1712" operator="containsText" text="Buy">
      <formula>NOT(ISERROR(SEARCH("Buy",E370)))</formula>
    </cfRule>
    <cfRule type="containsText" dxfId="5794" priority="1713" operator="containsText" text="Sell">
      <formula>NOT(ISERROR(SEARCH("Sell",E370)))</formula>
    </cfRule>
  </conditionalFormatting>
  <conditionalFormatting sqref="E398:E400 E457 E454 E449 E443 E440 E437 E434 E427 E423 E417 E407">
    <cfRule type="containsText" dxfId="5793" priority="1660" operator="containsText" text="Buy">
      <formula>NOT(ISERROR(SEARCH("Buy",E398)))</formula>
    </cfRule>
    <cfRule type="containsText" dxfId="5792" priority="1661" operator="containsText" text="Sell">
      <formula>NOT(ISERROR(SEARCH("Sell",E398)))</formula>
    </cfRule>
  </conditionalFormatting>
  <conditionalFormatting sqref="E397">
    <cfRule type="containsText" dxfId="5791" priority="1658" operator="containsText" text="Buy">
      <formula>NOT(ISERROR(SEARCH("Buy",E397)))</formula>
    </cfRule>
    <cfRule type="containsText" dxfId="5790" priority="1659" operator="containsText" text="Sell">
      <formula>NOT(ISERROR(SEARCH("Sell",E397)))</formula>
    </cfRule>
  </conditionalFormatting>
  <conditionalFormatting sqref="E396">
    <cfRule type="containsText" dxfId="5789" priority="1656" operator="containsText" text="Buy">
      <formula>NOT(ISERROR(SEARCH("Buy",E396)))</formula>
    </cfRule>
    <cfRule type="containsText" dxfId="5788" priority="1657" operator="containsText" text="Sell">
      <formula>NOT(ISERROR(SEARCH("Sell",E396)))</formula>
    </cfRule>
  </conditionalFormatting>
  <conditionalFormatting sqref="E395">
    <cfRule type="containsText" dxfId="5787" priority="1654" operator="containsText" text="Buy">
      <formula>NOT(ISERROR(SEARCH("Buy",E395)))</formula>
    </cfRule>
    <cfRule type="containsText" dxfId="5786" priority="1655" operator="containsText" text="Sell">
      <formula>NOT(ISERROR(SEARCH("Sell",E395)))</formula>
    </cfRule>
  </conditionalFormatting>
  <conditionalFormatting sqref="E305">
    <cfRule type="containsText" dxfId="5785" priority="1532" operator="containsText" text="Buy">
      <formula>NOT(ISERROR(SEARCH("Buy",E305)))</formula>
    </cfRule>
    <cfRule type="containsText" dxfId="5784" priority="1533" operator="containsText" text="Sell">
      <formula>NOT(ISERROR(SEARCH("Sell",E305)))</formula>
    </cfRule>
  </conditionalFormatting>
  <conditionalFormatting sqref="E304">
    <cfRule type="containsText" dxfId="5783" priority="1530" operator="containsText" text="Buy">
      <formula>NOT(ISERROR(SEARCH("Buy",E304)))</formula>
    </cfRule>
    <cfRule type="containsText" dxfId="5782" priority="1531" operator="containsText" text="Sell">
      <formula>NOT(ISERROR(SEARCH("Sell",E304)))</formula>
    </cfRule>
  </conditionalFormatting>
  <conditionalFormatting sqref="E353">
    <cfRule type="containsText" dxfId="5781" priority="1516" operator="containsText" text="Buy">
      <formula>NOT(ISERROR(SEARCH("Buy",E353)))</formula>
    </cfRule>
    <cfRule type="containsText" dxfId="5780" priority="1517" operator="containsText" text="Sell">
      <formula>NOT(ISERROR(SEARCH("Sell",E353)))</formula>
    </cfRule>
  </conditionalFormatting>
  <conditionalFormatting sqref="E352">
    <cfRule type="containsText" dxfId="5779" priority="1514" operator="containsText" text="Buy">
      <formula>NOT(ISERROR(SEARCH("Buy",E352)))</formula>
    </cfRule>
    <cfRule type="containsText" dxfId="5778" priority="1515" operator="containsText" text="Sell">
      <formula>NOT(ISERROR(SEARCH("Sell",E352)))</formula>
    </cfRule>
  </conditionalFormatting>
  <conditionalFormatting sqref="E339:E341">
    <cfRule type="containsText" dxfId="5777" priority="1510" operator="containsText" text="Buy">
      <formula>NOT(ISERROR(SEARCH("Buy",E339)))</formula>
    </cfRule>
    <cfRule type="containsText" dxfId="5776" priority="1511" operator="containsText" text="Sell">
      <formula>NOT(ISERROR(SEARCH("Sell",E339)))</formula>
    </cfRule>
  </conditionalFormatting>
  <conditionalFormatting sqref="E336">
    <cfRule type="containsText" dxfId="5775" priority="1506" operator="containsText" text="Buy">
      <formula>NOT(ISERROR(SEARCH("Buy",E336)))</formula>
    </cfRule>
    <cfRule type="containsText" dxfId="5774" priority="1507" operator="containsText" text="Sell">
      <formula>NOT(ISERROR(SEARCH("Sell",E336)))</formula>
    </cfRule>
  </conditionalFormatting>
  <conditionalFormatting sqref="E335">
    <cfRule type="containsText" dxfId="5773" priority="1504" operator="containsText" text="Buy">
      <formula>NOT(ISERROR(SEARCH("Buy",E335)))</formula>
    </cfRule>
    <cfRule type="containsText" dxfId="5772" priority="1505" operator="containsText" text="Sell">
      <formula>NOT(ISERROR(SEARCH("Sell",E335)))</formula>
    </cfRule>
  </conditionalFormatting>
  <conditionalFormatting sqref="E334">
    <cfRule type="containsText" dxfId="5771" priority="1502" operator="containsText" text="Buy">
      <formula>NOT(ISERROR(SEARCH("Buy",E334)))</formula>
    </cfRule>
    <cfRule type="containsText" dxfId="5770" priority="1503" operator="containsText" text="Sell">
      <formula>NOT(ISERROR(SEARCH("Sell",E334)))</formula>
    </cfRule>
  </conditionalFormatting>
  <conditionalFormatting sqref="E333">
    <cfRule type="containsText" dxfId="5769" priority="1500" operator="containsText" text="Buy">
      <formula>NOT(ISERROR(SEARCH("Buy",E333)))</formula>
    </cfRule>
    <cfRule type="containsText" dxfId="5768" priority="1501" operator="containsText" text="Sell">
      <formula>NOT(ISERROR(SEARCH("Sell",E333)))</formula>
    </cfRule>
  </conditionalFormatting>
  <conditionalFormatting sqref="E332">
    <cfRule type="containsText" dxfId="5767" priority="1498" operator="containsText" text="Buy">
      <formula>NOT(ISERROR(SEARCH("Buy",E332)))</formula>
    </cfRule>
    <cfRule type="containsText" dxfId="5766" priority="1499" operator="containsText" text="Sell">
      <formula>NOT(ISERROR(SEARCH("Sell",E332)))</formula>
    </cfRule>
  </conditionalFormatting>
  <conditionalFormatting sqref="E331">
    <cfRule type="containsText" dxfId="5765" priority="1496" operator="containsText" text="Buy">
      <formula>NOT(ISERROR(SEARCH("Buy",E331)))</formula>
    </cfRule>
    <cfRule type="containsText" dxfId="5764" priority="1497" operator="containsText" text="Sell">
      <formula>NOT(ISERROR(SEARCH("Sell",E331)))</formula>
    </cfRule>
  </conditionalFormatting>
  <conditionalFormatting sqref="E330">
    <cfRule type="containsText" dxfId="5763" priority="1494" operator="containsText" text="Buy">
      <formula>NOT(ISERROR(SEARCH("Buy",E330)))</formula>
    </cfRule>
    <cfRule type="containsText" dxfId="5762" priority="1495" operator="containsText" text="Sell">
      <formula>NOT(ISERROR(SEARCH("Sell",E330)))</formula>
    </cfRule>
  </conditionalFormatting>
  <conditionalFormatting sqref="E323:E325">
    <cfRule type="containsText" dxfId="5761" priority="1492" operator="containsText" text="Buy">
      <formula>NOT(ISERROR(SEARCH("Buy",E323)))</formula>
    </cfRule>
    <cfRule type="containsText" dxfId="5760" priority="1493" operator="containsText" text="Sell">
      <formula>NOT(ISERROR(SEARCH("Sell",E323)))</formula>
    </cfRule>
  </conditionalFormatting>
  <conditionalFormatting sqref="E322">
    <cfRule type="containsText" dxfId="5759" priority="1490" operator="containsText" text="Buy">
      <formula>NOT(ISERROR(SEARCH("Buy",E322)))</formula>
    </cfRule>
    <cfRule type="containsText" dxfId="5758" priority="1491" operator="containsText" text="Sell">
      <formula>NOT(ISERROR(SEARCH("Sell",E322)))</formula>
    </cfRule>
  </conditionalFormatting>
  <conditionalFormatting sqref="E321">
    <cfRule type="containsText" dxfId="5757" priority="1488" operator="containsText" text="Buy">
      <formula>NOT(ISERROR(SEARCH("Buy",E321)))</formula>
    </cfRule>
    <cfRule type="containsText" dxfId="5756" priority="1489" operator="containsText" text="Sell">
      <formula>NOT(ISERROR(SEARCH("Sell",E321)))</formula>
    </cfRule>
  </conditionalFormatting>
  <conditionalFormatting sqref="E320">
    <cfRule type="containsText" dxfId="5755" priority="1486" operator="containsText" text="Buy">
      <formula>NOT(ISERROR(SEARCH("Buy",E320)))</formula>
    </cfRule>
    <cfRule type="containsText" dxfId="5754" priority="1487" operator="containsText" text="Sell">
      <formula>NOT(ISERROR(SEARCH("Sell",E320)))</formula>
    </cfRule>
  </conditionalFormatting>
  <conditionalFormatting sqref="E319">
    <cfRule type="containsText" dxfId="5753" priority="1484" operator="containsText" text="Buy">
      <formula>NOT(ISERROR(SEARCH("Buy",E319)))</formula>
    </cfRule>
    <cfRule type="containsText" dxfId="5752" priority="1485" operator="containsText" text="Sell">
      <formula>NOT(ISERROR(SEARCH("Sell",E319)))</formula>
    </cfRule>
  </conditionalFormatting>
  <conditionalFormatting sqref="E318">
    <cfRule type="containsText" dxfId="5751" priority="1482" operator="containsText" text="Buy">
      <formula>NOT(ISERROR(SEARCH("Buy",E318)))</formula>
    </cfRule>
    <cfRule type="containsText" dxfId="5750" priority="1483" operator="containsText" text="Sell">
      <formula>NOT(ISERROR(SEARCH("Sell",E318)))</formula>
    </cfRule>
  </conditionalFormatting>
  <conditionalFormatting sqref="E317">
    <cfRule type="containsText" dxfId="5749" priority="1480" operator="containsText" text="Buy">
      <formula>NOT(ISERROR(SEARCH("Buy",E317)))</formula>
    </cfRule>
    <cfRule type="containsText" dxfId="5748" priority="1481" operator="containsText" text="Sell">
      <formula>NOT(ISERROR(SEARCH("Sell",E317)))</formula>
    </cfRule>
  </conditionalFormatting>
  <conditionalFormatting sqref="E316">
    <cfRule type="containsText" dxfId="5747" priority="1478" operator="containsText" text="Buy">
      <formula>NOT(ISERROR(SEARCH("Buy",E316)))</formula>
    </cfRule>
    <cfRule type="containsText" dxfId="5746" priority="1479" operator="containsText" text="Sell">
      <formula>NOT(ISERROR(SEARCH("Sell",E316)))</formula>
    </cfRule>
  </conditionalFormatting>
  <conditionalFormatting sqref="E315">
    <cfRule type="containsText" dxfId="5745" priority="1476" operator="containsText" text="Buy">
      <formula>NOT(ISERROR(SEARCH("Buy",E315)))</formula>
    </cfRule>
    <cfRule type="containsText" dxfId="5744" priority="1477" operator="containsText" text="Sell">
      <formula>NOT(ISERROR(SEARCH("Sell",E315)))</formula>
    </cfRule>
  </conditionalFormatting>
  <conditionalFormatting sqref="E314">
    <cfRule type="containsText" dxfId="5743" priority="1474" operator="containsText" text="Buy">
      <formula>NOT(ISERROR(SEARCH("Buy",E314)))</formula>
    </cfRule>
    <cfRule type="containsText" dxfId="5742" priority="1475" operator="containsText" text="Sell">
      <formula>NOT(ISERROR(SEARCH("Sell",E314)))</formula>
    </cfRule>
  </conditionalFormatting>
  <conditionalFormatting sqref="E313">
    <cfRule type="containsText" dxfId="5741" priority="1472" operator="containsText" text="Buy">
      <formula>NOT(ISERROR(SEARCH("Buy",E313)))</formula>
    </cfRule>
    <cfRule type="containsText" dxfId="5740" priority="1473" operator="containsText" text="Sell">
      <formula>NOT(ISERROR(SEARCH("Sell",E313)))</formula>
    </cfRule>
  </conditionalFormatting>
  <conditionalFormatting sqref="E312">
    <cfRule type="containsText" dxfId="5739" priority="1470" operator="containsText" text="Buy">
      <formula>NOT(ISERROR(SEARCH("Buy",E312)))</formula>
    </cfRule>
    <cfRule type="containsText" dxfId="5738" priority="1471" operator="containsText" text="Sell">
      <formula>NOT(ISERROR(SEARCH("Sell",E312)))</formula>
    </cfRule>
  </conditionalFormatting>
  <conditionalFormatting sqref="E308">
    <cfRule type="containsText" dxfId="5737" priority="1468" operator="containsText" text="Buy">
      <formula>NOT(ISERROR(SEARCH("Buy",E308)))</formula>
    </cfRule>
    <cfRule type="containsText" dxfId="5736" priority="1469" operator="containsText" text="Sell">
      <formula>NOT(ISERROR(SEARCH("Sell",E308)))</formula>
    </cfRule>
  </conditionalFormatting>
  <conditionalFormatting sqref="E369">
    <cfRule type="containsText" dxfId="5735" priority="1464" operator="containsText" text="Buy">
      <formula>NOT(ISERROR(SEARCH("Buy",E369)))</formula>
    </cfRule>
    <cfRule type="containsText" dxfId="5734" priority="1465" operator="containsText" text="Sell">
      <formula>NOT(ISERROR(SEARCH("Sell",E369)))</formula>
    </cfRule>
  </conditionalFormatting>
  <conditionalFormatting sqref="E368 E365">
    <cfRule type="containsText" dxfId="5733" priority="1460" operator="containsText" text="Buy">
      <formula>NOT(ISERROR(SEARCH("Buy",E365)))</formula>
    </cfRule>
    <cfRule type="containsText" dxfId="5732" priority="1461" operator="containsText" text="Sell">
      <formula>NOT(ISERROR(SEARCH("Sell",E365)))</formula>
    </cfRule>
  </conditionalFormatting>
  <conditionalFormatting sqref="E374">
    <cfRule type="containsText" dxfId="5731" priority="1454" operator="containsText" text="Buy">
      <formula>NOT(ISERROR(SEARCH("Buy",E374)))</formula>
    </cfRule>
    <cfRule type="containsText" dxfId="5730" priority="1455" operator="containsText" text="Sell">
      <formula>NOT(ISERROR(SEARCH("Sell",E374)))</formula>
    </cfRule>
  </conditionalFormatting>
  <conditionalFormatting sqref="E458:E459">
    <cfRule type="containsText" dxfId="5729" priority="1444" operator="containsText" text="Buy">
      <formula>NOT(ISERROR(SEARCH("Buy",E458)))</formula>
    </cfRule>
    <cfRule type="containsText" dxfId="5728" priority="1445" operator="containsText" text="Sell">
      <formula>NOT(ISERROR(SEARCH("Sell",E458)))</formula>
    </cfRule>
  </conditionalFormatting>
  <conditionalFormatting sqref="E367">
    <cfRule type="containsText" dxfId="5727" priority="1440" operator="containsText" text="Buy">
      <formula>NOT(ISERROR(SEARCH("Buy",E367)))</formula>
    </cfRule>
    <cfRule type="containsText" dxfId="5726" priority="1441" operator="containsText" text="Sell">
      <formula>NOT(ISERROR(SEARCH("Sell",E367)))</formula>
    </cfRule>
  </conditionalFormatting>
  <conditionalFormatting sqref="E364">
    <cfRule type="containsText" dxfId="5725" priority="1430" operator="containsText" text="Buy">
      <formula>NOT(ISERROR(SEARCH("Buy",E364)))</formula>
    </cfRule>
    <cfRule type="containsText" dxfId="5724" priority="1431" operator="containsText" text="Sell">
      <formula>NOT(ISERROR(SEARCH("Sell",E364)))</formula>
    </cfRule>
  </conditionalFormatting>
  <conditionalFormatting sqref="E363">
    <cfRule type="containsText" dxfId="5723" priority="1428" operator="containsText" text="Buy">
      <formula>NOT(ISERROR(SEARCH("Buy",E363)))</formula>
    </cfRule>
    <cfRule type="containsText" dxfId="5722" priority="1429" operator="containsText" text="Sell">
      <formula>NOT(ISERROR(SEARCH("Sell",E363)))</formula>
    </cfRule>
  </conditionalFormatting>
  <conditionalFormatting sqref="E349">
    <cfRule type="containsText" dxfId="5721" priority="1424" operator="containsText" text="Buy">
      <formula>NOT(ISERROR(SEARCH("Buy",E349)))</formula>
    </cfRule>
    <cfRule type="containsText" dxfId="5720" priority="1425" operator="containsText" text="Sell">
      <formula>NOT(ISERROR(SEARCH("Sell",E349)))</formula>
    </cfRule>
  </conditionalFormatting>
  <conditionalFormatting sqref="E286:E289 E299 E296:E297">
    <cfRule type="containsText" dxfId="5719" priority="1412" operator="containsText" text="Buy">
      <formula>NOT(ISERROR(SEARCH("Buy",E286)))</formula>
    </cfRule>
    <cfRule type="containsText" dxfId="5718" priority="1413" operator="containsText" text="Sell">
      <formula>NOT(ISERROR(SEARCH("Sell",E286)))</formula>
    </cfRule>
  </conditionalFormatting>
  <conditionalFormatting sqref="E455:E456">
    <cfRule type="containsText" dxfId="5717" priority="1408" operator="containsText" text="Buy">
      <formula>NOT(ISERROR(SEARCH("Buy",E455)))</formula>
    </cfRule>
    <cfRule type="containsText" dxfId="5716" priority="1409" operator="containsText" text="Sell">
      <formula>NOT(ISERROR(SEARCH("Sell",E455)))</formula>
    </cfRule>
  </conditionalFormatting>
  <conditionalFormatting sqref="E452:E453">
    <cfRule type="containsText" dxfId="5715" priority="1404" operator="containsText" text="Buy">
      <formula>NOT(ISERROR(SEARCH("Buy",E452)))</formula>
    </cfRule>
    <cfRule type="containsText" dxfId="5714" priority="1405" operator="containsText" text="Sell">
      <formula>NOT(ISERROR(SEARCH("Sell",E452)))</formula>
    </cfRule>
  </conditionalFormatting>
  <conditionalFormatting sqref="E450:E451">
    <cfRule type="containsText" dxfId="5713" priority="1402" operator="containsText" text="Buy">
      <formula>NOT(ISERROR(SEARCH("Buy",E450)))</formula>
    </cfRule>
    <cfRule type="containsText" dxfId="5712" priority="1403" operator="containsText" text="Sell">
      <formula>NOT(ISERROR(SEARCH("Sell",E450)))</formula>
    </cfRule>
  </conditionalFormatting>
  <conditionalFormatting sqref="E447:E448">
    <cfRule type="containsText" dxfId="5711" priority="1398" operator="containsText" text="Buy">
      <formula>NOT(ISERROR(SEARCH("Buy",E447)))</formula>
    </cfRule>
    <cfRule type="containsText" dxfId="5710" priority="1399" operator="containsText" text="Sell">
      <formula>NOT(ISERROR(SEARCH("Sell",E447)))</formula>
    </cfRule>
  </conditionalFormatting>
  <conditionalFormatting sqref="E444:E446">
    <cfRule type="containsText" dxfId="5709" priority="1392" operator="containsText" text="Buy">
      <formula>NOT(ISERROR(SEARCH("Buy",E444)))</formula>
    </cfRule>
    <cfRule type="containsText" dxfId="5708" priority="1393" operator="containsText" text="Sell">
      <formula>NOT(ISERROR(SEARCH("Sell",E444)))</formula>
    </cfRule>
  </conditionalFormatting>
  <conditionalFormatting sqref="E441:E442">
    <cfRule type="containsText" dxfId="5707" priority="1388" operator="containsText" text="Buy">
      <formula>NOT(ISERROR(SEARCH("Buy",E441)))</formula>
    </cfRule>
    <cfRule type="containsText" dxfId="5706" priority="1389" operator="containsText" text="Sell">
      <formula>NOT(ISERROR(SEARCH("Sell",E441)))</formula>
    </cfRule>
  </conditionalFormatting>
  <conditionalFormatting sqref="E438:E439">
    <cfRule type="containsText" dxfId="5705" priority="1384" operator="containsText" text="Buy">
      <formula>NOT(ISERROR(SEARCH("Buy",E438)))</formula>
    </cfRule>
    <cfRule type="containsText" dxfId="5704" priority="1385" operator="containsText" text="Sell">
      <formula>NOT(ISERROR(SEARCH("Sell",E438)))</formula>
    </cfRule>
  </conditionalFormatting>
  <conditionalFormatting sqref="E435:E436">
    <cfRule type="containsText" dxfId="5703" priority="1380" operator="containsText" text="Buy">
      <formula>NOT(ISERROR(SEARCH("Buy",E435)))</formula>
    </cfRule>
    <cfRule type="containsText" dxfId="5702" priority="1381" operator="containsText" text="Sell">
      <formula>NOT(ISERROR(SEARCH("Sell",E435)))</formula>
    </cfRule>
  </conditionalFormatting>
  <conditionalFormatting sqref="E431">
    <cfRule type="containsText" dxfId="5701" priority="1374" operator="containsText" text="Buy">
      <formula>NOT(ISERROR(SEARCH("Buy",E431)))</formula>
    </cfRule>
    <cfRule type="containsText" dxfId="5700" priority="1375" operator="containsText" text="Sell">
      <formula>NOT(ISERROR(SEARCH("Sell",E431)))</formula>
    </cfRule>
  </conditionalFormatting>
  <conditionalFormatting sqref="E432:E433">
    <cfRule type="containsText" dxfId="5699" priority="1376" operator="containsText" text="Buy">
      <formula>NOT(ISERROR(SEARCH("Buy",E432)))</formula>
    </cfRule>
    <cfRule type="containsText" dxfId="5698" priority="1377" operator="containsText" text="Sell">
      <formula>NOT(ISERROR(SEARCH("Sell",E432)))</formula>
    </cfRule>
  </conditionalFormatting>
  <conditionalFormatting sqref="E425:E426">
    <cfRule type="containsText" dxfId="5697" priority="1370" operator="containsText" text="Buy">
      <formula>NOT(ISERROR(SEARCH("Buy",E425)))</formula>
    </cfRule>
    <cfRule type="containsText" dxfId="5696" priority="1371" operator="containsText" text="Sell">
      <formula>NOT(ISERROR(SEARCH("Sell",E425)))</formula>
    </cfRule>
  </conditionalFormatting>
  <conditionalFormatting sqref="E421:E422">
    <cfRule type="containsText" dxfId="5695" priority="1366" operator="containsText" text="Buy">
      <formula>NOT(ISERROR(SEARCH("Buy",E421)))</formula>
    </cfRule>
    <cfRule type="containsText" dxfId="5694" priority="1367" operator="containsText" text="Sell">
      <formula>NOT(ISERROR(SEARCH("Sell",E421)))</formula>
    </cfRule>
  </conditionalFormatting>
  <conditionalFormatting sqref="E283:E284">
    <cfRule type="containsText" dxfId="5693" priority="1362" operator="containsText" text="Buy">
      <formula>NOT(ISERROR(SEARCH("Buy",E283)))</formula>
    </cfRule>
    <cfRule type="containsText" dxfId="5692" priority="1363" operator="containsText" text="Sell">
      <formula>NOT(ISERROR(SEARCH("Sell",E283)))</formula>
    </cfRule>
  </conditionalFormatting>
  <conditionalFormatting sqref="E278:E279">
    <cfRule type="containsText" dxfId="5691" priority="1358" operator="containsText" text="Buy">
      <formula>NOT(ISERROR(SEARCH("Buy",E278)))</formula>
    </cfRule>
    <cfRule type="containsText" dxfId="5690" priority="1359" operator="containsText" text="Sell">
      <formula>NOT(ISERROR(SEARCH("Sell",E278)))</formula>
    </cfRule>
  </conditionalFormatting>
  <conditionalFormatting sqref="E295">
    <cfRule type="containsText" dxfId="5689" priority="1344" operator="containsText" text="Buy">
      <formula>NOT(ISERROR(SEARCH("Buy",E295)))</formula>
    </cfRule>
    <cfRule type="containsText" dxfId="5688" priority="1345" operator="containsText" text="Sell">
      <formula>NOT(ISERROR(SEARCH("Sell",E295)))</formula>
    </cfRule>
  </conditionalFormatting>
  <conditionalFormatting sqref="E294">
    <cfRule type="containsText" dxfId="5687" priority="1342" operator="containsText" text="Buy">
      <formula>NOT(ISERROR(SEARCH("Buy",E294)))</formula>
    </cfRule>
    <cfRule type="containsText" dxfId="5686" priority="1343" operator="containsText" text="Sell">
      <formula>NOT(ISERROR(SEARCH("Sell",E294)))</formula>
    </cfRule>
  </conditionalFormatting>
  <conditionalFormatting sqref="E290">
    <cfRule type="containsText" dxfId="5685" priority="1340" operator="containsText" text="Buy">
      <formula>NOT(ISERROR(SEARCH("Buy",E290)))</formula>
    </cfRule>
    <cfRule type="containsText" dxfId="5684" priority="1341" operator="containsText" text="Sell">
      <formula>NOT(ISERROR(SEARCH("Sell",E290)))</formula>
    </cfRule>
  </conditionalFormatting>
  <conditionalFormatting sqref="E418:E420">
    <cfRule type="containsText" dxfId="5683" priority="1336" operator="containsText" text="Buy">
      <formula>NOT(ISERROR(SEARCH("Buy",E418)))</formula>
    </cfRule>
    <cfRule type="containsText" dxfId="5682" priority="1337" operator="containsText" text="Sell">
      <formula>NOT(ISERROR(SEARCH("Sell",E418)))</formula>
    </cfRule>
  </conditionalFormatting>
  <conditionalFormatting sqref="E415:E416">
    <cfRule type="containsText" dxfId="5681" priority="1330" operator="containsText" text="Buy">
      <formula>NOT(ISERROR(SEARCH("Buy",E415)))</formula>
    </cfRule>
    <cfRule type="containsText" dxfId="5680" priority="1331" operator="containsText" text="Sell">
      <formula>NOT(ISERROR(SEARCH("Sell",E415)))</formula>
    </cfRule>
  </conditionalFormatting>
  <conditionalFormatting sqref="E409:E411">
    <cfRule type="containsText" dxfId="5679" priority="1324" operator="containsText" text="Buy">
      <formula>NOT(ISERROR(SEARCH("Buy",E409)))</formula>
    </cfRule>
    <cfRule type="containsText" dxfId="5678" priority="1325" operator="containsText" text="Sell">
      <formula>NOT(ISERROR(SEARCH("Sell",E409)))</formula>
    </cfRule>
  </conditionalFormatting>
  <conditionalFormatting sqref="E405:E406">
    <cfRule type="containsText" dxfId="5677" priority="1319" operator="containsText" text="Buy">
      <formula>NOT(ISERROR(SEARCH("Buy",E405)))</formula>
    </cfRule>
    <cfRule type="containsText" dxfId="5676" priority="1320" operator="containsText" text="Sell">
      <formula>NOT(ISERROR(SEARCH("Sell",E405)))</formula>
    </cfRule>
  </conditionalFormatting>
  <conditionalFormatting sqref="E414">
    <cfRule type="containsText" dxfId="5675" priority="1317" operator="containsText" text="Buy">
      <formula>NOT(ISERROR(SEARCH("Buy",E414)))</formula>
    </cfRule>
    <cfRule type="containsText" dxfId="5674" priority="1318" operator="containsText" text="Sell">
      <formula>NOT(ISERROR(SEARCH("Sell",E414)))</formula>
    </cfRule>
  </conditionalFormatting>
  <conditionalFormatting sqref="E394">
    <cfRule type="containsText" dxfId="5673" priority="1265" operator="containsText" text="Buy">
      <formula>NOT(ISERROR(SEARCH("Buy",E394)))</formula>
    </cfRule>
    <cfRule type="containsText" dxfId="5672" priority="1266" operator="containsText" text="Sell">
      <formula>NOT(ISERROR(SEARCH("Sell",E394)))</formula>
    </cfRule>
  </conditionalFormatting>
  <conditionalFormatting sqref="E393">
    <cfRule type="containsText" dxfId="5671" priority="1263" operator="containsText" text="Buy">
      <formula>NOT(ISERROR(SEARCH("Buy",E393)))</formula>
    </cfRule>
    <cfRule type="containsText" dxfId="5670" priority="1264" operator="containsText" text="Sell">
      <formula>NOT(ISERROR(SEARCH("Sell",E393)))</formula>
    </cfRule>
  </conditionalFormatting>
  <conditionalFormatting sqref="E392">
    <cfRule type="containsText" dxfId="5669" priority="1261" operator="containsText" text="Buy">
      <formula>NOT(ISERROR(SEARCH("Buy",E392)))</formula>
    </cfRule>
    <cfRule type="containsText" dxfId="5668" priority="1262" operator="containsText" text="Sell">
      <formula>NOT(ISERROR(SEARCH("Sell",E392)))</formula>
    </cfRule>
  </conditionalFormatting>
  <conditionalFormatting sqref="E346">
    <cfRule type="containsText" dxfId="5667" priority="1251" operator="containsText" text="Buy">
      <formula>NOT(ISERROR(SEARCH("Buy",E346)))</formula>
    </cfRule>
    <cfRule type="containsText" dxfId="5666" priority="1252" operator="containsText" text="Sell">
      <formula>NOT(ISERROR(SEARCH("Sell",E346)))</formula>
    </cfRule>
  </conditionalFormatting>
  <conditionalFormatting sqref="E366">
    <cfRule type="containsText" dxfId="5665" priority="1237" operator="containsText" text="Buy">
      <formula>NOT(ISERROR(SEARCH("Buy",E366)))</formula>
    </cfRule>
    <cfRule type="containsText" dxfId="5664" priority="1238" operator="containsText" text="Sell">
      <formula>NOT(ISERROR(SEARCH("Sell",E366)))</formula>
    </cfRule>
  </conditionalFormatting>
  <conditionalFormatting sqref="E259:E260">
    <cfRule type="containsText" dxfId="5663" priority="1219" operator="containsText" text="Buy">
      <formula>NOT(ISERROR(SEARCH("Buy",E259)))</formula>
    </cfRule>
    <cfRule type="containsText" dxfId="5662" priority="1220" operator="containsText" text="Sell">
      <formula>NOT(ISERROR(SEARCH("Sell",E259)))</formula>
    </cfRule>
  </conditionalFormatting>
  <conditionalFormatting sqref="E391">
    <cfRule type="containsText" dxfId="5661" priority="1209" operator="containsText" text="Buy">
      <formula>NOT(ISERROR(SEARCH("Buy",E391)))</formula>
    </cfRule>
    <cfRule type="containsText" dxfId="5660" priority="1210" operator="containsText" text="Sell">
      <formula>NOT(ISERROR(SEARCH("Sell",E391)))</formula>
    </cfRule>
  </conditionalFormatting>
  <conditionalFormatting sqref="E298">
    <cfRule type="containsText" dxfId="5659" priority="1213" operator="containsText" text="Buy">
      <formula>NOT(ISERROR(SEARCH("Buy",E298)))</formula>
    </cfRule>
    <cfRule type="containsText" dxfId="5658" priority="1214" operator="containsText" text="Sell">
      <formula>NOT(ISERROR(SEARCH("Sell",E298)))</formula>
    </cfRule>
  </conditionalFormatting>
  <conditionalFormatting sqref="E390">
    <cfRule type="containsText" dxfId="5657" priority="1207" operator="containsText" text="Buy">
      <formula>NOT(ISERROR(SEARCH("Buy",E390)))</formula>
    </cfRule>
    <cfRule type="containsText" dxfId="5656" priority="1208" operator="containsText" text="Sell">
      <formula>NOT(ISERROR(SEARCH("Sell",E390)))</formula>
    </cfRule>
  </conditionalFormatting>
  <conditionalFormatting sqref="E389">
    <cfRule type="containsText" dxfId="5655" priority="1205" operator="containsText" text="Buy">
      <formula>NOT(ISERROR(SEARCH("Buy",E389)))</formula>
    </cfRule>
    <cfRule type="containsText" dxfId="5654" priority="1206" operator="containsText" text="Sell">
      <formula>NOT(ISERROR(SEARCH("Sell",E389)))</formula>
    </cfRule>
  </conditionalFormatting>
  <conditionalFormatting sqref="E388">
    <cfRule type="containsText" dxfId="5653" priority="1203" operator="containsText" text="Buy">
      <formula>NOT(ISERROR(SEARCH("Buy",E388)))</formula>
    </cfRule>
    <cfRule type="containsText" dxfId="5652" priority="1204" operator="containsText" text="Sell">
      <formula>NOT(ISERROR(SEARCH("Sell",E388)))</formula>
    </cfRule>
  </conditionalFormatting>
  <conditionalFormatting sqref="E387">
    <cfRule type="containsText" dxfId="5651" priority="1201" operator="containsText" text="Buy">
      <formula>NOT(ISERROR(SEARCH("Buy",E387)))</formula>
    </cfRule>
    <cfRule type="containsText" dxfId="5650" priority="1202" operator="containsText" text="Sell">
      <formula>NOT(ISERROR(SEARCH("Sell",E387)))</formula>
    </cfRule>
  </conditionalFormatting>
  <conditionalFormatting sqref="E264:E266 E277">
    <cfRule type="containsText" dxfId="5649" priority="1190" operator="containsText" text="Buy">
      <formula>NOT(ISERROR(SEARCH("Buy",E264)))</formula>
    </cfRule>
    <cfRule type="containsText" dxfId="5648" priority="1191" operator="containsText" text="Sell">
      <formula>NOT(ISERROR(SEARCH("Sell",E264)))</formula>
    </cfRule>
  </conditionalFormatting>
  <conditionalFormatting sqref="H39">
    <cfRule type="dataBar" priority="1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{50065ABF-9BC8-443E-868F-EA7524B77E57}</x14:id>
        </ext>
      </extLst>
    </cfRule>
    <cfRule type="cellIs" dxfId="5647" priority="1189" operator="equal">
      <formula>1</formula>
    </cfRule>
  </conditionalFormatting>
  <conditionalFormatting sqref="D39">
    <cfRule type="containsText" dxfId="5646" priority="1187" operator="containsText" text="Buy">
      <formula>NOT(ISERROR(SEARCH("Buy",D39)))</formula>
    </cfRule>
    <cfRule type="containsText" dxfId="5645" priority="1188" operator="containsText" text="Sell">
      <formula>NOT(ISERROR(SEARCH("Sell",D39)))</formula>
    </cfRule>
  </conditionalFormatting>
  <conditionalFormatting sqref="H37">
    <cfRule type="dataBar" priority="1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{E9BA81D3-62D5-4075-A9AF-F8116D89603E}</x14:id>
        </ext>
      </extLst>
    </cfRule>
    <cfRule type="cellIs" dxfId="5644" priority="1185" operator="equal">
      <formula>1</formula>
    </cfRule>
  </conditionalFormatting>
  <conditionalFormatting sqref="D37">
    <cfRule type="containsText" dxfId="5643" priority="1183" operator="containsText" text="Buy">
      <formula>NOT(ISERROR(SEARCH("Buy",D37)))</formula>
    </cfRule>
    <cfRule type="containsText" dxfId="5642" priority="1184" operator="containsText" text="Sell">
      <formula>NOT(ISERROR(SEARCH("Sell",D37)))</formula>
    </cfRule>
  </conditionalFormatting>
  <conditionalFormatting sqref="E254:E255">
    <cfRule type="containsText" dxfId="5641" priority="1177" operator="containsText" text="Buy">
      <formula>NOT(ISERROR(SEARCH("Buy",E254)))</formula>
    </cfRule>
    <cfRule type="containsText" dxfId="5640" priority="1178" operator="containsText" text="Sell">
      <formula>NOT(ISERROR(SEARCH("Sell",E254)))</formula>
    </cfRule>
  </conditionalFormatting>
  <conditionalFormatting sqref="E248:E249">
    <cfRule type="containsText" dxfId="5639" priority="1170" operator="containsText" text="Buy">
      <formula>NOT(ISERROR(SEARCH("Buy",E248)))</formula>
    </cfRule>
    <cfRule type="containsText" dxfId="5638" priority="1171" operator="containsText" text="Sell">
      <formula>NOT(ISERROR(SEARCH("Sell",E248)))</formula>
    </cfRule>
  </conditionalFormatting>
  <conditionalFormatting sqref="E275:E276">
    <cfRule type="containsText" dxfId="5637" priority="1156" operator="containsText" text="Buy">
      <formula>NOT(ISERROR(SEARCH("Buy",E275)))</formula>
    </cfRule>
    <cfRule type="containsText" dxfId="5636" priority="1157" operator="containsText" text="Sell">
      <formula>NOT(ISERROR(SEARCH("Sell",E275)))</formula>
    </cfRule>
  </conditionalFormatting>
  <conditionalFormatting sqref="E274">
    <cfRule type="containsText" dxfId="5635" priority="1154" operator="containsText" text="Buy">
      <formula>NOT(ISERROR(SEARCH("Buy",E274)))</formula>
    </cfRule>
    <cfRule type="containsText" dxfId="5634" priority="1155" operator="containsText" text="Sell">
      <formula>NOT(ISERROR(SEARCH("Sell",E274)))</formula>
    </cfRule>
  </conditionalFormatting>
  <conditionalFormatting sqref="E358">
    <cfRule type="containsText" dxfId="5633" priority="1145" operator="containsText" text="Buy">
      <formula>NOT(ISERROR(SEARCH("Buy",E358)))</formula>
    </cfRule>
    <cfRule type="containsText" dxfId="5632" priority="1146" operator="containsText" text="Sell">
      <formula>NOT(ISERROR(SEARCH("Sell",E358)))</formula>
    </cfRule>
  </conditionalFormatting>
  <conditionalFormatting sqref="E357">
    <cfRule type="containsText" dxfId="5631" priority="1143" operator="containsText" text="Buy">
      <formula>NOT(ISERROR(SEARCH("Buy",E357)))</formula>
    </cfRule>
    <cfRule type="containsText" dxfId="5630" priority="1144" operator="containsText" text="Sell">
      <formula>NOT(ISERROR(SEARCH("Sell",E357)))</formula>
    </cfRule>
  </conditionalFormatting>
  <conditionalFormatting sqref="E245:E246">
    <cfRule type="containsText" dxfId="5629" priority="1127" operator="containsText" text="Buy">
      <formula>NOT(ISERROR(SEARCH("Buy",E245)))</formula>
    </cfRule>
    <cfRule type="containsText" dxfId="5628" priority="1128" operator="containsText" text="Sell">
      <formula>NOT(ISERROR(SEARCH("Sell",E245)))</formula>
    </cfRule>
  </conditionalFormatting>
  <conditionalFormatting sqref="E244">
    <cfRule type="containsText" dxfId="5627" priority="1125" operator="containsText" text="Buy">
      <formula>NOT(ISERROR(SEARCH("Buy",E244)))</formula>
    </cfRule>
    <cfRule type="containsText" dxfId="5626" priority="1126" operator="containsText" text="Sell">
      <formula>NOT(ISERROR(SEARCH("Sell",E244)))</formula>
    </cfRule>
  </conditionalFormatting>
  <conditionalFormatting sqref="E243">
    <cfRule type="containsText" dxfId="5625" priority="1123" operator="containsText" text="Buy">
      <formula>NOT(ISERROR(SEARCH("Buy",E243)))</formula>
    </cfRule>
    <cfRule type="containsText" dxfId="5624" priority="1124" operator="containsText" text="Sell">
      <formula>NOT(ISERROR(SEARCH("Sell",E243)))</formula>
    </cfRule>
  </conditionalFormatting>
  <conditionalFormatting sqref="E239">
    <cfRule type="containsText" dxfId="5623" priority="1093" operator="containsText" text="Buy">
      <formula>NOT(ISERROR(SEARCH("Buy",E239)))</formula>
    </cfRule>
    <cfRule type="containsText" dxfId="5622" priority="1094" operator="containsText" text="Sell">
      <formula>NOT(ISERROR(SEARCH("Sell",E239)))</formula>
    </cfRule>
  </conditionalFormatting>
  <conditionalFormatting sqref="E238">
    <cfRule type="containsText" dxfId="5621" priority="1091" operator="containsText" text="Buy">
      <formula>NOT(ISERROR(SEARCH("Buy",E238)))</formula>
    </cfRule>
    <cfRule type="containsText" dxfId="5620" priority="1092" operator="containsText" text="Sell">
      <formula>NOT(ISERROR(SEARCH("Sell",E238)))</formula>
    </cfRule>
  </conditionalFormatting>
  <conditionalFormatting sqref="E237">
    <cfRule type="containsText" dxfId="5619" priority="1089" operator="containsText" text="Buy">
      <formula>NOT(ISERROR(SEARCH("Buy",E237)))</formula>
    </cfRule>
    <cfRule type="containsText" dxfId="5618" priority="1090" operator="containsText" text="Sell">
      <formula>NOT(ISERROR(SEARCH("Sell",E237)))</formula>
    </cfRule>
  </conditionalFormatting>
  <conditionalFormatting sqref="E235:E236">
    <cfRule type="containsText" dxfId="5617" priority="1087" operator="containsText" text="Buy">
      <formula>NOT(ISERROR(SEARCH("Buy",E235)))</formula>
    </cfRule>
    <cfRule type="containsText" dxfId="5616" priority="1088" operator="containsText" text="Sell">
      <formula>NOT(ISERROR(SEARCH("Sell",E235)))</formula>
    </cfRule>
  </conditionalFormatting>
  <conditionalFormatting sqref="E231 E227:E228">
    <cfRule type="containsText" dxfId="5615" priority="1085" operator="containsText" text="Buy">
      <formula>NOT(ISERROR(SEARCH("Buy",E227)))</formula>
    </cfRule>
    <cfRule type="containsText" dxfId="5614" priority="1086" operator="containsText" text="Sell">
      <formula>NOT(ISERROR(SEARCH("Sell",E227)))</formula>
    </cfRule>
  </conditionalFormatting>
  <conditionalFormatting sqref="E223">
    <cfRule type="containsText" dxfId="5613" priority="1080" operator="containsText" text="Buy">
      <formula>NOT(ISERROR(SEARCH("Buy",E223)))</formula>
    </cfRule>
    <cfRule type="containsText" dxfId="5612" priority="1081" operator="containsText" text="Sell">
      <formula>NOT(ISERROR(SEARCH("Sell",E223)))</formula>
    </cfRule>
  </conditionalFormatting>
  <conditionalFormatting sqref="E222">
    <cfRule type="containsText" dxfId="5611" priority="1078" operator="containsText" text="Buy">
      <formula>NOT(ISERROR(SEARCH("Buy",E222)))</formula>
    </cfRule>
    <cfRule type="containsText" dxfId="5610" priority="1079" operator="containsText" text="Sell">
      <formula>NOT(ISERROR(SEARCH("Sell",E222)))</formula>
    </cfRule>
  </conditionalFormatting>
  <conditionalFormatting sqref="E230">
    <cfRule type="containsText" dxfId="5609" priority="1073" operator="containsText" text="Buy">
      <formula>NOT(ISERROR(SEARCH("Buy",E230)))</formula>
    </cfRule>
    <cfRule type="containsText" dxfId="5608" priority="1074" operator="containsText" text="Sell">
      <formula>NOT(ISERROR(SEARCH("Sell",E230)))</formula>
    </cfRule>
  </conditionalFormatting>
  <conditionalFormatting sqref="E229">
    <cfRule type="containsText" dxfId="5607" priority="1071" operator="containsText" text="Buy">
      <formula>NOT(ISERROR(SEARCH("Buy",E229)))</formula>
    </cfRule>
    <cfRule type="containsText" dxfId="5606" priority="1072" operator="containsText" text="Sell">
      <formula>NOT(ISERROR(SEARCH("Sell",E229)))</formula>
    </cfRule>
  </conditionalFormatting>
  <conditionalFormatting sqref="E362">
    <cfRule type="containsText" dxfId="5605" priority="1067" operator="containsText" text="Buy">
      <formula>NOT(ISERROR(SEARCH("Buy",E362)))</formula>
    </cfRule>
    <cfRule type="containsText" dxfId="5604" priority="1068" operator="containsText" text="Sell">
      <formula>NOT(ISERROR(SEARCH("Sell",E362)))</formula>
    </cfRule>
  </conditionalFormatting>
  <conditionalFormatting sqref="E282">
    <cfRule type="containsText" dxfId="5603" priority="1065" operator="containsText" text="Buy">
      <formula>NOT(ISERROR(SEARCH("Buy",E282)))</formula>
    </cfRule>
    <cfRule type="containsText" dxfId="5602" priority="1066" operator="containsText" text="Sell">
      <formula>NOT(ISERROR(SEARCH("Sell",E282)))</formula>
    </cfRule>
  </conditionalFormatting>
  <conditionalFormatting sqref="E329">
    <cfRule type="containsText" dxfId="5601" priority="1063" operator="containsText" text="Buy">
      <formula>NOT(ISERROR(SEARCH("Buy",E329)))</formula>
    </cfRule>
    <cfRule type="containsText" dxfId="5600" priority="1064" operator="containsText" text="Sell">
      <formula>NOT(ISERROR(SEARCH("Sell",E329)))</formula>
    </cfRule>
  </conditionalFormatting>
  <conditionalFormatting sqref="E226">
    <cfRule type="containsText" dxfId="5599" priority="1054" operator="containsText" text="Buy">
      <formula>NOT(ISERROR(SEARCH("Buy",E226)))</formula>
    </cfRule>
    <cfRule type="containsText" dxfId="5598" priority="1055" operator="containsText" text="Sell">
      <formula>NOT(ISERROR(SEARCH("Sell",E226)))</formula>
    </cfRule>
  </conditionalFormatting>
  <conditionalFormatting sqref="E216">
    <cfRule type="containsText" dxfId="5597" priority="1052" operator="containsText" text="Buy">
      <formula>NOT(ISERROR(SEARCH("Buy",E216)))</formula>
    </cfRule>
    <cfRule type="containsText" dxfId="5596" priority="1053" operator="containsText" text="Sell">
      <formula>NOT(ISERROR(SEARCH("Sell",E216)))</formula>
    </cfRule>
  </conditionalFormatting>
  <conditionalFormatting sqref="E328">
    <cfRule type="containsText" dxfId="5595" priority="1048" operator="containsText" text="Buy">
      <formula>NOT(ISERROR(SEARCH("Buy",E328)))</formula>
    </cfRule>
    <cfRule type="containsText" dxfId="5594" priority="1049" operator="containsText" text="Sell">
      <formula>NOT(ISERROR(SEARCH("Sell",E328)))</formula>
    </cfRule>
  </conditionalFormatting>
  <conditionalFormatting sqref="E327">
    <cfRule type="containsText" dxfId="5593" priority="1046" operator="containsText" text="Buy">
      <formula>NOT(ISERROR(SEARCH("Buy",E327)))</formula>
    </cfRule>
    <cfRule type="containsText" dxfId="5592" priority="1047" operator="containsText" text="Sell">
      <formula>NOT(ISERROR(SEARCH("Sell",E327)))</formula>
    </cfRule>
  </conditionalFormatting>
  <conditionalFormatting sqref="E401:E403">
    <cfRule type="containsText" dxfId="5591" priority="1034" operator="containsText" text="Buy">
      <formula>NOT(ISERROR(SEARCH("Buy",E401)))</formula>
    </cfRule>
    <cfRule type="containsText" dxfId="5590" priority="1035" operator="containsText" text="Sell">
      <formula>NOT(ISERROR(SEARCH("Sell",E401)))</formula>
    </cfRule>
  </conditionalFormatting>
  <conditionalFormatting sqref="E386">
    <cfRule type="containsText" dxfId="5589" priority="1029" operator="containsText" text="Buy">
      <formula>NOT(ISERROR(SEARCH("Buy",E386)))</formula>
    </cfRule>
    <cfRule type="containsText" dxfId="5588" priority="1030" operator="containsText" text="Sell">
      <formula>NOT(ISERROR(SEARCH("Sell",E386)))</formula>
    </cfRule>
  </conditionalFormatting>
  <conditionalFormatting sqref="E385">
    <cfRule type="containsText" dxfId="5587" priority="1022" operator="containsText" text="Buy">
      <formula>NOT(ISERROR(SEARCH("Buy",E385)))</formula>
    </cfRule>
    <cfRule type="containsText" dxfId="5586" priority="1023" operator="containsText" text="Sell">
      <formula>NOT(ISERROR(SEARCH("Sell",E385)))</formula>
    </cfRule>
  </conditionalFormatting>
  <conditionalFormatting sqref="E221">
    <cfRule type="containsText" dxfId="5585" priority="1020" operator="containsText" text="Buy">
      <formula>NOT(ISERROR(SEARCH("Buy",E221)))</formula>
    </cfRule>
    <cfRule type="containsText" dxfId="5584" priority="1021" operator="containsText" text="Sell">
      <formula>NOT(ISERROR(SEARCH("Sell",E221)))</formula>
    </cfRule>
  </conditionalFormatting>
  <conditionalFormatting sqref="E348">
    <cfRule type="containsText" dxfId="5583" priority="1018" operator="containsText" text="Buy">
      <formula>NOT(ISERROR(SEARCH("Buy",E348)))</formula>
    </cfRule>
    <cfRule type="containsText" dxfId="5582" priority="1019" operator="containsText" text="Sell">
      <formula>NOT(ISERROR(SEARCH("Sell",E348)))</formula>
    </cfRule>
  </conditionalFormatting>
  <conditionalFormatting sqref="E345">
    <cfRule type="containsText" dxfId="5581" priority="1016" operator="containsText" text="Buy">
      <formula>NOT(ISERROR(SEARCH("Buy",E345)))</formula>
    </cfRule>
    <cfRule type="containsText" dxfId="5580" priority="1017" operator="containsText" text="Sell">
      <formula>NOT(ISERROR(SEARCH("Sell",E345)))</formula>
    </cfRule>
  </conditionalFormatting>
  <conditionalFormatting sqref="E212:E213">
    <cfRule type="containsText" dxfId="5579" priority="1010" operator="containsText" text="Buy">
      <formula>NOT(ISERROR(SEARCH("Buy",E212)))</formula>
    </cfRule>
    <cfRule type="containsText" dxfId="5578" priority="1011" operator="containsText" text="Sell">
      <formula>NOT(ISERROR(SEARCH("Sell",E212)))</formula>
    </cfRule>
  </conditionalFormatting>
  <conditionalFormatting sqref="E209:E210">
    <cfRule type="containsText" dxfId="5577" priority="1004" operator="containsText" text="Buy">
      <formula>NOT(ISERROR(SEARCH("Buy",E209)))</formula>
    </cfRule>
    <cfRule type="containsText" dxfId="5576" priority="1005" operator="containsText" text="Sell">
      <formula>NOT(ISERROR(SEARCH("Sell",E209)))</formula>
    </cfRule>
  </conditionalFormatting>
  <conditionalFormatting sqref="E384">
    <cfRule type="containsText" dxfId="5575" priority="998" operator="containsText" text="Buy">
      <formula>NOT(ISERROR(SEARCH("Buy",E384)))</formula>
    </cfRule>
    <cfRule type="containsText" dxfId="5574" priority="999" operator="containsText" text="Sell">
      <formula>NOT(ISERROR(SEARCH("Sell",E384)))</formula>
    </cfRule>
  </conditionalFormatting>
  <conditionalFormatting sqref="E206:E207">
    <cfRule type="containsText" dxfId="5573" priority="996" operator="containsText" text="Buy">
      <formula>NOT(ISERROR(SEARCH("Buy",E206)))</formula>
    </cfRule>
    <cfRule type="containsText" dxfId="5572" priority="997" operator="containsText" text="Sell">
      <formula>NOT(ISERROR(SEARCH("Sell",E206)))</formula>
    </cfRule>
  </conditionalFormatting>
  <conditionalFormatting sqref="E203:E204">
    <cfRule type="containsText" dxfId="5571" priority="990" operator="containsText" text="Buy">
      <formula>NOT(ISERROR(SEARCH("Buy",E203)))</formula>
    </cfRule>
    <cfRule type="containsText" dxfId="5570" priority="991" operator="containsText" text="Sell">
      <formula>NOT(ISERROR(SEARCH("Sell",E203)))</formula>
    </cfRule>
  </conditionalFormatting>
  <conditionalFormatting sqref="E273">
    <cfRule type="containsText" dxfId="5569" priority="980" operator="containsText" text="Buy">
      <formula>NOT(ISERROR(SEARCH("Buy",E273)))</formula>
    </cfRule>
    <cfRule type="containsText" dxfId="5568" priority="981" operator="containsText" text="Sell">
      <formula>NOT(ISERROR(SEARCH("Sell",E273)))</formula>
    </cfRule>
  </conditionalFormatting>
  <conditionalFormatting sqref="E201">
    <cfRule type="containsText" dxfId="5567" priority="978" operator="containsText" text="Buy">
      <formula>NOT(ISERROR(SEARCH("Buy",E201)))</formula>
    </cfRule>
    <cfRule type="containsText" dxfId="5566" priority="979" operator="containsText" text="Sell">
      <formula>NOT(ISERROR(SEARCH("Sell",E201)))</formula>
    </cfRule>
  </conditionalFormatting>
  <conditionalFormatting sqref="E200">
    <cfRule type="containsText" dxfId="5565" priority="976" operator="containsText" text="Buy">
      <formula>NOT(ISERROR(SEARCH("Buy",E200)))</formula>
    </cfRule>
    <cfRule type="containsText" dxfId="5564" priority="977" operator="containsText" text="Sell">
      <formula>NOT(ISERROR(SEARCH("Sell",E200)))</formula>
    </cfRule>
  </conditionalFormatting>
  <conditionalFormatting sqref="E413">
    <cfRule type="containsText" dxfId="5563" priority="970" operator="containsText" text="Buy">
      <formula>NOT(ISERROR(SEARCH("Buy",E413)))</formula>
    </cfRule>
    <cfRule type="containsText" dxfId="5562" priority="971" operator="containsText" text="Sell">
      <formula>NOT(ISERROR(SEARCH("Sell",E413)))</formula>
    </cfRule>
  </conditionalFormatting>
  <conditionalFormatting sqref="E430">
    <cfRule type="containsText" dxfId="5561" priority="968" operator="containsText" text="Buy">
      <formula>NOT(ISERROR(SEARCH("Buy",E430)))</formula>
    </cfRule>
    <cfRule type="containsText" dxfId="5560" priority="969" operator="containsText" text="Sell">
      <formula>NOT(ISERROR(SEARCH("Sell",E430)))</formula>
    </cfRule>
  </conditionalFormatting>
  <conditionalFormatting sqref="E192:E193">
    <cfRule type="containsText" dxfId="5559" priority="966" operator="containsText" text="Buy">
      <formula>NOT(ISERROR(SEARCH("Buy",E192)))</formula>
    </cfRule>
    <cfRule type="containsText" dxfId="5558" priority="967" operator="containsText" text="Sell">
      <formula>NOT(ISERROR(SEARCH("Sell",E192)))</formula>
    </cfRule>
  </conditionalFormatting>
  <conditionalFormatting sqref="E408">
    <cfRule type="containsText" dxfId="5557" priority="960" operator="containsText" text="Buy">
      <formula>NOT(ISERROR(SEARCH("Buy",E408)))</formula>
    </cfRule>
    <cfRule type="containsText" dxfId="5556" priority="961" operator="containsText" text="Sell">
      <formula>NOT(ISERROR(SEARCH("Sell",E408)))</formula>
    </cfRule>
  </conditionalFormatting>
  <conditionalFormatting sqref="E404">
    <cfRule type="containsText" dxfId="5555" priority="958" operator="containsText" text="Buy">
      <formula>NOT(ISERROR(SEARCH("Buy",E404)))</formula>
    </cfRule>
    <cfRule type="containsText" dxfId="5554" priority="959" operator="containsText" text="Sell">
      <formula>NOT(ISERROR(SEARCH("Sell",E404)))</formula>
    </cfRule>
  </conditionalFormatting>
  <conditionalFormatting sqref="E142:E143 E185 E182 E179 E176 E167 E146 E161">
    <cfRule type="containsText" dxfId="5553" priority="956" operator="containsText" text="Buy">
      <formula>NOT(ISERROR(SEARCH("Buy",E142)))</formula>
    </cfRule>
    <cfRule type="containsText" dxfId="5552" priority="957" operator="containsText" text="Sell">
      <formula>NOT(ISERROR(SEARCH("Sell",E142)))</formula>
    </cfRule>
  </conditionalFormatting>
  <conditionalFormatting sqref="E272">
    <cfRule type="containsText" dxfId="5551" priority="952" operator="containsText" text="Buy">
      <formula>NOT(ISERROR(SEARCH("Buy",E272)))</formula>
    </cfRule>
    <cfRule type="containsText" dxfId="5550" priority="953" operator="containsText" text="Sell">
      <formula>NOT(ISERROR(SEARCH("Sell",E272)))</formula>
    </cfRule>
  </conditionalFormatting>
  <conditionalFormatting sqref="E326">
    <cfRule type="containsText" dxfId="5549" priority="950" operator="containsText" text="Buy">
      <formula>NOT(ISERROR(SEARCH("Buy",E326)))</formula>
    </cfRule>
    <cfRule type="containsText" dxfId="5548" priority="951" operator="containsText" text="Sell">
      <formula>NOT(ISERROR(SEARCH("Sell",E326)))</formula>
    </cfRule>
  </conditionalFormatting>
  <conditionalFormatting sqref="E281">
    <cfRule type="containsText" dxfId="5547" priority="948" operator="containsText" text="Buy">
      <formula>NOT(ISERROR(SEARCH("Buy",E281)))</formula>
    </cfRule>
    <cfRule type="containsText" dxfId="5546" priority="949" operator="containsText" text="Sell">
      <formula>NOT(ISERROR(SEARCH("Sell",E281)))</formula>
    </cfRule>
  </conditionalFormatting>
  <conditionalFormatting sqref="E218">
    <cfRule type="containsText" dxfId="5545" priority="946" operator="containsText" text="Buy">
      <formula>NOT(ISERROR(SEARCH("Buy",E218)))</formula>
    </cfRule>
    <cfRule type="containsText" dxfId="5544" priority="947" operator="containsText" text="Sell">
      <formula>NOT(ISERROR(SEARCH("Sell",E218)))</formula>
    </cfRule>
  </conditionalFormatting>
  <conditionalFormatting sqref="E122:E123 E127">
    <cfRule type="containsText" dxfId="5543" priority="942" operator="containsText" text="Buy">
      <formula>NOT(ISERROR(SEARCH("Buy",E122)))</formula>
    </cfRule>
    <cfRule type="containsText" dxfId="5542" priority="943" operator="containsText" text="Sell">
      <formula>NOT(ISERROR(SEARCH("Sell",E122)))</formula>
    </cfRule>
  </conditionalFormatting>
  <conditionalFormatting sqref="E121">
    <cfRule type="containsText" dxfId="5541" priority="940" operator="containsText" text="Buy">
      <formula>NOT(ISERROR(SEARCH("Buy",E121)))</formula>
    </cfRule>
    <cfRule type="containsText" dxfId="5540" priority="941" operator="containsText" text="Sell">
      <formula>NOT(ISERROR(SEARCH("Sell",E121)))</formula>
    </cfRule>
  </conditionalFormatting>
  <conditionalFormatting sqref="E373">
    <cfRule type="containsText" dxfId="5539" priority="934" operator="containsText" text="Buy">
      <formula>NOT(ISERROR(SEARCH("Buy",E373)))</formula>
    </cfRule>
    <cfRule type="containsText" dxfId="5538" priority="935" operator="containsText" text="Sell">
      <formula>NOT(ISERROR(SEARCH("Sell",E373)))</formula>
    </cfRule>
  </conditionalFormatting>
  <conditionalFormatting sqref="E140">
    <cfRule type="containsText" dxfId="5537" priority="930" operator="containsText" text="Buy">
      <formula>NOT(ISERROR(SEARCH("Buy",E140)))</formula>
    </cfRule>
    <cfRule type="containsText" dxfId="5536" priority="931" operator="containsText" text="Sell">
      <formula>NOT(ISERROR(SEARCH("Sell",E140)))</formula>
    </cfRule>
  </conditionalFormatting>
  <conditionalFormatting sqref="E429">
    <cfRule type="containsText" dxfId="5535" priority="921" operator="containsText" text="Buy">
      <formula>NOT(ISERROR(SEARCH("Buy",E429)))</formula>
    </cfRule>
    <cfRule type="containsText" dxfId="5534" priority="922" operator="containsText" text="Sell">
      <formula>NOT(ISERROR(SEARCH("Sell",E429)))</formula>
    </cfRule>
  </conditionalFormatting>
  <conditionalFormatting sqref="E271">
    <cfRule type="containsText" dxfId="5533" priority="908" operator="containsText" text="Buy">
      <formula>NOT(ISERROR(SEARCH("Buy",E271)))</formula>
    </cfRule>
    <cfRule type="containsText" dxfId="5532" priority="909" operator="containsText" text="Sell">
      <formula>NOT(ISERROR(SEARCH("Sell",E271)))</formula>
    </cfRule>
  </conditionalFormatting>
  <conditionalFormatting sqref="E139">
    <cfRule type="containsText" dxfId="5531" priority="906" operator="containsText" text="Buy">
      <formula>NOT(ISERROR(SEARCH("Buy",E139)))</formula>
    </cfRule>
    <cfRule type="containsText" dxfId="5530" priority="907" operator="containsText" text="Sell">
      <formula>NOT(ISERROR(SEARCH("Sell",E139)))</formula>
    </cfRule>
  </conditionalFormatting>
  <conditionalFormatting sqref="E344">
    <cfRule type="containsText" dxfId="5529" priority="902" operator="containsText" text="Buy">
      <formula>NOT(ISERROR(SEARCH("Buy",E344)))</formula>
    </cfRule>
    <cfRule type="containsText" dxfId="5528" priority="903" operator="containsText" text="Sell">
      <formula>NOT(ISERROR(SEARCH("Sell",E344)))</formula>
    </cfRule>
  </conditionalFormatting>
  <conditionalFormatting sqref="E186:E187">
    <cfRule type="containsText" dxfId="5527" priority="900" operator="containsText" text="Buy">
      <formula>NOT(ISERROR(SEARCH("Buy",E186)))</formula>
    </cfRule>
    <cfRule type="containsText" dxfId="5526" priority="901" operator="containsText" text="Sell">
      <formula>NOT(ISERROR(SEARCH("Sell",E186)))</formula>
    </cfRule>
  </conditionalFormatting>
  <conditionalFormatting sqref="E424">
    <cfRule type="containsText" dxfId="5525" priority="898" operator="containsText" text="Buy">
      <formula>NOT(ISERROR(SEARCH("Buy",E424)))</formula>
    </cfRule>
    <cfRule type="containsText" dxfId="5524" priority="899" operator="containsText" text="Sell">
      <formula>NOT(ISERROR(SEARCH("Sell",E424)))</formula>
    </cfRule>
  </conditionalFormatting>
  <conditionalFormatting sqref="E183:E184">
    <cfRule type="containsText" dxfId="5523" priority="889" operator="containsText" text="Buy">
      <formula>NOT(ISERROR(SEARCH("Buy",E183)))</formula>
    </cfRule>
    <cfRule type="containsText" dxfId="5522" priority="890" operator="containsText" text="Sell">
      <formula>NOT(ISERROR(SEARCH("Sell",E183)))</formula>
    </cfRule>
  </conditionalFormatting>
  <conditionalFormatting sqref="E180:E181">
    <cfRule type="containsText" dxfId="5521" priority="880" operator="containsText" text="Buy">
      <formula>NOT(ISERROR(SEARCH("Buy",E180)))</formula>
    </cfRule>
    <cfRule type="containsText" dxfId="5520" priority="881" operator="containsText" text="Sell">
      <formula>NOT(ISERROR(SEARCH("Sell",E180)))</formula>
    </cfRule>
  </conditionalFormatting>
  <conditionalFormatting sqref="E311">
    <cfRule type="containsText" dxfId="5519" priority="869" operator="containsText" text="Buy">
      <formula>NOT(ISERROR(SEARCH("Buy",E311)))</formula>
    </cfRule>
    <cfRule type="containsText" dxfId="5518" priority="870" operator="containsText" text="Sell">
      <formula>NOT(ISERROR(SEARCH("Sell",E311)))</formula>
    </cfRule>
  </conditionalFormatting>
  <conditionalFormatting sqref="E428">
    <cfRule type="containsText" dxfId="5517" priority="867" operator="containsText" text="Buy">
      <formula>NOT(ISERROR(SEARCH("Buy",E428)))</formula>
    </cfRule>
    <cfRule type="containsText" dxfId="5516" priority="868" operator="containsText" text="Sell">
      <formula>NOT(ISERROR(SEARCH("Sell",E428)))</formula>
    </cfRule>
  </conditionalFormatting>
  <conditionalFormatting sqref="E412">
    <cfRule type="containsText" dxfId="5515" priority="865" operator="containsText" text="Buy">
      <formula>NOT(ISERROR(SEARCH("Buy",E412)))</formula>
    </cfRule>
    <cfRule type="containsText" dxfId="5514" priority="866" operator="containsText" text="Sell">
      <formula>NOT(ISERROR(SEARCH("Sell",E412)))</formula>
    </cfRule>
  </conditionalFormatting>
  <conditionalFormatting sqref="E177:E178">
    <cfRule type="containsText" dxfId="5513" priority="859" operator="containsText" text="Buy">
      <formula>NOT(ISERROR(SEARCH("Buy",E177)))</formula>
    </cfRule>
    <cfRule type="containsText" dxfId="5512" priority="860" operator="containsText" text="Sell">
      <formula>NOT(ISERROR(SEARCH("Sell",E177)))</formula>
    </cfRule>
  </conditionalFormatting>
  <conditionalFormatting sqref="E171:E173">
    <cfRule type="containsText" dxfId="5511" priority="857" operator="containsText" text="Buy">
      <formula>NOT(ISERROR(SEARCH("Buy",E171)))</formula>
    </cfRule>
    <cfRule type="containsText" dxfId="5510" priority="858" operator="containsText" text="Sell">
      <formula>NOT(ISERROR(SEARCH("Sell",E171)))</formula>
    </cfRule>
  </conditionalFormatting>
  <conditionalFormatting sqref="E195">
    <cfRule type="containsText" dxfId="5509" priority="841" operator="containsText" text="Buy">
      <formula>NOT(ISERROR(SEARCH("Buy",E195)))</formula>
    </cfRule>
    <cfRule type="containsText" dxfId="5508" priority="842" operator="containsText" text="Sell">
      <formula>NOT(ISERROR(SEARCH("Sell",E195)))</formula>
    </cfRule>
  </conditionalFormatting>
  <conditionalFormatting sqref="E372">
    <cfRule type="containsText" dxfId="5507" priority="837" operator="containsText" text="Buy">
      <formula>NOT(ISERROR(SEARCH("Buy",E372)))</formula>
    </cfRule>
    <cfRule type="containsText" dxfId="5506" priority="838" operator="containsText" text="Sell">
      <formula>NOT(ISERROR(SEARCH("Sell",E372)))</formula>
    </cfRule>
  </conditionalFormatting>
  <conditionalFormatting sqref="E342">
    <cfRule type="containsText" dxfId="5505" priority="833" operator="containsText" text="Buy">
      <formula>NOT(ISERROR(SEARCH("Buy",E342)))</formula>
    </cfRule>
    <cfRule type="containsText" dxfId="5504" priority="834" operator="containsText" text="Sell">
      <formula>NOT(ISERROR(SEARCH("Sell",E342)))</formula>
    </cfRule>
  </conditionalFormatting>
  <conditionalFormatting sqref="E301">
    <cfRule type="containsText" dxfId="5503" priority="831" operator="containsText" text="Buy">
      <formula>NOT(ISERROR(SEARCH("Buy",E301)))</formula>
    </cfRule>
    <cfRule type="containsText" dxfId="5502" priority="832" operator="containsText" text="Sell">
      <formula>NOT(ISERROR(SEARCH("Sell",E301)))</formula>
    </cfRule>
  </conditionalFormatting>
  <conditionalFormatting sqref="E343">
    <cfRule type="containsText" dxfId="5501" priority="835" operator="containsText" text="Buy">
      <formula>NOT(ISERROR(SEARCH("Buy",E343)))</formula>
    </cfRule>
    <cfRule type="containsText" dxfId="5500" priority="836" operator="containsText" text="Sell">
      <formula>NOT(ISERROR(SEARCH("Sell",E343)))</formula>
    </cfRule>
  </conditionalFormatting>
  <conditionalFormatting sqref="E118">
    <cfRule type="containsText" dxfId="5499" priority="827" operator="containsText" text="Buy">
      <formula>NOT(ISERROR(SEARCH("Buy",E118)))</formula>
    </cfRule>
    <cfRule type="containsText" dxfId="5498" priority="828" operator="containsText" text="Sell">
      <formula>NOT(ISERROR(SEARCH("Sell",E118)))</formula>
    </cfRule>
  </conditionalFormatting>
  <conditionalFormatting sqref="E119">
    <cfRule type="containsText" dxfId="5497" priority="829" operator="containsText" text="Buy">
      <formula>NOT(ISERROR(SEARCH("Buy",E119)))</formula>
    </cfRule>
    <cfRule type="containsText" dxfId="5496" priority="830" operator="containsText" text="Sell">
      <formula>NOT(ISERROR(SEARCH("Sell",E119)))</formula>
    </cfRule>
  </conditionalFormatting>
  <conditionalFormatting sqref="L20:M20">
    <cfRule type="dataBar" priority="8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{39649624-173C-41C3-B751-6F2E339999A8}</x14:id>
        </ext>
      </extLst>
    </cfRule>
  </conditionalFormatting>
  <conditionalFormatting sqref="E234">
    <cfRule type="containsText" dxfId="5495" priority="815" operator="containsText" text="Buy">
      <formula>NOT(ISERROR(SEARCH("Buy",E234)))</formula>
    </cfRule>
    <cfRule type="containsText" dxfId="5494" priority="816" operator="containsText" text="Sell">
      <formula>NOT(ISERROR(SEARCH("Sell",E234)))</formula>
    </cfRule>
  </conditionalFormatting>
  <conditionalFormatting sqref="E90">
    <cfRule type="containsText" dxfId="5493" priority="809" operator="containsText" text="Buy">
      <formula>NOT(ISERROR(SEARCH("Buy",E90)))</formula>
    </cfRule>
    <cfRule type="containsText" dxfId="5492" priority="810" operator="containsText" text="Sell">
      <formula>NOT(ISERROR(SEARCH("Sell",E90)))</formula>
    </cfRule>
  </conditionalFormatting>
  <conditionalFormatting sqref="E91:E92 E97">
    <cfRule type="containsText" dxfId="5491" priority="811" operator="containsText" text="Buy">
      <formula>NOT(ISERROR(SEARCH("Buy",E91)))</formula>
    </cfRule>
    <cfRule type="containsText" dxfId="5490" priority="812" operator="containsText" text="Sell">
      <formula>NOT(ISERROR(SEARCH("Sell",E91)))</formula>
    </cfRule>
  </conditionalFormatting>
  <conditionalFormatting sqref="E162:E164">
    <cfRule type="containsText" dxfId="5489" priority="801" operator="containsText" text="Buy">
      <formula>NOT(ISERROR(SEARCH("Buy",E162)))</formula>
    </cfRule>
    <cfRule type="containsText" dxfId="5488" priority="802" operator="containsText" text="Sell">
      <formula>NOT(ISERROR(SEARCH("Sell",E162)))</formula>
    </cfRule>
  </conditionalFormatting>
  <conditionalFormatting sqref="E144:E145">
    <cfRule type="containsText" dxfId="5487" priority="781" operator="containsText" text="Buy">
      <formula>NOT(ISERROR(SEARCH("Buy",E144)))</formula>
    </cfRule>
    <cfRule type="containsText" dxfId="5486" priority="782" operator="containsText" text="Sell">
      <formula>NOT(ISERROR(SEARCH("Sell",E144)))</formula>
    </cfRule>
  </conditionalFormatting>
  <conditionalFormatting sqref="E147:E149">
    <cfRule type="containsText" dxfId="5485" priority="770" operator="containsText" text="Buy">
      <formula>NOT(ISERROR(SEARCH("Buy",E147)))</formula>
    </cfRule>
    <cfRule type="containsText" dxfId="5484" priority="771" operator="containsText" text="Sell">
      <formula>NOT(ISERROR(SEARCH("Sell",E147)))</formula>
    </cfRule>
  </conditionalFormatting>
  <conditionalFormatting sqref="E150:E152">
    <cfRule type="containsText" dxfId="5483" priority="759" operator="containsText" text="Buy">
      <formula>NOT(ISERROR(SEARCH("Buy",E150)))</formula>
    </cfRule>
    <cfRule type="containsText" dxfId="5482" priority="760" operator="containsText" text="Sell">
      <formula>NOT(ISERROR(SEARCH("Sell",E150)))</formula>
    </cfRule>
  </conditionalFormatting>
  <conditionalFormatting sqref="E153:E155">
    <cfRule type="containsText" dxfId="5481" priority="757" operator="containsText" text="Buy">
      <formula>NOT(ISERROR(SEARCH("Buy",E153)))</formula>
    </cfRule>
    <cfRule type="containsText" dxfId="5480" priority="758" operator="containsText" text="Sell">
      <formula>NOT(ISERROR(SEARCH("Sell",E153)))</formula>
    </cfRule>
  </conditionalFormatting>
  <conditionalFormatting sqref="E156:E158">
    <cfRule type="containsText" dxfId="5479" priority="737" operator="containsText" text="Buy">
      <formula>NOT(ISERROR(SEARCH("Buy",E156)))</formula>
    </cfRule>
    <cfRule type="containsText" dxfId="5478" priority="738" operator="containsText" text="Sell">
      <formula>NOT(ISERROR(SEARCH("Sell",E156)))</formula>
    </cfRule>
  </conditionalFormatting>
  <conditionalFormatting sqref="E159:E160">
    <cfRule type="containsText" dxfId="5477" priority="724" operator="containsText" text="Buy">
      <formula>NOT(ISERROR(SEARCH("Buy",E159)))</formula>
    </cfRule>
    <cfRule type="containsText" dxfId="5476" priority="725" operator="containsText" text="Sell">
      <formula>NOT(ISERROR(SEARCH("Sell",E159)))</formula>
    </cfRule>
  </conditionalFormatting>
  <conditionalFormatting sqref="E174:E175">
    <cfRule type="containsText" dxfId="5475" priority="713" operator="containsText" text="Buy">
      <formula>NOT(ISERROR(SEARCH("Buy",E174)))</formula>
    </cfRule>
    <cfRule type="containsText" dxfId="5474" priority="714" operator="containsText" text="Sell">
      <formula>NOT(ISERROR(SEARCH("Sell",E174)))</formula>
    </cfRule>
  </conditionalFormatting>
  <conditionalFormatting sqref="E215">
    <cfRule type="containsText" dxfId="5473" priority="711" operator="containsText" text="Buy">
      <formula>NOT(ISERROR(SEARCH("Buy",E215)))</formula>
    </cfRule>
    <cfRule type="containsText" dxfId="5472" priority="712" operator="containsText" text="Sell">
      <formula>NOT(ISERROR(SEARCH("Sell",E215)))</formula>
    </cfRule>
  </conditionalFormatting>
  <conditionalFormatting sqref="E130:E131">
    <cfRule type="containsText" dxfId="5471" priority="702" operator="containsText" text="Buy">
      <formula>NOT(ISERROR(SEARCH("Buy",E130)))</formula>
    </cfRule>
    <cfRule type="containsText" dxfId="5470" priority="703" operator="containsText" text="Sell">
      <formula>NOT(ISERROR(SEARCH("Sell",E130)))</formula>
    </cfRule>
  </conditionalFormatting>
  <conditionalFormatting sqref="E129">
    <cfRule type="containsText" dxfId="5469" priority="700" operator="containsText" text="Buy">
      <formula>NOT(ISERROR(SEARCH("Buy",E129)))</formula>
    </cfRule>
    <cfRule type="containsText" dxfId="5468" priority="701" operator="containsText" text="Sell">
      <formula>NOT(ISERROR(SEARCH("Sell",E129)))</formula>
    </cfRule>
  </conditionalFormatting>
  <conditionalFormatting sqref="E165:E166">
    <cfRule type="containsText" dxfId="5467" priority="694" operator="containsText" text="Buy">
      <formula>NOT(ISERROR(SEARCH("Buy",E165)))</formula>
    </cfRule>
    <cfRule type="containsText" dxfId="5466" priority="695" operator="containsText" text="Sell">
      <formula>NOT(ISERROR(SEARCH("Sell",E165)))</formula>
    </cfRule>
  </conditionalFormatting>
  <conditionalFormatting sqref="E168:E169">
    <cfRule type="containsText" dxfId="5465" priority="674" operator="containsText" text="Buy">
      <formula>NOT(ISERROR(SEARCH("Buy",E168)))</formula>
    </cfRule>
    <cfRule type="containsText" dxfId="5464" priority="675" operator="containsText" text="Sell">
      <formula>NOT(ISERROR(SEARCH("Sell",E168)))</formula>
    </cfRule>
  </conditionalFormatting>
  <conditionalFormatting sqref="E381">
    <cfRule type="containsText" dxfId="5463" priority="652" operator="containsText" text="Buy">
      <formula>NOT(ISERROR(SEARCH("Buy",E381)))</formula>
    </cfRule>
    <cfRule type="containsText" dxfId="5462" priority="653" operator="containsText" text="Sell">
      <formula>NOT(ISERROR(SEARCH("Sell",E381)))</formula>
    </cfRule>
  </conditionalFormatting>
  <conditionalFormatting sqref="L9:M9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{DABB95ED-D788-42FA-89F2-BEE1AA3EA546}</x14:id>
        </ext>
      </extLst>
    </cfRule>
  </conditionalFormatting>
  <conditionalFormatting sqref="L9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{D83255A3-593F-42CC-82C6-6F7651FE5BBB}</x14:id>
        </ext>
      </extLst>
    </cfRule>
  </conditionalFormatting>
  <conditionalFormatting sqref="M9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{6E1735D7-6F01-494C-925F-237D853D420E}</x14:id>
        </ext>
      </extLst>
    </cfRule>
  </conditionalFormatting>
  <conditionalFormatting sqref="U9">
    <cfRule type="dataBar" priority="6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{56555D39-7686-4B6A-A170-92F9B6ED094F}</x14:id>
        </ext>
      </extLst>
    </cfRule>
  </conditionalFormatting>
  <conditionalFormatting sqref="V9">
    <cfRule type="dataBar" priority="6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{C7D336A9-A65E-4BCF-960A-1C01759899C9}</x14:id>
        </ext>
      </extLst>
    </cfRule>
  </conditionalFormatting>
  <conditionalFormatting sqref="L9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{C763C082-9F95-4364-A281-E11B75FBCB63}</x14:id>
        </ext>
      </extLst>
    </cfRule>
  </conditionalFormatting>
  <conditionalFormatting sqref="M9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{CFF04AA7-F5CC-41C2-9AF0-1BC0EB5B3E53}</x14:id>
        </ext>
      </extLst>
    </cfRule>
  </conditionalFormatting>
  <conditionalFormatting sqref="W9">
    <cfRule type="dataBar" priority="6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{0CB05363-C740-4673-A4E6-E7E7048A4110}</x14:id>
        </ext>
      </extLst>
    </cfRule>
  </conditionalFormatting>
  <conditionalFormatting sqref="E199">
    <cfRule type="containsText" dxfId="5461" priority="596" operator="containsText" text="Buy">
      <formula>NOT(ISERROR(SEARCH("Buy",E199)))</formula>
    </cfRule>
    <cfRule type="containsText" dxfId="5460" priority="597" operator="containsText" text="Sell">
      <formula>NOT(ISERROR(SEARCH("Sell",E199)))</formula>
    </cfRule>
  </conditionalFormatting>
  <conditionalFormatting sqref="E198">
    <cfRule type="containsText" dxfId="5459" priority="594" operator="containsText" text="Buy">
      <formula>NOT(ISERROR(SEARCH("Buy",E198)))</formula>
    </cfRule>
    <cfRule type="containsText" dxfId="5458" priority="595" operator="containsText" text="Sell">
      <formula>NOT(ISERROR(SEARCH("Sell",E198)))</formula>
    </cfRule>
  </conditionalFormatting>
  <conditionalFormatting sqref="E197">
    <cfRule type="containsText" dxfId="5457" priority="592" operator="containsText" text="Buy">
      <formula>NOT(ISERROR(SEARCH("Buy",E197)))</formula>
    </cfRule>
    <cfRule type="containsText" dxfId="5456" priority="593" operator="containsText" text="Sell">
      <formula>NOT(ISERROR(SEARCH("Sell",E197)))</formula>
    </cfRule>
  </conditionalFormatting>
  <conditionalFormatting sqref="E196">
    <cfRule type="containsText" dxfId="5455" priority="590" operator="containsText" text="Buy">
      <formula>NOT(ISERROR(SEARCH("Buy",E196)))</formula>
    </cfRule>
    <cfRule type="containsText" dxfId="5454" priority="591" operator="containsText" text="Sell">
      <formula>NOT(ISERROR(SEARCH("Sell",E196)))</formula>
    </cfRule>
  </conditionalFormatting>
  <conditionalFormatting sqref="E219:E220">
    <cfRule type="containsText" dxfId="5453" priority="588" operator="containsText" text="Buy">
      <formula>NOT(ISERROR(SEARCH("Buy",E219)))</formula>
    </cfRule>
    <cfRule type="containsText" dxfId="5452" priority="589" operator="containsText" text="Sell">
      <formula>NOT(ISERROR(SEARCH("Sell",E219)))</formula>
    </cfRule>
  </conditionalFormatting>
  <conditionalFormatting sqref="E291:E293">
    <cfRule type="containsText" dxfId="5451" priority="586" operator="containsText" text="Buy">
      <formula>NOT(ISERROR(SEARCH("Buy",E291)))</formula>
    </cfRule>
    <cfRule type="containsText" dxfId="5450" priority="587" operator="containsText" text="Sell">
      <formula>NOT(ISERROR(SEARCH("Sell",E291)))</formula>
    </cfRule>
  </conditionalFormatting>
  <conditionalFormatting sqref="L27:M28 L23:M23 L6:M6 L21:M21">
    <cfRule type="dataBar" priority="4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{46887005-768A-456C-AE5E-6B9746CEB620}</x14:id>
        </ext>
      </extLst>
    </cfRule>
  </conditionalFormatting>
  <conditionalFormatting sqref="E270">
    <cfRule type="containsText" dxfId="5449" priority="581" operator="containsText" text="Buy">
      <formula>NOT(ISERROR(SEARCH("Buy",E270)))</formula>
    </cfRule>
    <cfRule type="containsText" dxfId="5448" priority="582" operator="containsText" text="Sell">
      <formula>NOT(ISERROR(SEARCH("Sell",E270)))</formula>
    </cfRule>
  </conditionalFormatting>
  <conditionalFormatting sqref="H40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{DE8587F3-AFFE-4757-AF38-5B2A875338BA}</x14:id>
        </ext>
      </extLst>
    </cfRule>
    <cfRule type="cellIs" dxfId="5447" priority="580" operator="equal">
      <formula>1</formula>
    </cfRule>
  </conditionalFormatting>
  <conditionalFormatting sqref="D40">
    <cfRule type="containsText" dxfId="5446" priority="578" operator="containsText" text="Buy">
      <formula>NOT(ISERROR(SEARCH("Buy",D40)))</formula>
    </cfRule>
    <cfRule type="containsText" dxfId="5445" priority="579" operator="containsText" text="Sell">
      <formula>NOT(ISERROR(SEARCH("Sell",D40)))</formula>
    </cfRule>
  </conditionalFormatting>
  <conditionalFormatting sqref="H41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{401B10A3-98F9-4362-8944-CA2506F7FAD5}</x14:id>
        </ext>
      </extLst>
    </cfRule>
    <cfRule type="cellIs" dxfId="5444" priority="576" operator="equal">
      <formula>1</formula>
    </cfRule>
  </conditionalFormatting>
  <conditionalFormatting sqref="D41">
    <cfRule type="containsText" dxfId="5443" priority="574" operator="containsText" text="Buy">
      <formula>NOT(ISERROR(SEARCH("Buy",D41)))</formula>
    </cfRule>
    <cfRule type="containsText" dxfId="5442" priority="575" operator="containsText" text="Sell">
      <formula>NOT(ISERROR(SEARCH("Sell",D41)))</formula>
    </cfRule>
  </conditionalFormatting>
  <conditionalFormatting sqref="H42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{95D5C8F4-572E-4E92-980E-C7CBAE665262}</x14:id>
        </ext>
      </extLst>
    </cfRule>
    <cfRule type="cellIs" dxfId="5441" priority="572" operator="equal">
      <formula>1</formula>
    </cfRule>
  </conditionalFormatting>
  <conditionalFormatting sqref="D42">
    <cfRule type="containsText" dxfId="5440" priority="570" operator="containsText" text="Buy">
      <formula>NOT(ISERROR(SEARCH("Buy",D42)))</formula>
    </cfRule>
    <cfRule type="containsText" dxfId="5439" priority="571" operator="containsText" text="Sell">
      <formula>NOT(ISERROR(SEARCH("Sell",D42)))</formula>
    </cfRule>
  </conditionalFormatting>
  <conditionalFormatting sqref="E269">
    <cfRule type="containsText" dxfId="5438" priority="567" operator="containsText" text="Buy">
      <formula>NOT(ISERROR(SEARCH("Buy",E269)))</formula>
    </cfRule>
    <cfRule type="containsText" dxfId="5437" priority="568" operator="containsText" text="Sell">
      <formula>NOT(ISERROR(SEARCH("Sell",E269)))</formula>
    </cfRule>
  </conditionalFormatting>
  <conditionalFormatting sqref="E138">
    <cfRule type="containsText" dxfId="5436" priority="565" operator="containsText" text="Buy">
      <formula>NOT(ISERROR(SEARCH("Buy",E138)))</formula>
    </cfRule>
    <cfRule type="containsText" dxfId="5435" priority="566" operator="containsText" text="Sell">
      <formula>NOT(ISERROR(SEARCH("Sell",E138)))</formula>
    </cfRule>
  </conditionalFormatting>
  <conditionalFormatting sqref="E263">
    <cfRule type="containsText" dxfId="5434" priority="563" operator="containsText" text="Buy">
      <formula>NOT(ISERROR(SEARCH("Buy",E263)))</formula>
    </cfRule>
    <cfRule type="containsText" dxfId="5433" priority="564" operator="containsText" text="Sell">
      <formula>NOT(ISERROR(SEARCH("Sell",E263)))</formula>
    </cfRule>
  </conditionalFormatting>
  <conditionalFormatting sqref="E268">
    <cfRule type="containsText" dxfId="5432" priority="561" operator="containsText" text="Buy">
      <formula>NOT(ISERROR(SEARCH("Buy",E268)))</formula>
    </cfRule>
    <cfRule type="containsText" dxfId="5431" priority="562" operator="containsText" text="Sell">
      <formula>NOT(ISERROR(SEARCH("Sell",E268)))</formula>
    </cfRule>
  </conditionalFormatting>
  <conditionalFormatting sqref="E267">
    <cfRule type="containsText" dxfId="5430" priority="559" operator="containsText" text="Buy">
      <formula>NOT(ISERROR(SEARCH("Buy",E267)))</formula>
    </cfRule>
    <cfRule type="containsText" dxfId="5429" priority="560" operator="containsText" text="Sell">
      <formula>NOT(ISERROR(SEARCH("Sell",E267)))</formula>
    </cfRule>
  </conditionalFormatting>
  <conditionalFormatting sqref="E380">
    <cfRule type="containsText" dxfId="5428" priority="557" operator="containsText" text="Buy">
      <formula>NOT(ISERROR(SEARCH("Buy",E380)))</formula>
    </cfRule>
    <cfRule type="containsText" dxfId="5427" priority="558" operator="containsText" text="Sell">
      <formula>NOT(ISERROR(SEARCH("Sell",E380)))</formula>
    </cfRule>
  </conditionalFormatting>
  <conditionalFormatting sqref="E252:E253">
    <cfRule type="containsText" dxfId="5426" priority="555" operator="containsText" text="Buy">
      <formula>NOT(ISERROR(SEARCH("Buy",E252)))</formula>
    </cfRule>
    <cfRule type="containsText" dxfId="5425" priority="556" operator="containsText" text="Sell">
      <formula>NOT(ISERROR(SEARCH("Sell",E252)))</formula>
    </cfRule>
  </conditionalFormatting>
  <conditionalFormatting sqref="E379">
    <cfRule type="containsText" dxfId="5424" priority="553" operator="containsText" text="Buy">
      <formula>NOT(ISERROR(SEARCH("Buy",E379)))</formula>
    </cfRule>
    <cfRule type="containsText" dxfId="5423" priority="554" operator="containsText" text="Sell">
      <formula>NOT(ISERROR(SEARCH("Sell",E379)))</formula>
    </cfRule>
  </conditionalFormatting>
  <conditionalFormatting sqref="E251">
    <cfRule type="containsText" dxfId="5422" priority="551" operator="containsText" text="Buy">
      <formula>NOT(ISERROR(SEARCH("Buy",E251)))</formula>
    </cfRule>
    <cfRule type="containsText" dxfId="5421" priority="552" operator="containsText" text="Sell">
      <formula>NOT(ISERROR(SEARCH("Sell",E251)))</formula>
    </cfRule>
  </conditionalFormatting>
  <conditionalFormatting sqref="H43">
    <cfRule type="dataBar" priority="5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{70FFAA67-CE57-43A0-8629-782884880BB4}</x14:id>
        </ext>
      </extLst>
    </cfRule>
    <cfRule type="cellIs" dxfId="5420" priority="550" operator="equal">
      <formula>1</formula>
    </cfRule>
  </conditionalFormatting>
  <conditionalFormatting sqref="D43">
    <cfRule type="containsText" dxfId="5419" priority="548" operator="containsText" text="Buy">
      <formula>NOT(ISERROR(SEARCH("Buy",D43)))</formula>
    </cfRule>
    <cfRule type="containsText" dxfId="5418" priority="549" operator="containsText" text="Sell">
      <formula>NOT(ISERROR(SEARCH("Sell",D43)))</formula>
    </cfRule>
  </conditionalFormatting>
  <conditionalFormatting sqref="E117">
    <cfRule type="containsText" dxfId="5417" priority="545" operator="containsText" text="Buy">
      <formula>NOT(ISERROR(SEARCH("Buy",E117)))</formula>
    </cfRule>
    <cfRule type="containsText" dxfId="5416" priority="546" operator="containsText" text="Sell">
      <formula>NOT(ISERROR(SEARCH("Sell",E117)))</formula>
    </cfRule>
  </conditionalFormatting>
  <conditionalFormatting sqref="E137">
    <cfRule type="containsText" dxfId="5415" priority="543" operator="containsText" text="Buy">
      <formula>NOT(ISERROR(SEARCH("Buy",E137)))</formula>
    </cfRule>
    <cfRule type="containsText" dxfId="5414" priority="544" operator="containsText" text="Sell">
      <formula>NOT(ISERROR(SEARCH("Sell",E137)))</formula>
    </cfRule>
  </conditionalFormatting>
  <conditionalFormatting sqref="E378">
    <cfRule type="containsText" dxfId="5413" priority="541" operator="containsText" text="Buy">
      <formula>NOT(ISERROR(SEARCH("Buy",E378)))</formula>
    </cfRule>
    <cfRule type="containsText" dxfId="5412" priority="542" operator="containsText" text="Sell">
      <formula>NOT(ISERROR(SEARCH("Sell",E378)))</formula>
    </cfRule>
  </conditionalFormatting>
  <conditionalFormatting sqref="E116">
    <cfRule type="containsText" dxfId="5411" priority="539" operator="containsText" text="Buy">
      <formula>NOT(ISERROR(SEARCH("Buy",E116)))</formula>
    </cfRule>
    <cfRule type="containsText" dxfId="5410" priority="540" operator="containsText" text="Sell">
      <formula>NOT(ISERROR(SEARCH("Sell",E116)))</formula>
    </cfRule>
  </conditionalFormatting>
  <conditionalFormatting sqref="H44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{FAC07CB6-F350-4EA6-A4A7-2094201F02A2}</x14:id>
        </ext>
      </extLst>
    </cfRule>
    <cfRule type="cellIs" dxfId="5409" priority="538" operator="equal">
      <formula>1</formula>
    </cfRule>
  </conditionalFormatting>
  <conditionalFormatting sqref="D44">
    <cfRule type="containsText" dxfId="5408" priority="536" operator="containsText" text="Buy">
      <formula>NOT(ISERROR(SEARCH("Buy",D44)))</formula>
    </cfRule>
    <cfRule type="containsText" dxfId="5407" priority="537" operator="containsText" text="Sell">
      <formula>NOT(ISERROR(SEARCH("Sell",D44)))</formula>
    </cfRule>
  </conditionalFormatting>
  <conditionalFormatting sqref="H45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{7438BCAA-A061-40ED-AE8A-2BE816381938}</x14:id>
        </ext>
      </extLst>
    </cfRule>
    <cfRule type="cellIs" dxfId="5406" priority="534" operator="equal">
      <formula>1</formula>
    </cfRule>
  </conditionalFormatting>
  <conditionalFormatting sqref="D45">
    <cfRule type="containsText" dxfId="5405" priority="532" operator="containsText" text="Buy">
      <formula>NOT(ISERROR(SEARCH("Buy",D45)))</formula>
    </cfRule>
    <cfRule type="containsText" dxfId="5404" priority="533" operator="containsText" text="Sell">
      <formula>NOT(ISERROR(SEARCH("Sell",D45)))</formula>
    </cfRule>
  </conditionalFormatting>
  <conditionalFormatting sqref="H46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{BC141481-82D5-433A-A0DB-00FDC00541A4}</x14:id>
        </ext>
      </extLst>
    </cfRule>
    <cfRule type="cellIs" dxfId="5403" priority="530" operator="equal">
      <formula>1</formula>
    </cfRule>
  </conditionalFormatting>
  <conditionalFormatting sqref="D46">
    <cfRule type="containsText" dxfId="5402" priority="528" operator="containsText" text="Buy">
      <formula>NOT(ISERROR(SEARCH("Buy",D46)))</formula>
    </cfRule>
    <cfRule type="containsText" dxfId="5401" priority="529" operator="containsText" text="Sell">
      <formula>NOT(ISERROR(SEARCH("Sell",D46)))</formula>
    </cfRule>
  </conditionalFormatting>
  <conditionalFormatting sqref="H47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{0B549186-BC4E-4C70-B317-A9FCBD9CE3D4}</x14:id>
        </ext>
      </extLst>
    </cfRule>
    <cfRule type="cellIs" dxfId="5400" priority="504" operator="equal">
      <formula>1</formula>
    </cfRule>
  </conditionalFormatting>
  <conditionalFormatting sqref="D47">
    <cfRule type="containsText" dxfId="5399" priority="502" operator="containsText" text="Buy">
      <formula>NOT(ISERROR(SEARCH("Buy",D47)))</formula>
    </cfRule>
    <cfRule type="containsText" dxfId="5398" priority="503" operator="containsText" text="Sell">
      <formula>NOT(ISERROR(SEARCH("Sell",D47)))</formula>
    </cfRule>
  </conditionalFormatting>
  <conditionalFormatting sqref="L29:M29">
    <cfRule type="dataBar" priority="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{E71411CD-5964-4A1B-AF58-1BB37AC2FA79}</x14:id>
        </ext>
      </extLst>
    </cfRule>
  </conditionalFormatting>
  <conditionalFormatting sqref="L29:M29">
    <cfRule type="dataBar" priority="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{8631B7BF-90EC-49B1-8E8F-8A50A0E0C924}</x14:id>
        </ext>
      </extLst>
    </cfRule>
  </conditionalFormatting>
  <conditionalFormatting sqref="L29">
    <cfRule type="dataBar" priority="4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{6A4B1EB5-0B64-474B-B02B-C5BEF076E493}</x14:id>
        </ext>
      </extLst>
    </cfRule>
  </conditionalFormatting>
  <conditionalFormatting sqref="M29">
    <cfRule type="dataBar" priority="4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{7A3BC13F-1AAE-4BB0-8C2F-EB48501355FB}</x14:id>
        </ext>
      </extLst>
    </cfRule>
  </conditionalFormatting>
  <conditionalFormatting sqref="U29">
    <cfRule type="dataBar" priority="4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{F5617CFB-38BB-4810-811D-BCF621FE0E5E}</x14:id>
        </ext>
      </extLst>
    </cfRule>
  </conditionalFormatting>
  <conditionalFormatting sqref="V29">
    <cfRule type="dataBar" priority="4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{33CBDA01-ECBB-4456-84CE-7AF1F398B203}</x14:id>
        </ext>
      </extLst>
    </cfRule>
  </conditionalFormatting>
  <conditionalFormatting sqref="L29">
    <cfRule type="dataBar" priority="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{5347C78B-B8AD-4B94-9B81-458EBDB4D0BE}</x14:id>
        </ext>
      </extLst>
    </cfRule>
  </conditionalFormatting>
  <conditionalFormatting sqref="M29">
    <cfRule type="dataBar" priority="4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{86279A07-AFB6-4937-8181-93253F9B2C22}</x14:id>
        </ext>
      </extLst>
    </cfRule>
  </conditionalFormatting>
  <conditionalFormatting sqref="W29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{DDDC31E7-2C9C-4542-A775-6036BD61828F}</x14:id>
        </ext>
      </extLst>
    </cfRule>
  </conditionalFormatting>
  <conditionalFormatting sqref="L29">
    <cfRule type="dataBar" priority="4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{B8081145-8C74-457D-A6C8-7336850A5D2F}</x14:id>
        </ext>
      </extLst>
    </cfRule>
  </conditionalFormatting>
  <conditionalFormatting sqref="M29">
    <cfRule type="dataBar" priority="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{A4E810A4-F6BE-4B82-B1D4-4AB560D5BEF9}</x14:id>
        </ext>
      </extLst>
    </cfRule>
  </conditionalFormatting>
  <conditionalFormatting sqref="L13:M13">
    <cfRule type="dataBar" priority="4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{ED820E00-803D-4CF4-988D-0744EAA055E7}</x14:id>
        </ext>
      </extLst>
    </cfRule>
  </conditionalFormatting>
  <conditionalFormatting sqref="L13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{65CA3197-1A28-42C4-AA54-EED24655CC9E}</x14:id>
        </ext>
      </extLst>
    </cfRule>
  </conditionalFormatting>
  <conditionalFormatting sqref="M13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{EDCC25C2-A745-4F72-9C37-3EC91D95EDE8}</x14:id>
        </ext>
      </extLst>
    </cfRule>
  </conditionalFormatting>
  <conditionalFormatting sqref="U13">
    <cfRule type="dataBar" priority="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{AF289D07-BACF-4D2C-ABAE-A0B36A59C3FE}</x14:id>
        </ext>
      </extLst>
    </cfRule>
  </conditionalFormatting>
  <conditionalFormatting sqref="V13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{08839FBC-DCB4-4AA5-A295-319FEA40D91F}</x14:id>
        </ext>
      </extLst>
    </cfRule>
  </conditionalFormatting>
  <conditionalFormatting sqref="L13">
    <cfRule type="dataBar" priority="4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{71D69080-AC2D-40AF-8A5A-DFD98D3901C9}</x14:id>
        </ext>
      </extLst>
    </cfRule>
  </conditionalFormatting>
  <conditionalFormatting sqref="M13">
    <cfRule type="dataBar" priority="4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{1A350BF9-4708-4344-9329-696E5A5C6522}</x14:id>
        </ext>
      </extLst>
    </cfRule>
  </conditionalFormatting>
  <conditionalFormatting sqref="W1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{6FE3D0F1-3DA0-4900-93C2-C4EAFEA02BD4}</x14:id>
        </ext>
      </extLst>
    </cfRule>
  </conditionalFormatting>
  <conditionalFormatting sqref="L13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{64DCE1A0-C315-4D50-AAF4-43B578938D4B}</x14:id>
        </ext>
      </extLst>
    </cfRule>
  </conditionalFormatting>
  <conditionalFormatting sqref="M13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{DA5E0B08-39C1-43E6-B732-A4DAB9E3A546}</x14:id>
        </ext>
      </extLst>
    </cfRule>
  </conditionalFormatting>
  <conditionalFormatting sqref="U2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{EA8C9E00-C583-4FB9-A376-92565E33A8FA}</x14:id>
        </ext>
      </extLst>
    </cfRule>
  </conditionalFormatting>
  <conditionalFormatting sqref="V25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{02B7F5A3-7CA0-443A-A422-9169790D02EB}</x14:id>
        </ext>
      </extLst>
    </cfRule>
  </conditionalFormatting>
  <conditionalFormatting sqref="W25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{8BE04109-D168-4F9B-9AD4-375DFE2FFA5A}</x14:id>
        </ext>
      </extLst>
    </cfRule>
  </conditionalFormatting>
  <conditionalFormatting sqref="E101:E102 E106">
    <cfRule type="containsText" dxfId="5397" priority="431" operator="containsText" text="Buy">
      <formula>NOT(ISERROR(SEARCH("Buy",E101)))</formula>
    </cfRule>
    <cfRule type="containsText" dxfId="5396" priority="432" operator="containsText" text="Sell">
      <formula>NOT(ISERROR(SEARCH("Sell",E101)))</formula>
    </cfRule>
  </conditionalFormatting>
  <conditionalFormatting sqref="E100">
    <cfRule type="containsText" dxfId="5395" priority="429" operator="containsText" text="Buy">
      <formula>NOT(ISERROR(SEARCH("Buy",E100)))</formula>
    </cfRule>
    <cfRule type="containsText" dxfId="5394" priority="430" operator="containsText" text="Sell">
      <formula>NOT(ISERROR(SEARCH("Sell",E100)))</formula>
    </cfRule>
  </conditionalFormatting>
  <conditionalFormatting sqref="L16:M16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{E25E9EAC-09C3-4220-87C1-B51C4CAC3FB2}</x14:id>
        </ext>
      </extLst>
    </cfRule>
  </conditionalFormatting>
  <conditionalFormatting sqref="L16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{E6CD8FCC-26E1-4B60-93EB-40D24BED9B8F}</x14:id>
        </ext>
      </extLst>
    </cfRule>
  </conditionalFormatting>
  <conditionalFormatting sqref="M16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{F75128D8-F7A1-4471-9FFF-9F84BCC41DAA}</x14:id>
        </ext>
      </extLst>
    </cfRule>
  </conditionalFormatting>
  <conditionalFormatting sqref="U1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{9B851A73-FF9E-4329-B07C-A5C3D824934B}</x14:id>
        </ext>
      </extLst>
    </cfRule>
  </conditionalFormatting>
  <conditionalFormatting sqref="V1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{97198498-6A0D-4E65-A6AA-E59C0A29052B}</x14:id>
        </ext>
      </extLst>
    </cfRule>
  </conditionalFormatting>
  <conditionalFormatting sqref="L1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{43200236-B67D-4287-A272-DB349F45B64B}</x14:id>
        </ext>
      </extLst>
    </cfRule>
  </conditionalFormatting>
  <conditionalFormatting sqref="M16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{41472EBD-F865-4D0D-A2FA-E1728D5F05B8}</x14:id>
        </ext>
      </extLst>
    </cfRule>
  </conditionalFormatting>
  <conditionalFormatting sqref="W16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{5D5D7187-563E-4E0D-9D5F-A048EFABEEA4}</x14:id>
        </ext>
      </extLst>
    </cfRule>
  </conditionalFormatting>
  <conditionalFormatting sqref="L1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{82E70A20-D1F6-401A-925C-BCB28BD30458}</x14:id>
        </ext>
      </extLst>
    </cfRule>
  </conditionalFormatting>
  <conditionalFormatting sqref="M16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{CDA91011-8031-451B-A1BC-BE5391BFE711}</x14:id>
        </ext>
      </extLst>
    </cfRule>
  </conditionalFormatting>
  <conditionalFormatting sqref="E113">
    <cfRule type="containsText" dxfId="5393" priority="400" operator="containsText" text="Buy">
      <formula>NOT(ISERROR(SEARCH("Buy",E113)))</formula>
    </cfRule>
    <cfRule type="containsText" dxfId="5392" priority="401" operator="containsText" text="Sell">
      <formula>NOT(ISERROR(SEARCH("Sell",E113)))</formula>
    </cfRule>
  </conditionalFormatting>
  <conditionalFormatting sqref="E114">
    <cfRule type="containsText" dxfId="5391" priority="402" operator="containsText" text="Buy">
      <formula>NOT(ISERROR(SEARCH("Buy",E114)))</formula>
    </cfRule>
    <cfRule type="containsText" dxfId="5390" priority="403" operator="containsText" text="Sell">
      <formula>NOT(ISERROR(SEARCH("Sell",E114)))</formula>
    </cfRule>
  </conditionalFormatting>
  <conditionalFormatting sqref="E258">
    <cfRule type="containsText" dxfId="5389" priority="398" operator="containsText" text="Buy">
      <formula>NOT(ISERROR(SEARCH("Buy",E258)))</formula>
    </cfRule>
    <cfRule type="containsText" dxfId="5388" priority="399" operator="containsText" text="Sell">
      <formula>NOT(ISERROR(SEARCH("Sell",E258)))</formula>
    </cfRule>
  </conditionalFormatting>
  <conditionalFormatting sqref="E262">
    <cfRule type="containsText" dxfId="5387" priority="396" operator="containsText" text="Buy">
      <formula>NOT(ISERROR(SEARCH("Buy",E262)))</formula>
    </cfRule>
    <cfRule type="containsText" dxfId="5386" priority="397" operator="containsText" text="Sell">
      <formula>NOT(ISERROR(SEARCH("Sell",E262)))</formula>
    </cfRule>
  </conditionalFormatting>
  <conditionalFormatting sqref="H48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{E0E540A9-AA14-4BE9-8BB5-A087315F2015}</x14:id>
        </ext>
      </extLst>
    </cfRule>
    <cfRule type="cellIs" dxfId="5385" priority="395" operator="equal">
      <formula>1</formula>
    </cfRule>
  </conditionalFormatting>
  <conditionalFormatting sqref="D48">
    <cfRule type="containsText" dxfId="5384" priority="393" operator="containsText" text="Buy">
      <formula>NOT(ISERROR(SEARCH("Buy",D48)))</formula>
    </cfRule>
    <cfRule type="containsText" dxfId="5383" priority="394" operator="containsText" text="Sell">
      <formula>NOT(ISERROR(SEARCH("Sell",D48)))</formula>
    </cfRule>
  </conditionalFormatting>
  <conditionalFormatting sqref="H4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{4A0E1246-12E6-42AB-B44B-09B4ED9F8972}</x14:id>
        </ext>
      </extLst>
    </cfRule>
    <cfRule type="cellIs" dxfId="5382" priority="391" operator="equal">
      <formula>1</formula>
    </cfRule>
  </conditionalFormatting>
  <conditionalFormatting sqref="D49">
    <cfRule type="containsText" dxfId="5381" priority="389" operator="containsText" text="Buy">
      <formula>NOT(ISERROR(SEARCH("Buy",D49)))</formula>
    </cfRule>
    <cfRule type="containsText" dxfId="5380" priority="390" operator="containsText" text="Sell">
      <formula>NOT(ISERROR(SEARCH("Sell",D49)))</formula>
    </cfRule>
  </conditionalFormatting>
  <conditionalFormatting sqref="E112">
    <cfRule type="containsText" dxfId="5379" priority="386" operator="containsText" text="Buy">
      <formula>NOT(ISERROR(SEARCH("Buy",E112)))</formula>
    </cfRule>
    <cfRule type="containsText" dxfId="5378" priority="387" operator="containsText" text="Sell">
      <formula>NOT(ISERROR(SEARCH("Sell",E112)))</formula>
    </cfRule>
  </conditionalFormatting>
  <conditionalFormatting sqref="E99">
    <cfRule type="containsText" dxfId="5377" priority="384" operator="containsText" text="Buy">
      <formula>NOT(ISERROR(SEARCH("Buy",E99)))</formula>
    </cfRule>
    <cfRule type="containsText" dxfId="5376" priority="385" operator="containsText" text="Sell">
      <formula>NOT(ISERROR(SEARCH("Sell",E99)))</formula>
    </cfRule>
  </conditionalFormatting>
  <conditionalFormatting sqref="E257">
    <cfRule type="containsText" dxfId="5375" priority="382" operator="containsText" text="Buy">
      <formula>NOT(ISERROR(SEARCH("Buy",E257)))</formula>
    </cfRule>
    <cfRule type="containsText" dxfId="5374" priority="383" operator="containsText" text="Sell">
      <formula>NOT(ISERROR(SEARCH("Sell",E257)))</formula>
    </cfRule>
  </conditionalFormatting>
  <conditionalFormatting sqref="E128">
    <cfRule type="containsText" dxfId="5373" priority="380" operator="containsText" text="Buy">
      <formula>NOT(ISERROR(SEARCH("Buy",E128)))</formula>
    </cfRule>
    <cfRule type="containsText" dxfId="5372" priority="381" operator="containsText" text="Sell">
      <formula>NOT(ISERROR(SEARCH("Sell",E128)))</formula>
    </cfRule>
  </conditionalFormatting>
  <conditionalFormatting sqref="E136">
    <cfRule type="containsText" dxfId="5371" priority="378" operator="containsText" text="Buy">
      <formula>NOT(ISERROR(SEARCH("Buy",E136)))</formula>
    </cfRule>
    <cfRule type="containsText" dxfId="5370" priority="379" operator="containsText" text="Sell">
      <formula>NOT(ISERROR(SEARCH("Sell",E136)))</formula>
    </cfRule>
  </conditionalFormatting>
  <conditionalFormatting sqref="L12:M12">
    <cfRule type="dataBar" priority="3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{533F648B-EB2C-4B7A-B6FB-054DA104FC7F}</x14:id>
        </ext>
      </extLst>
    </cfRule>
  </conditionalFormatting>
  <conditionalFormatting sqref="L1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{1EFCDE71-DF01-4C3F-BB8F-EDAD9ED315D7}</x14:id>
        </ext>
      </extLst>
    </cfRule>
  </conditionalFormatting>
  <conditionalFormatting sqref="M1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{7CB303D9-CDC9-49CC-A697-9C4EE6C58D2F}</x14:id>
        </ext>
      </extLst>
    </cfRule>
  </conditionalFormatting>
  <conditionalFormatting sqref="U12">
    <cfRule type="dataBar" priority="3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{B838EE12-B141-4723-95B3-73999DA9DC9E}</x14:id>
        </ext>
      </extLst>
    </cfRule>
  </conditionalFormatting>
  <conditionalFormatting sqref="V12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{5F895737-7B6A-4089-8D6B-659BE79021BC}</x14:id>
        </ext>
      </extLst>
    </cfRule>
  </conditionalFormatting>
  <conditionalFormatting sqref="L12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{8FC1240B-AF38-4FF6-8B46-33C1DF9B8008}</x14:id>
        </ext>
      </extLst>
    </cfRule>
  </conditionalFormatting>
  <conditionalFormatting sqref="M12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{2262D52A-3982-4937-BB64-D7F055BC2614}</x14:id>
        </ext>
      </extLst>
    </cfRule>
  </conditionalFormatting>
  <conditionalFormatting sqref="W12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{BEFADAAA-0AD9-461F-AB74-FBE3329B2D36}</x14:id>
        </ext>
      </extLst>
    </cfRule>
  </conditionalFormatting>
  <conditionalFormatting sqref="L12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{5A7394AE-CAFC-45F1-B547-D86A1592C45F}</x14:id>
        </ext>
      </extLst>
    </cfRule>
  </conditionalFormatting>
  <conditionalFormatting sqref="M12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{500F7B62-631F-470A-BE7D-9CF0740A230E}</x14:id>
        </ext>
      </extLst>
    </cfRule>
  </conditionalFormatting>
  <conditionalFormatting sqref="E104">
    <cfRule type="containsText" dxfId="5369" priority="352" operator="containsText" text="Buy">
      <formula>NOT(ISERROR(SEARCH("Buy",E104)))</formula>
    </cfRule>
    <cfRule type="containsText" dxfId="5368" priority="353" operator="containsText" text="Sell">
      <formula>NOT(ISERROR(SEARCH("Sell",E104)))</formula>
    </cfRule>
  </conditionalFormatting>
  <conditionalFormatting sqref="E105">
    <cfRule type="containsText" dxfId="5367" priority="354" operator="containsText" text="Buy">
      <formula>NOT(ISERROR(SEARCH("Buy",E105)))</formula>
    </cfRule>
    <cfRule type="containsText" dxfId="5366" priority="355" operator="containsText" text="Sell">
      <formula>NOT(ISERROR(SEARCH("Sell",E105)))</formula>
    </cfRule>
  </conditionalFormatting>
  <conditionalFormatting sqref="U18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{CE3C25E4-3D4C-4FC8-B6A7-DABAC23AD2EB}</x14:id>
        </ext>
      </extLst>
    </cfRule>
  </conditionalFormatting>
  <conditionalFormatting sqref="V18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{3EFB5A63-0F05-47DB-95BC-451A6BB60DAE}</x14:id>
        </ext>
      </extLst>
    </cfRule>
  </conditionalFormatting>
  <conditionalFormatting sqref="W18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{40863BC5-27BD-4293-A87F-7430478481BB}</x14:id>
        </ext>
      </extLst>
    </cfRule>
  </conditionalFormatting>
  <conditionalFormatting sqref="E133">
    <cfRule type="containsText" dxfId="5365" priority="327" operator="containsText" text="Buy">
      <formula>NOT(ISERROR(SEARCH("Buy",E133)))</formula>
    </cfRule>
    <cfRule type="containsText" dxfId="5364" priority="328" operator="containsText" text="Sell">
      <formula>NOT(ISERROR(SEARCH("Sell",E133)))</formula>
    </cfRule>
  </conditionalFormatting>
  <conditionalFormatting sqref="E134">
    <cfRule type="containsText" dxfId="5363" priority="325" operator="containsText" text="Buy">
      <formula>NOT(ISERROR(SEARCH("Buy",E134)))</formula>
    </cfRule>
    <cfRule type="containsText" dxfId="5362" priority="326" operator="containsText" text="Sell">
      <formula>NOT(ISERROR(SEARCH("Sell",E134)))</formula>
    </cfRule>
  </conditionalFormatting>
  <conditionalFormatting sqref="H38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{8E924F86-8528-4560-B774-F0DC8F4310DE}</x14:id>
        </ext>
      </extLst>
    </cfRule>
    <cfRule type="cellIs" dxfId="5361" priority="324" operator="equal">
      <formula>1</formula>
    </cfRule>
  </conditionalFormatting>
  <conditionalFormatting sqref="D38">
    <cfRule type="containsText" dxfId="5360" priority="322" operator="containsText" text="Buy">
      <formula>NOT(ISERROR(SEARCH("Buy",D38)))</formula>
    </cfRule>
    <cfRule type="containsText" dxfId="5359" priority="323" operator="containsText" text="Sell">
      <formula>NOT(ISERROR(SEARCH("Sell",D38)))</formula>
    </cfRule>
  </conditionalFormatting>
  <conditionalFormatting sqref="L22:M22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{C05C1D62-BD1E-4E24-B385-5766537E38ED}</x14:id>
        </ext>
      </extLst>
    </cfRule>
  </conditionalFormatting>
  <conditionalFormatting sqref="L22:M22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{CD510D37-A393-4C20-AEDD-28194A040500}</x14:id>
        </ext>
      </extLst>
    </cfRule>
  </conditionalFormatting>
  <conditionalFormatting sqref="L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{C714E12D-579F-4F06-99DF-808D0C12CEFB}</x14:id>
        </ext>
      </extLst>
    </cfRule>
  </conditionalFormatting>
  <conditionalFormatting sqref="M22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{57007DE4-0C43-45CD-80B1-8D8B916B197A}</x14:id>
        </ext>
      </extLst>
    </cfRule>
  </conditionalFormatting>
  <conditionalFormatting sqref="U2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{610E1D4D-88E9-454A-B0F5-0EC943C84B99}</x14:id>
        </ext>
      </extLst>
    </cfRule>
  </conditionalFormatting>
  <conditionalFormatting sqref="V22">
    <cfRule type="dataBar" priority="3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{114F1446-7775-479D-8457-8F468BF21997}</x14:id>
        </ext>
      </extLst>
    </cfRule>
  </conditionalFormatting>
  <conditionalFormatting sqref="L22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{7BB6141E-673B-4D66-A026-0BC6E14616B0}</x14:id>
        </ext>
      </extLst>
    </cfRule>
  </conditionalFormatting>
  <conditionalFormatting sqref="M22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{794A43DE-8DFC-4008-9DB2-2CAF2B6F3B88}</x14:id>
        </ext>
      </extLst>
    </cfRule>
  </conditionalFormatting>
  <conditionalFormatting sqref="W22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{65FB42D0-2961-4EDF-A02B-B3B6279A55FC}</x14:id>
        </ext>
      </extLst>
    </cfRule>
  </conditionalFormatting>
  <conditionalFormatting sqref="L22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{A9353440-E4BB-4F98-B311-63DC439A140E}</x14:id>
        </ext>
      </extLst>
    </cfRule>
  </conditionalFormatting>
  <conditionalFormatting sqref="M22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{4E0386DC-7EDE-494E-8FAA-93B03198B836}</x14:id>
        </ext>
      </extLst>
    </cfRule>
  </conditionalFormatting>
  <conditionalFormatting sqref="X22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{75844996-6374-4FFC-86DF-9286EAD35615}</x14:id>
        </ext>
      </extLst>
    </cfRule>
  </conditionalFormatting>
  <conditionalFormatting sqref="X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{58426E93-ED4A-4F12-8C4B-C552F123EC4B}</x14:id>
        </ext>
      </extLst>
    </cfRule>
  </conditionalFormatting>
  <conditionalFormatting sqref="X22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{EC759D2E-411E-4FBA-A866-96C262D2573D}</x14:id>
        </ext>
      </extLst>
    </cfRule>
  </conditionalFormatting>
  <conditionalFormatting sqref="X22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{D10FCADD-F9ED-4E6F-862A-6A6FBD45EE26}</x14:id>
        </ext>
      </extLst>
    </cfRule>
  </conditionalFormatting>
  <conditionalFormatting sqref="E95">
    <cfRule type="containsText" dxfId="5358" priority="286" operator="containsText" text="Buy">
      <formula>NOT(ISERROR(SEARCH("Buy",E95)))</formula>
    </cfRule>
    <cfRule type="containsText" dxfId="5357" priority="287" operator="containsText" text="Sell">
      <formula>NOT(ISERROR(SEARCH("Sell",E95)))</formula>
    </cfRule>
  </conditionalFormatting>
  <conditionalFormatting sqref="E96">
    <cfRule type="containsText" dxfId="5356" priority="288" operator="containsText" text="Buy">
      <formula>NOT(ISERROR(SEARCH("Buy",E96)))</formula>
    </cfRule>
    <cfRule type="containsText" dxfId="5355" priority="289" operator="containsText" text="Sell">
      <formula>NOT(ISERROR(SEARCH("Sell",E96)))</formula>
    </cfRule>
  </conditionalFormatting>
  <conditionalFormatting sqref="E356">
    <cfRule type="containsText" dxfId="5354" priority="284" operator="containsText" text="Buy">
      <formula>NOT(ISERROR(SEARCH("Buy",E356)))</formula>
    </cfRule>
    <cfRule type="containsText" dxfId="5353" priority="285" operator="containsText" text="Sell">
      <formula>NOT(ISERROR(SEARCH("Sell",E356)))</formula>
    </cfRule>
  </conditionalFormatting>
  <conditionalFormatting sqref="E111">
    <cfRule type="containsText" dxfId="5352" priority="282" operator="containsText" text="Buy">
      <formula>NOT(ISERROR(SEARCH("Buy",E111)))</formula>
    </cfRule>
    <cfRule type="containsText" dxfId="5351" priority="283" operator="containsText" text="Sell">
      <formula>NOT(ISERROR(SEARCH("Sell",E111)))</formula>
    </cfRule>
  </conditionalFormatting>
  <conditionalFormatting sqref="E98">
    <cfRule type="containsText" dxfId="5350" priority="280" operator="containsText" text="Buy">
      <formula>NOT(ISERROR(SEARCH("Buy",E98)))</formula>
    </cfRule>
    <cfRule type="containsText" dxfId="5349" priority="281" operator="containsText" text="Sell">
      <formula>NOT(ISERROR(SEARCH("Sell",E98)))</formula>
    </cfRule>
  </conditionalFormatting>
  <conditionalFormatting sqref="L4:M4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{1922AAC5-2733-4C84-B52D-3CF640A94F39}</x14:id>
        </ext>
      </extLst>
    </cfRule>
  </conditionalFormatting>
  <conditionalFormatting sqref="L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{937C7E98-0E25-4677-BAFC-BC8385669DC9}</x14:id>
        </ext>
      </extLst>
    </cfRule>
  </conditionalFormatting>
  <conditionalFormatting sqref="M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{FB86414C-5745-4F95-BA08-D8281E36EC67}</x14:id>
        </ext>
      </extLst>
    </cfRule>
  </conditionalFormatting>
  <conditionalFormatting sqref="U4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{5D41529F-9BAE-482C-8C68-0272E28F48C5}</x14:id>
        </ext>
      </extLst>
    </cfRule>
  </conditionalFormatting>
  <conditionalFormatting sqref="V4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{6C457335-8BE0-4C47-A775-B6C4052EFBAA}</x14:id>
        </ext>
      </extLst>
    </cfRule>
  </conditionalFormatting>
  <conditionalFormatting sqref="L4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{398AC5F2-0C7D-42DE-A8CB-20197999D4D8}</x14:id>
        </ext>
      </extLst>
    </cfRule>
  </conditionalFormatting>
  <conditionalFormatting sqref="M4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{32CBC898-A5B4-40BD-AD08-623712D6D74A}</x14:id>
        </ext>
      </extLst>
    </cfRule>
  </conditionalFormatting>
  <conditionalFormatting sqref="W4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{9148FC4E-27EE-4375-91D2-783E2830565B}</x14:id>
        </ext>
      </extLst>
    </cfRule>
  </conditionalFormatting>
  <conditionalFormatting sqref="L4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{5BDC0A30-669D-43FE-961A-3710066AD468}</x14:id>
        </ext>
      </extLst>
    </cfRule>
  </conditionalFormatting>
  <conditionalFormatting sqref="M4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{585BF3C7-D915-4F46-AE53-E9BE3F711E28}</x14:id>
        </ext>
      </extLst>
    </cfRule>
  </conditionalFormatting>
  <conditionalFormatting sqref="X4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{82B2FB37-EE84-4849-94B0-864D6F540D3D}</x14:id>
        </ext>
      </extLst>
    </cfRule>
  </conditionalFormatting>
  <conditionalFormatting sqref="X4">
    <cfRule type="dataBar" priority="2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{EA5327A8-4702-4D66-9F8C-A0DDFB77A9B9}</x14:id>
        </ext>
      </extLst>
    </cfRule>
  </conditionalFormatting>
  <conditionalFormatting sqref="X4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{BABF46BE-DB5F-439F-BDB0-D7F1607E649B}</x14:id>
        </ext>
      </extLst>
    </cfRule>
  </conditionalFormatting>
  <conditionalFormatting sqref="X4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{7962585E-720C-4F22-A763-A5BCB0D7780D}</x14:id>
        </ext>
      </extLst>
    </cfRule>
  </conditionalFormatting>
  <conditionalFormatting sqref="E84">
    <cfRule type="containsText" dxfId="5348" priority="251" operator="containsText" text="Buy">
      <formula>NOT(ISERROR(SEARCH("Buy",E84)))</formula>
    </cfRule>
    <cfRule type="containsText" dxfId="5347" priority="252" operator="containsText" text="Sell">
      <formula>NOT(ISERROR(SEARCH("Sell",E84)))</formula>
    </cfRule>
  </conditionalFormatting>
  <conditionalFormatting sqref="E85:E86">
    <cfRule type="containsText" dxfId="5346" priority="253" operator="containsText" text="Buy">
      <formula>NOT(ISERROR(SEARCH("Buy",E85)))</formula>
    </cfRule>
    <cfRule type="containsText" dxfId="5345" priority="254" operator="containsText" text="Sell">
      <formula>NOT(ISERROR(SEARCH("Sell",E85)))</formula>
    </cfRule>
  </conditionalFormatting>
  <conditionalFormatting sqref="L25:M25 L18:M19">
    <cfRule type="dataBar" priority="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{207E543A-2791-4F9F-AFCA-41388130EEA6}</x14:id>
        </ext>
      </extLst>
    </cfRule>
  </conditionalFormatting>
  <conditionalFormatting sqref="L18:L19 L25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{8F62D440-0708-4E3D-A796-4DDCF097772B}</x14:id>
        </ext>
      </extLst>
    </cfRule>
  </conditionalFormatting>
  <conditionalFormatting sqref="M18:M19 M25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{37354462-9947-47C6-A119-3A3DB3A4EEBF}</x14:id>
        </ext>
      </extLst>
    </cfRule>
  </conditionalFormatting>
  <conditionalFormatting sqref="H50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{0A3A4972-32E2-45A4-84C4-7F0857D8CF0D}</x14:id>
        </ext>
      </extLst>
    </cfRule>
    <cfRule type="cellIs" dxfId="5344" priority="233" operator="equal">
      <formula>1</formula>
    </cfRule>
  </conditionalFormatting>
  <conditionalFormatting sqref="D50">
    <cfRule type="containsText" dxfId="5343" priority="231" operator="containsText" text="Buy">
      <formula>NOT(ISERROR(SEARCH("Buy",D50)))</formula>
    </cfRule>
    <cfRule type="containsText" dxfId="5342" priority="232" operator="containsText" text="Sell">
      <formula>NOT(ISERROR(SEARCH("Sell",D50)))</formula>
    </cfRule>
  </conditionalFormatting>
  <conditionalFormatting sqref="H5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{FEDA3D20-B8B9-4954-9EC1-640A4C1E815F}</x14:id>
        </ext>
      </extLst>
    </cfRule>
    <cfRule type="cellIs" dxfId="5341" priority="229" operator="equal">
      <formula>1</formula>
    </cfRule>
  </conditionalFormatting>
  <conditionalFormatting sqref="D51">
    <cfRule type="containsText" dxfId="5340" priority="227" operator="containsText" text="Buy">
      <formula>NOT(ISERROR(SEARCH("Buy",D51)))</formula>
    </cfRule>
    <cfRule type="containsText" dxfId="5339" priority="228" operator="containsText" text="Sell">
      <formula>NOT(ISERROR(SEARCH("Sell",D51)))</formula>
    </cfRule>
  </conditionalFormatting>
  <conditionalFormatting sqref="H5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{137474F2-5DB7-44A6-8D91-6F13F4C1699C}</x14:id>
        </ext>
      </extLst>
    </cfRule>
    <cfRule type="cellIs" dxfId="5338" priority="225" operator="equal">
      <formula>1</formula>
    </cfRule>
  </conditionalFormatting>
  <conditionalFormatting sqref="D52">
    <cfRule type="containsText" dxfId="5337" priority="223" operator="containsText" text="Buy">
      <formula>NOT(ISERROR(SEARCH("Buy",D52)))</formula>
    </cfRule>
    <cfRule type="containsText" dxfId="5336" priority="224" operator="containsText" text="Sell">
      <formula>NOT(ISERROR(SEARCH("Sell",D52)))</formula>
    </cfRule>
  </conditionalFormatting>
  <conditionalFormatting sqref="E94">
    <cfRule type="containsText" dxfId="5335" priority="220" operator="containsText" text="Buy">
      <formula>NOT(ISERROR(SEARCH("Buy",E94)))</formula>
    </cfRule>
    <cfRule type="containsText" dxfId="5334" priority="221" operator="containsText" text="Sell">
      <formula>NOT(ISERROR(SEARCH("Sell",E94)))</formula>
    </cfRule>
  </conditionalFormatting>
  <conditionalFormatting sqref="E110">
    <cfRule type="containsText" dxfId="5333" priority="218" operator="containsText" text="Buy">
      <formula>NOT(ISERROR(SEARCH("Buy",E110)))</formula>
    </cfRule>
    <cfRule type="containsText" dxfId="5332" priority="219" operator="containsText" text="Sell">
      <formula>NOT(ISERROR(SEARCH("Sell",E110)))</formula>
    </cfRule>
  </conditionalFormatting>
  <conditionalFormatting sqref="H53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{07E788D2-696B-42DE-99B1-F03F75AC4611}</x14:id>
        </ext>
      </extLst>
    </cfRule>
    <cfRule type="cellIs" dxfId="5331" priority="217" operator="equal">
      <formula>1</formula>
    </cfRule>
  </conditionalFormatting>
  <conditionalFormatting sqref="D53">
    <cfRule type="containsText" dxfId="5330" priority="215" operator="containsText" text="Buy">
      <formula>NOT(ISERROR(SEARCH("Buy",D53)))</formula>
    </cfRule>
    <cfRule type="containsText" dxfId="5329" priority="216" operator="containsText" text="Sell">
      <formula>NOT(ISERROR(SEARCH("Sell",D53)))</formula>
    </cfRule>
  </conditionalFormatting>
  <conditionalFormatting sqref="E132">
    <cfRule type="containsText" dxfId="5328" priority="212" operator="containsText" text="Buy">
      <formula>NOT(ISERROR(SEARCH("Buy",E132)))</formula>
    </cfRule>
    <cfRule type="containsText" dxfId="5327" priority="213" operator="containsText" text="Sell">
      <formula>NOT(ISERROR(SEARCH("Sell",E132)))</formula>
    </cfRule>
  </conditionalFormatting>
  <conditionalFormatting sqref="H54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{B9D0B351-E063-4724-B6E7-ACA76E784A2F}</x14:id>
        </ext>
      </extLst>
    </cfRule>
    <cfRule type="cellIs" dxfId="5326" priority="211" operator="equal">
      <formula>1</formula>
    </cfRule>
  </conditionalFormatting>
  <conditionalFormatting sqref="D54">
    <cfRule type="containsText" dxfId="5325" priority="209" operator="containsText" text="Buy">
      <formula>NOT(ISERROR(SEARCH("Buy",D54)))</formula>
    </cfRule>
    <cfRule type="containsText" dxfId="5324" priority="210" operator="containsText" text="Sell">
      <formula>NOT(ISERROR(SEARCH("Sell",D54)))</formula>
    </cfRule>
  </conditionalFormatting>
  <conditionalFormatting sqref="H55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{A3A680AE-203D-40C7-A98C-CE52587DFFB9}</x14:id>
        </ext>
      </extLst>
    </cfRule>
    <cfRule type="cellIs" dxfId="5323" priority="207" operator="equal">
      <formula>1</formula>
    </cfRule>
  </conditionalFormatting>
  <conditionalFormatting sqref="D55">
    <cfRule type="containsText" dxfId="5322" priority="205" operator="containsText" text="Buy">
      <formula>NOT(ISERROR(SEARCH("Buy",D55)))</formula>
    </cfRule>
    <cfRule type="containsText" dxfId="5321" priority="206" operator="containsText" text="Sell">
      <formula>NOT(ISERROR(SEARCH("Sell",D55)))</formula>
    </cfRule>
  </conditionalFormatting>
  <conditionalFormatting sqref="H56">
    <cfRule type="dataBar" priority="2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{DDE41A58-8FEB-4F1C-9117-9247A21C9FDF}</x14:id>
        </ext>
      </extLst>
    </cfRule>
    <cfRule type="cellIs" dxfId="5320" priority="203" operator="equal">
      <formula>1</formula>
    </cfRule>
  </conditionalFormatting>
  <conditionalFormatting sqref="D56">
    <cfRule type="containsText" dxfId="5319" priority="201" operator="containsText" text="Buy">
      <formula>NOT(ISERROR(SEARCH("Buy",D56)))</formula>
    </cfRule>
    <cfRule type="containsText" dxfId="5318" priority="202" operator="containsText" text="Sell">
      <formula>NOT(ISERROR(SEARCH("Sell",D56)))</formula>
    </cfRule>
  </conditionalFormatting>
  <conditionalFormatting sqref="H5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{FB537E0D-91BE-43FE-B07D-FFF24ABB6D4A}</x14:id>
        </ext>
      </extLst>
    </cfRule>
    <cfRule type="cellIs" dxfId="5317" priority="199" operator="equal">
      <formula>1</formula>
    </cfRule>
  </conditionalFormatting>
  <conditionalFormatting sqref="D57">
    <cfRule type="containsText" dxfId="5316" priority="197" operator="containsText" text="Buy">
      <formula>NOT(ISERROR(SEARCH("Buy",D57)))</formula>
    </cfRule>
    <cfRule type="containsText" dxfId="5315" priority="198" operator="containsText" text="Sell">
      <formula>NOT(ISERROR(SEARCH("Sell",D57)))</formula>
    </cfRule>
  </conditionalFormatting>
  <conditionalFormatting sqref="L24:M2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{0D4DFB50-3935-4299-A203-13389186E5FD}</x14:id>
        </ext>
      </extLst>
    </cfRule>
  </conditionalFormatting>
  <conditionalFormatting sqref="L24:M24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{1CCF6BFC-67A4-41C7-85D1-A376C9DE1A01}</x14:id>
        </ext>
      </extLst>
    </cfRule>
  </conditionalFormatting>
  <conditionalFormatting sqref="L24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{B24A9F59-85AB-4446-BC60-F12E2B9AF929}</x14:id>
        </ext>
      </extLst>
    </cfRule>
  </conditionalFormatting>
  <conditionalFormatting sqref="M24">
    <cfRule type="dataBar" priority="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{91C9C46C-C162-4324-BF81-FAC8CA2E39D5}</x14:id>
        </ext>
      </extLst>
    </cfRule>
  </conditionalFormatting>
  <conditionalFormatting sqref="L24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{1F2F1AE2-9091-43A6-91EF-4EF68B260C40}</x14:id>
        </ext>
      </extLst>
    </cfRule>
  </conditionalFormatting>
  <conditionalFormatting sqref="M24">
    <cfRule type="dataBar" priority="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{96BBD6FA-D093-4A8E-8E82-82269460CEE9}</x14:id>
        </ext>
      </extLst>
    </cfRule>
  </conditionalFormatting>
  <conditionalFormatting sqref="L24">
    <cfRule type="dataBar" priority="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{8EB63753-E00E-4B50-A2C0-D0FB221E67E4}</x14:id>
        </ext>
      </extLst>
    </cfRule>
  </conditionalFormatting>
  <conditionalFormatting sqref="M24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{3727AF79-AF0C-4736-86E0-204B48E96072}</x14:id>
        </ext>
      </extLst>
    </cfRule>
  </conditionalFormatting>
  <conditionalFormatting sqref="X2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{18C671EA-094B-4D38-9781-DF695EF6B98A}</x14:id>
        </ext>
      </extLst>
    </cfRule>
  </conditionalFormatting>
  <conditionalFormatting sqref="U2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{375C20A7-3820-4847-9E98-D7D8D66A52A6}</x14:id>
        </ext>
      </extLst>
    </cfRule>
  </conditionalFormatting>
  <conditionalFormatting sqref="V2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{A93B765D-B908-4BBD-8CD6-28410F75E59E}</x14:id>
        </ext>
      </extLst>
    </cfRule>
  </conditionalFormatting>
  <conditionalFormatting sqref="W24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{B336FF93-4DD2-4C2E-BC4D-C0B812A66025}</x14:id>
        </ext>
      </extLst>
    </cfRule>
  </conditionalFormatting>
  <conditionalFormatting sqref="M24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{A9C5AAF1-2B89-4017-9D2C-D65A44C86191}</x14:id>
        </ext>
      </extLst>
    </cfRule>
  </conditionalFormatting>
  <conditionalFormatting sqref="E126">
    <cfRule type="containsText" dxfId="5314" priority="170" operator="containsText" text="Buy">
      <formula>NOT(ISERROR(SEARCH("Buy",E126)))</formula>
    </cfRule>
    <cfRule type="containsText" dxfId="5313" priority="171" operator="containsText" text="Sell">
      <formula>NOT(ISERROR(SEARCH("Sell",E126)))</formula>
    </cfRule>
  </conditionalFormatting>
  <conditionalFormatting sqref="E125">
    <cfRule type="containsText" dxfId="5312" priority="168" operator="containsText" text="Buy">
      <formula>NOT(ISERROR(SEARCH("Buy",E125)))</formula>
    </cfRule>
    <cfRule type="containsText" dxfId="5311" priority="169" operator="containsText" text="Sell">
      <formula>NOT(ISERROR(SEARCH("Sell",E125)))</formula>
    </cfRule>
  </conditionalFormatting>
  <conditionalFormatting sqref="H58"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{EA8DEB98-2863-4460-9C29-8D222FAEFAF6}</x14:id>
        </ext>
      </extLst>
    </cfRule>
    <cfRule type="cellIs" dxfId="5310" priority="167" operator="equal">
      <formula>1</formula>
    </cfRule>
  </conditionalFormatting>
  <conditionalFormatting sqref="D58">
    <cfRule type="containsText" dxfId="5309" priority="165" operator="containsText" text="Buy">
      <formula>NOT(ISERROR(SEARCH("Buy",D58)))</formula>
    </cfRule>
    <cfRule type="containsText" dxfId="5308" priority="166" operator="containsText" text="Sell">
      <formula>NOT(ISERROR(SEARCH("Sell",D58)))</formula>
    </cfRule>
  </conditionalFormatting>
  <conditionalFormatting sqref="H59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{E3A4E528-0C84-4608-874E-9B0F4ABCBD33}</x14:id>
        </ext>
      </extLst>
    </cfRule>
    <cfRule type="cellIs" dxfId="5307" priority="163" operator="equal">
      <formula>1</formula>
    </cfRule>
  </conditionalFormatting>
  <conditionalFormatting sqref="D59">
    <cfRule type="containsText" dxfId="5306" priority="161" operator="containsText" text="Buy">
      <formula>NOT(ISERROR(SEARCH("Buy",D59)))</formula>
    </cfRule>
    <cfRule type="containsText" dxfId="5305" priority="162" operator="containsText" text="Sell">
      <formula>NOT(ISERROR(SEARCH("Sell",D59)))</formula>
    </cfRule>
  </conditionalFormatting>
  <conditionalFormatting sqref="E83">
    <cfRule type="containsText" dxfId="5304" priority="158" operator="containsText" text="Buy">
      <formula>NOT(ISERROR(SEARCH("Buy",E83)))</formula>
    </cfRule>
    <cfRule type="containsText" dxfId="5303" priority="159" operator="containsText" text="Sell">
      <formula>NOT(ISERROR(SEARCH("Sell",E83)))</formula>
    </cfRule>
  </conditionalFormatting>
  <conditionalFormatting sqref="H60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{7E985B38-6F32-418B-B0C7-961B63FC95C3}</x14:id>
        </ext>
      </extLst>
    </cfRule>
    <cfRule type="cellIs" dxfId="5302" priority="155" operator="equal">
      <formula>1</formula>
    </cfRule>
  </conditionalFormatting>
  <conditionalFormatting sqref="D60">
    <cfRule type="containsText" dxfId="5301" priority="153" operator="containsText" text="Buy">
      <formula>NOT(ISERROR(SEARCH("Buy",D60)))</formula>
    </cfRule>
    <cfRule type="containsText" dxfId="5300" priority="154" operator="containsText" text="Sell">
      <formula>NOT(ISERROR(SEARCH("Sell",D60)))</formula>
    </cfRule>
  </conditionalFormatting>
  <conditionalFormatting sqref="L27:M28 L23:M23 L21:M21 L5:M8 L10:M11 L14:M15 L17:M17">
    <cfRule type="dataBar" priority="125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{8E82F11C-9461-419B-8B9D-9D02A09A770E}</x14:id>
        </ext>
      </extLst>
    </cfRule>
  </conditionalFormatting>
  <conditionalFormatting sqref="X25 X23 X5:X21 X27:X29">
    <cfRule type="dataBar" priority="12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{A588DDE7-C8E2-4F90-8E94-386045144DB0}</x14:id>
        </ext>
      </extLst>
    </cfRule>
  </conditionalFormatting>
  <conditionalFormatting sqref="X20:X21 X27 X5:X17">
    <cfRule type="dataBar" priority="12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{229988DE-AF6F-4C1E-A45A-1F872685A1E6}</x14:id>
        </ext>
      </extLst>
    </cfRule>
  </conditionalFormatting>
  <conditionalFormatting sqref="X27 X21 X5:X6 X16:X17">
    <cfRule type="dataBar" priority="126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{DE2BD843-317B-4663-B801-109435AB1C41}</x14:id>
        </ext>
      </extLst>
    </cfRule>
  </conditionalFormatting>
  <conditionalFormatting sqref="E109">
    <cfRule type="containsText" dxfId="5299" priority="150" operator="containsText" text="Buy">
      <formula>NOT(ISERROR(SEARCH("Buy",E109)))</formula>
    </cfRule>
    <cfRule type="containsText" dxfId="5298" priority="151" operator="containsText" text="Sell">
      <formula>NOT(ISERROR(SEARCH("Sell",E109)))</formula>
    </cfRule>
  </conditionalFormatting>
  <conditionalFormatting sqref="E124">
    <cfRule type="containsText" dxfId="5297" priority="148" operator="containsText" text="Buy">
      <formula>NOT(ISERROR(SEARCH("Buy",E124)))</formula>
    </cfRule>
    <cfRule type="containsText" dxfId="5296" priority="149" operator="containsText" text="Sell">
      <formula>NOT(ISERROR(SEARCH("Sell",E124)))</formula>
    </cfRule>
  </conditionalFormatting>
  <conditionalFormatting sqref="E108">
    <cfRule type="containsText" dxfId="5295" priority="146" operator="containsText" text="Buy">
      <formula>NOT(ISERROR(SEARCH("Buy",E108)))</formula>
    </cfRule>
    <cfRule type="containsText" dxfId="5294" priority="147" operator="containsText" text="Sell">
      <formula>NOT(ISERROR(SEARCH("Sell",E108)))</formula>
    </cfRule>
  </conditionalFormatting>
  <conditionalFormatting sqref="E107">
    <cfRule type="containsText" dxfId="5293" priority="144" operator="containsText" text="Buy">
      <formula>NOT(ISERROR(SEARCH("Buy",E107)))</formula>
    </cfRule>
    <cfRule type="containsText" dxfId="5292" priority="145" operator="containsText" text="Sell">
      <formula>NOT(ISERROR(SEARCH("Sell",E107)))</formula>
    </cfRule>
  </conditionalFormatting>
  <conditionalFormatting sqref="E377">
    <cfRule type="containsText" dxfId="5291" priority="142" operator="containsText" text="Buy">
      <formula>NOT(ISERROR(SEARCH("Buy",E377)))</formula>
    </cfRule>
    <cfRule type="containsText" dxfId="5290" priority="143" operator="containsText" text="Sell">
      <formula>NOT(ISERROR(SEARCH("Sell",E377)))</formula>
    </cfRule>
  </conditionalFormatting>
  <conditionalFormatting sqref="E87">
    <cfRule type="containsText" dxfId="5289" priority="111" operator="containsText" text="Buy">
      <formula>NOT(ISERROR(SEARCH("Buy",E87)))</formula>
    </cfRule>
    <cfRule type="containsText" dxfId="5288" priority="112" operator="containsText" text="Sell">
      <formula>NOT(ISERROR(SEARCH("Sell",E87)))</formula>
    </cfRule>
  </conditionalFormatting>
  <conditionalFormatting sqref="E88">
    <cfRule type="containsText" dxfId="5287" priority="113" operator="containsText" text="Buy">
      <formula>NOT(ISERROR(SEARCH("Buy",E88)))</formula>
    </cfRule>
    <cfRule type="containsText" dxfId="5286" priority="114" operator="containsText" text="Sell">
      <formula>NOT(ISERROR(SEARCH("Sell",E88)))</formula>
    </cfRule>
  </conditionalFormatting>
  <conditionalFormatting sqref="L26:M26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{EF8DEB9E-EE46-40B2-89FF-2F35A0F2BFB0}</x14:id>
        </ext>
      </extLst>
    </cfRule>
  </conditionalFormatting>
  <conditionalFormatting sqref="L26:M26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{0BDC59DB-9EC4-4575-9BA6-2FDAE5552584}</x14:id>
        </ext>
      </extLst>
    </cfRule>
  </conditionalFormatting>
  <conditionalFormatting sqref="L26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{E06112DA-7BCC-41EC-AD29-D604FB7D32C1}</x14:id>
        </ext>
      </extLst>
    </cfRule>
  </conditionalFormatting>
  <conditionalFormatting sqref="M26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{F3FB437C-2997-4FFA-9BCB-E6876570EE05}</x14:id>
        </ext>
      </extLst>
    </cfRule>
  </conditionalFormatting>
  <conditionalFormatting sqref="L26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{1F9E6E73-A368-4081-B99C-79B422A4350E}</x14:id>
        </ext>
      </extLst>
    </cfRule>
  </conditionalFormatting>
  <conditionalFormatting sqref="M26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{EFC09C0B-6F52-4CE1-8604-A8B6B8850A1E}</x14:id>
        </ext>
      </extLst>
    </cfRule>
  </conditionalFormatting>
  <conditionalFormatting sqref="M26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{E855F395-E3FA-4B37-8DB3-3650FC99BBF0}</x14:id>
        </ext>
      </extLst>
    </cfRule>
  </conditionalFormatting>
  <conditionalFormatting sqref="X26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{5247371C-994E-42E8-A5A6-C3241A7CCC6F}</x14:id>
        </ext>
      </extLst>
    </cfRule>
  </conditionalFormatting>
  <conditionalFormatting sqref="X2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{3C491DAA-7668-4C58-A1BD-4580FDE7C7FD}</x14:id>
        </ext>
      </extLst>
    </cfRule>
  </conditionalFormatting>
  <conditionalFormatting sqref="X2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{8CE2C760-A04C-473F-9481-0936ED23C63B}</x14:id>
        </ext>
      </extLst>
    </cfRule>
  </conditionalFormatting>
  <conditionalFormatting sqref="U2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{1A8A6A81-DF41-47A9-9F68-81864A448E6B}</x14:id>
        </ext>
      </extLst>
    </cfRule>
  </conditionalFormatting>
  <conditionalFormatting sqref="V2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{9C2F5F0A-B883-43E1-A000-9F69CAA2EA06}</x14:id>
        </ext>
      </extLst>
    </cfRule>
  </conditionalFormatting>
  <conditionalFormatting sqref="W26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{18E5BAB4-BD0D-4733-86C1-FECEA2F8D4EE}</x14:id>
        </ext>
      </extLst>
    </cfRule>
  </conditionalFormatting>
  <conditionalFormatting sqref="L26:M26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{2CADB318-E2B3-46BA-9F4B-04D3FEE57454}</x14:id>
        </ext>
      </extLst>
    </cfRule>
  </conditionalFormatting>
  <conditionalFormatting sqref="H66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{73CA1716-19F1-4265-B4A4-869B53C658EA}</x14:id>
        </ext>
      </extLst>
    </cfRule>
    <cfRule type="cellIs" dxfId="5285" priority="84" operator="equal">
      <formula>1</formula>
    </cfRule>
  </conditionalFormatting>
  <conditionalFormatting sqref="D66">
    <cfRule type="containsText" dxfId="5284" priority="82" operator="containsText" text="Buy">
      <formula>NOT(ISERROR(SEARCH("Buy",D66)))</formula>
    </cfRule>
    <cfRule type="containsText" dxfId="5283" priority="83" operator="containsText" text="Sell">
      <formula>NOT(ISERROR(SEARCH("Sell",D66)))</formula>
    </cfRule>
  </conditionalFormatting>
  <conditionalFormatting sqref="H6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{913E0713-A9AD-44F2-91F9-3ECD75DA5287}</x14:id>
        </ext>
      </extLst>
    </cfRule>
    <cfRule type="cellIs" dxfId="5282" priority="80" operator="equal">
      <formula>1</formula>
    </cfRule>
  </conditionalFormatting>
  <conditionalFormatting sqref="D67">
    <cfRule type="containsText" dxfId="5281" priority="78" operator="containsText" text="Buy">
      <formula>NOT(ISERROR(SEARCH("Buy",D67)))</formula>
    </cfRule>
    <cfRule type="containsText" dxfId="5280" priority="79" operator="containsText" text="Sell">
      <formula>NOT(ISERROR(SEARCH("Sell",D67)))</formula>
    </cfRule>
  </conditionalFormatting>
  <conditionalFormatting sqref="L27:L28 L23 L5:L8 L10:L11 L17 L14:L15 L20:L21">
    <cfRule type="dataBar" priority="14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{AE0B698D-7ED4-4A7E-A74C-96EFC00973E8}</x14:id>
        </ext>
      </extLst>
    </cfRule>
  </conditionalFormatting>
  <conditionalFormatting sqref="M27:M28 M23 M5:M8 M10:M11 M17 M14:M15 M20:M21">
    <cfRule type="dataBar" priority="14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{C6C4CF4B-EB38-4722-8C3C-A201DEE747FB}</x14:id>
        </ext>
      </extLst>
    </cfRule>
  </conditionalFormatting>
  <conditionalFormatting sqref="L27:L28 L23 L5:L11 L17 L14:L15 L20:L21">
    <cfRule type="dataBar" priority="14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{5FF6E456-7834-4085-A209-22FF77250F37}</x14:id>
        </ext>
      </extLst>
    </cfRule>
  </conditionalFormatting>
  <conditionalFormatting sqref="M27:M28 M23 M5:M11 M17 M14:M15 M20:M21">
    <cfRule type="dataBar" priority="14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{5B59BF30-4A86-41DB-8838-E3D7B62470FC}</x14:id>
        </ext>
      </extLst>
    </cfRule>
  </conditionalFormatting>
  <conditionalFormatting sqref="U5:U8 U23 U10:U11 U17 U14:U15 U19:U21">
    <cfRule type="dataBar" priority="14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{7C2FAB0F-3C19-4B60-881E-140484DEDECA}</x14:id>
        </ext>
      </extLst>
    </cfRule>
  </conditionalFormatting>
  <conditionalFormatting sqref="U27:U28">
    <cfRule type="dataBar" priority="14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{E271A645-9B06-449C-BB6A-BCE81500A73E}</x14:id>
        </ext>
      </extLst>
    </cfRule>
  </conditionalFormatting>
  <conditionalFormatting sqref="V27:V28 V23 V5:V8 V10:V11 V17 V14:V15 V19:V21">
    <cfRule type="dataBar" priority="14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{ACC53431-7A75-476E-842E-61ABDDACBB2C}</x14:id>
        </ext>
      </extLst>
    </cfRule>
  </conditionalFormatting>
  <conditionalFormatting sqref="E93">
    <cfRule type="containsText" dxfId="5279" priority="75" operator="containsText" text="Buy">
      <formula>NOT(ISERROR(SEARCH("Buy",E93)))</formula>
    </cfRule>
    <cfRule type="containsText" dxfId="5278" priority="76" operator="containsText" text="Sell">
      <formula>NOT(ISERROR(SEARCH("Sell",E93)))</formula>
    </cfRule>
  </conditionalFormatting>
  <conditionalFormatting sqref="H6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{01200136-D6A6-48C3-B7D0-7D0A86FE03D4}</x14:id>
        </ext>
      </extLst>
    </cfRule>
    <cfRule type="cellIs" dxfId="5277" priority="74" operator="equal">
      <formula>1</formula>
    </cfRule>
  </conditionalFormatting>
  <conditionalFormatting sqref="D68">
    <cfRule type="containsText" dxfId="5276" priority="72" operator="containsText" text="Buy">
      <formula>NOT(ISERROR(SEARCH("Buy",D68)))</formula>
    </cfRule>
    <cfRule type="containsText" dxfId="5275" priority="73" operator="containsText" text="Sell">
      <formula>NOT(ISERROR(SEARCH("Sell",D68)))</formula>
    </cfRule>
  </conditionalFormatting>
  <conditionalFormatting sqref="H69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{04A44D2E-FDF4-43AA-9F1B-AA241BE78E69}</x14:id>
        </ext>
      </extLst>
    </cfRule>
    <cfRule type="cellIs" dxfId="5274" priority="70" operator="equal">
      <formula>1</formula>
    </cfRule>
  </conditionalFormatting>
  <conditionalFormatting sqref="D69">
    <cfRule type="containsText" dxfId="5273" priority="68" operator="containsText" text="Buy">
      <formula>NOT(ISERROR(SEARCH("Buy",D69)))</formula>
    </cfRule>
    <cfRule type="containsText" dxfId="5272" priority="69" operator="containsText" text="Sell">
      <formula>NOT(ISERROR(SEARCH("Sell",D69)))</formula>
    </cfRule>
  </conditionalFormatting>
  <conditionalFormatting sqref="H61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{0C91BDEE-2717-469D-B632-23F4AC5D69CC}</x14:id>
        </ext>
      </extLst>
    </cfRule>
    <cfRule type="cellIs" dxfId="5271" priority="66" operator="equal">
      <formula>1</formula>
    </cfRule>
  </conditionalFormatting>
  <conditionalFormatting sqref="D61">
    <cfRule type="containsText" dxfId="5270" priority="64" operator="containsText" text="Buy">
      <formula>NOT(ISERROR(SEARCH("Buy",D61)))</formula>
    </cfRule>
    <cfRule type="containsText" dxfId="5269" priority="65" operator="containsText" text="Sell">
      <formula>NOT(ISERROR(SEARCH("Sell",D61)))</formula>
    </cfRule>
  </conditionalFormatting>
  <conditionalFormatting sqref="M4:M23 M25 M27:M29">
    <cfRule type="dataBar" priority="15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{BC3C53EC-6509-4C0F-A9FC-6AA831DDD7C3}</x14:id>
        </ext>
      </extLst>
    </cfRule>
  </conditionalFormatting>
  <conditionalFormatting sqref="W14:W15 W23 W10:W11 W19:W21 W17 W27:W28 W5:W8">
    <cfRule type="dataBar" priority="15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{312B3432-54AB-4110-B290-40A3821DF291}</x14:id>
        </ext>
      </extLst>
    </cfRule>
  </conditionalFormatting>
  <conditionalFormatting sqref="L27:M29 L4:M25">
    <cfRule type="dataBar" priority="15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{BEDCFC60-9524-4F4C-B974-79C8DC38C3B0}</x14:id>
        </ext>
      </extLst>
    </cfRule>
  </conditionalFormatting>
  <conditionalFormatting sqref="H7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{7DB40724-D0BC-4207-94BC-277B8D392337}</x14:id>
        </ext>
      </extLst>
    </cfRule>
    <cfRule type="cellIs" dxfId="5268" priority="62" operator="equal">
      <formula>1</formula>
    </cfRule>
  </conditionalFormatting>
  <conditionalFormatting sqref="D70">
    <cfRule type="containsText" dxfId="5267" priority="60" operator="containsText" text="Buy">
      <formula>NOT(ISERROR(SEARCH("Buy",D70)))</formula>
    </cfRule>
    <cfRule type="containsText" dxfId="5266" priority="61" operator="containsText" text="Sell">
      <formula>NOT(ISERROR(SEARCH("Sell",D70)))</formula>
    </cfRule>
  </conditionalFormatting>
  <conditionalFormatting sqref="H71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{503322F6-5D62-40C3-844A-CD363BCABDBC}</x14:id>
        </ext>
      </extLst>
    </cfRule>
    <cfRule type="cellIs" dxfId="5265" priority="58" operator="equal">
      <formula>1</formula>
    </cfRule>
  </conditionalFormatting>
  <conditionalFormatting sqref="D71">
    <cfRule type="containsText" dxfId="5264" priority="56" operator="containsText" text="Buy">
      <formula>NOT(ISERROR(SEARCH("Buy",D71)))</formula>
    </cfRule>
    <cfRule type="containsText" dxfId="5263" priority="57" operator="containsText" text="Sell">
      <formula>NOT(ISERROR(SEARCH("Sell",D71)))</formula>
    </cfRule>
  </conditionalFormatting>
  <conditionalFormatting sqref="H72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{847F6613-2B0C-4418-BAFF-147EACA97905}</x14:id>
        </ext>
      </extLst>
    </cfRule>
    <cfRule type="cellIs" dxfId="5262" priority="54" operator="equal">
      <formula>1</formula>
    </cfRule>
  </conditionalFormatting>
  <conditionalFormatting sqref="D72">
    <cfRule type="containsText" dxfId="5261" priority="52" operator="containsText" text="Buy">
      <formula>NOT(ISERROR(SEARCH("Buy",D72)))</formula>
    </cfRule>
    <cfRule type="containsText" dxfId="5260" priority="53" operator="containsText" text="Sell">
      <formula>NOT(ISERROR(SEARCH("Sell",D72)))</formula>
    </cfRule>
  </conditionalFormatting>
  <conditionalFormatting sqref="H73:H7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{7660EE78-D35D-4711-ABCE-4CFEBBC5F137}</x14:id>
        </ext>
      </extLst>
    </cfRule>
    <cfRule type="cellIs" dxfId="5259" priority="50" operator="equal">
      <formula>1</formula>
    </cfRule>
  </conditionalFormatting>
  <conditionalFormatting sqref="D73:D74">
    <cfRule type="containsText" dxfId="5258" priority="48" operator="containsText" text="Buy">
      <formula>NOT(ISERROR(SEARCH("Buy",D73)))</formula>
    </cfRule>
    <cfRule type="containsText" dxfId="5257" priority="49" operator="containsText" text="Sell">
      <formula>NOT(ISERROR(SEARCH("Sell",D73)))</formula>
    </cfRule>
  </conditionalFormatting>
  <conditionalFormatting sqref="E103">
    <cfRule type="containsText" dxfId="5256" priority="45" operator="containsText" text="Buy">
      <formula>NOT(ISERROR(SEARCH("Buy",E103)))</formula>
    </cfRule>
    <cfRule type="containsText" dxfId="5255" priority="46" operator="containsText" text="Sell">
      <formula>NOT(ISERROR(SEARCH("Sell",E103)))</formula>
    </cfRule>
  </conditionalFormatting>
  <conditionalFormatting sqref="E376">
    <cfRule type="containsText" dxfId="5254" priority="43" operator="containsText" text="Buy">
      <formula>NOT(ISERROR(SEARCH("Buy",E376)))</formula>
    </cfRule>
    <cfRule type="containsText" dxfId="5253" priority="44" operator="containsText" text="Sell">
      <formula>NOT(ISERROR(SEARCH("Sell",E376)))</formula>
    </cfRule>
  </conditionalFormatting>
  <conditionalFormatting sqref="L3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{32BCAE68-71A8-452C-89A3-8C5A4B5BEBC6}</x14:id>
        </ext>
      </extLst>
    </cfRule>
  </conditionalFormatting>
  <conditionalFormatting sqref="M3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{9549FC6A-41A3-4FB4-B040-447AFF30B407}</x14:id>
        </ext>
      </extLst>
    </cfRule>
  </conditionalFormatting>
  <conditionalFormatting sqref="L30:M30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{F47636C7-EF82-45E3-80BE-FC42D1B785E0}</x14:id>
        </ext>
      </extLst>
    </cfRule>
  </conditionalFormatting>
  <conditionalFormatting sqref="L3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{E5187FB0-BAD0-4085-AF7C-E7233AC9BDCD}</x14:id>
        </ext>
      </extLst>
    </cfRule>
  </conditionalFormatting>
  <conditionalFormatting sqref="M3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{B167B0EC-35DD-46E0-95A3-D94AB69429A4}</x14:id>
        </ext>
      </extLst>
    </cfRule>
  </conditionalFormatting>
  <conditionalFormatting sqref="U30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{288FB289-B8A6-47C8-BF36-38B36B3A64F7}</x14:id>
        </ext>
      </extLst>
    </cfRule>
  </conditionalFormatting>
  <conditionalFormatting sqref="V30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{B18F747D-5ED0-498E-9568-C49B8C221BCE}</x14:id>
        </ext>
      </extLst>
    </cfRule>
  </conditionalFormatting>
  <conditionalFormatting sqref="W30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{9869173A-4789-4F3B-982D-2851C60E8251}</x14:id>
        </ext>
      </extLst>
    </cfRule>
  </conditionalFormatting>
  <conditionalFormatting sqref="L30:M30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{19633AD1-CE17-4581-B63E-21F2D368E7F4}</x14:id>
        </ext>
      </extLst>
    </cfRule>
  </conditionalFormatting>
  <conditionalFormatting sqref="E190">
    <cfRule type="containsText" dxfId="5252" priority="23" operator="containsText" text="Buy">
      <formula>NOT(ISERROR(SEARCH("Buy",E190)))</formula>
    </cfRule>
    <cfRule type="containsText" dxfId="5251" priority="24" operator="containsText" text="Sell">
      <formula>NOT(ISERROR(SEARCH("Sell",E190)))</formula>
    </cfRule>
  </conditionalFormatting>
  <conditionalFormatting sqref="E189">
    <cfRule type="containsText" dxfId="5250" priority="21" operator="containsText" text="Buy">
      <formula>NOT(ISERROR(SEARCH("Buy",E189)))</formula>
    </cfRule>
    <cfRule type="containsText" dxfId="5249" priority="22" operator="containsText" text="Sell">
      <formula>NOT(ISERROR(SEARCH("Sell",E189)))</formula>
    </cfRule>
  </conditionalFormatting>
  <conditionalFormatting sqref="L4:M3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{45D0E5C5-9D11-4BA1-9EFD-387AC6A60582}</x14:id>
        </ext>
      </extLst>
    </cfRule>
  </conditionalFormatting>
  <conditionalFormatting sqref="H7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{A9930582-5701-4174-A420-0B118F103D4B}</x14:id>
        </ext>
      </extLst>
    </cfRule>
    <cfRule type="cellIs" dxfId="5248" priority="19" operator="equal">
      <formula>1</formula>
    </cfRule>
  </conditionalFormatting>
  <conditionalFormatting sqref="D75">
    <cfRule type="containsText" dxfId="5247" priority="17" operator="containsText" text="Buy">
      <formula>NOT(ISERROR(SEARCH("Buy",D75)))</formula>
    </cfRule>
    <cfRule type="containsText" dxfId="5246" priority="18" operator="containsText" text="Sell">
      <formula>NOT(ISERROR(SEARCH("Sell",D75)))</formula>
    </cfRule>
  </conditionalFormatting>
  <conditionalFormatting sqref="U17:V17">
    <cfRule type="dataBar" priority="31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{6AC11CAD-FAF9-46D2-867C-1EF118CA2191}</x14:id>
        </ext>
      </extLst>
    </cfRule>
  </conditionalFormatting>
  <conditionalFormatting sqref="U7:V7">
    <cfRule type="dataBar" priority="31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{D13646AB-6606-4F56-AC12-0F9407F29AA2}</x14:id>
        </ext>
      </extLst>
    </cfRule>
  </conditionalFormatting>
  <conditionalFormatting sqref="U27:V27">
    <cfRule type="dataBar" priority="31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{F1BDA9E4-D2E6-44C4-AC6D-48A86D7B1636}</x14:id>
        </ext>
      </extLst>
    </cfRule>
  </conditionalFormatting>
  <conditionalFormatting sqref="U14:V14">
    <cfRule type="dataBar" priority="31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{008EDA9A-99F6-426E-86BF-7F8B1248AE66}</x14:id>
        </ext>
      </extLst>
    </cfRule>
  </conditionalFormatting>
  <conditionalFormatting sqref="U21:V21">
    <cfRule type="dataBar" priority="31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{18FD7FC8-1744-46B3-B099-A1913BFE08E9}</x14:id>
        </ext>
      </extLst>
    </cfRule>
  </conditionalFormatting>
  <conditionalFormatting sqref="U21:V21">
    <cfRule type="dataBar" priority="31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{67CFA085-F437-4115-8FDE-AEA703B327A4}</x14:id>
        </ext>
      </extLst>
    </cfRule>
  </conditionalFormatting>
  <conditionalFormatting sqref="U8:V8">
    <cfRule type="dataBar" priority="31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{0EB64C4C-571D-46C0-9DE8-9C7237634480}</x14:id>
        </ext>
      </extLst>
    </cfRule>
  </conditionalFormatting>
  <conditionalFormatting sqref="U8:V8">
    <cfRule type="dataBar" priority="31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{5662BE91-2BFB-4B6B-AA34-D21C326842E2}</x14:id>
        </ext>
      </extLst>
    </cfRule>
  </conditionalFormatting>
  <conditionalFormatting sqref="U6:V6">
    <cfRule type="dataBar" priority="31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{7E6D5904-A8D9-47F0-B2D6-3B5212771857}</x14:id>
        </ext>
      </extLst>
    </cfRule>
  </conditionalFormatting>
  <conditionalFormatting sqref="U6:V6">
    <cfRule type="dataBar" priority="31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{E4B7542B-30B6-4B6B-B10F-271E37284E6F}</x14:id>
        </ext>
      </extLst>
    </cfRule>
  </conditionalFormatting>
  <conditionalFormatting sqref="U5:V5">
    <cfRule type="dataBar" priority="31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{5431285E-8660-496E-9C89-537D885740EC}</x14:id>
        </ext>
      </extLst>
    </cfRule>
  </conditionalFormatting>
  <conditionalFormatting sqref="U5:V5">
    <cfRule type="dataBar" priority="31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{A8595A2E-9CD6-4A7C-BB84-2E86E1E27F90}</x14:id>
        </ext>
      </extLst>
    </cfRule>
  </conditionalFormatting>
  <conditionalFormatting sqref="U10:V10">
    <cfRule type="dataBar" priority="31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{E963FBAA-9ECB-416C-AF49-3D3B0DE8153E}</x14:id>
        </ext>
      </extLst>
    </cfRule>
  </conditionalFormatting>
  <conditionalFormatting sqref="U10:V10">
    <cfRule type="dataBar" priority="31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{8EAB72EE-CF73-46C4-991F-A011AD26D874}</x14:id>
        </ext>
      </extLst>
    </cfRule>
  </conditionalFormatting>
  <conditionalFormatting sqref="U23:V23">
    <cfRule type="dataBar" priority="31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{2A579F34-7AEA-4F2D-AC6C-678BD0540C2F}</x14:id>
        </ext>
      </extLst>
    </cfRule>
  </conditionalFormatting>
  <conditionalFormatting sqref="U23:V23">
    <cfRule type="dataBar" priority="314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{81FFEFC0-D5E9-4172-8758-46CA6D75E0E3}</x14:id>
        </ext>
      </extLst>
    </cfRule>
  </conditionalFormatting>
  <conditionalFormatting sqref="U11:V11">
    <cfRule type="dataBar" priority="31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{94122ADE-EA75-42DF-94C6-6E7E8E5FD2AB}</x14:id>
        </ext>
      </extLst>
    </cfRule>
  </conditionalFormatting>
  <conditionalFormatting sqref="U11:V11">
    <cfRule type="dataBar" priority="31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{0B690A1F-0230-4C19-8519-FF954166427F}</x14:id>
        </ext>
      </extLst>
    </cfRule>
  </conditionalFormatting>
  <conditionalFormatting sqref="U28:V28">
    <cfRule type="dataBar" priority="31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{89B7375B-5C9D-4CE6-8C02-EC2F28A8EFF5}</x14:id>
        </ext>
      </extLst>
    </cfRule>
  </conditionalFormatting>
  <conditionalFormatting sqref="U28:V28">
    <cfRule type="dataBar" priority="31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{E12D574E-76A6-48FE-8B4C-A2442B44EFA3}</x14:id>
        </ext>
      </extLst>
    </cfRule>
  </conditionalFormatting>
  <conditionalFormatting sqref="U15:V15">
    <cfRule type="dataBar" priority="31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{051248EB-64CD-4A77-AAE9-96D59117FD85}</x14:id>
        </ext>
      </extLst>
    </cfRule>
  </conditionalFormatting>
  <conditionalFormatting sqref="U15:V15">
    <cfRule type="dataBar" priority="31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{92BBF94E-793C-4AEE-B478-B17511E795C5}</x14:id>
        </ext>
      </extLst>
    </cfRule>
  </conditionalFormatting>
  <conditionalFormatting sqref="U19:V19">
    <cfRule type="dataBar" priority="31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{E3423601-5FFA-4DCB-A57D-0E6A635AFC34}</x14:id>
        </ext>
      </extLst>
    </cfRule>
  </conditionalFormatting>
  <conditionalFormatting sqref="U19:V19">
    <cfRule type="dataBar" priority="31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{971FFB45-F4CB-44B5-AD58-DDC069CF5E80}</x14:id>
        </ext>
      </extLst>
    </cfRule>
  </conditionalFormatting>
  <conditionalFormatting sqref="U20:V20">
    <cfRule type="dataBar" priority="31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{D5D3B406-A84A-4561-B783-18B76D448DE5}</x14:id>
        </ext>
      </extLst>
    </cfRule>
  </conditionalFormatting>
  <conditionalFormatting sqref="U20:V20">
    <cfRule type="dataBar" priority="31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{1198C51E-D8CA-44BE-9634-179308422C79}</x14:id>
        </ext>
      </extLst>
    </cfRule>
  </conditionalFormatting>
  <conditionalFormatting sqref="U9:V9">
    <cfRule type="dataBar" priority="31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{169BFFC5-E672-4462-9B82-10850EE7DD73}</x14:id>
        </ext>
      </extLst>
    </cfRule>
  </conditionalFormatting>
  <conditionalFormatting sqref="U9:V9">
    <cfRule type="dataBar" priority="31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{EA2AA7DB-3280-4414-A16A-89146E97608D}</x14:id>
        </ext>
      </extLst>
    </cfRule>
  </conditionalFormatting>
  <conditionalFormatting sqref="U29:V29">
    <cfRule type="dataBar" priority="31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{DFA7E50E-4A76-498E-BAAD-3AFA1E2B7F4B}</x14:id>
        </ext>
      </extLst>
    </cfRule>
  </conditionalFormatting>
  <conditionalFormatting sqref="U29:V29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{2182181F-ACED-4F7D-921D-986D7F082569}</x14:id>
        </ext>
      </extLst>
    </cfRule>
  </conditionalFormatting>
  <conditionalFormatting sqref="U29:V29">
    <cfRule type="dataBar" priority="3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{C6CB463A-298F-4BF4-870C-F0E0C6896E7E}</x14:id>
        </ext>
      </extLst>
    </cfRule>
  </conditionalFormatting>
  <conditionalFormatting sqref="U13:V13">
    <cfRule type="dataBar" priority="31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{F09E3767-1E19-44F9-8012-37126D934D9F}</x14:id>
        </ext>
      </extLst>
    </cfRule>
  </conditionalFormatting>
  <conditionalFormatting sqref="U13:V13">
    <cfRule type="dataBar" priority="314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{EA092DBE-4FFE-4773-85D3-839E668BD3C2}</x14:id>
        </ext>
      </extLst>
    </cfRule>
  </conditionalFormatting>
  <conditionalFormatting sqref="U13:V13">
    <cfRule type="dataBar" priority="3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{0FBB9D80-21AA-4D36-BF03-E3E81AA3B22C}</x14:id>
        </ext>
      </extLst>
    </cfRule>
  </conditionalFormatting>
  <conditionalFormatting sqref="U25:V25">
    <cfRule type="dataBar" priority="31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{06B9E23E-7037-427D-9F8A-51A958674BC0}</x14:id>
        </ext>
      </extLst>
    </cfRule>
  </conditionalFormatting>
  <conditionalFormatting sqref="U25:V25">
    <cfRule type="dataBar" priority="31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{3ACDFFCF-39A4-457A-8723-04EA1E28FD73}</x14:id>
        </ext>
      </extLst>
    </cfRule>
  </conditionalFormatting>
  <conditionalFormatting sqref="U25:V25">
    <cfRule type="dataBar" priority="31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{A7B40426-4183-4E5C-885D-7E0D2CEB443F}</x14:id>
        </ext>
      </extLst>
    </cfRule>
  </conditionalFormatting>
  <conditionalFormatting sqref="U16:V16">
    <cfRule type="dataBar" priority="31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{823C37B8-C16F-45D6-A1FB-0F804629D19A}</x14:id>
        </ext>
      </extLst>
    </cfRule>
  </conditionalFormatting>
  <conditionalFormatting sqref="U16:V16">
    <cfRule type="dataBar" priority="31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{E11A1619-11D9-4322-9118-B24A257133D3}</x14:id>
        </ext>
      </extLst>
    </cfRule>
  </conditionalFormatting>
  <conditionalFormatting sqref="U16:V16">
    <cfRule type="dataBar" priority="31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{292D251D-0710-44CF-8B23-AC4626A65511}</x14:id>
        </ext>
      </extLst>
    </cfRule>
  </conditionalFormatting>
  <conditionalFormatting sqref="U12:V12">
    <cfRule type="dataBar" priority="31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{AF3E2449-4EF9-4916-9339-F71937BF0F2F}</x14:id>
        </ext>
      </extLst>
    </cfRule>
  </conditionalFormatting>
  <conditionalFormatting sqref="U12:V12">
    <cfRule type="dataBar" priority="31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{65D7ECB4-2250-4AE2-BA81-FCE78165D75A}</x14:id>
        </ext>
      </extLst>
    </cfRule>
  </conditionalFormatting>
  <conditionalFormatting sqref="U12:V12">
    <cfRule type="dataBar" priority="31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{44299883-47F5-4986-A2EE-FE0F5F0344BD}</x14:id>
        </ext>
      </extLst>
    </cfRule>
  </conditionalFormatting>
  <conditionalFormatting sqref="U18:V18">
    <cfRule type="dataBar" priority="31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{5E29D8A2-4A16-45FC-96F7-5037514D188E}</x14:id>
        </ext>
      </extLst>
    </cfRule>
  </conditionalFormatting>
  <conditionalFormatting sqref="U18:V18">
    <cfRule type="dataBar" priority="31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{7DF1E5E9-38F4-4691-A56C-03F8335013D6}</x14:id>
        </ext>
      </extLst>
    </cfRule>
  </conditionalFormatting>
  <conditionalFormatting sqref="U18:V18">
    <cfRule type="dataBar" priority="31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{3DC9CA6A-9D63-49F7-AF22-A74A567939FD}</x14:id>
        </ext>
      </extLst>
    </cfRule>
  </conditionalFormatting>
  <conditionalFormatting sqref="U22:V22">
    <cfRule type="dataBar" priority="31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{0C39C1AB-7031-4CD9-9E3C-39D384DDD2E2}</x14:id>
        </ext>
      </extLst>
    </cfRule>
  </conditionalFormatting>
  <conditionalFormatting sqref="U22:V22">
    <cfRule type="dataBar" priority="31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{773F4180-067A-4AFF-8992-B9BFB2C3479C}</x14:id>
        </ext>
      </extLst>
    </cfRule>
  </conditionalFormatting>
  <conditionalFormatting sqref="U22:V22">
    <cfRule type="dataBar" priority="31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{5AAACBC2-158C-4E46-A56E-CE2A1862F77D}</x14:id>
        </ext>
      </extLst>
    </cfRule>
  </conditionalFormatting>
  <conditionalFormatting sqref="U4:V4">
    <cfRule type="dataBar" priority="31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{A4F8F819-EE05-4178-BDB6-544D0CECF545}</x14:id>
        </ext>
      </extLst>
    </cfRule>
  </conditionalFormatting>
  <conditionalFormatting sqref="U4:V4">
    <cfRule type="dataBar" priority="31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{2C601160-48D6-4DDD-A8E1-0475AD833604}</x14:id>
        </ext>
      </extLst>
    </cfRule>
  </conditionalFormatting>
  <conditionalFormatting sqref="U4:V4">
    <cfRule type="dataBar" priority="31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{0E0FAC34-2C8E-417F-8B7D-34B9D264A49F}</x14:id>
        </ext>
      </extLst>
    </cfRule>
  </conditionalFormatting>
  <conditionalFormatting sqref="U24:V24">
    <cfRule type="dataBar" priority="31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{71507525-F390-4F73-AB82-600EFA663283}</x14:id>
        </ext>
      </extLst>
    </cfRule>
  </conditionalFormatting>
  <conditionalFormatting sqref="U24:V24">
    <cfRule type="dataBar" priority="31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{39E9DEF6-2B25-4B84-AC3E-A59A83C55A26}</x14:id>
        </ext>
      </extLst>
    </cfRule>
  </conditionalFormatting>
  <conditionalFormatting sqref="U24:V24">
    <cfRule type="dataBar" priority="3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{EDA73B55-AB01-4B1A-9FF4-19BC3C1F1190}</x14:id>
        </ext>
      </extLst>
    </cfRule>
  </conditionalFormatting>
  <conditionalFormatting sqref="U27:V27 U14:V14 U7:V7 U17:V17">
    <cfRule type="dataBar" priority="31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{F4F9469B-9622-4F69-9DEE-12E805DB0C7A}</x14:id>
        </ext>
      </extLst>
    </cfRule>
  </conditionalFormatting>
  <conditionalFormatting sqref="U27:V28 U23:V23 U21:V21 U5:V8 U10:V11 U14:V14 U17:V17">
    <cfRule type="dataBar" priority="314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{2C39FF8C-8A45-4425-8584-D5E39DBAF71D}</x14:id>
        </ext>
      </extLst>
    </cfRule>
  </conditionalFormatting>
  <conditionalFormatting sqref="U26:V26">
    <cfRule type="dataBar" priority="31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{48A49FB8-B037-48EF-87F8-A40A04AD97CF}</x14:id>
        </ext>
      </extLst>
    </cfRule>
  </conditionalFormatting>
  <conditionalFormatting sqref="U26:V26">
    <cfRule type="dataBar" priority="31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{DA55BFCD-824A-4D07-B88E-550798D08A67}</x14:id>
        </ext>
      </extLst>
    </cfRule>
  </conditionalFormatting>
  <conditionalFormatting sqref="U26:V26">
    <cfRule type="dataBar" priority="314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{120DC352-7B80-481F-8AB2-94192E7FA447}</x14:id>
        </ext>
      </extLst>
    </cfRule>
  </conditionalFormatting>
  <conditionalFormatting sqref="U23:V23 U27:V28 U5:V11 U17:V17 U14:V15 U19:V21">
    <cfRule type="dataBar" priority="314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{ADADF21A-C002-4549-A8A9-16D1D7698232}</x14:id>
        </ext>
      </extLst>
    </cfRule>
  </conditionalFormatting>
  <conditionalFormatting sqref="U30:V30">
    <cfRule type="dataBar" priority="314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{162C69B2-5DB2-4FE1-8809-5D23A8D40BA9}</x14:id>
        </ext>
      </extLst>
    </cfRule>
  </conditionalFormatting>
  <conditionalFormatting sqref="U30:V30">
    <cfRule type="dataBar" priority="31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{7A56E2C3-9F9F-4EB5-B0EB-9C953E02B94B}</x14:id>
        </ext>
      </extLst>
    </cfRule>
  </conditionalFormatting>
  <conditionalFormatting sqref="U30:V30">
    <cfRule type="dataBar" priority="314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{24EB33A5-D172-4045-8E02-C4263F077743}</x14:id>
        </ext>
      </extLst>
    </cfRule>
  </conditionalFormatting>
  <conditionalFormatting sqref="I4:I29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{3D0FBB70-8C6C-4E31-9020-A78CC5317347}</x14:id>
        </ext>
      </extLst>
    </cfRule>
  </conditionalFormatting>
  <conditionalFormatting sqref="I4:I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{6F220B6E-8484-4BF7-A9B0-AE8C6A1554BB}</x14:id>
        </ext>
      </extLst>
    </cfRule>
  </conditionalFormatting>
  <conditionalFormatting sqref="T4:T2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{BE174630-A63D-46DD-BE14-0B950F04342A}</x14:id>
        </ext>
      </extLst>
    </cfRule>
  </conditionalFormatting>
  <conditionalFormatting sqref="T4:T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{BEDD2712-8E93-498E-A78A-608BB792A5F0}</x14:id>
        </ext>
      </extLst>
    </cfRule>
  </conditionalFormatting>
  <conditionalFormatting sqref="T4:T3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{7D68C96B-190B-42D5-A1F2-E14E0185635C}</x14:id>
        </ext>
      </extLst>
    </cfRule>
  </conditionalFormatting>
  <conditionalFormatting sqref="I4:I3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{6DBE1380-9D64-4B27-8CCB-DC6EE154DB08}</x14:id>
        </ext>
      </extLst>
    </cfRule>
  </conditionalFormatting>
  <conditionalFormatting sqref="U4:V30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{93F96909-BA2D-4EBB-ACF8-6BB99E70D18B}</x14:id>
        </ext>
      </extLst>
    </cfRule>
  </conditionalFormatting>
  <conditionalFormatting sqref="T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{D8D46416-E499-4149-9EC8-449D55BFE112}</x14:id>
        </ext>
      </extLst>
    </cfRule>
  </conditionalFormatting>
  <conditionalFormatting sqref="E233">
    <cfRule type="containsText" dxfId="5245" priority="5" operator="containsText" text="Buy">
      <formula>NOT(ISERROR(SEARCH("Buy",E233)))</formula>
    </cfRule>
    <cfRule type="containsText" dxfId="5244" priority="6" operator="containsText" text="Sell">
      <formula>NOT(ISERROR(SEARCH("Sell",E233)))</formula>
    </cfRule>
  </conditionalFormatting>
  <conditionalFormatting sqref="H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{3F8E2799-6061-48CE-BC94-21AFAB6990EB}</x14:id>
        </ext>
      </extLst>
    </cfRule>
    <cfRule type="cellIs" dxfId="5243" priority="4" operator="equal">
      <formula>1</formula>
    </cfRule>
  </conditionalFormatting>
  <conditionalFormatting sqref="D76">
    <cfRule type="containsText" dxfId="5242" priority="2" operator="containsText" text="Buy">
      <formula>NOT(ISERROR(SEARCH("Buy",D76)))</formula>
    </cfRule>
    <cfRule type="containsText" dxfId="5241" priority="3" operator="containsText" text="Sell">
      <formula>NOT(ISERROR(SEARCH("Sell",D76)))</formula>
    </cfRule>
  </conditionalFormatting>
  <pageMargins left="0.25" right="0.25" top="0.75" bottom="0.75" header="0.3" footer="0.3"/>
  <pageSetup paperSize="8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065ABF-9BC8-443E-868F-EA7524B77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E9BA81D3-62D5-4075-A9AF-F8116D8960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9649624-173C-41C3-B751-6F2E339999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DABB95ED-D788-42FA-89F2-BEE1AA3EA5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83255A3-593F-42CC-82C6-6F7651FE5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E1735D7-6F01-494C-925F-237D853D4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56555D39-7686-4B6A-A170-92F9B6ED0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C7D336A9-A65E-4BCF-960A-1C01759899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63C082-9F95-4364-A281-E11B75FBCB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CFF04AA7-F5CC-41C2-9AF0-1BC0EB5B3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0CB05363-C740-4673-A4E6-E7E7048A4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46887005-768A-456C-AE5E-6B9746CEB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L6:M6 L21:M21</xm:sqref>
        </x14:conditionalFormatting>
        <x14:conditionalFormatting xmlns:xm="http://schemas.microsoft.com/office/excel/2006/main">
          <x14:cfRule type="dataBar" id="{DE8587F3-AFFE-4757-AF38-5B2A875338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401B10A3-98F9-4362-8944-CA2506F7FA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5D5C8F4-572E-4E92-980E-C7CBAE665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0FFAA67-CE57-43A0-8629-782884880B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FAC07CB6-F350-4EA6-A4A7-2094201F02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438BCAA-A061-40ED-AE8A-2BE816381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BC141481-82D5-433A-A0DB-00FDC00541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</xm:sqref>
        </x14:conditionalFormatting>
        <x14:conditionalFormatting xmlns:xm="http://schemas.microsoft.com/office/excel/2006/main">
          <x14:cfRule type="dataBar" id="{0B549186-BC4E-4C70-B317-A9FCBD9CE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H47</xm:sqref>
        </x14:conditionalFormatting>
        <x14:conditionalFormatting xmlns:xm="http://schemas.microsoft.com/office/excel/2006/main">
          <x14:cfRule type="dataBar" id="{E71411CD-5964-4A1B-AF58-1BB37AC2F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8631B7BF-90EC-49B1-8E8F-8A50A0E0C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L29:M29</xm:sqref>
        </x14:conditionalFormatting>
        <x14:conditionalFormatting xmlns:xm="http://schemas.microsoft.com/office/excel/2006/main">
          <x14:cfRule type="dataBar" id="{6A4B1EB5-0B64-474B-B02B-C5BEF076E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7A3BC13F-1AAE-4BB0-8C2F-EB48501355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F5617CFB-38BB-4810-811D-BCF621FE0E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33CBDA01-ECBB-4456-84CE-7AF1F398B2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5347C78B-B8AD-4B94-9B81-458EBDB4D0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86279A07-AFB6-4937-8181-93253F9B2C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DDDC31E7-2C9C-4542-A775-6036BD6182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B8081145-8C74-457D-A6C8-7336850A5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L29</xm:sqref>
        </x14:conditionalFormatting>
        <x14:conditionalFormatting xmlns:xm="http://schemas.microsoft.com/office/excel/2006/main">
          <x14:cfRule type="dataBar" id="{A4E810A4-F6BE-4B82-B1D4-4AB560D5BE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ED820E00-803D-4CF4-988D-0744EAA05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65CA3197-1A28-42C4-AA54-EED24655CC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EDCC25C2-A745-4F72-9C37-3EC91D95E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AF289D07-BACF-4D2C-ABAE-A0B36A59C3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08839FBC-DCB4-4AA5-A295-319FEA40D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1D69080-AC2D-40AF-8A5A-DFD98D3901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1A350BF9-4708-4344-9329-696E5A5C65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6FE3D0F1-3DA0-4900-93C2-C4EAFEA02B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64DCE1A0-C315-4D50-AAF4-43B578938D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A5E0B08-39C1-43E6-B732-A4DAB9E3A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EA8C9E00-C583-4FB9-A376-92565E33A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</xm:sqref>
        </x14:conditionalFormatting>
        <x14:conditionalFormatting xmlns:xm="http://schemas.microsoft.com/office/excel/2006/main">
          <x14:cfRule type="dataBar" id="{02B7F5A3-7CA0-443A-A422-9169790D0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V25</xm:sqref>
        </x14:conditionalFormatting>
        <x14:conditionalFormatting xmlns:xm="http://schemas.microsoft.com/office/excel/2006/main">
          <x14:cfRule type="dataBar" id="{8BE04109-D168-4F9B-9AD4-375DFE2FF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W25</xm:sqref>
        </x14:conditionalFormatting>
        <x14:conditionalFormatting xmlns:xm="http://schemas.microsoft.com/office/excel/2006/main">
          <x14:cfRule type="dataBar" id="{E25E9EAC-09C3-4220-87C1-B51C4CAC3F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6CD8FCC-26E1-4B60-93EB-40D24BED9B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F75128D8-F7A1-4471-9FFF-9F84BCC41D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9B851A73-FF9E-4329-B07C-A5C3D8249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7198498-6A0D-4E65-A6AA-E59C0A2905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200236-B67D-4287-A272-DB349F45B6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472EBD-F865-4D0D-A2FA-E1728D5F0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5D5D7187-563E-4E0D-9D5F-A048EFABE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82E70A20-D1F6-401A-925C-BCB28BD30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CDA91011-8031-451B-A1BC-BE5391BFE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0E540A9-AA14-4BE9-8BB5-A087315F2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4A0E1246-12E6-42AB-B44B-09B4ED9F89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533F648B-EB2C-4B7A-B6FB-054DA104F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1EFCDE71-DF01-4C3F-BB8F-EDAD9ED31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7CB303D9-CDC9-49CC-A697-9C4EE6C58D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838EE12-B141-4723-95B3-73999DA9DC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5F895737-7B6A-4089-8D6B-659BE790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8FC1240B-AF38-4FF6-8B46-33C1DF9B80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2262D52A-3982-4937-BB64-D7F055BC2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BEFADAAA-0AD9-461F-AB74-FBE3329B2D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5A7394AE-CAFC-45F1-B547-D86A1592C4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500F7B62-631F-470A-BE7D-9CF0740A2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CE3C25E4-3D4C-4FC8-B6A7-DABAC23AD2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3EFB5A63-0F05-47DB-95BC-451A6BB60D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40863BC5-27BD-4293-A87F-7430478481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8E924F86-8528-4560-B774-F0DC8F431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C05C1D62-BD1E-4E24-B385-5766537E38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D510D37-A393-4C20-AEDD-28194A0405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L22:M22</xm:sqref>
        </x14:conditionalFormatting>
        <x14:conditionalFormatting xmlns:xm="http://schemas.microsoft.com/office/excel/2006/main">
          <x14:cfRule type="dataBar" id="{C714E12D-579F-4F06-99DF-808D0C12CE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57007DE4-0C43-45CD-80B1-8D8B916B19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10E1D4D-88E9-454A-B0F5-0EC943C84B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114F1446-7775-479D-8457-8F468BF219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7BB6141E-673B-4D66-A026-0BC6E1461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94A43DE-8DFC-4008-9DB2-2CAF2B6F3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65FB42D0-2961-4EDF-A02B-B3B6279A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9353440-E4BB-4F98-B311-63DC439A14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4E0386DC-7EDE-494E-8FAA-93B03198B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M22</xm:sqref>
        </x14:conditionalFormatting>
        <x14:conditionalFormatting xmlns:xm="http://schemas.microsoft.com/office/excel/2006/main">
          <x14:cfRule type="dataBar" id="{75844996-6374-4FFC-86DF-9286EAD356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58426E93-ED4A-4F12-8C4B-C552F123EC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EC759D2E-411E-4FBA-A866-96C262D257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D10FCADD-F9ED-4E6F-862A-6A6FBD45EE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1922AAC5-2733-4C84-B52D-3CF640A94F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37C7E98-0E25-4677-BAFC-BC8385669D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B86414C-5745-4F95-BA08-D8281E36EC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5D41529F-9BAE-482C-8C68-0272E28F48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C457335-8BE0-4C47-A775-B6C4052EF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398AC5F2-0C7D-42DE-A8CB-20197999D4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32CBC898-A5B4-40BD-AD08-623712D6D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9148FC4E-27EE-4375-91D2-783E28305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BDC0A30-669D-43FE-961A-3710066AD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5BF3C7-D915-4F46-AE53-E9BE3F711E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2B2FB37-EE84-4849-94B0-864D6F540D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A5327A8-4702-4D66-9F8C-A0DDFB77A9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ABF46BE-DB5F-439F-BDB0-D7F1607E64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7962585E-720C-4F22-A763-A5BCB0D778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207E543A-2791-4F9F-AFCA-41388130EE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L25:M25 L18:M19</xm:sqref>
        </x14:conditionalFormatting>
        <x14:conditionalFormatting xmlns:xm="http://schemas.microsoft.com/office/excel/2006/main">
          <x14:cfRule type="dataBar" id="{8F62D440-0708-4E3D-A796-4DDCF0977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L18:L19 L25</xm:sqref>
        </x14:conditionalFormatting>
        <x14:conditionalFormatting xmlns:xm="http://schemas.microsoft.com/office/excel/2006/main">
          <x14:cfRule type="dataBar" id="{37354462-9947-47C6-A119-3A3DB3A4EE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M18:M19 M25</xm:sqref>
        </x14:conditionalFormatting>
        <x14:conditionalFormatting xmlns:xm="http://schemas.microsoft.com/office/excel/2006/main">
          <x14:cfRule type="dataBar" id="{0A3A4972-32E2-45A4-84C4-7F0857D8CF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FEDA3D20-B8B9-4954-9EC1-640A4C1E81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137474F2-5DB7-44A6-8D91-6F13F4C169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07E788D2-696B-42DE-99B1-F03F75AC4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9D0B351-E063-4724-B6E7-ACA76E784A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A3A680AE-203D-40C7-A98C-CE52587DFF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DDE41A58-8FEB-4F1C-9117-9247A21C9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B537E0D-91BE-43FE-B07D-FFF24ABB6D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0D4DFB50-3935-4299-A203-13389186E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1CCF6BFC-67A4-41C7-85D1-A376C9DE1A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L24:M24</xm:sqref>
        </x14:conditionalFormatting>
        <x14:conditionalFormatting xmlns:xm="http://schemas.microsoft.com/office/excel/2006/main">
          <x14:cfRule type="dataBar" id="{B24A9F59-85AB-4446-BC60-F12E2B9AF9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1C9C46C-C162-4324-BF81-FAC8CA2E39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F2F1AE2-9091-43A6-91EF-4EF68B260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96BBD6FA-D093-4A8E-8E82-82269460CE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8EB63753-E00E-4B50-A2C0-D0FB221E67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L24</xm:sqref>
        </x14:conditionalFormatting>
        <x14:conditionalFormatting xmlns:xm="http://schemas.microsoft.com/office/excel/2006/main">
          <x14:cfRule type="dataBar" id="{3727AF79-AF0C-4736-86E0-204B48E960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18C671EA-094B-4D38-9781-DF695EF6B9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375C20A7-3820-4847-9E98-D7D8D66A5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A93B765D-B908-4BBD-8CD6-28410F75E5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336FF93-4DD2-4C2E-BC4D-C0B812A66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A9C5AAF1-2B89-4017-9D2C-D65A44C861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EA8DEB98-2863-4460-9C29-8D222FAEFA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3A4E528-0C84-4608-874E-9B0F4ABCB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7E985B38-6F32-418B-B0C7-961B63FC95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8E82F11C-9461-419B-8B9D-9D02A09A77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L27:M28 L23:M23 L21:M21 L5:M8 L10:M11 L14:M15 L17:M17</xm:sqref>
        </x14:conditionalFormatting>
        <x14:conditionalFormatting xmlns:xm="http://schemas.microsoft.com/office/excel/2006/main">
          <x14:cfRule type="dataBar" id="{A588DDE7-C8E2-4F90-8E94-386045144D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X25 X23 X5:X21 X27:X29</xm:sqref>
        </x14:conditionalFormatting>
        <x14:conditionalFormatting xmlns:xm="http://schemas.microsoft.com/office/excel/2006/main">
          <x14:cfRule type="dataBar" id="{229988DE-AF6F-4C1E-A45A-1F872685A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X20:X21 X27 X5:X17</xm:sqref>
        </x14:conditionalFormatting>
        <x14:conditionalFormatting xmlns:xm="http://schemas.microsoft.com/office/excel/2006/main">
          <x14:cfRule type="dataBar" id="{DE2BD843-317B-4663-B801-109435AB1C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X27 X21 X5:X6 X16:X17</xm:sqref>
        </x14:conditionalFormatting>
        <x14:conditionalFormatting xmlns:xm="http://schemas.microsoft.com/office/excel/2006/main">
          <x14:cfRule type="dataBar" id="{EF8DEB9E-EE46-40B2-89FF-2F35A0F2B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0BDC59DB-9EC4-4575-9BA6-2FDAE5552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E06112DA-7BCC-41EC-AD29-D604FB7D32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F3FB437C-2997-4FFA-9BCB-E6876570E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1F9E6E73-A368-4081-B99C-79B422A435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EFC09C0B-6F52-4CE1-8604-A8B6B8850A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E855F395-E3FA-4B37-8DB3-3650FC99BB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5247371C-994E-42E8-A5A6-C3241A7CCC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3C491DAA-7668-4C58-A1BD-4580FDE7C7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8CE2C760-A04C-473F-9481-0936ED23C6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1A8A6A81-DF41-47A9-9F68-81864A448E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9C2F5F0A-B883-43E1-A000-9F69CAA2E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V26</xm:sqref>
        </x14:conditionalFormatting>
        <x14:conditionalFormatting xmlns:xm="http://schemas.microsoft.com/office/excel/2006/main">
          <x14:cfRule type="dataBar" id="{18E5BAB4-BD0D-4733-86C1-FECEA2F8D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2CADB318-E2B3-46BA-9F4B-04D3FEE57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L26:M26</xm:sqref>
        </x14:conditionalFormatting>
        <x14:conditionalFormatting xmlns:xm="http://schemas.microsoft.com/office/excel/2006/main">
          <x14:cfRule type="dataBar" id="{73CA1716-19F1-4265-B4A4-869B53C658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H66</xm:sqref>
        </x14:conditionalFormatting>
        <x14:conditionalFormatting xmlns:xm="http://schemas.microsoft.com/office/excel/2006/main">
          <x14:cfRule type="dataBar" id="{913E0713-A9AD-44F2-91F9-3ECD75DA5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H67</xm:sqref>
        </x14:conditionalFormatting>
        <x14:conditionalFormatting xmlns:xm="http://schemas.microsoft.com/office/excel/2006/main">
          <x14:cfRule type="dataBar" id="{AE0B698D-7ED4-4A7E-A74C-96EFC00973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L5:L8 L10:L11 L17 L14:L15 L20:L21</xm:sqref>
        </x14:conditionalFormatting>
        <x14:conditionalFormatting xmlns:xm="http://schemas.microsoft.com/office/excel/2006/main">
          <x14:cfRule type="dataBar" id="{C6C4CF4B-EB38-4722-8C3C-A201DEE747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M5:M8 M10:M11 M17 M14:M15 M20:M21</xm:sqref>
        </x14:conditionalFormatting>
        <x14:conditionalFormatting xmlns:xm="http://schemas.microsoft.com/office/excel/2006/main">
          <x14:cfRule type="dataBar" id="{5FF6E456-7834-4085-A209-22FF77250F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L27:L28 L23 L5:L11 L17 L14:L15 L20:L21</xm:sqref>
        </x14:conditionalFormatting>
        <x14:conditionalFormatting xmlns:xm="http://schemas.microsoft.com/office/excel/2006/main">
          <x14:cfRule type="dataBar" id="{5B59BF30-4A86-41DB-8838-E3D7B62470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M27:M28 M23 M5:M11 M17 M14:M15 M20:M21</xm:sqref>
        </x14:conditionalFormatting>
        <x14:conditionalFormatting xmlns:xm="http://schemas.microsoft.com/office/excel/2006/main">
          <x14:cfRule type="dataBar" id="{7C2FAB0F-3C19-4B60-881E-140484DEDE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U5:U8 U23 U10:U11 U17 U14:U15 U19:U21</xm:sqref>
        </x14:conditionalFormatting>
        <x14:conditionalFormatting xmlns:xm="http://schemas.microsoft.com/office/excel/2006/main">
          <x14:cfRule type="dataBar" id="{E271A645-9B06-449C-BB6A-BCE81500A7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ACC53431-7A75-476E-842E-61ABDDACBB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V27:V28 V23 V5:V8 V10:V11 V17 V14:V15 V19:V21</xm:sqref>
        </x14:conditionalFormatting>
        <x14:conditionalFormatting xmlns:xm="http://schemas.microsoft.com/office/excel/2006/main">
          <x14:cfRule type="dataBar" id="{01200136-D6A6-48C3-B7D0-7D0A86FE03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H68</xm:sqref>
        </x14:conditionalFormatting>
        <x14:conditionalFormatting xmlns:xm="http://schemas.microsoft.com/office/excel/2006/main">
          <x14:cfRule type="dataBar" id="{04A44D2E-FDF4-43AA-9F1B-AA241BE78E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H69</xm:sqref>
        </x14:conditionalFormatting>
        <x14:conditionalFormatting xmlns:xm="http://schemas.microsoft.com/office/excel/2006/main">
          <x14:cfRule type="dataBar" id="{0C91BDEE-2717-469D-B632-23F4AC5D69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BC3C53EC-6509-4C0F-A9FC-6AA831DDD7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M4:M23 M25 M27:M29</xm:sqref>
        </x14:conditionalFormatting>
        <x14:conditionalFormatting xmlns:xm="http://schemas.microsoft.com/office/excel/2006/main">
          <x14:cfRule type="dataBar" id="{312B3432-54AB-4110-B290-40A3821DF2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W14:W15 W23 W10:W11 W19:W21 W17 W27:W28 W5:W8</xm:sqref>
        </x14:conditionalFormatting>
        <x14:conditionalFormatting xmlns:xm="http://schemas.microsoft.com/office/excel/2006/main">
          <x14:cfRule type="dataBar" id="{BEDCFC60-9524-4F4C-B974-79C8DC38C3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L27:M29 L4:M25</xm:sqref>
        </x14:conditionalFormatting>
        <x14:conditionalFormatting xmlns:xm="http://schemas.microsoft.com/office/excel/2006/main">
          <x14:cfRule type="dataBar" id="{7DB40724-D0BC-4207-94BC-277B8D392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H70</xm:sqref>
        </x14:conditionalFormatting>
        <x14:conditionalFormatting xmlns:xm="http://schemas.microsoft.com/office/excel/2006/main">
          <x14:cfRule type="dataBar" id="{503322F6-5D62-40C3-844A-CD363BCAB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H71</xm:sqref>
        </x14:conditionalFormatting>
        <x14:conditionalFormatting xmlns:xm="http://schemas.microsoft.com/office/excel/2006/main">
          <x14:cfRule type="dataBar" id="{847F6613-2B0C-4418-BAFF-147EACA97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H72</xm:sqref>
        </x14:conditionalFormatting>
        <x14:conditionalFormatting xmlns:xm="http://schemas.microsoft.com/office/excel/2006/main">
          <x14:cfRule type="dataBar" id="{7660EE78-D35D-4711-ABCE-4CFEBBC5F1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H73:H74</xm:sqref>
        </x14:conditionalFormatting>
        <x14:conditionalFormatting xmlns:xm="http://schemas.microsoft.com/office/excel/2006/main">
          <x14:cfRule type="dataBar" id="{32BCAE68-71A8-452C-89A3-8C5A4B5BE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9549FC6A-41A3-4FB4-B040-447AFF30B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F47636C7-EF82-45E3-80BE-FC42D1B785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E5187FB0-BAD0-4085-AF7C-E7233AC9BD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</xm:sqref>
        </x14:conditionalFormatting>
        <x14:conditionalFormatting xmlns:xm="http://schemas.microsoft.com/office/excel/2006/main">
          <x14:cfRule type="dataBar" id="{B167B0EC-35DD-46E0-95A3-D94AB6942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M30</xm:sqref>
        </x14:conditionalFormatting>
        <x14:conditionalFormatting xmlns:xm="http://schemas.microsoft.com/office/excel/2006/main">
          <x14:cfRule type="dataBar" id="{288FB289-B8A6-47C8-BF36-38B36B3A64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B18F747D-5ED0-498E-9568-C49B8C221B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9869173A-4789-4F3B-982D-2851C60E82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19633AD1-CE17-4581-B63E-21F2D368E7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L30:M30</xm:sqref>
        </x14:conditionalFormatting>
        <x14:conditionalFormatting xmlns:xm="http://schemas.microsoft.com/office/excel/2006/main">
          <x14:cfRule type="dataBar" id="{45D0E5C5-9D11-4BA1-9EFD-387AC6A605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L4:M30</xm:sqref>
        </x14:conditionalFormatting>
        <x14:conditionalFormatting xmlns:xm="http://schemas.microsoft.com/office/excel/2006/main">
          <x14:cfRule type="dataBar" id="{A9930582-5701-4174-A420-0B118F103D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H75</xm:sqref>
        </x14:conditionalFormatting>
        <x14:conditionalFormatting xmlns:xm="http://schemas.microsoft.com/office/excel/2006/main">
          <x14:cfRule type="dataBar" id="{6AC11CAD-FAF9-46D2-867C-1EF118CA21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D13646AB-6606-4F56-AC12-0F9407F2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F1BDA9E4-D2E6-44C4-AC6D-48A86D7B16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</xm:sqref>
        </x14:conditionalFormatting>
        <x14:conditionalFormatting xmlns:xm="http://schemas.microsoft.com/office/excel/2006/main">
          <x14:cfRule type="dataBar" id="{008EDA9A-99F6-426E-86BF-7F8B1248AE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18FD7FC8-1744-46B3-B099-A1913BFE08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67CFA085-F437-4115-8FDE-AEA703B327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0EB64C4C-571D-46C0-9DE8-9C72376344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662BE91-2BFB-4B6B-AA34-D21C32684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E6D5904-A8D9-47F0-B2D6-3B52127718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E4B7542B-30B6-4B6B-B10F-271E37284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31285E-8660-496E-9C89-537D885740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8595A2E-9CD6-4A7C-BB84-2E86E1E27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E963FBAA-9ECB-416C-AF49-3D3B0DE81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EAB72EE-CF73-46C4-991F-A011AD26D8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A579F34-7AEA-4F2D-AC6C-678BD0540C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81FFEFC0-D5E9-4172-8758-46CA6D75E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U23:V23</xm:sqref>
        </x14:conditionalFormatting>
        <x14:conditionalFormatting xmlns:xm="http://schemas.microsoft.com/office/excel/2006/main">
          <x14:cfRule type="dataBar" id="{94122ADE-EA75-42DF-94C6-6E7E8E5FD2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B690A1F-0230-4C19-8519-FF95416642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89B7375B-5C9D-4CE6-8C02-EC2F28A8E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E12D574E-76A6-48FE-8B4C-A2442B44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U28:V28</xm:sqref>
        </x14:conditionalFormatting>
        <x14:conditionalFormatting xmlns:xm="http://schemas.microsoft.com/office/excel/2006/main">
          <x14:cfRule type="dataBar" id="{051248EB-64CD-4A77-AAE9-96D59117FD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2BBF94E-793C-4AEE-B478-B17511E795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E3423601-5FFA-4DCB-A57D-0E6A635AFC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971FFB45-F4CB-44B5-AD58-DDC069CF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5D3B406-A84A-4561-B783-18B76D448D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198C51E-D8CA-44BE-9634-179308422C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69BFFC5-E672-4462-9B82-10850EE7D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A2AA7DB-3280-4414-A16A-89146E9760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DFA7E50E-4A76-498E-BAAD-3AFA1E2B7F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2182181F-ACED-4F7D-921D-986D7F082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C6CB463A-298F-4BF4-870C-F0E0C6896E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U29:V29</xm:sqref>
        </x14:conditionalFormatting>
        <x14:conditionalFormatting xmlns:xm="http://schemas.microsoft.com/office/excel/2006/main">
          <x14:cfRule type="dataBar" id="{F09E3767-1E19-44F9-8012-37126D934D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EA092DBE-4FFE-4773-85D3-839E668BD3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FBB9D80-21AA-4D36-BF03-E3E81AA3B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B9E23E-7037-427D-9F8A-51A958674B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3ACDFFCF-39A4-457A-8723-04EA1E28FD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A7B40426-4183-4E5C-885D-7E0D2CEB44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U25:V25</xm:sqref>
        </x14:conditionalFormatting>
        <x14:conditionalFormatting xmlns:xm="http://schemas.microsoft.com/office/excel/2006/main">
          <x14:cfRule type="dataBar" id="{823C37B8-C16F-45D6-A1FB-0F804629D1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E11A1619-11D9-4322-9118-B24A257133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92D251D-0710-44CF-8B23-AC4626A655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AF3E2449-4EF9-4916-9339-F71937BF0F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5D7ECB4-2250-4AE2-BA81-FCE78165D7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4299883-47F5-4986-A2EE-FE0F5F034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5E29D8A2-4A16-45FC-96F7-5037514D18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7DF1E5E9-38F4-4691-A56C-03F8335013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3DC9CA6A-9D63-49F7-AF22-A74A56793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U18:V18</xm:sqref>
        </x14:conditionalFormatting>
        <x14:conditionalFormatting xmlns:xm="http://schemas.microsoft.com/office/excel/2006/main">
          <x14:cfRule type="dataBar" id="{0C39C1AB-7031-4CD9-9E3C-39D384DDD2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773F4180-067A-4AFF-8992-B9BFB2C3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5AAACBC2-158C-4E46-A56E-CE2A1862F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U22:V22</xm:sqref>
        </x14:conditionalFormatting>
        <x14:conditionalFormatting xmlns:xm="http://schemas.microsoft.com/office/excel/2006/main">
          <x14:cfRule type="dataBar" id="{A4F8F819-EE05-4178-BDB6-544D0CECF5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2C601160-48D6-4DDD-A8E1-0475AD8336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E0FAC34-2C8E-417F-8B7D-34B9D264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1507525-F390-4F73-AB82-600EFA663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39E9DEF6-2B25-4B84-AC3E-A59A83C55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EDA73B55-AB01-4B1A-9FF4-19BC3C1F11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U24:V24</xm:sqref>
        </x14:conditionalFormatting>
        <x14:conditionalFormatting xmlns:xm="http://schemas.microsoft.com/office/excel/2006/main">
          <x14:cfRule type="dataBar" id="{F4F9469B-9622-4F69-9DEE-12E805DB0C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U27:V27 U14:V14 U7:V7 U17:V17</xm:sqref>
        </x14:conditionalFormatting>
        <x14:conditionalFormatting xmlns:xm="http://schemas.microsoft.com/office/excel/2006/main">
          <x14:cfRule type="dataBar" id="{2C39FF8C-8A45-4425-8584-D5E39DBAF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U27:V28 U23:V23 U21:V21 U5:V8 U10:V11 U14:V14 U17:V17</xm:sqref>
        </x14:conditionalFormatting>
        <x14:conditionalFormatting xmlns:xm="http://schemas.microsoft.com/office/excel/2006/main">
          <x14:cfRule type="dataBar" id="{48A49FB8-B037-48EF-87F8-A40A04AD97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DA55BFCD-824A-4D07-B88E-550798D08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120DC352-7B80-481F-8AB2-94192E7FA4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U26:V26</xm:sqref>
        </x14:conditionalFormatting>
        <x14:conditionalFormatting xmlns:xm="http://schemas.microsoft.com/office/excel/2006/main">
          <x14:cfRule type="dataBar" id="{ADADF21A-C002-4549-A8A9-16D1D76982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U23:V23 U27:V28 U5:V11 U17:V17 U14:V15 U19:V21</xm:sqref>
        </x14:conditionalFormatting>
        <x14:conditionalFormatting xmlns:xm="http://schemas.microsoft.com/office/excel/2006/main">
          <x14:cfRule type="dataBar" id="{162C69B2-5DB2-4FE1-8809-5D23A8D40B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7A56E2C3-9F9F-4EB5-B0EB-9C953E02B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24EB33A5-D172-4045-8E02-C4263F077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U30:V30</xm:sqref>
        </x14:conditionalFormatting>
        <x14:conditionalFormatting xmlns:xm="http://schemas.microsoft.com/office/excel/2006/main">
          <x14:cfRule type="dataBar" id="{3D0FBB70-8C6C-4E31-9020-A78CC53173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6F220B6E-8484-4BF7-A9B0-AE8C6A1554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I4:I29</xm:sqref>
        </x14:conditionalFormatting>
        <x14:conditionalFormatting xmlns:xm="http://schemas.microsoft.com/office/excel/2006/main">
          <x14:cfRule type="dataBar" id="{BE174630-A63D-46DD-BE14-0B950F043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T4:T27</xm:sqref>
        </x14:conditionalFormatting>
        <x14:conditionalFormatting xmlns:xm="http://schemas.microsoft.com/office/excel/2006/main">
          <x14:cfRule type="dataBar" id="{BEDD2712-8E93-498E-A78A-608BB792A5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T4:T30</xm:sqref>
        </x14:conditionalFormatting>
        <x14:conditionalFormatting xmlns:xm="http://schemas.microsoft.com/office/excel/2006/main">
          <x14:cfRule type="dataBar" id="{7D68C96B-190B-42D5-A1F2-E14E018563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T4:T32</xm:sqref>
        </x14:conditionalFormatting>
        <x14:conditionalFormatting xmlns:xm="http://schemas.microsoft.com/office/excel/2006/main">
          <x14:cfRule type="dataBar" id="{6DBE1380-9D64-4B27-8CCB-DC6EE154D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I4:I32</xm:sqref>
        </x14:conditionalFormatting>
        <x14:conditionalFormatting xmlns:xm="http://schemas.microsoft.com/office/excel/2006/main">
          <x14:cfRule type="dataBar" id="{93F96909-BA2D-4EBB-ACF8-6BB99E70D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U4:V30</xm:sqref>
        </x14:conditionalFormatting>
        <x14:conditionalFormatting xmlns:xm="http://schemas.microsoft.com/office/excel/2006/main">
          <x14:cfRule type="dataBar" id="{D8D46416-E499-4149-9EC8-449D55BFE1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3F8E2799-6061-48CE-BC94-21AFAB6990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H76</xm:sqref>
        </x14:conditionalFormatting>
        <x14:conditionalFormatting xmlns:xm="http://schemas.microsoft.com/office/excel/2006/main">
          <x14:cfRule type="iconSet" priority="13" id="{38EB71C8-07ED-462F-9B1A-8F594488AAB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A476"/>
  <sheetViews>
    <sheetView zoomScaleNormal="100" workbookViewId="0">
      <pane xSplit="2" topLeftCell="C1" activePane="topRight" state="frozen"/>
      <selection pane="topRight" activeCell="D6" sqref="D6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0.85546875" style="32" customWidth="1"/>
    <col min="11" max="11" width="13.28515625" style="32" customWidth="1"/>
    <col min="12" max="12" width="11.42578125" style="49" customWidth="1"/>
    <col min="13" max="13" width="12" style="32" customWidth="1"/>
    <col min="14" max="14" width="11.28515625" style="32" customWidth="1"/>
    <col min="15" max="15" width="11.42578125" style="32" customWidth="1"/>
    <col min="16" max="17" width="12.5703125" style="32" customWidth="1"/>
    <col min="18" max="18" width="11.5703125" style="32" customWidth="1"/>
    <col min="19" max="19" width="12.140625" style="32" customWidth="1"/>
    <col min="20" max="20" width="12" style="32" customWidth="1"/>
    <col min="21" max="21" width="9.140625" style="32"/>
    <col min="22" max="22" width="9.85546875" style="32" customWidth="1"/>
    <col min="23" max="23" width="11.28515625" style="32" customWidth="1"/>
    <col min="24" max="24" width="10.7109375" style="32" customWidth="1"/>
    <col min="25" max="16384" width="9.140625" style="32"/>
  </cols>
  <sheetData>
    <row r="1" spans="1:24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89.25" x14ac:dyDescent="0.2">
      <c r="A3" s="619"/>
      <c r="B3" s="619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9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128</v>
      </c>
      <c r="V3" s="619" t="s">
        <v>129</v>
      </c>
      <c r="W3" s="619" t="s">
        <v>778</v>
      </c>
      <c r="X3" s="619" t="s">
        <v>779</v>
      </c>
    </row>
    <row r="4" spans="1:24" s="429" customFormat="1" x14ac:dyDescent="0.2">
      <c r="A4" s="196" t="s">
        <v>423</v>
      </c>
      <c r="B4" s="197" t="s">
        <v>358</v>
      </c>
      <c r="C4" s="196" t="s">
        <v>55</v>
      </c>
      <c r="D4" s="198" t="e">
        <f t="shared" ref="D4:D22" ca="1" si="0">Q4/$Q$23</f>
        <v>#NAME?</v>
      </c>
      <c r="E4" s="123">
        <f>$F$92</f>
        <v>411</v>
      </c>
      <c r="F4" s="268">
        <f>$H$92</f>
        <v>9477.3479257907529</v>
      </c>
      <c r="G4" s="268" t="e">
        <f ca="1">_xll.BDP($C4,"PX_LAST")</f>
        <v>#NAME?</v>
      </c>
      <c r="H4" s="613" t="e">
        <f ca="1">_xll.BDP($C4,"BEST_TARGET_PRICE")</f>
        <v>#NAME?</v>
      </c>
      <c r="I4" s="611" t="e">
        <f t="shared" ref="I4:I17" ca="1" si="1">H4/G4-1</f>
        <v>#NAME?</v>
      </c>
      <c r="J4" s="181" t="e">
        <f ca="1">_xll.BDP($C4,"EQY_REC_CONS")</f>
        <v>#NAME?</v>
      </c>
      <c r="K4" s="199" t="e">
        <f ca="1">_xll.BDP($C4,"CRNCY")</f>
        <v>#NAME?</v>
      </c>
      <c r="L4" s="198" t="e">
        <f t="shared" ref="L4:L11" ca="1" si="2">G4/F4-1</f>
        <v>#NAME?</v>
      </c>
      <c r="M4" s="198" t="e">
        <f t="shared" ref="M4:M11" ca="1" si="3">Q4/O4-1</f>
        <v>#NAME?</v>
      </c>
      <c r="N4" s="123">
        <f>E4*F4</f>
        <v>3895189.9974999996</v>
      </c>
      <c r="O4" s="123" t="e">
        <f ca="1">$J$92</f>
        <v>#NAME?</v>
      </c>
      <c r="P4" s="123" t="e">
        <f ca="1">E4*G4</f>
        <v>#NAME?</v>
      </c>
      <c r="Q4" s="123" t="e">
        <f t="shared" ref="Q4:Q17" ca="1" si="4">P4/$I$1</f>
        <v>#NAME?</v>
      </c>
      <c r="R4" s="123" t="e">
        <f t="shared" ref="R4:R17" ca="1" si="5">P4-N4</f>
        <v>#NAME?</v>
      </c>
      <c r="S4" s="123" t="e">
        <f t="shared" ref="S4:S17" ca="1" si="6">Q4-O4</f>
        <v>#NAME?</v>
      </c>
      <c r="T4" s="268" t="e">
        <f ca="1">_xll.BDP($C4,"EQY_DVD_YLD_EST")</f>
        <v>#NAME?</v>
      </c>
      <c r="U4" s="263" t="e">
        <f ca="1">_xll.BDP($C4,"CHG_PCT_YTD")</f>
        <v>#NAME?</v>
      </c>
      <c r="V4" s="263" t="e">
        <f ca="1">_xll.BDP($C4,"CHG_PCT_1YR")</f>
        <v>#NAME?</v>
      </c>
      <c r="W4" s="263" t="e">
        <f ca="1">_xll.BDP($C4,"DVD_EX_DT")</f>
        <v>#NAME?</v>
      </c>
      <c r="X4" s="263" t="e">
        <f ca="1">_xll.BDP($C4,"BDVD_NEXT_EST_DECL_DT")</f>
        <v>#NAME?</v>
      </c>
    </row>
    <row r="5" spans="1:24" s="429" customFormat="1" x14ac:dyDescent="0.2">
      <c r="A5" s="196" t="s">
        <v>423</v>
      </c>
      <c r="B5" s="197" t="s">
        <v>147</v>
      </c>
      <c r="C5" s="196" t="s">
        <v>53</v>
      </c>
      <c r="D5" s="198" t="e">
        <f t="shared" ca="1" si="0"/>
        <v>#NAME?</v>
      </c>
      <c r="E5" s="123">
        <f>$F$87</f>
        <v>1725</v>
      </c>
      <c r="F5" s="268">
        <f>$H$87</f>
        <v>2272.6106800000002</v>
      </c>
      <c r="G5" s="268" t="e">
        <f ca="1">_xll.BDP($C5,"PX_LAST")</f>
        <v>#NAME?</v>
      </c>
      <c r="H5" s="613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99" t="e">
        <f ca="1">_xll.BDP($C5,"CRNCY")</f>
        <v>#NAME?</v>
      </c>
      <c r="L5" s="198" t="e">
        <f t="shared" ca="1" si="2"/>
        <v>#NAME?</v>
      </c>
      <c r="M5" s="198" t="e">
        <f t="shared" ca="1" si="3"/>
        <v>#NAME?</v>
      </c>
      <c r="N5" s="123">
        <f>E5*F5</f>
        <v>3920253.4230000004</v>
      </c>
      <c r="O5" s="123" t="e">
        <f ca="1">$J$87</f>
        <v>#NAME?</v>
      </c>
      <c r="P5" s="123" t="e">
        <f ca="1">E5*G5</f>
        <v>#NAME?</v>
      </c>
      <c r="Q5" s="123" t="e">
        <f t="shared" ca="1" si="4"/>
        <v>#NAME?</v>
      </c>
      <c r="R5" s="123" t="e">
        <f t="shared" ca="1" si="5"/>
        <v>#NAME?</v>
      </c>
      <c r="S5" s="123" t="e">
        <f t="shared" ca="1" si="6"/>
        <v>#NAME?</v>
      </c>
      <c r="T5" s="268" t="e">
        <f ca="1">_xll.BDP($C5,"EQY_DVD_YLD_EST")</f>
        <v>#NAME?</v>
      </c>
      <c r="U5" s="263" t="e">
        <f ca="1">_xll.BDP($C5,"CHG_PCT_YTD")</f>
        <v>#NAME?</v>
      </c>
      <c r="V5" s="263" t="e">
        <f ca="1">_xll.BDP($C5,"CHG_PCT_1YR")</f>
        <v>#NAME?</v>
      </c>
      <c r="W5" s="263" t="e">
        <f ca="1">_xll.BDP($C5,"DVD_EX_DT")</f>
        <v>#NAME?</v>
      </c>
      <c r="X5" s="263" t="e">
        <f ca="1">_xll.BDP($C5,"BDVD_NEXT_EST_DECL_DT")</f>
        <v>#NAME?</v>
      </c>
    </row>
    <row r="6" spans="1:24" s="196" customFormat="1" x14ac:dyDescent="0.2">
      <c r="A6" s="196" t="s">
        <v>423</v>
      </c>
      <c r="B6" s="197" t="s">
        <v>201</v>
      </c>
      <c r="C6" s="196" t="s">
        <v>202</v>
      </c>
      <c r="D6" s="198" t="e">
        <f t="shared" ca="1" si="0"/>
        <v>#NAME?</v>
      </c>
      <c r="E6" s="123">
        <f>$F$70</f>
        <v>631</v>
      </c>
      <c r="F6" s="268">
        <f>$H$70</f>
        <v>3529</v>
      </c>
      <c r="G6" s="268" t="e">
        <f ca="1">_xll.BDP($C6,"PX_LAST")</f>
        <v>#NAME?</v>
      </c>
      <c r="H6" s="613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99" t="e">
        <f ca="1">_xll.BDP($C6,"CRNCY")</f>
        <v>#NAME?</v>
      </c>
      <c r="L6" s="198" t="e">
        <f t="shared" ca="1" si="2"/>
        <v>#NAME?</v>
      </c>
      <c r="M6" s="198" t="e">
        <f t="shared" ca="1" si="3"/>
        <v>#NAME?</v>
      </c>
      <c r="N6" s="123">
        <f>E6*F6</f>
        <v>2226799</v>
      </c>
      <c r="O6" s="123" t="e">
        <f ca="1">$J$70</f>
        <v>#NAME?</v>
      </c>
      <c r="P6" s="123" t="e">
        <f ca="1">E6*G6</f>
        <v>#NAME?</v>
      </c>
      <c r="Q6" s="123" t="e">
        <f t="shared" ca="1" si="4"/>
        <v>#NAME?</v>
      </c>
      <c r="R6" s="123" t="e">
        <f t="shared" ca="1" si="5"/>
        <v>#NAME?</v>
      </c>
      <c r="S6" s="123" t="e">
        <f t="shared" ca="1" si="6"/>
        <v>#NAME?</v>
      </c>
      <c r="T6" s="268" t="e">
        <f ca="1">_xll.BDP($C6,"EQY_DVD_YLD_EST")</f>
        <v>#NAME?</v>
      </c>
      <c r="U6" s="263" t="e">
        <f ca="1">_xll.BDP($C6,"CHG_PCT_YTD")</f>
        <v>#NAME?</v>
      </c>
      <c r="V6" s="263" t="e">
        <f ca="1">_xll.BDP($C6,"CHG_PCT_1YR")</f>
        <v>#NAME?</v>
      </c>
      <c r="W6" s="263" t="e">
        <f ca="1">_xll.BDP($C6,"DVD_EX_DT")</f>
        <v>#NAME?</v>
      </c>
      <c r="X6" s="263" t="e">
        <f ca="1">_xll.BDP($C6,"BDVD_NEXT_EST_DECL_DT")</f>
        <v>#NAME?</v>
      </c>
    </row>
    <row r="7" spans="1:24" s="196" customFormat="1" x14ac:dyDescent="0.2">
      <c r="A7" s="196" t="s">
        <v>423</v>
      </c>
      <c r="B7" s="197" t="s">
        <v>196</v>
      </c>
      <c r="C7" s="196" t="s">
        <v>197</v>
      </c>
      <c r="D7" s="198" t="e">
        <f t="shared" ca="1" si="0"/>
        <v>#NAME?</v>
      </c>
      <c r="E7" s="123">
        <f>$F$128</f>
        <v>4208</v>
      </c>
      <c r="F7" s="268">
        <f>$H$128*100</f>
        <v>844.7786358735741</v>
      </c>
      <c r="G7" s="268" t="e">
        <f ca="1">_xll.BDP($C7,"PX_LAST")</f>
        <v>#NAME?</v>
      </c>
      <c r="H7" s="613" t="e">
        <f ca="1">_xll.BDP($C7,"BEST_TARGET_PRICE")</f>
        <v>#NAME?</v>
      </c>
      <c r="I7" s="611" t="e">
        <f t="shared" ca="1" si="1"/>
        <v>#NAME?</v>
      </c>
      <c r="J7" s="181" t="e">
        <f ca="1">_xll.BDP($C7,"EQY_REC_CONS")</f>
        <v>#NAME?</v>
      </c>
      <c r="K7" s="199" t="e">
        <f ca="1">_xll.BDP($C7,"CRNCY")</f>
        <v>#NAME?</v>
      </c>
      <c r="L7" s="198" t="e">
        <f t="shared" ca="1" si="2"/>
        <v>#NAME?</v>
      </c>
      <c r="M7" s="198" t="e">
        <f t="shared" ca="1" si="3"/>
        <v>#NAME?</v>
      </c>
      <c r="N7" s="123" t="e">
        <f ca="1">$K$128</f>
        <v>#NAME?</v>
      </c>
      <c r="O7" s="123" t="e">
        <f ca="1">$J$128</f>
        <v>#NAME?</v>
      </c>
      <c r="P7" s="123" t="e">
        <f ca="1">E7*G7/100*$K$1*$I$1</f>
        <v>#NAME?</v>
      </c>
      <c r="Q7" s="123" t="e">
        <f t="shared" ca="1" si="4"/>
        <v>#NAME?</v>
      </c>
      <c r="R7" s="123" t="e">
        <f t="shared" ca="1" si="5"/>
        <v>#NAME?</v>
      </c>
      <c r="S7" s="123" t="e">
        <f t="shared" ca="1" si="6"/>
        <v>#NAME?</v>
      </c>
      <c r="T7" s="268" t="e">
        <f ca="1">_xll.BDP($C7,"EQY_DVD_YLD_EST")</f>
        <v>#NAME?</v>
      </c>
      <c r="U7" s="263" t="e">
        <f ca="1">_xll.BDP($C7,"CHG_PCT_YTD")</f>
        <v>#NAME?</v>
      </c>
      <c r="V7" s="263" t="e">
        <f ca="1">_xll.BDP($C7,"CHG_PCT_1YR")</f>
        <v>#NAME?</v>
      </c>
      <c r="W7" s="263" t="e">
        <f ca="1">_xll.BDP($C7,"DVD_EX_DT")</f>
        <v>#NAME?</v>
      </c>
      <c r="X7" s="263" t="e">
        <f ca="1">_xll.BDP($C7,"BDVD_NEXT_EST_DECL_DT")</f>
        <v>#NAME?</v>
      </c>
    </row>
    <row r="8" spans="1:24" s="196" customFormat="1" x14ac:dyDescent="0.2">
      <c r="A8" s="196" t="s">
        <v>423</v>
      </c>
      <c r="B8" s="197" t="s">
        <v>96</v>
      </c>
      <c r="C8" s="196" t="s">
        <v>184</v>
      </c>
      <c r="D8" s="198" t="e">
        <f t="shared" ca="1" si="0"/>
        <v>#NAME?</v>
      </c>
      <c r="E8" s="123">
        <f>$F$103</f>
        <v>4800</v>
      </c>
      <c r="F8" s="268">
        <f>$H$103</f>
        <v>762.89374999999995</v>
      </c>
      <c r="G8" s="268" t="e">
        <f ca="1">_xll.BDP($C8,"PX_LAST")</f>
        <v>#NAME?</v>
      </c>
      <c r="H8" s="613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99" t="e">
        <f ca="1">_xll.BDP($C8,"CRNCY")</f>
        <v>#NAME?</v>
      </c>
      <c r="L8" s="198" t="e">
        <f t="shared" ca="1" si="2"/>
        <v>#NAME?</v>
      </c>
      <c r="M8" s="198" t="e">
        <f t="shared" ca="1" si="3"/>
        <v>#NAME?</v>
      </c>
      <c r="N8" s="123">
        <f>E8*F8</f>
        <v>3661890</v>
      </c>
      <c r="O8" s="123" t="e">
        <f ca="1">$J$103</f>
        <v>#NAME?</v>
      </c>
      <c r="P8" s="123" t="e">
        <f ca="1">E8*G8</f>
        <v>#NAME?</v>
      </c>
      <c r="Q8" s="123" t="e">
        <f t="shared" ca="1" si="4"/>
        <v>#NAME?</v>
      </c>
      <c r="R8" s="123" t="e">
        <f t="shared" ca="1" si="5"/>
        <v>#NAME?</v>
      </c>
      <c r="S8" s="123" t="e">
        <f t="shared" ca="1" si="6"/>
        <v>#NAME?</v>
      </c>
      <c r="T8" s="268" t="e">
        <f ca="1">_xll.BDP($C8,"EQY_DVD_YLD_EST")</f>
        <v>#NAME?</v>
      </c>
      <c r="U8" s="263" t="e">
        <f ca="1">_xll.BDP($C8,"CHG_PCT_YTD")</f>
        <v>#NAME?</v>
      </c>
      <c r="V8" s="263" t="e">
        <f ca="1">_xll.BDP($C8,"CHG_PCT_1YR")</f>
        <v>#NAME?</v>
      </c>
      <c r="W8" s="263" t="e">
        <f ca="1">_xll.BDP($C8,"DVD_EX_DT")</f>
        <v>#NAME?</v>
      </c>
      <c r="X8" s="263" t="e">
        <f ca="1">_xll.BDP($C8,"BDVD_NEXT_EST_DECL_DT")</f>
        <v>#NAME?</v>
      </c>
    </row>
    <row r="9" spans="1:24" s="196" customFormat="1" x14ac:dyDescent="0.2">
      <c r="A9" s="196" t="s">
        <v>423</v>
      </c>
      <c r="B9" s="197" t="s">
        <v>333</v>
      </c>
      <c r="C9" s="196" t="s">
        <v>332</v>
      </c>
      <c r="D9" s="198" t="e">
        <f t="shared" ca="1" si="0"/>
        <v>#NAME?</v>
      </c>
      <c r="E9" s="123">
        <f>$F$107</f>
        <v>16080</v>
      </c>
      <c r="F9" s="268">
        <f>$H$107</f>
        <v>230.92574626865672</v>
      </c>
      <c r="G9" s="268" t="e">
        <f ca="1">_xll.BDP($C9,"PX_LAST")</f>
        <v>#NAME?</v>
      </c>
      <c r="H9" s="613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99" t="e">
        <f ca="1">_xll.BDP($C9,"CRNCY")</f>
        <v>#NAME?</v>
      </c>
      <c r="L9" s="198" t="e">
        <f t="shared" ca="1" si="2"/>
        <v>#NAME?</v>
      </c>
      <c r="M9" s="198" t="e">
        <f t="shared" ca="1" si="3"/>
        <v>#NAME?</v>
      </c>
      <c r="N9" s="123">
        <f>E9*F9</f>
        <v>3713286</v>
      </c>
      <c r="O9" s="123" t="e">
        <f ca="1">$J$107</f>
        <v>#NAME?</v>
      </c>
      <c r="P9" s="123" t="e">
        <f ca="1">E9*G9</f>
        <v>#NAME?</v>
      </c>
      <c r="Q9" s="123" t="e">
        <f t="shared" ca="1" si="4"/>
        <v>#NAME?</v>
      </c>
      <c r="R9" s="123" t="e">
        <f t="shared" ca="1" si="5"/>
        <v>#NAME?</v>
      </c>
      <c r="S9" s="123" t="e">
        <f t="shared" ca="1" si="6"/>
        <v>#NAME?</v>
      </c>
      <c r="T9" s="268" t="e">
        <f ca="1">_xll.BDP($C9,"EQY_DVD_YLD_EST")</f>
        <v>#NAME?</v>
      </c>
      <c r="U9" s="263" t="e">
        <f ca="1">_xll.BDP($C9,"CHG_PCT_YTD")</f>
        <v>#NAME?</v>
      </c>
      <c r="V9" s="263" t="e">
        <f ca="1">_xll.BDP($C9,"CHG_PCT_1YR")</f>
        <v>#NAME?</v>
      </c>
      <c r="W9" s="263" t="e">
        <f ca="1">_xll.BDP($C9,"DVD_EX_DT")</f>
        <v>#NAME?</v>
      </c>
      <c r="X9" s="263" t="e">
        <f ca="1">_xll.BDP($C9,"BDVD_NEXT_EST_DECL_DT")</f>
        <v>#NAME?</v>
      </c>
    </row>
    <row r="10" spans="1:24" s="196" customFormat="1" x14ac:dyDescent="0.2">
      <c r="A10" s="196" t="s">
        <v>423</v>
      </c>
      <c r="B10" s="197" t="s">
        <v>391</v>
      </c>
      <c r="C10" s="196" t="s">
        <v>54</v>
      </c>
      <c r="D10" s="198" t="e">
        <f t="shared" ca="1" si="0"/>
        <v>#NAME?</v>
      </c>
      <c r="E10" s="123">
        <f>$F$99</f>
        <v>7400</v>
      </c>
      <c r="F10" s="268">
        <f>$H$99</f>
        <v>135</v>
      </c>
      <c r="G10" s="268" t="e">
        <f ca="1">_xll.BDP($C10,"PX_LAST")</f>
        <v>#NAME?</v>
      </c>
      <c r="H10" s="613" t="e">
        <f ca="1">_xll.BDP($C10,"BEST_TARGET_PRICE")</f>
        <v>#NAME?</v>
      </c>
      <c r="I10" s="611" t="e">
        <f t="shared" ca="1" si="1"/>
        <v>#NAME?</v>
      </c>
      <c r="J10" s="181" t="e">
        <f ca="1">_xll.BDP($C10,"EQY_REC_CONS")</f>
        <v>#NAME?</v>
      </c>
      <c r="K10" s="199" t="e">
        <f ca="1">_xll.BDP($C10,"CRNCY")</f>
        <v>#NAME?</v>
      </c>
      <c r="L10" s="198" t="e">
        <f t="shared" ca="1" si="2"/>
        <v>#NAME?</v>
      </c>
      <c r="M10" s="198" t="e">
        <f t="shared" ca="1" si="3"/>
        <v>#NAME?</v>
      </c>
      <c r="N10" s="123">
        <f>E10*F10</f>
        <v>999000</v>
      </c>
      <c r="O10" s="123" t="e">
        <f ca="1">$J$99</f>
        <v>#NAME?</v>
      </c>
      <c r="P10" s="123" t="e">
        <f ca="1">E10*G10</f>
        <v>#NAME?</v>
      </c>
      <c r="Q10" s="123" t="e">
        <f t="shared" ca="1" si="4"/>
        <v>#NAME?</v>
      </c>
      <c r="R10" s="123" t="e">
        <f t="shared" ca="1" si="5"/>
        <v>#NAME?</v>
      </c>
      <c r="S10" s="123" t="e">
        <f t="shared" ca="1" si="6"/>
        <v>#NAME?</v>
      </c>
      <c r="T10" s="268" t="e">
        <f ca="1">_xll.BDP($C10,"EQY_DVD_YLD_EST")</f>
        <v>#NAME?</v>
      </c>
      <c r="U10" s="263" t="e">
        <f ca="1">_xll.BDP($C10,"CHG_PCT_YTD")</f>
        <v>#NAME?</v>
      </c>
      <c r="V10" s="263" t="e">
        <f ca="1">_xll.BDP($C10,"CHG_PCT_1YR")</f>
        <v>#NAME?</v>
      </c>
      <c r="W10" s="263" t="e">
        <f ca="1">_xll.BDP($C10,"DVD_EX_DT")</f>
        <v>#NAME?</v>
      </c>
      <c r="X10" s="263" t="e">
        <f ca="1">_xll.BDP($C10,"BDVD_NEXT_EST_DECL_DT")</f>
        <v>#NAME?</v>
      </c>
    </row>
    <row r="11" spans="1:24" s="196" customFormat="1" x14ac:dyDescent="0.2">
      <c r="A11" s="196" t="s">
        <v>423</v>
      </c>
      <c r="B11" s="197" t="s">
        <v>208</v>
      </c>
      <c r="C11" s="196" t="s">
        <v>209</v>
      </c>
      <c r="D11" s="198" t="e">
        <f t="shared" ca="1" si="0"/>
        <v>#NAME?</v>
      </c>
      <c r="E11" s="123">
        <f>$F$96</f>
        <v>36580</v>
      </c>
      <c r="F11" s="268">
        <f>$H$96</f>
        <v>55.243638381629303</v>
      </c>
      <c r="G11" s="268" t="e">
        <f ca="1">_xll.BDP($C11,"PX_LAST")</f>
        <v>#NAME?</v>
      </c>
      <c r="H11" s="613" t="e">
        <f ca="1">_xll.BDP($C11,"BEST_TARGET_PRICE")</f>
        <v>#NAME?</v>
      </c>
      <c r="I11" s="611" t="e">
        <f t="shared" ca="1" si="1"/>
        <v>#NAME?</v>
      </c>
      <c r="J11" s="181" t="e">
        <f ca="1">_xll.BDP($C11,"EQY_REC_CONS")</f>
        <v>#NAME?</v>
      </c>
      <c r="K11" s="199" t="e">
        <f ca="1">_xll.BDP($C11,"CRNCY")</f>
        <v>#NAME?</v>
      </c>
      <c r="L11" s="198" t="e">
        <f t="shared" ca="1" si="2"/>
        <v>#NAME?</v>
      </c>
      <c r="M11" s="198" t="e">
        <f t="shared" ca="1" si="3"/>
        <v>#NAME?</v>
      </c>
      <c r="N11" s="123">
        <f>E11*F11</f>
        <v>2020812.2919999999</v>
      </c>
      <c r="O11" s="123" t="e">
        <f ca="1">$J$96</f>
        <v>#NAME?</v>
      </c>
      <c r="P11" s="123" t="e">
        <f ca="1">E11*G11</f>
        <v>#NAME?</v>
      </c>
      <c r="Q11" s="123" t="e">
        <f t="shared" ca="1" si="4"/>
        <v>#NAME?</v>
      </c>
      <c r="R11" s="123" t="e">
        <f t="shared" ca="1" si="5"/>
        <v>#NAME?</v>
      </c>
      <c r="S11" s="123" t="e">
        <f t="shared" ca="1" si="6"/>
        <v>#NAME?</v>
      </c>
      <c r="T11" s="268" t="e">
        <f ca="1">_xll.BDP($C11,"EQY_DVD_YLD_EST")</f>
        <v>#NAME?</v>
      </c>
      <c r="U11" s="263" t="e">
        <f ca="1">_xll.BDP($C11,"CHG_PCT_YTD")</f>
        <v>#NAME?</v>
      </c>
      <c r="V11" s="263" t="e">
        <f ca="1">_xll.BDP($C11,"CHG_PCT_1YR")</f>
        <v>#NAME?</v>
      </c>
      <c r="W11" s="263" t="e">
        <f ca="1">_xll.BDP($C11,"DVD_EX_DT")</f>
        <v>#NAME?</v>
      </c>
      <c r="X11" s="263" t="e">
        <f ca="1">_xll.BDP($C11,"BDVD_NEXT_EST_DECL_DT")</f>
        <v>#NAME?</v>
      </c>
    </row>
    <row r="12" spans="1:24" s="196" customFormat="1" x14ac:dyDescent="0.2">
      <c r="A12" s="196" t="s">
        <v>423</v>
      </c>
      <c r="B12" s="197" t="s">
        <v>725</v>
      </c>
      <c r="C12" s="196" t="s">
        <v>726</v>
      </c>
      <c r="D12" s="198" t="e">
        <f t="shared" ca="1" si="0"/>
        <v>#NAME?</v>
      </c>
      <c r="E12" s="123">
        <f>$F$124</f>
        <v>625</v>
      </c>
      <c r="F12" s="268">
        <f>$H$124</f>
        <v>49.92</v>
      </c>
      <c r="G12" s="268" t="e">
        <f ca="1">_xll.BDP($C12,"PX_LAST")</f>
        <v>#NAME?</v>
      </c>
      <c r="H12" s="613" t="e">
        <f ca="1">_xll.BDP($C12,"BEST_TARGET_PRICE")</f>
        <v>#NAME?</v>
      </c>
      <c r="I12" s="611" t="e">
        <f t="shared" ca="1" si="1"/>
        <v>#NAME?</v>
      </c>
      <c r="J12" s="181" t="e">
        <f ca="1">_xll.BDP($C12,"EQY_REC_CONS")</f>
        <v>#NAME?</v>
      </c>
      <c r="K12" s="199" t="e">
        <f ca="1">_xll.BDP($C12,"CRNCY")</f>
        <v>#NAME?</v>
      </c>
      <c r="L12" s="198" t="e">
        <f ca="1">P12/N12-1</f>
        <v>#NAME?</v>
      </c>
      <c r="M12" s="198" t="e">
        <f ca="1">G12/F12-1</f>
        <v>#NAME?</v>
      </c>
      <c r="N12" s="123" t="e">
        <f ca="1">$K$124</f>
        <v>#NAME?</v>
      </c>
      <c r="O12" s="123">
        <f>E12*F12</f>
        <v>31200</v>
      </c>
      <c r="P12" s="123" t="e">
        <f ca="1">E12*G12*$I$1</f>
        <v>#NAME?</v>
      </c>
      <c r="Q12" s="123" t="e">
        <f t="shared" ca="1" si="4"/>
        <v>#NAME?</v>
      </c>
      <c r="R12" s="123" t="e">
        <f t="shared" ca="1" si="5"/>
        <v>#NAME?</v>
      </c>
      <c r="S12" s="123" t="e">
        <f t="shared" ca="1" si="6"/>
        <v>#NAME?</v>
      </c>
      <c r="T12" s="268" t="e">
        <f ca="1">_xll.BDP($C12,"EQY_DVD_YLD_EST")</f>
        <v>#NAME?</v>
      </c>
      <c r="U12" s="263" t="e">
        <f ca="1">_xll.BDP($C12,"CHG_PCT_YTD")</f>
        <v>#NAME?</v>
      </c>
      <c r="V12" s="263" t="e">
        <f ca="1">_xll.BDP($C12,"CHG_PCT_1YR")</f>
        <v>#NAME?</v>
      </c>
      <c r="W12" s="263" t="e">
        <f ca="1">_xll.BDP($C12,"DVD_EX_DT")</f>
        <v>#NAME?</v>
      </c>
      <c r="X12" s="263" t="e">
        <f ca="1">_xll.BDP($C12,"BDVD_NEXT_EST_DECL_DT")</f>
        <v>#NAME?</v>
      </c>
    </row>
    <row r="13" spans="1:24" s="196" customFormat="1" x14ac:dyDescent="0.2">
      <c r="A13" s="196" t="s">
        <v>423</v>
      </c>
      <c r="B13" s="197" t="s">
        <v>381</v>
      </c>
      <c r="C13" s="196" t="s">
        <v>658</v>
      </c>
      <c r="D13" s="198" t="e">
        <f t="shared" ca="1" si="0"/>
        <v>#NAME?</v>
      </c>
      <c r="E13" s="123">
        <f>$F$121</f>
        <v>112400</v>
      </c>
      <c r="F13" s="268">
        <f>$H$121</f>
        <v>17.8</v>
      </c>
      <c r="G13" s="268" t="e">
        <f ca="1">_xll.BDP($C13,"PX_LAST")</f>
        <v>#NAME?</v>
      </c>
      <c r="H13" s="613" t="e">
        <f ca="1">_xll.BDP($C13,"BEST_TARGET_PRICE")</f>
        <v>#NAME?</v>
      </c>
      <c r="I13" s="611" t="e">
        <f t="shared" ca="1" si="1"/>
        <v>#NAME?</v>
      </c>
      <c r="J13" s="181" t="e">
        <f ca="1">_xll.BDP($C13,"EQY_REC_CONS")</f>
        <v>#NAME?</v>
      </c>
      <c r="K13" s="199" t="e">
        <f ca="1">_xll.BDP($C13,"CRNCY")</f>
        <v>#NAME?</v>
      </c>
      <c r="L13" s="198" t="e">
        <f ca="1">G13/F13-1</f>
        <v>#NAME?</v>
      </c>
      <c r="M13" s="198" t="e">
        <f ca="1">Q13/O13-1</f>
        <v>#NAME?</v>
      </c>
      <c r="N13" s="123">
        <f>E13*F13</f>
        <v>2000720</v>
      </c>
      <c r="O13" s="123" t="e">
        <f ca="1">$J$121</f>
        <v>#NAME?</v>
      </c>
      <c r="P13" s="123" t="e">
        <f ca="1">E13*G13</f>
        <v>#NAME?</v>
      </c>
      <c r="Q13" s="123" t="e">
        <f t="shared" ca="1" si="4"/>
        <v>#NAME?</v>
      </c>
      <c r="R13" s="123" t="e">
        <f t="shared" ca="1" si="5"/>
        <v>#NAME?</v>
      </c>
      <c r="S13" s="123" t="e">
        <f t="shared" ca="1" si="6"/>
        <v>#NAME?</v>
      </c>
      <c r="T13" s="268" t="e">
        <f ca="1">_xll.BDP($C13,"EQY_DVD_YLD_EST")</f>
        <v>#NAME?</v>
      </c>
      <c r="U13" s="263" t="e">
        <f ca="1">_xll.BDP($C13,"CHG_PCT_YTD")</f>
        <v>#NAME?</v>
      </c>
      <c r="V13" s="263" t="e">
        <f ca="1">_xll.BDP($C13,"CHG_PCT_1YR")</f>
        <v>#NAME?</v>
      </c>
      <c r="W13" s="263" t="e">
        <f ca="1">_xll.BDP($C13,"DVD_EX_DT")</f>
        <v>#NAME?</v>
      </c>
      <c r="X13" s="263" t="e">
        <f ca="1">_xll.BDP($C13,"BDVD_NEXT_EST_DECL_DT")</f>
        <v>#NAME?</v>
      </c>
    </row>
    <row r="14" spans="1:24" s="196" customFormat="1" x14ac:dyDescent="0.2">
      <c r="A14" s="196" t="s">
        <v>423</v>
      </c>
      <c r="B14" s="197" t="s">
        <v>205</v>
      </c>
      <c r="C14" s="196" t="s">
        <v>641</v>
      </c>
      <c r="D14" s="198" t="e">
        <f t="shared" ca="1" si="0"/>
        <v>#NAME?</v>
      </c>
      <c r="E14" s="123">
        <f>$F$113</f>
        <v>8200</v>
      </c>
      <c r="F14" s="268">
        <f>$H$113</f>
        <v>3.64</v>
      </c>
      <c r="G14" s="268" t="e">
        <f ca="1">_xll.BDP($C14,"PX_LAST")</f>
        <v>#NAME?</v>
      </c>
      <c r="H14" s="613" t="e">
        <f ca="1">_xll.BDP($C14,"BEST_TARGET_PRICE")</f>
        <v>#NAME?</v>
      </c>
      <c r="I14" s="611" t="e">
        <f t="shared" ca="1" si="1"/>
        <v>#NAME?</v>
      </c>
      <c r="J14" s="181" t="e">
        <f ca="1">_xll.BDP($C14,"EQY_REC_CONS")</f>
        <v>#NAME?</v>
      </c>
      <c r="K14" s="199" t="e">
        <f ca="1">_xll.BDP($C14,"CRNCY")</f>
        <v>#NAME?</v>
      </c>
      <c r="L14" s="198" t="e">
        <f ca="1">P14/N14-1</f>
        <v>#NAME?</v>
      </c>
      <c r="M14" s="198" t="e">
        <f ca="1">G14/F14-1</f>
        <v>#NAME?</v>
      </c>
      <c r="N14" s="123" t="e">
        <f ca="1">$K$113</f>
        <v>#NAME?</v>
      </c>
      <c r="O14" s="123">
        <f>E14*F14</f>
        <v>29848</v>
      </c>
      <c r="P14" s="123" t="e">
        <f ca="1">E14*G14*$I$1</f>
        <v>#NAME?</v>
      </c>
      <c r="Q14" s="123" t="e">
        <f t="shared" ca="1" si="4"/>
        <v>#NAME?</v>
      </c>
      <c r="R14" s="123" t="e">
        <f t="shared" ca="1" si="5"/>
        <v>#NAME?</v>
      </c>
      <c r="S14" s="123" t="e">
        <f t="shared" ca="1" si="6"/>
        <v>#NAME?</v>
      </c>
      <c r="T14" s="268" t="e">
        <f ca="1">_xll.BDP($C14,"EQY_DVD_YLD_EST")</f>
        <v>#NAME?</v>
      </c>
      <c r="U14" s="263" t="e">
        <f ca="1">_xll.BDP($C14,"CHG_PCT_YTD")</f>
        <v>#NAME?</v>
      </c>
      <c r="V14" s="263" t="e">
        <f ca="1">_xll.BDP($C14,"CHG_PCT_1YR")</f>
        <v>#NAME?</v>
      </c>
      <c r="W14" s="263" t="e">
        <f ca="1">_xll.BDP($C14,"DVD_EX_DT")</f>
        <v>#NAME?</v>
      </c>
      <c r="X14" s="263" t="e">
        <f ca="1">_xll.BDP($C14,"BDVD_NEXT_EST_DECL_DT")</f>
        <v>#NAME?</v>
      </c>
    </row>
    <row r="15" spans="1:24" s="196" customFormat="1" x14ac:dyDescent="0.2">
      <c r="A15" s="196" t="s">
        <v>423</v>
      </c>
      <c r="B15" s="197" t="s">
        <v>259</v>
      </c>
      <c r="C15" s="196" t="s">
        <v>258</v>
      </c>
      <c r="D15" s="198" t="e">
        <f t="shared" ca="1" si="0"/>
        <v>#NAME?</v>
      </c>
      <c r="E15" s="123">
        <f>$F$135</f>
        <v>315000</v>
      </c>
      <c r="F15" s="268">
        <f>$H$135</f>
        <v>4.7649999999999997</v>
      </c>
      <c r="G15" s="268" t="e">
        <f ca="1">_xll.BDP($C15,"PX_LAST")</f>
        <v>#NAME?</v>
      </c>
      <c r="H15" s="613" t="e">
        <f ca="1">_xll.BDP("NCSP LI EQUITY","BEST_TARGET_PRICE")*$I$1/75</f>
        <v>#NAME?</v>
      </c>
      <c r="I15" s="611" t="e">
        <f t="shared" ca="1" si="1"/>
        <v>#NAME?</v>
      </c>
      <c r="J15" s="181" t="e">
        <f ca="1">_xll.BDP("NCSP LI EQUITY","EQY_REC_CONS")</f>
        <v>#NAME?</v>
      </c>
      <c r="K15" s="199" t="e">
        <f ca="1">_xll.BDP($C15,"CRNCY")</f>
        <v>#NAME?</v>
      </c>
      <c r="L15" s="198" t="e">
        <f ca="1">G15/F15-1</f>
        <v>#NAME?</v>
      </c>
      <c r="M15" s="198" t="e">
        <f ca="1">Q15/O15-1</f>
        <v>#NAME?</v>
      </c>
      <c r="N15" s="123">
        <f>E15*F15</f>
        <v>1500975</v>
      </c>
      <c r="O15" s="123" t="e">
        <f ca="1">$J$135</f>
        <v>#NAME?</v>
      </c>
      <c r="P15" s="123" t="e">
        <f ca="1">E15*G15</f>
        <v>#NAME?</v>
      </c>
      <c r="Q15" s="123" t="e">
        <f t="shared" ca="1" si="4"/>
        <v>#NAME?</v>
      </c>
      <c r="R15" s="123" t="e">
        <f t="shared" ca="1" si="5"/>
        <v>#NAME?</v>
      </c>
      <c r="S15" s="123" t="e">
        <f t="shared" ca="1" si="6"/>
        <v>#NAME?</v>
      </c>
      <c r="T15" s="268" t="e">
        <f ca="1">_xll.BDP($C15,"EQY_DVD_YLD_EST")</f>
        <v>#NAME?</v>
      </c>
      <c r="U15" s="263" t="e">
        <f ca="1">_xll.BDP($C15,"CHG_PCT_YTD")</f>
        <v>#NAME?</v>
      </c>
      <c r="V15" s="263" t="e">
        <f ca="1">_xll.BDP($C15,"CHG_PCT_1YR")</f>
        <v>#NAME?</v>
      </c>
      <c r="W15" s="263" t="e">
        <f ca="1">_xll.BDP($C15,"DVD_EX_DT")</f>
        <v>#NAME?</v>
      </c>
      <c r="X15" s="263" t="e">
        <f ca="1">_xll.BDP($C15,"BDVD_NEXT_EST_DECL_DT")</f>
        <v>#NAME?</v>
      </c>
    </row>
    <row r="16" spans="1:24" s="196" customFormat="1" x14ac:dyDescent="0.2">
      <c r="A16" s="196" t="s">
        <v>423</v>
      </c>
      <c r="B16" s="197" t="s">
        <v>170</v>
      </c>
      <c r="C16" s="196" t="s">
        <v>708</v>
      </c>
      <c r="D16" s="198" t="e">
        <f t="shared" ca="1" si="0"/>
        <v>#NAME?</v>
      </c>
      <c r="E16" s="123">
        <f>$F$73</f>
        <v>14600</v>
      </c>
      <c r="F16" s="268">
        <f>$H$73</f>
        <v>2.06</v>
      </c>
      <c r="G16" s="268" t="e">
        <f ca="1">_xll.BDP($C16,"PX_LAST")</f>
        <v>#NAME?</v>
      </c>
      <c r="H16" s="613" t="e">
        <f ca="1">_xll.BDP($C16,"BEST_TARGET_PRICE")</f>
        <v>#NAME?</v>
      </c>
      <c r="I16" s="611" t="e">
        <f t="shared" ca="1" si="1"/>
        <v>#NAME?</v>
      </c>
      <c r="J16" s="181" t="e">
        <f ca="1">_xll.BDP($C16,"EQY_REC_CONS")</f>
        <v>#NAME?</v>
      </c>
      <c r="K16" s="199" t="e">
        <f ca="1">_xll.BDP($C16,"CRNCY")</f>
        <v>#NAME?</v>
      </c>
      <c r="L16" s="198" t="e">
        <f ca="1">P16/N16-1</f>
        <v>#NAME?</v>
      </c>
      <c r="M16" s="198" t="e">
        <f ca="1">G16/F16-1</f>
        <v>#NAME?</v>
      </c>
      <c r="N16" s="123" t="e">
        <f ca="1">$K$73</f>
        <v>#NAME?</v>
      </c>
      <c r="O16" s="123">
        <f>E16*F16</f>
        <v>30076</v>
      </c>
      <c r="P16" s="123" t="e">
        <f ca="1">E16*G16*$I$1</f>
        <v>#NAME?</v>
      </c>
      <c r="Q16" s="123" t="e">
        <f t="shared" ca="1" si="4"/>
        <v>#NAME?</v>
      </c>
      <c r="R16" s="123" t="e">
        <f t="shared" ca="1" si="5"/>
        <v>#NAME?</v>
      </c>
      <c r="S16" s="123" t="e">
        <f t="shared" ca="1" si="6"/>
        <v>#NAME?</v>
      </c>
      <c r="T16" s="268" t="e">
        <f ca="1">_xll.BDP($C16,"EQY_DVD_YLD_EST")</f>
        <v>#NAME?</v>
      </c>
      <c r="U16" s="263" t="e">
        <f ca="1">_xll.BDP($C16,"CHG_PCT_YTD")</f>
        <v>#NAME?</v>
      </c>
      <c r="V16" s="263" t="e">
        <f ca="1">_xll.BDP($C16,"CHG_PCT_1YR")</f>
        <v>#NAME?</v>
      </c>
      <c r="W16" s="263" t="e">
        <f ca="1">_xll.BDP($C16,"DVD_EX_DT")</f>
        <v>#NAME?</v>
      </c>
      <c r="X16" s="263" t="e">
        <f ca="1">_xll.BDP($C16,"BDVD_NEXT_EST_DECL_DT")</f>
        <v>#NAME?</v>
      </c>
    </row>
    <row r="17" spans="1:27" s="196" customFormat="1" x14ac:dyDescent="0.2">
      <c r="A17" s="196" t="s">
        <v>423</v>
      </c>
      <c r="B17" s="197" t="s">
        <v>325</v>
      </c>
      <c r="C17" s="196" t="s">
        <v>642</v>
      </c>
      <c r="D17" s="198" t="e">
        <f t="shared" ca="1" si="0"/>
        <v>#NAME?</v>
      </c>
      <c r="E17" s="123">
        <f>$F$118</f>
        <v>16800</v>
      </c>
      <c r="F17" s="268">
        <f>$H$118</f>
        <v>3.7042619047619052</v>
      </c>
      <c r="G17" s="268" t="e">
        <f ca="1">_xll.BDP($C17,"PX_LAST")</f>
        <v>#NAME?</v>
      </c>
      <c r="H17" s="613" t="e">
        <f ca="1">_xll.BDP($C17,"BEST_TARGET_PRICE")</f>
        <v>#NAME?</v>
      </c>
      <c r="I17" s="611" t="e">
        <f t="shared" ca="1" si="1"/>
        <v>#NAME?</v>
      </c>
      <c r="J17" s="181" t="e">
        <f ca="1">_xll.BDP($C17,"EQY_REC_CONS")</f>
        <v>#NAME?</v>
      </c>
      <c r="K17" s="199" t="e">
        <f ca="1">_xll.BDP($C17,"CRNCY")</f>
        <v>#NAME?</v>
      </c>
      <c r="L17" s="198" t="e">
        <f ca="1">P17/N17-1</f>
        <v>#NAME?</v>
      </c>
      <c r="M17" s="198" t="e">
        <f ca="1">G17/F17-1</f>
        <v>#NAME?</v>
      </c>
      <c r="N17" s="123" t="e">
        <f ca="1">$K$118</f>
        <v>#NAME?</v>
      </c>
      <c r="O17" s="123">
        <f>E17*F17</f>
        <v>62231.600000000006</v>
      </c>
      <c r="P17" s="123" t="e">
        <f ca="1">E17*G17*$I$1</f>
        <v>#NAME?</v>
      </c>
      <c r="Q17" s="123" t="e">
        <f t="shared" ca="1" si="4"/>
        <v>#NAME?</v>
      </c>
      <c r="R17" s="123" t="e">
        <f t="shared" ca="1" si="5"/>
        <v>#NAME?</v>
      </c>
      <c r="S17" s="123" t="e">
        <f t="shared" ca="1" si="6"/>
        <v>#NAME?</v>
      </c>
      <c r="T17" s="268" t="e">
        <f ca="1">_xll.BDP($C17,"EQY_DVD_YLD_EST")</f>
        <v>#NAME?</v>
      </c>
      <c r="U17" s="263" t="e">
        <f ca="1">_xll.BDP($C17,"CHG_PCT_YTD")</f>
        <v>#NAME?</v>
      </c>
      <c r="V17" s="263" t="e">
        <f ca="1">_xll.BDP($C17,"CHG_PCT_1YR")</f>
        <v>#NAME?</v>
      </c>
      <c r="W17" s="263" t="e">
        <f ca="1">_xll.BDP($C17,"DVD_EX_DT")</f>
        <v>#NAME?</v>
      </c>
      <c r="X17" s="263" t="e">
        <f ca="1">_xll.BDP($C17,"BDVD_NEXT_EST_DECL_DT")</f>
        <v>#NAME?</v>
      </c>
    </row>
    <row r="18" spans="1:27" s="631" customFormat="1" x14ac:dyDescent="0.2">
      <c r="A18" s="375" t="s">
        <v>423</v>
      </c>
      <c r="B18" s="324" t="e">
        <f ca="1">_xll.BDP(C18,"SECURITY_NAME")</f>
        <v>#NAME?</v>
      </c>
      <c r="C18" s="325" t="s">
        <v>814</v>
      </c>
      <c r="D18" s="326" t="e">
        <f t="shared" ca="1" si="0"/>
        <v>#NAME?</v>
      </c>
      <c r="E18" s="311">
        <f>$F$64</f>
        <v>4000000</v>
      </c>
      <c r="F18" s="632">
        <f>$H$64</f>
        <v>100</v>
      </c>
      <c r="G18" s="327" t="e">
        <f ca="1">_xll.BDP($C18 &amp; " Corp","PX LAST")</f>
        <v>#NAME?</v>
      </c>
      <c r="K18" s="328" t="e">
        <f ca="1">_xll.BDP($C18,"CRNCY")</f>
        <v>#NAME?</v>
      </c>
      <c r="L18" s="326" t="e">
        <f t="shared" ref="L18" ca="1" si="7">G18/F18-1</f>
        <v>#NAME?</v>
      </c>
      <c r="M18" s="326" t="e">
        <f t="shared" ref="M18" ca="1" si="8">Q18/O18-1</f>
        <v>#NAME?</v>
      </c>
      <c r="N18" s="311">
        <f>E18*F18/100</f>
        <v>4000000</v>
      </c>
      <c r="O18" s="311" t="e">
        <f ca="1">$J$64</f>
        <v>#NAME?</v>
      </c>
      <c r="P18" s="311" t="e">
        <f ca="1">E18*G18/100</f>
        <v>#NAME?</v>
      </c>
      <c r="Q18" s="329" t="e">
        <f t="shared" ref="Q18" ca="1" si="9">P18/$I$1</f>
        <v>#NAME?</v>
      </c>
      <c r="R18" s="330" t="e">
        <f t="shared" ref="R18" ca="1" si="10">P18-N18</f>
        <v>#NAME?</v>
      </c>
      <c r="S18" s="330" t="e">
        <f t="shared" ref="S18" ca="1" si="11">Q18-O18</f>
        <v>#NAME?</v>
      </c>
      <c r="T18" s="331" t="e">
        <f ca="1">_xll.BDP($C18 &amp; " Corp", "YLD_CNV_BID")</f>
        <v>#NAME?</v>
      </c>
      <c r="U18" s="502" t="e">
        <f ca="1">E18*_xll.BDP(C18,"PX_GROSS_MID")/100/$I$1</f>
        <v>#NAME?</v>
      </c>
      <c r="V18" s="331" t="e">
        <f ca="1">_xll.BDP($C18,"CHG_PCT_1YR")</f>
        <v>#NAME?</v>
      </c>
      <c r="W18" s="331" t="e">
        <f ca="1">_xll.BDP($C18,"CHG_PCT_6M")</f>
        <v>#NAME?</v>
      </c>
      <c r="X18" s="331" t="e">
        <f ca="1">_xll.BDP($C18,"CHG_PCT_3M")</f>
        <v>#NAME?</v>
      </c>
      <c r="Y18" s="331" t="e">
        <f ca="1">_xll.BDP($C18,"CHG_PCT_1M")</f>
        <v>#NAME?</v>
      </c>
      <c r="Z18" s="331" t="e">
        <f ca="1">_xll.BDP($C18,"CHG_PCT_5D")</f>
        <v>#NAME?</v>
      </c>
      <c r="AA18" s="331" t="e">
        <f ca="1">_xll.BDP(C18,"RUSSIAN_CB_LOMBARD")</f>
        <v>#NAME?</v>
      </c>
    </row>
    <row r="19" spans="1:27" s="450" customFormat="1" x14ac:dyDescent="0.2">
      <c r="A19" s="450" t="s">
        <v>423</v>
      </c>
      <c r="B19" s="467" t="e">
        <f ca="1">_xll.BDP(C19,"SECURITY_NAME")</f>
        <v>#NAME?</v>
      </c>
      <c r="C19" s="440" t="s">
        <v>697</v>
      </c>
      <c r="D19" s="488" t="e">
        <f t="shared" ca="1" si="0"/>
        <v>#NAME?</v>
      </c>
      <c r="E19" s="446">
        <f>$F$132</f>
        <v>600000</v>
      </c>
      <c r="F19" s="490">
        <f>$H$132</f>
        <v>91.333333333333329</v>
      </c>
      <c r="G19" s="482" t="e">
        <f ca="1">_xll.BDP(C19,"PX_BID")</f>
        <v>#NAME?</v>
      </c>
      <c r="K19" s="489" t="e">
        <f ca="1">_xll.BDP($C19,"CRNCY")</f>
        <v>#NAME?</v>
      </c>
      <c r="L19" s="488" t="e">
        <f t="shared" ref="L19:L21" ca="1" si="12">P19/N19-1</f>
        <v>#NAME?</v>
      </c>
      <c r="M19" s="488" t="e">
        <f t="shared" ref="M19:M21" ca="1" si="13">G19/F19-1</f>
        <v>#NAME?</v>
      </c>
      <c r="N19" s="446" t="e">
        <f ca="1">$K$132</f>
        <v>#NAME?</v>
      </c>
      <c r="O19" s="446">
        <f t="shared" ref="O19:O21" si="14">E19*F19/100</f>
        <v>548000</v>
      </c>
      <c r="P19" s="446" t="e">
        <f t="shared" ref="P19:P21" ca="1" si="15">E19*G19/100*$I$1</f>
        <v>#NAME?</v>
      </c>
      <c r="Q19" s="446" t="e">
        <f t="shared" ref="Q19:Q21" ca="1" si="16">P19/$I$1</f>
        <v>#NAME?</v>
      </c>
      <c r="R19" s="446" t="e">
        <f t="shared" ref="R19:S21" ca="1" si="17">P19-N19</f>
        <v>#NAME?</v>
      </c>
      <c r="S19" s="446" t="e">
        <f t="shared" ca="1" si="17"/>
        <v>#NAME?</v>
      </c>
      <c r="T19" s="482" t="e">
        <f ca="1">_xll.BDP(C19,"YLD_YTM_BID")</f>
        <v>#NAME?</v>
      </c>
      <c r="U19" s="490" t="e">
        <f ca="1">_xll.BDP($C19,"CHG_PCT_YTD")</f>
        <v>#NAME?</v>
      </c>
      <c r="V19" s="490" t="e">
        <f ca="1">_xll.BDP($C19,"CHG_PCT_1YR")</f>
        <v>#NAME?</v>
      </c>
      <c r="W19" s="490"/>
    </row>
    <row r="20" spans="1:27" s="450" customFormat="1" x14ac:dyDescent="0.2">
      <c r="A20" s="450" t="s">
        <v>423</v>
      </c>
      <c r="B20" s="467" t="e">
        <f ca="1">_xll.BDP(C20,"SECURITY_NAME")</f>
        <v>#NAME?</v>
      </c>
      <c r="C20" s="450" t="s">
        <v>156</v>
      </c>
      <c r="D20" s="488" t="e">
        <f t="shared" ca="1" si="0"/>
        <v>#NAME?</v>
      </c>
      <c r="E20" s="446">
        <f>$F$67</f>
        <v>200000</v>
      </c>
      <c r="F20" s="490">
        <f>$H$67</f>
        <v>103.49999999999999</v>
      </c>
      <c r="G20" s="482" t="e">
        <f ca="1">_xll.BDP(C20,"PX_BID")</f>
        <v>#NAME?</v>
      </c>
      <c r="K20" s="489" t="e">
        <f ca="1">_xll.BDP($C20,"CRNCY")</f>
        <v>#NAME?</v>
      </c>
      <c r="L20" s="488" t="e">
        <f t="shared" ca="1" si="12"/>
        <v>#NAME?</v>
      </c>
      <c r="M20" s="488" t="e">
        <f t="shared" ca="1" si="13"/>
        <v>#NAME?</v>
      </c>
      <c r="N20" s="446" t="e">
        <f ca="1">$K$67</f>
        <v>#NAME?</v>
      </c>
      <c r="O20" s="446">
        <f t="shared" si="14"/>
        <v>206999.99999999997</v>
      </c>
      <c r="P20" s="446" t="e">
        <f t="shared" ca="1" si="15"/>
        <v>#NAME?</v>
      </c>
      <c r="Q20" s="446" t="e">
        <f t="shared" ca="1" si="16"/>
        <v>#NAME?</v>
      </c>
      <c r="R20" s="446" t="e">
        <f t="shared" ca="1" si="17"/>
        <v>#NAME?</v>
      </c>
      <c r="S20" s="446" t="e">
        <f t="shared" ca="1" si="17"/>
        <v>#NAME?</v>
      </c>
      <c r="T20" s="482" t="e">
        <f ca="1">_xll.BDP(C20,"YLD_YTM_BID")</f>
        <v>#NAME?</v>
      </c>
      <c r="U20" s="490" t="e">
        <f ca="1">_xll.BDP($C20,"CHG_PCT_YTD")</f>
        <v>#NAME?</v>
      </c>
      <c r="V20" s="490" t="e">
        <f ca="1">_xll.BDP($C20,"CHG_PCT_1YR")</f>
        <v>#NAME?</v>
      </c>
      <c r="W20" s="490"/>
    </row>
    <row r="21" spans="1:27" s="450" customFormat="1" x14ac:dyDescent="0.2">
      <c r="A21" s="450" t="s">
        <v>423</v>
      </c>
      <c r="B21" s="467" t="e">
        <f ca="1">_xll.BDP(C21,"SECURITY_NAME")</f>
        <v>#NAME?</v>
      </c>
      <c r="C21" s="450" t="s">
        <v>453</v>
      </c>
      <c r="D21" s="488" t="e">
        <f t="shared" ca="1" si="0"/>
        <v>#NAME?</v>
      </c>
      <c r="E21" s="446">
        <f>$F$79</f>
        <v>200000</v>
      </c>
      <c r="F21" s="490">
        <f>$H$79</f>
        <v>102.75000000000001</v>
      </c>
      <c r="G21" s="482" t="e">
        <f ca="1">_xll.BDP(C21,"PX_BID")</f>
        <v>#NAME?</v>
      </c>
      <c r="K21" s="489" t="e">
        <f ca="1">_xll.BDP($C21,"CRNCY")</f>
        <v>#NAME?</v>
      </c>
      <c r="L21" s="488" t="e">
        <f t="shared" ca="1" si="12"/>
        <v>#NAME?</v>
      </c>
      <c r="M21" s="488" t="e">
        <f t="shared" ca="1" si="13"/>
        <v>#NAME?</v>
      </c>
      <c r="N21" s="446" t="e">
        <f ca="1">$K$79</f>
        <v>#NAME?</v>
      </c>
      <c r="O21" s="446">
        <f t="shared" si="14"/>
        <v>205500.00000000003</v>
      </c>
      <c r="P21" s="446" t="e">
        <f t="shared" ca="1" si="15"/>
        <v>#NAME?</v>
      </c>
      <c r="Q21" s="446" t="e">
        <f t="shared" ca="1" si="16"/>
        <v>#NAME?</v>
      </c>
      <c r="R21" s="446" t="e">
        <f t="shared" ca="1" si="17"/>
        <v>#NAME?</v>
      </c>
      <c r="S21" s="446" t="e">
        <f t="shared" ca="1" si="17"/>
        <v>#NAME?</v>
      </c>
      <c r="T21" s="482" t="e">
        <f ca="1">_xll.BDP(C21,"YLD_YTM_BID")</f>
        <v>#NAME?</v>
      </c>
      <c r="U21" s="490" t="e">
        <f ca="1">_xll.BDP($C21,"CHG_PCT_YTD")</f>
        <v>#NAME?</v>
      </c>
      <c r="V21" s="490" t="e">
        <f ca="1">_xll.BDP($C21,"CHG_PCT_1YR")</f>
        <v>#NAME?</v>
      </c>
      <c r="W21" s="490"/>
    </row>
    <row r="22" spans="1:27" x14ac:dyDescent="0.2">
      <c r="B22" s="68" t="s">
        <v>106</v>
      </c>
      <c r="C22" s="68" t="s">
        <v>106</v>
      </c>
      <c r="D22" s="262" t="e">
        <f t="shared" ca="1" si="0"/>
        <v>#NAME?</v>
      </c>
      <c r="E22" s="262"/>
      <c r="F22" s="262"/>
      <c r="G22" s="66"/>
      <c r="H22" s="66"/>
      <c r="I22" s="66"/>
      <c r="J22" s="177"/>
      <c r="K22" s="177"/>
      <c r="L22" s="179"/>
      <c r="M22" s="179"/>
      <c r="N22" s="64"/>
      <c r="O22" s="322"/>
      <c r="P22" s="64"/>
      <c r="Q22" s="64">
        <v>0</v>
      </c>
      <c r="R22" s="61"/>
      <c r="S22" s="61"/>
      <c r="T22" s="61"/>
      <c r="U22" s="177"/>
      <c r="V22" s="177"/>
      <c r="W22" s="177"/>
      <c r="X22" s="177"/>
    </row>
    <row r="23" spans="1:27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SUMPRODUCT(D4:D17,I4:I17)</f>
        <v>#NAME?</v>
      </c>
      <c r="J23" s="55"/>
      <c r="K23" s="55"/>
      <c r="L23" s="606" t="e">
        <f ca="1">SUMPRODUCT($D$4:$D$21,L4:L21)</f>
        <v>#NAME?</v>
      </c>
      <c r="M23" s="606" t="e">
        <f ca="1">SUMPRODUCT($D$4:$D$21,M4:M21)</f>
        <v>#NAME?</v>
      </c>
      <c r="N23" s="184" t="e">
        <f t="shared" ref="N23:S23" ca="1" si="18">SUM(N4:N22)</f>
        <v>#NAME?</v>
      </c>
      <c r="O23" s="184" t="e">
        <f t="shared" ca="1" si="18"/>
        <v>#NAME?</v>
      </c>
      <c r="P23" s="184" t="e">
        <f t="shared" ca="1" si="18"/>
        <v>#NAME?</v>
      </c>
      <c r="Q23" s="184" t="e">
        <f t="shared" ca="1" si="18"/>
        <v>#NAME?</v>
      </c>
      <c r="R23" s="184" t="e">
        <f t="shared" ca="1" si="18"/>
        <v>#NAME?</v>
      </c>
      <c r="S23" s="184" t="e">
        <f t="shared" ca="1" si="18"/>
        <v>#NAME?</v>
      </c>
      <c r="T23" s="615" t="e">
        <f ca="1">SUMPRODUCT(D4:D21,T4:T21)</f>
        <v>#NAME?</v>
      </c>
      <c r="U23" s="55"/>
      <c r="V23" s="55"/>
      <c r="W23" s="55"/>
      <c r="X23" s="55"/>
    </row>
    <row r="24" spans="1:27" ht="13.5" customHeight="1" x14ac:dyDescent="0.2">
      <c r="B24" s="35"/>
      <c r="C24" s="35"/>
      <c r="D24" s="54"/>
      <c r="E24" s="46"/>
      <c r="F24" s="46"/>
      <c r="G24" s="35"/>
      <c r="I24" s="830" t="s">
        <v>804</v>
      </c>
      <c r="J24" s="830"/>
      <c r="K24" s="629"/>
      <c r="L24" s="40"/>
      <c r="M24" s="40"/>
      <c r="N24" s="40"/>
      <c r="O24" s="130"/>
      <c r="P24" s="52"/>
      <c r="Q24" s="53"/>
      <c r="R24" s="261"/>
      <c r="S24" s="261"/>
      <c r="T24" s="830" t="s">
        <v>810</v>
      </c>
      <c r="U24" s="830"/>
    </row>
    <row r="25" spans="1:27" x14ac:dyDescent="0.2">
      <c r="C25" s="32" t="s">
        <v>655</v>
      </c>
      <c r="E25" s="155" t="s">
        <v>826</v>
      </c>
      <c r="I25" s="842"/>
      <c r="J25" s="842"/>
      <c r="K25" s="630"/>
      <c r="L25" s="30"/>
      <c r="M25" s="148"/>
      <c r="N25" s="35"/>
      <c r="O25" s="34"/>
      <c r="P25" s="34"/>
      <c r="Q25" s="30"/>
      <c r="T25" s="842"/>
      <c r="U25" s="842"/>
    </row>
    <row r="26" spans="1:27" x14ac:dyDescent="0.2">
      <c r="B26" s="32" t="s">
        <v>276</v>
      </c>
      <c r="E26" s="155"/>
      <c r="M26" s="35"/>
      <c r="N26" s="34"/>
      <c r="O26" s="34"/>
      <c r="P26" s="30"/>
    </row>
    <row r="27" spans="1:27" x14ac:dyDescent="0.2">
      <c r="B27" s="379">
        <v>2015</v>
      </c>
      <c r="M27" s="35"/>
      <c r="N27" s="34"/>
      <c r="O27" s="34"/>
      <c r="P27" s="30"/>
    </row>
    <row r="28" spans="1:27" ht="40.5" hidden="1" customHeight="1" x14ac:dyDescent="0.2">
      <c r="B28" s="787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7" hidden="1" x14ac:dyDescent="0.2">
      <c r="B29" s="768" t="s">
        <v>644</v>
      </c>
      <c r="C29" s="103" t="s">
        <v>49</v>
      </c>
      <c r="D29" s="244" t="s">
        <v>51</v>
      </c>
      <c r="E29" s="43" t="e">
        <f ca="1">F29*_xll.BDP(C29,"PX_LAST")</f>
        <v>#NAME?</v>
      </c>
      <c r="F29" s="43">
        <v>3710</v>
      </c>
      <c r="G29" s="43">
        <v>3710</v>
      </c>
      <c r="H29" s="47">
        <f>G29/F29</f>
        <v>1</v>
      </c>
      <c r="I29" s="43">
        <f>G29*K29</f>
        <v>38584</v>
      </c>
      <c r="J29" s="45">
        <f>G29*L29</f>
        <v>43592.5</v>
      </c>
      <c r="K29" s="38">
        <v>10.4</v>
      </c>
      <c r="L29" s="38">
        <v>11.75</v>
      </c>
      <c r="M29" s="44">
        <f>L29/K29-1</f>
        <v>0.12980769230769229</v>
      </c>
      <c r="N29" s="43">
        <f>J29-I29</f>
        <v>5008.5</v>
      </c>
      <c r="O29" s="106" t="e">
        <f ca="1">_xll.BDP($C29,"CRNCY")</f>
        <v>#NAME?</v>
      </c>
      <c r="P29" s="43">
        <f>N29</f>
        <v>5008.5</v>
      </c>
      <c r="Q29" s="239">
        <v>42335</v>
      </c>
      <c r="R29" s="250" t="e">
        <f ca="1">_xll.BDH("RUB curncy","PX_LAST",$Q29)</f>
        <v>#NAME?</v>
      </c>
    </row>
    <row r="30" spans="1:27" hidden="1" x14ac:dyDescent="0.2">
      <c r="B30" s="788"/>
      <c r="C30" s="35"/>
      <c r="D30" s="40"/>
      <c r="G30" s="35"/>
      <c r="H30" s="35"/>
      <c r="I30" s="35"/>
      <c r="J30" s="35"/>
      <c r="K30" s="35"/>
      <c r="L30" s="46"/>
      <c r="M30" s="35" t="s">
        <v>94</v>
      </c>
      <c r="N30" s="40"/>
      <c r="O30" s="34" t="s">
        <v>75</v>
      </c>
      <c r="P30" s="40">
        <f>SUM(P29:P29)</f>
        <v>5008.5</v>
      </c>
    </row>
    <row r="31" spans="1:27" hidden="1" x14ac:dyDescent="0.2">
      <c r="B31" s="788"/>
      <c r="C31" s="35"/>
      <c r="D31" s="40"/>
      <c r="G31" s="35"/>
      <c r="H31" s="35"/>
      <c r="I31" s="35"/>
      <c r="J31" s="35"/>
      <c r="K31" s="35"/>
      <c r="L31" s="46"/>
      <c r="N31" s="35"/>
      <c r="O31" s="34"/>
      <c r="P31" s="40"/>
    </row>
    <row r="32" spans="1:27" hidden="1" x14ac:dyDescent="0.2">
      <c r="B32" s="379">
        <v>2016</v>
      </c>
      <c r="M32" s="35"/>
      <c r="N32" s="34"/>
      <c r="O32" s="34"/>
      <c r="P32" s="30"/>
    </row>
    <row r="33" spans="2:18" ht="51" hidden="1" x14ac:dyDescent="0.2">
      <c r="B33" s="787" t="s">
        <v>105</v>
      </c>
      <c r="C33" s="50" t="s">
        <v>104</v>
      </c>
      <c r="D33" s="50" t="s">
        <v>174</v>
      </c>
      <c r="E33" s="50" t="s">
        <v>173</v>
      </c>
      <c r="F33" s="50" t="s">
        <v>175</v>
      </c>
      <c r="G33" s="50" t="s">
        <v>172</v>
      </c>
      <c r="H33" s="50" t="s">
        <v>103</v>
      </c>
      <c r="I33" s="50" t="s">
        <v>102</v>
      </c>
      <c r="J33" s="50" t="s">
        <v>101</v>
      </c>
      <c r="K33" s="50" t="s">
        <v>100</v>
      </c>
      <c r="L33" s="50" t="s">
        <v>99</v>
      </c>
      <c r="M33" s="50" t="s">
        <v>98</v>
      </c>
      <c r="N33" s="50" t="s">
        <v>280</v>
      </c>
      <c r="O33" s="50" t="s">
        <v>97</v>
      </c>
      <c r="P33" s="50" t="s">
        <v>279</v>
      </c>
      <c r="Q33" s="50" t="s">
        <v>277</v>
      </c>
      <c r="R33" s="50" t="s">
        <v>278</v>
      </c>
    </row>
    <row r="34" spans="2:18" hidden="1" x14ac:dyDescent="0.2">
      <c r="B34" s="415" t="e">
        <f ca="1">_xll.BDP(C34,"SECURITY_NAME")</f>
        <v>#NAME?</v>
      </c>
      <c r="C34" s="118" t="s">
        <v>660</v>
      </c>
      <c r="D34" s="398" t="s">
        <v>51</v>
      </c>
      <c r="E34" s="120" t="e">
        <f ca="1">F34*_xll.BDP(C34,"PX_LAST")/100</f>
        <v>#NAME?</v>
      </c>
      <c r="F34" s="120">
        <v>10000000</v>
      </c>
      <c r="G34" s="120">
        <v>10000000</v>
      </c>
      <c r="H34" s="399">
        <f t="shared" ref="H34:H41" si="19">G34/F34</f>
        <v>1</v>
      </c>
      <c r="I34" s="120">
        <f t="shared" ref="I34:I41" si="20">G34*K34/100</f>
        <v>9830000</v>
      </c>
      <c r="J34" s="400">
        <f t="shared" ref="J34:J41" si="21">G34*L34/100</f>
        <v>10000000</v>
      </c>
      <c r="K34" s="181">
        <v>98.3</v>
      </c>
      <c r="L34" s="181">
        <v>100</v>
      </c>
      <c r="M34" s="119">
        <f t="shared" ref="M34:M41" si="22">L34/K34-1</f>
        <v>1.7293997965412089E-2</v>
      </c>
      <c r="N34" s="120">
        <f t="shared" ref="N34:N41" si="23">(J34-I34)</f>
        <v>170000</v>
      </c>
      <c r="O34" s="182" t="e">
        <f ca="1">_xll.BDP($C34,"CRNCY")</f>
        <v>#NAME?</v>
      </c>
      <c r="P34" s="120" t="e">
        <f t="shared" ref="P34:P51" ca="1" si="24">N34/R34</f>
        <v>#NAME?</v>
      </c>
      <c r="Q34" s="401">
        <v>42401</v>
      </c>
      <c r="R34" s="402" t="e">
        <f ca="1">_xll.BDH("RUB curncy","PX_LAST",$Q34)</f>
        <v>#NAME?</v>
      </c>
    </row>
    <row r="35" spans="2:18" hidden="1" x14ac:dyDescent="0.2">
      <c r="B35" s="415" t="e">
        <f>_xll.BDP(C35,"SECURITY_NAME")</f>
        <v>#REF!</v>
      </c>
      <c r="C35" s="196" t="e">
        <f>#REF!</f>
        <v>#REF!</v>
      </c>
      <c r="D35" s="398" t="s">
        <v>51</v>
      </c>
      <c r="E35" s="120" t="e">
        <f>F35*_xll.BDP(C35,"PX_LAST")/100</f>
        <v>#REF!</v>
      </c>
      <c r="F35" s="120">
        <v>6190000</v>
      </c>
      <c r="G35" s="120">
        <v>6190000</v>
      </c>
      <c r="H35" s="399">
        <f t="shared" si="19"/>
        <v>1</v>
      </c>
      <c r="I35" s="120">
        <f t="shared" si="20"/>
        <v>6028868.4195000008</v>
      </c>
      <c r="J35" s="400">
        <f t="shared" si="21"/>
        <v>6132433</v>
      </c>
      <c r="K35" s="181">
        <v>97.396905000000004</v>
      </c>
      <c r="L35" s="181">
        <v>99.07</v>
      </c>
      <c r="M35" s="119">
        <f t="shared" si="22"/>
        <v>1.7178112589922634E-2</v>
      </c>
      <c r="N35" s="120">
        <f t="shared" si="23"/>
        <v>103564.58049999923</v>
      </c>
      <c r="O35" s="182" t="e">
        <f>_xll.BDP($C35,"CRNCY")</f>
        <v>#REF!</v>
      </c>
      <c r="P35" s="120" t="e">
        <f t="shared" ca="1" si="24"/>
        <v>#NAME?</v>
      </c>
      <c r="Q35" s="401">
        <v>42440</v>
      </c>
      <c r="R35" s="402" t="e">
        <f ca="1">_xll.BDH("RUB curncy","PX_LAST",$Q35)</f>
        <v>#NAME?</v>
      </c>
    </row>
    <row r="36" spans="2:18" hidden="1" x14ac:dyDescent="0.2">
      <c r="B36" s="415" t="e">
        <f>_xll.BDP(C36,"SECURITY_NAME")</f>
        <v>#REF!</v>
      </c>
      <c r="C36" s="196" t="e">
        <f>#REF!</f>
        <v>#REF!</v>
      </c>
      <c r="D36" s="398" t="s">
        <v>51</v>
      </c>
      <c r="E36" s="120" t="e">
        <f>F36*_xll.BDP(C36,"PX_LAST")/100</f>
        <v>#REF!</v>
      </c>
      <c r="F36" s="120">
        <v>33055000</v>
      </c>
      <c r="G36" s="120">
        <v>15636000</v>
      </c>
      <c r="H36" s="399">
        <f t="shared" si="19"/>
        <v>0.47302979882014823</v>
      </c>
      <c r="I36" s="120">
        <f t="shared" si="20"/>
        <v>15059031.6</v>
      </c>
      <c r="J36" s="400">
        <f t="shared" si="21"/>
        <v>15338916</v>
      </c>
      <c r="K36" s="181">
        <v>96.31</v>
      </c>
      <c r="L36" s="181">
        <v>98.1</v>
      </c>
      <c r="M36" s="119">
        <f t="shared" si="22"/>
        <v>1.8585816633786667E-2</v>
      </c>
      <c r="N36" s="120">
        <f t="shared" si="23"/>
        <v>279884.40000000037</v>
      </c>
      <c r="O36" s="182" t="e">
        <f>_xll.BDP($C36,"CRNCY")</f>
        <v>#REF!</v>
      </c>
      <c r="P36" s="120" t="e">
        <f t="shared" ca="1" si="24"/>
        <v>#NAME?</v>
      </c>
      <c r="Q36" s="401">
        <v>42451</v>
      </c>
      <c r="R36" s="402" t="e">
        <f ca="1">_xll.BDH("RUB curncy","PX_LAST",$Q36)</f>
        <v>#NAME?</v>
      </c>
    </row>
    <row r="37" spans="2:18" hidden="1" x14ac:dyDescent="0.2">
      <c r="B37" s="415" t="e">
        <f ca="1">_xll.BDP(C37,"SECURITY_NAME")</f>
        <v>#NAME?</v>
      </c>
      <c r="C37" s="196" t="s">
        <v>427</v>
      </c>
      <c r="D37" s="398" t="s">
        <v>51</v>
      </c>
      <c r="E37" s="120" t="e">
        <f ca="1">F37*_xll.BDP(C37,"PX_LAST")/100</f>
        <v>#NAME?</v>
      </c>
      <c r="F37" s="120">
        <v>17419000</v>
      </c>
      <c r="G37" s="120">
        <v>17419000</v>
      </c>
      <c r="H37" s="399">
        <f t="shared" si="19"/>
        <v>1</v>
      </c>
      <c r="I37" s="120">
        <f t="shared" si="20"/>
        <v>16776238.9</v>
      </c>
      <c r="J37" s="400">
        <f t="shared" si="21"/>
        <v>17053201</v>
      </c>
      <c r="K37" s="181">
        <v>96.31</v>
      </c>
      <c r="L37" s="181">
        <v>97.9</v>
      </c>
      <c r="M37" s="119">
        <f t="shared" si="22"/>
        <v>1.6509189076939101E-2</v>
      </c>
      <c r="N37" s="120">
        <f t="shared" si="23"/>
        <v>276962.09999999963</v>
      </c>
      <c r="O37" s="182" t="e">
        <f ca="1">_xll.BDP($C37,"CRNCY")</f>
        <v>#NAME?</v>
      </c>
      <c r="P37" s="120" t="e">
        <f t="shared" ca="1" si="24"/>
        <v>#NAME?</v>
      </c>
      <c r="Q37" s="401">
        <v>42457</v>
      </c>
      <c r="R37" s="402" t="e">
        <f ca="1">_xll.BDH("RUB curncy","PX_LAST",$Q37)</f>
        <v>#NAME?</v>
      </c>
    </row>
    <row r="38" spans="2:18" hidden="1" x14ac:dyDescent="0.2">
      <c r="B38" s="415" t="e">
        <f ca="1">_xll.BDP(C38,"SECURITY_NAME")</f>
        <v>#NAME?</v>
      </c>
      <c r="C38" s="196" t="s">
        <v>426</v>
      </c>
      <c r="D38" s="398" t="s">
        <v>51</v>
      </c>
      <c r="E38" s="120" t="e">
        <f ca="1">F38*_xll.BDP(C38,"PX_LAST")/100</f>
        <v>#NAME?</v>
      </c>
      <c r="F38" s="120">
        <v>1663000</v>
      </c>
      <c r="G38" s="120">
        <v>1663000</v>
      </c>
      <c r="H38" s="399">
        <f t="shared" si="19"/>
        <v>1</v>
      </c>
      <c r="I38" s="120">
        <f t="shared" si="20"/>
        <v>1576524</v>
      </c>
      <c r="J38" s="400">
        <f t="shared" si="21"/>
        <v>1624751</v>
      </c>
      <c r="K38" s="181">
        <v>94.8</v>
      </c>
      <c r="L38" s="181">
        <v>97.7</v>
      </c>
      <c r="M38" s="119">
        <f t="shared" si="22"/>
        <v>3.0590717299578074E-2</v>
      </c>
      <c r="N38" s="120">
        <f t="shared" si="23"/>
        <v>48227</v>
      </c>
      <c r="O38" s="182" t="e">
        <f ca="1">_xll.BDP($C38,"CRNCY")</f>
        <v>#NAME?</v>
      </c>
      <c r="P38" s="120" t="e">
        <f t="shared" ca="1" si="24"/>
        <v>#NAME?</v>
      </c>
      <c r="Q38" s="401">
        <v>42457</v>
      </c>
      <c r="R38" s="402" t="e">
        <f ca="1">_xll.BDH("RUB curncy","PX_LAST",$Q38)</f>
        <v>#NAME?</v>
      </c>
    </row>
    <row r="39" spans="2:18" hidden="1" x14ac:dyDescent="0.2">
      <c r="B39" s="415" t="e">
        <f ca="1">_xll.BDP(C39,"SECURITY_NAME")</f>
        <v>#NAME?</v>
      </c>
      <c r="C39" s="196" t="s">
        <v>424</v>
      </c>
      <c r="D39" s="398" t="s">
        <v>51</v>
      </c>
      <c r="E39" s="120" t="e">
        <f ca="1">F39*_xll.BDP(C39,"PX_LAST")/100</f>
        <v>#NAME?</v>
      </c>
      <c r="F39" s="120">
        <v>1670000</v>
      </c>
      <c r="G39" s="120">
        <v>1670000</v>
      </c>
      <c r="H39" s="399">
        <f t="shared" si="19"/>
        <v>1</v>
      </c>
      <c r="I39" s="120">
        <f t="shared" si="20"/>
        <v>1545585</v>
      </c>
      <c r="J39" s="400">
        <f t="shared" si="21"/>
        <v>1619900</v>
      </c>
      <c r="K39" s="181">
        <v>92.55</v>
      </c>
      <c r="L39" s="181">
        <v>97</v>
      </c>
      <c r="M39" s="119">
        <f t="shared" si="22"/>
        <v>4.8082117774176147E-2</v>
      </c>
      <c r="N39" s="120">
        <f t="shared" si="23"/>
        <v>74315</v>
      </c>
      <c r="O39" s="182" t="e">
        <f ca="1">_xll.BDP($C39,"CRNCY")</f>
        <v>#NAME?</v>
      </c>
      <c r="P39" s="120" t="e">
        <f t="shared" ca="1" si="24"/>
        <v>#NAME?</v>
      </c>
      <c r="Q39" s="401">
        <v>42457</v>
      </c>
      <c r="R39" s="402" t="e">
        <f ca="1">_xll.BDH("RUB curncy","PX_LAST",$Q39)</f>
        <v>#NAME?</v>
      </c>
    </row>
    <row r="40" spans="2:18" hidden="1" x14ac:dyDescent="0.2">
      <c r="B40" s="415" t="e">
        <f ca="1">_xll.BDP(C40,"SECURITY_NAME")</f>
        <v>#NAME?</v>
      </c>
      <c r="C40" s="196" t="s">
        <v>684</v>
      </c>
      <c r="D40" s="398" t="s">
        <v>51</v>
      </c>
      <c r="E40" s="120" t="e">
        <f ca="1">F40*_xll.BDP(C40,"PX_LAST")/100</f>
        <v>#NAME?</v>
      </c>
      <c r="F40" s="120">
        <v>2195000</v>
      </c>
      <c r="G40" s="120">
        <v>2195000</v>
      </c>
      <c r="H40" s="399">
        <f t="shared" si="19"/>
        <v>1</v>
      </c>
      <c r="I40" s="120">
        <f t="shared" si="20"/>
        <v>1993060</v>
      </c>
      <c r="J40" s="400">
        <f t="shared" si="21"/>
        <v>2050130</v>
      </c>
      <c r="K40" s="181">
        <v>90.8</v>
      </c>
      <c r="L40" s="181">
        <v>93.4</v>
      </c>
      <c r="M40" s="119">
        <f t="shared" si="22"/>
        <v>2.8634361233480288E-2</v>
      </c>
      <c r="N40" s="120">
        <f t="shared" si="23"/>
        <v>57070</v>
      </c>
      <c r="O40" s="182" t="e">
        <f ca="1">_xll.BDP($C40,"CRNCY")</f>
        <v>#NAME?</v>
      </c>
      <c r="P40" s="120" t="e">
        <f t="shared" ca="1" si="24"/>
        <v>#NAME?</v>
      </c>
      <c r="Q40" s="401">
        <v>42457</v>
      </c>
      <c r="R40" s="402" t="e">
        <f ca="1">_xll.BDH("RUB curncy","PX_LAST",$Q40)</f>
        <v>#NAME?</v>
      </c>
    </row>
    <row r="41" spans="2:18" hidden="1" x14ac:dyDescent="0.2">
      <c r="B41" s="415" t="e">
        <f ca="1">_xll.BDP(C41,"SECURITY_NAME")</f>
        <v>#NAME?</v>
      </c>
      <c r="C41" s="196" t="s">
        <v>425</v>
      </c>
      <c r="D41" s="398" t="s">
        <v>51</v>
      </c>
      <c r="E41" s="120" t="e">
        <f ca="1">F41*_xll.BDP(C41,"PX_LAST")/100</f>
        <v>#NAME?</v>
      </c>
      <c r="F41" s="120">
        <v>3880000</v>
      </c>
      <c r="G41" s="120">
        <v>3880000</v>
      </c>
      <c r="H41" s="399">
        <f t="shared" si="19"/>
        <v>1</v>
      </c>
      <c r="I41" s="120">
        <f t="shared" si="20"/>
        <v>3550588</v>
      </c>
      <c r="J41" s="400">
        <f t="shared" si="21"/>
        <v>3686000</v>
      </c>
      <c r="K41" s="181">
        <v>91.51</v>
      </c>
      <c r="L41" s="181">
        <v>95</v>
      </c>
      <c r="M41" s="119">
        <f t="shared" si="22"/>
        <v>3.813790842530862E-2</v>
      </c>
      <c r="N41" s="120">
        <f t="shared" si="23"/>
        <v>135412</v>
      </c>
      <c r="O41" s="182" t="e">
        <f ca="1">_xll.BDP($C41,"CRNCY")</f>
        <v>#NAME?</v>
      </c>
      <c r="P41" s="120" t="e">
        <f t="shared" ca="1" si="24"/>
        <v>#NAME?</v>
      </c>
      <c r="Q41" s="401">
        <v>42457</v>
      </c>
      <c r="R41" s="402" t="e">
        <f ca="1">_xll.BDH("RUB curncy","PX_LAST",$Q41)</f>
        <v>#NAME?</v>
      </c>
    </row>
    <row r="42" spans="2:18" hidden="1" x14ac:dyDescent="0.2">
      <c r="B42" s="415" t="e">
        <f>_xll.BDP(C42,"SECURITY_NAME")</f>
        <v>#REF!</v>
      </c>
      <c r="C42" s="196" t="e">
        <f>#REF!</f>
        <v>#REF!</v>
      </c>
      <c r="D42" s="398" t="s">
        <v>51</v>
      </c>
      <c r="E42" s="120" t="e">
        <f>F42*_xll.BDP(C42,"PX_LAST")/100</f>
        <v>#REF!</v>
      </c>
      <c r="F42" s="120">
        <v>10000000</v>
      </c>
      <c r="G42" s="120">
        <v>10000000</v>
      </c>
      <c r="H42" s="399">
        <f t="shared" ref="H42:H49" si="25">G42/F42</f>
        <v>1</v>
      </c>
      <c r="I42" s="120">
        <f>G42*K42/100</f>
        <v>9650000</v>
      </c>
      <c r="J42" s="400">
        <f>G42*L42/100</f>
        <v>9827000</v>
      </c>
      <c r="K42" s="181">
        <v>96.5</v>
      </c>
      <c r="L42" s="181">
        <v>98.27</v>
      </c>
      <c r="M42" s="119">
        <f t="shared" ref="M42:M49" si="26">L42/K42-1</f>
        <v>1.8341968911917084E-2</v>
      </c>
      <c r="N42" s="120">
        <f>(J42-I42)</f>
        <v>177000</v>
      </c>
      <c r="O42" s="182" t="e">
        <f>_xll.BDP($C42,"CRNCY")</f>
        <v>#REF!</v>
      </c>
      <c r="P42" s="120" t="e">
        <f t="shared" ca="1" si="24"/>
        <v>#NAME?</v>
      </c>
      <c r="Q42" s="401">
        <v>42475</v>
      </c>
      <c r="R42" s="402" t="e">
        <f ca="1">_xll.BDH("RUB curncy","PX_LAST",$Q42)</f>
        <v>#NAME?</v>
      </c>
    </row>
    <row r="43" spans="2:18" hidden="1" x14ac:dyDescent="0.2">
      <c r="B43" s="415" t="s">
        <v>317</v>
      </c>
      <c r="C43" s="118" t="s">
        <v>253</v>
      </c>
      <c r="D43" s="403" t="s">
        <v>51</v>
      </c>
      <c r="E43" s="120" t="e">
        <f ca="1">F43*_xll.BDP(C43,"PX_LAST")</f>
        <v>#NAME?</v>
      </c>
      <c r="F43" s="120">
        <v>11700</v>
      </c>
      <c r="G43" s="120">
        <v>11700</v>
      </c>
      <c r="H43" s="399">
        <f t="shared" si="25"/>
        <v>1</v>
      </c>
      <c r="I43" s="120">
        <f>G43*K43</f>
        <v>2006550</v>
      </c>
      <c r="J43" s="400">
        <f>G43*L43</f>
        <v>1933454.6945999998</v>
      </c>
      <c r="K43" s="181">
        <v>171.5</v>
      </c>
      <c r="L43" s="181">
        <v>165.25253799999999</v>
      </c>
      <c r="M43" s="119">
        <f t="shared" si="26"/>
        <v>-3.6428349854227493E-2</v>
      </c>
      <c r="N43" s="120">
        <f>J43-I43</f>
        <v>-73095.305400000187</v>
      </c>
      <c r="O43" s="182" t="e">
        <f ca="1">_xll.BDP($C43,"CRNCY")</f>
        <v>#NAME?</v>
      </c>
      <c r="P43" s="120" t="e">
        <f t="shared" ca="1" si="24"/>
        <v>#NAME?</v>
      </c>
      <c r="Q43" s="404">
        <v>42507</v>
      </c>
      <c r="R43" s="405" t="e">
        <f ca="1">_xll.BDH("RUB curncy","PX_LAST",$Q43)</f>
        <v>#NAME?</v>
      </c>
    </row>
    <row r="44" spans="2:18" hidden="1" x14ac:dyDescent="0.2">
      <c r="B44" s="415" t="e">
        <f>_xll.BDP(C44,"SECURITY_NAME")</f>
        <v>#REF!</v>
      </c>
      <c r="C44" s="196" t="e">
        <f>#REF!</f>
        <v>#REF!</v>
      </c>
      <c r="D44" s="398" t="s">
        <v>51</v>
      </c>
      <c r="E44" s="120" t="e">
        <f>F44*_xll.BDP(C44,"PX_LAST")/100</f>
        <v>#REF!</v>
      </c>
      <c r="F44" s="120">
        <v>200000</v>
      </c>
      <c r="G44" s="120">
        <v>200000</v>
      </c>
      <c r="H44" s="399">
        <f t="shared" si="25"/>
        <v>1</v>
      </c>
      <c r="I44" s="120">
        <f>G44*K44/100</f>
        <v>169800</v>
      </c>
      <c r="J44" s="400">
        <f>G44*L44/100</f>
        <v>193500</v>
      </c>
      <c r="K44" s="181">
        <v>84.9</v>
      </c>
      <c r="L44" s="181">
        <v>96.75</v>
      </c>
      <c r="M44" s="119">
        <f t="shared" si="26"/>
        <v>0.13957597173144864</v>
      </c>
      <c r="N44" s="120" t="e">
        <f ca="1">(J44-I44)*R44</f>
        <v>#NAME?</v>
      </c>
      <c r="O44" s="182" t="e">
        <f>_xll.BDP($C44,"CRNCY")</f>
        <v>#REF!</v>
      </c>
      <c r="P44" s="120" t="e">
        <f t="shared" ca="1" si="24"/>
        <v>#NAME?</v>
      </c>
      <c r="Q44" s="401">
        <v>42508</v>
      </c>
      <c r="R44" s="402" t="e">
        <f ca="1">_xll.BDH("RUB curncy","PX_LAST",$Q44)</f>
        <v>#NAME?</v>
      </c>
    </row>
    <row r="45" spans="2:18" hidden="1" x14ac:dyDescent="0.2">
      <c r="B45" s="415" t="e">
        <f>_xll.BDP(C45,"SECURITY_NAME")</f>
        <v>#REF!</v>
      </c>
      <c r="C45" s="196" t="e">
        <f>#REF!</f>
        <v>#REF!</v>
      </c>
      <c r="D45" s="398" t="s">
        <v>51</v>
      </c>
      <c r="E45" s="120" t="e">
        <f>F45*_xll.BDP(C45,"PX_LAST")/100</f>
        <v>#REF!</v>
      </c>
      <c r="F45" s="120">
        <v>350000</v>
      </c>
      <c r="G45" s="120">
        <v>350000</v>
      </c>
      <c r="H45" s="399">
        <f t="shared" si="25"/>
        <v>1</v>
      </c>
      <c r="I45" s="120">
        <f>G45*K45/100</f>
        <v>333900.00000000006</v>
      </c>
      <c r="J45" s="400">
        <f>G45*L45/100</f>
        <v>357000</v>
      </c>
      <c r="K45" s="181">
        <v>95.4</v>
      </c>
      <c r="L45" s="181">
        <v>102</v>
      </c>
      <c r="M45" s="119">
        <f t="shared" si="26"/>
        <v>6.9182389937106903E-2</v>
      </c>
      <c r="N45" s="120" t="e">
        <f ca="1">(J45-I45)*R45</f>
        <v>#NAME?</v>
      </c>
      <c r="O45" s="182" t="e">
        <f>_xll.BDP($C45,"CRNCY")</f>
        <v>#REF!</v>
      </c>
      <c r="P45" s="120" t="e">
        <f t="shared" ca="1" si="24"/>
        <v>#NAME?</v>
      </c>
      <c r="Q45" s="401">
        <v>42522</v>
      </c>
      <c r="R45" s="402" t="e">
        <f ca="1">_xll.BDH("RUB curncy","PX_LAST",$Q45)</f>
        <v>#NAME?</v>
      </c>
    </row>
    <row r="46" spans="2:18" hidden="1" x14ac:dyDescent="0.2">
      <c r="B46" s="415" t="e">
        <f ca="1">_xll.BDP(C46,"SECURITY_NAME")</f>
        <v>#NAME?</v>
      </c>
      <c r="C46" s="196" t="str">
        <f>$C$75</f>
        <v>XS0922301717 Corp</v>
      </c>
      <c r="D46" s="398" t="s">
        <v>51</v>
      </c>
      <c r="E46" s="120" t="e">
        <f ca="1">F46*_xll.BDP(C46,"PX_LAST")/100</f>
        <v>#NAME?</v>
      </c>
      <c r="F46" s="120">
        <v>300000</v>
      </c>
      <c r="G46" s="120">
        <v>300000</v>
      </c>
      <c r="H46" s="399">
        <f t="shared" si="25"/>
        <v>1</v>
      </c>
      <c r="I46" s="120">
        <f>G46*K46/100</f>
        <v>284340</v>
      </c>
      <c r="J46" s="400">
        <f>G46*L46/100</f>
        <v>315750</v>
      </c>
      <c r="K46" s="181">
        <v>94.78</v>
      </c>
      <c r="L46" s="181">
        <v>105.25</v>
      </c>
      <c r="M46" s="119">
        <f t="shared" si="26"/>
        <v>0.11046634311036074</v>
      </c>
      <c r="N46" s="120" t="e">
        <f ca="1">(J46-I46)*R46</f>
        <v>#NAME?</v>
      </c>
      <c r="O46" s="182" t="e">
        <f ca="1">_xll.BDP($C46,"CRNCY")</f>
        <v>#NAME?</v>
      </c>
      <c r="P46" s="120" t="e">
        <f t="shared" ca="1" si="24"/>
        <v>#NAME?</v>
      </c>
      <c r="Q46" s="401">
        <v>42555</v>
      </c>
      <c r="R46" s="402" t="e">
        <f ca="1">_xll.BDH("RUB curncy","PX_LAST",$Q46)</f>
        <v>#NAME?</v>
      </c>
    </row>
    <row r="47" spans="2:18" hidden="1" x14ac:dyDescent="0.2">
      <c r="B47" s="415" t="e">
        <f ca="1">_xll.BDP(C47,"SECURITY_NAME")</f>
        <v>#NAME?</v>
      </c>
      <c r="C47" s="253" t="s">
        <v>453</v>
      </c>
      <c r="D47" s="398" t="s">
        <v>51</v>
      </c>
      <c r="E47" s="120" t="e">
        <f ca="1">F47*_xll.BDP(C47,"PX_LAST")/100</f>
        <v>#NAME?</v>
      </c>
      <c r="F47" s="120">
        <v>200000</v>
      </c>
      <c r="G47" s="120">
        <v>200000</v>
      </c>
      <c r="H47" s="399">
        <f t="shared" si="25"/>
        <v>1</v>
      </c>
      <c r="I47" s="120">
        <f>G47*K47/100</f>
        <v>182500</v>
      </c>
      <c r="J47" s="400">
        <f>G47*L47/100</f>
        <v>204400</v>
      </c>
      <c r="K47" s="181">
        <v>91.25</v>
      </c>
      <c r="L47" s="181">
        <v>102.2</v>
      </c>
      <c r="M47" s="119">
        <f t="shared" si="26"/>
        <v>0.12000000000000011</v>
      </c>
      <c r="N47" s="120" t="e">
        <f ca="1">(J47-I47)*R47</f>
        <v>#NAME?</v>
      </c>
      <c r="O47" s="182" t="e">
        <f ca="1">_xll.BDP($C47,"CRNCY")</f>
        <v>#NAME?</v>
      </c>
      <c r="P47" s="120" t="e">
        <f t="shared" ca="1" si="24"/>
        <v>#NAME?</v>
      </c>
      <c r="Q47" s="401">
        <v>42555</v>
      </c>
      <c r="R47" s="402" t="e">
        <f ca="1">_xll.BDH("RUB curncy","PX_LAST",$Q47)</f>
        <v>#NAME?</v>
      </c>
    </row>
    <row r="48" spans="2:18" s="49" customFormat="1" hidden="1" x14ac:dyDescent="0.2">
      <c r="B48" s="768" t="s">
        <v>196</v>
      </c>
      <c r="C48" s="103" t="s">
        <v>336</v>
      </c>
      <c r="D48" s="244" t="s">
        <v>51</v>
      </c>
      <c r="E48" s="43" t="e">
        <f ca="1">F48*_xll.BDP(C48,"PX_LAST")</f>
        <v>#NAME?</v>
      </c>
      <c r="F48" s="43">
        <v>2250</v>
      </c>
      <c r="G48" s="43">
        <v>2250</v>
      </c>
      <c r="H48" s="47">
        <f t="shared" si="25"/>
        <v>1</v>
      </c>
      <c r="I48" s="43">
        <f>G48*K48</f>
        <v>1494742.5</v>
      </c>
      <c r="J48" s="104" t="e">
        <f ca="1">G48*L48</f>
        <v>#NAME?</v>
      </c>
      <c r="K48" s="38">
        <v>664.33</v>
      </c>
      <c r="L48" s="140" t="e">
        <f ca="1">_xll.BDH(C48,"PX_LAST",Q48)</f>
        <v>#NAME?</v>
      </c>
      <c r="M48" s="44" t="e">
        <f t="shared" ca="1" si="26"/>
        <v>#NAME?</v>
      </c>
      <c r="N48" s="43" t="e">
        <f ca="1">J48-I48</f>
        <v>#NAME?</v>
      </c>
      <c r="O48" s="106" t="e">
        <f ca="1">_xll.BDP($C48,"CRNCY")</f>
        <v>#NAME?</v>
      </c>
      <c r="P48" s="43" t="e">
        <f t="shared" ca="1" si="24"/>
        <v>#NAME?</v>
      </c>
      <c r="Q48" s="239">
        <v>42559</v>
      </c>
      <c r="R48" s="247" t="e">
        <f ca="1">_xll.BDH("RUB curncy","PX_LAST",$Q48)</f>
        <v>#NAME?</v>
      </c>
    </row>
    <row r="49" spans="2:18" hidden="1" x14ac:dyDescent="0.2">
      <c r="B49" s="415" t="e">
        <f>_xll.BDP(C49,"SECURITY_NAME")</f>
        <v>#REF!</v>
      </c>
      <c r="C49" s="196" t="e">
        <f>#REF!</f>
        <v>#REF!</v>
      </c>
      <c r="D49" s="398" t="s">
        <v>51</v>
      </c>
      <c r="E49" s="120" t="e">
        <f>F49*_xll.BDP(C49,"PX_LAST")/100</f>
        <v>#REF!</v>
      </c>
      <c r="F49" s="120">
        <v>200000</v>
      </c>
      <c r="G49" s="120">
        <v>200000</v>
      </c>
      <c r="H49" s="399">
        <f t="shared" si="25"/>
        <v>1</v>
      </c>
      <c r="I49" s="120">
        <f>G49*K49/100</f>
        <v>195200</v>
      </c>
      <c r="J49" s="400">
        <f>G49*L49/100</f>
        <v>208400</v>
      </c>
      <c r="K49" s="181">
        <v>97.6</v>
      </c>
      <c r="L49" s="181">
        <v>104.2</v>
      </c>
      <c r="M49" s="119">
        <f t="shared" si="26"/>
        <v>6.7622950819672178E-2</v>
      </c>
      <c r="N49" s="120" t="e">
        <f ca="1">(J49-I49)*R49</f>
        <v>#NAME?</v>
      </c>
      <c r="O49" s="182" t="e">
        <f>_xll.BDP($C49,"CRNCY")</f>
        <v>#REF!</v>
      </c>
      <c r="P49" s="120" t="e">
        <f t="shared" ca="1" si="24"/>
        <v>#NAME?</v>
      </c>
      <c r="Q49" s="401">
        <v>42606</v>
      </c>
      <c r="R49" s="402" t="e">
        <f ca="1">_xll.BDH("RUB curncy","PX_LAST",$Q49)</f>
        <v>#NAME?</v>
      </c>
    </row>
    <row r="50" spans="2:18" hidden="1" x14ac:dyDescent="0.2">
      <c r="B50" s="415" t="s">
        <v>811</v>
      </c>
      <c r="C50" s="118" t="s">
        <v>18</v>
      </c>
      <c r="D50" s="403" t="s">
        <v>51</v>
      </c>
      <c r="E50" s="120" t="e">
        <f ca="1">F50*_xll.BDP(C50,"PX_LAST")</f>
        <v>#NAME?</v>
      </c>
      <c r="F50" s="120">
        <v>7700</v>
      </c>
      <c r="G50" s="120">
        <v>7700</v>
      </c>
      <c r="H50" s="399">
        <f>G50/F50</f>
        <v>1</v>
      </c>
      <c r="I50" s="120">
        <f>G50*K50</f>
        <v>1500345</v>
      </c>
      <c r="J50" s="400">
        <f>G50*L50</f>
        <v>1844288.6</v>
      </c>
      <c r="K50" s="181">
        <v>194.85</v>
      </c>
      <c r="L50" s="181">
        <v>239.518</v>
      </c>
      <c r="M50" s="119">
        <f>L50/K50-1</f>
        <v>0.22924300744162185</v>
      </c>
      <c r="N50" s="120">
        <f>J50-I50</f>
        <v>343943.60000000009</v>
      </c>
      <c r="O50" s="182" t="e">
        <f ca="1">_xll.BDP($C50,"CRNCY")</f>
        <v>#NAME?</v>
      </c>
      <c r="P50" s="120" t="e">
        <f t="shared" ca="1" si="24"/>
        <v>#NAME?</v>
      </c>
      <c r="Q50" s="404">
        <v>42612</v>
      </c>
      <c r="R50" s="405" t="e">
        <f ca="1">_xll.BDH("RUB curncy","PX_LAST",$Q50)</f>
        <v>#NAME?</v>
      </c>
    </row>
    <row r="51" spans="2:18" hidden="1" x14ac:dyDescent="0.2">
      <c r="B51" s="415" t="s">
        <v>815</v>
      </c>
      <c r="C51" s="118" t="s">
        <v>134</v>
      </c>
      <c r="D51" s="403" t="s">
        <v>51</v>
      </c>
      <c r="E51" s="120" t="e">
        <f ca="1">F51*_xll.BDP(C51,"PX_LAST")</f>
        <v>#NAME?</v>
      </c>
      <c r="F51" s="120">
        <v>23544</v>
      </c>
      <c r="G51" s="120">
        <v>23544</v>
      </c>
      <c r="H51" s="399">
        <f>G51/F51</f>
        <v>1</v>
      </c>
      <c r="I51" s="120">
        <f>G51*K51</f>
        <v>24794.186399999999</v>
      </c>
      <c r="J51" s="400">
        <f>G51*L51</f>
        <v>34374.239999999998</v>
      </c>
      <c r="K51" s="181">
        <v>1.0530999999999999</v>
      </c>
      <c r="L51" s="181">
        <v>1.46</v>
      </c>
      <c r="M51" s="119">
        <f>L51/K51-1</f>
        <v>0.38638305953850538</v>
      </c>
      <c r="N51" s="120" t="e">
        <f ca="1">(J51-I51)*_xll.BDH("GBP curncy","PX_LAST",$Q51)*R51</f>
        <v>#NAME?</v>
      </c>
      <c r="O51" s="182" t="e">
        <f ca="1">_xll.BDP($C51,"CRNCY")</f>
        <v>#NAME?</v>
      </c>
      <c r="P51" s="120" t="e">
        <f t="shared" ca="1" si="24"/>
        <v>#NAME?</v>
      </c>
      <c r="Q51" s="404">
        <v>42657</v>
      </c>
      <c r="R51" s="405" t="e">
        <f ca="1">_xll.BDH("RUB curncy","PX_LAST",$Q51)</f>
        <v>#NAME?</v>
      </c>
    </row>
    <row r="52" spans="2:18" hidden="1" x14ac:dyDescent="0.2">
      <c r="B52" s="415" t="s">
        <v>340</v>
      </c>
      <c r="C52" s="118" t="s">
        <v>44</v>
      </c>
      <c r="D52" s="403" t="s">
        <v>51</v>
      </c>
      <c r="E52" s="120" t="e">
        <f ca="1">F52*_xll.BDP(C52,"PX_LAST")</f>
        <v>#NAME?</v>
      </c>
      <c r="F52" s="120">
        <v>72500</v>
      </c>
      <c r="G52" s="120">
        <v>72500</v>
      </c>
      <c r="H52" s="399">
        <f>G52/F52</f>
        <v>1</v>
      </c>
      <c r="I52" s="120">
        <f>G52*K52</f>
        <v>2965974.9999999995</v>
      </c>
      <c r="J52" s="400">
        <f>G52*L52</f>
        <v>2245529.5225</v>
      </c>
      <c r="K52" s="181">
        <v>40.909999999999997</v>
      </c>
      <c r="L52" s="181">
        <v>30.972821</v>
      </c>
      <c r="M52" s="119">
        <f>L52/K52-1</f>
        <v>-0.24290342214617444</v>
      </c>
      <c r="N52" s="120">
        <f>J52-I52</f>
        <v>-720445.47749999957</v>
      </c>
      <c r="O52" s="182" t="e">
        <f ca="1">_xll.BDP($C52,"CRNCY")</f>
        <v>#NAME?</v>
      </c>
      <c r="P52" s="120" t="e">
        <f t="shared" ref="P52:P53" ca="1" si="27">N52/R52</f>
        <v>#NAME?</v>
      </c>
      <c r="Q52" s="404">
        <v>42726</v>
      </c>
      <c r="R52" s="405" t="e">
        <f ca="1">_xll.BDH("RUB curncy","PX_LAST",$Q52)</f>
        <v>#NAME?</v>
      </c>
    </row>
    <row r="53" spans="2:18" hidden="1" x14ac:dyDescent="0.2">
      <c r="B53" s="415" t="e">
        <f ca="1">_xll.BDP(C53,"SECURITY_NAME")</f>
        <v>#NAME?</v>
      </c>
      <c r="C53" s="118" t="s">
        <v>657</v>
      </c>
      <c r="D53" s="398" t="s">
        <v>51</v>
      </c>
      <c r="E53" s="120" t="e">
        <f ca="1">F53*_xll.BDP(C53,"PX_LAST")/100</f>
        <v>#NAME?</v>
      </c>
      <c r="F53" s="120">
        <v>378000</v>
      </c>
      <c r="G53" s="120">
        <v>378000</v>
      </c>
      <c r="H53" s="399">
        <f t="shared" ref="H53" si="28">G53/F53</f>
        <v>1</v>
      </c>
      <c r="I53" s="120">
        <f t="shared" ref="I53" si="29">G53*K53/100</f>
        <v>385560</v>
      </c>
      <c r="J53" s="400">
        <f t="shared" ref="J53" si="30">G53*L53/100</f>
        <v>389812.5</v>
      </c>
      <c r="K53" s="181">
        <v>102</v>
      </c>
      <c r="L53" s="181">
        <v>103.125</v>
      </c>
      <c r="M53" s="119">
        <f t="shared" ref="M53" si="31">L53/K53-1</f>
        <v>1.1029411764705843E-2</v>
      </c>
      <c r="N53" s="120" t="e">
        <f ca="1">(J53-I53)*R53</f>
        <v>#NAME?</v>
      </c>
      <c r="O53" s="182" t="e">
        <f ca="1">_xll.BDP($C53,"CRNCY")</f>
        <v>#NAME?</v>
      </c>
      <c r="P53" s="120" t="e">
        <f t="shared" ca="1" si="27"/>
        <v>#NAME?</v>
      </c>
      <c r="Q53" s="404">
        <v>42726</v>
      </c>
      <c r="R53" s="402" t="e">
        <f ca="1">_xll.BDH("RUB curncy","PX_LAST",$Q53)</f>
        <v>#NAME?</v>
      </c>
    </row>
    <row r="54" spans="2:18" hidden="1" x14ac:dyDescent="0.2">
      <c r="B54" s="768"/>
      <c r="C54" s="196"/>
      <c r="D54" s="73"/>
      <c r="E54" s="43"/>
      <c r="F54" s="43"/>
      <c r="G54" s="43"/>
      <c r="H54" s="47"/>
      <c r="I54" s="43"/>
      <c r="J54" s="45"/>
      <c r="K54" s="38"/>
      <c r="L54" s="38"/>
      <c r="M54" s="35" t="s">
        <v>94</v>
      </c>
      <c r="N54" s="40" t="e">
        <f ca="1">SUM(N34:N53)</f>
        <v>#NAME?</v>
      </c>
      <c r="O54" s="34" t="s">
        <v>75</v>
      </c>
      <c r="P54" s="40" t="e">
        <f ca="1">SUM(P34:P53)</f>
        <v>#NAME?</v>
      </c>
      <c r="Q54" s="14"/>
      <c r="R54" s="75"/>
    </row>
    <row r="55" spans="2:18" x14ac:dyDescent="0.2">
      <c r="B55" s="379">
        <v>2017</v>
      </c>
      <c r="M55" s="35"/>
      <c r="N55" s="34"/>
      <c r="O55" s="34"/>
      <c r="P55" s="30"/>
    </row>
    <row r="56" spans="2:18" ht="51" x14ac:dyDescent="0.2">
      <c r="B56" s="51" t="s">
        <v>105</v>
      </c>
      <c r="C56" s="50" t="s">
        <v>104</v>
      </c>
      <c r="D56" s="50" t="s">
        <v>174</v>
      </c>
      <c r="E56" s="50" t="s">
        <v>173</v>
      </c>
      <c r="F56" s="50" t="s">
        <v>175</v>
      </c>
      <c r="G56" s="50" t="s">
        <v>172</v>
      </c>
      <c r="H56" s="50" t="s">
        <v>103</v>
      </c>
      <c r="I56" s="50" t="s">
        <v>102</v>
      </c>
      <c r="J56" s="50" t="s">
        <v>101</v>
      </c>
      <c r="K56" s="50" t="s">
        <v>100</v>
      </c>
      <c r="L56" s="50" t="s">
        <v>99</v>
      </c>
      <c r="M56" s="50" t="s">
        <v>98</v>
      </c>
      <c r="N56" s="50" t="s">
        <v>280</v>
      </c>
      <c r="O56" s="50" t="s">
        <v>97</v>
      </c>
      <c r="P56" s="50" t="s">
        <v>279</v>
      </c>
      <c r="Q56" s="50" t="s">
        <v>277</v>
      </c>
      <c r="R56" s="50" t="s">
        <v>278</v>
      </c>
    </row>
    <row r="57" spans="2:18" x14ac:dyDescent="0.2">
      <c r="B57" s="118" t="e">
        <f ca="1">_xll.BDP(C57,"SECURITY_NAME")</f>
        <v>#NAME?</v>
      </c>
      <c r="C57" s="118" t="s">
        <v>321</v>
      </c>
      <c r="D57" s="398" t="s">
        <v>51</v>
      </c>
      <c r="E57" s="120" t="e">
        <f ca="1">F57*_xll.BDP(C57,"PX_LAST")/100</f>
        <v>#NAME?</v>
      </c>
      <c r="F57" s="120">
        <v>289000</v>
      </c>
      <c r="G57" s="120">
        <v>289000</v>
      </c>
      <c r="H57" s="399">
        <f t="shared" ref="H57:H58" si="32">G57/F57</f>
        <v>1</v>
      </c>
      <c r="I57" s="120">
        <f t="shared" ref="I57:I58" si="33">G57*K57/100</f>
        <v>260100</v>
      </c>
      <c r="J57" s="400">
        <f t="shared" ref="J57:J58" si="34">G57*L57/100</f>
        <v>294057.5</v>
      </c>
      <c r="K57" s="181">
        <v>90</v>
      </c>
      <c r="L57" s="181">
        <v>101.75</v>
      </c>
      <c r="M57" s="119">
        <f t="shared" ref="M57:M58" si="35">L57/K57-1</f>
        <v>0.13055555555555554</v>
      </c>
      <c r="N57" s="120" t="e">
        <f ca="1">(J57-I57)*R57</f>
        <v>#NAME?</v>
      </c>
      <c r="O57" s="182" t="e">
        <f ca="1">_xll.BDP($C57,"CRNCY")</f>
        <v>#NAME?</v>
      </c>
      <c r="P57" s="120" t="e">
        <f t="shared" ref="P57:P58" ca="1" si="36">N57/R57</f>
        <v>#NAME?</v>
      </c>
      <c r="Q57" s="401">
        <v>42745</v>
      </c>
      <c r="R57" s="402" t="e">
        <f ca="1">_xll.BDH("RUB curncy","PX_LAST",$Q57)</f>
        <v>#NAME?</v>
      </c>
    </row>
    <row r="58" spans="2:18" s="9" customFormat="1" x14ac:dyDescent="0.2">
      <c r="B58" s="103" t="e">
        <f ca="1">_xll.BDP(C58,"SECURITY_NAME")</f>
        <v>#NAME?</v>
      </c>
      <c r="C58" s="41" t="s">
        <v>225</v>
      </c>
      <c r="D58" s="73" t="s">
        <v>51</v>
      </c>
      <c r="E58" s="43" t="e">
        <f ca="1">F58*_xll.BDP(C58,"PX_LAST")/100</f>
        <v>#NAME?</v>
      </c>
      <c r="F58" s="43">
        <v>200000</v>
      </c>
      <c r="G58" s="43">
        <v>200000</v>
      </c>
      <c r="H58" s="47">
        <f t="shared" si="32"/>
        <v>1</v>
      </c>
      <c r="I58" s="43">
        <f t="shared" si="33"/>
        <v>201000</v>
      </c>
      <c r="J58" s="45">
        <f t="shared" si="34"/>
        <v>205500</v>
      </c>
      <c r="K58" s="38">
        <v>100.5</v>
      </c>
      <c r="L58" s="38">
        <v>102.75</v>
      </c>
      <c r="M58" s="44">
        <f t="shared" si="35"/>
        <v>2.2388059701492491E-2</v>
      </c>
      <c r="N58" s="43" t="e">
        <f t="shared" ref="N58" ca="1" si="37">(J58-I58)*R58</f>
        <v>#NAME?</v>
      </c>
      <c r="O58" s="106" t="e">
        <f ca="1">_xll.BDP($C58,"CRNCY")</f>
        <v>#NAME?</v>
      </c>
      <c r="P58" s="43" t="e">
        <f t="shared" ca="1" si="36"/>
        <v>#NAME?</v>
      </c>
      <c r="Q58" s="14">
        <v>42745</v>
      </c>
      <c r="R58" s="22" t="e">
        <f ca="1">_xll.BDH("RUB curncy","PX_LAST",$Q58)</f>
        <v>#NAME?</v>
      </c>
    </row>
    <row r="59" spans="2:18" x14ac:dyDescent="0.2">
      <c r="B59" s="32" t="s">
        <v>93</v>
      </c>
      <c r="C59" s="151"/>
      <c r="D59" s="105"/>
      <c r="H59" s="105"/>
      <c r="I59" s="151"/>
      <c r="J59" s="151"/>
      <c r="K59" s="30"/>
      <c r="N59" s="30" t="e">
        <f ca="1">SUM(N57:N58)</f>
        <v>#NAME?</v>
      </c>
      <c r="O59" s="32" t="s">
        <v>94</v>
      </c>
      <c r="P59" s="30" t="e">
        <f ca="1">SUM(P57:P58)</f>
        <v>#NAME?</v>
      </c>
    </row>
    <row r="60" spans="2:18" ht="13.5" thickBot="1" x14ac:dyDescent="0.25">
      <c r="C60" s="30"/>
      <c r="D60" s="30"/>
      <c r="G60" s="30"/>
      <c r="H60" s="151"/>
      <c r="I60" s="30"/>
      <c r="J60" s="151"/>
      <c r="K60" s="30"/>
    </row>
    <row r="61" spans="2:18" ht="15" x14ac:dyDescent="0.35">
      <c r="B61" s="258"/>
      <c r="C61" s="258"/>
      <c r="D61" s="258"/>
      <c r="E61" s="258"/>
      <c r="F61" s="258"/>
      <c r="G61" s="258"/>
      <c r="H61" s="260" t="s">
        <v>92</v>
      </c>
      <c r="I61" s="259" t="s">
        <v>91</v>
      </c>
      <c r="J61" s="259" t="s">
        <v>90</v>
      </c>
      <c r="K61" s="259"/>
      <c r="L61" s="259"/>
      <c r="M61" s="258"/>
      <c r="N61" s="258"/>
      <c r="Q61" s="174"/>
    </row>
    <row r="62" spans="2:18" ht="15" x14ac:dyDescent="0.35">
      <c r="B62" s="255" t="s">
        <v>89</v>
      </c>
      <c r="C62" s="255" t="s">
        <v>88</v>
      </c>
      <c r="D62" s="255" t="s">
        <v>87</v>
      </c>
      <c r="E62" s="255" t="s">
        <v>86</v>
      </c>
      <c r="F62" s="255" t="s">
        <v>85</v>
      </c>
      <c r="G62" s="255" t="s">
        <v>84</v>
      </c>
      <c r="H62" s="257" t="s">
        <v>83</v>
      </c>
      <c r="I62" s="256" t="s">
        <v>83</v>
      </c>
      <c r="J62" s="256" t="s">
        <v>75</v>
      </c>
      <c r="K62" s="256" t="s">
        <v>73</v>
      </c>
      <c r="L62" s="256" t="s">
        <v>82</v>
      </c>
      <c r="M62" s="255" t="s">
        <v>81</v>
      </c>
      <c r="N62" s="255" t="s">
        <v>80</v>
      </c>
    </row>
    <row r="63" spans="2:18" s="33" customFormat="1" ht="15" customHeight="1" x14ac:dyDescent="0.2">
      <c r="B63" s="254" t="s">
        <v>423</v>
      </c>
      <c r="C63" s="253" t="s">
        <v>814</v>
      </c>
      <c r="D63" s="251" t="e">
        <f ca="1">_xll.BDP(C63,"SECURITY_NAME")</f>
        <v>#NAME?</v>
      </c>
      <c r="E63" s="251" t="s">
        <v>50</v>
      </c>
      <c r="F63" s="252">
        <v>4000000</v>
      </c>
      <c r="G63" s="251" t="e">
        <f ca="1">_xll.BDP(C63,"CRNCY")</f>
        <v>#NAME?</v>
      </c>
      <c r="H63" s="250">
        <v>100</v>
      </c>
      <c r="I63" s="248">
        <f>F63*H63/100</f>
        <v>4000000</v>
      </c>
      <c r="J63" s="249" t="e">
        <f ca="1">I63*M63</f>
        <v>#NAME?</v>
      </c>
      <c r="K63" s="248" t="e">
        <f ca="1">J63*L63</f>
        <v>#NAME?</v>
      </c>
      <c r="L63" s="247" t="e">
        <f ca="1">_xll.BDH("RUB curncy","PX_LAST",$N63)</f>
        <v>#NAME?</v>
      </c>
      <c r="M63" s="246" t="e">
        <f ca="1">1/_xll.BDH("RUB curncy","PX_LAST",$N63)</f>
        <v>#NAME?</v>
      </c>
      <c r="N63" s="239">
        <v>42641</v>
      </c>
    </row>
    <row r="64" spans="2:18" ht="15" customHeight="1" x14ac:dyDescent="0.2">
      <c r="B64" s="226"/>
      <c r="C64" s="225"/>
      <c r="D64" s="223"/>
      <c r="E64" s="223"/>
      <c r="F64" s="213">
        <f>SUM(F63)</f>
        <v>4000000</v>
      </c>
      <c r="G64" s="215"/>
      <c r="H64" s="214">
        <f>I64/F64*100</f>
        <v>100</v>
      </c>
      <c r="I64" s="213">
        <f>SUM(I63)</f>
        <v>4000000</v>
      </c>
      <c r="J64" s="213" t="e">
        <f ca="1">SUM(J63)</f>
        <v>#NAME?</v>
      </c>
      <c r="K64" s="213" t="e">
        <f ca="1">SUM(K63)</f>
        <v>#NAME?</v>
      </c>
      <c r="L64" s="212"/>
      <c r="M64" s="211"/>
      <c r="N64" s="210"/>
      <c r="O64" s="33"/>
    </row>
    <row r="65" spans="2:15" ht="15" customHeight="1" x14ac:dyDescent="0.2">
      <c r="B65" s="226"/>
      <c r="C65" s="225"/>
      <c r="D65" s="223"/>
      <c r="E65" s="223"/>
      <c r="F65" s="213"/>
      <c r="G65" s="215"/>
      <c r="H65" s="214"/>
      <c r="I65" s="213"/>
      <c r="J65" s="213"/>
      <c r="K65" s="213"/>
      <c r="L65" s="212"/>
      <c r="M65" s="211"/>
      <c r="N65" s="210"/>
      <c r="O65" s="33"/>
    </row>
    <row r="66" spans="2:15" s="33" customFormat="1" x14ac:dyDescent="0.2">
      <c r="B66" s="254" t="s">
        <v>423</v>
      </c>
      <c r="C66" s="253" t="s">
        <v>156</v>
      </c>
      <c r="D66" s="251" t="e">
        <f ca="1">_xll.BDP(C66,"SECURITY_NAME")</f>
        <v>#NAME?</v>
      </c>
      <c r="E66" s="251" t="s">
        <v>50</v>
      </c>
      <c r="F66" s="252">
        <v>200000</v>
      </c>
      <c r="G66" s="251" t="e">
        <f ca="1">_xll.BDP(C66,"CRNCY")</f>
        <v>#NAME?</v>
      </c>
      <c r="H66" s="250">
        <v>103.5</v>
      </c>
      <c r="I66" s="248">
        <f>F66*H66/100</f>
        <v>207000</v>
      </c>
      <c r="J66" s="249">
        <f>I66</f>
        <v>207000</v>
      </c>
      <c r="K66" s="248" t="e">
        <f ca="1">J66*L66</f>
        <v>#NAME?</v>
      </c>
      <c r="L66" s="247" t="e">
        <f ca="1">_xll.BDH("RUB curncy","PX_LAST",$N66)</f>
        <v>#NAME?</v>
      </c>
      <c r="M66" s="246" t="e">
        <f ca="1">1/_xll.BDH("RUB curncy","PX_LAST",$N66)</f>
        <v>#NAME?</v>
      </c>
      <c r="N66" s="239">
        <v>42615</v>
      </c>
    </row>
    <row r="67" spans="2:15" x14ac:dyDescent="0.2">
      <c r="B67" s="217"/>
      <c r="D67" s="215"/>
      <c r="E67" s="215"/>
      <c r="F67" s="213">
        <f>SUM(F66)</f>
        <v>200000</v>
      </c>
      <c r="G67" s="215"/>
      <c r="H67" s="214">
        <f>I67/F67*100</f>
        <v>103.49999999999999</v>
      </c>
      <c r="I67" s="213">
        <f>SUM(I66)</f>
        <v>207000</v>
      </c>
      <c r="J67" s="213">
        <f>SUM(J66)</f>
        <v>207000</v>
      </c>
      <c r="K67" s="213" t="e">
        <f ca="1">SUM(K66)</f>
        <v>#NAME?</v>
      </c>
      <c r="L67" s="212"/>
      <c r="M67" s="211"/>
      <c r="N67" s="210"/>
      <c r="O67" s="33"/>
    </row>
    <row r="68" spans="2:15" x14ac:dyDescent="0.2">
      <c r="B68" s="217"/>
      <c r="D68" s="215"/>
      <c r="E68" s="215"/>
      <c r="F68" s="213"/>
      <c r="G68" s="215"/>
      <c r="H68" s="214"/>
      <c r="I68" s="213"/>
      <c r="J68" s="213"/>
      <c r="K68" s="213"/>
      <c r="L68" s="212"/>
      <c r="M68" s="211"/>
      <c r="N68" s="210"/>
      <c r="O68" s="33"/>
    </row>
    <row r="69" spans="2:15" x14ac:dyDescent="0.2">
      <c r="B69" s="226" t="s">
        <v>423</v>
      </c>
      <c r="C69" s="253" t="s">
        <v>65</v>
      </c>
      <c r="D69" s="251" t="e">
        <f ca="1">_xll.BDP(C69,"SECURITY_NAME")</f>
        <v>#NAME?</v>
      </c>
      <c r="E69" s="251" t="s">
        <v>50</v>
      </c>
      <c r="F69" s="242">
        <v>631</v>
      </c>
      <c r="G69" s="251" t="e">
        <f ca="1">_xll.BDP(C69,"CRNCY")</f>
        <v>#NAME?</v>
      </c>
      <c r="H69" s="250">
        <v>3529</v>
      </c>
      <c r="I69" s="248">
        <f>F69*H69</f>
        <v>2226799</v>
      </c>
      <c r="J69" s="249" t="e">
        <f ca="1">I69/L69</f>
        <v>#NAME?</v>
      </c>
      <c r="K69" s="248" t="e">
        <f ca="1">J69*L69</f>
        <v>#NAME?</v>
      </c>
      <c r="L69" s="247" t="e">
        <f ca="1">_xll.BDH("RUB curncy","PX_LAST",$N69)</f>
        <v>#NAME?</v>
      </c>
      <c r="M69" s="246" t="e">
        <f ca="1">1/_xll.BDH("RUB curncy","PX_LAST",$N69)</f>
        <v>#NAME?</v>
      </c>
      <c r="N69" s="239">
        <v>42726</v>
      </c>
      <c r="O69" s="33"/>
    </row>
    <row r="70" spans="2:15" x14ac:dyDescent="0.2">
      <c r="B70" s="217"/>
      <c r="D70" s="215"/>
      <c r="E70" s="215"/>
      <c r="F70" s="213">
        <f>SUM(F69)</f>
        <v>631</v>
      </c>
      <c r="G70" s="215"/>
      <c r="H70" s="214">
        <f>I70/F70</f>
        <v>3529</v>
      </c>
      <c r="I70" s="213">
        <f>SUM(I69)</f>
        <v>2226799</v>
      </c>
      <c r="J70" s="213" t="e">
        <f ca="1">SUM(J69)</f>
        <v>#NAME?</v>
      </c>
      <c r="K70" s="213" t="e">
        <f ca="1">SUM(K69)</f>
        <v>#NAME?</v>
      </c>
      <c r="L70" s="212"/>
      <c r="M70" s="211"/>
      <c r="N70" s="210"/>
      <c r="O70" s="33"/>
    </row>
    <row r="71" spans="2:15" x14ac:dyDescent="0.2">
      <c r="B71" s="245"/>
      <c r="C71" s="33"/>
      <c r="D71" s="244"/>
      <c r="E71" s="244"/>
      <c r="F71" s="242"/>
      <c r="G71" s="244"/>
      <c r="H71" s="243"/>
      <c r="I71" s="242"/>
      <c r="J71" s="242"/>
      <c r="K71" s="242"/>
      <c r="L71" s="241"/>
      <c r="M71" s="240"/>
      <c r="N71" s="239"/>
      <c r="O71" s="33"/>
    </row>
    <row r="72" spans="2:15" x14ac:dyDescent="0.2">
      <c r="B72" s="226" t="s">
        <v>423</v>
      </c>
      <c r="C72" s="253" t="s">
        <v>4</v>
      </c>
      <c r="D72" s="251" t="e">
        <f ca="1">_xll.BDP(C72,"SECURITY_NAME")</f>
        <v>#NAME?</v>
      </c>
      <c r="E72" s="251" t="s">
        <v>50</v>
      </c>
      <c r="F72" s="252">
        <v>14600</v>
      </c>
      <c r="G72" s="251" t="e">
        <f ca="1">_xll.BDP(C72,"CRNCY")</f>
        <v>#NAME?</v>
      </c>
      <c r="H72" s="250">
        <v>2.06</v>
      </c>
      <c r="I72" s="248">
        <f>F72*H72</f>
        <v>30076</v>
      </c>
      <c r="J72" s="249">
        <f>I72</f>
        <v>30076</v>
      </c>
      <c r="K72" s="248" t="e">
        <f ca="1">J72*L72</f>
        <v>#NAME?</v>
      </c>
      <c r="L72" s="247" t="e">
        <f ca="1">_xll.BDH("RUB curncy","PX_LAST",$N72)</f>
        <v>#NAME?</v>
      </c>
      <c r="M72" s="246" t="e">
        <f ca="1">1/_xll.BDH("RUB curncy","PX_LAST",$N72)</f>
        <v>#NAME?</v>
      </c>
      <c r="N72" s="239">
        <v>42475</v>
      </c>
      <c r="O72" s="33"/>
    </row>
    <row r="73" spans="2:15" ht="15" customHeight="1" x14ac:dyDescent="0.2">
      <c r="B73" s="217"/>
      <c r="D73" s="215"/>
      <c r="E73" s="215"/>
      <c r="F73" s="213">
        <f>SUM(F72)</f>
        <v>14600</v>
      </c>
      <c r="G73" s="215"/>
      <c r="H73" s="214">
        <f>I73/F73</f>
        <v>2.06</v>
      </c>
      <c r="I73" s="213">
        <f>SUM(I72)</f>
        <v>30076</v>
      </c>
      <c r="J73" s="213">
        <f>SUM(J72)</f>
        <v>30076</v>
      </c>
      <c r="K73" s="213" t="e">
        <f ca="1">SUM(K72)</f>
        <v>#NAME?</v>
      </c>
      <c r="L73" s="212"/>
      <c r="M73" s="211"/>
      <c r="N73" s="210"/>
    </row>
    <row r="74" spans="2:15" ht="15" customHeight="1" x14ac:dyDescent="0.2">
      <c r="B74" s="245"/>
      <c r="C74" s="33"/>
      <c r="D74" s="244"/>
      <c r="E74" s="244"/>
      <c r="F74" s="242"/>
      <c r="G74" s="244"/>
      <c r="H74" s="243"/>
      <c r="I74" s="242"/>
      <c r="J74" s="242"/>
      <c r="K74" s="242"/>
      <c r="L74" s="241"/>
      <c r="M74" s="240"/>
      <c r="N74" s="239"/>
      <c r="O74" s="33"/>
    </row>
    <row r="75" spans="2:15" s="33" customFormat="1" ht="15" customHeight="1" x14ac:dyDescent="0.2">
      <c r="B75" s="254" t="s">
        <v>423</v>
      </c>
      <c r="C75" s="253" t="s">
        <v>166</v>
      </c>
      <c r="D75" s="251" t="e">
        <f ca="1">_xll.BDP(C75,"SECURITY_NAME")</f>
        <v>#NAME?</v>
      </c>
      <c r="E75" s="251" t="s">
        <v>50</v>
      </c>
      <c r="F75" s="252">
        <v>300000</v>
      </c>
      <c r="G75" s="251" t="e">
        <f ca="1">_xll.BDP(C75,"CRNCY")</f>
        <v>#NAME?</v>
      </c>
      <c r="H75" s="250">
        <v>94.78</v>
      </c>
      <c r="I75" s="248">
        <f>F75*H75/100</f>
        <v>284340</v>
      </c>
      <c r="J75" s="249">
        <f>I75</f>
        <v>284340</v>
      </c>
      <c r="K75" s="248" t="e">
        <f ca="1">J75*L75</f>
        <v>#NAME?</v>
      </c>
      <c r="L75" s="247" t="e">
        <f ca="1">_xll.BDH("RUB curncy","PX_LAST",$N75)</f>
        <v>#NAME?</v>
      </c>
      <c r="M75" s="246" t="e">
        <f ca="1">1/_xll.BDH("RUB curncy","PX_LAST",$N75)</f>
        <v>#NAME?</v>
      </c>
      <c r="N75" s="239">
        <v>42195</v>
      </c>
    </row>
    <row r="76" spans="2:15" ht="15" customHeight="1" x14ac:dyDescent="0.2">
      <c r="B76" s="226"/>
      <c r="C76" s="225"/>
      <c r="D76" s="223"/>
      <c r="E76" s="223"/>
      <c r="F76" s="213">
        <f>SUM(F75)</f>
        <v>300000</v>
      </c>
      <c r="G76" s="215"/>
      <c r="H76" s="214">
        <f>I76/F76*100</f>
        <v>94.78</v>
      </c>
      <c r="I76" s="213">
        <f>SUM(I75)</f>
        <v>284340</v>
      </c>
      <c r="J76" s="213">
        <f>SUM(J75)</f>
        <v>284340</v>
      </c>
      <c r="K76" s="213" t="e">
        <f ca="1">SUM(K75)</f>
        <v>#NAME?</v>
      </c>
      <c r="L76" s="212"/>
      <c r="M76" s="211"/>
      <c r="N76" s="210"/>
      <c r="O76" s="33"/>
    </row>
    <row r="77" spans="2:15" ht="15" customHeight="1" x14ac:dyDescent="0.2">
      <c r="B77" s="217"/>
      <c r="C77" s="216"/>
      <c r="D77" s="215"/>
      <c r="E77" s="215"/>
      <c r="F77" s="213"/>
      <c r="G77" s="215"/>
      <c r="H77" s="214"/>
      <c r="I77" s="213"/>
      <c r="J77" s="213"/>
      <c r="K77" s="213"/>
      <c r="L77" s="212"/>
      <c r="M77" s="211"/>
      <c r="N77" s="210"/>
      <c r="O77" s="33"/>
    </row>
    <row r="78" spans="2:15" ht="15" customHeight="1" x14ac:dyDescent="0.2">
      <c r="B78" s="254" t="s">
        <v>423</v>
      </c>
      <c r="C78" s="253" t="s">
        <v>453</v>
      </c>
      <c r="D78" s="251" t="e">
        <f ca="1">_xll.BDP(C78,"SECURITY_NAME")</f>
        <v>#NAME?</v>
      </c>
      <c r="E78" s="251" t="s">
        <v>50</v>
      </c>
      <c r="F78" s="252">
        <v>200000</v>
      </c>
      <c r="G78" s="251" t="e">
        <f ca="1">_xll.BDP(C78,"CRNCY")</f>
        <v>#NAME?</v>
      </c>
      <c r="H78" s="250">
        <v>102.75</v>
      </c>
      <c r="I78" s="248">
        <f>F78*H78/100</f>
        <v>205500</v>
      </c>
      <c r="J78" s="249">
        <f>I78</f>
        <v>205500</v>
      </c>
      <c r="K78" s="248" t="e">
        <f ca="1">J78*L78</f>
        <v>#NAME?</v>
      </c>
      <c r="L78" s="247" t="e">
        <f ca="1">_xll.BDH("RUB curncy","PX_LAST",$N78)</f>
        <v>#NAME?</v>
      </c>
      <c r="M78" s="246" t="e">
        <f ca="1">1/_xll.BDH("RUB curncy","PX_LAST",$N78)</f>
        <v>#NAME?</v>
      </c>
      <c r="N78" s="239">
        <v>42615</v>
      </c>
      <c r="O78" s="33"/>
    </row>
    <row r="79" spans="2:15" ht="15" customHeight="1" x14ac:dyDescent="0.2">
      <c r="B79" s="217"/>
      <c r="D79" s="215"/>
      <c r="E79" s="215"/>
      <c r="F79" s="213">
        <f>SUM(F78)</f>
        <v>200000</v>
      </c>
      <c r="G79" s="215"/>
      <c r="H79" s="214">
        <f>I79/F79*100</f>
        <v>102.75000000000001</v>
      </c>
      <c r="I79" s="213">
        <f>SUM(I78)</f>
        <v>205500</v>
      </c>
      <c r="J79" s="213">
        <f>SUM(J78)</f>
        <v>205500</v>
      </c>
      <c r="K79" s="213" t="e">
        <f ca="1">SUM(K78)</f>
        <v>#NAME?</v>
      </c>
      <c r="L79" s="212"/>
      <c r="M79" s="211"/>
      <c r="N79" s="210"/>
      <c r="O79" s="33"/>
    </row>
    <row r="80" spans="2:15" ht="15" customHeight="1" x14ac:dyDescent="0.2">
      <c r="B80" s="217"/>
      <c r="D80" s="215"/>
      <c r="E80" s="215"/>
      <c r="F80" s="213"/>
      <c r="G80" s="215"/>
      <c r="H80" s="214"/>
      <c r="I80" s="213"/>
      <c r="J80" s="213"/>
      <c r="K80" s="213"/>
      <c r="L80" s="212"/>
      <c r="M80" s="211"/>
      <c r="N80" s="210"/>
      <c r="O80" s="33"/>
    </row>
    <row r="81" spans="2:15" s="33" customFormat="1" ht="15" customHeight="1" x14ac:dyDescent="0.2">
      <c r="B81" s="254" t="s">
        <v>423</v>
      </c>
      <c r="C81" s="253" t="s">
        <v>321</v>
      </c>
      <c r="D81" s="251" t="e">
        <f ca="1">_xll.BDP(C81,"SECURITY_NAME")</f>
        <v>#NAME?</v>
      </c>
      <c r="E81" s="251" t="s">
        <v>50</v>
      </c>
      <c r="F81" s="252">
        <v>289000</v>
      </c>
      <c r="G81" s="251" t="e">
        <f ca="1">_xll.BDP(C81,"CRNCY")</f>
        <v>#NAME?</v>
      </c>
      <c r="H81" s="250">
        <v>90</v>
      </c>
      <c r="I81" s="248">
        <f>F81*H81/100</f>
        <v>260100</v>
      </c>
      <c r="J81" s="249">
        <f>I81</f>
        <v>260100</v>
      </c>
      <c r="K81" s="248" t="e">
        <f ca="1">J81*L81</f>
        <v>#NAME?</v>
      </c>
      <c r="L81" s="247" t="e">
        <f ca="1">_xll.BDH("RUB curncy","PX_LAST",$N81)</f>
        <v>#NAME?</v>
      </c>
      <c r="M81" s="246" t="e">
        <f ca="1">1/_xll.BDH("RUB curncy","PX_LAST",$N81)</f>
        <v>#NAME?</v>
      </c>
      <c r="N81" s="239">
        <v>42209</v>
      </c>
    </row>
    <row r="82" spans="2:15" ht="15" customHeight="1" x14ac:dyDescent="0.2">
      <c r="B82" s="217"/>
      <c r="D82" s="215"/>
      <c r="E82" s="215"/>
      <c r="F82" s="213">
        <f>SUM(F81)</f>
        <v>289000</v>
      </c>
      <c r="G82" s="215"/>
      <c r="H82" s="214">
        <f>I82/F82*100</f>
        <v>90</v>
      </c>
      <c r="I82" s="213">
        <f>SUM(I81)</f>
        <v>260100</v>
      </c>
      <c r="J82" s="213">
        <f>SUM(J81)</f>
        <v>260100</v>
      </c>
      <c r="K82" s="213" t="e">
        <f ca="1">SUM(K81)</f>
        <v>#NAME?</v>
      </c>
      <c r="L82" s="212"/>
      <c r="M82" s="211"/>
      <c r="N82" s="210"/>
      <c r="O82" s="33"/>
    </row>
    <row r="83" spans="2:15" ht="15" customHeight="1" x14ac:dyDescent="0.2">
      <c r="B83" s="217"/>
      <c r="D83" s="215"/>
      <c r="E83" s="215"/>
      <c r="F83" s="213"/>
      <c r="G83" s="215"/>
      <c r="H83" s="214"/>
      <c r="I83" s="213"/>
      <c r="J83" s="213"/>
      <c r="K83" s="213"/>
      <c r="L83" s="212"/>
      <c r="M83" s="211"/>
      <c r="N83" s="210"/>
      <c r="O83" s="33"/>
    </row>
    <row r="84" spans="2:15" ht="15" customHeight="1" x14ac:dyDescent="0.2">
      <c r="B84" s="226" t="s">
        <v>423</v>
      </c>
      <c r="C84" s="253" t="s">
        <v>63</v>
      </c>
      <c r="D84" s="251" t="e">
        <f ca="1">_xll.BDP(C84,"SECURITY_NAME")</f>
        <v>#NAME?</v>
      </c>
      <c r="E84" s="251" t="s">
        <v>50</v>
      </c>
      <c r="F84" s="252">
        <v>930</v>
      </c>
      <c r="G84" s="251" t="e">
        <f ca="1">_xll.BDP(C84,"CRNCY")</f>
        <v>#NAME?</v>
      </c>
      <c r="H84" s="250">
        <v>2325.7211000000002</v>
      </c>
      <c r="I84" s="248">
        <f>F84*H84</f>
        <v>2162920.6230000001</v>
      </c>
      <c r="J84" s="249" t="e">
        <f ca="1">I84/L84</f>
        <v>#NAME?</v>
      </c>
      <c r="K84" s="248" t="e">
        <f ca="1">J84*L84</f>
        <v>#NAME?</v>
      </c>
      <c r="L84" s="247" t="e">
        <f ca="1">_xll.BDH("RUB curncy","PX_LAST",$N84)</f>
        <v>#NAME?</v>
      </c>
      <c r="M84" s="246" t="e">
        <f ca="1">1/_xll.BDH("RUB curncy","PX_LAST",$N84)</f>
        <v>#NAME?</v>
      </c>
      <c r="N84" s="239">
        <v>42359</v>
      </c>
      <c r="O84" s="33"/>
    </row>
    <row r="85" spans="2:15" ht="15" customHeight="1" x14ac:dyDescent="0.2">
      <c r="B85" s="226" t="s">
        <v>423</v>
      </c>
      <c r="C85" s="253" t="s">
        <v>63</v>
      </c>
      <c r="D85" s="251" t="e">
        <f ca="1">_xll.BDP(C85,"SECURITY_NAME")</f>
        <v>#NAME?</v>
      </c>
      <c r="E85" s="251" t="s">
        <v>50</v>
      </c>
      <c r="F85" s="252">
        <v>336</v>
      </c>
      <c r="G85" s="251" t="e">
        <f ca="1">_xll.BDP(C85,"CRNCY")</f>
        <v>#NAME?</v>
      </c>
      <c r="H85" s="250">
        <v>2224.8000000000002</v>
      </c>
      <c r="I85" s="248">
        <f>F85*H85</f>
        <v>747532.80000000005</v>
      </c>
      <c r="J85" s="249" t="e">
        <f ca="1">I85/L85</f>
        <v>#NAME?</v>
      </c>
      <c r="K85" s="248" t="e">
        <f ca="1">J85*L85</f>
        <v>#NAME?</v>
      </c>
      <c r="L85" s="247" t="e">
        <f ca="1">_xll.BDH("RUB curncy","PX_LAST",$N85)</f>
        <v>#NAME?</v>
      </c>
      <c r="M85" s="246" t="e">
        <f ca="1">1/_xll.BDH("RUB curncy","PX_LAST",$N85)</f>
        <v>#NAME?</v>
      </c>
      <c r="N85" s="239">
        <v>42270</v>
      </c>
      <c r="O85" s="33"/>
    </row>
    <row r="86" spans="2:15" ht="15" customHeight="1" x14ac:dyDescent="0.2">
      <c r="B86" s="226" t="s">
        <v>423</v>
      </c>
      <c r="C86" s="253" t="s">
        <v>63</v>
      </c>
      <c r="D86" s="251" t="e">
        <f ca="1">_xll.BDP(C86,"SECURITY_NAME")</f>
        <v>#NAME?</v>
      </c>
      <c r="E86" s="251" t="s">
        <v>50</v>
      </c>
      <c r="F86" s="242">
        <v>459</v>
      </c>
      <c r="G86" s="251" t="e">
        <f ca="1">_xll.BDP(C86,"CRNCY")</f>
        <v>#NAME?</v>
      </c>
      <c r="H86" s="250">
        <v>2200</v>
      </c>
      <c r="I86" s="248">
        <f>F86*H86</f>
        <v>1009800</v>
      </c>
      <c r="J86" s="249" t="e">
        <f ca="1">I86/L86</f>
        <v>#NAME?</v>
      </c>
      <c r="K86" s="248" t="e">
        <f ca="1">J86*L86</f>
        <v>#NAME?</v>
      </c>
      <c r="L86" s="247" t="e">
        <f ca="1">_xll.BDH("RUB curncy","PX_LAST",$N86)</f>
        <v>#NAME?</v>
      </c>
      <c r="M86" s="246" t="e">
        <f ca="1">1/_xll.BDH("RUB curncy","PX_LAST",$N86)</f>
        <v>#NAME?</v>
      </c>
      <c r="N86" s="239">
        <v>42271</v>
      </c>
      <c r="O86" s="33"/>
    </row>
    <row r="87" spans="2:15" ht="15" customHeight="1" x14ac:dyDescent="0.2">
      <c r="B87" s="217"/>
      <c r="D87" s="215"/>
      <c r="E87" s="215"/>
      <c r="F87" s="213">
        <f>SUM(F84:F86)</f>
        <v>1725</v>
      </c>
      <c r="G87" s="215"/>
      <c r="H87" s="214">
        <f>I87/F87</f>
        <v>2272.6106800000002</v>
      </c>
      <c r="I87" s="213">
        <f>SUM(I84:I86)</f>
        <v>3920253.4230000004</v>
      </c>
      <c r="J87" s="213" t="e">
        <f ca="1">SUM(J84:J86)</f>
        <v>#NAME?</v>
      </c>
      <c r="K87" s="213" t="e">
        <f ca="1">SUM(K84:K86)</f>
        <v>#NAME?</v>
      </c>
      <c r="L87" s="212"/>
      <c r="M87" s="211"/>
      <c r="N87" s="210"/>
    </row>
    <row r="88" spans="2:15" ht="15" customHeight="1" x14ac:dyDescent="0.2">
      <c r="B88" s="217"/>
      <c r="D88" s="215"/>
      <c r="E88" s="215"/>
      <c r="F88" s="213"/>
      <c r="G88" s="215"/>
      <c r="H88" s="214"/>
      <c r="I88" s="213"/>
      <c r="J88" s="213"/>
      <c r="K88" s="213"/>
      <c r="L88" s="212"/>
      <c r="M88" s="211"/>
      <c r="N88" s="210"/>
      <c r="O88" s="33"/>
    </row>
    <row r="89" spans="2:15" ht="15" customHeight="1" x14ac:dyDescent="0.2">
      <c r="B89" s="226" t="s">
        <v>423</v>
      </c>
      <c r="C89" s="253" t="s">
        <v>35</v>
      </c>
      <c r="D89" s="251" t="e">
        <f ca="1">_xll.BDP(C89,"SECURITY_NAME")</f>
        <v>#NAME?</v>
      </c>
      <c r="E89" s="251" t="s">
        <v>50</v>
      </c>
      <c r="F89" s="252">
        <v>235</v>
      </c>
      <c r="G89" s="251" t="e">
        <f ca="1">_xll.BDP(C89,"CRNCY")</f>
        <v>#NAME?</v>
      </c>
      <c r="H89" s="250">
        <v>9134.8084999999992</v>
      </c>
      <c r="I89" s="248">
        <f>F89*H89</f>
        <v>2146679.9974999996</v>
      </c>
      <c r="J89" s="249" t="e">
        <f ca="1">I89/L89</f>
        <v>#NAME?</v>
      </c>
      <c r="K89" s="248" t="e">
        <f ca="1">J89*L89</f>
        <v>#NAME?</v>
      </c>
      <c r="L89" s="247" t="e">
        <f ca="1">_xll.BDH("RUB curncy","PX_LAST",$N89)</f>
        <v>#NAME?</v>
      </c>
      <c r="M89" s="246" t="e">
        <f ca="1">1/_xll.BDH("RUB curncy","PX_LAST",$N89)</f>
        <v>#NAME?</v>
      </c>
      <c r="N89" s="239">
        <v>42359</v>
      </c>
      <c r="O89" s="33"/>
    </row>
    <row r="90" spans="2:15" ht="15" customHeight="1" x14ac:dyDescent="0.2">
      <c r="B90" s="226" t="s">
        <v>423</v>
      </c>
      <c r="C90" s="253" t="s">
        <v>35</v>
      </c>
      <c r="D90" s="251" t="e">
        <f ca="1">_xll.BDP(C90,"SECURITY_NAME")</f>
        <v>#NAME?</v>
      </c>
      <c r="E90" s="251" t="s">
        <v>50</v>
      </c>
      <c r="F90" s="252">
        <v>73</v>
      </c>
      <c r="G90" s="251" t="e">
        <f ca="1">_xll.BDP(C90,"CRNCY")</f>
        <v>#NAME?</v>
      </c>
      <c r="H90" s="250">
        <v>10280</v>
      </c>
      <c r="I90" s="248">
        <f>F90*H90</f>
        <v>750440</v>
      </c>
      <c r="J90" s="249" t="e">
        <f ca="1">I90/L90</f>
        <v>#NAME?</v>
      </c>
      <c r="K90" s="248" t="e">
        <f ca="1">J90*L90</f>
        <v>#NAME?</v>
      </c>
      <c r="L90" s="247" t="e">
        <f ca="1">_xll.BDH("RUB curncy","PX_LAST",$N90)</f>
        <v>#NAME?</v>
      </c>
      <c r="M90" s="246" t="e">
        <f ca="1">1/_xll.BDH("RUB curncy","PX_LAST",$N90)</f>
        <v>#NAME?</v>
      </c>
      <c r="N90" s="239">
        <v>42270</v>
      </c>
      <c r="O90" s="33"/>
    </row>
    <row r="91" spans="2:15" ht="15" customHeight="1" x14ac:dyDescent="0.2">
      <c r="B91" s="226" t="s">
        <v>423</v>
      </c>
      <c r="C91" s="253" t="s">
        <v>35</v>
      </c>
      <c r="D91" s="251" t="e">
        <f ca="1">_xll.BDP(C91,"SECURITY_NAME")</f>
        <v>#NAME?</v>
      </c>
      <c r="E91" s="251" t="s">
        <v>50</v>
      </c>
      <c r="F91" s="252">
        <v>103</v>
      </c>
      <c r="G91" s="251" t="e">
        <f ca="1">_xll.BDP(C91,"CRNCY")</f>
        <v>#NAME?</v>
      </c>
      <c r="H91" s="250">
        <v>9690</v>
      </c>
      <c r="I91" s="248">
        <f>F91*H91</f>
        <v>998070</v>
      </c>
      <c r="J91" s="249" t="e">
        <f ca="1">I91/L91</f>
        <v>#NAME?</v>
      </c>
      <c r="K91" s="248" t="e">
        <f ca="1">J91*L91</f>
        <v>#NAME?</v>
      </c>
      <c r="L91" s="247" t="e">
        <f ca="1">_xll.BDH("RUB curncy","PX_LAST",$N91)</f>
        <v>#NAME?</v>
      </c>
      <c r="M91" s="246" t="e">
        <f ca="1">1/_xll.BDH("RUB curncy","PX_LAST",$N91)</f>
        <v>#NAME?</v>
      </c>
      <c r="N91" s="239">
        <v>42271</v>
      </c>
      <c r="O91" s="33"/>
    </row>
    <row r="92" spans="2:15" ht="15" customHeight="1" x14ac:dyDescent="0.2">
      <c r="B92" s="217"/>
      <c r="D92" s="215"/>
      <c r="E92" s="215"/>
      <c r="F92" s="213">
        <f>SUM(F89:F91)</f>
        <v>411</v>
      </c>
      <c r="G92" s="215"/>
      <c r="H92" s="214">
        <f>I92/F92</f>
        <v>9477.3479257907529</v>
      </c>
      <c r="I92" s="213">
        <f>SUM(I89:I91)</f>
        <v>3895189.9974999996</v>
      </c>
      <c r="J92" s="213" t="e">
        <f ca="1">SUM(J89:J91)</f>
        <v>#NAME?</v>
      </c>
      <c r="K92" s="213" t="e">
        <f ca="1">SUM(K89:K91)</f>
        <v>#NAME?</v>
      </c>
      <c r="L92" s="212"/>
      <c r="M92" s="211"/>
      <c r="N92" s="210"/>
    </row>
    <row r="93" spans="2:15" ht="15" customHeight="1" x14ac:dyDescent="0.2">
      <c r="B93" s="217"/>
      <c r="D93" s="215"/>
      <c r="E93" s="215"/>
      <c r="F93" s="213"/>
      <c r="G93" s="215"/>
      <c r="H93" s="214"/>
      <c r="I93" s="213"/>
      <c r="J93" s="213"/>
      <c r="K93" s="213"/>
      <c r="L93" s="212"/>
      <c r="M93" s="211"/>
      <c r="N93" s="210"/>
      <c r="O93" s="33"/>
    </row>
    <row r="94" spans="2:15" ht="15" customHeight="1" x14ac:dyDescent="0.2">
      <c r="B94" s="226" t="s">
        <v>423</v>
      </c>
      <c r="C94" s="253" t="s">
        <v>72</v>
      </c>
      <c r="D94" s="251" t="e">
        <f ca="1">_xll.BDP(C94,"SECURITY_NAME")</f>
        <v>#NAME?</v>
      </c>
      <c r="E94" s="251" t="s">
        <v>50</v>
      </c>
      <c r="F94" s="252">
        <v>27870</v>
      </c>
      <c r="G94" s="251" t="e">
        <f ca="1">_xll.BDP(C94,"CRNCY")</f>
        <v>#NAME?</v>
      </c>
      <c r="H94" s="250">
        <v>54.541600000000003</v>
      </c>
      <c r="I94" s="248">
        <f>F94*H94</f>
        <v>1520074.392</v>
      </c>
      <c r="J94" s="249" t="e">
        <f ca="1">I94/L94</f>
        <v>#NAME?</v>
      </c>
      <c r="K94" s="248" t="e">
        <f ca="1">J94*L94</f>
        <v>#NAME?</v>
      </c>
      <c r="L94" s="247" t="e">
        <f ca="1">_xll.BDH("RUB curncy","PX_LAST",$N94)</f>
        <v>#NAME?</v>
      </c>
      <c r="M94" s="246" t="e">
        <f ca="1">1/_xll.BDH("RUB curncy","PX_LAST",$N94)</f>
        <v>#NAME?</v>
      </c>
      <c r="N94" s="239">
        <v>42333</v>
      </c>
      <c r="O94" s="33"/>
    </row>
    <row r="95" spans="2:15" ht="15" customHeight="1" x14ac:dyDescent="0.2">
      <c r="B95" s="226" t="s">
        <v>423</v>
      </c>
      <c r="C95" s="253" t="s">
        <v>72</v>
      </c>
      <c r="D95" s="251" t="e">
        <f ca="1">_xll.BDP(C95,"SECURITY_NAME")</f>
        <v>#NAME?</v>
      </c>
      <c r="E95" s="251" t="s">
        <v>50</v>
      </c>
      <c r="F95" s="252">
        <v>8710</v>
      </c>
      <c r="G95" s="251" t="e">
        <f ca="1">_xll.BDP(C95,"CRNCY")</f>
        <v>#NAME?</v>
      </c>
      <c r="H95" s="250">
        <v>57.49</v>
      </c>
      <c r="I95" s="248">
        <f>F95*H95</f>
        <v>500737.9</v>
      </c>
      <c r="J95" s="249" t="e">
        <f ca="1">I95/L95</f>
        <v>#NAME?</v>
      </c>
      <c r="K95" s="248" t="e">
        <f ca="1">J95*L95</f>
        <v>#NAME?</v>
      </c>
      <c r="L95" s="247" t="e">
        <f ca="1">_xll.BDH("RUB curncy","PX_LAST",$N95)</f>
        <v>#NAME?</v>
      </c>
      <c r="M95" s="246" t="e">
        <f ca="1">1/_xll.BDH("RUB curncy","PX_LAST",$N95)</f>
        <v>#NAME?</v>
      </c>
      <c r="N95" s="239">
        <v>42271</v>
      </c>
      <c r="O95" s="33"/>
    </row>
    <row r="96" spans="2:15" ht="15" customHeight="1" x14ac:dyDescent="0.2">
      <c r="B96" s="217"/>
      <c r="D96" s="215"/>
      <c r="E96" s="215"/>
      <c r="F96" s="213">
        <f>SUM(F94:F95)</f>
        <v>36580</v>
      </c>
      <c r="G96" s="215"/>
      <c r="H96" s="214">
        <f>I96/F96</f>
        <v>55.243638381629303</v>
      </c>
      <c r="I96" s="213">
        <f>SUM(I94:I95)</f>
        <v>2020812.2919999999</v>
      </c>
      <c r="J96" s="213" t="e">
        <f ca="1">SUM(J94:J95)</f>
        <v>#NAME?</v>
      </c>
      <c r="K96" s="213" t="e">
        <f ca="1">SUM(K94:K95)</f>
        <v>#NAME?</v>
      </c>
      <c r="L96" s="212"/>
      <c r="M96" s="211"/>
      <c r="N96" s="210"/>
    </row>
    <row r="97" spans="2:15" ht="15" customHeight="1" x14ac:dyDescent="0.2">
      <c r="B97" s="217"/>
      <c r="D97" s="215"/>
      <c r="E97" s="215"/>
      <c r="F97" s="213"/>
      <c r="G97" s="215"/>
      <c r="H97" s="214"/>
      <c r="I97" s="213"/>
      <c r="J97" s="213"/>
      <c r="K97" s="213"/>
      <c r="L97" s="212"/>
      <c r="M97" s="211"/>
      <c r="N97" s="210"/>
      <c r="O97" s="33"/>
    </row>
    <row r="98" spans="2:15" ht="15" customHeight="1" x14ac:dyDescent="0.2">
      <c r="B98" s="226" t="s">
        <v>423</v>
      </c>
      <c r="C98" s="253" t="s">
        <v>7</v>
      </c>
      <c r="D98" s="251" t="e">
        <f ca="1">_xll.BDP(C98,"SECURITY_NAME")</f>
        <v>#NAME?</v>
      </c>
      <c r="E98" s="251" t="s">
        <v>50</v>
      </c>
      <c r="F98" s="252">
        <v>7400</v>
      </c>
      <c r="G98" s="251" t="e">
        <f ca="1">_xll.BDP(C98,"CRNCY")</f>
        <v>#NAME?</v>
      </c>
      <c r="H98" s="250">
        <v>135</v>
      </c>
      <c r="I98" s="248">
        <f>F98*H98</f>
        <v>999000</v>
      </c>
      <c r="J98" s="249" t="e">
        <f ca="1">I98/L98</f>
        <v>#NAME?</v>
      </c>
      <c r="K98" s="248" t="e">
        <f ca="1">J98*L98</f>
        <v>#NAME?</v>
      </c>
      <c r="L98" s="247" t="e">
        <f ca="1">_xll.BDH("RUB curncy","PX_LAST",$N98)</f>
        <v>#NAME?</v>
      </c>
      <c r="M98" s="246" t="e">
        <f ca="1">1/_xll.BDH("RUB curncy","PX_LAST",$N98)</f>
        <v>#NAME?</v>
      </c>
      <c r="N98" s="239">
        <v>42277</v>
      </c>
      <c r="O98" s="33"/>
    </row>
    <row r="99" spans="2:15" x14ac:dyDescent="0.2">
      <c r="B99" s="217"/>
      <c r="D99" s="215"/>
      <c r="E99" s="215"/>
      <c r="F99" s="213">
        <f>SUM(F97:F98)</f>
        <v>7400</v>
      </c>
      <c r="G99" s="215"/>
      <c r="H99" s="214">
        <f>I99/F99</f>
        <v>135</v>
      </c>
      <c r="I99" s="213">
        <f>SUM(I97:I98)</f>
        <v>999000</v>
      </c>
      <c r="J99" s="213" t="e">
        <f ca="1">SUM(J97:J98)</f>
        <v>#NAME?</v>
      </c>
      <c r="K99" s="213" t="e">
        <f ca="1">SUM(K97:K98)</f>
        <v>#NAME?</v>
      </c>
      <c r="L99" s="212"/>
      <c r="M99" s="211"/>
      <c r="N99" s="210"/>
    </row>
    <row r="100" spans="2:15" x14ac:dyDescent="0.2">
      <c r="B100" s="245"/>
      <c r="C100" s="33"/>
      <c r="D100" s="244"/>
      <c r="E100" s="244"/>
      <c r="F100" s="242"/>
      <c r="G100" s="244"/>
      <c r="H100" s="243"/>
      <c r="I100" s="242"/>
      <c r="J100" s="242"/>
      <c r="K100" s="242"/>
      <c r="L100" s="241"/>
      <c r="M100" s="240"/>
      <c r="N100" s="239"/>
      <c r="O100" s="33"/>
    </row>
    <row r="101" spans="2:15" x14ac:dyDescent="0.2">
      <c r="B101" s="226" t="s">
        <v>423</v>
      </c>
      <c r="C101" s="253" t="s">
        <v>2</v>
      </c>
      <c r="D101" s="251" t="e">
        <f ca="1">_xll.BDP(C101,"SECURITY_NAME")</f>
        <v>#NAME?</v>
      </c>
      <c r="E101" s="251" t="s">
        <v>50</v>
      </c>
      <c r="F101" s="252">
        <v>2400</v>
      </c>
      <c r="G101" s="251" t="e">
        <f ca="1">_xll.BDP(C101,"CRNCY")</f>
        <v>#NAME?</v>
      </c>
      <c r="H101" s="250">
        <v>700</v>
      </c>
      <c r="I101" s="248">
        <f>F101*H101</f>
        <v>1680000</v>
      </c>
      <c r="J101" s="249" t="e">
        <f ca="1">I101/L101</f>
        <v>#NAME?</v>
      </c>
      <c r="K101" s="248" t="e">
        <f ca="1">J101*L101</f>
        <v>#NAME?</v>
      </c>
      <c r="L101" s="247" t="e">
        <f ca="1">_xll.BDH("RUB curncy","PX_LAST",$N101)</f>
        <v>#NAME?</v>
      </c>
      <c r="M101" s="246" t="e">
        <f ca="1">1/_xll.BDH("RUB curncy","PX_LAST",$N101)</f>
        <v>#NAME?</v>
      </c>
      <c r="N101" s="239">
        <v>42465</v>
      </c>
      <c r="O101" s="33"/>
    </row>
    <row r="102" spans="2:15" x14ac:dyDescent="0.2">
      <c r="B102" s="226" t="s">
        <v>423</v>
      </c>
      <c r="C102" s="253" t="s">
        <v>2</v>
      </c>
      <c r="D102" s="251" t="e">
        <f ca="1">_xll.BDP(C102,"SECURITY_NAME")</f>
        <v>#NAME?</v>
      </c>
      <c r="E102" s="251" t="s">
        <v>50</v>
      </c>
      <c r="F102" s="252">
        <v>2400</v>
      </c>
      <c r="G102" s="251" t="e">
        <f ca="1">_xll.BDP(C102,"CRNCY")</f>
        <v>#NAME?</v>
      </c>
      <c r="H102" s="250">
        <v>825.78750000000002</v>
      </c>
      <c r="I102" s="248">
        <f>F102*H102</f>
        <v>1981890</v>
      </c>
      <c r="J102" s="249" t="e">
        <f ca="1">I102/L102</f>
        <v>#NAME?</v>
      </c>
      <c r="K102" s="248" t="e">
        <f ca="1">J102*L102</f>
        <v>#NAME?</v>
      </c>
      <c r="L102" s="247" t="e">
        <f ca="1">_xll.BDH("RUB curncy","PX_LAST",$N102)</f>
        <v>#NAME?</v>
      </c>
      <c r="M102" s="246" t="e">
        <f ca="1">1/_xll.BDH("RUB curncy","PX_LAST",$N102)</f>
        <v>#NAME?</v>
      </c>
      <c r="N102" s="239">
        <v>42307</v>
      </c>
    </row>
    <row r="103" spans="2:15" x14ac:dyDescent="0.2">
      <c r="B103" s="217"/>
      <c r="D103" s="215"/>
      <c r="E103" s="215"/>
      <c r="F103" s="213">
        <f>SUM(F101:F102)</f>
        <v>4800</v>
      </c>
      <c r="G103" s="215"/>
      <c r="H103" s="214">
        <f>I103/F103</f>
        <v>762.89374999999995</v>
      </c>
      <c r="I103" s="213">
        <f>SUM(I101:I102)</f>
        <v>3661890</v>
      </c>
      <c r="J103" s="213" t="e">
        <f ca="1">SUM(J101:J102)</f>
        <v>#NAME?</v>
      </c>
      <c r="K103" s="213" t="e">
        <f ca="1">SUM(K101:K102)</f>
        <v>#NAME?</v>
      </c>
      <c r="L103" s="212"/>
      <c r="M103" s="211"/>
      <c r="N103" s="210"/>
    </row>
    <row r="104" spans="2:15" x14ac:dyDescent="0.2">
      <c r="B104" s="245"/>
      <c r="C104" s="33"/>
      <c r="D104" s="244"/>
      <c r="E104" s="244"/>
      <c r="F104" s="242"/>
      <c r="G104" s="244"/>
      <c r="H104" s="243"/>
      <c r="I104" s="242"/>
      <c r="J104" s="242"/>
      <c r="K104" s="242"/>
      <c r="L104" s="241"/>
      <c r="M104" s="240"/>
      <c r="N104" s="239"/>
    </row>
    <row r="105" spans="2:15" x14ac:dyDescent="0.2">
      <c r="B105" s="226" t="s">
        <v>423</v>
      </c>
      <c r="C105" s="253" t="s">
        <v>334</v>
      </c>
      <c r="D105" s="251" t="e">
        <f ca="1">_xll.BDP(C105,"SECURITY_NAME")</f>
        <v>#NAME?</v>
      </c>
      <c r="E105" s="251" t="s">
        <v>50</v>
      </c>
      <c r="F105" s="252">
        <v>9850</v>
      </c>
      <c r="G105" s="251" t="e">
        <f ca="1">_xll.BDP(C105,"CRNCY")</f>
        <v>#NAME?</v>
      </c>
      <c r="H105" s="250">
        <v>220</v>
      </c>
      <c r="I105" s="248">
        <f>F105*H105</f>
        <v>2167000</v>
      </c>
      <c r="J105" s="249" t="e">
        <f ca="1">I105/L105</f>
        <v>#NAME?</v>
      </c>
      <c r="K105" s="248" t="e">
        <f ca="1">J105*L105</f>
        <v>#NAME?</v>
      </c>
      <c r="L105" s="247" t="e">
        <f ca="1">_xll.BDH("RUB curncy","PX_LAST",$N105)</f>
        <v>#NAME?</v>
      </c>
      <c r="M105" s="246" t="e">
        <f ca="1">1/_xll.BDH("RUB curncy","PX_LAST",$N105)</f>
        <v>#NAME?</v>
      </c>
      <c r="N105" s="239">
        <v>42359</v>
      </c>
    </row>
    <row r="106" spans="2:15" x14ac:dyDescent="0.2">
      <c r="B106" s="226" t="s">
        <v>423</v>
      </c>
      <c r="C106" s="253" t="s">
        <v>334</v>
      </c>
      <c r="D106" s="251" t="e">
        <f ca="1">_xll.BDP(C106,"SECURITY_NAME")</f>
        <v>#NAME?</v>
      </c>
      <c r="E106" s="251" t="s">
        <v>50</v>
      </c>
      <c r="F106" s="252">
        <v>6230</v>
      </c>
      <c r="G106" s="251" t="e">
        <f ca="1">_xll.BDP(C106,"CRNCY")</f>
        <v>#NAME?</v>
      </c>
      <c r="H106" s="250">
        <v>248.2</v>
      </c>
      <c r="I106" s="248">
        <f>F106*H106</f>
        <v>1546286</v>
      </c>
      <c r="J106" s="249" t="e">
        <f ca="1">I106/L106</f>
        <v>#NAME?</v>
      </c>
      <c r="K106" s="248" t="e">
        <f ca="1">J106*L106</f>
        <v>#NAME?</v>
      </c>
      <c r="L106" s="247" t="e">
        <f ca="1">_xll.BDH("RUB curncy","PX_LAST",$N106)</f>
        <v>#NAME?</v>
      </c>
      <c r="M106" s="246" t="e">
        <f ca="1">1/_xll.BDH("RUB curncy","PX_LAST",$N106)</f>
        <v>#NAME?</v>
      </c>
      <c r="N106" s="239">
        <v>42311</v>
      </c>
    </row>
    <row r="107" spans="2:15" x14ac:dyDescent="0.2">
      <c r="B107" s="217"/>
      <c r="D107" s="215"/>
      <c r="E107" s="215"/>
      <c r="F107" s="213">
        <f>SUM(F105:F106)</f>
        <v>16080</v>
      </c>
      <c r="G107" s="215"/>
      <c r="H107" s="214">
        <f>I107/F107</f>
        <v>230.92574626865672</v>
      </c>
      <c r="I107" s="213">
        <f>SUM(I105:I106)</f>
        <v>3713286</v>
      </c>
      <c r="J107" s="213" t="e">
        <f ca="1">SUM(J105:J106)</f>
        <v>#NAME?</v>
      </c>
      <c r="K107" s="213" t="e">
        <f ca="1">SUM(K105:K106)</f>
        <v>#NAME?</v>
      </c>
      <c r="L107" s="212"/>
      <c r="M107" s="211"/>
      <c r="N107" s="210"/>
    </row>
    <row r="108" spans="2:15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5" x14ac:dyDescent="0.2">
      <c r="B109" s="226" t="s">
        <v>423</v>
      </c>
      <c r="C109" s="253" t="s">
        <v>18</v>
      </c>
      <c r="D109" s="251" t="e">
        <f ca="1">_xll.BDP(C109,"SECURITY_NAME")</f>
        <v>#NAME?</v>
      </c>
      <c r="E109" s="251" t="s">
        <v>50</v>
      </c>
      <c r="F109" s="252">
        <v>7700</v>
      </c>
      <c r="G109" s="251" t="e">
        <f ca="1">_xll.BDP(C109,"CRNCY")</f>
        <v>#NAME?</v>
      </c>
      <c r="H109" s="250">
        <v>194.846103</v>
      </c>
      <c r="I109" s="248">
        <f>F109*H109</f>
        <v>1500314.9931000001</v>
      </c>
      <c r="J109" s="249" t="e">
        <f ca="1">I109/L109</f>
        <v>#NAME?</v>
      </c>
      <c r="K109" s="248" t="e">
        <f ca="1">J109*L109</f>
        <v>#NAME?</v>
      </c>
      <c r="L109" s="247" t="e">
        <f ca="1">_xll.BDH("RUB curncy","PX_LAST",$N109)</f>
        <v>#NAME?</v>
      </c>
      <c r="M109" s="246" t="e">
        <f ca="1">1/_xll.BDH("RUB curncy","PX_LAST",$N109)</f>
        <v>#NAME?</v>
      </c>
      <c r="N109" s="239">
        <v>42321</v>
      </c>
    </row>
    <row r="110" spans="2:15" x14ac:dyDescent="0.2">
      <c r="B110" s="217"/>
      <c r="D110" s="215"/>
      <c r="E110" s="215"/>
      <c r="F110" s="213">
        <f>SUM(F109)</f>
        <v>7700</v>
      </c>
      <c r="G110" s="215"/>
      <c r="H110" s="214">
        <f>I110/F110</f>
        <v>194.846103</v>
      </c>
      <c r="I110" s="213">
        <f>SUM(I109)</f>
        <v>1500314.9931000001</v>
      </c>
      <c r="J110" s="213" t="e">
        <f ca="1">SUM(J109)</f>
        <v>#NAME?</v>
      </c>
      <c r="K110" s="213" t="e">
        <f ca="1">SUM(K109)</f>
        <v>#NAME?</v>
      </c>
      <c r="L110" s="212"/>
      <c r="M110" s="211"/>
      <c r="N110" s="210"/>
    </row>
    <row r="111" spans="2:15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5" x14ac:dyDescent="0.2">
      <c r="B112" s="226" t="s">
        <v>423</v>
      </c>
      <c r="C112" s="253" t="s">
        <v>42</v>
      </c>
      <c r="D112" s="251" t="e">
        <f ca="1">_xll.BDP(C112,"SECURITY_NAME")</f>
        <v>#NAME?</v>
      </c>
      <c r="E112" s="251" t="s">
        <v>50</v>
      </c>
      <c r="F112" s="252">
        <v>8200</v>
      </c>
      <c r="G112" s="251" t="e">
        <f ca="1">_xll.BDP(C112,"CRNCY")</f>
        <v>#NAME?</v>
      </c>
      <c r="H112" s="250">
        <v>3.64</v>
      </c>
      <c r="I112" s="248">
        <f>F112*H112</f>
        <v>29848</v>
      </c>
      <c r="J112" s="249">
        <f>I112</f>
        <v>29848</v>
      </c>
      <c r="K112" s="248" t="e">
        <f ca="1">J112*L112</f>
        <v>#NAME?</v>
      </c>
      <c r="L112" s="247" t="e">
        <f ca="1">_xll.BDH("RUB curncy","PX_LAST",$N112)</f>
        <v>#NAME?</v>
      </c>
      <c r="M112" s="246" t="e">
        <f ca="1">1/_xll.BDH("RUB curncy","PX_LAST",$N112)</f>
        <v>#NAME?</v>
      </c>
      <c r="N112" s="239">
        <v>42331</v>
      </c>
    </row>
    <row r="113" spans="2:14" x14ac:dyDescent="0.2">
      <c r="B113" s="217"/>
      <c r="D113" s="215"/>
      <c r="E113" s="215"/>
      <c r="F113" s="213">
        <f>SUM(F112)</f>
        <v>8200</v>
      </c>
      <c r="G113" s="215"/>
      <c r="H113" s="214">
        <f>I113/F113</f>
        <v>3.64</v>
      </c>
      <c r="I113" s="213">
        <f>SUM(I112)</f>
        <v>29848</v>
      </c>
      <c r="J113" s="213">
        <f>SUM(J112)</f>
        <v>29848</v>
      </c>
      <c r="K113" s="213" t="e">
        <f ca="1">SUM(K112)</f>
        <v>#NAME?</v>
      </c>
      <c r="L113" s="212"/>
      <c r="M113" s="211"/>
      <c r="N113" s="210"/>
    </row>
    <row r="115" spans="2:14" x14ac:dyDescent="0.2">
      <c r="B115" s="226" t="s">
        <v>423</v>
      </c>
      <c r="C115" s="253" t="s">
        <v>461</v>
      </c>
      <c r="D115" s="251" t="e">
        <f ca="1">_xll.BDP(C115,"SECURITY_NAME")</f>
        <v>#NAME?</v>
      </c>
      <c r="E115" s="251" t="s">
        <v>50</v>
      </c>
      <c r="F115" s="252">
        <v>8310</v>
      </c>
      <c r="G115" s="251" t="e">
        <f ca="1">_xll.BDP(C115,"CRNCY")</f>
        <v>#NAME?</v>
      </c>
      <c r="H115" s="250">
        <v>3.16</v>
      </c>
      <c r="I115" s="248">
        <f>F115*H115</f>
        <v>26259.600000000002</v>
      </c>
      <c r="J115" s="249">
        <f>I115</f>
        <v>26259.600000000002</v>
      </c>
      <c r="K115" s="248" t="e">
        <f ca="1">J115*L115</f>
        <v>#NAME?</v>
      </c>
      <c r="L115" s="247" t="e">
        <f ca="1">_xll.BDH("RUB curncy","PX_LAST",$N115)</f>
        <v>#NAME?</v>
      </c>
      <c r="M115" s="246" t="e">
        <f ca="1">1/_xll.BDH("RUB curncy","PX_LAST",$N115)</f>
        <v>#NAME?</v>
      </c>
      <c r="N115" s="239">
        <v>42381</v>
      </c>
    </row>
    <row r="116" spans="2:14" x14ac:dyDescent="0.2">
      <c r="B116" s="226" t="s">
        <v>423</v>
      </c>
      <c r="C116" s="253" t="s">
        <v>461</v>
      </c>
      <c r="D116" s="251" t="e">
        <f ca="1">_xll.BDP(C116,"SECURITY_NAME")</f>
        <v>#NAME?</v>
      </c>
      <c r="E116" s="251" t="s">
        <v>50</v>
      </c>
      <c r="F116" s="252">
        <v>5350</v>
      </c>
      <c r="G116" s="251" t="e">
        <f ca="1">_xll.BDP(C116,"CRNCY")</f>
        <v>#NAME?</v>
      </c>
      <c r="H116" s="250">
        <v>4.2</v>
      </c>
      <c r="I116" s="248">
        <f>F116*H116</f>
        <v>22470</v>
      </c>
      <c r="J116" s="249">
        <f>I116</f>
        <v>22470</v>
      </c>
      <c r="K116" s="248" t="e">
        <f ca="1">J116*L116</f>
        <v>#NAME?</v>
      </c>
      <c r="L116" s="247" t="e">
        <f ca="1">_xll.BDH("RUB curncy","PX_LAST",$N116)</f>
        <v>#NAME?</v>
      </c>
      <c r="M116" s="246" t="e">
        <f ca="1">1/_xll.BDH("RUB curncy","PX_LAST",$N116)</f>
        <v>#NAME?</v>
      </c>
      <c r="N116" s="239">
        <v>42339</v>
      </c>
    </row>
    <row r="117" spans="2:14" x14ac:dyDescent="0.2">
      <c r="B117" s="226" t="s">
        <v>423</v>
      </c>
      <c r="C117" s="253" t="s">
        <v>461</v>
      </c>
      <c r="D117" s="251" t="e">
        <f ca="1">_xll.BDP(C117,"SECURITY_NAME")</f>
        <v>#NAME?</v>
      </c>
      <c r="E117" s="251" t="s">
        <v>50</v>
      </c>
      <c r="F117" s="252">
        <v>3140</v>
      </c>
      <c r="G117" s="251" t="e">
        <f ca="1">_xll.BDP(C117,"CRNCY")</f>
        <v>#NAME?</v>
      </c>
      <c r="H117" s="250">
        <v>4.3</v>
      </c>
      <c r="I117" s="248">
        <f>F117*H117</f>
        <v>13502</v>
      </c>
      <c r="J117" s="249">
        <f>I117</f>
        <v>13502</v>
      </c>
      <c r="K117" s="248" t="e">
        <f ca="1">J117*L117</f>
        <v>#NAME?</v>
      </c>
      <c r="L117" s="247" t="e">
        <f ca="1">_xll.BDH("RUB curncy","PX_LAST",$N117)</f>
        <v>#NAME?</v>
      </c>
      <c r="M117" s="246" t="e">
        <f ca="1">1/_xll.BDH("RUB curncy","PX_LAST",$N117)</f>
        <v>#NAME?</v>
      </c>
      <c r="N117" s="239">
        <v>42333</v>
      </c>
    </row>
    <row r="118" spans="2:14" x14ac:dyDescent="0.2">
      <c r="B118" s="217"/>
      <c r="D118" s="215"/>
      <c r="E118" s="215"/>
      <c r="F118" s="213">
        <f>SUM(F115:F117)</f>
        <v>16800</v>
      </c>
      <c r="G118" s="215"/>
      <c r="H118" s="214">
        <f>I118/F118</f>
        <v>3.7042619047619052</v>
      </c>
      <c r="I118" s="213">
        <f>SUM(I115:I117)</f>
        <v>62231.600000000006</v>
      </c>
      <c r="J118" s="213">
        <f>SUM(J115:J117)</f>
        <v>62231.600000000006</v>
      </c>
      <c r="K118" s="213" t="e">
        <f ca="1">SUM(K115:K117)</f>
        <v>#NAME?</v>
      </c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 t="s">
        <v>423</v>
      </c>
      <c r="C120" s="253" t="s">
        <v>309</v>
      </c>
      <c r="D120" s="251" t="e">
        <f ca="1">_xll.BDP(C120,"SECURITY_NAME")</f>
        <v>#NAME?</v>
      </c>
      <c r="E120" s="251" t="s">
        <v>50</v>
      </c>
      <c r="F120" s="252">
        <v>112400</v>
      </c>
      <c r="G120" s="251" t="e">
        <f ca="1">_xll.BDP(C120,"CRNCY")</f>
        <v>#NAME?</v>
      </c>
      <c r="H120" s="250">
        <v>17.8</v>
      </c>
      <c r="I120" s="248">
        <f>F120*H120</f>
        <v>2000720</v>
      </c>
      <c r="J120" s="249" t="e">
        <f ca="1">I120/L120</f>
        <v>#NAME?</v>
      </c>
      <c r="K120" s="248" t="e">
        <f ca="1">J120*L120</f>
        <v>#NAME?</v>
      </c>
      <c r="L120" s="247" t="e">
        <f ca="1">_xll.BDH("RUB curncy","PX_LAST",$N120)</f>
        <v>#NAME?</v>
      </c>
      <c r="M120" s="246" t="e">
        <f ca="1">1/_xll.BDH("RUB curncy","PX_LAST",$N120)</f>
        <v>#NAME?</v>
      </c>
      <c r="N120" s="239">
        <v>42398</v>
      </c>
    </row>
    <row r="121" spans="2:14" x14ac:dyDescent="0.2">
      <c r="B121" s="217"/>
      <c r="D121" s="215"/>
      <c r="E121" s="215"/>
      <c r="F121" s="213">
        <f>SUM(F120)</f>
        <v>112400</v>
      </c>
      <c r="G121" s="215"/>
      <c r="H121" s="214">
        <f>I121/F121</f>
        <v>17.8</v>
      </c>
      <c r="I121" s="213">
        <f>SUM(I120)</f>
        <v>2000720</v>
      </c>
      <c r="J121" s="213" t="e">
        <f ca="1">SUM(J120)</f>
        <v>#NAME?</v>
      </c>
      <c r="K121" s="213" t="e">
        <f ca="1">SUM(K120)</f>
        <v>#NAME?</v>
      </c>
      <c r="L121" s="212"/>
      <c r="M121" s="211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 t="s">
        <v>423</v>
      </c>
      <c r="C123" s="253" t="s">
        <v>15</v>
      </c>
      <c r="D123" s="251" t="e">
        <f ca="1">_xll.BDP(C123,"SECURITY_NAME")</f>
        <v>#NAME?</v>
      </c>
      <c r="E123" s="251" t="s">
        <v>50</v>
      </c>
      <c r="F123" s="252">
        <v>625</v>
      </c>
      <c r="G123" s="251" t="e">
        <f ca="1">_xll.BDP(C123,"CRNCY")</f>
        <v>#NAME?</v>
      </c>
      <c r="H123" s="250">
        <v>49.92</v>
      </c>
      <c r="I123" s="248">
        <f>F123*H123</f>
        <v>31200</v>
      </c>
      <c r="J123" s="249">
        <f>I123</f>
        <v>31200</v>
      </c>
      <c r="K123" s="248" t="e">
        <f ca="1">J123*L123</f>
        <v>#NAME?</v>
      </c>
      <c r="L123" s="247" t="e">
        <f ca="1">_xll.BDH("RUB curncy","PX_LAST",$N123)</f>
        <v>#NAME?</v>
      </c>
      <c r="M123" s="246" t="e">
        <f ca="1">1/_xll.BDH("RUB curncy","PX_LAST",$N123)</f>
        <v>#NAME?</v>
      </c>
      <c r="N123" s="239">
        <v>42556</v>
      </c>
    </row>
    <row r="124" spans="2:14" x14ac:dyDescent="0.2">
      <c r="B124" s="217"/>
      <c r="D124" s="215"/>
      <c r="E124" s="215"/>
      <c r="F124" s="213">
        <f>SUM(F123)</f>
        <v>625</v>
      </c>
      <c r="G124" s="215"/>
      <c r="H124" s="214">
        <f>I124/F124</f>
        <v>49.92</v>
      </c>
      <c r="I124" s="213">
        <f>SUM(I123)</f>
        <v>31200</v>
      </c>
      <c r="J124" s="213">
        <f>SUM(J123)</f>
        <v>31200</v>
      </c>
      <c r="K124" s="213" t="e">
        <f ca="1">SUM(K123)</f>
        <v>#NAME?</v>
      </c>
      <c r="L124" s="212"/>
      <c r="M124" s="211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 t="s">
        <v>423</v>
      </c>
      <c r="C126" s="253" t="s">
        <v>71</v>
      </c>
      <c r="D126" s="251" t="e">
        <f ca="1">_xll.BDP(C126,"SECURITY_NAME")</f>
        <v>#NAME?</v>
      </c>
      <c r="E126" s="251" t="s">
        <v>50</v>
      </c>
      <c r="F126" s="252">
        <v>164</v>
      </c>
      <c r="G126" s="251" t="e">
        <f ca="1">_xll.BDP(C126,"CRNCY")</f>
        <v>#NAME?</v>
      </c>
      <c r="H126" s="250">
        <v>7.5149999999999997</v>
      </c>
      <c r="I126" s="248">
        <f>F126*H126</f>
        <v>1232.46</v>
      </c>
      <c r="J126" s="249" t="e">
        <f ca="1">I126*M126</f>
        <v>#NAME?</v>
      </c>
      <c r="K126" s="248" t="e">
        <f ca="1">J126*L126</f>
        <v>#NAME?</v>
      </c>
      <c r="L126" s="247" t="e">
        <f ca="1">_xll.BDH("RUB curncy","PX_LAST",$N126)</f>
        <v>#NAME?</v>
      </c>
      <c r="M126" s="246" t="e">
        <f ca="1">_xll.BDH("GBP curncy","PX_LAST",$N126)</f>
        <v>#NAME?</v>
      </c>
      <c r="N126" s="239">
        <v>42711</v>
      </c>
    </row>
    <row r="127" spans="2:14" x14ac:dyDescent="0.2">
      <c r="B127" s="226" t="s">
        <v>423</v>
      </c>
      <c r="C127" s="253" t="s">
        <v>71</v>
      </c>
      <c r="D127" s="251" t="e">
        <f ca="1">_xll.BDP(C127,"SECURITY_NAME")</f>
        <v>#NAME?</v>
      </c>
      <c r="E127" s="251" t="s">
        <v>50</v>
      </c>
      <c r="F127" s="252">
        <v>4044</v>
      </c>
      <c r="G127" s="251" t="e">
        <f ca="1">_xll.BDP(C127,"CRNCY")</f>
        <v>#NAME?</v>
      </c>
      <c r="H127" s="250">
        <v>8.4856144899999997</v>
      </c>
      <c r="I127" s="248">
        <f>F127*H127</f>
        <v>34315.824997559997</v>
      </c>
      <c r="J127" s="249" t="e">
        <f ca="1">I127*M127</f>
        <v>#NAME?</v>
      </c>
      <c r="K127" s="248" t="e">
        <f ca="1">J127*L127</f>
        <v>#NAME?</v>
      </c>
      <c r="L127" s="247" t="e">
        <f ca="1">_xll.BDH("RUB curncy","PX_LAST",$N127)</f>
        <v>#NAME?</v>
      </c>
      <c r="M127" s="246" t="e">
        <f ca="1">_xll.BDH("GBP curncy","PX_LAST",$N127)</f>
        <v>#NAME?</v>
      </c>
      <c r="N127" s="239">
        <v>42657</v>
      </c>
    </row>
    <row r="128" spans="2:14" x14ac:dyDescent="0.2">
      <c r="B128" s="217"/>
      <c r="D128" s="215"/>
      <c r="E128" s="215"/>
      <c r="F128" s="213">
        <f>SUM(F126:F127)</f>
        <v>4208</v>
      </c>
      <c r="G128" s="215"/>
      <c r="H128" s="214">
        <f>I128/F128</f>
        <v>8.4477863587357405</v>
      </c>
      <c r="I128" s="213">
        <f>SUM(I126:I127)</f>
        <v>35548.284997559997</v>
      </c>
      <c r="J128" s="213" t="e">
        <f ca="1">SUM(J126:J127)</f>
        <v>#NAME?</v>
      </c>
      <c r="K128" s="213" t="e">
        <f ca="1">SUM(K126:K127)</f>
        <v>#NAME?</v>
      </c>
      <c r="L128" s="212"/>
      <c r="M128" s="211"/>
      <c r="N128" s="210"/>
    </row>
    <row r="129" spans="2:14" x14ac:dyDescent="0.2">
      <c r="B129" s="217"/>
      <c r="C129" s="216"/>
      <c r="D129" s="215"/>
      <c r="E129" s="215"/>
      <c r="F129" s="213"/>
      <c r="G129" s="215"/>
      <c r="H129" s="238"/>
      <c r="I129" s="213"/>
      <c r="J129" s="213"/>
      <c r="K129" s="213"/>
      <c r="L129" s="212"/>
      <c r="M129" s="211"/>
      <c r="N129" s="210"/>
    </row>
    <row r="130" spans="2:14" x14ac:dyDescent="0.2">
      <c r="B130" s="254" t="s">
        <v>423</v>
      </c>
      <c r="C130" s="41" t="s">
        <v>697</v>
      </c>
      <c r="D130" s="251" t="e">
        <f ca="1">_xll.BDP(C130,"SECURITY_NAME")</f>
        <v>#NAME?</v>
      </c>
      <c r="E130" s="251" t="s">
        <v>50</v>
      </c>
      <c r="F130" s="252">
        <v>200000</v>
      </c>
      <c r="G130" s="251" t="e">
        <f ca="1">_xll.BDP(C130,"CRNCY")</f>
        <v>#NAME?</v>
      </c>
      <c r="H130" s="250">
        <v>91</v>
      </c>
      <c r="I130" s="248">
        <f>F130*H130/100</f>
        <v>182000</v>
      </c>
      <c r="J130" s="249">
        <f>I130</f>
        <v>182000</v>
      </c>
      <c r="K130" s="248" t="e">
        <f ca="1">J130*L130</f>
        <v>#NAME?</v>
      </c>
      <c r="L130" s="247" t="e">
        <f ca="1">_xll.BDH("RUB curncy","PX_LAST",$N130)</f>
        <v>#NAME?</v>
      </c>
      <c r="M130" s="246" t="e">
        <f ca="1">1/_xll.BDH("RUB curncy","PX_LAST",$N130)</f>
        <v>#NAME?</v>
      </c>
      <c r="N130" s="239">
        <v>42545</v>
      </c>
    </row>
    <row r="131" spans="2:14" x14ac:dyDescent="0.2">
      <c r="B131" s="254" t="s">
        <v>423</v>
      </c>
      <c r="C131" s="41" t="s">
        <v>697</v>
      </c>
      <c r="D131" s="251" t="e">
        <f ca="1">_xll.BDP(C131,"SECURITY_NAME")</f>
        <v>#NAME?</v>
      </c>
      <c r="E131" s="251" t="s">
        <v>50</v>
      </c>
      <c r="F131" s="252">
        <v>400000</v>
      </c>
      <c r="G131" s="251" t="e">
        <f ca="1">_xll.BDP(C131,"CRNCY")</f>
        <v>#NAME?</v>
      </c>
      <c r="H131" s="250">
        <v>91.5</v>
      </c>
      <c r="I131" s="248">
        <f>F131*H131/100</f>
        <v>366000</v>
      </c>
      <c r="J131" s="249">
        <f>I131</f>
        <v>366000</v>
      </c>
      <c r="K131" s="248" t="e">
        <f ca="1">J131*L131</f>
        <v>#NAME?</v>
      </c>
      <c r="L131" s="247" t="e">
        <f ca="1">_xll.BDH("RUB curncy","PX_LAST",$N131)</f>
        <v>#NAME?</v>
      </c>
      <c r="M131" s="246" t="e">
        <f ca="1">1/_xll.BDH("RUB curncy","PX_LAST",$N131)</f>
        <v>#NAME?</v>
      </c>
      <c r="N131" s="239">
        <v>42472</v>
      </c>
    </row>
    <row r="132" spans="2:14" x14ac:dyDescent="0.2">
      <c r="B132" s="217"/>
      <c r="D132" s="215"/>
      <c r="E132" s="215"/>
      <c r="F132" s="213">
        <f>SUM(F130:F131)</f>
        <v>600000</v>
      </c>
      <c r="G132" s="215"/>
      <c r="H132" s="214">
        <f>I132/F132*100</f>
        <v>91.333333333333329</v>
      </c>
      <c r="I132" s="213">
        <f>SUM(I130:I131)</f>
        <v>548000</v>
      </c>
      <c r="J132" s="213">
        <f>SUM(J130:J131)</f>
        <v>548000</v>
      </c>
      <c r="K132" s="213" t="e">
        <f ca="1">SUM(K130:K131)</f>
        <v>#NAME?</v>
      </c>
      <c r="L132" s="212"/>
      <c r="M132" s="211"/>
      <c r="N132" s="210"/>
    </row>
    <row r="134" spans="2:14" x14ac:dyDescent="0.2">
      <c r="B134" s="226" t="s">
        <v>423</v>
      </c>
      <c r="C134" s="253" t="s">
        <v>257</v>
      </c>
      <c r="D134" s="251" t="e">
        <f ca="1">_xll.BDP(C134,"SECURITY_NAME")</f>
        <v>#NAME?</v>
      </c>
      <c r="E134" s="251" t="s">
        <v>50</v>
      </c>
      <c r="F134" s="252">
        <v>315000</v>
      </c>
      <c r="G134" s="251" t="e">
        <f ca="1">_xll.BDP(C134,"CRNCY")</f>
        <v>#NAME?</v>
      </c>
      <c r="H134" s="250">
        <v>4.7649999999999997</v>
      </c>
      <c r="I134" s="248">
        <f>F134*H134</f>
        <v>1500975</v>
      </c>
      <c r="J134" s="249" t="e">
        <f ca="1">I134/L134</f>
        <v>#NAME?</v>
      </c>
      <c r="K134" s="248" t="e">
        <f ca="1">J134*L134</f>
        <v>#NAME?</v>
      </c>
      <c r="L134" s="247" t="e">
        <f ca="1">_xll.BDH("RUB curncy","PX_LAST",$N134)</f>
        <v>#NAME?</v>
      </c>
      <c r="M134" s="246" t="e">
        <f ca="1">1/_xll.BDH("RUB curncy","PX_LAST",$N134)</f>
        <v>#NAME?</v>
      </c>
      <c r="N134" s="239">
        <v>42608</v>
      </c>
    </row>
    <row r="135" spans="2:14" x14ac:dyDescent="0.2">
      <c r="B135" s="217"/>
      <c r="D135" s="215"/>
      <c r="E135" s="215"/>
      <c r="F135" s="213">
        <f>SUM(F134)</f>
        <v>315000</v>
      </c>
      <c r="G135" s="215"/>
      <c r="H135" s="214">
        <f>I135/F135</f>
        <v>4.7649999999999997</v>
      </c>
      <c r="I135" s="213">
        <f>SUM(I134)</f>
        <v>1500975</v>
      </c>
      <c r="J135" s="213" t="e">
        <f ca="1">SUM(J134)</f>
        <v>#NAME?</v>
      </c>
      <c r="K135" s="213" t="e">
        <f ca="1">SUM(K134)</f>
        <v>#NAME?</v>
      </c>
      <c r="L135" s="212"/>
      <c r="M135" s="211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17"/>
      <c r="C140" s="216"/>
      <c r="D140" s="215"/>
      <c r="E140" s="215"/>
      <c r="F140" s="213"/>
      <c r="G140" s="215"/>
      <c r="H140" s="238"/>
      <c r="I140" s="213"/>
      <c r="J140" s="213"/>
      <c r="K140" s="213"/>
      <c r="L140" s="212"/>
      <c r="M140" s="211"/>
      <c r="N140" s="210"/>
    </row>
    <row r="141" spans="2:14" x14ac:dyDescent="0.2">
      <c r="B141" s="217"/>
      <c r="C141" s="216"/>
      <c r="D141" s="215"/>
      <c r="E141" s="215"/>
      <c r="F141" s="213"/>
      <c r="G141" s="215"/>
      <c r="H141" s="238"/>
      <c r="I141" s="213"/>
      <c r="J141" s="213"/>
      <c r="K141" s="213"/>
      <c r="L141" s="212"/>
      <c r="M141" s="211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38"/>
      <c r="I143" s="213"/>
      <c r="J143" s="213"/>
      <c r="K143" s="213"/>
      <c r="L143" s="212"/>
      <c r="M143" s="211"/>
      <c r="N143" s="210"/>
    </row>
    <row r="144" spans="2:14" x14ac:dyDescent="0.2">
      <c r="B144" s="217"/>
      <c r="C144" s="216"/>
      <c r="D144" s="215"/>
      <c r="E144" s="215"/>
      <c r="F144" s="213"/>
      <c r="G144" s="215"/>
      <c r="H144" s="238"/>
      <c r="I144" s="213"/>
      <c r="J144" s="213"/>
      <c r="K144" s="213"/>
      <c r="L144" s="212"/>
      <c r="M144" s="211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17"/>
      <c r="C146" s="216"/>
      <c r="D146" s="215"/>
      <c r="E146" s="215"/>
      <c r="F146" s="213"/>
      <c r="G146" s="215"/>
      <c r="H146" s="238"/>
      <c r="I146" s="213"/>
      <c r="J146" s="213"/>
      <c r="K146" s="213"/>
      <c r="L146" s="212"/>
      <c r="M146" s="211"/>
      <c r="N146" s="210"/>
    </row>
    <row r="147" spans="2:14" x14ac:dyDescent="0.2">
      <c r="B147" s="217"/>
      <c r="C147" s="216"/>
      <c r="D147" s="215"/>
      <c r="E147" s="215"/>
      <c r="F147" s="213"/>
      <c r="G147" s="215"/>
      <c r="H147" s="238"/>
      <c r="I147" s="213"/>
      <c r="J147" s="213"/>
      <c r="K147" s="213"/>
      <c r="L147" s="212"/>
      <c r="M147" s="211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17"/>
      <c r="C149" s="216"/>
      <c r="D149" s="215"/>
      <c r="E149" s="215"/>
      <c r="F149" s="213"/>
      <c r="G149" s="215"/>
      <c r="H149" s="238"/>
      <c r="I149" s="213"/>
      <c r="J149" s="213"/>
      <c r="K149" s="213"/>
      <c r="L149" s="212"/>
      <c r="M149" s="211"/>
      <c r="N149" s="210"/>
    </row>
    <row r="150" spans="2:14" x14ac:dyDescent="0.2">
      <c r="B150" s="217"/>
      <c r="C150" s="216"/>
      <c r="D150" s="215"/>
      <c r="E150" s="215"/>
      <c r="F150" s="213"/>
      <c r="G150" s="215"/>
      <c r="H150" s="238"/>
      <c r="I150" s="213"/>
      <c r="J150" s="213"/>
      <c r="K150" s="213"/>
      <c r="L150" s="212"/>
      <c r="M150" s="211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17"/>
      <c r="C152" s="216"/>
      <c r="D152" s="215"/>
      <c r="E152" s="215"/>
      <c r="F152" s="213"/>
      <c r="G152" s="215"/>
      <c r="H152" s="238"/>
      <c r="I152" s="213"/>
      <c r="J152" s="213"/>
      <c r="K152" s="213"/>
      <c r="L152" s="212"/>
      <c r="M152" s="211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38"/>
      <c r="I153" s="213"/>
      <c r="J153" s="213"/>
      <c r="K153" s="213"/>
      <c r="L153" s="212"/>
      <c r="M153" s="211"/>
      <c r="N153" s="210"/>
    </row>
    <row r="154" spans="2:14" x14ac:dyDescent="0.2">
      <c r="B154" s="226"/>
      <c r="C154" s="225"/>
      <c r="D154" s="223"/>
      <c r="E154" s="223"/>
      <c r="F154" s="224"/>
      <c r="G154" s="223"/>
      <c r="H154" s="222"/>
      <c r="I154" s="220"/>
      <c r="J154" s="221"/>
      <c r="K154" s="220"/>
      <c r="L154" s="219"/>
      <c r="M154" s="218"/>
      <c r="N154" s="210"/>
    </row>
    <row r="155" spans="2:14" x14ac:dyDescent="0.2">
      <c r="B155" s="217"/>
      <c r="C155" s="216"/>
      <c r="D155" s="215"/>
      <c r="E155" s="215"/>
      <c r="F155" s="213"/>
      <c r="G155" s="215"/>
      <c r="H155" s="238"/>
      <c r="I155" s="213"/>
      <c r="J155" s="213"/>
      <c r="K155" s="213"/>
      <c r="L155" s="212"/>
      <c r="M155" s="211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38"/>
      <c r="I156" s="213"/>
      <c r="J156" s="213"/>
      <c r="K156" s="213"/>
      <c r="L156" s="212"/>
      <c r="M156" s="211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17"/>
      <c r="C158" s="216"/>
      <c r="D158" s="215"/>
      <c r="E158" s="215"/>
      <c r="F158" s="213"/>
      <c r="G158" s="215"/>
      <c r="H158" s="238"/>
      <c r="I158" s="213"/>
      <c r="J158" s="213"/>
      <c r="K158" s="213"/>
      <c r="L158" s="212"/>
      <c r="M158" s="211"/>
      <c r="N158" s="210"/>
    </row>
    <row r="159" spans="2:14" x14ac:dyDescent="0.2">
      <c r="B159" s="217"/>
      <c r="C159" s="216"/>
      <c r="D159" s="215"/>
      <c r="E159" s="215"/>
      <c r="F159" s="213"/>
      <c r="G159" s="215"/>
      <c r="H159" s="238"/>
      <c r="I159" s="213"/>
      <c r="J159" s="213"/>
      <c r="K159" s="213"/>
      <c r="L159" s="212"/>
      <c r="M159" s="211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38"/>
      <c r="I161" s="213"/>
      <c r="J161" s="213"/>
      <c r="K161" s="213"/>
      <c r="L161" s="212"/>
      <c r="M161" s="211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38"/>
      <c r="I162" s="213"/>
      <c r="J162" s="213"/>
      <c r="K162" s="213"/>
      <c r="L162" s="212"/>
      <c r="M162" s="211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38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38"/>
      <c r="I165" s="213"/>
      <c r="J165" s="213"/>
      <c r="K165" s="213"/>
      <c r="L165" s="212"/>
      <c r="M165" s="211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38"/>
      <c r="I167" s="213"/>
      <c r="J167" s="213"/>
      <c r="K167" s="213"/>
      <c r="L167" s="212"/>
      <c r="M167" s="211"/>
      <c r="N167" s="210"/>
    </row>
    <row r="168" spans="2:14" x14ac:dyDescent="0.2">
      <c r="B168" s="217"/>
      <c r="C168" s="216"/>
      <c r="D168" s="215"/>
      <c r="E168" s="215"/>
      <c r="F168" s="213"/>
      <c r="G168" s="215"/>
      <c r="H168" s="238"/>
      <c r="I168" s="213"/>
      <c r="J168" s="213"/>
      <c r="K168" s="213"/>
      <c r="L168" s="212"/>
      <c r="M168" s="211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38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38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38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38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38"/>
      <c r="I176" s="213"/>
      <c r="J176" s="213"/>
      <c r="K176" s="213"/>
      <c r="L176" s="212"/>
      <c r="M176" s="211"/>
      <c r="N176" s="210"/>
    </row>
    <row r="177" spans="2:14" x14ac:dyDescent="0.2">
      <c r="B177" s="217"/>
      <c r="C177" s="216"/>
      <c r="D177" s="215"/>
      <c r="E177" s="215"/>
      <c r="F177" s="213"/>
      <c r="G177" s="215"/>
      <c r="H177" s="238"/>
      <c r="I177" s="213"/>
      <c r="J177" s="213"/>
      <c r="K177" s="213"/>
      <c r="L177" s="212"/>
      <c r="M177" s="211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38"/>
      <c r="I179" s="213"/>
      <c r="J179" s="213"/>
      <c r="K179" s="213"/>
      <c r="L179" s="212"/>
      <c r="M179" s="211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38"/>
      <c r="I180" s="213"/>
      <c r="J180" s="213"/>
      <c r="K180" s="213"/>
      <c r="L180" s="212"/>
      <c r="M180" s="211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38"/>
      <c r="I182" s="213"/>
      <c r="J182" s="213"/>
      <c r="K182" s="213"/>
      <c r="L182" s="212"/>
      <c r="M182" s="211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38"/>
      <c r="I183" s="213"/>
      <c r="J183" s="213"/>
      <c r="K183" s="213"/>
      <c r="L183" s="212"/>
      <c r="M183" s="211"/>
      <c r="N183" s="210"/>
    </row>
    <row r="184" spans="2:14" x14ac:dyDescent="0.2">
      <c r="B184" s="226"/>
      <c r="C184" s="225"/>
      <c r="D184" s="223"/>
      <c r="E184" s="223"/>
      <c r="F184" s="224"/>
      <c r="G184" s="223"/>
      <c r="H184" s="222"/>
      <c r="I184" s="220"/>
      <c r="J184" s="221"/>
      <c r="K184" s="220"/>
      <c r="L184" s="219"/>
      <c r="M184" s="218"/>
      <c r="N184" s="210"/>
    </row>
    <row r="185" spans="2:14" x14ac:dyDescent="0.2">
      <c r="B185" s="217"/>
      <c r="C185" s="216"/>
      <c r="D185" s="215"/>
      <c r="E185" s="215"/>
      <c r="F185" s="213"/>
      <c r="G185" s="215"/>
      <c r="H185" s="238"/>
      <c r="I185" s="213"/>
      <c r="J185" s="213"/>
      <c r="K185" s="213"/>
      <c r="L185" s="212"/>
      <c r="M185" s="211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38"/>
      <c r="I186" s="213"/>
      <c r="J186" s="213"/>
      <c r="K186" s="213"/>
      <c r="L186" s="212"/>
      <c r="M186" s="211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8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38"/>
      <c r="I192" s="213"/>
      <c r="J192" s="213"/>
      <c r="K192" s="213"/>
      <c r="L192" s="212"/>
      <c r="M192" s="211"/>
      <c r="N192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17"/>
      <c r="D200" s="215"/>
      <c r="E200" s="215"/>
      <c r="F200" s="213"/>
      <c r="G200" s="215"/>
      <c r="H200" s="214"/>
      <c r="I200" s="213"/>
      <c r="J200" s="213"/>
      <c r="K200" s="213"/>
      <c r="L200" s="212"/>
      <c r="M200" s="211"/>
      <c r="N200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38"/>
      <c r="I203" s="213"/>
      <c r="J203" s="213"/>
      <c r="K203" s="213"/>
      <c r="L203" s="212"/>
      <c r="M203" s="211"/>
      <c r="N203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38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38"/>
      <c r="I209" s="213"/>
      <c r="J209" s="213"/>
      <c r="K209" s="213"/>
      <c r="L209" s="212"/>
      <c r="M209" s="211"/>
      <c r="N209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37"/>
      <c r="I212" s="213"/>
      <c r="J212" s="213"/>
      <c r="K212" s="213"/>
      <c r="L212" s="212"/>
      <c r="M212" s="211"/>
      <c r="N212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17"/>
      <c r="D215" s="215"/>
      <c r="E215" s="215"/>
      <c r="F215" s="213"/>
      <c r="G215" s="215"/>
      <c r="H215" s="214"/>
      <c r="I215" s="213"/>
      <c r="J215" s="213"/>
      <c r="K215" s="213"/>
      <c r="L215" s="212"/>
      <c r="M215" s="211"/>
      <c r="N215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F223" s="213"/>
      <c r="H223" s="214"/>
      <c r="I223" s="213"/>
      <c r="J223" s="213"/>
      <c r="K223" s="213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17"/>
      <c r="D226" s="215"/>
      <c r="E226" s="215"/>
      <c r="F226" s="213"/>
      <c r="G226" s="215"/>
      <c r="H226" s="214"/>
      <c r="I226" s="213"/>
      <c r="J226" s="213"/>
      <c r="K226" s="213"/>
      <c r="L226" s="212"/>
      <c r="M226" s="211"/>
      <c r="N226" s="210"/>
    </row>
    <row r="227" spans="2:14" x14ac:dyDescent="0.2">
      <c r="B227" s="217"/>
      <c r="D227" s="215"/>
      <c r="E227" s="215"/>
      <c r="F227" s="213"/>
      <c r="G227" s="215"/>
      <c r="H227" s="214"/>
      <c r="I227" s="213"/>
      <c r="J227" s="213"/>
      <c r="K227" s="213"/>
      <c r="L227" s="212"/>
      <c r="M227" s="211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17"/>
      <c r="D230" s="215"/>
      <c r="E230" s="215"/>
      <c r="F230" s="213"/>
      <c r="G230" s="215"/>
      <c r="H230" s="214"/>
      <c r="I230" s="213"/>
      <c r="J230" s="213"/>
      <c r="K230" s="213"/>
      <c r="L230" s="212"/>
      <c r="M230" s="211"/>
      <c r="N230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F238" s="213"/>
      <c r="H238" s="214"/>
      <c r="I238" s="213"/>
      <c r="J238" s="213"/>
      <c r="K238" s="213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F242" s="213"/>
      <c r="G242" s="213"/>
      <c r="H242" s="214"/>
      <c r="I242" s="213"/>
      <c r="J242" s="213"/>
      <c r="K242" s="213"/>
    </row>
    <row r="243" spans="2:14" x14ac:dyDescent="0.2">
      <c r="G243" s="213"/>
      <c r="H243" s="214"/>
      <c r="I243" s="213"/>
      <c r="J243" s="213"/>
      <c r="K243" s="213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22"/>
      <c r="I245" s="220"/>
      <c r="J245" s="221"/>
      <c r="K245" s="220"/>
      <c r="L245" s="219"/>
      <c r="M245" s="218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3"/>
      <c r="I247" s="213"/>
      <c r="J247" s="213"/>
      <c r="K247" s="213"/>
      <c r="L247" s="212"/>
      <c r="M247" s="211"/>
      <c r="N247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14"/>
      <c r="I250" s="213"/>
      <c r="J250" s="213"/>
      <c r="K250" s="213"/>
      <c r="L250" s="212"/>
      <c r="M250" s="211"/>
      <c r="N250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11"/>
      <c r="N261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3"/>
      <c r="I266" s="213"/>
      <c r="J266" s="213"/>
      <c r="K266" s="213"/>
      <c r="L266" s="212"/>
      <c r="M266" s="211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14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0"/>
      <c r="J274" s="221"/>
      <c r="K274" s="220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14"/>
      <c r="I278" s="213"/>
      <c r="J278" s="213"/>
      <c r="K278" s="213"/>
      <c r="L278" s="212"/>
      <c r="M278" s="211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16"/>
      <c r="D288" s="215"/>
      <c r="E288" s="215"/>
      <c r="F288" s="213"/>
      <c r="G288" s="215"/>
      <c r="H288" s="214"/>
      <c r="I288" s="213"/>
      <c r="J288" s="213"/>
      <c r="K288" s="213"/>
      <c r="L288" s="212"/>
      <c r="M288" s="211"/>
      <c r="N288" s="210"/>
    </row>
    <row r="289" spans="2:14" x14ac:dyDescent="0.2">
      <c r="B289" s="217"/>
      <c r="C289" s="216"/>
      <c r="D289" s="215"/>
      <c r="E289" s="215"/>
      <c r="F289" s="213"/>
      <c r="G289" s="215"/>
      <c r="H289" s="214"/>
      <c r="I289" s="213"/>
      <c r="J289" s="213"/>
      <c r="K289" s="213"/>
      <c r="L289" s="212"/>
      <c r="M289" s="211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17"/>
      <c r="C297" s="216"/>
      <c r="D297" s="215"/>
      <c r="E297" s="215"/>
      <c r="F297" s="213"/>
      <c r="G297" s="215"/>
      <c r="H297" s="214"/>
      <c r="I297" s="213"/>
      <c r="J297" s="213"/>
      <c r="K297" s="213"/>
      <c r="L297" s="212"/>
      <c r="M297" s="211"/>
      <c r="N297" s="210"/>
    </row>
    <row r="298" spans="2:14" x14ac:dyDescent="0.2">
      <c r="B298" s="217"/>
      <c r="C298" s="216"/>
      <c r="D298" s="215"/>
      <c r="E298" s="215"/>
      <c r="F298" s="213"/>
      <c r="G298" s="215"/>
      <c r="H298" s="214"/>
      <c r="I298" s="213"/>
      <c r="J298" s="213"/>
      <c r="K298" s="213"/>
      <c r="L298" s="212"/>
      <c r="M298" s="211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F303" s="213"/>
      <c r="H303" s="212"/>
      <c r="I303" s="213"/>
      <c r="J303" s="213"/>
      <c r="K303" s="213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36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36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2"/>
      <c r="I310" s="213"/>
      <c r="J310" s="213"/>
      <c r="K310" s="213"/>
      <c r="L310" s="212"/>
      <c r="M310" s="236"/>
      <c r="N310" s="210"/>
    </row>
    <row r="311" spans="2:14" x14ac:dyDescent="0.2">
      <c r="B311" s="217"/>
      <c r="C311" s="216"/>
      <c r="D311" s="215"/>
      <c r="E311" s="215"/>
      <c r="F311" s="213"/>
      <c r="G311" s="215"/>
      <c r="H311" s="214"/>
      <c r="I311" s="213"/>
      <c r="J311" s="213"/>
      <c r="K311" s="213"/>
      <c r="L311" s="212"/>
      <c r="M311" s="236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26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26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17"/>
      <c r="C325" s="216"/>
      <c r="D325" s="215"/>
      <c r="E325" s="215"/>
      <c r="F325" s="213"/>
      <c r="G325" s="215"/>
      <c r="H325" s="214"/>
      <c r="I325" s="213"/>
      <c r="J325" s="213"/>
      <c r="K325" s="213"/>
      <c r="L325" s="212"/>
      <c r="M325" s="211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27"/>
      <c r="J326" s="228"/>
      <c r="K326" s="227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36"/>
      <c r="N338" s="210"/>
    </row>
    <row r="339" spans="2:14" x14ac:dyDescent="0.2">
      <c r="B339" s="217"/>
      <c r="C339" s="216"/>
      <c r="D339" s="215"/>
      <c r="E339" s="215"/>
      <c r="F339" s="213"/>
      <c r="G339" s="215"/>
      <c r="H339" s="214"/>
      <c r="I339" s="213"/>
      <c r="J339" s="213"/>
      <c r="K339" s="213"/>
      <c r="L339" s="212"/>
      <c r="M339" s="236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26"/>
      <c r="C344" s="225"/>
      <c r="D344" s="223"/>
      <c r="E344" s="223"/>
      <c r="F344" s="224"/>
      <c r="G344" s="223"/>
      <c r="H344" s="222"/>
      <c r="I344" s="220"/>
      <c r="J344" s="221"/>
      <c r="K344" s="220"/>
      <c r="L344" s="219"/>
      <c r="M344" s="218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36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36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26"/>
      <c r="C350" s="225"/>
      <c r="D350" s="223"/>
      <c r="E350" s="223"/>
      <c r="F350" s="224"/>
      <c r="G350" s="223"/>
      <c r="H350" s="222"/>
      <c r="I350" s="220"/>
      <c r="J350" s="221"/>
      <c r="K350" s="220"/>
      <c r="L350" s="219"/>
      <c r="M350" s="218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13"/>
      <c r="J351" s="213"/>
      <c r="K351" s="213"/>
      <c r="L351" s="212"/>
      <c r="M351" s="236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36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36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13"/>
      <c r="J356" s="213"/>
      <c r="K356" s="213"/>
      <c r="L356" s="212"/>
      <c r="M356" s="236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26"/>
      <c r="C358" s="225"/>
      <c r="D358" s="223"/>
      <c r="E358" s="223"/>
      <c r="F358" s="224"/>
      <c r="G358" s="223"/>
      <c r="H358" s="222"/>
      <c r="I358" s="220"/>
      <c r="J358" s="221"/>
      <c r="K358" s="220"/>
      <c r="L358" s="219"/>
      <c r="M358" s="218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13"/>
      <c r="J359" s="213"/>
      <c r="K359" s="213"/>
      <c r="L359" s="212"/>
      <c r="M359" s="211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27"/>
      <c r="J360" s="228"/>
      <c r="K360" s="227"/>
      <c r="L360" s="212"/>
      <c r="M360" s="236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35"/>
      <c r="I361" s="213"/>
      <c r="J361" s="213"/>
      <c r="K361" s="213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26"/>
      <c r="C363" s="225"/>
      <c r="D363" s="223"/>
      <c r="E363" s="223"/>
      <c r="F363" s="224"/>
      <c r="G363" s="223"/>
      <c r="H363" s="222"/>
      <c r="I363" s="220"/>
      <c r="J363" s="221"/>
      <c r="K363" s="220"/>
      <c r="L363" s="219"/>
      <c r="M363" s="218"/>
      <c r="N363" s="210"/>
    </row>
    <row r="364" spans="2:14" x14ac:dyDescent="0.2">
      <c r="B364" s="217"/>
      <c r="C364" s="216"/>
      <c r="D364" s="215"/>
      <c r="E364" s="215"/>
      <c r="F364" s="213"/>
      <c r="G364" s="215"/>
      <c r="H364" s="214"/>
      <c r="I364" s="213"/>
      <c r="J364" s="213"/>
      <c r="K364" s="213"/>
      <c r="L364" s="212"/>
      <c r="M364" s="211"/>
      <c r="N364" s="210"/>
    </row>
    <row r="365" spans="2:14" x14ac:dyDescent="0.2">
      <c r="B365" s="217"/>
      <c r="C365" s="216"/>
      <c r="D365" s="215"/>
      <c r="E365" s="215"/>
      <c r="F365" s="213"/>
      <c r="G365" s="215"/>
      <c r="H365" s="235"/>
      <c r="I365" s="213"/>
      <c r="J365" s="213"/>
      <c r="K365" s="213"/>
      <c r="L365" s="212"/>
      <c r="M365" s="211"/>
      <c r="N365" s="210"/>
    </row>
    <row r="366" spans="2:14" x14ac:dyDescent="0.2">
      <c r="B366" s="226"/>
      <c r="C366" s="225"/>
      <c r="D366" s="223"/>
      <c r="E366" s="223"/>
      <c r="F366" s="224"/>
      <c r="G366" s="223"/>
      <c r="H366" s="234"/>
      <c r="I366" s="220"/>
      <c r="J366" s="221"/>
      <c r="K366" s="220"/>
      <c r="L366" s="219"/>
      <c r="M366" s="218"/>
      <c r="N366" s="210"/>
    </row>
    <row r="367" spans="2:14" x14ac:dyDescent="0.2">
      <c r="B367" s="217"/>
      <c r="C367" s="216"/>
      <c r="D367" s="215"/>
      <c r="E367" s="215"/>
      <c r="F367" s="213"/>
      <c r="G367" s="215"/>
      <c r="H367" s="233"/>
      <c r="I367" s="213"/>
      <c r="J367" s="213"/>
      <c r="K367" s="213"/>
      <c r="L367" s="212"/>
      <c r="M367" s="211"/>
      <c r="N367" s="210"/>
    </row>
    <row r="368" spans="2:14" x14ac:dyDescent="0.2">
      <c r="B368" s="217"/>
      <c r="C368" s="216"/>
      <c r="D368" s="215"/>
      <c r="E368" s="215"/>
      <c r="F368" s="213"/>
      <c r="G368" s="215"/>
      <c r="H368" s="231"/>
      <c r="I368" s="213"/>
      <c r="J368" s="213"/>
      <c r="K368" s="213"/>
      <c r="L368" s="212"/>
      <c r="M368" s="211"/>
      <c r="N368" s="210"/>
    </row>
    <row r="369" spans="2:14" x14ac:dyDescent="0.2">
      <c r="B369" s="226"/>
      <c r="C369" s="225"/>
      <c r="D369" s="223"/>
      <c r="E369" s="223"/>
      <c r="F369" s="224"/>
      <c r="G369" s="223"/>
      <c r="H369" s="232"/>
      <c r="I369" s="220"/>
      <c r="J369" s="221"/>
      <c r="K369" s="220"/>
      <c r="L369" s="219"/>
      <c r="M369" s="218"/>
      <c r="N369" s="210"/>
    </row>
    <row r="370" spans="2:14" x14ac:dyDescent="0.2">
      <c r="B370" s="217"/>
      <c r="C370" s="216"/>
      <c r="D370" s="215"/>
      <c r="E370" s="215"/>
      <c r="F370" s="213"/>
      <c r="G370" s="215"/>
      <c r="H370" s="231"/>
      <c r="I370" s="213"/>
      <c r="J370" s="213"/>
      <c r="K370" s="213"/>
      <c r="L370" s="212"/>
      <c r="M370" s="211"/>
      <c r="N370" s="210"/>
    </row>
    <row r="371" spans="2:14" x14ac:dyDescent="0.2">
      <c r="B371" s="217"/>
      <c r="C371" s="216"/>
      <c r="D371" s="215"/>
      <c r="E371" s="215"/>
      <c r="F371" s="213"/>
      <c r="G371" s="215"/>
      <c r="H371" s="231"/>
      <c r="I371" s="213"/>
      <c r="J371" s="213"/>
      <c r="K371" s="213"/>
      <c r="L371" s="212"/>
      <c r="M371" s="211"/>
      <c r="N371" s="210"/>
    </row>
    <row r="372" spans="2:14" x14ac:dyDescent="0.2">
      <c r="B372" s="226"/>
      <c r="C372" s="225"/>
      <c r="D372" s="223"/>
      <c r="E372" s="223"/>
      <c r="F372" s="224"/>
      <c r="G372" s="223"/>
      <c r="H372" s="230"/>
      <c r="I372" s="220"/>
      <c r="J372" s="221"/>
      <c r="K372" s="220"/>
      <c r="L372" s="219"/>
      <c r="M372" s="218"/>
      <c r="N372" s="210"/>
    </row>
    <row r="373" spans="2:14" x14ac:dyDescent="0.2">
      <c r="B373" s="226"/>
      <c r="C373" s="225"/>
      <c r="D373" s="223"/>
      <c r="E373" s="223"/>
      <c r="F373" s="224"/>
      <c r="G373" s="223"/>
      <c r="H373" s="230"/>
      <c r="I373" s="220"/>
      <c r="J373" s="221"/>
      <c r="K373" s="220"/>
      <c r="L373" s="219"/>
      <c r="M373" s="218"/>
      <c r="N373" s="210"/>
    </row>
    <row r="374" spans="2:14" x14ac:dyDescent="0.2">
      <c r="B374" s="217"/>
      <c r="C374" s="216"/>
      <c r="D374" s="215"/>
      <c r="E374" s="215"/>
      <c r="F374" s="213"/>
      <c r="G374" s="215"/>
      <c r="H374" s="229"/>
      <c r="I374" s="213"/>
      <c r="J374" s="213"/>
      <c r="K374" s="213"/>
      <c r="L374" s="212"/>
      <c r="M374" s="211"/>
      <c r="N374" s="210"/>
    </row>
    <row r="375" spans="2:14" x14ac:dyDescent="0.2">
      <c r="B375" s="217"/>
      <c r="C375" s="216"/>
      <c r="D375" s="215"/>
      <c r="E375" s="215"/>
      <c r="F375" s="213"/>
      <c r="G375" s="215"/>
      <c r="H375" s="214"/>
      <c r="I375" s="227"/>
      <c r="J375" s="228"/>
      <c r="K375" s="227"/>
      <c r="L375" s="212"/>
      <c r="M375" s="211"/>
      <c r="N375" s="210"/>
    </row>
    <row r="376" spans="2:14" x14ac:dyDescent="0.2">
      <c r="B376" s="226"/>
      <c r="C376" s="225"/>
      <c r="D376" s="223"/>
      <c r="E376" s="223"/>
      <c r="F376" s="224"/>
      <c r="G376" s="223"/>
      <c r="H376" s="222"/>
      <c r="I376" s="220"/>
      <c r="J376" s="221"/>
      <c r="K376" s="220"/>
      <c r="L376" s="219"/>
      <c r="M376" s="218"/>
      <c r="N376" s="210"/>
    </row>
    <row r="377" spans="2:14" x14ac:dyDescent="0.2">
      <c r="B377" s="226"/>
      <c r="C377" s="225"/>
      <c r="D377" s="223"/>
      <c r="E377" s="223"/>
      <c r="F377" s="224"/>
      <c r="G377" s="223"/>
      <c r="H377" s="222"/>
      <c r="I377" s="220"/>
      <c r="J377" s="221"/>
      <c r="K377" s="220"/>
      <c r="L377" s="219"/>
      <c r="M377" s="218"/>
      <c r="N377" s="210"/>
    </row>
    <row r="378" spans="2:14" x14ac:dyDescent="0.2">
      <c r="B378" s="226"/>
      <c r="C378" s="225"/>
      <c r="D378" s="223"/>
      <c r="E378" s="223"/>
      <c r="F378" s="224"/>
      <c r="G378" s="223"/>
      <c r="H378" s="222"/>
      <c r="I378" s="220"/>
      <c r="J378" s="221"/>
      <c r="K378" s="220"/>
      <c r="L378" s="219"/>
      <c r="M378" s="218"/>
      <c r="N378" s="210"/>
    </row>
    <row r="379" spans="2:14" x14ac:dyDescent="0.2">
      <c r="B379" s="226"/>
      <c r="C379" s="225"/>
      <c r="D379" s="223"/>
      <c r="E379" s="223"/>
      <c r="F379" s="224"/>
      <c r="G379" s="223"/>
      <c r="H379" s="222"/>
      <c r="I379" s="220"/>
      <c r="J379" s="221"/>
      <c r="K379" s="220"/>
      <c r="L379" s="219"/>
      <c r="M379" s="218"/>
      <c r="N379" s="210"/>
    </row>
    <row r="380" spans="2:14" x14ac:dyDescent="0.2">
      <c r="B380" s="217"/>
      <c r="C380" s="216"/>
      <c r="D380" s="215"/>
      <c r="E380" s="215"/>
      <c r="F380" s="213"/>
      <c r="G380" s="215"/>
      <c r="H380" s="214"/>
      <c r="I380" s="213"/>
      <c r="J380" s="213"/>
      <c r="K380" s="213"/>
      <c r="L380" s="212"/>
      <c r="M380" s="211"/>
      <c r="N380" s="210"/>
    </row>
    <row r="381" spans="2:14" x14ac:dyDescent="0.2">
      <c r="B381" s="217"/>
      <c r="C381" s="216"/>
      <c r="D381" s="215"/>
      <c r="E381" s="215"/>
      <c r="F381" s="213"/>
      <c r="G381" s="215"/>
      <c r="H381" s="214"/>
      <c r="I381" s="227"/>
      <c r="J381" s="228"/>
      <c r="K381" s="227"/>
      <c r="L381" s="212"/>
      <c r="M381" s="211"/>
      <c r="N381" s="210"/>
    </row>
    <row r="382" spans="2:14" x14ac:dyDescent="0.2">
      <c r="B382" s="226"/>
      <c r="C382" s="225"/>
      <c r="D382" s="223"/>
      <c r="E382" s="223"/>
      <c r="F382" s="224"/>
      <c r="G382" s="223"/>
      <c r="H382" s="222"/>
      <c r="I382" s="220"/>
      <c r="J382" s="221"/>
      <c r="K382" s="220"/>
      <c r="L382" s="219"/>
      <c r="M382" s="218"/>
      <c r="N382" s="210"/>
    </row>
    <row r="383" spans="2:14" x14ac:dyDescent="0.2">
      <c r="B383" s="226"/>
      <c r="C383" s="225"/>
      <c r="D383" s="223"/>
      <c r="E383" s="223"/>
      <c r="F383" s="224"/>
      <c r="G383" s="223"/>
      <c r="H383" s="222"/>
      <c r="I383" s="220"/>
      <c r="J383" s="221"/>
      <c r="K383" s="220"/>
      <c r="L383" s="219"/>
      <c r="M383" s="218"/>
      <c r="N383" s="210"/>
    </row>
    <row r="384" spans="2:14" x14ac:dyDescent="0.2">
      <c r="B384" s="226"/>
      <c r="C384" s="225"/>
      <c r="D384" s="223"/>
      <c r="E384" s="223"/>
      <c r="F384" s="224"/>
      <c r="G384" s="223"/>
      <c r="H384" s="222"/>
      <c r="I384" s="220"/>
      <c r="J384" s="221"/>
      <c r="K384" s="220"/>
      <c r="L384" s="219"/>
      <c r="M384" s="218"/>
      <c r="N384" s="210"/>
    </row>
    <row r="385" spans="2:14" x14ac:dyDescent="0.2">
      <c r="B385" s="226"/>
      <c r="C385" s="225"/>
      <c r="D385" s="223"/>
      <c r="E385" s="223"/>
      <c r="F385" s="224"/>
      <c r="G385" s="223"/>
      <c r="H385" s="222"/>
      <c r="I385" s="220"/>
      <c r="J385" s="221"/>
      <c r="K385" s="220"/>
      <c r="L385" s="219"/>
      <c r="M385" s="218"/>
      <c r="N385" s="210"/>
    </row>
    <row r="386" spans="2:14" x14ac:dyDescent="0.2">
      <c r="B386" s="226"/>
      <c r="C386" s="225"/>
      <c r="D386" s="223"/>
      <c r="E386" s="223"/>
      <c r="F386" s="224"/>
      <c r="G386" s="223"/>
      <c r="H386" s="222"/>
      <c r="I386" s="220"/>
      <c r="J386" s="221"/>
      <c r="K386" s="220"/>
      <c r="L386" s="219"/>
      <c r="M386" s="218"/>
      <c r="N386" s="210"/>
    </row>
    <row r="387" spans="2:14" x14ac:dyDescent="0.2">
      <c r="B387" s="226"/>
      <c r="C387" s="225"/>
      <c r="D387" s="223"/>
      <c r="E387" s="223"/>
      <c r="F387" s="224"/>
      <c r="G387" s="223"/>
      <c r="H387" s="222"/>
      <c r="I387" s="220"/>
      <c r="J387" s="221"/>
      <c r="K387" s="220"/>
      <c r="L387" s="219"/>
      <c r="M387" s="218"/>
      <c r="N387" s="210"/>
    </row>
    <row r="388" spans="2:14" x14ac:dyDescent="0.2">
      <c r="B388" s="226"/>
      <c r="C388" s="225"/>
      <c r="D388" s="223"/>
      <c r="E388" s="223"/>
      <c r="F388" s="224"/>
      <c r="G388" s="223"/>
      <c r="H388" s="222"/>
      <c r="I388" s="220"/>
      <c r="J388" s="221"/>
      <c r="K388" s="220"/>
      <c r="L388" s="219"/>
      <c r="M388" s="218"/>
      <c r="N388" s="210"/>
    </row>
    <row r="389" spans="2:14" x14ac:dyDescent="0.2">
      <c r="B389" s="226"/>
      <c r="C389" s="225"/>
      <c r="D389" s="223"/>
      <c r="E389" s="223"/>
      <c r="F389" s="224"/>
      <c r="G389" s="223"/>
      <c r="H389" s="222"/>
      <c r="I389" s="220"/>
      <c r="J389" s="221"/>
      <c r="K389" s="220"/>
      <c r="L389" s="219"/>
      <c r="M389" s="218"/>
      <c r="N389" s="210"/>
    </row>
    <row r="390" spans="2:14" x14ac:dyDescent="0.2">
      <c r="B390" s="226"/>
      <c r="C390" s="225"/>
      <c r="D390" s="223"/>
      <c r="E390" s="223"/>
      <c r="F390" s="224"/>
      <c r="G390" s="223"/>
      <c r="H390" s="222"/>
      <c r="I390" s="220"/>
      <c r="J390" s="221"/>
      <c r="K390" s="220"/>
      <c r="L390" s="219"/>
      <c r="M390" s="218"/>
      <c r="N390" s="210"/>
    </row>
    <row r="391" spans="2:14" x14ac:dyDescent="0.2">
      <c r="B391" s="226"/>
      <c r="C391" s="225"/>
      <c r="D391" s="223"/>
      <c r="E391" s="223"/>
      <c r="F391" s="224"/>
      <c r="G391" s="223"/>
      <c r="H391" s="222"/>
      <c r="I391" s="220"/>
      <c r="J391" s="221"/>
      <c r="K391" s="220"/>
      <c r="L391" s="219"/>
      <c r="M391" s="218"/>
      <c r="N391" s="210"/>
    </row>
    <row r="392" spans="2:14" x14ac:dyDescent="0.2">
      <c r="B392" s="226"/>
      <c r="C392" s="225"/>
      <c r="D392" s="223"/>
      <c r="E392" s="223"/>
      <c r="F392" s="224"/>
      <c r="G392" s="223"/>
      <c r="H392" s="222"/>
      <c r="I392" s="220"/>
      <c r="J392" s="221"/>
      <c r="K392" s="220"/>
      <c r="L392" s="219"/>
      <c r="M392" s="218"/>
      <c r="N392" s="210"/>
    </row>
    <row r="393" spans="2:14" x14ac:dyDescent="0.2">
      <c r="B393" s="226"/>
      <c r="C393" s="225"/>
      <c r="D393" s="223"/>
      <c r="E393" s="223"/>
      <c r="F393" s="224"/>
      <c r="G393" s="223"/>
      <c r="H393" s="222"/>
      <c r="I393" s="220"/>
      <c r="J393" s="221"/>
      <c r="K393" s="220"/>
      <c r="L393" s="219"/>
      <c r="M393" s="218"/>
      <c r="N393" s="210"/>
    </row>
    <row r="394" spans="2:14" x14ac:dyDescent="0.2">
      <c r="B394" s="226"/>
      <c r="C394" s="225"/>
      <c r="D394" s="223"/>
      <c r="E394" s="223"/>
      <c r="F394" s="224"/>
      <c r="G394" s="223"/>
      <c r="H394" s="222"/>
      <c r="I394" s="220"/>
      <c r="J394" s="221"/>
      <c r="K394" s="220"/>
      <c r="L394" s="219"/>
      <c r="M394" s="218"/>
      <c r="N394" s="210"/>
    </row>
    <row r="395" spans="2:14" x14ac:dyDescent="0.2">
      <c r="B395" s="226"/>
      <c r="C395" s="225"/>
      <c r="D395" s="223"/>
      <c r="E395" s="223"/>
      <c r="F395" s="224"/>
      <c r="G395" s="223"/>
      <c r="H395" s="222"/>
      <c r="I395" s="220"/>
      <c r="J395" s="221"/>
      <c r="K395" s="220"/>
      <c r="L395" s="219"/>
      <c r="M395" s="218"/>
      <c r="N395" s="210"/>
    </row>
    <row r="396" spans="2:14" x14ac:dyDescent="0.2">
      <c r="B396" s="226"/>
      <c r="C396" s="225"/>
      <c r="D396" s="223"/>
      <c r="E396" s="223"/>
      <c r="F396" s="224"/>
      <c r="G396" s="223"/>
      <c r="H396" s="222"/>
      <c r="I396" s="220"/>
      <c r="J396" s="221"/>
      <c r="K396" s="220"/>
      <c r="L396" s="219"/>
      <c r="M396" s="218"/>
      <c r="N396" s="210"/>
    </row>
    <row r="397" spans="2:14" x14ac:dyDescent="0.2">
      <c r="B397" s="226"/>
      <c r="C397" s="225"/>
      <c r="D397" s="223"/>
      <c r="E397" s="223"/>
      <c r="F397" s="224"/>
      <c r="G397" s="223"/>
      <c r="H397" s="222"/>
      <c r="I397" s="224"/>
      <c r="J397" s="224"/>
      <c r="K397" s="224"/>
      <c r="L397" s="219"/>
      <c r="M397" s="218"/>
      <c r="N397" s="210"/>
    </row>
    <row r="398" spans="2:14" x14ac:dyDescent="0.2">
      <c r="B398" s="226"/>
      <c r="C398" s="225"/>
      <c r="D398" s="223"/>
      <c r="E398" s="223"/>
      <c r="F398" s="224"/>
      <c r="G398" s="223"/>
      <c r="H398" s="222"/>
      <c r="I398" s="224"/>
      <c r="J398" s="224"/>
      <c r="K398" s="224"/>
      <c r="L398" s="219"/>
      <c r="M398" s="218"/>
      <c r="N398" s="210"/>
    </row>
    <row r="399" spans="2:14" x14ac:dyDescent="0.2">
      <c r="B399" s="226"/>
      <c r="C399" s="225"/>
      <c r="D399" s="223"/>
      <c r="E399" s="223"/>
      <c r="F399" s="224"/>
      <c r="G399" s="223"/>
      <c r="H399" s="222"/>
      <c r="I399" s="220"/>
      <c r="J399" s="221"/>
      <c r="K399" s="220"/>
      <c r="L399" s="219"/>
      <c r="M399" s="218"/>
      <c r="N399" s="210"/>
    </row>
    <row r="400" spans="2:14" x14ac:dyDescent="0.2">
      <c r="B400" s="217"/>
      <c r="C400" s="216"/>
      <c r="D400" s="215"/>
      <c r="E400" s="215"/>
      <c r="F400" s="213"/>
      <c r="G400" s="215"/>
      <c r="H400" s="214"/>
      <c r="I400" s="213"/>
      <c r="J400" s="213"/>
      <c r="K400" s="213"/>
      <c r="L400" s="212"/>
      <c r="M400" s="211"/>
      <c r="N400" s="210"/>
    </row>
    <row r="401" spans="2:14" x14ac:dyDescent="0.2">
      <c r="B401" s="217"/>
      <c r="C401" s="216"/>
      <c r="D401" s="215"/>
      <c r="E401" s="215"/>
      <c r="F401" s="213"/>
      <c r="G401" s="215"/>
      <c r="H401" s="214"/>
      <c r="I401" s="213"/>
      <c r="J401" s="213"/>
      <c r="K401" s="213"/>
      <c r="L401" s="212"/>
      <c r="M401" s="211"/>
      <c r="N401" s="210"/>
    </row>
    <row r="402" spans="2:14" x14ac:dyDescent="0.2">
      <c r="B402" s="226"/>
      <c r="C402" s="225"/>
      <c r="D402" s="223"/>
      <c r="E402" s="223"/>
      <c r="F402" s="224"/>
      <c r="G402" s="223"/>
      <c r="H402" s="222"/>
      <c r="I402" s="220"/>
      <c r="J402" s="221"/>
      <c r="K402" s="220"/>
      <c r="L402" s="219"/>
      <c r="M402" s="218"/>
      <c r="N402" s="210"/>
    </row>
    <row r="403" spans="2:14" x14ac:dyDescent="0.2">
      <c r="B403" s="226"/>
      <c r="C403" s="225"/>
      <c r="D403" s="223"/>
      <c r="E403" s="223"/>
      <c r="F403" s="224"/>
      <c r="G403" s="223"/>
      <c r="H403" s="222"/>
      <c r="I403" s="220"/>
      <c r="J403" s="221"/>
      <c r="K403" s="220"/>
      <c r="L403" s="219"/>
      <c r="M403" s="218"/>
      <c r="N403" s="210"/>
    </row>
    <row r="404" spans="2:14" x14ac:dyDescent="0.2">
      <c r="B404" s="217"/>
      <c r="C404" s="216"/>
      <c r="D404" s="215"/>
      <c r="E404" s="215"/>
      <c r="F404" s="213"/>
      <c r="G404" s="215"/>
      <c r="H404" s="214"/>
      <c r="I404" s="213"/>
      <c r="J404" s="213"/>
      <c r="K404" s="213"/>
      <c r="L404" s="212"/>
      <c r="M404" s="211"/>
      <c r="N404" s="210"/>
    </row>
    <row r="405" spans="2:14" x14ac:dyDescent="0.2">
      <c r="B405" s="226"/>
      <c r="C405" s="225"/>
      <c r="D405" s="223"/>
      <c r="E405" s="223"/>
      <c r="F405" s="224"/>
      <c r="G405" s="223"/>
      <c r="H405" s="222"/>
      <c r="I405" s="220"/>
      <c r="J405" s="221"/>
      <c r="K405" s="220"/>
      <c r="L405" s="219"/>
      <c r="M405" s="218"/>
      <c r="N405" s="210"/>
    </row>
    <row r="406" spans="2:14" x14ac:dyDescent="0.2">
      <c r="B406" s="226"/>
      <c r="C406" s="225"/>
      <c r="D406" s="223"/>
      <c r="E406" s="223"/>
      <c r="F406" s="224"/>
      <c r="G406" s="223"/>
      <c r="H406" s="222"/>
      <c r="I406" s="220"/>
      <c r="J406" s="221"/>
      <c r="K406" s="220"/>
      <c r="L406" s="219"/>
      <c r="M406" s="218"/>
      <c r="N406" s="210"/>
    </row>
    <row r="407" spans="2:14" x14ac:dyDescent="0.2">
      <c r="B407" s="226"/>
      <c r="C407" s="225"/>
      <c r="D407" s="223"/>
      <c r="E407" s="223"/>
      <c r="F407" s="224"/>
      <c r="G407" s="223"/>
      <c r="H407" s="222"/>
      <c r="I407" s="220"/>
      <c r="J407" s="221"/>
      <c r="K407" s="220"/>
      <c r="L407" s="219"/>
      <c r="M407" s="218"/>
      <c r="N407" s="210"/>
    </row>
    <row r="408" spans="2:14" x14ac:dyDescent="0.2">
      <c r="B408" s="217"/>
      <c r="C408" s="216"/>
      <c r="D408" s="215"/>
      <c r="E408" s="215"/>
      <c r="F408" s="213"/>
      <c r="G408" s="215"/>
      <c r="H408" s="214"/>
      <c r="I408" s="213"/>
      <c r="J408" s="213"/>
      <c r="K408" s="213"/>
      <c r="L408" s="212"/>
      <c r="M408" s="211"/>
      <c r="N408" s="210"/>
    </row>
    <row r="409" spans="2:14" x14ac:dyDescent="0.2">
      <c r="B409" s="217"/>
      <c r="C409" s="216"/>
      <c r="D409" s="215"/>
      <c r="E409" s="215"/>
      <c r="F409" s="213"/>
      <c r="G409" s="215"/>
      <c r="H409" s="214"/>
      <c r="I409" s="213"/>
      <c r="J409" s="213"/>
      <c r="K409" s="213"/>
      <c r="L409" s="212"/>
      <c r="M409" s="211"/>
      <c r="N409" s="210"/>
    </row>
    <row r="410" spans="2:14" x14ac:dyDescent="0.2">
      <c r="B410" s="217"/>
      <c r="C410" s="225"/>
      <c r="D410" s="223"/>
      <c r="E410" s="223"/>
      <c r="F410" s="224"/>
      <c r="G410" s="223"/>
      <c r="H410" s="222"/>
      <c r="I410" s="220"/>
      <c r="J410" s="221"/>
      <c r="K410" s="220"/>
      <c r="L410" s="219"/>
      <c r="M410" s="218"/>
      <c r="N410" s="210"/>
    </row>
    <row r="411" spans="2:14" x14ac:dyDescent="0.2">
      <c r="B411" s="217"/>
      <c r="C411" s="225"/>
      <c r="D411" s="223"/>
      <c r="E411" s="223"/>
      <c r="F411" s="224"/>
      <c r="G411" s="223"/>
      <c r="H411" s="222"/>
      <c r="I411" s="220"/>
      <c r="J411" s="221"/>
      <c r="K411" s="220"/>
      <c r="L411" s="219"/>
      <c r="M411" s="218"/>
      <c r="N411" s="210"/>
    </row>
    <row r="412" spans="2:14" x14ac:dyDescent="0.2">
      <c r="B412" s="217"/>
      <c r="C412" s="225"/>
      <c r="D412" s="223"/>
      <c r="E412" s="223"/>
      <c r="F412" s="224"/>
      <c r="G412" s="223"/>
      <c r="H412" s="222"/>
      <c r="I412" s="220"/>
      <c r="J412" s="221"/>
      <c r="K412" s="220"/>
      <c r="L412" s="219"/>
      <c r="M412" s="218"/>
      <c r="N412" s="210"/>
    </row>
    <row r="413" spans="2:14" x14ac:dyDescent="0.2">
      <c r="B413" s="226"/>
      <c r="C413" s="225"/>
      <c r="D413" s="223"/>
      <c r="E413" s="223"/>
      <c r="F413" s="224"/>
      <c r="G413" s="223"/>
      <c r="H413" s="222"/>
      <c r="I413" s="220"/>
      <c r="J413" s="221"/>
      <c r="K413" s="220"/>
      <c r="L413" s="219"/>
      <c r="M413" s="218"/>
      <c r="N413" s="210"/>
    </row>
    <row r="414" spans="2:14" x14ac:dyDescent="0.2">
      <c r="B414" s="217"/>
      <c r="C414" s="216"/>
      <c r="D414" s="215"/>
      <c r="E414" s="215"/>
      <c r="F414" s="213"/>
      <c r="G414" s="215"/>
      <c r="H414" s="214"/>
      <c r="I414" s="213"/>
      <c r="J414" s="213"/>
      <c r="K414" s="213"/>
      <c r="L414" s="212"/>
      <c r="M414" s="211"/>
      <c r="N414" s="210"/>
    </row>
    <row r="415" spans="2:14" x14ac:dyDescent="0.2">
      <c r="B415" s="226"/>
      <c r="C415" s="225"/>
      <c r="D415" s="223"/>
      <c r="E415" s="223"/>
      <c r="F415" s="224"/>
      <c r="G415" s="223"/>
      <c r="H415" s="222"/>
      <c r="I415" s="220"/>
      <c r="J415" s="221"/>
      <c r="K415" s="220"/>
      <c r="L415" s="219"/>
      <c r="M415" s="218"/>
      <c r="N415" s="210"/>
    </row>
    <row r="416" spans="2:14" x14ac:dyDescent="0.2">
      <c r="B416" s="226"/>
      <c r="C416" s="225"/>
      <c r="D416" s="223"/>
      <c r="E416" s="223"/>
      <c r="F416" s="224"/>
      <c r="G416" s="223"/>
      <c r="H416" s="222"/>
      <c r="I416" s="220"/>
      <c r="J416" s="221"/>
      <c r="K416" s="220"/>
      <c r="L416" s="219"/>
      <c r="M416" s="218"/>
      <c r="N416" s="210"/>
    </row>
    <row r="417" spans="2:14" x14ac:dyDescent="0.2">
      <c r="B417" s="217"/>
      <c r="C417" s="216"/>
      <c r="D417" s="215"/>
      <c r="E417" s="215"/>
      <c r="F417" s="213"/>
      <c r="G417" s="215"/>
      <c r="H417" s="214"/>
      <c r="I417" s="213"/>
      <c r="J417" s="213"/>
      <c r="K417" s="213"/>
      <c r="L417" s="212"/>
      <c r="M417" s="211"/>
      <c r="N417" s="210"/>
    </row>
    <row r="418" spans="2:14" x14ac:dyDescent="0.2">
      <c r="B418" s="217"/>
      <c r="C418" s="216"/>
      <c r="D418" s="215"/>
      <c r="E418" s="215"/>
      <c r="F418" s="213"/>
      <c r="G418" s="215"/>
      <c r="H418" s="214"/>
      <c r="I418" s="213"/>
      <c r="J418" s="213"/>
      <c r="K418" s="213"/>
      <c r="L418" s="212"/>
      <c r="M418" s="211"/>
      <c r="N418" s="210"/>
    </row>
    <row r="419" spans="2:14" x14ac:dyDescent="0.2">
      <c r="B419" s="226"/>
      <c r="C419" s="225"/>
      <c r="D419" s="223"/>
      <c r="E419" s="223"/>
      <c r="F419" s="224"/>
      <c r="G419" s="223"/>
      <c r="H419" s="222"/>
      <c r="I419" s="220"/>
      <c r="J419" s="221"/>
      <c r="K419" s="220"/>
      <c r="L419" s="219"/>
      <c r="M419" s="218"/>
      <c r="N419" s="210"/>
    </row>
    <row r="420" spans="2:14" x14ac:dyDescent="0.2">
      <c r="B420" s="217"/>
      <c r="C420" s="216"/>
      <c r="D420" s="215"/>
      <c r="E420" s="215"/>
      <c r="F420" s="213"/>
      <c r="G420" s="215"/>
      <c r="H420" s="214"/>
      <c r="I420" s="213"/>
      <c r="J420" s="213"/>
      <c r="K420" s="213"/>
      <c r="L420" s="212"/>
      <c r="M420" s="211"/>
      <c r="N420" s="210"/>
    </row>
    <row r="421" spans="2:14" x14ac:dyDescent="0.2">
      <c r="B421" s="226"/>
      <c r="C421" s="225"/>
      <c r="D421" s="223"/>
      <c r="E421" s="223"/>
      <c r="F421" s="224"/>
      <c r="G421" s="223"/>
      <c r="H421" s="222"/>
      <c r="I421" s="220"/>
      <c r="J421" s="221"/>
      <c r="K421" s="220"/>
      <c r="L421" s="219"/>
      <c r="M421" s="218"/>
      <c r="N421" s="210"/>
    </row>
    <row r="422" spans="2:14" x14ac:dyDescent="0.2">
      <c r="B422" s="226"/>
      <c r="C422" s="225"/>
      <c r="D422" s="223"/>
      <c r="E422" s="223"/>
      <c r="F422" s="224"/>
      <c r="G422" s="223"/>
      <c r="H422" s="222"/>
      <c r="I422" s="220"/>
      <c r="J422" s="221"/>
      <c r="K422" s="220"/>
      <c r="L422" s="219"/>
      <c r="M422" s="218"/>
      <c r="N422" s="210"/>
    </row>
    <row r="423" spans="2:14" x14ac:dyDescent="0.2">
      <c r="B423" s="226"/>
      <c r="C423" s="225"/>
      <c r="D423" s="223"/>
      <c r="E423" s="223"/>
      <c r="F423" s="224"/>
      <c r="G423" s="223"/>
      <c r="H423" s="222"/>
      <c r="I423" s="220"/>
      <c r="J423" s="221"/>
      <c r="K423" s="220"/>
      <c r="L423" s="219"/>
      <c r="M423" s="218"/>
      <c r="N423" s="210"/>
    </row>
    <row r="424" spans="2:14" x14ac:dyDescent="0.2">
      <c r="B424" s="217"/>
      <c r="C424" s="216"/>
      <c r="D424" s="215"/>
      <c r="E424" s="215"/>
      <c r="F424" s="213"/>
      <c r="G424" s="215"/>
      <c r="H424" s="214"/>
      <c r="I424" s="213"/>
      <c r="J424" s="213"/>
      <c r="K424" s="213"/>
      <c r="L424" s="212"/>
      <c r="M424" s="211"/>
      <c r="N424" s="210"/>
    </row>
    <row r="425" spans="2:14" x14ac:dyDescent="0.2">
      <c r="B425" s="226"/>
      <c r="C425" s="225"/>
      <c r="D425" s="223"/>
      <c r="E425" s="223"/>
      <c r="F425" s="224"/>
      <c r="G425" s="223"/>
      <c r="H425" s="222"/>
      <c r="I425" s="220"/>
      <c r="J425" s="221"/>
      <c r="K425" s="220"/>
      <c r="L425" s="219"/>
      <c r="M425" s="218"/>
      <c r="N425" s="210"/>
    </row>
    <row r="426" spans="2:14" x14ac:dyDescent="0.2">
      <c r="B426" s="226"/>
      <c r="C426" s="225"/>
      <c r="D426" s="223"/>
      <c r="E426" s="223"/>
      <c r="F426" s="224"/>
      <c r="G426" s="223"/>
      <c r="H426" s="222"/>
      <c r="I426" s="220"/>
      <c r="J426" s="221"/>
      <c r="K426" s="220"/>
      <c r="L426" s="219"/>
      <c r="M426" s="218"/>
      <c r="N426" s="210"/>
    </row>
    <row r="427" spans="2:14" x14ac:dyDescent="0.2">
      <c r="B427" s="226"/>
      <c r="C427" s="225"/>
      <c r="D427" s="223"/>
      <c r="E427" s="223"/>
      <c r="F427" s="224"/>
      <c r="G427" s="223"/>
      <c r="H427" s="222"/>
      <c r="I427" s="220"/>
      <c r="J427" s="221"/>
      <c r="K427" s="220"/>
      <c r="L427" s="219"/>
      <c r="M427" s="218"/>
      <c r="N427" s="210"/>
    </row>
    <row r="428" spans="2:14" x14ac:dyDescent="0.2">
      <c r="B428" s="226"/>
      <c r="C428" s="225"/>
      <c r="D428" s="223"/>
      <c r="E428" s="223"/>
      <c r="F428" s="224"/>
      <c r="G428" s="223"/>
      <c r="H428" s="222"/>
      <c r="I428" s="220"/>
      <c r="J428" s="221"/>
      <c r="K428" s="220"/>
      <c r="L428" s="219"/>
      <c r="M428" s="218"/>
      <c r="N428" s="210"/>
    </row>
    <row r="429" spans="2:14" x14ac:dyDescent="0.2">
      <c r="B429" s="226"/>
      <c r="C429" s="225"/>
      <c r="D429" s="223"/>
      <c r="E429" s="223"/>
      <c r="F429" s="224"/>
      <c r="G429" s="223"/>
      <c r="H429" s="222"/>
      <c r="I429" s="220"/>
      <c r="J429" s="221"/>
      <c r="K429" s="220"/>
      <c r="L429" s="219"/>
      <c r="M429" s="218"/>
      <c r="N429" s="210"/>
    </row>
    <row r="430" spans="2:14" x14ac:dyDescent="0.2">
      <c r="B430" s="226"/>
      <c r="C430" s="225"/>
      <c r="D430" s="223"/>
      <c r="E430" s="223"/>
      <c r="F430" s="224"/>
      <c r="G430" s="223"/>
      <c r="H430" s="222"/>
      <c r="I430" s="220"/>
      <c r="J430" s="221"/>
      <c r="K430" s="220"/>
      <c r="L430" s="219"/>
      <c r="M430" s="218"/>
      <c r="N430" s="210"/>
    </row>
    <row r="431" spans="2:14" x14ac:dyDescent="0.2">
      <c r="B431" s="217"/>
      <c r="C431" s="216"/>
      <c r="D431" s="215"/>
      <c r="E431" s="215"/>
      <c r="F431" s="213"/>
      <c r="G431" s="215"/>
      <c r="H431" s="214"/>
      <c r="I431" s="213"/>
      <c r="J431" s="213"/>
      <c r="K431" s="213"/>
      <c r="L431" s="212"/>
      <c r="M431" s="211"/>
      <c r="N431" s="210"/>
    </row>
    <row r="432" spans="2:14" x14ac:dyDescent="0.2">
      <c r="B432" s="226"/>
      <c r="C432" s="225"/>
      <c r="D432" s="223"/>
      <c r="E432" s="223"/>
      <c r="F432" s="224"/>
      <c r="G432" s="223"/>
      <c r="H432" s="222"/>
      <c r="I432" s="220"/>
      <c r="J432" s="221"/>
      <c r="K432" s="220"/>
      <c r="L432" s="219"/>
      <c r="M432" s="218"/>
      <c r="N432" s="210"/>
    </row>
    <row r="433" spans="2:14" x14ac:dyDescent="0.2">
      <c r="B433" s="226"/>
      <c r="C433" s="225"/>
      <c r="D433" s="223"/>
      <c r="E433" s="223"/>
      <c r="F433" s="224"/>
      <c r="G433" s="223"/>
      <c r="H433" s="222"/>
      <c r="I433" s="220"/>
      <c r="J433" s="221"/>
      <c r="K433" s="220"/>
      <c r="L433" s="219"/>
      <c r="M433" s="218"/>
      <c r="N433" s="210"/>
    </row>
    <row r="434" spans="2:14" x14ac:dyDescent="0.2">
      <c r="B434" s="217"/>
      <c r="C434" s="216"/>
      <c r="D434" s="215"/>
      <c r="E434" s="215"/>
      <c r="F434" s="213"/>
      <c r="G434" s="215"/>
      <c r="H434" s="214"/>
      <c r="I434" s="213"/>
      <c r="J434" s="213"/>
      <c r="K434" s="213"/>
      <c r="L434" s="212"/>
      <c r="M434" s="211"/>
      <c r="N434" s="210"/>
    </row>
    <row r="435" spans="2:14" x14ac:dyDescent="0.2">
      <c r="B435" s="226"/>
      <c r="C435" s="225"/>
      <c r="D435" s="223"/>
      <c r="E435" s="223"/>
      <c r="F435" s="224"/>
      <c r="G435" s="223"/>
      <c r="H435" s="222"/>
      <c r="I435" s="220"/>
      <c r="J435" s="221"/>
      <c r="K435" s="220"/>
      <c r="L435" s="219"/>
      <c r="M435" s="218"/>
      <c r="N435" s="210"/>
    </row>
    <row r="436" spans="2:14" x14ac:dyDescent="0.2">
      <c r="B436" s="226"/>
      <c r="C436" s="225"/>
      <c r="D436" s="223"/>
      <c r="E436" s="223"/>
      <c r="F436" s="224"/>
      <c r="G436" s="223"/>
      <c r="H436" s="222"/>
      <c r="I436" s="220"/>
      <c r="J436" s="221"/>
      <c r="K436" s="220"/>
      <c r="L436" s="219"/>
      <c r="M436" s="218"/>
      <c r="N436" s="210"/>
    </row>
    <row r="437" spans="2:14" x14ac:dyDescent="0.2">
      <c r="B437" s="217"/>
      <c r="C437" s="216"/>
      <c r="D437" s="215"/>
      <c r="E437" s="215"/>
      <c r="F437" s="213"/>
      <c r="G437" s="215"/>
      <c r="H437" s="214"/>
      <c r="I437" s="213"/>
      <c r="J437" s="213"/>
      <c r="K437" s="213"/>
      <c r="L437" s="212"/>
      <c r="M437" s="211"/>
      <c r="N437" s="210"/>
    </row>
    <row r="438" spans="2:14" x14ac:dyDescent="0.2">
      <c r="B438" s="217"/>
      <c r="C438" s="216"/>
      <c r="D438" s="215"/>
      <c r="E438" s="215"/>
      <c r="F438" s="213"/>
      <c r="G438" s="215"/>
      <c r="H438" s="214"/>
      <c r="I438" s="227"/>
      <c r="J438" s="228"/>
      <c r="K438" s="227"/>
      <c r="L438" s="212"/>
      <c r="M438" s="211"/>
      <c r="N438" s="210"/>
    </row>
    <row r="439" spans="2:14" x14ac:dyDescent="0.2">
      <c r="B439" s="226"/>
      <c r="C439" s="225"/>
      <c r="D439" s="223"/>
      <c r="E439" s="223"/>
      <c r="F439" s="224"/>
      <c r="G439" s="223"/>
      <c r="H439" s="222"/>
      <c r="I439" s="220"/>
      <c r="J439" s="221"/>
      <c r="K439" s="220"/>
      <c r="L439" s="219"/>
      <c r="M439" s="218"/>
      <c r="N439" s="210"/>
    </row>
    <row r="440" spans="2:14" x14ac:dyDescent="0.2">
      <c r="B440" s="217"/>
      <c r="C440" s="216"/>
      <c r="D440" s="215"/>
      <c r="E440" s="215"/>
      <c r="F440" s="213"/>
      <c r="G440" s="215"/>
      <c r="H440" s="214"/>
      <c r="I440" s="213"/>
      <c r="J440" s="213"/>
      <c r="K440" s="213"/>
      <c r="L440" s="212"/>
      <c r="M440" s="211"/>
      <c r="N440" s="210"/>
    </row>
    <row r="441" spans="2:14" x14ac:dyDescent="0.2">
      <c r="B441" s="217"/>
      <c r="C441" s="216"/>
      <c r="D441" s="215"/>
      <c r="E441" s="215"/>
      <c r="F441" s="213"/>
      <c r="G441" s="215"/>
      <c r="H441" s="214"/>
      <c r="I441" s="227"/>
      <c r="J441" s="228"/>
      <c r="K441" s="227"/>
      <c r="L441" s="212"/>
      <c r="M441" s="211"/>
      <c r="N441" s="210"/>
    </row>
    <row r="442" spans="2:14" x14ac:dyDescent="0.2">
      <c r="B442" s="226"/>
      <c r="C442" s="225"/>
      <c r="D442" s="223"/>
      <c r="E442" s="223"/>
      <c r="F442" s="224"/>
      <c r="G442" s="223"/>
      <c r="H442" s="222"/>
      <c r="I442" s="220"/>
      <c r="J442" s="221"/>
      <c r="K442" s="220"/>
      <c r="L442" s="219"/>
      <c r="M442" s="218"/>
      <c r="N442" s="210"/>
    </row>
    <row r="443" spans="2:14" x14ac:dyDescent="0.2">
      <c r="B443" s="217"/>
      <c r="C443" s="216"/>
      <c r="D443" s="215"/>
      <c r="E443" s="215"/>
      <c r="F443" s="213"/>
      <c r="G443" s="215"/>
      <c r="H443" s="214"/>
      <c r="I443" s="213"/>
      <c r="J443" s="213"/>
      <c r="K443" s="213"/>
      <c r="L443" s="212"/>
      <c r="M443" s="211"/>
      <c r="N443" s="210"/>
    </row>
    <row r="444" spans="2:14" x14ac:dyDescent="0.2">
      <c r="B444" s="217"/>
      <c r="C444" s="216"/>
      <c r="D444" s="215"/>
      <c r="E444" s="215"/>
      <c r="F444" s="213"/>
      <c r="G444" s="215"/>
      <c r="H444" s="214"/>
      <c r="I444" s="213"/>
      <c r="J444" s="213"/>
      <c r="K444" s="213"/>
      <c r="L444" s="212"/>
      <c r="M444" s="211"/>
      <c r="N444" s="210"/>
    </row>
    <row r="445" spans="2:14" x14ac:dyDescent="0.2">
      <c r="B445" s="226"/>
      <c r="C445" s="225"/>
      <c r="D445" s="223"/>
      <c r="E445" s="223"/>
      <c r="F445" s="224"/>
      <c r="G445" s="223"/>
      <c r="H445" s="222"/>
      <c r="I445" s="220"/>
      <c r="J445" s="221"/>
      <c r="K445" s="220"/>
      <c r="L445" s="219"/>
      <c r="M445" s="218"/>
      <c r="N445" s="210"/>
    </row>
    <row r="446" spans="2:14" x14ac:dyDescent="0.2">
      <c r="B446" s="217"/>
      <c r="C446" s="216"/>
      <c r="D446" s="215"/>
      <c r="E446" s="215"/>
      <c r="F446" s="213"/>
      <c r="G446" s="215"/>
      <c r="H446" s="214"/>
      <c r="I446" s="213"/>
      <c r="J446" s="213"/>
      <c r="K446" s="213"/>
      <c r="L446" s="212"/>
      <c r="M446" s="211"/>
      <c r="N446" s="210"/>
    </row>
    <row r="447" spans="2:14" x14ac:dyDescent="0.2">
      <c r="B447" s="217"/>
      <c r="C447" s="216"/>
      <c r="D447" s="215"/>
      <c r="E447" s="215"/>
      <c r="F447" s="213"/>
      <c r="G447" s="215"/>
      <c r="H447" s="214"/>
      <c r="I447" s="227"/>
      <c r="J447" s="228"/>
      <c r="K447" s="227"/>
      <c r="L447" s="212"/>
      <c r="M447" s="211"/>
      <c r="N447" s="210"/>
    </row>
    <row r="448" spans="2:14" x14ac:dyDescent="0.2">
      <c r="B448" s="226"/>
      <c r="C448" s="225"/>
      <c r="D448" s="223"/>
      <c r="E448" s="223"/>
      <c r="F448" s="224"/>
      <c r="G448" s="223"/>
      <c r="H448" s="222"/>
      <c r="I448" s="220"/>
      <c r="J448" s="221"/>
      <c r="K448" s="220"/>
      <c r="L448" s="219"/>
      <c r="M448" s="218"/>
      <c r="N448" s="210"/>
    </row>
    <row r="449" spans="2:14" x14ac:dyDescent="0.2">
      <c r="B449" s="226"/>
      <c r="C449" s="225"/>
      <c r="D449" s="223"/>
      <c r="E449" s="223"/>
      <c r="F449" s="224"/>
      <c r="G449" s="223"/>
      <c r="H449" s="222"/>
      <c r="I449" s="220"/>
      <c r="J449" s="221"/>
      <c r="K449" s="220"/>
      <c r="L449" s="219"/>
      <c r="M449" s="218"/>
      <c r="N449" s="210"/>
    </row>
    <row r="450" spans="2:14" x14ac:dyDescent="0.2">
      <c r="B450" s="226"/>
      <c r="C450" s="225"/>
      <c r="D450" s="223"/>
      <c r="E450" s="223"/>
      <c r="F450" s="224"/>
      <c r="G450" s="223"/>
      <c r="H450" s="222"/>
      <c r="I450" s="220"/>
      <c r="J450" s="221"/>
      <c r="K450" s="220"/>
      <c r="L450" s="219"/>
      <c r="M450" s="218"/>
      <c r="N450" s="210"/>
    </row>
    <row r="451" spans="2:14" x14ac:dyDescent="0.2">
      <c r="B451" s="217"/>
      <c r="C451" s="216"/>
      <c r="D451" s="215"/>
      <c r="E451" s="215"/>
      <c r="F451" s="213"/>
      <c r="G451" s="215"/>
      <c r="H451" s="214"/>
      <c r="I451" s="213"/>
      <c r="J451" s="213"/>
      <c r="K451" s="213"/>
      <c r="L451" s="212"/>
      <c r="M451" s="211"/>
      <c r="N451" s="210"/>
    </row>
    <row r="452" spans="2:14" x14ac:dyDescent="0.2">
      <c r="B452" s="217"/>
      <c r="C452" s="216"/>
      <c r="D452" s="215"/>
      <c r="E452" s="215"/>
      <c r="F452" s="213"/>
      <c r="G452" s="215"/>
      <c r="H452" s="214"/>
      <c r="I452" s="227"/>
      <c r="J452" s="228"/>
      <c r="K452" s="227"/>
      <c r="L452" s="212"/>
      <c r="M452" s="211"/>
      <c r="N452" s="210"/>
    </row>
    <row r="453" spans="2:14" x14ac:dyDescent="0.2">
      <c r="B453" s="226"/>
      <c r="C453" s="225"/>
      <c r="D453" s="223"/>
      <c r="E453" s="223"/>
      <c r="F453" s="224"/>
      <c r="G453" s="223"/>
      <c r="H453" s="222"/>
      <c r="I453" s="220"/>
      <c r="J453" s="221"/>
      <c r="K453" s="220"/>
      <c r="L453" s="219"/>
      <c r="M453" s="218"/>
      <c r="N453" s="210"/>
    </row>
    <row r="454" spans="2:14" x14ac:dyDescent="0.2">
      <c r="B454" s="217"/>
      <c r="C454" s="216"/>
      <c r="D454" s="215"/>
      <c r="E454" s="215"/>
      <c r="F454" s="213"/>
      <c r="G454" s="215"/>
      <c r="H454" s="214"/>
      <c r="I454" s="213"/>
      <c r="J454" s="213"/>
      <c r="K454" s="213"/>
      <c r="L454" s="212"/>
      <c r="M454" s="211"/>
      <c r="N454" s="210"/>
    </row>
    <row r="455" spans="2:14" x14ac:dyDescent="0.2">
      <c r="B455" s="217"/>
      <c r="C455" s="216"/>
      <c r="D455" s="215"/>
      <c r="E455" s="215"/>
      <c r="F455" s="213"/>
      <c r="G455" s="215"/>
      <c r="H455" s="214"/>
      <c r="I455" s="227"/>
      <c r="J455" s="228"/>
      <c r="K455" s="227"/>
      <c r="L455" s="212"/>
      <c r="M455" s="211"/>
      <c r="N455" s="210"/>
    </row>
    <row r="456" spans="2:14" x14ac:dyDescent="0.2">
      <c r="B456" s="226"/>
      <c r="C456" s="225"/>
      <c r="D456" s="223"/>
      <c r="E456" s="223"/>
      <c r="F456" s="224"/>
      <c r="G456" s="223"/>
      <c r="H456" s="222"/>
      <c r="I456" s="220"/>
      <c r="J456" s="221"/>
      <c r="K456" s="220"/>
      <c r="L456" s="219"/>
      <c r="M456" s="218"/>
      <c r="N456" s="210"/>
    </row>
    <row r="457" spans="2:14" x14ac:dyDescent="0.2">
      <c r="B457" s="217"/>
      <c r="C457" s="216"/>
      <c r="D457" s="215"/>
      <c r="E457" s="215"/>
      <c r="F457" s="213"/>
      <c r="G457" s="215"/>
      <c r="H457" s="214"/>
      <c r="I457" s="213"/>
      <c r="J457" s="213"/>
      <c r="K457" s="213"/>
      <c r="L457" s="212"/>
      <c r="M457" s="211"/>
      <c r="N457" s="210"/>
    </row>
    <row r="458" spans="2:14" x14ac:dyDescent="0.2">
      <c r="B458" s="156"/>
      <c r="C458" s="156"/>
      <c r="D458" s="156"/>
      <c r="E458" s="102"/>
      <c r="F458" s="102"/>
      <c r="G458" s="156"/>
      <c r="H458" s="156"/>
      <c r="I458" s="156"/>
      <c r="J458" s="156"/>
      <c r="K458" s="156"/>
      <c r="L458" s="102"/>
      <c r="M458" s="156"/>
      <c r="N458" s="156"/>
    </row>
    <row r="459" spans="2:14" x14ac:dyDescent="0.2">
      <c r="H459" s="151"/>
    </row>
    <row r="460" spans="2:14" x14ac:dyDescent="0.2">
      <c r="H460" s="151"/>
    </row>
    <row r="462" spans="2:14" x14ac:dyDescent="0.2">
      <c r="H462" s="151"/>
    </row>
    <row r="463" spans="2:14" x14ac:dyDescent="0.2">
      <c r="H463" s="151"/>
    </row>
    <row r="464" spans="2:14" x14ac:dyDescent="0.2">
      <c r="E464" s="32"/>
      <c r="F464" s="32"/>
      <c r="L464" s="155"/>
    </row>
    <row r="465" spans="5:12" x14ac:dyDescent="0.2">
      <c r="E465" s="32"/>
      <c r="F465" s="32"/>
      <c r="L465" s="155"/>
    </row>
    <row r="466" spans="5:12" x14ac:dyDescent="0.2">
      <c r="E466" s="32"/>
      <c r="F466" s="32"/>
      <c r="L466" s="154"/>
    </row>
    <row r="468" spans="5:12" x14ac:dyDescent="0.2">
      <c r="E468" s="32"/>
      <c r="F468" s="32"/>
      <c r="L468" s="209"/>
    </row>
    <row r="472" spans="5:12" x14ac:dyDescent="0.2">
      <c r="E472" s="32"/>
      <c r="F472" s="32"/>
      <c r="G472" s="151"/>
    </row>
    <row r="473" spans="5:12" x14ac:dyDescent="0.2">
      <c r="E473" s="32"/>
      <c r="F473" s="32"/>
      <c r="G473" s="152"/>
    </row>
    <row r="476" spans="5:12" x14ac:dyDescent="0.2">
      <c r="E476" s="32"/>
      <c r="F476" s="32"/>
      <c r="G476" s="151"/>
    </row>
  </sheetData>
  <sortState ref="A4:X17">
    <sortCondition descending="1" ref="H4:H17"/>
  </sortState>
  <mergeCells count="2">
    <mergeCell ref="T24:U25"/>
    <mergeCell ref="I24:J25"/>
  </mergeCells>
  <conditionalFormatting sqref="E307:E308 E355:E356 E348 E338:E339 E310:E311 E351:E352 E139 E186 E168 E359:E361">
    <cfRule type="containsText" dxfId="5240" priority="1107" operator="containsText" text="Buy">
      <formula>NOT(ISERROR(SEARCH("Buy",E139)))</formula>
    </cfRule>
    <cfRule type="containsText" dxfId="5239" priority="1108" operator="containsText" text="Sell">
      <formula>NOT(ISERROR(SEARCH("Sell",E139)))</formula>
    </cfRule>
  </conditionalFormatting>
  <conditionalFormatting sqref="E380:E381 E370:E371 E375">
    <cfRule type="containsText" dxfId="5238" priority="1105" operator="containsText" text="Buy">
      <formula>NOT(ISERROR(SEARCH("Buy",E370)))</formula>
    </cfRule>
    <cfRule type="containsText" dxfId="5237" priority="1106" operator="containsText" text="Sell">
      <formula>NOT(ISERROR(SEARCH("Sell",E370)))</formula>
    </cfRule>
  </conditionalFormatting>
  <conditionalFormatting sqref="E396:E398 E455 E452 E447 E441 E438 E435 E432 E425 E421 E415 E405">
    <cfRule type="containsText" dxfId="5236" priority="1103" operator="containsText" text="Buy">
      <formula>NOT(ISERROR(SEARCH("Buy",E396)))</formula>
    </cfRule>
    <cfRule type="containsText" dxfId="5235" priority="1104" operator="containsText" text="Sell">
      <formula>NOT(ISERROR(SEARCH("Sell",E396)))</formula>
    </cfRule>
  </conditionalFormatting>
  <conditionalFormatting sqref="E395">
    <cfRule type="containsText" dxfId="5234" priority="1101" operator="containsText" text="Buy">
      <formula>NOT(ISERROR(SEARCH("Buy",E395)))</formula>
    </cfRule>
    <cfRule type="containsText" dxfId="5233" priority="1102" operator="containsText" text="Sell">
      <formula>NOT(ISERROR(SEARCH("Sell",E395)))</formula>
    </cfRule>
  </conditionalFormatting>
  <conditionalFormatting sqref="E394">
    <cfRule type="containsText" dxfId="5232" priority="1099" operator="containsText" text="Buy">
      <formula>NOT(ISERROR(SEARCH("Buy",E394)))</formula>
    </cfRule>
    <cfRule type="containsText" dxfId="5231" priority="1100" operator="containsText" text="Sell">
      <formula>NOT(ISERROR(SEARCH("Sell",E394)))</formula>
    </cfRule>
  </conditionalFormatting>
  <conditionalFormatting sqref="E393">
    <cfRule type="containsText" dxfId="5230" priority="1097" operator="containsText" text="Buy">
      <formula>NOT(ISERROR(SEARCH("Buy",E393)))</formula>
    </cfRule>
    <cfRule type="containsText" dxfId="5229" priority="1098" operator="containsText" text="Sell">
      <formula>NOT(ISERROR(SEARCH("Sell",E393)))</formula>
    </cfRule>
  </conditionalFormatting>
  <conditionalFormatting sqref="E306">
    <cfRule type="containsText" dxfId="5228" priority="1095" operator="containsText" text="Buy">
      <formula>NOT(ISERROR(SEARCH("Buy",E306)))</formula>
    </cfRule>
    <cfRule type="containsText" dxfId="5227" priority="1096" operator="containsText" text="Sell">
      <formula>NOT(ISERROR(SEARCH("Sell",E306)))</formula>
    </cfRule>
  </conditionalFormatting>
  <conditionalFormatting sqref="E305">
    <cfRule type="containsText" dxfId="5226" priority="1093" operator="containsText" text="Buy">
      <formula>NOT(ISERROR(SEARCH("Buy",E305)))</formula>
    </cfRule>
    <cfRule type="containsText" dxfId="5225" priority="1094" operator="containsText" text="Sell">
      <formula>NOT(ISERROR(SEARCH("Sell",E305)))</formula>
    </cfRule>
  </conditionalFormatting>
  <conditionalFormatting sqref="E354">
    <cfRule type="containsText" dxfId="5224" priority="1091" operator="containsText" text="Buy">
      <formula>NOT(ISERROR(SEARCH("Buy",E354)))</formula>
    </cfRule>
    <cfRule type="containsText" dxfId="5223" priority="1092" operator="containsText" text="Sell">
      <formula>NOT(ISERROR(SEARCH("Sell",E354)))</formula>
    </cfRule>
  </conditionalFormatting>
  <conditionalFormatting sqref="E353">
    <cfRule type="containsText" dxfId="5222" priority="1089" operator="containsText" text="Buy">
      <formula>NOT(ISERROR(SEARCH("Buy",E353)))</formula>
    </cfRule>
    <cfRule type="containsText" dxfId="5221" priority="1090" operator="containsText" text="Sell">
      <formula>NOT(ISERROR(SEARCH("Sell",E353)))</formula>
    </cfRule>
  </conditionalFormatting>
  <conditionalFormatting sqref="E340:E342">
    <cfRule type="containsText" dxfId="5220" priority="1087" operator="containsText" text="Buy">
      <formula>NOT(ISERROR(SEARCH("Buy",E340)))</formula>
    </cfRule>
    <cfRule type="containsText" dxfId="5219" priority="1088" operator="containsText" text="Sell">
      <formula>NOT(ISERROR(SEARCH("Sell",E340)))</formula>
    </cfRule>
  </conditionalFormatting>
  <conditionalFormatting sqref="E337">
    <cfRule type="containsText" dxfId="5218" priority="1085" operator="containsText" text="Buy">
      <formula>NOT(ISERROR(SEARCH("Buy",E337)))</formula>
    </cfRule>
    <cfRule type="containsText" dxfId="5217" priority="1086" operator="containsText" text="Sell">
      <formula>NOT(ISERROR(SEARCH("Sell",E337)))</formula>
    </cfRule>
  </conditionalFormatting>
  <conditionalFormatting sqref="E336">
    <cfRule type="containsText" dxfId="5216" priority="1083" operator="containsText" text="Buy">
      <formula>NOT(ISERROR(SEARCH("Buy",E336)))</formula>
    </cfRule>
    <cfRule type="containsText" dxfId="5215" priority="1084" operator="containsText" text="Sell">
      <formula>NOT(ISERROR(SEARCH("Sell",E336)))</formula>
    </cfRule>
  </conditionalFormatting>
  <conditionalFormatting sqref="E335">
    <cfRule type="containsText" dxfId="5214" priority="1081" operator="containsText" text="Buy">
      <formula>NOT(ISERROR(SEARCH("Buy",E335)))</formula>
    </cfRule>
    <cfRule type="containsText" dxfId="5213" priority="1082" operator="containsText" text="Sell">
      <formula>NOT(ISERROR(SEARCH("Sell",E335)))</formula>
    </cfRule>
  </conditionalFormatting>
  <conditionalFormatting sqref="E334">
    <cfRule type="containsText" dxfId="5212" priority="1079" operator="containsText" text="Buy">
      <formula>NOT(ISERROR(SEARCH("Buy",E334)))</formula>
    </cfRule>
    <cfRule type="containsText" dxfId="5211" priority="1080" operator="containsText" text="Sell">
      <formula>NOT(ISERROR(SEARCH("Sell",E334)))</formula>
    </cfRule>
  </conditionalFormatting>
  <conditionalFormatting sqref="E333">
    <cfRule type="containsText" dxfId="5210" priority="1077" operator="containsText" text="Buy">
      <formula>NOT(ISERROR(SEARCH("Buy",E333)))</formula>
    </cfRule>
    <cfRule type="containsText" dxfId="5209" priority="1078" operator="containsText" text="Sell">
      <formula>NOT(ISERROR(SEARCH("Sell",E333)))</formula>
    </cfRule>
  </conditionalFormatting>
  <conditionalFormatting sqref="E332">
    <cfRule type="containsText" dxfId="5208" priority="1075" operator="containsText" text="Buy">
      <formula>NOT(ISERROR(SEARCH("Buy",E332)))</formula>
    </cfRule>
    <cfRule type="containsText" dxfId="5207" priority="1076" operator="containsText" text="Sell">
      <formula>NOT(ISERROR(SEARCH("Sell",E332)))</formula>
    </cfRule>
  </conditionalFormatting>
  <conditionalFormatting sqref="E331">
    <cfRule type="containsText" dxfId="5206" priority="1073" operator="containsText" text="Buy">
      <formula>NOT(ISERROR(SEARCH("Buy",E331)))</formula>
    </cfRule>
    <cfRule type="containsText" dxfId="5205" priority="1074" operator="containsText" text="Sell">
      <formula>NOT(ISERROR(SEARCH("Sell",E331)))</formula>
    </cfRule>
  </conditionalFormatting>
  <conditionalFormatting sqref="E324:E326">
    <cfRule type="containsText" dxfId="5204" priority="1071" operator="containsText" text="Buy">
      <formula>NOT(ISERROR(SEARCH("Buy",E324)))</formula>
    </cfRule>
    <cfRule type="containsText" dxfId="5203" priority="1072" operator="containsText" text="Sell">
      <formula>NOT(ISERROR(SEARCH("Sell",E324)))</formula>
    </cfRule>
  </conditionalFormatting>
  <conditionalFormatting sqref="E323">
    <cfRule type="containsText" dxfId="5202" priority="1069" operator="containsText" text="Buy">
      <formula>NOT(ISERROR(SEARCH("Buy",E323)))</formula>
    </cfRule>
    <cfRule type="containsText" dxfId="5201" priority="1070" operator="containsText" text="Sell">
      <formula>NOT(ISERROR(SEARCH("Sell",E323)))</formula>
    </cfRule>
  </conditionalFormatting>
  <conditionalFormatting sqref="E322">
    <cfRule type="containsText" dxfId="5200" priority="1067" operator="containsText" text="Buy">
      <formula>NOT(ISERROR(SEARCH("Buy",E322)))</formula>
    </cfRule>
    <cfRule type="containsText" dxfId="5199" priority="1068" operator="containsText" text="Sell">
      <formula>NOT(ISERROR(SEARCH("Sell",E322)))</formula>
    </cfRule>
  </conditionalFormatting>
  <conditionalFormatting sqref="E321">
    <cfRule type="containsText" dxfId="5198" priority="1065" operator="containsText" text="Buy">
      <formula>NOT(ISERROR(SEARCH("Buy",E321)))</formula>
    </cfRule>
    <cfRule type="containsText" dxfId="5197" priority="1066" operator="containsText" text="Sell">
      <formula>NOT(ISERROR(SEARCH("Sell",E321)))</formula>
    </cfRule>
  </conditionalFormatting>
  <conditionalFormatting sqref="E320">
    <cfRule type="containsText" dxfId="5196" priority="1063" operator="containsText" text="Buy">
      <formula>NOT(ISERROR(SEARCH("Buy",E320)))</formula>
    </cfRule>
    <cfRule type="containsText" dxfId="5195" priority="1064" operator="containsText" text="Sell">
      <formula>NOT(ISERROR(SEARCH("Sell",E320)))</formula>
    </cfRule>
  </conditionalFormatting>
  <conditionalFormatting sqref="E319">
    <cfRule type="containsText" dxfId="5194" priority="1061" operator="containsText" text="Buy">
      <formula>NOT(ISERROR(SEARCH("Buy",E319)))</formula>
    </cfRule>
    <cfRule type="containsText" dxfId="5193" priority="1062" operator="containsText" text="Sell">
      <formula>NOT(ISERROR(SEARCH("Sell",E319)))</formula>
    </cfRule>
  </conditionalFormatting>
  <conditionalFormatting sqref="E318">
    <cfRule type="containsText" dxfId="5192" priority="1059" operator="containsText" text="Buy">
      <formula>NOT(ISERROR(SEARCH("Buy",E318)))</formula>
    </cfRule>
    <cfRule type="containsText" dxfId="5191" priority="1060" operator="containsText" text="Sell">
      <formula>NOT(ISERROR(SEARCH("Sell",E318)))</formula>
    </cfRule>
  </conditionalFormatting>
  <conditionalFormatting sqref="E317">
    <cfRule type="containsText" dxfId="5190" priority="1057" operator="containsText" text="Buy">
      <formula>NOT(ISERROR(SEARCH("Buy",E317)))</formula>
    </cfRule>
    <cfRule type="containsText" dxfId="5189" priority="1058" operator="containsText" text="Sell">
      <formula>NOT(ISERROR(SEARCH("Sell",E317)))</formula>
    </cfRule>
  </conditionalFormatting>
  <conditionalFormatting sqref="E316">
    <cfRule type="containsText" dxfId="5188" priority="1055" operator="containsText" text="Buy">
      <formula>NOT(ISERROR(SEARCH("Buy",E316)))</formula>
    </cfRule>
    <cfRule type="containsText" dxfId="5187" priority="1056" operator="containsText" text="Sell">
      <formula>NOT(ISERROR(SEARCH("Sell",E316)))</formula>
    </cfRule>
  </conditionalFormatting>
  <conditionalFormatting sqref="E315">
    <cfRule type="containsText" dxfId="5186" priority="1053" operator="containsText" text="Buy">
      <formula>NOT(ISERROR(SEARCH("Buy",E315)))</formula>
    </cfRule>
    <cfRule type="containsText" dxfId="5185" priority="1054" operator="containsText" text="Sell">
      <formula>NOT(ISERROR(SEARCH("Sell",E315)))</formula>
    </cfRule>
  </conditionalFormatting>
  <conditionalFormatting sqref="E314">
    <cfRule type="containsText" dxfId="5184" priority="1051" operator="containsText" text="Buy">
      <formula>NOT(ISERROR(SEARCH("Buy",E314)))</formula>
    </cfRule>
    <cfRule type="containsText" dxfId="5183" priority="1052" operator="containsText" text="Sell">
      <formula>NOT(ISERROR(SEARCH("Sell",E314)))</formula>
    </cfRule>
  </conditionalFormatting>
  <conditionalFormatting sqref="E313">
    <cfRule type="containsText" dxfId="5182" priority="1049" operator="containsText" text="Buy">
      <formula>NOT(ISERROR(SEARCH("Buy",E313)))</formula>
    </cfRule>
    <cfRule type="containsText" dxfId="5181" priority="1050" operator="containsText" text="Sell">
      <formula>NOT(ISERROR(SEARCH("Sell",E313)))</formula>
    </cfRule>
  </conditionalFormatting>
  <conditionalFormatting sqref="E309">
    <cfRule type="containsText" dxfId="5180" priority="1047" operator="containsText" text="Buy">
      <formula>NOT(ISERROR(SEARCH("Buy",E309)))</formula>
    </cfRule>
    <cfRule type="containsText" dxfId="5179" priority="1048" operator="containsText" text="Sell">
      <formula>NOT(ISERROR(SEARCH("Sell",E309)))</formula>
    </cfRule>
  </conditionalFormatting>
  <conditionalFormatting sqref="E369">
    <cfRule type="containsText" dxfId="5178" priority="1045" operator="containsText" text="Buy">
      <formula>NOT(ISERROR(SEARCH("Buy",E369)))</formula>
    </cfRule>
    <cfRule type="containsText" dxfId="5177" priority="1046" operator="containsText" text="Sell">
      <formula>NOT(ISERROR(SEARCH("Sell",E369)))</formula>
    </cfRule>
  </conditionalFormatting>
  <conditionalFormatting sqref="E368 E365">
    <cfRule type="containsText" dxfId="5176" priority="1043" operator="containsText" text="Buy">
      <formula>NOT(ISERROR(SEARCH("Buy",E365)))</formula>
    </cfRule>
    <cfRule type="containsText" dxfId="5175" priority="1044" operator="containsText" text="Sell">
      <formula>NOT(ISERROR(SEARCH("Sell",E365)))</formula>
    </cfRule>
  </conditionalFormatting>
  <conditionalFormatting sqref="E374">
    <cfRule type="containsText" dxfId="5174" priority="1041" operator="containsText" text="Buy">
      <formula>NOT(ISERROR(SEARCH("Buy",E374)))</formula>
    </cfRule>
    <cfRule type="containsText" dxfId="5173" priority="1042" operator="containsText" text="Sell">
      <formula>NOT(ISERROR(SEARCH("Sell",E374)))</formula>
    </cfRule>
  </conditionalFormatting>
  <conditionalFormatting sqref="E456:E457">
    <cfRule type="containsText" dxfId="5172" priority="1039" operator="containsText" text="Buy">
      <formula>NOT(ISERROR(SEARCH("Buy",E456)))</formula>
    </cfRule>
    <cfRule type="containsText" dxfId="5171" priority="1040" operator="containsText" text="Sell">
      <formula>NOT(ISERROR(SEARCH("Sell",E456)))</formula>
    </cfRule>
  </conditionalFormatting>
  <conditionalFormatting sqref="E367">
    <cfRule type="containsText" dxfId="5170" priority="1037" operator="containsText" text="Buy">
      <formula>NOT(ISERROR(SEARCH("Buy",E367)))</formula>
    </cfRule>
    <cfRule type="containsText" dxfId="5169" priority="1038" operator="containsText" text="Sell">
      <formula>NOT(ISERROR(SEARCH("Sell",E367)))</formula>
    </cfRule>
  </conditionalFormatting>
  <conditionalFormatting sqref="E364">
    <cfRule type="containsText" dxfId="5168" priority="1035" operator="containsText" text="Buy">
      <formula>NOT(ISERROR(SEARCH("Buy",E364)))</formula>
    </cfRule>
    <cfRule type="containsText" dxfId="5167" priority="1036" operator="containsText" text="Sell">
      <formula>NOT(ISERROR(SEARCH("Sell",E364)))</formula>
    </cfRule>
  </conditionalFormatting>
  <conditionalFormatting sqref="E363">
    <cfRule type="containsText" dxfId="5166" priority="1033" operator="containsText" text="Buy">
      <formula>NOT(ISERROR(SEARCH("Buy",E363)))</formula>
    </cfRule>
    <cfRule type="containsText" dxfId="5165" priority="1034" operator="containsText" text="Sell">
      <formula>NOT(ISERROR(SEARCH("Sell",E363)))</formula>
    </cfRule>
  </conditionalFormatting>
  <conditionalFormatting sqref="E350">
    <cfRule type="containsText" dxfId="5164" priority="1031" operator="containsText" text="Buy">
      <formula>NOT(ISERROR(SEARCH("Buy",E350)))</formula>
    </cfRule>
    <cfRule type="containsText" dxfId="5163" priority="1032" operator="containsText" text="Sell">
      <formula>NOT(ISERROR(SEARCH("Sell",E350)))</formula>
    </cfRule>
  </conditionalFormatting>
  <conditionalFormatting sqref="E287:E290 E300 E297:E298">
    <cfRule type="containsText" dxfId="5162" priority="1029" operator="containsText" text="Buy">
      <formula>NOT(ISERROR(SEARCH("Buy",E287)))</formula>
    </cfRule>
    <cfRule type="containsText" dxfId="5161" priority="1030" operator="containsText" text="Sell">
      <formula>NOT(ISERROR(SEARCH("Sell",E287)))</formula>
    </cfRule>
  </conditionalFormatting>
  <conditionalFormatting sqref="E453:E454">
    <cfRule type="containsText" dxfId="5160" priority="1027" operator="containsText" text="Buy">
      <formula>NOT(ISERROR(SEARCH("Buy",E453)))</formula>
    </cfRule>
    <cfRule type="containsText" dxfId="5159" priority="1028" operator="containsText" text="Sell">
      <formula>NOT(ISERROR(SEARCH("Sell",E453)))</formula>
    </cfRule>
  </conditionalFormatting>
  <conditionalFormatting sqref="E450:E451">
    <cfRule type="containsText" dxfId="5158" priority="1025" operator="containsText" text="Buy">
      <formula>NOT(ISERROR(SEARCH("Buy",E450)))</formula>
    </cfRule>
    <cfRule type="containsText" dxfId="5157" priority="1026" operator="containsText" text="Sell">
      <formula>NOT(ISERROR(SEARCH("Sell",E450)))</formula>
    </cfRule>
  </conditionalFormatting>
  <conditionalFormatting sqref="E448:E449">
    <cfRule type="containsText" dxfId="5156" priority="1023" operator="containsText" text="Buy">
      <formula>NOT(ISERROR(SEARCH("Buy",E448)))</formula>
    </cfRule>
    <cfRule type="containsText" dxfId="5155" priority="1024" operator="containsText" text="Sell">
      <formula>NOT(ISERROR(SEARCH("Sell",E448)))</formula>
    </cfRule>
  </conditionalFormatting>
  <conditionalFormatting sqref="E445:E446">
    <cfRule type="containsText" dxfId="5154" priority="1021" operator="containsText" text="Buy">
      <formula>NOT(ISERROR(SEARCH("Buy",E445)))</formula>
    </cfRule>
    <cfRule type="containsText" dxfId="5153" priority="1022" operator="containsText" text="Sell">
      <formula>NOT(ISERROR(SEARCH("Sell",E445)))</formula>
    </cfRule>
  </conditionalFormatting>
  <conditionalFormatting sqref="E442:E444">
    <cfRule type="containsText" dxfId="5152" priority="1019" operator="containsText" text="Buy">
      <formula>NOT(ISERROR(SEARCH("Buy",E442)))</formula>
    </cfRule>
    <cfRule type="containsText" dxfId="5151" priority="1020" operator="containsText" text="Sell">
      <formula>NOT(ISERROR(SEARCH("Sell",E442)))</formula>
    </cfRule>
  </conditionalFormatting>
  <conditionalFormatting sqref="E439:E440">
    <cfRule type="containsText" dxfId="5150" priority="1017" operator="containsText" text="Buy">
      <formula>NOT(ISERROR(SEARCH("Buy",E439)))</formula>
    </cfRule>
    <cfRule type="containsText" dxfId="5149" priority="1018" operator="containsText" text="Sell">
      <formula>NOT(ISERROR(SEARCH("Sell",E439)))</formula>
    </cfRule>
  </conditionalFormatting>
  <conditionalFormatting sqref="E436:E437">
    <cfRule type="containsText" dxfId="5148" priority="1015" operator="containsText" text="Buy">
      <formula>NOT(ISERROR(SEARCH("Buy",E436)))</formula>
    </cfRule>
    <cfRule type="containsText" dxfId="5147" priority="1016" operator="containsText" text="Sell">
      <formula>NOT(ISERROR(SEARCH("Sell",E436)))</formula>
    </cfRule>
  </conditionalFormatting>
  <conditionalFormatting sqref="E433:E434">
    <cfRule type="containsText" dxfId="5146" priority="1013" operator="containsText" text="Buy">
      <formula>NOT(ISERROR(SEARCH("Buy",E433)))</formula>
    </cfRule>
    <cfRule type="containsText" dxfId="5145" priority="1014" operator="containsText" text="Sell">
      <formula>NOT(ISERROR(SEARCH("Sell",E433)))</formula>
    </cfRule>
  </conditionalFormatting>
  <conditionalFormatting sqref="E429">
    <cfRule type="containsText" dxfId="5144" priority="1009" operator="containsText" text="Buy">
      <formula>NOT(ISERROR(SEARCH("Buy",E429)))</formula>
    </cfRule>
    <cfRule type="containsText" dxfId="5143" priority="1010" operator="containsText" text="Sell">
      <formula>NOT(ISERROR(SEARCH("Sell",E429)))</formula>
    </cfRule>
  </conditionalFormatting>
  <conditionalFormatting sqref="E430:E431">
    <cfRule type="containsText" dxfId="5142" priority="1011" operator="containsText" text="Buy">
      <formula>NOT(ISERROR(SEARCH("Buy",E430)))</formula>
    </cfRule>
    <cfRule type="containsText" dxfId="5141" priority="1012" operator="containsText" text="Sell">
      <formula>NOT(ISERROR(SEARCH("Sell",E430)))</formula>
    </cfRule>
  </conditionalFormatting>
  <conditionalFormatting sqref="E423:E424">
    <cfRule type="containsText" dxfId="5140" priority="1007" operator="containsText" text="Buy">
      <formula>NOT(ISERROR(SEARCH("Buy",E423)))</formula>
    </cfRule>
    <cfRule type="containsText" dxfId="5139" priority="1008" operator="containsText" text="Sell">
      <formula>NOT(ISERROR(SEARCH("Sell",E423)))</formula>
    </cfRule>
  </conditionalFormatting>
  <conditionalFormatting sqref="E419:E420">
    <cfRule type="containsText" dxfId="5138" priority="1005" operator="containsText" text="Buy">
      <formula>NOT(ISERROR(SEARCH("Buy",E419)))</formula>
    </cfRule>
    <cfRule type="containsText" dxfId="5137" priority="1006" operator="containsText" text="Sell">
      <formula>NOT(ISERROR(SEARCH("Sell",E419)))</formula>
    </cfRule>
  </conditionalFormatting>
  <conditionalFormatting sqref="E284:E285">
    <cfRule type="containsText" dxfId="5136" priority="1003" operator="containsText" text="Buy">
      <formula>NOT(ISERROR(SEARCH("Buy",E284)))</formula>
    </cfRule>
    <cfRule type="containsText" dxfId="5135" priority="1004" operator="containsText" text="Sell">
      <formula>NOT(ISERROR(SEARCH("Sell",E284)))</formula>
    </cfRule>
  </conditionalFormatting>
  <conditionalFormatting sqref="E279:E280">
    <cfRule type="containsText" dxfId="5134" priority="1001" operator="containsText" text="Buy">
      <formula>NOT(ISERROR(SEARCH("Buy",E279)))</formula>
    </cfRule>
    <cfRule type="containsText" dxfId="5133" priority="1002" operator="containsText" text="Sell">
      <formula>NOT(ISERROR(SEARCH("Sell",E279)))</formula>
    </cfRule>
  </conditionalFormatting>
  <conditionalFormatting sqref="E296">
    <cfRule type="containsText" dxfId="5132" priority="999" operator="containsText" text="Buy">
      <formula>NOT(ISERROR(SEARCH("Buy",E296)))</formula>
    </cfRule>
    <cfRule type="containsText" dxfId="5131" priority="1000" operator="containsText" text="Sell">
      <formula>NOT(ISERROR(SEARCH("Sell",E296)))</formula>
    </cfRule>
  </conditionalFormatting>
  <conditionalFormatting sqref="E295">
    <cfRule type="containsText" dxfId="5130" priority="997" operator="containsText" text="Buy">
      <formula>NOT(ISERROR(SEARCH("Buy",E295)))</formula>
    </cfRule>
    <cfRule type="containsText" dxfId="5129" priority="998" operator="containsText" text="Sell">
      <formula>NOT(ISERROR(SEARCH("Sell",E295)))</formula>
    </cfRule>
  </conditionalFormatting>
  <conditionalFormatting sqref="E291">
    <cfRule type="containsText" dxfId="5128" priority="995" operator="containsText" text="Buy">
      <formula>NOT(ISERROR(SEARCH("Buy",E291)))</formula>
    </cfRule>
    <cfRule type="containsText" dxfId="5127" priority="996" operator="containsText" text="Sell">
      <formula>NOT(ISERROR(SEARCH("Sell",E291)))</formula>
    </cfRule>
  </conditionalFormatting>
  <conditionalFormatting sqref="E416:E418">
    <cfRule type="containsText" dxfId="5126" priority="993" operator="containsText" text="Buy">
      <formula>NOT(ISERROR(SEARCH("Buy",E416)))</formula>
    </cfRule>
    <cfRule type="containsText" dxfId="5125" priority="994" operator="containsText" text="Sell">
      <formula>NOT(ISERROR(SEARCH("Sell",E416)))</formula>
    </cfRule>
  </conditionalFormatting>
  <conditionalFormatting sqref="E413:E414">
    <cfRule type="containsText" dxfId="5124" priority="991" operator="containsText" text="Buy">
      <formula>NOT(ISERROR(SEARCH("Buy",E413)))</formula>
    </cfRule>
    <cfRule type="containsText" dxfId="5123" priority="992" operator="containsText" text="Sell">
      <formula>NOT(ISERROR(SEARCH("Sell",E413)))</formula>
    </cfRule>
  </conditionalFormatting>
  <conditionalFormatting sqref="E407:E409">
    <cfRule type="containsText" dxfId="5122" priority="989" operator="containsText" text="Buy">
      <formula>NOT(ISERROR(SEARCH("Buy",E407)))</formula>
    </cfRule>
    <cfRule type="containsText" dxfId="5121" priority="990" operator="containsText" text="Sell">
      <formula>NOT(ISERROR(SEARCH("Sell",E407)))</formula>
    </cfRule>
  </conditionalFormatting>
  <conditionalFormatting sqref="E403:E404">
    <cfRule type="containsText" dxfId="5120" priority="987" operator="containsText" text="Buy">
      <formula>NOT(ISERROR(SEARCH("Buy",E403)))</formula>
    </cfRule>
    <cfRule type="containsText" dxfId="5119" priority="988" operator="containsText" text="Sell">
      <formula>NOT(ISERROR(SEARCH("Sell",E403)))</formula>
    </cfRule>
  </conditionalFormatting>
  <conditionalFormatting sqref="E412">
    <cfRule type="containsText" dxfId="5118" priority="985" operator="containsText" text="Buy">
      <formula>NOT(ISERROR(SEARCH("Buy",E412)))</formula>
    </cfRule>
    <cfRule type="containsText" dxfId="5117" priority="986" operator="containsText" text="Sell">
      <formula>NOT(ISERROR(SEARCH("Sell",E412)))</formula>
    </cfRule>
  </conditionalFormatting>
  <conditionalFormatting sqref="E392">
    <cfRule type="containsText" dxfId="5116" priority="983" operator="containsText" text="Buy">
      <formula>NOT(ISERROR(SEARCH("Buy",E392)))</formula>
    </cfRule>
    <cfRule type="containsText" dxfId="5115" priority="984" operator="containsText" text="Sell">
      <formula>NOT(ISERROR(SEARCH("Sell",E392)))</formula>
    </cfRule>
  </conditionalFormatting>
  <conditionalFormatting sqref="E391">
    <cfRule type="containsText" dxfId="5114" priority="981" operator="containsText" text="Buy">
      <formula>NOT(ISERROR(SEARCH("Buy",E391)))</formula>
    </cfRule>
    <cfRule type="containsText" dxfId="5113" priority="982" operator="containsText" text="Sell">
      <formula>NOT(ISERROR(SEARCH("Sell",E391)))</formula>
    </cfRule>
  </conditionalFormatting>
  <conditionalFormatting sqref="E390">
    <cfRule type="containsText" dxfId="5112" priority="979" operator="containsText" text="Buy">
      <formula>NOT(ISERROR(SEARCH("Buy",E390)))</formula>
    </cfRule>
    <cfRule type="containsText" dxfId="5111" priority="980" operator="containsText" text="Sell">
      <formula>NOT(ISERROR(SEARCH("Sell",E390)))</formula>
    </cfRule>
  </conditionalFormatting>
  <conditionalFormatting sqref="U4">
    <cfRule type="dataBar" priority="9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{E3EE8099-F1A9-4666-8432-718D340694E6}</x14:id>
        </ext>
      </extLst>
    </cfRule>
  </conditionalFormatting>
  <conditionalFormatting sqref="E347">
    <cfRule type="containsText" dxfId="5110" priority="974" operator="containsText" text="Buy">
      <formula>NOT(ISERROR(SEARCH("Buy",E347)))</formula>
    </cfRule>
    <cfRule type="containsText" dxfId="5109" priority="975" operator="containsText" text="Sell">
      <formula>NOT(ISERROR(SEARCH("Sell",E347)))</formula>
    </cfRule>
  </conditionalFormatting>
  <conditionalFormatting sqref="E366">
    <cfRule type="containsText" dxfId="5108" priority="972" operator="containsText" text="Buy">
      <formula>NOT(ISERROR(SEARCH("Buy",E366)))</formula>
    </cfRule>
    <cfRule type="containsText" dxfId="5107" priority="973" operator="containsText" text="Sell">
      <formula>NOT(ISERROR(SEARCH("Sell",E366)))</formula>
    </cfRule>
  </conditionalFormatting>
  <conditionalFormatting sqref="E260:E261">
    <cfRule type="containsText" dxfId="5106" priority="970" operator="containsText" text="Buy">
      <formula>NOT(ISERROR(SEARCH("Buy",E260)))</formula>
    </cfRule>
    <cfRule type="containsText" dxfId="5105" priority="971" operator="containsText" text="Sell">
      <formula>NOT(ISERROR(SEARCH("Sell",E260)))</formula>
    </cfRule>
  </conditionalFormatting>
  <conditionalFormatting sqref="E389">
    <cfRule type="containsText" dxfId="5104" priority="966" operator="containsText" text="Buy">
      <formula>NOT(ISERROR(SEARCH("Buy",E389)))</formula>
    </cfRule>
    <cfRule type="containsText" dxfId="5103" priority="967" operator="containsText" text="Sell">
      <formula>NOT(ISERROR(SEARCH("Sell",E389)))</formula>
    </cfRule>
  </conditionalFormatting>
  <conditionalFormatting sqref="E299">
    <cfRule type="containsText" dxfId="5102" priority="968" operator="containsText" text="Buy">
      <formula>NOT(ISERROR(SEARCH("Buy",E299)))</formula>
    </cfRule>
    <cfRule type="containsText" dxfId="5101" priority="969" operator="containsText" text="Sell">
      <formula>NOT(ISERROR(SEARCH("Sell",E299)))</formula>
    </cfRule>
  </conditionalFormatting>
  <conditionalFormatting sqref="E388">
    <cfRule type="containsText" dxfId="5100" priority="964" operator="containsText" text="Buy">
      <formula>NOT(ISERROR(SEARCH("Buy",E388)))</formula>
    </cfRule>
    <cfRule type="containsText" dxfId="5099" priority="965" operator="containsText" text="Sell">
      <formula>NOT(ISERROR(SEARCH("Sell",E388)))</formula>
    </cfRule>
  </conditionalFormatting>
  <conditionalFormatting sqref="E387">
    <cfRule type="containsText" dxfId="5098" priority="962" operator="containsText" text="Buy">
      <formula>NOT(ISERROR(SEARCH("Buy",E387)))</formula>
    </cfRule>
    <cfRule type="containsText" dxfId="5097" priority="963" operator="containsText" text="Sell">
      <formula>NOT(ISERROR(SEARCH("Sell",E387)))</formula>
    </cfRule>
  </conditionalFormatting>
  <conditionalFormatting sqref="E386">
    <cfRule type="containsText" dxfId="5096" priority="960" operator="containsText" text="Buy">
      <formula>NOT(ISERROR(SEARCH("Buy",E386)))</formula>
    </cfRule>
    <cfRule type="containsText" dxfId="5095" priority="961" operator="containsText" text="Sell">
      <formula>NOT(ISERROR(SEARCH("Sell",E386)))</formula>
    </cfRule>
  </conditionalFormatting>
  <conditionalFormatting sqref="E385">
    <cfRule type="containsText" dxfId="5094" priority="958" operator="containsText" text="Buy">
      <formula>NOT(ISERROR(SEARCH("Buy",E385)))</formula>
    </cfRule>
    <cfRule type="containsText" dxfId="5093" priority="959" operator="containsText" text="Sell">
      <formula>NOT(ISERROR(SEARCH("Sell",E385)))</formula>
    </cfRule>
  </conditionalFormatting>
  <conditionalFormatting sqref="E265:E267 E278">
    <cfRule type="containsText" dxfId="5092" priority="956" operator="containsText" text="Buy">
      <formula>NOT(ISERROR(SEARCH("Buy",E265)))</formula>
    </cfRule>
    <cfRule type="containsText" dxfId="5091" priority="957" operator="containsText" text="Sell">
      <formula>NOT(ISERROR(SEARCH("Sell",E265)))</formula>
    </cfRule>
  </conditionalFormatting>
  <conditionalFormatting sqref="E255:E256">
    <cfRule type="containsText" dxfId="5090" priority="954" operator="containsText" text="Buy">
      <formula>NOT(ISERROR(SEARCH("Buy",E255)))</formula>
    </cfRule>
    <cfRule type="containsText" dxfId="5089" priority="955" operator="containsText" text="Sell">
      <formula>NOT(ISERROR(SEARCH("Sell",E255)))</formula>
    </cfRule>
  </conditionalFormatting>
  <conditionalFormatting sqref="E249:E250">
    <cfRule type="containsText" dxfId="5088" priority="952" operator="containsText" text="Buy">
      <formula>NOT(ISERROR(SEARCH("Buy",E249)))</formula>
    </cfRule>
    <cfRule type="containsText" dxfId="5087" priority="953" operator="containsText" text="Sell">
      <formula>NOT(ISERROR(SEARCH("Sell",E249)))</formula>
    </cfRule>
  </conditionalFormatting>
  <conditionalFormatting sqref="E276:E277">
    <cfRule type="containsText" dxfId="5086" priority="950" operator="containsText" text="Buy">
      <formula>NOT(ISERROR(SEARCH("Buy",E276)))</formula>
    </cfRule>
    <cfRule type="containsText" dxfId="5085" priority="951" operator="containsText" text="Sell">
      <formula>NOT(ISERROR(SEARCH("Sell",E276)))</formula>
    </cfRule>
  </conditionalFormatting>
  <conditionalFormatting sqref="E275">
    <cfRule type="containsText" dxfId="5084" priority="948" operator="containsText" text="Buy">
      <formula>NOT(ISERROR(SEARCH("Buy",E275)))</formula>
    </cfRule>
    <cfRule type="containsText" dxfId="5083" priority="949" operator="containsText" text="Sell">
      <formula>NOT(ISERROR(SEARCH("Sell",E275)))</formula>
    </cfRule>
  </conditionalFormatting>
  <conditionalFormatting sqref="E358">
    <cfRule type="containsText" dxfId="5082" priority="946" operator="containsText" text="Buy">
      <formula>NOT(ISERROR(SEARCH("Buy",E358)))</formula>
    </cfRule>
    <cfRule type="containsText" dxfId="5081" priority="947" operator="containsText" text="Sell">
      <formula>NOT(ISERROR(SEARCH("Sell",E358)))</formula>
    </cfRule>
  </conditionalFormatting>
  <conditionalFormatting sqref="E357">
    <cfRule type="containsText" dxfId="5080" priority="944" operator="containsText" text="Buy">
      <formula>NOT(ISERROR(SEARCH("Buy",E357)))</formula>
    </cfRule>
    <cfRule type="containsText" dxfId="5079" priority="945" operator="containsText" text="Sell">
      <formula>NOT(ISERROR(SEARCH("Sell",E357)))</formula>
    </cfRule>
  </conditionalFormatting>
  <conditionalFormatting sqref="E246:E247">
    <cfRule type="containsText" dxfId="5078" priority="942" operator="containsText" text="Buy">
      <formula>NOT(ISERROR(SEARCH("Buy",E246)))</formula>
    </cfRule>
    <cfRule type="containsText" dxfId="5077" priority="943" operator="containsText" text="Sell">
      <formula>NOT(ISERROR(SEARCH("Sell",E246)))</formula>
    </cfRule>
  </conditionalFormatting>
  <conditionalFormatting sqref="E245">
    <cfRule type="containsText" dxfId="5076" priority="940" operator="containsText" text="Buy">
      <formula>NOT(ISERROR(SEARCH("Buy",E245)))</formula>
    </cfRule>
    <cfRule type="containsText" dxfId="5075" priority="941" operator="containsText" text="Sell">
      <formula>NOT(ISERROR(SEARCH("Sell",E245)))</formula>
    </cfRule>
  </conditionalFormatting>
  <conditionalFormatting sqref="E244">
    <cfRule type="containsText" dxfId="5074" priority="938" operator="containsText" text="Buy">
      <formula>NOT(ISERROR(SEARCH("Buy",E244)))</formula>
    </cfRule>
    <cfRule type="containsText" dxfId="5073" priority="939" operator="containsText" text="Sell">
      <formula>NOT(ISERROR(SEARCH("Sell",E244)))</formula>
    </cfRule>
  </conditionalFormatting>
  <conditionalFormatting sqref="E241">
    <cfRule type="containsText" dxfId="5072" priority="936" operator="containsText" text="Buy">
      <formula>NOT(ISERROR(SEARCH("Buy",E241)))</formula>
    </cfRule>
    <cfRule type="containsText" dxfId="5071" priority="937" operator="containsText" text="Sell">
      <formula>NOT(ISERROR(SEARCH("Sell",E241)))</formula>
    </cfRule>
  </conditionalFormatting>
  <conditionalFormatting sqref="E240">
    <cfRule type="containsText" dxfId="5070" priority="934" operator="containsText" text="Buy">
      <formula>NOT(ISERROR(SEARCH("Buy",E240)))</formula>
    </cfRule>
    <cfRule type="containsText" dxfId="5069" priority="935" operator="containsText" text="Sell">
      <formula>NOT(ISERROR(SEARCH("Sell",E240)))</formula>
    </cfRule>
  </conditionalFormatting>
  <conditionalFormatting sqref="E237">
    <cfRule type="containsText" dxfId="5068" priority="932" operator="containsText" text="Buy">
      <formula>NOT(ISERROR(SEARCH("Buy",E237)))</formula>
    </cfRule>
    <cfRule type="containsText" dxfId="5067" priority="933" operator="containsText" text="Sell">
      <formula>NOT(ISERROR(SEARCH("Sell",E237)))</formula>
    </cfRule>
  </conditionalFormatting>
  <conditionalFormatting sqref="E236">
    <cfRule type="containsText" dxfId="5066" priority="930" operator="containsText" text="Buy">
      <formula>NOT(ISERROR(SEARCH("Buy",E236)))</formula>
    </cfRule>
    <cfRule type="containsText" dxfId="5065" priority="931" operator="containsText" text="Sell">
      <formula>NOT(ISERROR(SEARCH("Sell",E236)))</formula>
    </cfRule>
  </conditionalFormatting>
  <conditionalFormatting sqref="E235">
    <cfRule type="containsText" dxfId="5064" priority="928" operator="containsText" text="Buy">
      <formula>NOT(ISERROR(SEARCH("Buy",E235)))</formula>
    </cfRule>
    <cfRule type="containsText" dxfId="5063" priority="929" operator="containsText" text="Sell">
      <formula>NOT(ISERROR(SEARCH("Sell",E235)))</formula>
    </cfRule>
  </conditionalFormatting>
  <conditionalFormatting sqref="E233:E234">
    <cfRule type="containsText" dxfId="5062" priority="926" operator="containsText" text="Buy">
      <formula>NOT(ISERROR(SEARCH("Buy",E233)))</formula>
    </cfRule>
    <cfRule type="containsText" dxfId="5061" priority="927" operator="containsText" text="Sell">
      <formula>NOT(ISERROR(SEARCH("Sell",E233)))</formula>
    </cfRule>
  </conditionalFormatting>
  <conditionalFormatting sqref="E230 E226:E227">
    <cfRule type="containsText" dxfId="5060" priority="924" operator="containsText" text="Buy">
      <formula>NOT(ISERROR(SEARCH("Buy",E226)))</formula>
    </cfRule>
    <cfRule type="containsText" dxfId="5059" priority="925" operator="containsText" text="Sell">
      <formula>NOT(ISERROR(SEARCH("Sell",E226)))</formula>
    </cfRule>
  </conditionalFormatting>
  <conditionalFormatting sqref="E222">
    <cfRule type="containsText" dxfId="5058" priority="922" operator="containsText" text="Buy">
      <formula>NOT(ISERROR(SEARCH("Buy",E222)))</formula>
    </cfRule>
    <cfRule type="containsText" dxfId="5057" priority="923" operator="containsText" text="Sell">
      <formula>NOT(ISERROR(SEARCH("Sell",E222)))</formula>
    </cfRule>
  </conditionalFormatting>
  <conditionalFormatting sqref="E221">
    <cfRule type="containsText" dxfId="5056" priority="920" operator="containsText" text="Buy">
      <formula>NOT(ISERROR(SEARCH("Buy",E221)))</formula>
    </cfRule>
    <cfRule type="containsText" dxfId="5055" priority="921" operator="containsText" text="Sell">
      <formula>NOT(ISERROR(SEARCH("Sell",E221)))</formula>
    </cfRule>
  </conditionalFormatting>
  <conditionalFormatting sqref="E229">
    <cfRule type="containsText" dxfId="5054" priority="918" operator="containsText" text="Buy">
      <formula>NOT(ISERROR(SEARCH("Buy",E229)))</formula>
    </cfRule>
    <cfRule type="containsText" dxfId="5053" priority="919" operator="containsText" text="Sell">
      <formula>NOT(ISERROR(SEARCH("Sell",E229)))</formula>
    </cfRule>
  </conditionalFormatting>
  <conditionalFormatting sqref="E228">
    <cfRule type="containsText" dxfId="5052" priority="916" operator="containsText" text="Buy">
      <formula>NOT(ISERROR(SEARCH("Buy",E228)))</formula>
    </cfRule>
    <cfRule type="containsText" dxfId="5051" priority="917" operator="containsText" text="Sell">
      <formula>NOT(ISERROR(SEARCH("Sell",E228)))</formula>
    </cfRule>
  </conditionalFormatting>
  <conditionalFormatting sqref="E362">
    <cfRule type="containsText" dxfId="5050" priority="914" operator="containsText" text="Buy">
      <formula>NOT(ISERROR(SEARCH("Buy",E362)))</formula>
    </cfRule>
    <cfRule type="containsText" dxfId="5049" priority="915" operator="containsText" text="Sell">
      <formula>NOT(ISERROR(SEARCH("Sell",E362)))</formula>
    </cfRule>
  </conditionalFormatting>
  <conditionalFormatting sqref="E283">
    <cfRule type="containsText" dxfId="5048" priority="912" operator="containsText" text="Buy">
      <formula>NOT(ISERROR(SEARCH("Buy",E283)))</formula>
    </cfRule>
    <cfRule type="containsText" dxfId="5047" priority="913" operator="containsText" text="Sell">
      <formula>NOT(ISERROR(SEARCH("Sell",E283)))</formula>
    </cfRule>
  </conditionalFormatting>
  <conditionalFormatting sqref="E330">
    <cfRule type="containsText" dxfId="5046" priority="910" operator="containsText" text="Buy">
      <formula>NOT(ISERROR(SEARCH("Buy",E330)))</formula>
    </cfRule>
    <cfRule type="containsText" dxfId="5045" priority="911" operator="containsText" text="Sell">
      <formula>NOT(ISERROR(SEARCH("Sell",E330)))</formula>
    </cfRule>
  </conditionalFormatting>
  <conditionalFormatting sqref="E225">
    <cfRule type="containsText" dxfId="5044" priority="908" operator="containsText" text="Buy">
      <formula>NOT(ISERROR(SEARCH("Buy",E225)))</formula>
    </cfRule>
    <cfRule type="containsText" dxfId="5043" priority="909" operator="containsText" text="Sell">
      <formula>NOT(ISERROR(SEARCH("Sell",E225)))</formula>
    </cfRule>
  </conditionalFormatting>
  <conditionalFormatting sqref="E215">
    <cfRule type="containsText" dxfId="5042" priority="906" operator="containsText" text="Buy">
      <formula>NOT(ISERROR(SEARCH("Buy",E215)))</formula>
    </cfRule>
    <cfRule type="containsText" dxfId="5041" priority="907" operator="containsText" text="Sell">
      <formula>NOT(ISERROR(SEARCH("Sell",E215)))</formula>
    </cfRule>
  </conditionalFormatting>
  <conditionalFormatting sqref="E329">
    <cfRule type="containsText" dxfId="5040" priority="904" operator="containsText" text="Buy">
      <formula>NOT(ISERROR(SEARCH("Buy",E329)))</formula>
    </cfRule>
    <cfRule type="containsText" dxfId="5039" priority="905" operator="containsText" text="Sell">
      <formula>NOT(ISERROR(SEARCH("Sell",E329)))</formula>
    </cfRule>
  </conditionalFormatting>
  <conditionalFormatting sqref="E328">
    <cfRule type="containsText" dxfId="5038" priority="902" operator="containsText" text="Buy">
      <formula>NOT(ISERROR(SEARCH("Buy",E328)))</formula>
    </cfRule>
    <cfRule type="containsText" dxfId="5037" priority="903" operator="containsText" text="Sell">
      <formula>NOT(ISERROR(SEARCH("Sell",E328)))</formula>
    </cfRule>
  </conditionalFormatting>
  <conditionalFormatting sqref="E399:E401">
    <cfRule type="containsText" dxfId="5036" priority="900" operator="containsText" text="Buy">
      <formula>NOT(ISERROR(SEARCH("Buy",E399)))</formula>
    </cfRule>
    <cfRule type="containsText" dxfId="5035" priority="901" operator="containsText" text="Sell">
      <formula>NOT(ISERROR(SEARCH("Sell",E399)))</formula>
    </cfRule>
  </conditionalFormatting>
  <conditionalFormatting sqref="E384">
    <cfRule type="containsText" dxfId="5034" priority="898" operator="containsText" text="Buy">
      <formula>NOT(ISERROR(SEARCH("Buy",E384)))</formula>
    </cfRule>
    <cfRule type="containsText" dxfId="5033" priority="899" operator="containsText" text="Sell">
      <formula>NOT(ISERROR(SEARCH("Sell",E384)))</formula>
    </cfRule>
  </conditionalFormatting>
  <conditionalFormatting sqref="E383">
    <cfRule type="containsText" dxfId="5032" priority="896" operator="containsText" text="Buy">
      <formula>NOT(ISERROR(SEARCH("Buy",E383)))</formula>
    </cfRule>
    <cfRule type="containsText" dxfId="5031" priority="897" operator="containsText" text="Sell">
      <formula>NOT(ISERROR(SEARCH("Sell",E383)))</formula>
    </cfRule>
  </conditionalFormatting>
  <conditionalFormatting sqref="E220">
    <cfRule type="containsText" dxfId="5030" priority="894" operator="containsText" text="Buy">
      <formula>NOT(ISERROR(SEARCH("Buy",E220)))</formula>
    </cfRule>
    <cfRule type="containsText" dxfId="5029" priority="895" operator="containsText" text="Sell">
      <formula>NOT(ISERROR(SEARCH("Sell",E220)))</formula>
    </cfRule>
  </conditionalFormatting>
  <conditionalFormatting sqref="E349">
    <cfRule type="containsText" dxfId="5028" priority="892" operator="containsText" text="Buy">
      <formula>NOT(ISERROR(SEARCH("Buy",E349)))</formula>
    </cfRule>
    <cfRule type="containsText" dxfId="5027" priority="893" operator="containsText" text="Sell">
      <formula>NOT(ISERROR(SEARCH("Sell",E349)))</formula>
    </cfRule>
  </conditionalFormatting>
  <conditionalFormatting sqref="E346">
    <cfRule type="containsText" dxfId="5026" priority="890" operator="containsText" text="Buy">
      <formula>NOT(ISERROR(SEARCH("Buy",E346)))</formula>
    </cfRule>
    <cfRule type="containsText" dxfId="5025" priority="891" operator="containsText" text="Sell">
      <formula>NOT(ISERROR(SEARCH("Sell",E346)))</formula>
    </cfRule>
  </conditionalFormatting>
  <conditionalFormatting sqref="E211:E212">
    <cfRule type="containsText" dxfId="5024" priority="888" operator="containsText" text="Buy">
      <formula>NOT(ISERROR(SEARCH("Buy",E211)))</formula>
    </cfRule>
    <cfRule type="containsText" dxfId="5023" priority="889" operator="containsText" text="Sell">
      <formula>NOT(ISERROR(SEARCH("Sell",E211)))</formula>
    </cfRule>
  </conditionalFormatting>
  <conditionalFormatting sqref="E208:E209">
    <cfRule type="containsText" dxfId="5022" priority="886" operator="containsText" text="Buy">
      <formula>NOT(ISERROR(SEARCH("Buy",E208)))</formula>
    </cfRule>
    <cfRule type="containsText" dxfId="5021" priority="887" operator="containsText" text="Sell">
      <formula>NOT(ISERROR(SEARCH("Sell",E208)))</formula>
    </cfRule>
  </conditionalFormatting>
  <conditionalFormatting sqref="E382">
    <cfRule type="containsText" dxfId="5020" priority="884" operator="containsText" text="Buy">
      <formula>NOT(ISERROR(SEARCH("Buy",E382)))</formula>
    </cfRule>
    <cfRule type="containsText" dxfId="5019" priority="885" operator="containsText" text="Sell">
      <formula>NOT(ISERROR(SEARCH("Sell",E382)))</formula>
    </cfRule>
  </conditionalFormatting>
  <conditionalFormatting sqref="E205:E206">
    <cfRule type="containsText" dxfId="5018" priority="882" operator="containsText" text="Buy">
      <formula>NOT(ISERROR(SEARCH("Buy",E205)))</formula>
    </cfRule>
    <cfRule type="containsText" dxfId="5017" priority="883" operator="containsText" text="Sell">
      <formula>NOT(ISERROR(SEARCH("Sell",E205)))</formula>
    </cfRule>
  </conditionalFormatting>
  <conditionalFormatting sqref="E202:E203">
    <cfRule type="containsText" dxfId="5016" priority="880" operator="containsText" text="Buy">
      <formula>NOT(ISERROR(SEARCH("Buy",E202)))</formula>
    </cfRule>
    <cfRule type="containsText" dxfId="5015" priority="881" operator="containsText" text="Sell">
      <formula>NOT(ISERROR(SEARCH("Sell",E202)))</formula>
    </cfRule>
  </conditionalFormatting>
  <conditionalFormatting sqref="E274">
    <cfRule type="containsText" dxfId="5014" priority="878" operator="containsText" text="Buy">
      <formula>NOT(ISERROR(SEARCH("Buy",E274)))</formula>
    </cfRule>
    <cfRule type="containsText" dxfId="5013" priority="879" operator="containsText" text="Sell">
      <formula>NOT(ISERROR(SEARCH("Sell",E274)))</formula>
    </cfRule>
  </conditionalFormatting>
  <conditionalFormatting sqref="E200">
    <cfRule type="containsText" dxfId="5012" priority="876" operator="containsText" text="Buy">
      <formula>NOT(ISERROR(SEARCH("Buy",E200)))</formula>
    </cfRule>
    <cfRule type="containsText" dxfId="5011" priority="877" operator="containsText" text="Sell">
      <formula>NOT(ISERROR(SEARCH("Sell",E200)))</formula>
    </cfRule>
  </conditionalFormatting>
  <conditionalFormatting sqref="E199">
    <cfRule type="containsText" dxfId="5010" priority="874" operator="containsText" text="Buy">
      <formula>NOT(ISERROR(SEARCH("Buy",E199)))</formula>
    </cfRule>
    <cfRule type="containsText" dxfId="5009" priority="875" operator="containsText" text="Sell">
      <formula>NOT(ISERROR(SEARCH("Sell",E199)))</formula>
    </cfRule>
  </conditionalFormatting>
  <conditionalFormatting sqref="E411">
    <cfRule type="containsText" dxfId="5008" priority="872" operator="containsText" text="Buy">
      <formula>NOT(ISERROR(SEARCH("Buy",E411)))</formula>
    </cfRule>
    <cfRule type="containsText" dxfId="5007" priority="873" operator="containsText" text="Sell">
      <formula>NOT(ISERROR(SEARCH("Sell",E411)))</formula>
    </cfRule>
  </conditionalFormatting>
  <conditionalFormatting sqref="E428">
    <cfRule type="containsText" dxfId="5006" priority="870" operator="containsText" text="Buy">
      <formula>NOT(ISERROR(SEARCH("Buy",E428)))</formula>
    </cfRule>
    <cfRule type="containsText" dxfId="5005" priority="871" operator="containsText" text="Sell">
      <formula>NOT(ISERROR(SEARCH("Sell",E428)))</formula>
    </cfRule>
  </conditionalFormatting>
  <conditionalFormatting sqref="E191:E192">
    <cfRule type="containsText" dxfId="5004" priority="868" operator="containsText" text="Buy">
      <formula>NOT(ISERROR(SEARCH("Buy",E191)))</formula>
    </cfRule>
    <cfRule type="containsText" dxfId="5003" priority="869" operator="containsText" text="Sell">
      <formula>NOT(ISERROR(SEARCH("Sell",E191)))</formula>
    </cfRule>
  </conditionalFormatting>
  <conditionalFormatting sqref="E406">
    <cfRule type="containsText" dxfId="5002" priority="866" operator="containsText" text="Buy">
      <formula>NOT(ISERROR(SEARCH("Buy",E406)))</formula>
    </cfRule>
    <cfRule type="containsText" dxfId="5001" priority="867" operator="containsText" text="Sell">
      <formula>NOT(ISERROR(SEARCH("Sell",E406)))</formula>
    </cfRule>
  </conditionalFormatting>
  <conditionalFormatting sqref="E402">
    <cfRule type="containsText" dxfId="5000" priority="864" operator="containsText" text="Buy">
      <formula>NOT(ISERROR(SEARCH("Buy",E402)))</formula>
    </cfRule>
    <cfRule type="containsText" dxfId="4999" priority="865" operator="containsText" text="Sell">
      <formula>NOT(ISERROR(SEARCH("Sell",E402)))</formula>
    </cfRule>
  </conditionalFormatting>
  <conditionalFormatting sqref="E140:E141 E183 E180 E177 E174 E165 E144 E159">
    <cfRule type="containsText" dxfId="4998" priority="862" operator="containsText" text="Buy">
      <formula>NOT(ISERROR(SEARCH("Buy",E140)))</formula>
    </cfRule>
    <cfRule type="containsText" dxfId="4997" priority="863" operator="containsText" text="Sell">
      <formula>NOT(ISERROR(SEARCH("Sell",E140)))</formula>
    </cfRule>
  </conditionalFormatting>
  <conditionalFormatting sqref="E273">
    <cfRule type="containsText" dxfId="4996" priority="860" operator="containsText" text="Buy">
      <formula>NOT(ISERROR(SEARCH("Buy",E273)))</formula>
    </cfRule>
    <cfRule type="containsText" dxfId="4995" priority="861" operator="containsText" text="Sell">
      <formula>NOT(ISERROR(SEARCH("Sell",E273)))</formula>
    </cfRule>
  </conditionalFormatting>
  <conditionalFormatting sqref="E327">
    <cfRule type="containsText" dxfId="4994" priority="858" operator="containsText" text="Buy">
      <formula>NOT(ISERROR(SEARCH("Buy",E327)))</formula>
    </cfRule>
    <cfRule type="containsText" dxfId="4993" priority="859" operator="containsText" text="Sell">
      <formula>NOT(ISERROR(SEARCH("Sell",E327)))</formula>
    </cfRule>
  </conditionalFormatting>
  <conditionalFormatting sqref="E282">
    <cfRule type="containsText" dxfId="4992" priority="856" operator="containsText" text="Buy">
      <formula>NOT(ISERROR(SEARCH("Buy",E282)))</formula>
    </cfRule>
    <cfRule type="containsText" dxfId="4991" priority="857" operator="containsText" text="Sell">
      <formula>NOT(ISERROR(SEARCH("Sell",E282)))</formula>
    </cfRule>
  </conditionalFormatting>
  <conditionalFormatting sqref="E217">
    <cfRule type="containsText" dxfId="4990" priority="854" operator="containsText" text="Buy">
      <formula>NOT(ISERROR(SEARCH("Buy",E217)))</formula>
    </cfRule>
    <cfRule type="containsText" dxfId="4989" priority="855" operator="containsText" text="Sell">
      <formula>NOT(ISERROR(SEARCH("Sell",E217)))</formula>
    </cfRule>
  </conditionalFormatting>
  <conditionalFormatting sqref="E373">
    <cfRule type="containsText" dxfId="4988" priority="850" operator="containsText" text="Buy">
      <formula>NOT(ISERROR(SEARCH("Buy",E373)))</formula>
    </cfRule>
    <cfRule type="containsText" dxfId="4987" priority="851" operator="containsText" text="Sell">
      <formula>NOT(ISERROR(SEARCH("Sell",E373)))</formula>
    </cfRule>
  </conditionalFormatting>
  <conditionalFormatting sqref="E122">
    <cfRule type="containsText" dxfId="4986" priority="852" operator="containsText" text="Buy">
      <formula>NOT(ISERROR(SEARCH("Buy",E122)))</formula>
    </cfRule>
    <cfRule type="containsText" dxfId="4985" priority="853" operator="containsText" text="Sell">
      <formula>NOT(ISERROR(SEARCH("Sell",E122)))</formula>
    </cfRule>
  </conditionalFormatting>
  <conditionalFormatting sqref="E272">
    <cfRule type="containsText" dxfId="4984" priority="842" operator="containsText" text="Buy">
      <formula>NOT(ISERROR(SEARCH("Buy",E272)))</formula>
    </cfRule>
    <cfRule type="containsText" dxfId="4983" priority="843" operator="containsText" text="Sell">
      <formula>NOT(ISERROR(SEARCH("Sell",E272)))</formula>
    </cfRule>
  </conditionalFormatting>
  <conditionalFormatting sqref="E138">
    <cfRule type="containsText" dxfId="4982" priority="848" operator="containsText" text="Buy">
      <formula>NOT(ISERROR(SEARCH("Buy",E138)))</formula>
    </cfRule>
    <cfRule type="containsText" dxfId="4981" priority="849" operator="containsText" text="Sell">
      <formula>NOT(ISERROR(SEARCH("Sell",E138)))</formula>
    </cfRule>
  </conditionalFormatting>
  <conditionalFormatting sqref="E427">
    <cfRule type="containsText" dxfId="4980" priority="846" operator="containsText" text="Buy">
      <formula>NOT(ISERROR(SEARCH("Buy",E427)))</formula>
    </cfRule>
    <cfRule type="containsText" dxfId="4979" priority="847" operator="containsText" text="Sell">
      <formula>NOT(ISERROR(SEARCH("Sell",E427)))</formula>
    </cfRule>
  </conditionalFormatting>
  <conditionalFormatting sqref="E188:E189">
    <cfRule type="containsText" dxfId="4978" priority="844" operator="containsText" text="Buy">
      <formula>NOT(ISERROR(SEARCH("Buy",E188)))</formula>
    </cfRule>
    <cfRule type="containsText" dxfId="4977" priority="845" operator="containsText" text="Sell">
      <formula>NOT(ISERROR(SEARCH("Sell",E188)))</formula>
    </cfRule>
  </conditionalFormatting>
  <conditionalFormatting sqref="E137">
    <cfRule type="containsText" dxfId="4976" priority="840" operator="containsText" text="Buy">
      <formula>NOT(ISERROR(SEARCH("Buy",E137)))</formula>
    </cfRule>
    <cfRule type="containsText" dxfId="4975" priority="841" operator="containsText" text="Sell">
      <formula>NOT(ISERROR(SEARCH("Sell",E137)))</formula>
    </cfRule>
  </conditionalFormatting>
  <conditionalFormatting sqref="E345">
    <cfRule type="containsText" dxfId="4974" priority="838" operator="containsText" text="Buy">
      <formula>NOT(ISERROR(SEARCH("Buy",E345)))</formula>
    </cfRule>
    <cfRule type="containsText" dxfId="4973" priority="839" operator="containsText" text="Sell">
      <formula>NOT(ISERROR(SEARCH("Sell",E345)))</formula>
    </cfRule>
  </conditionalFormatting>
  <conditionalFormatting sqref="E184:E185">
    <cfRule type="containsText" dxfId="4972" priority="836" operator="containsText" text="Buy">
      <formula>NOT(ISERROR(SEARCH("Buy",E184)))</formula>
    </cfRule>
    <cfRule type="containsText" dxfId="4971" priority="837" operator="containsText" text="Sell">
      <formula>NOT(ISERROR(SEARCH("Sell",E184)))</formula>
    </cfRule>
  </conditionalFormatting>
  <conditionalFormatting sqref="E422">
    <cfRule type="containsText" dxfId="4970" priority="834" operator="containsText" text="Buy">
      <formula>NOT(ISERROR(SEARCH("Buy",E422)))</formula>
    </cfRule>
    <cfRule type="containsText" dxfId="4969" priority="835" operator="containsText" text="Sell">
      <formula>NOT(ISERROR(SEARCH("Sell",E422)))</formula>
    </cfRule>
  </conditionalFormatting>
  <conditionalFormatting sqref="E181:E182">
    <cfRule type="containsText" dxfId="4968" priority="832" operator="containsText" text="Buy">
      <formula>NOT(ISERROR(SEARCH("Buy",E181)))</formula>
    </cfRule>
    <cfRule type="containsText" dxfId="4967" priority="833" operator="containsText" text="Sell">
      <formula>NOT(ISERROR(SEARCH("Sell",E181)))</formula>
    </cfRule>
  </conditionalFormatting>
  <conditionalFormatting sqref="E178:E179">
    <cfRule type="containsText" dxfId="4966" priority="830" operator="containsText" text="Buy">
      <formula>NOT(ISERROR(SEARCH("Buy",E178)))</formula>
    </cfRule>
    <cfRule type="containsText" dxfId="4965" priority="831" operator="containsText" text="Sell">
      <formula>NOT(ISERROR(SEARCH("Sell",E178)))</formula>
    </cfRule>
  </conditionalFormatting>
  <conditionalFormatting sqref="E312">
    <cfRule type="containsText" dxfId="4964" priority="828" operator="containsText" text="Buy">
      <formula>NOT(ISERROR(SEARCH("Buy",E312)))</formula>
    </cfRule>
    <cfRule type="containsText" dxfId="4963" priority="829" operator="containsText" text="Sell">
      <formula>NOT(ISERROR(SEARCH("Sell",E312)))</formula>
    </cfRule>
  </conditionalFormatting>
  <conditionalFormatting sqref="E426">
    <cfRule type="containsText" dxfId="4962" priority="826" operator="containsText" text="Buy">
      <formula>NOT(ISERROR(SEARCH("Buy",E426)))</formula>
    </cfRule>
    <cfRule type="containsText" dxfId="4961" priority="827" operator="containsText" text="Sell">
      <formula>NOT(ISERROR(SEARCH("Sell",E426)))</formula>
    </cfRule>
  </conditionalFormatting>
  <conditionalFormatting sqref="E410">
    <cfRule type="containsText" dxfId="4960" priority="824" operator="containsText" text="Buy">
      <formula>NOT(ISERROR(SEARCH("Buy",E410)))</formula>
    </cfRule>
    <cfRule type="containsText" dxfId="4959" priority="825" operator="containsText" text="Sell">
      <formula>NOT(ISERROR(SEARCH("Sell",E410)))</formula>
    </cfRule>
  </conditionalFormatting>
  <conditionalFormatting sqref="E187">
    <cfRule type="containsText" dxfId="4958" priority="822" operator="containsText" text="Buy">
      <formula>NOT(ISERROR(SEARCH("Buy",E187)))</formula>
    </cfRule>
    <cfRule type="containsText" dxfId="4957" priority="823" operator="containsText" text="Sell">
      <formula>NOT(ISERROR(SEARCH("Sell",E187)))</formula>
    </cfRule>
  </conditionalFormatting>
  <conditionalFormatting sqref="E175:E176">
    <cfRule type="containsText" dxfId="4956" priority="820" operator="containsText" text="Buy">
      <formula>NOT(ISERROR(SEARCH("Buy",E175)))</formula>
    </cfRule>
    <cfRule type="containsText" dxfId="4955" priority="821" operator="containsText" text="Sell">
      <formula>NOT(ISERROR(SEARCH("Sell",E175)))</formula>
    </cfRule>
  </conditionalFormatting>
  <conditionalFormatting sqref="E169:E171">
    <cfRule type="containsText" dxfId="4954" priority="818" operator="containsText" text="Buy">
      <formula>NOT(ISERROR(SEARCH("Buy",E169)))</formula>
    </cfRule>
    <cfRule type="containsText" dxfId="4953" priority="819" operator="containsText" text="Sell">
      <formula>NOT(ISERROR(SEARCH("Sell",E169)))</formula>
    </cfRule>
  </conditionalFormatting>
  <conditionalFormatting sqref="E194">
    <cfRule type="containsText" dxfId="4952" priority="816" operator="containsText" text="Buy">
      <formula>NOT(ISERROR(SEARCH("Buy",E194)))</formula>
    </cfRule>
    <cfRule type="containsText" dxfId="4951" priority="817" operator="containsText" text="Sell">
      <formula>NOT(ISERROR(SEARCH("Sell",E194)))</formula>
    </cfRule>
  </conditionalFormatting>
  <conditionalFormatting sqref="E372">
    <cfRule type="containsText" dxfId="4950" priority="814" operator="containsText" text="Buy">
      <formula>NOT(ISERROR(SEARCH("Buy",E372)))</formula>
    </cfRule>
    <cfRule type="containsText" dxfId="4949" priority="815" operator="containsText" text="Sell">
      <formula>NOT(ISERROR(SEARCH("Sell",E372)))</formula>
    </cfRule>
  </conditionalFormatting>
  <conditionalFormatting sqref="E343">
    <cfRule type="containsText" dxfId="4948" priority="810" operator="containsText" text="Buy">
      <formula>NOT(ISERROR(SEARCH("Buy",E343)))</formula>
    </cfRule>
    <cfRule type="containsText" dxfId="4947" priority="811" operator="containsText" text="Sell">
      <formula>NOT(ISERROR(SEARCH("Sell",E343)))</formula>
    </cfRule>
  </conditionalFormatting>
  <conditionalFormatting sqref="E302">
    <cfRule type="containsText" dxfId="4946" priority="808" operator="containsText" text="Buy">
      <formula>NOT(ISERROR(SEARCH("Buy",E302)))</formula>
    </cfRule>
    <cfRule type="containsText" dxfId="4945" priority="809" operator="containsText" text="Sell">
      <formula>NOT(ISERROR(SEARCH("Sell",E302)))</formula>
    </cfRule>
  </conditionalFormatting>
  <conditionalFormatting sqref="E344">
    <cfRule type="containsText" dxfId="4944" priority="812" operator="containsText" text="Buy">
      <formula>NOT(ISERROR(SEARCH("Buy",E344)))</formula>
    </cfRule>
    <cfRule type="containsText" dxfId="4943" priority="813" operator="containsText" text="Sell">
      <formula>NOT(ISERROR(SEARCH("Sell",E344)))</formula>
    </cfRule>
  </conditionalFormatting>
  <conditionalFormatting sqref="E119">
    <cfRule type="containsText" dxfId="4942" priority="806" operator="containsText" text="Buy">
      <formula>NOT(ISERROR(SEARCH("Buy",E119)))</formula>
    </cfRule>
    <cfRule type="containsText" dxfId="4941" priority="807" operator="containsText" text="Sell">
      <formula>NOT(ISERROR(SEARCH("Sell",E119)))</formula>
    </cfRule>
  </conditionalFormatting>
  <conditionalFormatting sqref="E232">
    <cfRule type="containsText" dxfId="4940" priority="804" operator="containsText" text="Buy">
      <formula>NOT(ISERROR(SEARCH("Buy",E232)))</formula>
    </cfRule>
    <cfRule type="containsText" dxfId="4939" priority="805" operator="containsText" text="Sell">
      <formula>NOT(ISERROR(SEARCH("Sell",E232)))</formula>
    </cfRule>
  </conditionalFormatting>
  <conditionalFormatting sqref="E142:E143">
    <cfRule type="containsText" dxfId="4938" priority="798" operator="containsText" text="Buy">
      <formula>NOT(ISERROR(SEARCH("Buy",E142)))</formula>
    </cfRule>
    <cfRule type="containsText" dxfId="4937" priority="799" operator="containsText" text="Sell">
      <formula>NOT(ISERROR(SEARCH("Sell",E142)))</formula>
    </cfRule>
  </conditionalFormatting>
  <conditionalFormatting sqref="E71">
    <cfRule type="containsText" dxfId="4936" priority="802" operator="containsText" text="Buy">
      <formula>NOT(ISERROR(SEARCH("Buy",E71)))</formula>
    </cfRule>
    <cfRule type="containsText" dxfId="4935" priority="803" operator="containsText" text="Sell">
      <formula>NOT(ISERROR(SEARCH("Sell",E71)))</formula>
    </cfRule>
  </conditionalFormatting>
  <conditionalFormatting sqref="E160:E162">
    <cfRule type="containsText" dxfId="4934" priority="800" operator="containsText" text="Buy">
      <formula>NOT(ISERROR(SEARCH("Buy",E160)))</formula>
    </cfRule>
    <cfRule type="containsText" dxfId="4933" priority="801" operator="containsText" text="Sell">
      <formula>NOT(ISERROR(SEARCH("Sell",E160)))</formula>
    </cfRule>
  </conditionalFormatting>
  <conditionalFormatting sqref="E145:E147">
    <cfRule type="containsText" dxfId="4932" priority="796" operator="containsText" text="Buy">
      <formula>NOT(ISERROR(SEARCH("Buy",E145)))</formula>
    </cfRule>
    <cfRule type="containsText" dxfId="4931" priority="797" operator="containsText" text="Sell">
      <formula>NOT(ISERROR(SEARCH("Sell",E145)))</formula>
    </cfRule>
  </conditionalFormatting>
  <conditionalFormatting sqref="E148:E150">
    <cfRule type="containsText" dxfId="4930" priority="794" operator="containsText" text="Buy">
      <formula>NOT(ISERROR(SEARCH("Buy",E148)))</formula>
    </cfRule>
    <cfRule type="containsText" dxfId="4929" priority="795" operator="containsText" text="Sell">
      <formula>NOT(ISERROR(SEARCH("Sell",E148)))</formula>
    </cfRule>
  </conditionalFormatting>
  <conditionalFormatting sqref="E151:E153">
    <cfRule type="containsText" dxfId="4928" priority="792" operator="containsText" text="Buy">
      <formula>NOT(ISERROR(SEARCH("Buy",E151)))</formula>
    </cfRule>
    <cfRule type="containsText" dxfId="4927" priority="793" operator="containsText" text="Sell">
      <formula>NOT(ISERROR(SEARCH("Sell",E151)))</formula>
    </cfRule>
  </conditionalFormatting>
  <conditionalFormatting sqref="E154:E156">
    <cfRule type="containsText" dxfId="4926" priority="790" operator="containsText" text="Buy">
      <formula>NOT(ISERROR(SEARCH("Buy",E154)))</formula>
    </cfRule>
    <cfRule type="containsText" dxfId="4925" priority="791" operator="containsText" text="Sell">
      <formula>NOT(ISERROR(SEARCH("Sell",E154)))</formula>
    </cfRule>
  </conditionalFormatting>
  <conditionalFormatting sqref="E157:E158">
    <cfRule type="containsText" dxfId="4924" priority="788" operator="containsText" text="Buy">
      <formula>NOT(ISERROR(SEARCH("Buy",E157)))</formula>
    </cfRule>
    <cfRule type="containsText" dxfId="4923" priority="789" operator="containsText" text="Sell">
      <formula>NOT(ISERROR(SEARCH("Sell",E157)))</formula>
    </cfRule>
  </conditionalFormatting>
  <conditionalFormatting sqref="E172:E173">
    <cfRule type="containsText" dxfId="4922" priority="786" operator="containsText" text="Buy">
      <formula>NOT(ISERROR(SEARCH("Buy",E172)))</formula>
    </cfRule>
    <cfRule type="containsText" dxfId="4921" priority="787" operator="containsText" text="Sell">
      <formula>NOT(ISERROR(SEARCH("Sell",E172)))</formula>
    </cfRule>
  </conditionalFormatting>
  <conditionalFormatting sqref="E214">
    <cfRule type="containsText" dxfId="4920" priority="784" operator="containsText" text="Buy">
      <formula>NOT(ISERROR(SEARCH("Buy",E214)))</formula>
    </cfRule>
    <cfRule type="containsText" dxfId="4919" priority="785" operator="containsText" text="Sell">
      <formula>NOT(ISERROR(SEARCH("Sell",E214)))</formula>
    </cfRule>
  </conditionalFormatting>
  <conditionalFormatting sqref="E129">
    <cfRule type="containsText" dxfId="4918" priority="782" operator="containsText" text="Buy">
      <formula>NOT(ISERROR(SEARCH("Buy",E129)))</formula>
    </cfRule>
    <cfRule type="containsText" dxfId="4917" priority="783" operator="containsText" text="Sell">
      <formula>NOT(ISERROR(SEARCH("Sell",E129)))</formula>
    </cfRule>
  </conditionalFormatting>
  <conditionalFormatting sqref="E163:E164">
    <cfRule type="containsText" dxfId="4916" priority="778" operator="containsText" text="Buy">
      <formula>NOT(ISERROR(SEARCH("Buy",E163)))</formula>
    </cfRule>
    <cfRule type="containsText" dxfId="4915" priority="779" operator="containsText" text="Sell">
      <formula>NOT(ISERROR(SEARCH("Sell",E163)))</formula>
    </cfRule>
  </conditionalFormatting>
  <conditionalFormatting sqref="E166:E167">
    <cfRule type="containsText" dxfId="4914" priority="776" operator="containsText" text="Buy">
      <formula>NOT(ISERROR(SEARCH("Buy",E166)))</formula>
    </cfRule>
    <cfRule type="containsText" dxfId="4913" priority="777" operator="containsText" text="Sell">
      <formula>NOT(ISERROR(SEARCH("Sell",E166)))</formula>
    </cfRule>
  </conditionalFormatting>
  <conditionalFormatting sqref="E379">
    <cfRule type="containsText" dxfId="4912" priority="774" operator="containsText" text="Buy">
      <formula>NOT(ISERROR(SEARCH("Buy",E379)))</formula>
    </cfRule>
    <cfRule type="containsText" dxfId="4911" priority="775" operator="containsText" text="Sell">
      <formula>NOT(ISERROR(SEARCH("Sell",E379)))</formula>
    </cfRule>
  </conditionalFormatting>
  <conditionalFormatting sqref="E198">
    <cfRule type="containsText" dxfId="4910" priority="772" operator="containsText" text="Buy">
      <formula>NOT(ISERROR(SEARCH("Buy",E198)))</formula>
    </cfRule>
    <cfRule type="containsText" dxfId="4909" priority="773" operator="containsText" text="Sell">
      <formula>NOT(ISERROR(SEARCH("Sell",E198)))</formula>
    </cfRule>
  </conditionalFormatting>
  <conditionalFormatting sqref="E197">
    <cfRule type="containsText" dxfId="4908" priority="770" operator="containsText" text="Buy">
      <formula>NOT(ISERROR(SEARCH("Buy",E197)))</formula>
    </cfRule>
    <cfRule type="containsText" dxfId="4907" priority="771" operator="containsText" text="Sell">
      <formula>NOT(ISERROR(SEARCH("Sell",E197)))</formula>
    </cfRule>
  </conditionalFormatting>
  <conditionalFormatting sqref="E196">
    <cfRule type="containsText" dxfId="4906" priority="768" operator="containsText" text="Buy">
      <formula>NOT(ISERROR(SEARCH("Buy",E196)))</formula>
    </cfRule>
    <cfRule type="containsText" dxfId="4905" priority="769" operator="containsText" text="Sell">
      <formula>NOT(ISERROR(SEARCH("Sell",E196)))</formula>
    </cfRule>
  </conditionalFormatting>
  <conditionalFormatting sqref="E195">
    <cfRule type="containsText" dxfId="4904" priority="766" operator="containsText" text="Buy">
      <formula>NOT(ISERROR(SEARCH("Buy",E195)))</formula>
    </cfRule>
    <cfRule type="containsText" dxfId="4903" priority="767" operator="containsText" text="Sell">
      <formula>NOT(ISERROR(SEARCH("Sell",E195)))</formula>
    </cfRule>
  </conditionalFormatting>
  <conditionalFormatting sqref="E218:E219">
    <cfRule type="containsText" dxfId="4902" priority="764" operator="containsText" text="Buy">
      <formula>NOT(ISERROR(SEARCH("Buy",E218)))</formula>
    </cfRule>
    <cfRule type="containsText" dxfId="4901" priority="765" operator="containsText" text="Sell">
      <formula>NOT(ISERROR(SEARCH("Sell",E218)))</formula>
    </cfRule>
  </conditionalFormatting>
  <conditionalFormatting sqref="E292:E294">
    <cfRule type="containsText" dxfId="4900" priority="762" operator="containsText" text="Buy">
      <formula>NOT(ISERROR(SEARCH("Buy",E292)))</formula>
    </cfRule>
    <cfRule type="containsText" dxfId="4899" priority="763" operator="containsText" text="Sell">
      <formula>NOT(ISERROR(SEARCH("Sell",E292)))</formula>
    </cfRule>
  </conditionalFormatting>
  <conditionalFormatting sqref="E271">
    <cfRule type="containsText" dxfId="4898" priority="760" operator="containsText" text="Buy">
      <formula>NOT(ISERROR(SEARCH("Buy",E271)))</formula>
    </cfRule>
    <cfRule type="containsText" dxfId="4897" priority="761" operator="containsText" text="Sell">
      <formula>NOT(ISERROR(SEARCH("Sell",E271)))</formula>
    </cfRule>
  </conditionalFormatting>
  <conditionalFormatting sqref="E270">
    <cfRule type="containsText" dxfId="4896" priority="758" operator="containsText" text="Buy">
      <formula>NOT(ISERROR(SEARCH("Buy",E270)))</formula>
    </cfRule>
    <cfRule type="containsText" dxfId="4895" priority="759" operator="containsText" text="Sell">
      <formula>NOT(ISERROR(SEARCH("Sell",E270)))</formula>
    </cfRule>
  </conditionalFormatting>
  <conditionalFormatting sqref="E136">
    <cfRule type="containsText" dxfId="4894" priority="756" operator="containsText" text="Buy">
      <formula>NOT(ISERROR(SEARCH("Buy",E136)))</formula>
    </cfRule>
    <cfRule type="containsText" dxfId="4893" priority="757" operator="containsText" text="Sell">
      <formula>NOT(ISERROR(SEARCH("Sell",E136)))</formula>
    </cfRule>
  </conditionalFormatting>
  <conditionalFormatting sqref="E264">
    <cfRule type="containsText" dxfId="4892" priority="754" operator="containsText" text="Buy">
      <formula>NOT(ISERROR(SEARCH("Buy",E264)))</formula>
    </cfRule>
    <cfRule type="containsText" dxfId="4891" priority="755" operator="containsText" text="Sell">
      <formula>NOT(ISERROR(SEARCH("Sell",E264)))</formula>
    </cfRule>
  </conditionalFormatting>
  <conditionalFormatting sqref="E269">
    <cfRule type="containsText" dxfId="4890" priority="752" operator="containsText" text="Buy">
      <formula>NOT(ISERROR(SEARCH("Buy",E269)))</formula>
    </cfRule>
    <cfRule type="containsText" dxfId="4889" priority="753" operator="containsText" text="Sell">
      <formula>NOT(ISERROR(SEARCH("Sell",E269)))</formula>
    </cfRule>
  </conditionalFormatting>
  <conditionalFormatting sqref="E268">
    <cfRule type="containsText" dxfId="4888" priority="750" operator="containsText" text="Buy">
      <formula>NOT(ISERROR(SEARCH("Buy",E268)))</formula>
    </cfRule>
    <cfRule type="containsText" dxfId="4887" priority="751" operator="containsText" text="Sell">
      <formula>NOT(ISERROR(SEARCH("Sell",E268)))</formula>
    </cfRule>
  </conditionalFormatting>
  <conditionalFormatting sqref="E378">
    <cfRule type="containsText" dxfId="4886" priority="748" operator="containsText" text="Buy">
      <formula>NOT(ISERROR(SEARCH("Buy",E378)))</formula>
    </cfRule>
    <cfRule type="containsText" dxfId="4885" priority="749" operator="containsText" text="Sell">
      <formula>NOT(ISERROR(SEARCH("Sell",E378)))</formula>
    </cfRule>
  </conditionalFormatting>
  <conditionalFormatting sqref="E253:E254">
    <cfRule type="containsText" dxfId="4884" priority="746" operator="containsText" text="Buy">
      <formula>NOT(ISERROR(SEARCH("Buy",E253)))</formula>
    </cfRule>
    <cfRule type="containsText" dxfId="4883" priority="747" operator="containsText" text="Sell">
      <formula>NOT(ISERROR(SEARCH("Sell",E253)))</formula>
    </cfRule>
  </conditionalFormatting>
  <conditionalFormatting sqref="E377">
    <cfRule type="containsText" dxfId="4882" priority="744" operator="containsText" text="Buy">
      <formula>NOT(ISERROR(SEARCH("Buy",E377)))</formula>
    </cfRule>
    <cfRule type="containsText" dxfId="4881" priority="745" operator="containsText" text="Sell">
      <formula>NOT(ISERROR(SEARCH("Sell",E377)))</formula>
    </cfRule>
  </conditionalFormatting>
  <conditionalFormatting sqref="E252">
    <cfRule type="containsText" dxfId="4880" priority="742" operator="containsText" text="Buy">
      <formula>NOT(ISERROR(SEARCH("Buy",E252)))</formula>
    </cfRule>
    <cfRule type="containsText" dxfId="4879" priority="743" operator="containsText" text="Sell">
      <formula>NOT(ISERROR(SEARCH("Sell",E252)))</formula>
    </cfRule>
  </conditionalFormatting>
  <conditionalFormatting sqref="E376">
    <cfRule type="containsText" dxfId="4878" priority="738" operator="containsText" text="Buy">
      <formula>NOT(ISERROR(SEARCH("Buy",E376)))</formula>
    </cfRule>
    <cfRule type="containsText" dxfId="4877" priority="739" operator="containsText" text="Sell">
      <formula>NOT(ISERROR(SEARCH("Sell",E376)))</formula>
    </cfRule>
  </conditionalFormatting>
  <conditionalFormatting sqref="E263">
    <cfRule type="containsText" dxfId="4876" priority="734" operator="containsText" text="Buy">
      <formula>NOT(ISERROR(SEARCH("Buy",E263)))</formula>
    </cfRule>
    <cfRule type="containsText" dxfId="4875" priority="735" operator="containsText" text="Sell">
      <formula>NOT(ISERROR(SEARCH("Sell",E263)))</formula>
    </cfRule>
  </conditionalFormatting>
  <conditionalFormatting sqref="E259">
    <cfRule type="containsText" dxfId="4874" priority="736" operator="containsText" text="Buy">
      <formula>NOT(ISERROR(SEARCH("Buy",E259)))</formula>
    </cfRule>
    <cfRule type="containsText" dxfId="4873" priority="737" operator="containsText" text="Sell">
      <formula>NOT(ISERROR(SEARCH("Sell",E259)))</formula>
    </cfRule>
  </conditionalFormatting>
  <conditionalFormatting sqref="E111">
    <cfRule type="containsText" dxfId="4872" priority="732" operator="containsText" text="Buy">
      <formula>NOT(ISERROR(SEARCH("Buy",E111)))</formula>
    </cfRule>
    <cfRule type="containsText" dxfId="4871" priority="733" operator="containsText" text="Sell">
      <formula>NOT(ISERROR(SEARCH("Sell",E111)))</formula>
    </cfRule>
  </conditionalFormatting>
  <conditionalFormatting sqref="E125">
    <cfRule type="containsText" dxfId="4870" priority="728" operator="containsText" text="Buy">
      <formula>NOT(ISERROR(SEARCH("Buy",E125)))</formula>
    </cfRule>
    <cfRule type="containsText" dxfId="4869" priority="729" operator="containsText" text="Sell">
      <formula>NOT(ISERROR(SEARCH("Sell",E125)))</formula>
    </cfRule>
  </conditionalFormatting>
  <conditionalFormatting sqref="E258">
    <cfRule type="containsText" dxfId="4868" priority="730" operator="containsText" text="Buy">
      <formula>NOT(ISERROR(SEARCH("Buy",E258)))</formula>
    </cfRule>
    <cfRule type="containsText" dxfId="4867" priority="731" operator="containsText" text="Sell">
      <formula>NOT(ISERROR(SEARCH("Sell",E258)))</formula>
    </cfRule>
  </conditionalFormatting>
  <conditionalFormatting sqref="E108">
    <cfRule type="containsText" dxfId="4866" priority="724" operator="containsText" text="Buy">
      <formula>NOT(ISERROR(SEARCH("Buy",E108)))</formula>
    </cfRule>
    <cfRule type="containsText" dxfId="4865" priority="725" operator="containsText" text="Sell">
      <formula>NOT(ISERROR(SEARCH("Sell",E108)))</formula>
    </cfRule>
  </conditionalFormatting>
  <conditionalFormatting sqref="E73:E74">
    <cfRule type="containsText" dxfId="4864" priority="718" operator="containsText" text="Buy">
      <formula>NOT(ISERROR(SEARCH("Buy",E73)))</formula>
    </cfRule>
    <cfRule type="containsText" dxfId="4863" priority="719" operator="containsText" text="Sell">
      <formula>NOT(ISERROR(SEARCH("Sell",E73)))</formula>
    </cfRule>
  </conditionalFormatting>
  <conditionalFormatting sqref="E72">
    <cfRule type="containsText" dxfId="4862" priority="716" operator="containsText" text="Buy">
      <formula>NOT(ISERROR(SEARCH("Buy",E72)))</formula>
    </cfRule>
    <cfRule type="containsText" dxfId="4861" priority="717" operator="containsText" text="Sell">
      <formula>NOT(ISERROR(SEARCH("Sell",E72)))</formula>
    </cfRule>
  </conditionalFormatting>
  <conditionalFormatting sqref="E104">
    <cfRule type="containsText" dxfId="4860" priority="714" operator="containsText" text="Buy">
      <formula>NOT(ISERROR(SEARCH("Buy",E104)))</formula>
    </cfRule>
    <cfRule type="containsText" dxfId="4859" priority="715" operator="containsText" text="Sell">
      <formula>NOT(ISERROR(SEARCH("Sell",E104)))</formula>
    </cfRule>
  </conditionalFormatting>
  <conditionalFormatting sqref="E75:E77">
    <cfRule type="containsText" dxfId="4858" priority="702" operator="containsText" text="Buy">
      <formula>NOT(ISERROR(SEARCH("Buy",E75)))</formula>
    </cfRule>
    <cfRule type="containsText" dxfId="4857" priority="703" operator="containsText" text="Sell">
      <formula>NOT(ISERROR(SEARCH("Sell",E75)))</formula>
    </cfRule>
  </conditionalFormatting>
  <conditionalFormatting sqref="E80 E83">
    <cfRule type="containsText" dxfId="4856" priority="704" operator="containsText" text="Buy">
      <formula>NOT(ISERROR(SEARCH("Buy",E80)))</formula>
    </cfRule>
    <cfRule type="containsText" dxfId="4855" priority="705" operator="containsText" text="Sell">
      <formula>NOT(ISERROR(SEARCH("Sell",E80)))</formula>
    </cfRule>
  </conditionalFormatting>
  <conditionalFormatting sqref="E81">
    <cfRule type="containsText" dxfId="4854" priority="689" operator="containsText" text="Buy">
      <formula>NOT(ISERROR(SEARCH("Buy",E81)))</formula>
    </cfRule>
    <cfRule type="containsText" dxfId="4853" priority="690" operator="containsText" text="Sell">
      <formula>NOT(ISERROR(SEARCH("Sell",E81)))</formula>
    </cfRule>
  </conditionalFormatting>
  <conditionalFormatting sqref="E82">
    <cfRule type="containsText" dxfId="4852" priority="691" operator="containsText" text="Buy">
      <formula>NOT(ISERROR(SEARCH("Buy",E82)))</formula>
    </cfRule>
    <cfRule type="containsText" dxfId="4851" priority="692" operator="containsText" text="Sell">
      <formula>NOT(ISERROR(SEARCH("Sell",E82)))</formula>
    </cfRule>
  </conditionalFormatting>
  <conditionalFormatting sqref="E88 E93 E97">
    <cfRule type="containsText" dxfId="4850" priority="663" operator="containsText" text="Buy">
      <formula>NOT(ISERROR(SEARCH("Buy",E88)))</formula>
    </cfRule>
    <cfRule type="containsText" dxfId="4849" priority="664" operator="containsText" text="Sell">
      <formula>NOT(ISERROR(SEARCH("Sell",E88)))</formula>
    </cfRule>
  </conditionalFormatting>
  <conditionalFormatting sqref="E90">
    <cfRule type="containsText" dxfId="4848" priority="647" operator="containsText" text="Buy">
      <formula>NOT(ISERROR(SEARCH("Buy",E90)))</formula>
    </cfRule>
    <cfRule type="containsText" dxfId="4847" priority="648" operator="containsText" text="Sell">
      <formula>NOT(ISERROR(SEARCH("Sell",E90)))</formula>
    </cfRule>
  </conditionalFormatting>
  <conditionalFormatting sqref="E85">
    <cfRule type="containsText" dxfId="4846" priority="651" operator="containsText" text="Buy">
      <formula>NOT(ISERROR(SEARCH("Buy",E85)))</formula>
    </cfRule>
    <cfRule type="containsText" dxfId="4845" priority="652" operator="containsText" text="Sell">
      <formula>NOT(ISERROR(SEARCH("Sell",E85)))</formula>
    </cfRule>
  </conditionalFormatting>
  <conditionalFormatting sqref="E87">
    <cfRule type="containsText" dxfId="4844" priority="653" operator="containsText" text="Buy">
      <formula>NOT(ISERROR(SEARCH("Buy",E87)))</formula>
    </cfRule>
    <cfRule type="containsText" dxfId="4843" priority="654" operator="containsText" text="Sell">
      <formula>NOT(ISERROR(SEARCH("Sell",E87)))</formula>
    </cfRule>
  </conditionalFormatting>
  <conditionalFormatting sqref="E92">
    <cfRule type="containsText" dxfId="4842" priority="649" operator="containsText" text="Buy">
      <formula>NOT(ISERROR(SEARCH("Buy",E92)))</formula>
    </cfRule>
    <cfRule type="containsText" dxfId="4841" priority="650" operator="containsText" text="Sell">
      <formula>NOT(ISERROR(SEARCH("Sell",E92)))</formula>
    </cfRule>
  </conditionalFormatting>
  <conditionalFormatting sqref="L9:M9">
    <cfRule type="dataBar" priority="6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{57C34A01-2D32-4154-B7E4-940D0655CD4A}</x14:id>
        </ext>
      </extLst>
    </cfRule>
  </conditionalFormatting>
  <conditionalFormatting sqref="L9:M9">
    <cfRule type="dataBar" priority="6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{32ED8B76-8509-4DCC-8C1C-BEDE2ECB7D40}</x14:id>
        </ext>
      </extLst>
    </cfRule>
  </conditionalFormatting>
  <conditionalFormatting sqref="L9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{30BDA17D-69C2-4DC0-8BE7-D30E3AC48DE8}</x14:id>
        </ext>
      </extLst>
    </cfRule>
  </conditionalFormatting>
  <conditionalFormatting sqref="M9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{4B0996EA-ACCD-410F-A7A8-0439CD61890F}</x14:id>
        </ext>
      </extLst>
    </cfRule>
  </conditionalFormatting>
  <conditionalFormatting sqref="U9">
    <cfRule type="dataBar" priority="6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{A0FF6757-CD61-4699-B501-D5A718D7538D}</x14:id>
        </ext>
      </extLst>
    </cfRule>
  </conditionalFormatting>
  <conditionalFormatting sqref="V9">
    <cfRule type="dataBar" priority="6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{B16C3C1A-FCF4-453A-8383-671B2A4D3829}</x14:id>
        </ext>
      </extLst>
    </cfRule>
  </conditionalFormatting>
  <conditionalFormatting sqref="L9:M9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{F1D6881C-5D5D-4663-86D4-12DE3B154282}</x14:id>
        </ext>
      </extLst>
    </cfRule>
  </conditionalFormatting>
  <conditionalFormatting sqref="L9:M9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{730D2664-59DA-42DE-B64A-6C6C94224467}</x14:id>
        </ext>
      </extLst>
    </cfRule>
  </conditionalFormatting>
  <conditionalFormatting sqref="E95">
    <cfRule type="containsText" dxfId="4840" priority="621" operator="containsText" text="Buy">
      <formula>NOT(ISERROR(SEARCH("Buy",E95)))</formula>
    </cfRule>
    <cfRule type="containsText" dxfId="4839" priority="622" operator="containsText" text="Sell">
      <formula>NOT(ISERROR(SEARCH("Sell",E95)))</formula>
    </cfRule>
  </conditionalFormatting>
  <conditionalFormatting sqref="E96">
    <cfRule type="containsText" dxfId="4838" priority="623" operator="containsText" text="Buy">
      <formula>NOT(ISERROR(SEARCH("Buy",E96)))</formula>
    </cfRule>
    <cfRule type="containsText" dxfId="4837" priority="624" operator="containsText" text="Sell">
      <formula>NOT(ISERROR(SEARCH("Sell",E96)))</formula>
    </cfRule>
  </conditionalFormatting>
  <conditionalFormatting sqref="E86">
    <cfRule type="containsText" dxfId="4836" priority="619" operator="containsText" text="Buy">
      <formula>NOT(ISERROR(SEARCH("Buy",E86)))</formula>
    </cfRule>
    <cfRule type="containsText" dxfId="4835" priority="620" operator="containsText" text="Sell">
      <formula>NOT(ISERROR(SEARCH("Sell",E86)))</formula>
    </cfRule>
  </conditionalFormatting>
  <conditionalFormatting sqref="E91">
    <cfRule type="containsText" dxfId="4834" priority="617" operator="containsText" text="Buy">
      <formula>NOT(ISERROR(SEARCH("Buy",E91)))</formula>
    </cfRule>
    <cfRule type="containsText" dxfId="4833" priority="618" operator="containsText" text="Sell">
      <formula>NOT(ISERROR(SEARCH("Sell",E91)))</formula>
    </cfRule>
  </conditionalFormatting>
  <conditionalFormatting sqref="E98">
    <cfRule type="containsText" dxfId="4832" priority="613" operator="containsText" text="Buy">
      <formula>NOT(ISERROR(SEARCH("Buy",E98)))</formula>
    </cfRule>
    <cfRule type="containsText" dxfId="4831" priority="614" operator="containsText" text="Sell">
      <formula>NOT(ISERROR(SEARCH("Sell",E98)))</formula>
    </cfRule>
  </conditionalFormatting>
  <conditionalFormatting sqref="E99:E100">
    <cfRule type="containsText" dxfId="4830" priority="615" operator="containsText" text="Buy">
      <formula>NOT(ISERROR(SEARCH("Buy",E99)))</formula>
    </cfRule>
    <cfRule type="containsText" dxfId="4829" priority="616" operator="containsText" text="Sell">
      <formula>NOT(ISERROR(SEARCH("Sell",E99)))</formula>
    </cfRule>
  </conditionalFormatting>
  <conditionalFormatting sqref="L4:M4 L6:M7">
    <cfRule type="dataBar" priority="1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{137C033B-2C04-425B-A84B-144D4E473E85}</x14:id>
        </ext>
      </extLst>
    </cfRule>
  </conditionalFormatting>
  <conditionalFormatting sqref="L6:L7 L4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{F71BFC2A-4467-402E-8907-82855E639AF7}</x14:id>
        </ext>
      </extLst>
    </cfRule>
  </conditionalFormatting>
  <conditionalFormatting sqref="M6:M7 M4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{359EED1B-E751-4376-98EF-6040A31EA7EB}</x14:id>
        </ext>
      </extLst>
    </cfRule>
  </conditionalFormatting>
  <conditionalFormatting sqref="U6:U7">
    <cfRule type="dataBar" priority="1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{387ABF19-B011-482A-8640-9DB0C3E2A71D}</x14:id>
        </ext>
      </extLst>
    </cfRule>
  </conditionalFormatting>
  <conditionalFormatting sqref="V6:V7 V4">
    <cfRule type="dataBar" priority="1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{2EB9EE23-6D0E-4D00-9322-D660BC0208B9}</x14:id>
        </ext>
      </extLst>
    </cfRule>
  </conditionalFormatting>
  <conditionalFormatting sqref="L11:M11">
    <cfRule type="dataBar" priority="5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{7CFA9EC3-4D61-4776-9C07-070CBC36E766}</x14:id>
        </ext>
      </extLst>
    </cfRule>
  </conditionalFormatting>
  <conditionalFormatting sqref="L11:M11">
    <cfRule type="dataBar" priority="5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{1BAC7017-1B2C-4ED5-A3FB-C8F1432D8986}</x14:id>
        </ext>
      </extLst>
    </cfRule>
  </conditionalFormatting>
  <conditionalFormatting sqref="L11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{0C12AA49-31A0-4885-8832-8322D6AA525D}</x14:id>
        </ext>
      </extLst>
    </cfRule>
  </conditionalFormatting>
  <conditionalFormatting sqref="M11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{145C2597-ED1D-423B-9144-E604A43C62A1}</x14:id>
        </ext>
      </extLst>
    </cfRule>
  </conditionalFormatting>
  <conditionalFormatting sqref="U11">
    <cfRule type="dataBar" priority="5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{6F129045-5C8C-4F69-B26B-46681F66F562}</x14:id>
        </ext>
      </extLst>
    </cfRule>
  </conditionalFormatting>
  <conditionalFormatting sqref="V11">
    <cfRule type="dataBar" priority="5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{EDBF8C62-31D8-4CE7-AB47-501A5E6C8404}</x14:id>
        </ext>
      </extLst>
    </cfRule>
  </conditionalFormatting>
  <conditionalFormatting sqref="L11:M11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{2967801D-A2EA-47C6-96A1-55687C7A77EB}</x14:id>
        </ext>
      </extLst>
    </cfRule>
  </conditionalFormatting>
  <conditionalFormatting sqref="L11:M11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{C96735C9-2C97-4069-8852-BDC854E69EE6}</x14:id>
        </ext>
      </extLst>
    </cfRule>
  </conditionalFormatting>
  <conditionalFormatting sqref="E102">
    <cfRule type="containsText" dxfId="4828" priority="581" operator="containsText" text="Buy">
      <formula>NOT(ISERROR(SEARCH("Buy",E102)))</formula>
    </cfRule>
    <cfRule type="containsText" dxfId="4827" priority="582" operator="containsText" text="Sell">
      <formula>NOT(ISERROR(SEARCH("Sell",E102)))</formula>
    </cfRule>
  </conditionalFormatting>
  <conditionalFormatting sqref="E103">
    <cfRule type="containsText" dxfId="4826" priority="583" operator="containsText" text="Buy">
      <formula>NOT(ISERROR(SEARCH("Buy",E103)))</formula>
    </cfRule>
    <cfRule type="containsText" dxfId="4825" priority="584" operator="containsText" text="Sell">
      <formula>NOT(ISERROR(SEARCH("Sell",E103)))</formula>
    </cfRule>
  </conditionalFormatting>
  <conditionalFormatting sqref="E106">
    <cfRule type="containsText" dxfId="4824" priority="577" operator="containsText" text="Buy">
      <formula>NOT(ISERROR(SEARCH("Buy",E106)))</formula>
    </cfRule>
    <cfRule type="containsText" dxfId="4823" priority="578" operator="containsText" text="Sell">
      <formula>NOT(ISERROR(SEARCH("Sell",E106)))</formula>
    </cfRule>
  </conditionalFormatting>
  <conditionalFormatting sqref="E107">
    <cfRule type="containsText" dxfId="4822" priority="579" operator="containsText" text="Buy">
      <formula>NOT(ISERROR(SEARCH("Buy",E107)))</formula>
    </cfRule>
    <cfRule type="containsText" dxfId="4821" priority="580" operator="containsText" text="Sell">
      <formula>NOT(ISERROR(SEARCH("Sell",E107)))</formula>
    </cfRule>
  </conditionalFormatting>
  <conditionalFormatting sqref="L10:M10">
    <cfRule type="dataBar" priority="5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{79271594-6E5C-4ECB-AC32-28E33BD81F0F}</x14:id>
        </ext>
      </extLst>
    </cfRule>
  </conditionalFormatting>
  <conditionalFormatting sqref="L10:M10">
    <cfRule type="dataBar" priority="5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{E11A418B-7077-457C-9DE6-A9E5C1D4EFF7}</x14:id>
        </ext>
      </extLst>
    </cfRule>
  </conditionalFormatting>
  <conditionalFormatting sqref="L10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{9C560B14-A1B8-4728-B02B-32EDEE529475}</x14:id>
        </ext>
      </extLst>
    </cfRule>
  </conditionalFormatting>
  <conditionalFormatting sqref="M10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{B1392B22-BB12-41EC-A3E4-A447CEDCFCA4}</x14:id>
        </ext>
      </extLst>
    </cfRule>
  </conditionalFormatting>
  <conditionalFormatting sqref="U10">
    <cfRule type="dataBar" priority="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{F5D928A6-6865-47AE-9003-FCAC40ECA202}</x14:id>
        </ext>
      </extLst>
    </cfRule>
  </conditionalFormatting>
  <conditionalFormatting sqref="V10">
    <cfRule type="dataBar" priority="5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{D66F6F36-FDF3-44FF-B2B0-F49A91274C82}</x14:id>
        </ext>
      </extLst>
    </cfRule>
  </conditionalFormatting>
  <conditionalFormatting sqref="L10:M10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{5BF30DCC-9038-423D-9702-DCD5009495BF}</x14:id>
        </ext>
      </extLst>
    </cfRule>
  </conditionalFormatting>
  <conditionalFormatting sqref="L10:M10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{4A4A3275-714B-4ED5-91C9-66F543202C12}</x14:id>
        </ext>
      </extLst>
    </cfRule>
  </conditionalFormatting>
  <conditionalFormatting sqref="L13:M13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{22A81E0A-61A2-489F-8DE1-3CB70AAF708A}</x14:id>
        </ext>
      </extLst>
    </cfRule>
  </conditionalFormatting>
  <conditionalFormatting sqref="L13:M13">
    <cfRule type="dataBar" priority="5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{D4272850-E9BE-4A8C-9444-383EF1952DAF}</x14:id>
        </ext>
      </extLst>
    </cfRule>
  </conditionalFormatting>
  <conditionalFormatting sqref="L13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{D3C90348-6AB8-4F81-8D33-B4F661AB02FB}</x14:id>
        </ext>
      </extLst>
    </cfRule>
  </conditionalFormatting>
  <conditionalFormatting sqref="M13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{BB0A9C88-EBCA-4C56-8C46-EC7082E84D9B}</x14:id>
        </ext>
      </extLst>
    </cfRule>
  </conditionalFormatting>
  <conditionalFormatting sqref="U13">
    <cfRule type="dataBar" priority="5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{0A4FAE35-5925-49B5-BB87-043B5AAFB338}</x14:id>
        </ext>
      </extLst>
    </cfRule>
  </conditionalFormatting>
  <conditionalFormatting sqref="V13">
    <cfRule type="dataBar" priority="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{38043F98-5E6F-4840-AF70-ADFB8BD0C293}</x14:id>
        </ext>
      </extLst>
    </cfRule>
  </conditionalFormatting>
  <conditionalFormatting sqref="L13:M13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{B95B10E9-1FD1-46F3-A6CA-BB4C16100694}</x14:id>
        </ext>
      </extLst>
    </cfRule>
  </conditionalFormatting>
  <conditionalFormatting sqref="L13:M13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{4499DE09-A09C-4FE4-9EC3-422827597C31}</x14:id>
        </ext>
      </extLst>
    </cfRule>
  </conditionalFormatting>
  <conditionalFormatting sqref="E109">
    <cfRule type="containsText" dxfId="4820" priority="529" operator="containsText" text="Buy">
      <formula>NOT(ISERROR(SEARCH("Buy",E109)))</formula>
    </cfRule>
    <cfRule type="containsText" dxfId="4819" priority="530" operator="containsText" text="Sell">
      <formula>NOT(ISERROR(SEARCH("Sell",E109)))</formula>
    </cfRule>
  </conditionalFormatting>
  <conditionalFormatting sqref="E110">
    <cfRule type="containsText" dxfId="4818" priority="531" operator="containsText" text="Buy">
      <formula>NOT(ISERROR(SEARCH("Buy",E110)))</formula>
    </cfRule>
    <cfRule type="containsText" dxfId="4817" priority="532" operator="containsText" text="Sell">
      <formula>NOT(ISERROR(SEARCH("Sell",E110)))</formula>
    </cfRule>
  </conditionalFormatting>
  <conditionalFormatting sqref="E112">
    <cfRule type="containsText" dxfId="4816" priority="497" operator="containsText" text="Buy">
      <formula>NOT(ISERROR(SEARCH("Buy",E112)))</formula>
    </cfRule>
    <cfRule type="containsText" dxfId="4815" priority="498" operator="containsText" text="Sell">
      <formula>NOT(ISERROR(SEARCH("Sell",E112)))</formula>
    </cfRule>
  </conditionalFormatting>
  <conditionalFormatting sqref="E113">
    <cfRule type="containsText" dxfId="4814" priority="499" operator="containsText" text="Buy">
      <formula>NOT(ISERROR(SEARCH("Buy",E113)))</formula>
    </cfRule>
    <cfRule type="containsText" dxfId="4813" priority="500" operator="containsText" text="Sell">
      <formula>NOT(ISERROR(SEARCH("Sell",E113)))</formula>
    </cfRule>
  </conditionalFormatting>
  <conditionalFormatting sqref="E94">
    <cfRule type="containsText" dxfId="4812" priority="495" operator="containsText" text="Buy">
      <formula>NOT(ISERROR(SEARCH("Buy",E94)))</formula>
    </cfRule>
    <cfRule type="containsText" dxfId="4811" priority="496" operator="containsText" text="Sell">
      <formula>NOT(ISERROR(SEARCH("Sell",E94)))</formula>
    </cfRule>
  </conditionalFormatting>
  <conditionalFormatting sqref="L14:M14">
    <cfRule type="dataBar" priority="4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{D5E4B87B-AF24-4561-B737-5F44AB3A5407}</x14:id>
        </ext>
      </extLst>
    </cfRule>
  </conditionalFormatting>
  <conditionalFormatting sqref="L14">
    <cfRule type="dataBar" priority="4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{C4BFA48E-DAA7-4045-BD4E-CBB90F85D5F4}</x14:id>
        </ext>
      </extLst>
    </cfRule>
  </conditionalFormatting>
  <conditionalFormatting sqref="M14">
    <cfRule type="dataBar" priority="4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{D27D07E9-F68B-448F-BB18-E5A2013FE12B}</x14:id>
        </ext>
      </extLst>
    </cfRule>
  </conditionalFormatting>
  <conditionalFormatting sqref="U14">
    <cfRule type="dataBar" priority="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{C219F170-22E5-4F10-968E-AF1A585BAB31}</x14:id>
        </ext>
      </extLst>
    </cfRule>
  </conditionalFormatting>
  <conditionalFormatting sqref="V14">
    <cfRule type="dataBar" priority="4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{E055B432-7D4D-48DF-83A0-9B6D3E1EAA25}</x14:id>
        </ext>
      </extLst>
    </cfRule>
  </conditionalFormatting>
  <conditionalFormatting sqref="L14">
    <cfRule type="dataBar" priority="4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{1097AF4C-E00B-4923-8569-62021499308D}</x14:id>
        </ext>
      </extLst>
    </cfRule>
  </conditionalFormatting>
  <conditionalFormatting sqref="M14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{E713F22D-7615-4740-81A0-DBD4EDCA2356}</x14:id>
        </ext>
      </extLst>
    </cfRule>
  </conditionalFormatting>
  <conditionalFormatting sqref="L14">
    <cfRule type="dataBar" priority="4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{1FF98009-368C-4202-B836-BE33C0131071}</x14:id>
        </ext>
      </extLst>
    </cfRule>
  </conditionalFormatting>
  <conditionalFormatting sqref="M14">
    <cfRule type="dataBar" priority="4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{52623929-6E67-4F6D-9C37-088731E51DE5}</x14:id>
        </ext>
      </extLst>
    </cfRule>
  </conditionalFormatting>
  <conditionalFormatting sqref="M14">
    <cfRule type="dataBar" priority="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{720A312B-32D2-4062-8161-BDD6433A6C30}</x14:id>
        </ext>
      </extLst>
    </cfRule>
  </conditionalFormatting>
  <conditionalFormatting sqref="M14">
    <cfRule type="dataBar" priority="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{860B35AC-48A4-4012-BFE6-5382680B6A2F}</x14:id>
        </ext>
      </extLst>
    </cfRule>
  </conditionalFormatting>
  <conditionalFormatting sqref="M14">
    <cfRule type="dataBar" priority="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{1CAEFE58-2D87-4E32-BF37-F32B75B8B094}</x14:id>
        </ext>
      </extLst>
    </cfRule>
  </conditionalFormatting>
  <conditionalFormatting sqref="L14:M14">
    <cfRule type="dataBar" priority="4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{4E64A597-AA8C-43BC-A8A6-CC46E8F929B9}</x14:id>
        </ext>
      </extLst>
    </cfRule>
  </conditionalFormatting>
  <conditionalFormatting sqref="L14:M14">
    <cfRule type="dataBar" priority="4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{69EE9832-0886-48B7-A00D-554CACC1BE07}</x14:id>
        </ext>
      </extLst>
    </cfRule>
  </conditionalFormatting>
  <conditionalFormatting sqref="E117">
    <cfRule type="containsText" dxfId="4810" priority="463" operator="containsText" text="Buy">
      <formula>NOT(ISERROR(SEARCH("Buy",E117)))</formula>
    </cfRule>
    <cfRule type="containsText" dxfId="4809" priority="464" operator="containsText" text="Sell">
      <formula>NOT(ISERROR(SEARCH("Sell",E117)))</formula>
    </cfRule>
  </conditionalFormatting>
  <conditionalFormatting sqref="E118">
    <cfRule type="containsText" dxfId="4808" priority="465" operator="containsText" text="Buy">
      <formula>NOT(ISERROR(SEARCH("Buy",E118)))</formula>
    </cfRule>
    <cfRule type="containsText" dxfId="4807" priority="466" operator="containsText" text="Sell">
      <formula>NOT(ISERROR(SEARCH("Sell",E118)))</formula>
    </cfRule>
  </conditionalFormatting>
  <conditionalFormatting sqref="H29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{A6E5783A-C0C1-4A37-9709-44F4CB05204E}</x14:id>
        </ext>
      </extLst>
    </cfRule>
    <cfRule type="cellIs" dxfId="4806" priority="462" operator="equal">
      <formula>1</formula>
    </cfRule>
  </conditionalFormatting>
  <conditionalFormatting sqref="D29">
    <cfRule type="containsText" dxfId="4805" priority="460" operator="containsText" text="Buy">
      <formula>NOT(ISERROR(SEARCH("Buy",D29)))</formula>
    </cfRule>
    <cfRule type="containsText" dxfId="4804" priority="461" operator="containsText" text="Sell">
      <formula>NOT(ISERROR(SEARCH("Sell",D29)))</formula>
    </cfRule>
  </conditionalFormatting>
  <conditionalFormatting sqref="E116">
    <cfRule type="containsText" dxfId="4803" priority="457" operator="containsText" text="Buy">
      <formula>NOT(ISERROR(SEARCH("Buy",E116)))</formula>
    </cfRule>
    <cfRule type="containsText" dxfId="4802" priority="458" operator="containsText" text="Sell">
      <formula>NOT(ISERROR(SEARCH("Sell",E116)))</formula>
    </cfRule>
  </conditionalFormatting>
  <conditionalFormatting sqref="E105">
    <cfRule type="containsText" dxfId="4801" priority="453" operator="containsText" text="Buy">
      <formula>NOT(ISERROR(SEARCH("Buy",E105)))</formula>
    </cfRule>
    <cfRule type="containsText" dxfId="4800" priority="454" operator="containsText" text="Sell">
      <formula>NOT(ISERROR(SEARCH("Sell",E105)))</formula>
    </cfRule>
  </conditionalFormatting>
  <conditionalFormatting sqref="E84">
    <cfRule type="containsText" dxfId="4799" priority="451" operator="containsText" text="Buy">
      <formula>NOT(ISERROR(SEARCH("Buy",E84)))</formula>
    </cfRule>
    <cfRule type="containsText" dxfId="4798" priority="452" operator="containsText" text="Sell">
      <formula>NOT(ISERROR(SEARCH("Sell",E84)))</formula>
    </cfRule>
  </conditionalFormatting>
  <conditionalFormatting sqref="E89">
    <cfRule type="containsText" dxfId="4797" priority="449" operator="containsText" text="Buy">
      <formula>NOT(ISERROR(SEARCH("Buy",E89)))</formula>
    </cfRule>
    <cfRule type="containsText" dxfId="4796" priority="450" operator="containsText" text="Sell">
      <formula>NOT(ISERROR(SEARCH("Sell",E89)))</formula>
    </cfRule>
  </conditionalFormatting>
  <conditionalFormatting sqref="E115">
    <cfRule type="containsText" dxfId="4795" priority="447" operator="containsText" text="Buy">
      <formula>NOT(ISERROR(SEARCH("Buy",E115)))</formula>
    </cfRule>
    <cfRule type="containsText" dxfId="4794" priority="448" operator="containsText" text="Sell">
      <formula>NOT(ISERROR(SEARCH("Sell",E115)))</formula>
    </cfRule>
  </conditionalFormatting>
  <conditionalFormatting sqref="L12:M12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{29BCDEC6-89F0-4A06-9E51-0A6C4CD41D01}</x14:id>
        </ext>
      </extLst>
    </cfRule>
  </conditionalFormatting>
  <conditionalFormatting sqref="L12:M12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{70858F96-80DD-4864-B415-2ECD7C89ACAE}</x14:id>
        </ext>
      </extLst>
    </cfRule>
  </conditionalFormatting>
  <conditionalFormatting sqref="L12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{71F6EEDD-1A4C-42A8-8AA9-D0641DC974BA}</x14:id>
        </ext>
      </extLst>
    </cfRule>
  </conditionalFormatting>
  <conditionalFormatting sqref="M12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{BFE0A7F9-4D73-48DF-A43B-E62378E8186E}</x14:id>
        </ext>
      </extLst>
    </cfRule>
  </conditionalFormatting>
  <conditionalFormatting sqref="U12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{F38BB5D1-2F4D-499F-A4F5-D98BEF1FF5D7}</x14:id>
        </ext>
      </extLst>
    </cfRule>
  </conditionalFormatting>
  <conditionalFormatting sqref="V12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{83D16C4A-C15D-457C-A788-F0CD5B1F6FF4}</x14:id>
        </ext>
      </extLst>
    </cfRule>
  </conditionalFormatting>
  <conditionalFormatting sqref="L12:M12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{EE69CE58-DD5E-414B-B34E-357FFC9A8792}</x14:id>
        </ext>
      </extLst>
    </cfRule>
  </conditionalFormatting>
  <conditionalFormatting sqref="L12:M12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{FE05FAC3-DE84-4331-A371-F811934A98E6}</x14:id>
        </ext>
      </extLst>
    </cfRule>
  </conditionalFormatting>
  <conditionalFormatting sqref="E120">
    <cfRule type="containsText" dxfId="4793" priority="421" operator="containsText" text="Buy">
      <formula>NOT(ISERROR(SEARCH("Buy",E120)))</formula>
    </cfRule>
    <cfRule type="containsText" dxfId="4792" priority="422" operator="containsText" text="Sell">
      <formula>NOT(ISERROR(SEARCH("Sell",E120)))</formula>
    </cfRule>
  </conditionalFormatting>
  <conditionalFormatting sqref="E121">
    <cfRule type="containsText" dxfId="4791" priority="423" operator="containsText" text="Buy">
      <formula>NOT(ISERROR(SEARCH("Buy",E121)))</formula>
    </cfRule>
    <cfRule type="containsText" dxfId="4790" priority="424" operator="containsText" text="Sell">
      <formula>NOT(ISERROR(SEARCH("Sell",E121)))</formula>
    </cfRule>
  </conditionalFormatting>
  <conditionalFormatting sqref="E123">
    <cfRule type="containsText" dxfId="4789" priority="394" operator="containsText" text="Buy">
      <formula>NOT(ISERROR(SEARCH("Buy",E123)))</formula>
    </cfRule>
    <cfRule type="containsText" dxfId="4788" priority="395" operator="containsText" text="Sell">
      <formula>NOT(ISERROR(SEARCH("Sell",E123)))</formula>
    </cfRule>
  </conditionalFormatting>
  <conditionalFormatting sqref="E124">
    <cfRule type="containsText" dxfId="4787" priority="396" operator="containsText" text="Buy">
      <formula>NOT(ISERROR(SEARCH("Buy",E124)))</formula>
    </cfRule>
    <cfRule type="containsText" dxfId="4786" priority="397" operator="containsText" text="Sell">
      <formula>NOT(ISERROR(SEARCH("Sell",E124)))</formula>
    </cfRule>
  </conditionalFormatting>
  <conditionalFormatting sqref="D34">
    <cfRule type="containsText" dxfId="4785" priority="390" operator="containsText" text="Buy">
      <formula>NOT(ISERROR(SEARCH("Buy",D34)))</formula>
    </cfRule>
    <cfRule type="containsText" dxfId="4784" priority="391" operator="containsText" text="Sell">
      <formula>NOT(ISERROR(SEARCH("Sell",D34)))</formula>
    </cfRule>
  </conditionalFormatting>
  <conditionalFormatting sqref="H34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{59FB00AE-EB2A-48C9-928A-B743D8A6B6CD}</x14:id>
        </ext>
      </extLst>
    </cfRule>
    <cfRule type="cellIs" dxfId="4783" priority="393" operator="equal">
      <formula>1</formula>
    </cfRule>
  </conditionalFormatting>
  <conditionalFormatting sqref="E78">
    <cfRule type="containsText" dxfId="4782" priority="371" operator="containsText" text="Buy">
      <formula>NOT(ISERROR(SEARCH("Buy",E78)))</formula>
    </cfRule>
    <cfRule type="containsText" dxfId="4781" priority="372" operator="containsText" text="Sell">
      <formula>NOT(ISERROR(SEARCH("Sell",E78)))</formula>
    </cfRule>
  </conditionalFormatting>
  <conditionalFormatting sqref="E79">
    <cfRule type="containsText" dxfId="4780" priority="373" operator="containsText" text="Buy">
      <formula>NOT(ISERROR(SEARCH("Buy",E79)))</formula>
    </cfRule>
    <cfRule type="containsText" dxfId="4779" priority="374" operator="containsText" text="Sell">
      <formula>NOT(ISERROR(SEARCH("Sell",E79)))</formula>
    </cfRule>
  </conditionalFormatting>
  <conditionalFormatting sqref="L4:M4 L6:M7">
    <cfRule type="dataBar" priority="1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{4E0D79B8-7F82-446E-B560-F7BE55BD5851}</x14:id>
        </ext>
      </extLst>
    </cfRule>
  </conditionalFormatting>
  <conditionalFormatting sqref="D35">
    <cfRule type="containsText" dxfId="4778" priority="367" operator="containsText" text="Buy">
      <formula>NOT(ISERROR(SEARCH("Buy",D35)))</formula>
    </cfRule>
    <cfRule type="containsText" dxfId="4777" priority="368" operator="containsText" text="Sell">
      <formula>NOT(ISERROR(SEARCH("Sell",D35)))</formula>
    </cfRule>
  </conditionalFormatting>
  <conditionalFormatting sqref="H35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{C8F228C5-D05D-48D9-82B6-5958058973E5}</x14:id>
        </ext>
      </extLst>
    </cfRule>
    <cfRule type="cellIs" dxfId="4776" priority="370" operator="equal">
      <formula>1</formula>
    </cfRule>
  </conditionalFormatting>
  <conditionalFormatting sqref="D36">
    <cfRule type="containsText" dxfId="4775" priority="355" operator="containsText" text="Buy">
      <formula>NOT(ISERROR(SEARCH("Buy",D36)))</formula>
    </cfRule>
    <cfRule type="containsText" dxfId="4774" priority="356" operator="containsText" text="Sell">
      <formula>NOT(ISERROR(SEARCH("Sell",D36)))</formula>
    </cfRule>
  </conditionalFormatting>
  <conditionalFormatting sqref="H36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{62527322-56AF-49FE-A899-3A0508BC8AFC}</x14:id>
        </ext>
      </extLst>
    </cfRule>
    <cfRule type="cellIs" dxfId="4773" priority="358" operator="equal">
      <formula>1</formula>
    </cfRule>
  </conditionalFormatting>
  <conditionalFormatting sqref="D37">
    <cfRule type="containsText" dxfId="4772" priority="331" operator="containsText" text="Buy">
      <formula>NOT(ISERROR(SEARCH("Buy",D37)))</formula>
    </cfRule>
    <cfRule type="containsText" dxfId="4771" priority="332" operator="containsText" text="Sell">
      <formula>NOT(ISERROR(SEARCH("Sell",D37)))</formula>
    </cfRule>
  </conditionalFormatting>
  <conditionalFormatting sqref="H37">
    <cfRule type="dataBar" priority="3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{6B466696-CB00-461F-8964-26443A92F5A2}</x14:id>
        </ext>
      </extLst>
    </cfRule>
    <cfRule type="cellIs" dxfId="4770" priority="334" operator="equal">
      <formula>1</formula>
    </cfRule>
  </conditionalFormatting>
  <conditionalFormatting sqref="D38">
    <cfRule type="containsText" dxfId="4769" priority="327" operator="containsText" text="Buy">
      <formula>NOT(ISERROR(SEARCH("Buy",D38)))</formula>
    </cfRule>
    <cfRule type="containsText" dxfId="4768" priority="328" operator="containsText" text="Sell">
      <formula>NOT(ISERROR(SEARCH("Sell",D38)))</formula>
    </cfRule>
  </conditionalFormatting>
  <conditionalFormatting sqref="H38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{E8436588-B9D1-4766-AB7D-C50313F27280}</x14:id>
        </ext>
      </extLst>
    </cfRule>
    <cfRule type="cellIs" dxfId="4767" priority="330" operator="equal">
      <formula>1</formula>
    </cfRule>
  </conditionalFormatting>
  <conditionalFormatting sqref="D39">
    <cfRule type="containsText" dxfId="4766" priority="323" operator="containsText" text="Buy">
      <formula>NOT(ISERROR(SEARCH("Buy",D39)))</formula>
    </cfRule>
    <cfRule type="containsText" dxfId="4765" priority="324" operator="containsText" text="Sell">
      <formula>NOT(ISERROR(SEARCH("Sell",D39)))</formula>
    </cfRule>
  </conditionalFormatting>
  <conditionalFormatting sqref="H39"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{2A0CC674-B5B7-4535-B59C-D4BDACFCD540}</x14:id>
        </ext>
      </extLst>
    </cfRule>
    <cfRule type="cellIs" dxfId="4764" priority="326" operator="equal">
      <formula>1</formula>
    </cfRule>
  </conditionalFormatting>
  <conditionalFormatting sqref="D40">
    <cfRule type="containsText" dxfId="4763" priority="319" operator="containsText" text="Buy">
      <formula>NOT(ISERROR(SEARCH("Buy",D40)))</formula>
    </cfRule>
    <cfRule type="containsText" dxfId="4762" priority="320" operator="containsText" text="Sell">
      <formula>NOT(ISERROR(SEARCH("Sell",D40)))</formula>
    </cfRule>
  </conditionalFormatting>
  <conditionalFormatting sqref="H40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{26B0F586-9B2E-498E-A20B-D34BB9964C38}</x14:id>
        </ext>
      </extLst>
    </cfRule>
    <cfRule type="cellIs" dxfId="4761" priority="322" operator="equal">
      <formula>1</formula>
    </cfRule>
  </conditionalFormatting>
  <conditionalFormatting sqref="D41">
    <cfRule type="containsText" dxfId="4760" priority="297" operator="containsText" text="Buy">
      <formula>NOT(ISERROR(SEARCH("Buy",D41)))</formula>
    </cfRule>
    <cfRule type="containsText" dxfId="4759" priority="298" operator="containsText" text="Sell">
      <formula>NOT(ISERROR(SEARCH("Sell",D41)))</formula>
    </cfRule>
  </conditionalFormatting>
  <conditionalFormatting sqref="H41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{E8D90D34-154D-4B79-899F-8332E63CAA82}</x14:id>
        </ext>
      </extLst>
    </cfRule>
    <cfRule type="cellIs" dxfId="4758" priority="300" operator="equal">
      <formula>1</formula>
    </cfRule>
  </conditionalFormatting>
  <conditionalFormatting sqref="L5:M5">
    <cfRule type="dataBar" priority="2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{9BD22034-DD5D-4D29-B48C-573A073B7CFB}</x14:id>
        </ext>
      </extLst>
    </cfRule>
  </conditionalFormatting>
  <conditionalFormatting sqref="L5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{F50E8302-DE12-4750-B265-0C32C1445B49}</x14:id>
        </ext>
      </extLst>
    </cfRule>
  </conditionalFormatting>
  <conditionalFormatting sqref="M5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{9A2D79CB-88AC-4290-83B2-C2FC9C71C687}</x14:id>
        </ext>
      </extLst>
    </cfRule>
  </conditionalFormatting>
  <conditionalFormatting sqref="U5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{973F9F9B-2F8D-4272-9E1F-6FBDA2AEBA49}</x14:id>
        </ext>
      </extLst>
    </cfRule>
  </conditionalFormatting>
  <conditionalFormatting sqref="V5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{1979ADF3-80C9-4BD8-AE77-A8B3400D9476}</x14:id>
        </ext>
      </extLst>
    </cfRule>
  </conditionalFormatting>
  <conditionalFormatting sqref="L5:M5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{0F9E5296-C18B-429D-8FC6-5A0EB5E63405}</x14:id>
        </ext>
      </extLst>
    </cfRule>
  </conditionalFormatting>
  <conditionalFormatting sqref="L5:M5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{99A7674B-2F71-45DA-9443-0E78E01341EA}</x14:id>
        </ext>
      </extLst>
    </cfRule>
  </conditionalFormatting>
  <conditionalFormatting sqref="L5:M5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{6A30BE75-AED1-4725-BA7D-3F6C1E21773D}</x14:id>
        </ext>
      </extLst>
    </cfRule>
  </conditionalFormatting>
  <conditionalFormatting sqref="E127">
    <cfRule type="containsText" dxfId="4757" priority="275" operator="containsText" text="Buy">
      <formula>NOT(ISERROR(SEARCH("Buy",E127)))</formula>
    </cfRule>
    <cfRule type="containsText" dxfId="4756" priority="276" operator="containsText" text="Sell">
      <formula>NOT(ISERROR(SEARCH("Sell",E127)))</formula>
    </cfRule>
  </conditionalFormatting>
  <conditionalFormatting sqref="E128">
    <cfRule type="containsText" dxfId="4755" priority="277" operator="containsText" text="Buy">
      <formula>NOT(ISERROR(SEARCH("Buy",E128)))</formula>
    </cfRule>
    <cfRule type="containsText" dxfId="4754" priority="278" operator="containsText" text="Sell">
      <formula>NOT(ISERROR(SEARCH("Sell",E128)))</formula>
    </cfRule>
  </conditionalFormatting>
  <conditionalFormatting sqref="E101">
    <cfRule type="containsText" dxfId="4753" priority="273" operator="containsText" text="Buy">
      <formula>NOT(ISERROR(SEARCH("Buy",E101)))</formula>
    </cfRule>
    <cfRule type="containsText" dxfId="4752" priority="274" operator="containsText" text="Sell">
      <formula>NOT(ISERROR(SEARCH("Sell",E101)))</formula>
    </cfRule>
  </conditionalFormatting>
  <conditionalFormatting sqref="D42">
    <cfRule type="containsText" dxfId="4751" priority="269" operator="containsText" text="Buy">
      <formula>NOT(ISERROR(SEARCH("Buy",D42)))</formula>
    </cfRule>
    <cfRule type="containsText" dxfId="4750" priority="270" operator="containsText" text="Sell">
      <formula>NOT(ISERROR(SEARCH("Sell",D42)))</formula>
    </cfRule>
  </conditionalFormatting>
  <conditionalFormatting sqref="H42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{AB110E2A-867B-487E-87DA-C0C141CADE68}</x14:id>
        </ext>
      </extLst>
    </cfRule>
    <cfRule type="cellIs" dxfId="4749" priority="272" operator="equal">
      <formula>1</formula>
    </cfRule>
  </conditionalFormatting>
  <conditionalFormatting sqref="E131">
    <cfRule type="containsText" dxfId="4748" priority="249" operator="containsText" text="Buy">
      <formula>NOT(ISERROR(SEARCH("Buy",E131)))</formula>
    </cfRule>
    <cfRule type="containsText" dxfId="4747" priority="250" operator="containsText" text="Sell">
      <formula>NOT(ISERROR(SEARCH("Sell",E131)))</formula>
    </cfRule>
  </conditionalFormatting>
  <conditionalFormatting sqref="E132">
    <cfRule type="containsText" dxfId="4746" priority="251" operator="containsText" text="Buy">
      <formula>NOT(ISERROR(SEARCH("Buy",E132)))</formula>
    </cfRule>
    <cfRule type="containsText" dxfId="4745" priority="252" operator="containsText" text="Sell">
      <formula>NOT(ISERROR(SEARCH("Sell",E132)))</formula>
    </cfRule>
  </conditionalFormatting>
  <conditionalFormatting sqref="L17:M17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{72BFBAD0-2342-444D-A1CF-4D9E3ED77422}</x14:id>
        </ext>
      </extLst>
    </cfRule>
  </conditionalFormatting>
  <conditionalFormatting sqref="L17">
    <cfRule type="dataBar" priority="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{F117D9E2-6B67-441A-A249-77E2C68C63A9}</x14:id>
        </ext>
      </extLst>
    </cfRule>
  </conditionalFormatting>
  <conditionalFormatting sqref="M17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{653E0164-CCD9-4C5B-9581-45317F685B05}</x14:id>
        </ext>
      </extLst>
    </cfRule>
  </conditionalFormatting>
  <conditionalFormatting sqref="U17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{02896944-998A-4794-8209-0A8F6736E366}</x14:id>
        </ext>
      </extLst>
    </cfRule>
  </conditionalFormatting>
  <conditionalFormatting sqref="V17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{002316B6-61DC-4177-A238-79D4A58A8D15}</x14:id>
        </ext>
      </extLst>
    </cfRule>
  </conditionalFormatting>
  <conditionalFormatting sqref="L17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{BB82EA5C-93D4-4EA9-A025-239E5386DFFF}</x14:id>
        </ext>
      </extLst>
    </cfRule>
  </conditionalFormatting>
  <conditionalFormatting sqref="M17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{D7B5621F-1477-45B4-B230-DE30316B1894}</x14:id>
        </ext>
      </extLst>
    </cfRule>
  </conditionalFormatting>
  <conditionalFormatting sqref="L17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{081A3C97-BCB4-4431-AA9C-E224A873D545}</x14:id>
        </ext>
      </extLst>
    </cfRule>
  </conditionalFormatting>
  <conditionalFormatting sqref="M17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{85DF7B09-885B-4936-9961-84D77AD7189B}</x14:id>
        </ext>
      </extLst>
    </cfRule>
  </conditionalFormatting>
  <conditionalFormatting sqref="M17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{77A7B35F-F020-4840-B570-2C5C7F8D1D79}</x14:id>
        </ext>
      </extLst>
    </cfRule>
  </conditionalFormatting>
  <conditionalFormatting sqref="M1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{C40DD52A-E68D-4891-AB6C-F0AF6E568B31}</x14:id>
        </ext>
      </extLst>
    </cfRule>
  </conditionalFormatting>
  <conditionalFormatting sqref="M17">
    <cfRule type="dataBar" priority="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{EB90A1ED-600E-459F-9C3E-6F7DD80586EA}</x14:id>
        </ext>
      </extLst>
    </cfRule>
  </conditionalFormatting>
  <conditionalFormatting sqref="L17:M17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{65FE8A35-E6F1-4EE5-AC18-286C34C3C85B}</x14:id>
        </ext>
      </extLst>
    </cfRule>
  </conditionalFormatting>
  <conditionalFormatting sqref="L17:M17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{3A5F2206-914E-4C5D-9CD4-E4E922111986}</x14:id>
        </ext>
      </extLst>
    </cfRule>
  </conditionalFormatting>
  <conditionalFormatting sqref="L17:M17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{F75257DE-4A19-42D8-89BC-1E788DCA8BAE}</x14:id>
        </ext>
      </extLst>
    </cfRule>
  </conditionalFormatting>
  <conditionalFormatting sqref="L17:M17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{85F5B8CC-2780-4BE1-BC11-14FC0E858E42}</x14:id>
        </ext>
      </extLst>
    </cfRule>
  </conditionalFormatting>
  <conditionalFormatting sqref="H43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{C746D3E3-7EAF-46D0-8DEE-43EABA9093CC}</x14:id>
        </ext>
      </extLst>
    </cfRule>
    <cfRule type="cellIs" dxfId="4744" priority="218" operator="equal">
      <formula>1</formula>
    </cfRule>
  </conditionalFormatting>
  <conditionalFormatting sqref="D43">
    <cfRule type="containsText" dxfId="4743" priority="216" operator="containsText" text="Buy">
      <formula>NOT(ISERROR(SEARCH("Buy",D43)))</formula>
    </cfRule>
    <cfRule type="containsText" dxfId="4742" priority="217" operator="containsText" text="Sell">
      <formula>NOT(ISERROR(SEARCH("Sell",D43)))</formula>
    </cfRule>
  </conditionalFormatting>
  <conditionalFormatting sqref="D44 D54">
    <cfRule type="containsText" dxfId="4741" priority="211" operator="containsText" text="Buy">
      <formula>NOT(ISERROR(SEARCH("Buy",D44)))</formula>
    </cfRule>
    <cfRule type="containsText" dxfId="4740" priority="212" operator="containsText" text="Sell">
      <formula>NOT(ISERROR(SEARCH("Sell",D44)))</formula>
    </cfRule>
  </conditionalFormatting>
  <conditionalFormatting sqref="H44 H54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{634BF9D9-1077-4C0A-A878-F1DC30640510}</x14:id>
        </ext>
      </extLst>
    </cfRule>
    <cfRule type="cellIs" dxfId="4739" priority="214" operator="equal">
      <formula>1</formula>
    </cfRule>
  </conditionalFormatting>
  <conditionalFormatting sqref="D45">
    <cfRule type="containsText" dxfId="4738" priority="207" operator="containsText" text="Buy">
      <formula>NOT(ISERROR(SEARCH("Buy",D45)))</formula>
    </cfRule>
    <cfRule type="containsText" dxfId="4737" priority="208" operator="containsText" text="Sell">
      <formula>NOT(ISERROR(SEARCH("Sell",D45)))</formula>
    </cfRule>
  </conditionalFormatting>
  <conditionalFormatting sqref="H45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{AC242996-8D7A-4768-87B6-129158ABDCCC}</x14:id>
        </ext>
      </extLst>
    </cfRule>
    <cfRule type="cellIs" dxfId="4736" priority="210" operator="equal">
      <formula>1</formula>
    </cfRule>
  </conditionalFormatting>
  <conditionalFormatting sqref="E70">
    <cfRule type="containsText" dxfId="4735" priority="205" operator="containsText" text="Buy">
      <formula>NOT(ISERROR(SEARCH("Buy",E70)))</formula>
    </cfRule>
    <cfRule type="containsText" dxfId="4734" priority="206" operator="containsText" text="Sell">
      <formula>NOT(ISERROR(SEARCH("Sell",E70)))</formula>
    </cfRule>
  </conditionalFormatting>
  <conditionalFormatting sqref="E69">
    <cfRule type="containsText" dxfId="4733" priority="203" operator="containsText" text="Buy">
      <formula>NOT(ISERROR(SEARCH("Buy",E69)))</formula>
    </cfRule>
    <cfRule type="containsText" dxfId="4732" priority="204" operator="containsText" text="Sell">
      <formula>NOT(ISERROR(SEARCH("Sell",E69)))</formula>
    </cfRule>
  </conditionalFormatting>
  <conditionalFormatting sqref="L8:M8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{85D2C749-0672-4C38-97D9-718997C6D803}</x14:id>
        </ext>
      </extLst>
    </cfRule>
  </conditionalFormatting>
  <conditionalFormatting sqref="L8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{603F762B-ABD3-4084-9E2C-C672CE5888B6}</x14:id>
        </ext>
      </extLst>
    </cfRule>
  </conditionalFormatting>
  <conditionalFormatting sqref="M8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{F6B45FED-BED8-41C4-9589-0A43874513DB}</x14:id>
        </ext>
      </extLst>
    </cfRule>
  </conditionalFormatting>
  <conditionalFormatting sqref="U8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{D439E974-4B5F-4349-987A-63F9266B9393}</x14:id>
        </ext>
      </extLst>
    </cfRule>
  </conditionalFormatting>
  <conditionalFormatting sqref="V8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{89B807F4-7662-4132-A78C-C7B1015FE8EE}</x14:id>
        </ext>
      </extLst>
    </cfRule>
  </conditionalFormatting>
  <conditionalFormatting sqref="L8:M8">
    <cfRule type="dataBar" priority="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{E063D30C-7674-4A32-9753-18A00818B346}</x14:id>
        </ext>
      </extLst>
    </cfRule>
  </conditionalFormatting>
  <conditionalFormatting sqref="L8:M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{64B86FEE-947D-4EB2-BB34-B92759A75A7A}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{19503D3F-F3D1-4628-B236-BD4DD23F5C16}</x14:id>
        </ext>
      </extLst>
    </cfRule>
  </conditionalFormatting>
  <conditionalFormatting sqref="E130">
    <cfRule type="containsText" dxfId="4731" priority="183" operator="containsText" text="Buy">
      <formula>NOT(ISERROR(SEARCH("Buy",E130)))</formula>
    </cfRule>
    <cfRule type="containsText" dxfId="4730" priority="184" operator="containsText" text="Sell">
      <formula>NOT(ISERROR(SEARCH("Sell",E130)))</formula>
    </cfRule>
  </conditionalFormatting>
  <conditionalFormatting sqref="D46:D47">
    <cfRule type="containsText" dxfId="4729" priority="179" operator="containsText" text="Buy">
      <formula>NOT(ISERROR(SEARCH("Buy",D46)))</formula>
    </cfRule>
    <cfRule type="containsText" dxfId="4728" priority="180" operator="containsText" text="Sell">
      <formula>NOT(ISERROR(SEARCH("Sell",D46)))</formula>
    </cfRule>
  </conditionalFormatting>
  <conditionalFormatting sqref="H46:H4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{5BDB799D-5D8A-4653-921A-B3F9911D0025}</x14:id>
        </ext>
      </extLst>
    </cfRule>
    <cfRule type="cellIs" dxfId="4727" priority="182" operator="equal">
      <formula>1</formula>
    </cfRule>
  </conditionalFormatting>
  <conditionalFormatting sqref="L16:M1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{55AC47ED-F35E-40FE-B97D-757481E7DF71}</x14:id>
        </ext>
      </extLst>
    </cfRule>
  </conditionalFormatting>
  <conditionalFormatting sqref="L16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{EEF08794-713B-48A7-94D5-843F0F37AEB0}</x14:id>
        </ext>
      </extLst>
    </cfRule>
  </conditionalFormatting>
  <conditionalFormatting sqref="M16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{BDE7DC2F-3266-4570-9BC2-EC93D32044BE}</x14:id>
        </ext>
      </extLst>
    </cfRule>
  </conditionalFormatting>
  <conditionalFormatting sqref="U16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{E3F662CC-FDF8-4F5B-BC61-DA3AB9AA89EA}</x14:id>
        </ext>
      </extLst>
    </cfRule>
  </conditionalFormatting>
  <conditionalFormatting sqref="V16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{1999A850-291A-4F41-B5FE-FD961FF6CD9C}</x14:id>
        </ext>
      </extLst>
    </cfRule>
  </conditionalFormatting>
  <conditionalFormatting sqref="L1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{74DB0B70-4687-47D2-927E-E4B66C2579DF}</x14:id>
        </ext>
      </extLst>
    </cfRule>
  </conditionalFormatting>
  <conditionalFormatting sqref="M16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{35B4A3C7-2720-4A3A-A5F6-0C985241EBF2}</x14:id>
        </ext>
      </extLst>
    </cfRule>
  </conditionalFormatting>
  <conditionalFormatting sqref="L16">
    <cfRule type="dataBar" priority="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{C3070FCF-9047-42F9-84A5-4E95910D3E4E}</x14:id>
        </ext>
      </extLst>
    </cfRule>
  </conditionalFormatting>
  <conditionalFormatting sqref="M1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{2D20FB35-B197-4DBE-984C-5EC78E454D38}</x14:id>
        </ext>
      </extLst>
    </cfRule>
  </conditionalFormatting>
  <conditionalFormatting sqref="M1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{78DB51C2-8E98-4ADF-9A1A-1CDAFD2DD50C}</x14:id>
        </ext>
      </extLst>
    </cfRule>
  </conditionalFormatting>
  <conditionalFormatting sqref="M16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{37F36F2E-057E-4278-8647-CB3CC9F45EA1}</x14:id>
        </ext>
      </extLst>
    </cfRule>
  </conditionalFormatting>
  <conditionalFormatting sqref="M16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{85536B3B-787A-4EE1-801D-68E370DC8C2F}</x14:id>
        </ext>
      </extLst>
    </cfRule>
  </conditionalFormatting>
  <conditionalFormatting sqref="L16:M16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{6348412C-C2B1-4476-842D-61A7F342E57A}</x14:id>
        </ext>
      </extLst>
    </cfRule>
  </conditionalFormatting>
  <conditionalFormatting sqref="L16:M16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{027D8A2A-88DB-48C6-B62E-72BB5513D754}</x14:id>
        </ext>
      </extLst>
    </cfRule>
  </conditionalFormatting>
  <conditionalFormatting sqref="L16:M16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{3F06338E-9E02-479F-BD52-6A9A06B92253}</x14:id>
        </ext>
      </extLst>
    </cfRule>
  </conditionalFormatting>
  <conditionalFormatting sqref="H48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{E2BD0F8D-F49A-474B-86A5-48CA49BC58CB}</x14:id>
        </ext>
      </extLst>
    </cfRule>
    <cfRule type="cellIs" dxfId="4726" priority="149" operator="equal">
      <formula>1</formula>
    </cfRule>
  </conditionalFormatting>
  <conditionalFormatting sqref="D48">
    <cfRule type="containsText" dxfId="4725" priority="147" operator="containsText" text="Buy">
      <formula>NOT(ISERROR(SEARCH("Buy",D48)))</formula>
    </cfRule>
    <cfRule type="containsText" dxfId="4724" priority="148" operator="containsText" text="Sell">
      <formula>NOT(ISERROR(SEARCH("Sell",D48)))</formula>
    </cfRule>
  </conditionalFormatting>
  <conditionalFormatting sqref="D49">
    <cfRule type="containsText" dxfId="4723" priority="142" operator="containsText" text="Buy">
      <formula>NOT(ISERROR(SEARCH("Buy",D49)))</formula>
    </cfRule>
    <cfRule type="containsText" dxfId="4722" priority="143" operator="containsText" text="Sell">
      <formula>NOT(ISERROR(SEARCH("Sell",D49)))</formula>
    </cfRule>
  </conditionalFormatting>
  <conditionalFormatting sqref="H4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{3B6962FF-EBA3-4EEE-9EB0-21DC333A933C}</x14:id>
        </ext>
      </extLst>
    </cfRule>
    <cfRule type="cellIs" dxfId="4721" priority="145" operator="equal">
      <formula>1</formula>
    </cfRule>
  </conditionalFormatting>
  <conditionalFormatting sqref="U4:V4 U6:V7">
    <cfRule type="dataBar" priority="313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{13D25AA1-40A5-4362-B4CE-124B6799AB6C}</x14:id>
        </ext>
      </extLst>
    </cfRule>
  </conditionalFormatting>
  <conditionalFormatting sqref="U9:V9">
    <cfRule type="dataBar" priority="31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{AF6176DA-FEF5-4C77-82E6-B33DE507BBA1}</x14:id>
        </ext>
      </extLst>
    </cfRule>
  </conditionalFormatting>
  <conditionalFormatting sqref="U9:V9">
    <cfRule type="dataBar" priority="3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{E155F56E-D68C-4EEC-AB1D-5CEC3D230047}</x14:id>
        </ext>
      </extLst>
    </cfRule>
  </conditionalFormatting>
  <conditionalFormatting sqref="U4:V4 U6:V7">
    <cfRule type="dataBar" priority="3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{A05B1684-99DF-4934-8F25-5B47D53DB1E0}</x14:id>
        </ext>
      </extLst>
    </cfRule>
  </conditionalFormatting>
  <conditionalFormatting sqref="U11:V11">
    <cfRule type="dataBar" priority="31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{5422E7D3-DE29-476F-8E85-9AC83F60BAEB}</x14:id>
        </ext>
      </extLst>
    </cfRule>
  </conditionalFormatting>
  <conditionalFormatting sqref="U11:V11">
    <cfRule type="dataBar" priority="3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{E17EC6CC-1BB3-43E6-A090-7D4795A9E577}</x14:id>
        </ext>
      </extLst>
    </cfRule>
  </conditionalFormatting>
  <conditionalFormatting sqref="U10:V10">
    <cfRule type="dataBar" priority="31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{5840E6C8-2B92-4875-8218-EBAD48B37AAB}</x14:id>
        </ext>
      </extLst>
    </cfRule>
  </conditionalFormatting>
  <conditionalFormatting sqref="U10:V10">
    <cfRule type="dataBar" priority="3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{821F82B0-E295-45E1-BD33-50F2D47B68BE}</x14:id>
        </ext>
      </extLst>
    </cfRule>
  </conditionalFormatting>
  <conditionalFormatting sqref="U13:V13">
    <cfRule type="dataBar" priority="31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{189C2142-B018-4481-BAD1-4188FBBF856C}</x14:id>
        </ext>
      </extLst>
    </cfRule>
  </conditionalFormatting>
  <conditionalFormatting sqref="U13:V13">
    <cfRule type="dataBar" priority="3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{FC018809-21B4-437B-9371-534D1D6A595B}</x14:id>
        </ext>
      </extLst>
    </cfRule>
  </conditionalFormatting>
  <conditionalFormatting sqref="U14:V14">
    <cfRule type="dataBar" priority="31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{CF0D1862-CDA8-4C7A-93DC-AD199C833ED0}</x14:id>
        </ext>
      </extLst>
    </cfRule>
  </conditionalFormatting>
  <conditionalFormatting sqref="U14:V14">
    <cfRule type="dataBar" priority="3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{2E9A7ED5-F11E-4B5A-840E-F7C91AEC27CC}</x14:id>
        </ext>
      </extLst>
    </cfRule>
  </conditionalFormatting>
  <conditionalFormatting sqref="U12:V12">
    <cfRule type="dataBar" priority="31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{3C579295-B700-4F77-85FF-5084F8C4EC20}</x14:id>
        </ext>
      </extLst>
    </cfRule>
  </conditionalFormatting>
  <conditionalFormatting sqref="U12:V12">
    <cfRule type="dataBar" priority="3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{431F421F-ADD9-4597-904C-7A23BA24A57F}</x14:id>
        </ext>
      </extLst>
    </cfRule>
  </conditionalFormatting>
  <conditionalFormatting sqref="U5:V5">
    <cfRule type="dataBar" priority="31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{6612EB61-677D-46E3-A969-45147FAC31B0}</x14:id>
        </ext>
      </extLst>
    </cfRule>
  </conditionalFormatting>
  <conditionalFormatting sqref="U5:V5">
    <cfRule type="dataBar" priority="3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{9BDF2933-A108-4DDB-A863-B9807E5207F2}</x14:id>
        </ext>
      </extLst>
    </cfRule>
  </conditionalFormatting>
  <conditionalFormatting sqref="U17:V17">
    <cfRule type="dataBar" priority="31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{205E27BD-EA2E-4F16-A021-78597533882C}</x14:id>
        </ext>
      </extLst>
    </cfRule>
  </conditionalFormatting>
  <conditionalFormatting sqref="U17:V17">
    <cfRule type="dataBar" priority="3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{0F5D51E8-3168-4B26-B345-F2B41A5B89F9}</x14:id>
        </ext>
      </extLst>
    </cfRule>
  </conditionalFormatting>
  <conditionalFormatting sqref="U8:V8">
    <cfRule type="dataBar" priority="31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{EAD88722-FE59-4772-97FB-A5A23752753C}</x14:id>
        </ext>
      </extLst>
    </cfRule>
  </conditionalFormatting>
  <conditionalFormatting sqref="U8:V8">
    <cfRule type="dataBar" priority="3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{9D09E7B3-E29E-4FE8-9B41-3CB46AB56989}</x14:id>
        </ext>
      </extLst>
    </cfRule>
  </conditionalFormatting>
  <conditionalFormatting sqref="U16:V16">
    <cfRule type="dataBar" priority="31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{A101D517-8A46-45DA-B299-D7E90EFB818C}</x14:id>
        </ext>
      </extLst>
    </cfRule>
  </conditionalFormatting>
  <conditionalFormatting sqref="U16:V16">
    <cfRule type="dataBar" priority="3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{F8FF91A7-5FC8-479E-B63D-94C22D973B69}</x14:id>
        </ext>
      </extLst>
    </cfRule>
  </conditionalFormatting>
  <conditionalFormatting sqref="H50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{2096C706-51EE-4BD3-91D7-CF2B1569CDA8}</x14:id>
        </ext>
      </extLst>
    </cfRule>
    <cfRule type="cellIs" dxfId="4720" priority="137" operator="equal">
      <formula>1</formula>
    </cfRule>
  </conditionalFormatting>
  <conditionalFormatting sqref="D50">
    <cfRule type="containsText" dxfId="4719" priority="135" operator="containsText" text="Buy">
      <formula>NOT(ISERROR(SEARCH("Buy",D50)))</formula>
    </cfRule>
    <cfRule type="containsText" dxfId="4718" priority="136" operator="containsText" text="Sell">
      <formula>NOT(ISERROR(SEARCH("Sell",D50)))</formula>
    </cfRule>
  </conditionalFormatting>
  <conditionalFormatting sqref="X4:X14 X16:X17">
    <cfRule type="dataBar" priority="314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{7EFA6B08-A167-4A70-9331-421CF1A21910}</x14:id>
        </ext>
      </extLst>
    </cfRule>
  </conditionalFormatting>
  <conditionalFormatting sqref="W4:W14 W16:W17">
    <cfRule type="dataBar" priority="31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{38B8E393-5B07-434F-B4F3-1F777F8CA0C1}</x14:id>
        </ext>
      </extLst>
    </cfRule>
  </conditionalFormatting>
  <conditionalFormatting sqref="W20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{870DD79C-BAAC-4E65-86DA-ECF06D082FE9}</x14:id>
        </ext>
      </extLst>
    </cfRule>
  </conditionalFormatting>
  <conditionalFormatting sqref="U20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{3C051ABF-2F1A-4F4C-8400-4F456C38E1E2}</x14:id>
        </ext>
      </extLst>
    </cfRule>
  </conditionalFormatting>
  <conditionalFormatting sqref="V20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{9E761829-6D90-45D7-9AEA-02D26F99802F}</x14:id>
        </ext>
      </extLst>
    </cfRule>
  </conditionalFormatting>
  <conditionalFormatting sqref="L20:M2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{B1052454-2E9D-46B4-9372-84F4A39FEF87}</x14:id>
        </ext>
      </extLst>
    </cfRule>
  </conditionalFormatting>
  <conditionalFormatting sqref="L2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{396FF731-58AE-4518-90D0-A3E0C14B2433}</x14:id>
        </ext>
      </extLst>
    </cfRule>
  </conditionalFormatting>
  <conditionalFormatting sqref="M2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{970CBDCD-AD83-4100-BB10-B3DCDABA327D}</x14:id>
        </ext>
      </extLst>
    </cfRule>
  </conditionalFormatting>
  <conditionalFormatting sqref="L20:M2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{B86698F9-62F1-44F9-BAA9-319CA8D1137A}</x14:id>
        </ext>
      </extLst>
    </cfRule>
  </conditionalFormatting>
  <conditionalFormatting sqref="L20:M20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{0DFA8611-DAD8-4901-A68A-478EBE9B23C3}</x14:id>
        </ext>
      </extLst>
    </cfRule>
  </conditionalFormatting>
  <conditionalFormatting sqref="U20:V20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{5E757D8D-FD8A-43E1-9D0A-334D967846A5}</x14:id>
        </ext>
      </extLst>
    </cfRule>
  </conditionalFormatting>
  <conditionalFormatting sqref="U20:V2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{1A7C59A2-C28D-40C6-80F6-5DAAEA576C21}</x14:id>
        </ext>
      </extLst>
    </cfRule>
  </conditionalFormatting>
  <conditionalFormatting sqref="I2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{B29B14D6-EF09-4088-8924-034B36A6763C}</x14:id>
        </ext>
      </extLst>
    </cfRule>
  </conditionalFormatting>
  <conditionalFormatting sqref="T2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{26E2C852-96C8-4F06-B82A-058F72482519}</x14:id>
        </ext>
      </extLst>
    </cfRule>
  </conditionalFormatting>
  <conditionalFormatting sqref="L20:M20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{4CA564F9-043D-4E44-844C-13B39568715E}</x14:id>
        </ext>
      </extLst>
    </cfRule>
  </conditionalFormatting>
  <conditionalFormatting sqref="U20:V20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{7E419733-B410-4409-B02C-2781DB3C9211}</x14:id>
        </ext>
      </extLst>
    </cfRule>
  </conditionalFormatting>
  <conditionalFormatting sqref="W21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{87C5026E-6A04-4919-8DC2-0F550F1941BD}</x14:id>
        </ext>
      </extLst>
    </cfRule>
  </conditionalFormatting>
  <conditionalFormatting sqref="U21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{16EAAA71-A273-4504-804D-4929F721F9C3}</x14:id>
        </ext>
      </extLst>
    </cfRule>
  </conditionalFormatting>
  <conditionalFormatting sqref="V21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{F9F9C7F6-2AF8-4029-A0EA-A5AAE1F8ED14}</x14:id>
        </ext>
      </extLst>
    </cfRule>
  </conditionalFormatting>
  <conditionalFormatting sqref="L21:M21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{2CC8B51D-6BD6-4E35-BB69-4E10E473D6BA}</x14:id>
        </ext>
      </extLst>
    </cfRule>
  </conditionalFormatting>
  <conditionalFormatting sqref="L21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{576B8331-9EF3-4600-8062-D20114CFC57A}</x14:id>
        </ext>
      </extLst>
    </cfRule>
  </conditionalFormatting>
  <conditionalFormatting sqref="M21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{D64658E1-0531-4226-952F-2928152DA003}</x14:id>
        </ext>
      </extLst>
    </cfRule>
  </conditionalFormatting>
  <conditionalFormatting sqref="L21:M21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{4E0907E8-2CC5-420D-BD32-40879AC24C9F}</x14:id>
        </ext>
      </extLst>
    </cfRule>
  </conditionalFormatting>
  <conditionalFormatting sqref="L21:M21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{0993635E-CE08-4B1E-9A9C-9B483328B8F5}</x14:id>
        </ext>
      </extLst>
    </cfRule>
  </conditionalFormatting>
  <conditionalFormatting sqref="U21:V2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{A9230585-3067-4A8B-B486-7DD73338FDB4}</x14:id>
        </ext>
      </extLst>
    </cfRule>
  </conditionalFormatting>
  <conditionalFormatting sqref="U21:V21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{C5A1780A-8F04-4469-A366-0C2048843CB4}</x14:id>
        </ext>
      </extLst>
    </cfRule>
  </conditionalFormatting>
  <conditionalFormatting sqref="I2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{13FC7AAE-6A0E-4711-9236-8987AF9B593E}</x14:id>
        </ext>
      </extLst>
    </cfRule>
  </conditionalFormatting>
  <conditionalFormatting sqref="T2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{C1102F97-78DE-4AD7-8F06-3FC0F53C56D3}</x14:id>
        </ext>
      </extLst>
    </cfRule>
  </conditionalFormatting>
  <conditionalFormatting sqref="L21:M21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{70E5E165-964F-4CFA-B171-F6A16F80B7F1}</x14:id>
        </ext>
      </extLst>
    </cfRule>
  </conditionalFormatting>
  <conditionalFormatting sqref="U21:V21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{5BAAFED7-75CA-4B2D-8A12-250AEF9E8883}</x14:id>
        </ext>
      </extLst>
    </cfRule>
  </conditionalFormatting>
  <conditionalFormatting sqref="E66">
    <cfRule type="containsText" dxfId="4717" priority="88" operator="containsText" text="Buy">
      <formula>NOT(ISERROR(SEARCH("Buy",E66)))</formula>
    </cfRule>
    <cfRule type="containsText" dxfId="4716" priority="89" operator="containsText" text="Sell">
      <formula>NOT(ISERROR(SEARCH("Sell",E66)))</formula>
    </cfRule>
  </conditionalFormatting>
  <conditionalFormatting sqref="E67:E68">
    <cfRule type="containsText" dxfId="4715" priority="90" operator="containsText" text="Buy">
      <formula>NOT(ISERROR(SEARCH("Buy",E67)))</formula>
    </cfRule>
    <cfRule type="containsText" dxfId="4714" priority="91" operator="containsText" text="Sell">
      <formula>NOT(ISERROR(SEARCH("Sell",E67)))</formula>
    </cfRule>
  </conditionalFormatting>
  <conditionalFormatting sqref="L15:M15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{ADB35F85-2D66-4466-B80B-9FD8248CBEC3}</x14:id>
        </ext>
      </extLst>
    </cfRule>
  </conditionalFormatting>
  <conditionalFormatting sqref="L1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{080B32DA-73FA-4B43-9EEB-52B09088CF06}</x14:id>
        </ext>
      </extLst>
    </cfRule>
  </conditionalFormatting>
  <conditionalFormatting sqref="M1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{141FE2FC-D424-4F05-BDB5-E511EB011BDD}</x14:id>
        </ext>
      </extLst>
    </cfRule>
  </conditionalFormatting>
  <conditionalFormatting sqref="U15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{945BFD2E-4EBC-4378-AF50-571A4483BD1E}</x14:id>
        </ext>
      </extLst>
    </cfRule>
  </conditionalFormatting>
  <conditionalFormatting sqref="V15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{F0B8589A-005C-489B-877D-79AF6F6AEEE5}</x14:id>
        </ext>
      </extLst>
    </cfRule>
  </conditionalFormatting>
  <conditionalFormatting sqref="L15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{877FCDD3-CA5B-4C84-9417-D1008A6AB71A}</x14:id>
        </ext>
      </extLst>
    </cfRule>
  </conditionalFormatting>
  <conditionalFormatting sqref="M15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{365B6B2D-1B33-40E0-BD6C-AB75C43550DC}</x14:id>
        </ext>
      </extLst>
    </cfRule>
  </conditionalFormatting>
  <conditionalFormatting sqref="L15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{64CE96AD-E3CC-4E87-9CE3-52EE6D95D56B}</x14:id>
        </ext>
      </extLst>
    </cfRule>
  </conditionalFormatting>
  <conditionalFormatting sqref="M15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{DD3A3A84-2DAF-4807-9E40-3E0937BAB4A2}</x14:id>
        </ext>
      </extLst>
    </cfRule>
  </conditionalFormatting>
  <conditionalFormatting sqref="M15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{F826D1EF-02FE-4DB5-B0C9-11D1D89D5662}</x14:id>
        </ext>
      </extLst>
    </cfRule>
  </conditionalFormatting>
  <conditionalFormatting sqref="M15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{3E03CC6A-EE28-493D-BB07-5BBF0B967715}</x14:id>
        </ext>
      </extLst>
    </cfRule>
  </conditionalFormatting>
  <conditionalFormatting sqref="M15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{53E7BA38-A984-40C6-B1C9-003A8182CE13}</x14:id>
        </ext>
      </extLst>
    </cfRule>
  </conditionalFormatting>
  <conditionalFormatting sqref="L15:M15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{515667AE-9DA4-461B-8DDC-ED7C0931F140}</x14:id>
        </ext>
      </extLst>
    </cfRule>
  </conditionalFormatting>
  <conditionalFormatting sqref="L15:M15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{DC825E4B-4BC9-4B41-A4B8-09A67ECA44D2}</x14:id>
        </ext>
      </extLst>
    </cfRule>
  </conditionalFormatting>
  <conditionalFormatting sqref="L15:M1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{1A92B893-3A8B-4212-B2B1-46F34C80E9AA}</x14:id>
        </ext>
      </extLst>
    </cfRule>
  </conditionalFormatting>
  <conditionalFormatting sqref="U15:V15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{ED5790A7-89C9-4A07-BAEE-6F90E735BE8F}</x14:id>
        </ext>
      </extLst>
    </cfRule>
  </conditionalFormatting>
  <conditionalFormatting sqref="U15:V15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{3666CBDD-F19A-486F-8BB0-B2E6DA6C0B23}</x14:id>
        </ext>
      </extLst>
    </cfRule>
  </conditionalFormatting>
  <conditionalFormatting sqref="X15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{8B124784-1515-4C75-876C-F8D7AC78EBF7}</x14:id>
        </ext>
      </extLst>
    </cfRule>
  </conditionalFormatting>
  <conditionalFormatting sqref="W1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{F869019E-7678-42D5-95E7-D1146F9FADD8}</x14:id>
        </ext>
      </extLst>
    </cfRule>
  </conditionalFormatting>
  <conditionalFormatting sqref="I15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{8E6ED24E-BF7C-4834-934B-32F778AE4C60}</x14:id>
        </ext>
      </extLst>
    </cfRule>
  </conditionalFormatting>
  <conditionalFormatting sqref="T15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{72279E8B-78B6-4ADF-AC77-233BA974D3ED}</x14:id>
        </ext>
      </extLst>
    </cfRule>
  </conditionalFormatting>
  <conditionalFormatting sqref="L15:M1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{A3D20C4A-6777-4E40-BA66-85809140C5FD}</x14:id>
        </ext>
      </extLst>
    </cfRule>
  </conditionalFormatting>
  <conditionalFormatting sqref="U15:V1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{DF8FDCE7-D1E5-476A-AC41-2630CAC1818A}</x14:id>
        </ext>
      </extLst>
    </cfRule>
  </conditionalFormatting>
  <conditionalFormatting sqref="L15:M15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{C703C5B8-25B6-4614-A6C9-EA69ACDB914A}</x14:id>
        </ext>
      </extLst>
    </cfRule>
  </conditionalFormatting>
  <conditionalFormatting sqref="U15:V15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{8C99CA41-24AF-48F1-8B0E-C44B1C6C91AD}</x14:id>
        </ext>
      </extLst>
    </cfRule>
  </conditionalFormatting>
  <conditionalFormatting sqref="E134">
    <cfRule type="containsText" dxfId="4713" priority="55" operator="containsText" text="Buy">
      <formula>NOT(ISERROR(SEARCH("Buy",E134)))</formula>
    </cfRule>
    <cfRule type="containsText" dxfId="4712" priority="56" operator="containsText" text="Sell">
      <formula>NOT(ISERROR(SEARCH("Sell",E134)))</formula>
    </cfRule>
  </conditionalFormatting>
  <conditionalFormatting sqref="E135">
    <cfRule type="containsText" dxfId="4711" priority="57" operator="containsText" text="Buy">
      <formula>NOT(ISERROR(SEARCH("Buy",E135)))</formula>
    </cfRule>
    <cfRule type="containsText" dxfId="4710" priority="58" operator="containsText" text="Sell">
      <formula>NOT(ISERROR(SEARCH("Sell",E135)))</formula>
    </cfRule>
  </conditionalFormatting>
  <conditionalFormatting sqref="T1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{9079E641-CDEB-4BC7-B48D-26C77146C5B5}</x14:id>
        </ext>
      </extLst>
    </cfRule>
  </conditionalFormatting>
  <conditionalFormatting sqref="L18:M1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{830C270E-EDF4-4B9F-8CFF-6628C8A77858}</x14:id>
        </ext>
      </extLst>
    </cfRule>
  </conditionalFormatting>
  <conditionalFormatting sqref="E63:E65">
    <cfRule type="containsText" dxfId="4709" priority="50" operator="containsText" text="Buy">
      <formula>NOT(ISERROR(SEARCH("Buy",E63)))</formula>
    </cfRule>
    <cfRule type="containsText" dxfId="4708" priority="51" operator="containsText" text="Sell">
      <formula>NOT(ISERROR(SEARCH("Sell",E63)))</formula>
    </cfRule>
  </conditionalFormatting>
  <conditionalFormatting sqref="H5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{FF5ECD58-C2B7-4EEF-ACC2-ACBA4108C6EF}</x14:id>
        </ext>
      </extLst>
    </cfRule>
    <cfRule type="cellIs" dxfId="4707" priority="47" operator="equal">
      <formula>1</formula>
    </cfRule>
  </conditionalFormatting>
  <conditionalFormatting sqref="D51">
    <cfRule type="containsText" dxfId="4706" priority="45" operator="containsText" text="Buy">
      <formula>NOT(ISERROR(SEARCH("Buy",D51)))</formula>
    </cfRule>
    <cfRule type="containsText" dxfId="4705" priority="46" operator="containsText" text="Sell">
      <formula>NOT(ISERROR(SEARCH("Sell",D51)))</formula>
    </cfRule>
  </conditionalFormatting>
  <conditionalFormatting sqref="E126">
    <cfRule type="containsText" dxfId="4704" priority="42" operator="containsText" text="Buy">
      <formula>NOT(ISERROR(SEARCH("Buy",E126)))</formula>
    </cfRule>
    <cfRule type="containsText" dxfId="4703" priority="43" operator="containsText" text="Sell">
      <formula>NOT(ISERROR(SEARCH("Sell",E126)))</formula>
    </cfRule>
  </conditionalFormatting>
  <conditionalFormatting sqref="W19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{003CEE20-868E-4501-9799-5438E41070CF}</x14:id>
        </ext>
      </extLst>
    </cfRule>
  </conditionalFormatting>
  <conditionalFormatting sqref="U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{86597B58-BD28-45A8-AD1C-5030AEF52543}</x14:id>
        </ext>
      </extLst>
    </cfRule>
  </conditionalFormatting>
  <conditionalFormatting sqref="V19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{878F1BF2-12C6-473A-A838-DBE1716C2DA4}</x14:id>
        </ext>
      </extLst>
    </cfRule>
  </conditionalFormatting>
  <conditionalFormatting sqref="L19:M1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{A5EB40B5-78C4-4F0C-AA21-B048DEDCDBD0}</x14:id>
        </ext>
      </extLst>
    </cfRule>
  </conditionalFormatting>
  <conditionalFormatting sqref="L19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{963DDA80-7F88-46D2-BFE1-70AAAFABE432}</x14:id>
        </ext>
      </extLst>
    </cfRule>
  </conditionalFormatting>
  <conditionalFormatting sqref="M19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{A4F7B4C0-0BA6-46A1-B61B-1272FC6E21CB}</x14:id>
        </ext>
      </extLst>
    </cfRule>
  </conditionalFormatting>
  <conditionalFormatting sqref="L19:M19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{71048056-CB57-4D23-A221-FB8EEA1523C3}</x14:id>
        </ext>
      </extLst>
    </cfRule>
  </conditionalFormatting>
  <conditionalFormatting sqref="L19:M1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{87AB97D2-0114-4BB1-9209-9A42BAC5ECFF}</x14:id>
        </ext>
      </extLst>
    </cfRule>
  </conditionalFormatting>
  <conditionalFormatting sqref="U19:V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{9589DA69-1A27-44C8-8201-ABC13EBD34EE}</x14:id>
        </ext>
      </extLst>
    </cfRule>
  </conditionalFormatting>
  <conditionalFormatting sqref="U19:V19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{3D61B13A-7AC8-43F7-86B6-08B94374C5C6}</x14:id>
        </ext>
      </extLst>
    </cfRule>
  </conditionalFormatting>
  <conditionalFormatting sqref="I1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{0E538B95-88EA-4EA6-A7BE-81544ED10384}</x14:id>
        </ext>
      </extLst>
    </cfRule>
  </conditionalFormatting>
  <conditionalFormatting sqref="T19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{FA28B334-D6B0-4937-BD11-25B9B873E97F}</x14:id>
        </ext>
      </extLst>
    </cfRule>
  </conditionalFormatting>
  <conditionalFormatting sqref="L19:M1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{044FCFF3-300D-41B0-88DB-0A3762E689A4}</x14:id>
        </ext>
      </extLst>
    </cfRule>
  </conditionalFormatting>
  <conditionalFormatting sqref="U19:V1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{40F0F3B5-4383-4C3F-9144-50B3F7D79BE0}</x14:id>
        </ext>
      </extLst>
    </cfRule>
  </conditionalFormatting>
  <conditionalFormatting sqref="L19:M1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{5041DFF0-E523-4303-94D5-CE0380EE1D97}</x14:id>
        </ext>
      </extLst>
    </cfRule>
  </conditionalFormatting>
  <conditionalFormatting sqref="U19:V1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{E73D156F-EA65-4B33-9DD0-07CA5270B86D}</x14:id>
        </ext>
      </extLst>
    </cfRule>
  </conditionalFormatting>
  <conditionalFormatting sqref="I1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{162744A6-9133-4AA2-9BFC-49C3EE43CCAC}</x14:id>
        </ext>
      </extLst>
    </cfRule>
  </conditionalFormatting>
  <conditionalFormatting sqref="L19:M1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{4E06D0B1-C007-4136-9CBB-A4BEA27845C6}</x14:id>
        </ext>
      </extLst>
    </cfRule>
  </conditionalFormatting>
  <conditionalFormatting sqref="T1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{A414B538-B67E-490A-8249-DA6B6E8B3DDD}</x14:id>
        </ext>
      </extLst>
    </cfRule>
  </conditionalFormatting>
  <conditionalFormatting sqref="H52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{CBFA5FAC-B2CB-4AFC-A737-FA5145A508CA}</x14:id>
        </ext>
      </extLst>
    </cfRule>
    <cfRule type="cellIs" dxfId="4702" priority="14" operator="equal">
      <formula>1</formula>
    </cfRule>
  </conditionalFormatting>
  <conditionalFormatting sqref="D52">
    <cfRule type="containsText" dxfId="4701" priority="12" operator="containsText" text="Buy">
      <formula>NOT(ISERROR(SEARCH("Buy",D52)))</formula>
    </cfRule>
    <cfRule type="containsText" dxfId="4700" priority="13" operator="containsText" text="Sell">
      <formula>NOT(ISERROR(SEARCH("Sell",D52)))</formula>
    </cfRule>
  </conditionalFormatting>
  <conditionalFormatting sqref="D53">
    <cfRule type="containsText" dxfId="4699" priority="7" operator="containsText" text="Buy">
      <formula>NOT(ISERROR(SEARCH("Buy",D53)))</formula>
    </cfRule>
    <cfRule type="containsText" dxfId="4698" priority="8" operator="containsText" text="Sell">
      <formula>NOT(ISERROR(SEARCH("Sell",D53)))</formula>
    </cfRule>
  </conditionalFormatting>
  <conditionalFormatting sqref="H53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{4FFB9A85-6BEE-4C77-8A87-340D1DA2AC74}</x14:id>
        </ext>
      </extLst>
    </cfRule>
    <cfRule type="cellIs" dxfId="4697" priority="10" operator="equal">
      <formula>1</formula>
    </cfRule>
  </conditionalFormatting>
  <conditionalFormatting sqref="M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{B50203EB-7E38-4A86-BDE7-8B4881435855}</x14:id>
        </ext>
      </extLst>
    </cfRule>
  </conditionalFormatting>
  <conditionalFormatting sqref="D57">
    <cfRule type="containsText" dxfId="4696" priority="1" operator="containsText" text="Buy">
      <formula>NOT(ISERROR(SEARCH("Buy",D57)))</formula>
    </cfRule>
    <cfRule type="containsText" dxfId="4695" priority="2" operator="containsText" text="Sell">
      <formula>NOT(ISERROR(SEARCH("Sell",D57)))</formula>
    </cfRule>
  </conditionalFormatting>
  <conditionalFormatting sqref="H5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{FE767A9A-B159-4FAE-BC84-83162C3F0206}</x14:id>
        </ext>
      </extLst>
    </cfRule>
    <cfRule type="cellIs" dxfId="4694" priority="4" operator="equal">
      <formula>1</formula>
    </cfRule>
  </conditionalFormatting>
  <conditionalFormatting sqref="L4:M4 L6:M7 L9:M14">
    <cfRule type="dataBar" priority="33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{FBEBB8CC-6F7E-4635-B574-FDAC06B322C9}</x14:id>
        </ext>
      </extLst>
    </cfRule>
  </conditionalFormatting>
  <conditionalFormatting sqref="I22:I23 I4:I14 I16:I17">
    <cfRule type="dataBar" priority="33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{D92959C2-9121-4790-A9EF-BE6EF561CA0D}</x14:id>
        </ext>
      </extLst>
    </cfRule>
  </conditionalFormatting>
  <conditionalFormatting sqref="T22:T23 T4:T14 T16:T17">
    <cfRule type="dataBar" priority="339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{AC6636D5-D1C7-423C-BA4E-4DE9EDA262A4}</x14:id>
        </ext>
      </extLst>
    </cfRule>
  </conditionalFormatting>
  <conditionalFormatting sqref="L4:M14 L16:M17">
    <cfRule type="dataBar" priority="339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{04CF1564-EC37-411D-8D31-FC7697C34BC9}</x14:id>
        </ext>
      </extLst>
    </cfRule>
  </conditionalFormatting>
  <conditionalFormatting sqref="U4:V14 U16:V17">
    <cfRule type="dataBar" priority="339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{BA07B411-7F9F-42AF-8F73-29272ABB56AE}</x14:id>
        </ext>
      </extLst>
    </cfRule>
  </conditionalFormatting>
  <conditionalFormatting sqref="L20:M21 L4:M14 L16:M17">
    <cfRule type="dataBar" priority="339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{B299698B-8DB8-46A6-A233-4D7C30AA4F48}</x14:id>
        </ext>
      </extLst>
    </cfRule>
  </conditionalFormatting>
  <conditionalFormatting sqref="U20:V21 U4:V14 U16:V17">
    <cfRule type="dataBar" priority="339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{6F67530F-96E4-42E6-8B45-89305DFCDD71}</x14:id>
        </ext>
      </extLst>
    </cfRule>
  </conditionalFormatting>
  <conditionalFormatting sqref="I20:I23 I4:I17">
    <cfRule type="dataBar" priority="339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{724DE80B-698D-4410-AAD9-91646E9663AC}</x14:id>
        </ext>
      </extLst>
    </cfRule>
  </conditionalFormatting>
  <conditionalFormatting sqref="L20:M21 L4:M18">
    <cfRule type="dataBar" priority="339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{F1074052-7CDD-4C6C-A20A-4F558DC12424}</x14:id>
        </ext>
      </extLst>
    </cfRule>
  </conditionalFormatting>
  <conditionalFormatting sqref="T20:T23 T4:T18">
    <cfRule type="dataBar" priority="33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{F8F503A0-7F85-452C-86A0-6ECFFB3B20CF}</x14:id>
        </ext>
      </extLst>
    </cfRule>
  </conditionalFormatting>
  <conditionalFormatting sqref="T4:T23">
    <cfRule type="dataBar" priority="33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{419AC7CF-F479-43EC-92D1-721948052CD4}</x14:id>
        </ext>
      </extLst>
    </cfRule>
  </conditionalFormatting>
  <conditionalFormatting sqref="I4:I23">
    <cfRule type="dataBar" priority="33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{D01E080E-BA76-43C5-BC97-BF7B0F7EB396}</x14:id>
        </ext>
      </extLst>
    </cfRule>
  </conditionalFormatting>
  <conditionalFormatting sqref="L4:L23">
    <cfRule type="dataBar" priority="33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{93FF0ABE-159F-4278-9D1A-7A008EF594F6}</x14:id>
        </ext>
      </extLst>
    </cfRule>
  </conditionalFormatting>
  <conditionalFormatting sqref="M4:M22">
    <cfRule type="dataBar" priority="339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{71F4975C-09DC-4231-8CC5-92D233D7B7CB}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EE8099-F1A9-4666-8432-718D34069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57C34A01-2D32-4154-B7E4-940D0655CD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2ED8B76-8509-4DCC-8C1C-BEDE2ECB7D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0BDA17D-69C2-4DC0-8BE7-D30E3AC48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4B0996EA-ACCD-410F-A7A8-0439CD6189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A0FF6757-CD61-4699-B501-D5A718D753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16C3C1A-FCF4-453A-8383-671B2A4D38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1D6881C-5D5D-4663-86D4-12DE3B1542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730D2664-59DA-42DE-B64A-6C6C942244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37C033B-2C04-425B-A84B-144D4E473E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F71BFC2A-4467-402E-8907-82855E639A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L6:L7 L4</xm:sqref>
        </x14:conditionalFormatting>
        <x14:conditionalFormatting xmlns:xm="http://schemas.microsoft.com/office/excel/2006/main">
          <x14:cfRule type="dataBar" id="{359EED1B-E751-4376-98EF-6040A31EA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M6:M7 M4</xm:sqref>
        </x14:conditionalFormatting>
        <x14:conditionalFormatting xmlns:xm="http://schemas.microsoft.com/office/excel/2006/main">
          <x14:cfRule type="dataBar" id="{387ABF19-B011-482A-8640-9DB0C3E2A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U6:U7</xm:sqref>
        </x14:conditionalFormatting>
        <x14:conditionalFormatting xmlns:xm="http://schemas.microsoft.com/office/excel/2006/main">
          <x14:cfRule type="dataBar" id="{2EB9EE23-6D0E-4D00-9322-D660BC0208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 V4</xm:sqref>
        </x14:conditionalFormatting>
        <x14:conditionalFormatting xmlns:xm="http://schemas.microsoft.com/office/excel/2006/main">
          <x14:cfRule type="dataBar" id="{7CFA9EC3-4D61-4776-9C07-070CBC36E7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BAC7017-1B2C-4ED5-A3FB-C8F1432D89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C12AA49-31A0-4885-8832-8322D6AA5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145C2597-ED1D-423B-9144-E604A43C62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6F129045-5C8C-4F69-B26B-46681F66F5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EDBF8C62-31D8-4CE7-AB47-501A5E6C84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2967801D-A2EA-47C6-96A1-55687C7A7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96735C9-2C97-4069-8852-BDC854E69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9271594-6E5C-4ECB-AC32-28E33BD81F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11A418B-7077-457C-9DE6-A9E5C1D4EF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C560B14-A1B8-4728-B02B-32EDEE5294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1392B22-BB12-41EC-A3E4-A447CEDCFC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F5D928A6-6865-47AE-9003-FCAC40ECA2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66F6F36-FDF3-44FF-B2B0-F49A91274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BF30DCC-9038-423D-9702-DCD5009495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A4A3275-714B-4ED5-91C9-66F543202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22A81E0A-61A2-489F-8DE1-3CB70AAF70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4272850-E9BE-4A8C-9444-383EF1952D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3C90348-6AB8-4F81-8D33-B4F661AB0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B0A9C88-EBCA-4C56-8C46-EC7082E84D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A4FAE35-5925-49B5-BB87-043B5AAFB3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8043F98-5E6F-4840-AF70-ADFB8BD0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5B10E9-1FD1-46F3-A6CA-BB4C16100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4499DE09-A09C-4FE4-9EC3-422827597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D5E4B87B-AF24-4561-B737-5F44AB3A5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C4BFA48E-DAA7-4045-BD4E-CBB90F85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27D07E9-F68B-448F-BB18-E5A2013FE1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C219F170-22E5-4F10-968E-AF1A585BA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E055B432-7D4D-48DF-83A0-9B6D3E1EA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1097AF4C-E00B-4923-8569-620214993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E713F22D-7615-4740-81A0-DBD4EDCA2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FF98009-368C-4202-B836-BE33C01310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52623929-6E67-4F6D-9C37-088731E51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720A312B-32D2-4062-8161-BDD6433A6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860B35AC-48A4-4012-BFE6-5382680B6A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1CAEFE58-2D87-4E32-BF37-F32B75B8B0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</xm:sqref>
        </x14:conditionalFormatting>
        <x14:conditionalFormatting xmlns:xm="http://schemas.microsoft.com/office/excel/2006/main">
          <x14:cfRule type="dataBar" id="{4E64A597-AA8C-43BC-A8A6-CC46E8F929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69EE9832-0886-48B7-A00D-554CACC1BE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A6E5783A-C0C1-4A37-9709-44F4CB0520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9BCDEC6-89F0-4A06-9E51-0A6C4CD41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0858F96-80DD-4864-B415-2ECD7C89AC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71F6EEDD-1A4C-42A8-8AA9-D0641DC97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E0A7F9-4D73-48DF-A43B-E62378E818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F38BB5D1-2F4D-499F-A4F5-D98BEF1FF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3D16C4A-C15D-457C-A788-F0CD5B1F6F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EE69CE58-DD5E-414B-B34E-357FFC9A87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FE05FAC3-DE84-4331-A371-F811934A9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59FB00AE-EB2A-48C9-928A-B743D8A6B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4E0D79B8-7F82-446E-B560-F7BE55BD5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</xm:sqref>
        </x14:conditionalFormatting>
        <x14:conditionalFormatting xmlns:xm="http://schemas.microsoft.com/office/excel/2006/main">
          <x14:cfRule type="dataBar" id="{C8F228C5-D05D-48D9-82B6-595805897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62527322-56AF-49FE-A899-3A0508BC8A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6B466696-CB00-461F-8964-26443A92F5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8436588-B9D1-4766-AB7D-C50313F272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A0CC674-B5B7-4535-B59C-D4BDACFCD5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26B0F586-9B2E-498E-A20B-D34BB9964C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E8D90D34-154D-4B79-899F-8332E63CAA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9BD22034-DD5D-4D29-B48C-573A073B7C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50E8302-DE12-4750-B265-0C32C1445B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A2D79CB-88AC-4290-83B2-C2FC9C71C6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973F9F9B-2F8D-4272-9E1F-6FBDA2AE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1979ADF3-80C9-4BD8-AE77-A8B3400D9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F9E5296-C18B-429D-8FC6-5A0EB5E63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99A7674B-2F71-45DA-9443-0E78E0134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A30BE75-AED1-4725-BA7D-3F6C1E217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B110E2A-867B-487E-87DA-C0C141CADE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72BFBAD0-2342-444D-A1CF-4D9E3ED774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117D9E2-6B67-441A-A249-77E2C68C6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653E0164-CCD9-4C5B-9581-45317F685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2896944-998A-4794-8209-0A8F6736E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02316B6-61DC-4177-A238-79D4A58A8D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BB82EA5C-93D4-4EA9-A025-239E5386D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7B5621F-1477-45B4-B230-DE30316B18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081A3C97-BCB4-4431-AA9C-E224A873D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85DF7B09-885B-4936-9961-84D77AD71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77A7B35F-F020-4840-B570-2C5C7F8D1D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C40DD52A-E68D-4891-AB6C-F0AF6E568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EB90A1ED-600E-459F-9C3E-6F7DD80586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5FE8A35-E6F1-4EE5-AC18-286C34C3C8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3A5F2206-914E-4C5D-9CD4-E4E9221119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F75257DE-4A19-42D8-89BC-1E788DCA8B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85F5B8CC-2780-4BE1-BC11-14FC0E858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C746D3E3-7EAF-46D0-8DEE-43EABA909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34BF9D9-1077-4C0A-A878-F1DC306405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 H54</xm:sqref>
        </x14:conditionalFormatting>
        <x14:conditionalFormatting xmlns:xm="http://schemas.microsoft.com/office/excel/2006/main">
          <x14:cfRule type="dataBar" id="{AC242996-8D7A-4768-87B6-129158ABD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H45</xm:sqref>
        </x14:conditionalFormatting>
        <x14:conditionalFormatting xmlns:xm="http://schemas.microsoft.com/office/excel/2006/main">
          <x14:cfRule type="dataBar" id="{85D2C749-0672-4C38-97D9-718997C6D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03F762B-ABD3-4084-9E2C-C672CE5888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6B45FED-BED8-41C4-9589-0A4387451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D439E974-4B5F-4349-987A-63F9266B9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B807F4-7662-4132-A78C-C7B1015FE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E063D30C-7674-4A32-9753-18A00818B3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64B86FEE-947D-4EB2-BB34-B92759A75A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9503D3F-F3D1-4628-B236-BD4DD23F5C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5BDB799D-5D8A-4653-921A-B3F9911D00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H46:H47</xm:sqref>
        </x14:conditionalFormatting>
        <x14:conditionalFormatting xmlns:xm="http://schemas.microsoft.com/office/excel/2006/main">
          <x14:cfRule type="dataBar" id="{55AC47ED-F35E-40FE-B97D-757481E7DF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EF08794-713B-48A7-94D5-843F0F37AE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BDE7DC2F-3266-4570-9BC2-EC93D32044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E3F662CC-FDF8-4F5B-BC61-DA3AB9AA89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1999A850-291A-4F41-B5FE-FD961FF6CD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DB0B70-4687-47D2-927E-E4B66C257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5B4A3C7-2720-4A3A-A5F6-0C985241E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3070FCF-9047-42F9-84A5-4E95910D3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2D20FB35-B197-4DBE-984C-5EC78E454D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78DB51C2-8E98-4ADF-9A1A-1CDAFD2DD5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37F36F2E-057E-4278-8647-CB3CC9F45E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85536B3B-787A-4EE1-801D-68E370DC8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6348412C-C2B1-4476-842D-61A7F342E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027D8A2A-88DB-48C6-B62E-72BB5513D7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3F06338E-9E02-479F-BD52-6A9A06B922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E2BD0F8D-F49A-474B-86A5-48CA49BC5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H48</xm:sqref>
        </x14:conditionalFormatting>
        <x14:conditionalFormatting xmlns:xm="http://schemas.microsoft.com/office/excel/2006/main">
          <x14:cfRule type="dataBar" id="{3B6962FF-EBA3-4EEE-9EB0-21DC333A93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13D25AA1-40A5-4362-B4CE-124B6799AB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AF6176DA-FEF5-4C77-82E6-B33DE507B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155F56E-D68C-4EEC-AB1D-5CEC3D230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A05B1684-99DF-4934-8F25-5B47D53DB1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 U6:V7</xm:sqref>
        </x14:conditionalFormatting>
        <x14:conditionalFormatting xmlns:xm="http://schemas.microsoft.com/office/excel/2006/main">
          <x14:cfRule type="dataBar" id="{5422E7D3-DE29-476F-8E85-9AC83F60BA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E17EC6CC-1BB3-43E6-A090-7D4795A9E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5840E6C8-2B92-4875-8218-EBAD48B37A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821F82B0-E295-45E1-BD33-50F2D47B68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89C2142-B018-4481-BAD1-4188FBBF85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FC018809-21B4-437B-9371-534D1D6A59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CF0D1862-CDA8-4C7A-93DC-AD199C833E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E9A7ED5-F11E-4B5A-840E-F7C91AEC2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3C579295-B700-4F77-85FF-5084F8C4E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431F421F-ADD9-4597-904C-7A23BA24A5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6612EB61-677D-46E3-A969-45147FAC3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BDF2933-A108-4DDB-A863-B9807E5207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05E27BD-EA2E-4F16-A021-7859753388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0F5D51E8-3168-4B26-B345-F2B41A5B8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U17:V17</xm:sqref>
        </x14:conditionalFormatting>
        <x14:conditionalFormatting xmlns:xm="http://schemas.microsoft.com/office/excel/2006/main">
          <x14:cfRule type="dataBar" id="{EAD88722-FE59-4772-97FB-A5A237527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D09E7B3-E29E-4FE8-9B41-3CB46AB569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101D517-8A46-45DA-B299-D7E90EFB81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F8FF91A7-5FC8-479E-B63D-94C22D973B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2096C706-51EE-4BD3-91D7-CF2B1569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7EFA6B08-A167-4A70-9331-421CF1A219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X4:X14 X16:X17</xm:sqref>
        </x14:conditionalFormatting>
        <x14:conditionalFormatting xmlns:xm="http://schemas.microsoft.com/office/excel/2006/main">
          <x14:cfRule type="dataBar" id="{38B8E393-5B07-434F-B4F3-1F777F8CA0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W4:W14 W16:W17</xm:sqref>
        </x14:conditionalFormatting>
        <x14:conditionalFormatting xmlns:xm="http://schemas.microsoft.com/office/excel/2006/main">
          <x14:cfRule type="dataBar" id="{870DD79C-BAAC-4E65-86DA-ECF06D082F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C051ABF-2F1A-4F4C-8400-4F456C38E1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9E761829-6D90-45D7-9AEA-02D26F9980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B1052454-2E9D-46B4-9372-84F4A39FEF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396FF731-58AE-4518-90D0-A3E0C14B24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970CBDCD-AD83-4100-BB10-B3DCDABA32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B86698F9-62F1-44F9-BAA9-319CA8D113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0DFA8611-DAD8-4901-A68A-478EBE9B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5E757D8D-FD8A-43E1-9D0A-334D967846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A7C59A2-C28D-40C6-80F6-5DAAEA576C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B29B14D6-EF09-4088-8924-034B36A676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6E2C852-96C8-4F06-B82A-058F724825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4CA564F9-043D-4E44-844C-13B395687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7E419733-B410-4409-B02C-2781DB3C92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87C5026E-6A04-4919-8DC2-0F550F1941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16EAAA71-A273-4504-804D-4929F721F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9F9C7F6-2AF8-4029-A0EA-A5AAE1F8ED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2CC8B51D-6BD6-4E35-BB69-4E10E473D6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76B8331-9EF3-4600-8062-D20114CFC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D64658E1-0531-4226-952F-2928152DA0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</xm:sqref>
        </x14:conditionalFormatting>
        <x14:conditionalFormatting xmlns:xm="http://schemas.microsoft.com/office/excel/2006/main">
          <x14:cfRule type="dataBar" id="{4E0907E8-2CC5-420D-BD32-40879AC24C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0993635E-CE08-4B1E-9A9C-9B483328B8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A9230585-3067-4A8B-B486-7DD73338FD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C5A1780A-8F04-4469-A366-0C2048843C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13FC7AAE-6A0E-4711-9236-8987AF9B59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C1102F97-78DE-4AD7-8F06-3FC0F53C56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70E5E165-964F-4CFA-B171-F6A16F80B7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L21:M21</xm:sqref>
        </x14:conditionalFormatting>
        <x14:conditionalFormatting xmlns:xm="http://schemas.microsoft.com/office/excel/2006/main">
          <x14:cfRule type="dataBar" id="{5BAAFED7-75CA-4B2D-8A12-250AEF9E88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ADB35F85-2D66-4466-B80B-9FD8248CBE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080B32DA-73FA-4B43-9EEB-52B09088CF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141FE2FC-D424-4F05-BDB5-E511EB011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945BFD2E-4EBC-4378-AF50-571A4483BD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0B8589A-005C-489B-877D-79AF6F6AEE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877FCDD3-CA5B-4C84-9417-D1008A6AB7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365B6B2D-1B33-40E0-BD6C-AB75C43550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64CE96AD-E3CC-4E87-9CE3-52EE6D95D5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DD3A3A84-2DAF-4807-9E40-3E0937BAB4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F826D1EF-02FE-4DB5-B0C9-11D1D89D56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3E03CC6A-EE28-493D-BB07-5BBF0B9677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3E7BA38-A984-40C6-B1C9-003A8182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M15</xm:sqref>
        </x14:conditionalFormatting>
        <x14:conditionalFormatting xmlns:xm="http://schemas.microsoft.com/office/excel/2006/main">
          <x14:cfRule type="dataBar" id="{515667AE-9DA4-461B-8DDC-ED7C0931F1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C825E4B-4BC9-4B41-A4B8-09A67ECA4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1A92B893-3A8B-4212-B2B1-46F34C80E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ED5790A7-89C9-4A07-BAEE-6F90E735BE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3666CBDD-F19A-486F-8BB0-B2E6DA6C0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8B124784-1515-4C75-876C-F8D7AC78EB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F869019E-7678-42D5-95E7-D1146F9FAD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8E6ED24E-BF7C-4834-934B-32F778AE4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72279E8B-78B6-4ADF-AC77-233BA974D3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A3D20C4A-6777-4E40-BA66-85809140C5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F8FDCE7-D1E5-476A-AC41-2630CAC18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703C5B8-25B6-4614-A6C9-EA69ACDB91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8C99CA41-24AF-48F1-8B0E-C44B1C6C91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9079E641-CDEB-4BC7-B48D-26C77146C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830C270E-EDF4-4B9F-8CFF-6628C8A778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L18:M18</xm:sqref>
        </x14:conditionalFormatting>
        <x14:conditionalFormatting xmlns:xm="http://schemas.microsoft.com/office/excel/2006/main">
          <x14:cfRule type="dataBar" id="{FF5ECD58-C2B7-4EEF-ACC2-ACBA4108C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003CEE20-868E-4501-9799-5438E41070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86597B58-BD28-45A8-AD1C-5030AEF525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878F1BF2-12C6-473A-A838-DBE1716C2D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A5EB40B5-78C4-4F0C-AA21-B048DEDCDB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63DDA80-7F88-46D2-BFE1-70AAAFABE4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4F7B4C0-0BA6-46A1-B61B-1272FC6E21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71048056-CB57-4D23-A221-FB8EEA152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87AB97D2-0114-4BB1-9209-9A42BAC5E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9589DA69-1A27-44C8-8201-ABC13EBD34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3D61B13A-7AC8-43F7-86B6-08B94374C5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0E538B95-88EA-4EA6-A7BE-81544ED103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A28B334-D6B0-4937-BD11-25B9B873E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044FCFF3-300D-41B0-88DB-0A3762E68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0F0F3B5-4383-4C3F-9144-50B3F7D79B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041DFF0-E523-4303-94D5-CE0380EE1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73D156F-EA65-4B33-9DD0-07CA5270B8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162744A6-9133-4AA2-9BFC-49C3EE43CC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E06D0B1-C007-4136-9CBB-A4BEA27845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A414B538-B67E-490A-8249-DA6B6E8B3D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CBFA5FAC-B2CB-4AFC-A737-FA5145A508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4FFB9A85-6BEE-4C77-8A87-340D1DA2AC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B50203EB-7E38-4A86-BDE7-8B48814358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M23</xm:sqref>
        </x14:conditionalFormatting>
        <x14:conditionalFormatting xmlns:xm="http://schemas.microsoft.com/office/excel/2006/main">
          <x14:cfRule type="dataBar" id="{FE767A9A-B159-4FAE-BC84-83162C3F02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FBEBB8CC-6F7E-4635-B574-FDAC06B32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L6:M7 L9:M14</xm:sqref>
        </x14:conditionalFormatting>
        <x14:conditionalFormatting xmlns:xm="http://schemas.microsoft.com/office/excel/2006/main">
          <x14:cfRule type="dataBar" id="{D92959C2-9121-4790-A9EF-BE6EF561CA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I22:I23 I4:I14 I16:I17</xm:sqref>
        </x14:conditionalFormatting>
        <x14:conditionalFormatting xmlns:xm="http://schemas.microsoft.com/office/excel/2006/main">
          <x14:cfRule type="dataBar" id="{AC6636D5-D1C7-423C-BA4E-4DE9EDA26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T22:T23 T4:T14 T16:T17</xm:sqref>
        </x14:conditionalFormatting>
        <x14:conditionalFormatting xmlns:xm="http://schemas.microsoft.com/office/excel/2006/main">
          <x14:cfRule type="dataBar" id="{04CF1564-EC37-411D-8D31-FC7697C34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L4:M14 L16:M17</xm:sqref>
        </x14:conditionalFormatting>
        <x14:conditionalFormatting xmlns:xm="http://schemas.microsoft.com/office/excel/2006/main">
          <x14:cfRule type="dataBar" id="{BA07B411-7F9F-42AF-8F73-29272ABB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 U16:V17</xm:sqref>
        </x14:conditionalFormatting>
        <x14:conditionalFormatting xmlns:xm="http://schemas.microsoft.com/office/excel/2006/main">
          <x14:cfRule type="dataBar" id="{B299698B-8DB8-46A6-A233-4D7C30AA4F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L4:M14 L16:M17</xm:sqref>
        </x14:conditionalFormatting>
        <x14:conditionalFormatting xmlns:xm="http://schemas.microsoft.com/office/excel/2006/main">
          <x14:cfRule type="dataBar" id="{6F67530F-96E4-42E6-8B45-89305DFCD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U20:V21 U4:V14 U16:V17</xm:sqref>
        </x14:conditionalFormatting>
        <x14:conditionalFormatting xmlns:xm="http://schemas.microsoft.com/office/excel/2006/main">
          <x14:cfRule type="dataBar" id="{724DE80B-698D-4410-AAD9-91646E9663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I20:I23 I4:I17</xm:sqref>
        </x14:conditionalFormatting>
        <x14:conditionalFormatting xmlns:xm="http://schemas.microsoft.com/office/excel/2006/main">
          <x14:cfRule type="dataBar" id="{F1074052-7CDD-4C6C-A20A-4F558DC124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L20:M21 L4:M18</xm:sqref>
        </x14:conditionalFormatting>
        <x14:conditionalFormatting xmlns:xm="http://schemas.microsoft.com/office/excel/2006/main">
          <x14:cfRule type="dataBar" id="{F8F503A0-7F85-452C-86A0-6ECFFB3B20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T20:T23 T4:T18</xm:sqref>
        </x14:conditionalFormatting>
        <x14:conditionalFormatting xmlns:xm="http://schemas.microsoft.com/office/excel/2006/main">
          <x14:cfRule type="dataBar" id="{419AC7CF-F479-43EC-92D1-721948052C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T4:T23</xm:sqref>
        </x14:conditionalFormatting>
        <x14:conditionalFormatting xmlns:xm="http://schemas.microsoft.com/office/excel/2006/main">
          <x14:cfRule type="dataBar" id="{D01E080E-BA76-43C5-BC97-BF7B0F7EB3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  <x14:conditionalFormatting xmlns:xm="http://schemas.microsoft.com/office/excel/2006/main">
          <x14:cfRule type="dataBar" id="{93FF0ABE-159F-4278-9D1A-7A008EF594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L4:L23</xm:sqref>
        </x14:conditionalFormatting>
        <x14:conditionalFormatting xmlns:xm="http://schemas.microsoft.com/office/excel/2006/main">
          <x14:cfRule type="dataBar" id="{71F4975C-09DC-4231-8CC5-92D233D7B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M4:M22</xm:sqref>
        </x14:conditionalFormatting>
        <x14:conditionalFormatting xmlns:xm="http://schemas.microsoft.com/office/excel/2006/main">
          <x14:cfRule type="iconSet" priority="85" id="{16DA6050-41B7-4CD2-B741-DD8EAEDE44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J4:J14 J16:J17</xm:sqref>
        </x14:conditionalFormatting>
        <x14:conditionalFormatting xmlns:xm="http://schemas.microsoft.com/office/excel/2006/main">
          <x14:cfRule type="iconSet" priority="59" id="{E57A8139-0C35-4901-96A9-25FD11A660F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  <pageSetUpPr fitToPage="1"/>
  </sheetPr>
  <dimension ref="A1:Y409"/>
  <sheetViews>
    <sheetView workbookViewId="0">
      <pane xSplit="2" topLeftCell="C1" activePane="topRight" state="frozen"/>
      <selection pane="topRight" activeCell="K12" sqref="K12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6.28515625" style="32" customWidth="1"/>
    <col min="4" max="4" width="10.5703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5.7109375" style="32" bestFit="1" customWidth="1"/>
    <col min="9" max="9" width="13" style="32" customWidth="1"/>
    <col min="10" max="10" width="10.5703125" style="32" customWidth="1"/>
    <col min="11" max="11" width="13.28515625" style="32" customWidth="1"/>
    <col min="12" max="12" width="11.14062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2.5703125" style="32" customWidth="1"/>
    <col min="20" max="21" width="11.42578125" style="32" customWidth="1"/>
    <col min="22" max="22" width="11.28515625" style="32" customWidth="1"/>
    <col min="23" max="23" width="15.5703125" style="32" bestFit="1" customWidth="1"/>
    <col min="24" max="24" width="11" style="32" customWidth="1"/>
    <col min="25" max="25" width="10.7109375" style="32" customWidth="1"/>
    <col min="26" max="16384" width="9.140625" style="32"/>
  </cols>
  <sheetData>
    <row r="1" spans="1:25" x14ac:dyDescent="0.2">
      <c r="B1" s="304">
        <v>42261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5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5" s="620" customFormat="1" ht="102" x14ac:dyDescent="0.25">
      <c r="A3" s="618"/>
      <c r="B3" s="618" t="s">
        <v>105</v>
      </c>
      <c r="C3" s="619" t="s">
        <v>104</v>
      </c>
      <c r="D3" s="619" t="s">
        <v>120</v>
      </c>
      <c r="E3" s="619" t="s">
        <v>119</v>
      </c>
      <c r="F3" s="619" t="s">
        <v>100</v>
      </c>
      <c r="G3" s="619" t="s">
        <v>118</v>
      </c>
      <c r="H3" s="619" t="s">
        <v>792</v>
      </c>
      <c r="I3" s="619" t="s">
        <v>793</v>
      </c>
      <c r="J3" s="618" t="s">
        <v>24</v>
      </c>
      <c r="K3" s="618" t="s">
        <v>97</v>
      </c>
      <c r="L3" s="619" t="s">
        <v>401</v>
      </c>
      <c r="M3" s="619" t="s">
        <v>138</v>
      </c>
      <c r="N3" s="619" t="s">
        <v>407</v>
      </c>
      <c r="O3" s="619" t="s">
        <v>127</v>
      </c>
      <c r="P3" s="619" t="s">
        <v>115</v>
      </c>
      <c r="Q3" s="619" t="s">
        <v>114</v>
      </c>
      <c r="R3" s="619" t="s">
        <v>111</v>
      </c>
      <c r="S3" s="619" t="s">
        <v>112</v>
      </c>
      <c r="T3" s="619" t="s">
        <v>746</v>
      </c>
      <c r="U3" s="619" t="s">
        <v>747</v>
      </c>
      <c r="V3" s="619" t="s">
        <v>128</v>
      </c>
      <c r="W3" s="619" t="s">
        <v>129</v>
      </c>
      <c r="X3" s="619" t="s">
        <v>778</v>
      </c>
      <c r="Y3" s="619" t="s">
        <v>779</v>
      </c>
    </row>
    <row r="4" spans="1:25" s="556" customFormat="1" x14ac:dyDescent="0.2">
      <c r="A4" s="494" t="s">
        <v>398</v>
      </c>
      <c r="B4" s="506" t="s">
        <v>205</v>
      </c>
      <c r="C4" s="494" t="s">
        <v>204</v>
      </c>
      <c r="D4" s="497" t="e">
        <f t="shared" ref="D4:D20" ca="1" si="0">Q4/$Q$24</f>
        <v>#NAME?</v>
      </c>
      <c r="E4" s="495">
        <f>$F$75</f>
        <v>12550</v>
      </c>
      <c r="F4" s="496">
        <f>$H$75</f>
        <v>3.28</v>
      </c>
      <c r="G4" s="496" t="e">
        <f ca="1">_xll.BDP($C4,"PX_LAST")</f>
        <v>#NAME?</v>
      </c>
      <c r="H4" s="554" t="e">
        <f ca="1">_xll.BDP($C4,"BEST_TARGET_PRICE")</f>
        <v>#NAME?</v>
      </c>
      <c r="I4" s="497" t="e">
        <f t="shared" ref="I4:I20" ca="1" si="1">H4/G4-1</f>
        <v>#NAME?</v>
      </c>
      <c r="J4" s="496" t="e">
        <f ca="1">_xll.BDP($C4,"EQY_REC_CONS")</f>
        <v>#NAME?</v>
      </c>
      <c r="K4" s="498" t="e">
        <f ca="1">_xll.BDP($C4,"CRNCY")</f>
        <v>#NAME?</v>
      </c>
      <c r="L4" s="497" t="e">
        <f ca="1">P4/N4-1</f>
        <v>#NAME?</v>
      </c>
      <c r="M4" s="497" t="e">
        <f ca="1">G4/F4-1</f>
        <v>#NAME?</v>
      </c>
      <c r="N4" s="495" t="e">
        <f ca="1">$K$75</f>
        <v>#NAME?</v>
      </c>
      <c r="O4" s="495">
        <f>E4*F4</f>
        <v>41164</v>
      </c>
      <c r="P4" s="495" t="e">
        <f ca="1">E4*G4*$I$1</f>
        <v>#NAME?</v>
      </c>
      <c r="Q4" s="495" t="e">
        <f t="shared" ref="Q4:Q20" ca="1" si="2">P4/$I$1</f>
        <v>#NAME?</v>
      </c>
      <c r="R4" s="518" t="e">
        <f t="shared" ref="R4:R20" ca="1" si="3">P4-N4</f>
        <v>#NAME?</v>
      </c>
      <c r="S4" s="518" t="e">
        <f t="shared" ref="S4:S20" ca="1" si="4">Q4-O4</f>
        <v>#NAME?</v>
      </c>
      <c r="T4" s="555" t="e">
        <f ca="1">_xll.BDP($C4,"EQY_DVD_YLD_EST")</f>
        <v>#NAME?</v>
      </c>
      <c r="U4" s="518" t="e">
        <f t="shared" ref="U4:U20" ca="1" si="5">Q4</f>
        <v>#NAME?</v>
      </c>
      <c r="V4" s="515" t="e">
        <f ca="1">_xll.BDP($C4,"CHG_PCT_YTD")</f>
        <v>#NAME?</v>
      </c>
      <c r="W4" s="515" t="e">
        <f ca="1">_xll.BDP($C4,"CHG_PCT_1YR")</f>
        <v>#NAME?</v>
      </c>
      <c r="X4" s="515" t="e">
        <f ca="1">_xll.BDP($C4,"DVD_EX_DT")</f>
        <v>#NAME?</v>
      </c>
      <c r="Y4" s="515" t="e">
        <f ca="1">_xll.BDP($C4,"BDVD_NEXT_EST_DECL_DT")</f>
        <v>#NAME?</v>
      </c>
    </row>
    <row r="5" spans="1:25" s="556" customFormat="1" x14ac:dyDescent="0.2">
      <c r="A5" s="494" t="s">
        <v>398</v>
      </c>
      <c r="B5" s="506" t="s">
        <v>361</v>
      </c>
      <c r="C5" s="494" t="s">
        <v>360</v>
      </c>
      <c r="D5" s="497" t="e">
        <f t="shared" ca="1" si="0"/>
        <v>#NAME?</v>
      </c>
      <c r="E5" s="495">
        <f>$F$141</f>
        <v>4820</v>
      </c>
      <c r="F5" s="496">
        <f>$H$141</f>
        <v>15.508901843485479</v>
      </c>
      <c r="G5" s="496" t="e">
        <f ca="1">_xll.BDP($C5,"PX_LAST")</f>
        <v>#NAME?</v>
      </c>
      <c r="H5" s="554" t="e">
        <f ca="1">_xll.BDP($C5,"BEST_TARGET_PRICE")</f>
        <v>#NAME?</v>
      </c>
      <c r="I5" s="497" t="e">
        <f t="shared" ca="1" si="1"/>
        <v>#NAME?</v>
      </c>
      <c r="J5" s="496" t="e">
        <f ca="1">_xll.BDP($C5,"EQY_REC_CONS")</f>
        <v>#NAME?</v>
      </c>
      <c r="K5" s="498" t="e">
        <f ca="1">_xll.BDP($C5,"CRNCY")</f>
        <v>#NAME?</v>
      </c>
      <c r="L5" s="497" t="e">
        <f ca="1">P5/N5-1</f>
        <v>#NAME?</v>
      </c>
      <c r="M5" s="497" t="e">
        <f ca="1">G5/F5-1</f>
        <v>#NAME?</v>
      </c>
      <c r="N5" s="495" t="e">
        <f ca="1">$K$141</f>
        <v>#NAME?</v>
      </c>
      <c r="O5" s="495">
        <f>E5*F5</f>
        <v>74752.906885600009</v>
      </c>
      <c r="P5" s="495" t="e">
        <f ca="1">E5*G5*$I$1</f>
        <v>#NAME?</v>
      </c>
      <c r="Q5" s="495" t="e">
        <f t="shared" ca="1" si="2"/>
        <v>#NAME?</v>
      </c>
      <c r="R5" s="518" t="e">
        <f t="shared" ca="1" si="3"/>
        <v>#NAME?</v>
      </c>
      <c r="S5" s="518" t="e">
        <f t="shared" ca="1" si="4"/>
        <v>#NAME?</v>
      </c>
      <c r="T5" s="555" t="e">
        <f ca="1">_xll.BDP($C5,"EQY_DVD_YLD_EST")</f>
        <v>#NAME?</v>
      </c>
      <c r="U5" s="518" t="e">
        <f t="shared" ca="1" si="5"/>
        <v>#NAME?</v>
      </c>
      <c r="V5" s="515" t="e">
        <f ca="1">_xll.BDP($C5,"CHG_PCT_YTD")</f>
        <v>#NAME?</v>
      </c>
      <c r="W5" s="515" t="e">
        <f ca="1">_xll.BDP($C5,"CHG_PCT_1YR")</f>
        <v>#NAME?</v>
      </c>
      <c r="X5" s="515" t="e">
        <f ca="1">_xll.BDP($C5,"DVD_EX_DT")</f>
        <v>#NAME?</v>
      </c>
      <c r="Y5" s="515" t="e">
        <f ca="1">_xll.BDP($C5,"BDVD_NEXT_EST_DECL_DT")</f>
        <v>#NAME?</v>
      </c>
    </row>
    <row r="6" spans="1:25" s="557" customFormat="1" x14ac:dyDescent="0.2">
      <c r="A6" s="494" t="s">
        <v>398</v>
      </c>
      <c r="B6" s="506" t="s">
        <v>382</v>
      </c>
      <c r="C6" s="494" t="s">
        <v>184</v>
      </c>
      <c r="D6" s="497" t="e">
        <f t="shared" ca="1" si="0"/>
        <v>#NAME?</v>
      </c>
      <c r="E6" s="495">
        <f>$F$84</f>
        <v>1600</v>
      </c>
      <c r="F6" s="496">
        <f>$H$84</f>
        <v>806.46875</v>
      </c>
      <c r="G6" s="496" t="e">
        <f ca="1">_xll.BDP($C6,"PX_LAST")</f>
        <v>#NAME?</v>
      </c>
      <c r="H6" s="554" t="e">
        <f ca="1">_xll.BDP($C6,"BEST_TARGET_PRICE")</f>
        <v>#NAME?</v>
      </c>
      <c r="I6" s="497" t="e">
        <f t="shared" ca="1" si="1"/>
        <v>#NAME?</v>
      </c>
      <c r="J6" s="496" t="e">
        <f ca="1">_xll.BDP($C6,"EQY_REC_CONS")</f>
        <v>#NAME?</v>
      </c>
      <c r="K6" s="498" t="e">
        <f ca="1">_xll.BDP($C6,"CRNCY")</f>
        <v>#NAME?</v>
      </c>
      <c r="L6" s="497" t="e">
        <f ca="1">G6/F6-1</f>
        <v>#NAME?</v>
      </c>
      <c r="M6" s="497" t="e">
        <f ca="1">Q6/O6-1</f>
        <v>#NAME?</v>
      </c>
      <c r="N6" s="495">
        <f>E6*F6</f>
        <v>1290350</v>
      </c>
      <c r="O6" s="495" t="e">
        <f ca="1">$J$84</f>
        <v>#NAME?</v>
      </c>
      <c r="P6" s="495" t="e">
        <f ca="1">E6*G6</f>
        <v>#NAME?</v>
      </c>
      <c r="Q6" s="495" t="e">
        <f t="shared" ca="1" si="2"/>
        <v>#NAME?</v>
      </c>
      <c r="R6" s="518" t="e">
        <f t="shared" ca="1" si="3"/>
        <v>#NAME?</v>
      </c>
      <c r="S6" s="518" t="e">
        <f t="shared" ca="1" si="4"/>
        <v>#NAME?</v>
      </c>
      <c r="T6" s="555" t="e">
        <f ca="1">_xll.BDP($C6,"EQY_DVD_YLD_EST")</f>
        <v>#NAME?</v>
      </c>
      <c r="U6" s="518" t="e">
        <f t="shared" ca="1" si="5"/>
        <v>#NAME?</v>
      </c>
      <c r="V6" s="515" t="e">
        <f ca="1">_xll.BDP($C6,"CHG_PCT_YTD")</f>
        <v>#NAME?</v>
      </c>
      <c r="W6" s="515" t="e">
        <f ca="1">_xll.BDP($C6,"CHG_PCT_1YR")</f>
        <v>#NAME?</v>
      </c>
      <c r="X6" s="515" t="e">
        <f ca="1">_xll.BDP($C6,"DVD_EX_DT")</f>
        <v>#NAME?</v>
      </c>
      <c r="Y6" s="515" t="e">
        <f ca="1">_xll.BDP($C6,"BDVD_NEXT_EST_DECL_DT")</f>
        <v>#NAME?</v>
      </c>
    </row>
    <row r="7" spans="1:25" s="494" customFormat="1" x14ac:dyDescent="0.2">
      <c r="A7" s="185" t="s">
        <v>398</v>
      </c>
      <c r="B7" s="730" t="s">
        <v>261</v>
      </c>
      <c r="C7" s="185" t="s">
        <v>387</v>
      </c>
      <c r="D7" s="693" t="e">
        <f t="shared" ca="1" si="0"/>
        <v>#NAME?</v>
      </c>
      <c r="E7" s="694">
        <f>$F$136</f>
        <v>8413</v>
      </c>
      <c r="F7" s="695" t="e">
        <f ca="1">$H$136</f>
        <v>#NAME?</v>
      </c>
      <c r="G7" s="695" t="e">
        <f ca="1">_xll.BDP($C7,"PX_LAST")</f>
        <v>#NAME?</v>
      </c>
      <c r="H7" s="755" t="e">
        <f ca="1">_xll.BDP($C7,"BEST_TARGET_PRICE")</f>
        <v>#NAME?</v>
      </c>
      <c r="I7" s="693" t="e">
        <f t="shared" ca="1" si="1"/>
        <v>#NAME?</v>
      </c>
      <c r="J7" s="695" t="e">
        <f ca="1">_xll.BDP($C7,"EQY_REC_CONS")</f>
        <v>#NAME?</v>
      </c>
      <c r="K7" s="696" t="e">
        <f ca="1">_xll.BDP($C7,"CRNCY")</f>
        <v>#NAME?</v>
      </c>
      <c r="L7" s="693" t="e">
        <f ca="1">G7/F7-1</f>
        <v>#NAME?</v>
      </c>
      <c r="M7" s="693" t="e">
        <f ca="1">Q7/O7-1</f>
        <v>#NAME?</v>
      </c>
      <c r="N7" s="694" t="e">
        <f ca="1">E7*F7</f>
        <v>#NAME?</v>
      </c>
      <c r="O7" s="694">
        <f>$J$136</f>
        <v>54029.9686</v>
      </c>
      <c r="P7" s="694" t="e">
        <f ca="1">E7*G7</f>
        <v>#NAME?</v>
      </c>
      <c r="Q7" s="694" t="e">
        <f t="shared" ca="1" si="2"/>
        <v>#NAME?</v>
      </c>
      <c r="R7" s="756" t="e">
        <f t="shared" ca="1" si="3"/>
        <v>#NAME?</v>
      </c>
      <c r="S7" s="756" t="e">
        <f t="shared" ca="1" si="4"/>
        <v>#NAME?</v>
      </c>
      <c r="T7" s="757" t="e">
        <f ca="1">_xll.BDP($C7,"EQY_DVD_YLD_EST")</f>
        <v>#NAME?</v>
      </c>
      <c r="U7" s="756" t="e">
        <f t="shared" ca="1" si="5"/>
        <v>#NAME?</v>
      </c>
      <c r="V7" s="351" t="e">
        <f ca="1">_xll.BDP($C7,"CHG_PCT_YTD")</f>
        <v>#NAME?</v>
      </c>
      <c r="W7" s="351" t="e">
        <f ca="1">_xll.BDP($C7,"CHG_PCT_1YR")</f>
        <v>#NAME?</v>
      </c>
      <c r="X7" s="351" t="e">
        <f ca="1">_xll.BDP($C7,"DVD_EX_DT")</f>
        <v>#NAME?</v>
      </c>
      <c r="Y7" s="351" t="e">
        <f ca="1">_xll.BDP($C7,"BDVD_NEXT_EST_DECL_DT")</f>
        <v>#NAME?</v>
      </c>
    </row>
    <row r="8" spans="1:25" s="557" customFormat="1" x14ac:dyDescent="0.2">
      <c r="A8" s="494" t="s">
        <v>398</v>
      </c>
      <c r="B8" s="506" t="s">
        <v>358</v>
      </c>
      <c r="C8" s="494" t="s">
        <v>55</v>
      </c>
      <c r="D8" s="497" t="e">
        <f t="shared" ca="1" si="0"/>
        <v>#NAME?</v>
      </c>
      <c r="E8" s="495">
        <f>$F$129</f>
        <v>214</v>
      </c>
      <c r="F8" s="496" t="e">
        <f ca="1">$H$129</f>
        <v>#NAME?</v>
      </c>
      <c r="G8" s="496" t="e">
        <f ca="1">_xll.BDP($C8,"PX_LAST")</f>
        <v>#NAME?</v>
      </c>
      <c r="H8" s="554" t="e">
        <f ca="1">_xll.BDP($C8,"BEST_TARGET_PRICE")</f>
        <v>#NAME?</v>
      </c>
      <c r="I8" s="497" t="e">
        <f t="shared" ca="1" si="1"/>
        <v>#NAME?</v>
      </c>
      <c r="J8" s="496" t="e">
        <f ca="1">_xll.BDP($C8,"EQY_REC_CONS")</f>
        <v>#NAME?</v>
      </c>
      <c r="K8" s="498" t="e">
        <f ca="1">_xll.BDP($C8,"CRNCY")</f>
        <v>#NAME?</v>
      </c>
      <c r="L8" s="497" t="e">
        <f ca="1">G8/F8-1</f>
        <v>#NAME?</v>
      </c>
      <c r="M8" s="497" t="e">
        <f ca="1">Q8/O8-1</f>
        <v>#NAME?</v>
      </c>
      <c r="N8" s="495" t="e">
        <f ca="1">E8*F8</f>
        <v>#NAME?</v>
      </c>
      <c r="O8" s="495">
        <f>$J$129</f>
        <v>40810</v>
      </c>
      <c r="P8" s="495" t="e">
        <f ca="1">E8*G8</f>
        <v>#NAME?</v>
      </c>
      <c r="Q8" s="495" t="e">
        <f t="shared" ca="1" si="2"/>
        <v>#NAME?</v>
      </c>
      <c r="R8" s="518" t="e">
        <f t="shared" ca="1" si="3"/>
        <v>#NAME?</v>
      </c>
      <c r="S8" s="518" t="e">
        <f t="shared" ca="1" si="4"/>
        <v>#NAME?</v>
      </c>
      <c r="T8" s="555" t="e">
        <f ca="1">_xll.BDP($C8,"EQY_DVD_YLD_EST")</f>
        <v>#NAME?</v>
      </c>
      <c r="U8" s="518" t="e">
        <f t="shared" ca="1" si="5"/>
        <v>#NAME?</v>
      </c>
      <c r="V8" s="515" t="e">
        <f ca="1">_xll.BDP($C8,"CHG_PCT_YTD")</f>
        <v>#NAME?</v>
      </c>
      <c r="W8" s="515" t="e">
        <f ca="1">_xll.BDP($C8,"CHG_PCT_1YR")</f>
        <v>#NAME?</v>
      </c>
      <c r="X8" s="515" t="e">
        <f ca="1">_xll.BDP($C8,"DVD_EX_DT")</f>
        <v>#NAME?</v>
      </c>
      <c r="Y8" s="515" t="e">
        <f ca="1">_xll.BDP($C8,"BDVD_NEXT_EST_DECL_DT")</f>
        <v>#NAME?</v>
      </c>
    </row>
    <row r="9" spans="1:25" s="494" customFormat="1" x14ac:dyDescent="0.2">
      <c r="A9" s="494" t="s">
        <v>398</v>
      </c>
      <c r="B9" s="506" t="s">
        <v>381</v>
      </c>
      <c r="C9" s="494" t="s">
        <v>380</v>
      </c>
      <c r="D9" s="497" t="e">
        <f t="shared" ca="1" si="0"/>
        <v>#NAME?</v>
      </c>
      <c r="E9" s="495">
        <f>$F$172</f>
        <v>59600</v>
      </c>
      <c r="F9" s="496" t="e">
        <f ca="1">$H$172</f>
        <v>#NAME?</v>
      </c>
      <c r="G9" s="496" t="e">
        <f ca="1">_xll.BDP($C9,"PX_LAST")</f>
        <v>#NAME?</v>
      </c>
      <c r="H9" s="554" t="e">
        <f ca="1">_xll.BDP($C9,"BEST_TARGET_PRICE")</f>
        <v>#NAME?</v>
      </c>
      <c r="I9" s="497" t="e">
        <f t="shared" ca="1" si="1"/>
        <v>#NAME?</v>
      </c>
      <c r="J9" s="496" t="e">
        <f ca="1">_xll.BDP($C9,"EQY_REC_CONS")</f>
        <v>#NAME?</v>
      </c>
      <c r="K9" s="498" t="e">
        <f ca="1">_xll.BDP($C9,"CRNCY")</f>
        <v>#NAME?</v>
      </c>
      <c r="L9" s="497" t="e">
        <f ca="1">G9/F9-1</f>
        <v>#NAME?</v>
      </c>
      <c r="M9" s="497" t="e">
        <f ca="1">Q9/O9-1</f>
        <v>#NAME?</v>
      </c>
      <c r="N9" s="495" t="e">
        <f ca="1">E9*F9</f>
        <v>#NAME?</v>
      </c>
      <c r="O9" s="495">
        <f>$J$172</f>
        <v>20304</v>
      </c>
      <c r="P9" s="495" t="e">
        <f ca="1">E9*G9</f>
        <v>#NAME?</v>
      </c>
      <c r="Q9" s="495" t="e">
        <f t="shared" ca="1" si="2"/>
        <v>#NAME?</v>
      </c>
      <c r="R9" s="518" t="e">
        <f t="shared" ca="1" si="3"/>
        <v>#NAME?</v>
      </c>
      <c r="S9" s="518" t="e">
        <f t="shared" ca="1" si="4"/>
        <v>#NAME?</v>
      </c>
      <c r="T9" s="555" t="e">
        <f ca="1">_xll.BDP($C9,"EQY_DVD_YLD_EST")</f>
        <v>#NAME?</v>
      </c>
      <c r="U9" s="518" t="e">
        <f t="shared" ca="1" si="5"/>
        <v>#NAME?</v>
      </c>
      <c r="V9" s="515" t="e">
        <f ca="1">_xll.BDP($C9,"CHG_PCT_YTD")</f>
        <v>#NAME?</v>
      </c>
      <c r="W9" s="515" t="e">
        <f ca="1">_xll.BDP($C9,"CHG_PCT_1YR")</f>
        <v>#NAME?</v>
      </c>
      <c r="X9" s="515" t="e">
        <f ca="1">_xll.BDP($C9,"DVD_EX_DT")</f>
        <v>#NAME?</v>
      </c>
      <c r="Y9" s="515" t="e">
        <f ca="1">_xll.BDP($C9,"BDVD_NEXT_EST_DECL_DT")</f>
        <v>#NAME?</v>
      </c>
    </row>
    <row r="10" spans="1:25" s="494" customFormat="1" x14ac:dyDescent="0.2">
      <c r="A10" s="494" t="s">
        <v>398</v>
      </c>
      <c r="B10" s="506" t="s">
        <v>196</v>
      </c>
      <c r="C10" s="494" t="s">
        <v>197</v>
      </c>
      <c r="D10" s="497" t="e">
        <f t="shared" ca="1" si="0"/>
        <v>#NAME?</v>
      </c>
      <c r="E10" s="495">
        <f>$F$96</f>
        <v>4500</v>
      </c>
      <c r="F10" s="496">
        <f>$H$96</f>
        <v>8.5050000000000008</v>
      </c>
      <c r="G10" s="496" t="e">
        <f ca="1">_xll.BDP($C10,"PX_LAST")/100</f>
        <v>#NAME?</v>
      </c>
      <c r="H10" s="554" t="e">
        <f ca="1">_xll.BDP($C10,"BEST_TARGET_PRICE")/100</f>
        <v>#NAME?</v>
      </c>
      <c r="I10" s="497" t="e">
        <f t="shared" ca="1" si="1"/>
        <v>#NAME?</v>
      </c>
      <c r="J10" s="496" t="e">
        <f ca="1">_xll.BDP($C10,"EQY_REC_CONS")</f>
        <v>#NAME?</v>
      </c>
      <c r="K10" s="498" t="e">
        <f ca="1">_xll.BDP($C10,"CRNCY")</f>
        <v>#NAME?</v>
      </c>
      <c r="L10" s="497" t="e">
        <f ca="1">P10/N10-1</f>
        <v>#NAME?</v>
      </c>
      <c r="M10" s="497" t="e">
        <f ca="1">Q10/O10-1</f>
        <v>#NAME?</v>
      </c>
      <c r="N10" s="495" t="e">
        <f ca="1">$K$96</f>
        <v>#NAME?</v>
      </c>
      <c r="O10" s="495" t="e">
        <f ca="1">$J$96</f>
        <v>#NAME?</v>
      </c>
      <c r="P10" s="495" t="e">
        <f ca="1">E10*G10*$I$1*$K$1</f>
        <v>#NAME?</v>
      </c>
      <c r="Q10" s="495" t="e">
        <f t="shared" ca="1" si="2"/>
        <v>#NAME?</v>
      </c>
      <c r="R10" s="518" t="e">
        <f t="shared" ca="1" si="3"/>
        <v>#NAME?</v>
      </c>
      <c r="S10" s="518" t="e">
        <f t="shared" ca="1" si="4"/>
        <v>#NAME?</v>
      </c>
      <c r="T10" s="555" t="e">
        <f ca="1">_xll.BDP($C10,"EQY_DVD_YLD_EST")</f>
        <v>#NAME?</v>
      </c>
      <c r="U10" s="518" t="e">
        <f t="shared" ca="1" si="5"/>
        <v>#NAME?</v>
      </c>
      <c r="V10" s="515" t="e">
        <f ca="1">_xll.BDP($C10,"CHG_PCT_YTD")</f>
        <v>#NAME?</v>
      </c>
      <c r="W10" s="515" t="e">
        <f ca="1">_xll.BDP($C10,"CHG_PCT_1YR")</f>
        <v>#NAME?</v>
      </c>
      <c r="X10" s="515" t="e">
        <f ca="1">_xll.BDP($C10,"DVD_EX_DT")</f>
        <v>#NAME?</v>
      </c>
      <c r="Y10" s="515" t="e">
        <f ca="1">_xll.BDP($C10,"BDVD_NEXT_EST_DECL_DT")</f>
        <v>#NAME?</v>
      </c>
    </row>
    <row r="11" spans="1:25" s="494" customFormat="1" x14ac:dyDescent="0.2">
      <c r="A11" s="494" t="s">
        <v>398</v>
      </c>
      <c r="B11" s="506" t="s">
        <v>382</v>
      </c>
      <c r="C11" s="494" t="s">
        <v>77</v>
      </c>
      <c r="D11" s="497" t="e">
        <f t="shared" ca="1" si="0"/>
        <v>#NAME?</v>
      </c>
      <c r="E11" s="495">
        <f>$F$169</f>
        <v>1436</v>
      </c>
      <c r="F11" s="496">
        <f>$H$169</f>
        <v>14.12</v>
      </c>
      <c r="G11" s="496" t="e">
        <f ca="1">_xll.BDP($C11,"PX_LAST")</f>
        <v>#NAME?</v>
      </c>
      <c r="H11" s="554" t="e">
        <f ca="1">_xll.BDP($C11,"BEST_TARGET_PRICE")</f>
        <v>#NAME?</v>
      </c>
      <c r="I11" s="497" t="e">
        <f t="shared" ca="1" si="1"/>
        <v>#NAME?</v>
      </c>
      <c r="J11" s="496" t="e">
        <f ca="1">_xll.BDP($C11,"EQY_REC_CONS")</f>
        <v>#NAME?</v>
      </c>
      <c r="K11" s="498" t="e">
        <f ca="1">_xll.BDP($C11,"CRNCY")</f>
        <v>#NAME?</v>
      </c>
      <c r="L11" s="497" t="e">
        <f ca="1">P11/N11-1</f>
        <v>#NAME?</v>
      </c>
      <c r="M11" s="497" t="e">
        <f ca="1">G11/F11-1</f>
        <v>#NAME?</v>
      </c>
      <c r="N11" s="495" t="e">
        <f ca="1">$K$169</f>
        <v>#NAME?</v>
      </c>
      <c r="O11" s="495">
        <f>E11*F11</f>
        <v>20276.32</v>
      </c>
      <c r="P11" s="495" t="e">
        <f ca="1">E11*G11*$I$1</f>
        <v>#NAME?</v>
      </c>
      <c r="Q11" s="495" t="e">
        <f t="shared" ca="1" si="2"/>
        <v>#NAME?</v>
      </c>
      <c r="R11" s="518" t="e">
        <f t="shared" ca="1" si="3"/>
        <v>#NAME?</v>
      </c>
      <c r="S11" s="518" t="e">
        <f t="shared" ca="1" si="4"/>
        <v>#NAME?</v>
      </c>
      <c r="T11" s="555" t="e">
        <f ca="1">_xll.BDP($C11,"EQY_DVD_YLD_EST")</f>
        <v>#NAME?</v>
      </c>
      <c r="U11" s="518" t="e">
        <f t="shared" ca="1" si="5"/>
        <v>#NAME?</v>
      </c>
      <c r="V11" s="515" t="e">
        <f ca="1">_xll.BDP($C11,"CHG_PCT_YTD")</f>
        <v>#NAME?</v>
      </c>
      <c r="W11" s="515" t="e">
        <f ca="1">_xll.BDP($C11,"CHG_PCT_1YR")</f>
        <v>#NAME?</v>
      </c>
      <c r="X11" s="515" t="e">
        <f ca="1">_xll.BDP($C11,"DVD_EX_DT")</f>
        <v>#NAME?</v>
      </c>
      <c r="Y11" s="515" t="e">
        <f ca="1">_xll.BDP($C11,"BDVD_NEXT_EST_DECL_DT")</f>
        <v>#NAME?</v>
      </c>
    </row>
    <row r="12" spans="1:25" s="758" customFormat="1" x14ac:dyDescent="0.2">
      <c r="A12" s="185" t="s">
        <v>398</v>
      </c>
      <c r="B12" s="730" t="s">
        <v>390</v>
      </c>
      <c r="C12" s="185" t="s">
        <v>182</v>
      </c>
      <c r="D12" s="693" t="e">
        <f t="shared" ca="1" si="0"/>
        <v>#NAME?</v>
      </c>
      <c r="E12" s="694">
        <f>$F$81</f>
        <v>42000</v>
      </c>
      <c r="F12" s="695">
        <f>$H$81</f>
        <v>38.18</v>
      </c>
      <c r="G12" s="695" t="e">
        <f ca="1">_xll.BDP($C12,"PX_LAST")</f>
        <v>#NAME?</v>
      </c>
      <c r="H12" s="755" t="e">
        <f ca="1">_xll.BDP($C12,"BEST_TARGET_PRICE")</f>
        <v>#NAME?</v>
      </c>
      <c r="I12" s="693" t="e">
        <f t="shared" ca="1" si="1"/>
        <v>#NAME?</v>
      </c>
      <c r="J12" s="695" t="e">
        <f ca="1">_xll.BDP($C12,"EQY_REC_CONS")</f>
        <v>#NAME?</v>
      </c>
      <c r="K12" s="696" t="e">
        <f ca="1">_xll.BDP($C12,"CRNCY")</f>
        <v>#NAME?</v>
      </c>
      <c r="L12" s="693" t="e">
        <f ca="1">G12/F12-1</f>
        <v>#NAME?</v>
      </c>
      <c r="M12" s="693" t="e">
        <f ca="1">Q12/O12-1</f>
        <v>#NAME?</v>
      </c>
      <c r="N12" s="694">
        <f>E12*F12</f>
        <v>1603560</v>
      </c>
      <c r="O12" s="694" t="e">
        <f ca="1">$J$81</f>
        <v>#NAME?</v>
      </c>
      <c r="P12" s="694" t="e">
        <f ca="1">E12*G12</f>
        <v>#NAME?</v>
      </c>
      <c r="Q12" s="694" t="e">
        <f t="shared" ca="1" si="2"/>
        <v>#NAME?</v>
      </c>
      <c r="R12" s="756" t="e">
        <f t="shared" ca="1" si="3"/>
        <v>#NAME?</v>
      </c>
      <c r="S12" s="756" t="e">
        <f t="shared" ca="1" si="4"/>
        <v>#NAME?</v>
      </c>
      <c r="T12" s="757" t="e">
        <f ca="1">_xll.BDP($C12,"EQY_DVD_YLD_EST")</f>
        <v>#NAME?</v>
      </c>
      <c r="U12" s="756" t="e">
        <f t="shared" ca="1" si="5"/>
        <v>#NAME?</v>
      </c>
      <c r="V12" s="351" t="e">
        <f ca="1">_xll.BDP($C12,"CHG_PCT_YTD")</f>
        <v>#NAME?</v>
      </c>
      <c r="W12" s="351" t="e">
        <f ca="1">_xll.BDP($C12,"CHG_PCT_1YR")</f>
        <v>#NAME?</v>
      </c>
      <c r="X12" s="351" t="e">
        <f ca="1">_xll.BDP($C12,"DVD_EX_DT")</f>
        <v>#NAME?</v>
      </c>
      <c r="Y12" s="351" t="e">
        <f ca="1">_xll.BDP($C12,"BDVD_NEXT_EST_DECL_DT")</f>
        <v>#NAME?</v>
      </c>
    </row>
    <row r="13" spans="1:25" s="557" customFormat="1" x14ac:dyDescent="0.2">
      <c r="A13" s="494" t="s">
        <v>398</v>
      </c>
      <c r="B13" s="506" t="s">
        <v>393</v>
      </c>
      <c r="C13" s="494" t="str">
        <f>$C$98</f>
        <v>ALRS RX EQUITY</v>
      </c>
      <c r="D13" s="497" t="e">
        <f t="shared" ca="1" si="0"/>
        <v>#NAME?</v>
      </c>
      <c r="E13" s="495">
        <f>$F$100</f>
        <v>9900</v>
      </c>
      <c r="F13" s="496">
        <f>$H$100</f>
        <v>64.325133333333326</v>
      </c>
      <c r="G13" s="496" t="e">
        <f ca="1">_xll.BDP($C13,"PX_LAST")</f>
        <v>#NAME?</v>
      </c>
      <c r="H13" s="554" t="e">
        <f ca="1">_xll.BDP($C13,"BEST_TARGET_PRICE")</f>
        <v>#NAME?</v>
      </c>
      <c r="I13" s="497" t="e">
        <f t="shared" ca="1" si="1"/>
        <v>#NAME?</v>
      </c>
      <c r="J13" s="496" t="e">
        <f ca="1">_xll.BDP($C13,"EQY_REC_CONS")</f>
        <v>#NAME?</v>
      </c>
      <c r="K13" s="498" t="e">
        <f ca="1">_xll.BDP($C13,"CRNCY")</f>
        <v>#NAME?</v>
      </c>
      <c r="L13" s="497" t="e">
        <f ca="1">G13/F13-1</f>
        <v>#NAME?</v>
      </c>
      <c r="M13" s="497" t="e">
        <f ca="1">Q13/O13-1</f>
        <v>#NAME?</v>
      </c>
      <c r="N13" s="495">
        <f>E13*F13</f>
        <v>636818.81999999995</v>
      </c>
      <c r="O13" s="495" t="e">
        <f ca="1">$J$100</f>
        <v>#NAME?</v>
      </c>
      <c r="P13" s="495" t="e">
        <f ca="1">E13*G13</f>
        <v>#NAME?</v>
      </c>
      <c r="Q13" s="495" t="e">
        <f t="shared" ca="1" si="2"/>
        <v>#NAME?</v>
      </c>
      <c r="R13" s="518" t="e">
        <f t="shared" ca="1" si="3"/>
        <v>#NAME?</v>
      </c>
      <c r="S13" s="518" t="e">
        <f t="shared" ca="1" si="4"/>
        <v>#NAME?</v>
      </c>
      <c r="T13" s="555" t="e">
        <f ca="1">_xll.BDP($C13,"EQY_DVD_YLD_EST")</f>
        <v>#NAME?</v>
      </c>
      <c r="U13" s="518" t="e">
        <f t="shared" ca="1" si="5"/>
        <v>#NAME?</v>
      </c>
      <c r="V13" s="515" t="e">
        <f ca="1">_xll.BDP($C13,"CHG_PCT_YTD")</f>
        <v>#NAME?</v>
      </c>
      <c r="W13" s="515" t="e">
        <f ca="1">_xll.BDP($C13,"CHG_PCT_1YR")</f>
        <v>#NAME?</v>
      </c>
      <c r="X13" s="515" t="e">
        <f ca="1">_xll.BDP($C13,"DVD_EX_DT")</f>
        <v>#NAME?</v>
      </c>
      <c r="Y13" s="515" t="e">
        <f ca="1">_xll.BDP($C13,"BDVD_NEXT_EST_DECL_DT")</f>
        <v>#NAME?</v>
      </c>
    </row>
    <row r="14" spans="1:25" s="494" customFormat="1" x14ac:dyDescent="0.2">
      <c r="A14" s="494" t="s">
        <v>398</v>
      </c>
      <c r="B14" s="506" t="s">
        <v>391</v>
      </c>
      <c r="C14" s="494" t="s">
        <v>54</v>
      </c>
      <c r="D14" s="497" t="e">
        <f t="shared" ca="1" si="0"/>
        <v>#NAME?</v>
      </c>
      <c r="E14" s="495">
        <f>$F$104</f>
        <v>20580</v>
      </c>
      <c r="F14" s="496" t="e">
        <f ca="1">$H$104</f>
        <v>#NAME?</v>
      </c>
      <c r="G14" s="496" t="e">
        <f ca="1">_xll.BDP($C14,"PX_LAST")</f>
        <v>#NAME?</v>
      </c>
      <c r="H14" s="554" t="e">
        <f ca="1">_xll.BDP($C14,"BEST_TARGET_PRICE")</f>
        <v>#NAME?</v>
      </c>
      <c r="I14" s="497" t="e">
        <f t="shared" ca="1" si="1"/>
        <v>#NAME?</v>
      </c>
      <c r="J14" s="496" t="e">
        <f ca="1">_xll.BDP($C14,"EQY_REC_CONS")</f>
        <v>#NAME?</v>
      </c>
      <c r="K14" s="498" t="e">
        <f ca="1">_xll.BDP($C14,"CRNCY")</f>
        <v>#NAME?</v>
      </c>
      <c r="L14" s="497" t="e">
        <f ca="1">G14/F14-1</f>
        <v>#NAME?</v>
      </c>
      <c r="M14" s="497" t="e">
        <f ca="1">Q14/O14-1</f>
        <v>#NAME?</v>
      </c>
      <c r="N14" s="495" t="e">
        <f ca="1">E14*F14</f>
        <v>#NAME?</v>
      </c>
      <c r="O14" s="495">
        <f>$J$104</f>
        <v>54404.36</v>
      </c>
      <c r="P14" s="495" t="e">
        <f ca="1">E14*G14</f>
        <v>#NAME?</v>
      </c>
      <c r="Q14" s="495" t="e">
        <f t="shared" ca="1" si="2"/>
        <v>#NAME?</v>
      </c>
      <c r="R14" s="518" t="e">
        <f t="shared" ca="1" si="3"/>
        <v>#NAME?</v>
      </c>
      <c r="S14" s="518" t="e">
        <f t="shared" ca="1" si="4"/>
        <v>#NAME?</v>
      </c>
      <c r="T14" s="555" t="e">
        <f ca="1">_xll.BDP($C14,"EQY_DVD_YLD_EST")</f>
        <v>#NAME?</v>
      </c>
      <c r="U14" s="518" t="e">
        <f t="shared" ca="1" si="5"/>
        <v>#NAME?</v>
      </c>
      <c r="V14" s="515" t="e">
        <f ca="1">_xll.BDP($C14,"CHG_PCT_YTD")</f>
        <v>#NAME?</v>
      </c>
      <c r="W14" s="515" t="e">
        <f ca="1">_xll.BDP($C14,"CHG_PCT_1YR")</f>
        <v>#NAME?</v>
      </c>
      <c r="X14" s="515" t="e">
        <f ca="1">_xll.BDP($C14,"DVD_EX_DT")</f>
        <v>#NAME?</v>
      </c>
      <c r="Y14" s="515" t="e">
        <f ca="1">_xll.BDP($C14,"BDVD_NEXT_EST_DECL_DT")</f>
        <v>#NAME?</v>
      </c>
    </row>
    <row r="15" spans="1:25" s="557" customFormat="1" x14ac:dyDescent="0.2">
      <c r="A15" s="494" t="s">
        <v>398</v>
      </c>
      <c r="B15" s="506" t="s">
        <v>170</v>
      </c>
      <c r="C15" s="494" t="s">
        <v>383</v>
      </c>
      <c r="D15" s="497" t="e">
        <f t="shared" ca="1" si="0"/>
        <v>#NAME?</v>
      </c>
      <c r="E15" s="495">
        <f>$F$166</f>
        <v>36160</v>
      </c>
      <c r="F15" s="496" t="e">
        <f ca="1">$H$166</f>
        <v>#NAME?</v>
      </c>
      <c r="G15" s="496" t="e">
        <f ca="1">_xll.BDP($C15,"PX_LAST")</f>
        <v>#NAME?</v>
      </c>
      <c r="H15" s="554" t="e">
        <f ca="1">_xll.BDP($C15,"BEST_TARGET_PRICE")</f>
        <v>#NAME?</v>
      </c>
      <c r="I15" s="497" t="e">
        <f t="shared" ca="1" si="1"/>
        <v>#NAME?</v>
      </c>
      <c r="J15" s="496" t="e">
        <f ca="1">_xll.BDP($C15,"EQY_REC_CONS")</f>
        <v>#NAME?</v>
      </c>
      <c r="K15" s="498" t="e">
        <f ca="1">_xll.BDP($C15,"CRNCY")</f>
        <v>#NAME?</v>
      </c>
      <c r="L15" s="497" t="e">
        <f ca="1">P15/N15-1</f>
        <v>#NAME?</v>
      </c>
      <c r="M15" s="497" t="e">
        <f ca="1">G15/F15-1</f>
        <v>#NAME?</v>
      </c>
      <c r="N15" s="495" t="e">
        <f ca="1">$K$166</f>
        <v>#NAME?</v>
      </c>
      <c r="O15" s="495" t="e">
        <f ca="1">E15*F15</f>
        <v>#NAME?</v>
      </c>
      <c r="P15" s="495" t="e">
        <f ca="1">E15*G15*$I$1</f>
        <v>#NAME?</v>
      </c>
      <c r="Q15" s="495" t="e">
        <f t="shared" ca="1" si="2"/>
        <v>#NAME?</v>
      </c>
      <c r="R15" s="518" t="e">
        <f t="shared" ca="1" si="3"/>
        <v>#NAME?</v>
      </c>
      <c r="S15" s="518" t="e">
        <f t="shared" ca="1" si="4"/>
        <v>#NAME?</v>
      </c>
      <c r="T15" s="555" t="e">
        <f ca="1">_xll.BDP($C15,"EQY_DVD_YLD_EST")</f>
        <v>#NAME?</v>
      </c>
      <c r="U15" s="518" t="e">
        <f t="shared" ca="1" si="5"/>
        <v>#NAME?</v>
      </c>
      <c r="V15" s="515" t="e">
        <f ca="1">_xll.BDP($C15,"CHG_PCT_YTD")</f>
        <v>#NAME?</v>
      </c>
      <c r="W15" s="515" t="e">
        <f ca="1">_xll.BDP($C15,"CHG_PCT_1YR")</f>
        <v>#NAME?</v>
      </c>
      <c r="X15" s="515" t="e">
        <f ca="1">_xll.BDP($C15,"DVD_EX_DT")</f>
        <v>#NAME?</v>
      </c>
      <c r="Y15" s="515" t="e">
        <f ca="1">_xll.BDP($C15,"BDVD_NEXT_EST_DECL_DT")</f>
        <v>#NAME?</v>
      </c>
    </row>
    <row r="16" spans="1:25" s="557" customFormat="1" x14ac:dyDescent="0.2">
      <c r="A16" s="494" t="s">
        <v>398</v>
      </c>
      <c r="B16" s="506" t="s">
        <v>333</v>
      </c>
      <c r="C16" s="494" t="s">
        <v>389</v>
      </c>
      <c r="D16" s="497" t="e">
        <f t="shared" ca="1" si="0"/>
        <v>#NAME?</v>
      </c>
      <c r="E16" s="495">
        <f>$F$125</f>
        <v>24000</v>
      </c>
      <c r="F16" s="496" t="e">
        <f ca="1">$H$125</f>
        <v>#NAME?</v>
      </c>
      <c r="G16" s="496" t="e">
        <f ca="1">_xll.BDP($C16,"PX_LAST")</f>
        <v>#NAME?</v>
      </c>
      <c r="H16" s="554" t="e">
        <f ca="1">_xll.BDP($C16,"BEST_TARGET_PRICE")</f>
        <v>#NAME?</v>
      </c>
      <c r="I16" s="497" t="e">
        <f t="shared" ca="1" si="1"/>
        <v>#NAME?</v>
      </c>
      <c r="J16" s="496" t="e">
        <f ca="1">_xll.BDP($C16,"EQY_REC_CONS")</f>
        <v>#NAME?</v>
      </c>
      <c r="K16" s="498" t="e">
        <f ca="1">_xll.BDP($C16,"CRNCY")</f>
        <v>#NAME?</v>
      </c>
      <c r="L16" s="497" t="e">
        <f ca="1">P16/N16-1</f>
        <v>#NAME?</v>
      </c>
      <c r="M16" s="497" t="e">
        <f ca="1">Q16/O16-1</f>
        <v>#NAME?</v>
      </c>
      <c r="N16" s="495" t="e">
        <f ca="1">$K$125</f>
        <v>#NAME?</v>
      </c>
      <c r="O16" s="495" t="e">
        <f ca="1">$J$125</f>
        <v>#NAME?</v>
      </c>
      <c r="P16" s="495" t="e">
        <f ca="1">E16*G16*$I$1/$E$1</f>
        <v>#NAME?</v>
      </c>
      <c r="Q16" s="495" t="e">
        <f t="shared" ca="1" si="2"/>
        <v>#NAME?</v>
      </c>
      <c r="R16" s="518" t="e">
        <f t="shared" ca="1" si="3"/>
        <v>#NAME?</v>
      </c>
      <c r="S16" s="518" t="e">
        <f t="shared" ca="1" si="4"/>
        <v>#NAME?</v>
      </c>
      <c r="T16" s="555" t="e">
        <f ca="1">_xll.BDP($C16,"EQY_DVD_YLD_EST")</f>
        <v>#NAME?</v>
      </c>
      <c r="U16" s="518" t="e">
        <f t="shared" ca="1" si="5"/>
        <v>#NAME?</v>
      </c>
      <c r="V16" s="515" t="e">
        <f ca="1">_xll.BDP($C16,"CHG_PCT_YTD")</f>
        <v>#NAME?</v>
      </c>
      <c r="W16" s="515" t="e">
        <f ca="1">_xll.BDP($C16,"CHG_PCT_1YR")</f>
        <v>#NAME?</v>
      </c>
      <c r="X16" s="515" t="e">
        <f ca="1">_xll.BDP($C16,"DVD_EX_DT")</f>
        <v>#NAME?</v>
      </c>
      <c r="Y16" s="515" t="e">
        <f ca="1">_xll.BDP($C16,"BDVD_NEXT_EST_DECL_DT")</f>
        <v>#NAME?</v>
      </c>
    </row>
    <row r="17" spans="1:25" s="557" customFormat="1" x14ac:dyDescent="0.2">
      <c r="A17" s="494" t="s">
        <v>398</v>
      </c>
      <c r="B17" s="506" t="s">
        <v>147</v>
      </c>
      <c r="C17" s="494" t="s">
        <v>53</v>
      </c>
      <c r="D17" s="497" t="e">
        <f t="shared" ca="1" si="0"/>
        <v>#NAME?</v>
      </c>
      <c r="E17" s="495">
        <f>$F$112</f>
        <v>2027</v>
      </c>
      <c r="F17" s="496" t="e">
        <f ca="1">$H$112</f>
        <v>#NAME?</v>
      </c>
      <c r="G17" s="496" t="e">
        <f ca="1">_xll.BDP($C17,"PX_LAST")</f>
        <v>#NAME?</v>
      </c>
      <c r="H17" s="554" t="e">
        <f ca="1">_xll.BDP($C17,"BEST_TARGET_PRICE")</f>
        <v>#NAME?</v>
      </c>
      <c r="I17" s="497" t="e">
        <f t="shared" ca="1" si="1"/>
        <v>#NAME?</v>
      </c>
      <c r="J17" s="496" t="e">
        <f ca="1">_xll.BDP($C17,"EQY_REC_CONS")</f>
        <v>#NAME?</v>
      </c>
      <c r="K17" s="498" t="e">
        <f ca="1">_xll.BDP($C17,"CRNCY")</f>
        <v>#NAME?</v>
      </c>
      <c r="L17" s="497" t="e">
        <f ca="1">G17/F17-1</f>
        <v>#NAME?</v>
      </c>
      <c r="M17" s="497" t="e">
        <f ca="1">Q17/O17-1</f>
        <v>#NAME?</v>
      </c>
      <c r="N17" s="495" t="e">
        <f ca="1">E17*F17</f>
        <v>#NAME?</v>
      </c>
      <c r="O17" s="495">
        <f>$J$112</f>
        <v>96688.042000000001</v>
      </c>
      <c r="P17" s="495" t="e">
        <f ca="1">E17*G17</f>
        <v>#NAME?</v>
      </c>
      <c r="Q17" s="495" t="e">
        <f t="shared" ca="1" si="2"/>
        <v>#NAME?</v>
      </c>
      <c r="R17" s="518" t="e">
        <f t="shared" ca="1" si="3"/>
        <v>#NAME?</v>
      </c>
      <c r="S17" s="518" t="e">
        <f t="shared" ca="1" si="4"/>
        <v>#NAME?</v>
      </c>
      <c r="T17" s="555" t="e">
        <f ca="1">_xll.BDP($C17,"EQY_DVD_YLD_EST")</f>
        <v>#NAME?</v>
      </c>
      <c r="U17" s="518" t="e">
        <f t="shared" ca="1" si="5"/>
        <v>#NAME?</v>
      </c>
      <c r="V17" s="515" t="e">
        <f ca="1">_xll.BDP($C17,"CHG_PCT_YTD")</f>
        <v>#NAME?</v>
      </c>
      <c r="W17" s="515" t="e">
        <f ca="1">_xll.BDP($C17,"CHG_PCT_1YR")</f>
        <v>#NAME?</v>
      </c>
      <c r="X17" s="515" t="e">
        <f ca="1">_xll.BDP($C17,"DVD_EX_DT")</f>
        <v>#NAME?</v>
      </c>
      <c r="Y17" s="515" t="e">
        <f ca="1">_xll.BDP($C17,"BDVD_NEXT_EST_DECL_DT")</f>
        <v>#NAME?</v>
      </c>
    </row>
    <row r="18" spans="1:25" s="185" customFormat="1" x14ac:dyDescent="0.2">
      <c r="A18" s="494" t="s">
        <v>398</v>
      </c>
      <c r="B18" s="506" t="s">
        <v>95</v>
      </c>
      <c r="C18" s="494" t="s">
        <v>78</v>
      </c>
      <c r="D18" s="497" t="e">
        <f t="shared" ca="1" si="0"/>
        <v>#NAME?</v>
      </c>
      <c r="E18" s="495">
        <f>$F$78</f>
        <v>7600</v>
      </c>
      <c r="F18" s="496">
        <f>$H$78</f>
        <v>197</v>
      </c>
      <c r="G18" s="496" t="e">
        <f ca="1">_xll.BDP($C18,"PX_LAST")</f>
        <v>#NAME?</v>
      </c>
      <c r="H18" s="554" t="e">
        <f ca="1">_xll.BDP($C18,"BEST_TARGET_PRICE")</f>
        <v>#NAME?</v>
      </c>
      <c r="I18" s="497" t="e">
        <f t="shared" ca="1" si="1"/>
        <v>#NAME?</v>
      </c>
      <c r="J18" s="496" t="e">
        <f ca="1">_xll.BDP($C18,"EQY_REC_CONS")</f>
        <v>#NAME?</v>
      </c>
      <c r="K18" s="498" t="e">
        <f ca="1">_xll.BDP($C18,"CRNCY")</f>
        <v>#NAME?</v>
      </c>
      <c r="L18" s="497" t="e">
        <f ca="1">G18/F18-1</f>
        <v>#NAME?</v>
      </c>
      <c r="M18" s="497" t="e">
        <f ca="1">Q18/O18-1</f>
        <v>#NAME?</v>
      </c>
      <c r="N18" s="495">
        <f>E18*F18</f>
        <v>1497200</v>
      </c>
      <c r="O18" s="495" t="e">
        <f ca="1">$J$78</f>
        <v>#NAME?</v>
      </c>
      <c r="P18" s="495" t="e">
        <f ca="1">E18*G18</f>
        <v>#NAME?</v>
      </c>
      <c r="Q18" s="495" t="e">
        <f t="shared" ca="1" si="2"/>
        <v>#NAME?</v>
      </c>
      <c r="R18" s="518" t="e">
        <f t="shared" ca="1" si="3"/>
        <v>#NAME?</v>
      </c>
      <c r="S18" s="518" t="e">
        <f t="shared" ca="1" si="4"/>
        <v>#NAME?</v>
      </c>
      <c r="T18" s="555" t="e">
        <f ca="1">_xll.BDP($C18,"EQY_DVD_YLD_EST")</f>
        <v>#NAME?</v>
      </c>
      <c r="U18" s="518" t="e">
        <f t="shared" ca="1" si="5"/>
        <v>#NAME?</v>
      </c>
      <c r="V18" s="515" t="e">
        <f ca="1">_xll.BDP($C18,"CHG_PCT_YTD")</f>
        <v>#NAME?</v>
      </c>
      <c r="W18" s="515" t="e">
        <f ca="1">_xll.BDP($C18,"CHG_PCT_1YR")</f>
        <v>#NAME?</v>
      </c>
      <c r="X18" s="515" t="e">
        <f ca="1">_xll.BDP($C18,"DVD_EX_DT")</f>
        <v>#NAME?</v>
      </c>
      <c r="Y18" s="515" t="e">
        <f ca="1">_xll.BDP($C18,"BDVD_NEXT_EST_DECL_DT")</f>
        <v>#NAME?</v>
      </c>
    </row>
    <row r="19" spans="1:25" s="494" customFormat="1" x14ac:dyDescent="0.2">
      <c r="A19" s="494" t="s">
        <v>398</v>
      </c>
      <c r="B19" s="506" t="s">
        <v>333</v>
      </c>
      <c r="C19" s="494" t="s">
        <v>332</v>
      </c>
      <c r="D19" s="497" t="e">
        <f t="shared" ca="1" si="0"/>
        <v>#NAME?</v>
      </c>
      <c r="E19" s="495">
        <f>$F$89</f>
        <v>24340</v>
      </c>
      <c r="F19" s="496">
        <f>$H$89</f>
        <v>244.98206302382911</v>
      </c>
      <c r="G19" s="496" t="e">
        <f ca="1">_xll.BDP($C19,"PX_LAST")</f>
        <v>#NAME?</v>
      </c>
      <c r="H19" s="554" t="e">
        <f ca="1">_xll.BDP($C19,"BEST_TARGET_PRICE")</f>
        <v>#NAME?</v>
      </c>
      <c r="I19" s="497" t="e">
        <f t="shared" ca="1" si="1"/>
        <v>#NAME?</v>
      </c>
      <c r="J19" s="496" t="e">
        <f ca="1">_xll.BDP($C19,"EQY_REC_CONS")</f>
        <v>#NAME?</v>
      </c>
      <c r="K19" s="498" t="e">
        <f ca="1">_xll.BDP($C19,"CRNCY")</f>
        <v>#NAME?</v>
      </c>
      <c r="L19" s="497" t="e">
        <f ca="1">G19/F19-1</f>
        <v>#NAME?</v>
      </c>
      <c r="M19" s="497" t="e">
        <f ca="1">Q19/O19-1</f>
        <v>#NAME?</v>
      </c>
      <c r="N19" s="495">
        <f>E19*F19</f>
        <v>5962863.4140000008</v>
      </c>
      <c r="O19" s="495" t="e">
        <f ca="1">$J$89</f>
        <v>#NAME?</v>
      </c>
      <c r="P19" s="495" t="e">
        <f ca="1">E19*G19</f>
        <v>#NAME?</v>
      </c>
      <c r="Q19" s="495" t="e">
        <f t="shared" ca="1" si="2"/>
        <v>#NAME?</v>
      </c>
      <c r="R19" s="518" t="e">
        <f t="shared" ca="1" si="3"/>
        <v>#NAME?</v>
      </c>
      <c r="S19" s="518" t="e">
        <f t="shared" ca="1" si="4"/>
        <v>#NAME?</v>
      </c>
      <c r="T19" s="555" t="e">
        <f ca="1">_xll.BDP($C19,"EQY_DVD_YLD_EST")</f>
        <v>#NAME?</v>
      </c>
      <c r="U19" s="518" t="e">
        <f t="shared" ca="1" si="5"/>
        <v>#NAME?</v>
      </c>
      <c r="V19" s="515" t="e">
        <f ca="1">_xll.BDP($C19,"CHG_PCT_YTD")</f>
        <v>#NAME?</v>
      </c>
      <c r="W19" s="515" t="e">
        <f ca="1">_xll.BDP($C19,"CHG_PCT_1YR")</f>
        <v>#NAME?</v>
      </c>
      <c r="X19" s="515" t="e">
        <f ca="1">_xll.BDP($C19,"DVD_EX_DT")</f>
        <v>#NAME?</v>
      </c>
      <c r="Y19" s="515" t="e">
        <f ca="1">_xll.BDP($C19,"BDVD_NEXT_EST_DECL_DT")</f>
        <v>#NAME?</v>
      </c>
    </row>
    <row r="20" spans="1:25" s="494" customFormat="1" x14ac:dyDescent="0.2">
      <c r="A20" s="494" t="s">
        <v>398</v>
      </c>
      <c r="B20" s="506" t="s">
        <v>385</v>
      </c>
      <c r="C20" s="494" t="s">
        <v>210</v>
      </c>
      <c r="D20" s="497" t="e">
        <f t="shared" ca="1" si="0"/>
        <v>#NAME?</v>
      </c>
      <c r="E20" s="495">
        <f>$F$152</f>
        <v>6194</v>
      </c>
      <c r="F20" s="496">
        <f>$H$152</f>
        <v>10.7541168873103</v>
      </c>
      <c r="G20" s="496" t="e">
        <f ca="1">_xll.BDP($C20,"PX_LAST")</f>
        <v>#NAME?</v>
      </c>
      <c r="H20" s="554" t="e">
        <f ca="1">_xll.BDP($C20,"BEST_TARGET_PRICE")</f>
        <v>#NAME?</v>
      </c>
      <c r="I20" s="497" t="e">
        <f t="shared" ca="1" si="1"/>
        <v>#NAME?</v>
      </c>
      <c r="J20" s="496" t="e">
        <f ca="1">_xll.BDP($C20,"EQY_REC_CONS")</f>
        <v>#NAME?</v>
      </c>
      <c r="K20" s="498" t="e">
        <f ca="1">_xll.BDP($C20,"CRNCY")</f>
        <v>#NAME?</v>
      </c>
      <c r="L20" s="497" t="e">
        <f ca="1">P20/N20-1</f>
        <v>#NAME?</v>
      </c>
      <c r="M20" s="497" t="e">
        <f ca="1">G20/F20-1</f>
        <v>#NAME?</v>
      </c>
      <c r="N20" s="495" t="e">
        <f ca="1">$K$152</f>
        <v>#NAME?</v>
      </c>
      <c r="O20" s="495">
        <f>E20*F20</f>
        <v>66611</v>
      </c>
      <c r="P20" s="495" t="e">
        <f ca="1">E20*G20*$I$1</f>
        <v>#NAME?</v>
      </c>
      <c r="Q20" s="495" t="e">
        <f t="shared" ca="1" si="2"/>
        <v>#NAME?</v>
      </c>
      <c r="R20" s="518" t="e">
        <f t="shared" ca="1" si="3"/>
        <v>#NAME?</v>
      </c>
      <c r="S20" s="518" t="e">
        <f t="shared" ca="1" si="4"/>
        <v>#NAME?</v>
      </c>
      <c r="T20" s="555" t="e">
        <f ca="1">_xll.BDP($C20,"EQY_DVD_YLD_EST")</f>
        <v>#NAME?</v>
      </c>
      <c r="U20" s="518" t="e">
        <f t="shared" ca="1" si="5"/>
        <v>#NAME?</v>
      </c>
      <c r="V20" s="515" t="e">
        <f ca="1">_xll.BDP($C20,"CHG_PCT_YTD")</f>
        <v>#NAME?</v>
      </c>
      <c r="W20" s="515" t="e">
        <f ca="1">_xll.BDP($C20,"CHG_PCT_1YR")</f>
        <v>#NAME?</v>
      </c>
      <c r="X20" s="515" t="e">
        <f ca="1">_xll.BDP($C20,"DVD_EX_DT")</f>
        <v>#NAME?</v>
      </c>
      <c r="Y20" s="515" t="e">
        <f ca="1">_xll.BDP($C20,"BDVD_NEXT_EST_DECL_DT")</f>
        <v>#NAME?</v>
      </c>
    </row>
    <row r="21" spans="1:25" s="440" customFormat="1" x14ac:dyDescent="0.2">
      <c r="A21" s="440" t="s">
        <v>398</v>
      </c>
      <c r="B21" s="467" t="e">
        <f ca="1">_xll.BDP(C21,"SECURITY_NAME")</f>
        <v>#NAME?</v>
      </c>
      <c r="C21" s="440" t="s">
        <v>167</v>
      </c>
      <c r="D21" s="442" t="e">
        <f t="shared" ref="D21:D23" ca="1" si="6">Q21/$Q$24</f>
        <v>#NAME?</v>
      </c>
      <c r="E21" s="443">
        <f>$F$178</f>
        <v>245000</v>
      </c>
      <c r="F21" s="468" t="e">
        <f ca="1">$H$178</f>
        <v>#NAME?</v>
      </c>
      <c r="G21" s="444" t="e">
        <f ca="1">_xll.BDP(C21,"PX LAST")</f>
        <v>#NAME?</v>
      </c>
      <c r="H21" s="445"/>
      <c r="I21" s="442"/>
      <c r="K21" s="445" t="e">
        <f ca="1">_xll.BDP($C21,"CRNCY")</f>
        <v>#NAME?</v>
      </c>
      <c r="L21" s="442" t="e">
        <f ca="1">P21/N21-1</f>
        <v>#NAME?</v>
      </c>
      <c r="M21" s="442" t="e">
        <f ca="1">G21/F21-1</f>
        <v>#NAME?</v>
      </c>
      <c r="N21" s="443" t="e">
        <f ca="1">$K$178</f>
        <v>#NAME?</v>
      </c>
      <c r="O21" s="443" t="e">
        <f ca="1">E21*F21/100</f>
        <v>#NAME?</v>
      </c>
      <c r="P21" s="443" t="e">
        <f ca="1">E21*G21*$I$1/100</f>
        <v>#NAME?</v>
      </c>
      <c r="Q21" s="443" t="e">
        <f t="shared" ref="Q21:Q22" ca="1" si="7">P21/$I$1</f>
        <v>#NAME?</v>
      </c>
      <c r="R21" s="463" t="e">
        <f t="shared" ref="R21:R22" ca="1" si="8">P21-N21</f>
        <v>#NAME?</v>
      </c>
      <c r="S21" s="463" t="e">
        <f t="shared" ref="S21:S22" ca="1" si="9">Q21-O21</f>
        <v>#NAME?</v>
      </c>
      <c r="T21" s="553" t="e">
        <f ca="1">_xll.BDP(C21,"YLD_YTM_BID")</f>
        <v>#NAME?</v>
      </c>
      <c r="U21" s="463" t="e">
        <f ca="1">E21*_xll.BDP(C21,"PX_GROSS_ASK")/100</f>
        <v>#NAME?</v>
      </c>
      <c r="V21" s="448" t="e">
        <f ca="1">_xll.BDP($C21,"CHG_PCT_YTD")</f>
        <v>#NAME?</v>
      </c>
      <c r="W21" s="448" t="e">
        <f ca="1">_xll.BDP($C21,"CHG_PCT_1YR")</f>
        <v>#NAME?</v>
      </c>
      <c r="X21" s="448"/>
    </row>
    <row r="22" spans="1:25" s="440" customFormat="1" x14ac:dyDescent="0.2">
      <c r="A22" s="440" t="s">
        <v>398</v>
      </c>
      <c r="B22" s="467" t="e">
        <f ca="1">_xll.BDP(C22,"SECURITY_NAME")</f>
        <v>#NAME?</v>
      </c>
      <c r="C22" s="440" t="s">
        <v>697</v>
      </c>
      <c r="D22" s="442" t="e">
        <f t="shared" ca="1" si="6"/>
        <v>#NAME?</v>
      </c>
      <c r="E22" s="443">
        <f>$F$181</f>
        <v>200000</v>
      </c>
      <c r="F22" s="468">
        <f>$H$181</f>
        <v>91</v>
      </c>
      <c r="G22" s="444" t="e">
        <f ca="1">_xll.BDP(C22,"PX LAST")</f>
        <v>#NAME?</v>
      </c>
      <c r="H22" s="445"/>
      <c r="I22" s="442"/>
      <c r="K22" s="445" t="e">
        <f ca="1">_xll.BDP($C22,"CRNCY")</f>
        <v>#NAME?</v>
      </c>
      <c r="L22" s="442" t="e">
        <f ca="1">P22/N22-1</f>
        <v>#NAME?</v>
      </c>
      <c r="M22" s="442" t="e">
        <f ca="1">G22/F22-1</f>
        <v>#NAME?</v>
      </c>
      <c r="N22" s="443" t="e">
        <f ca="1">$K$181</f>
        <v>#NAME?</v>
      </c>
      <c r="O22" s="443">
        <f>E22*F22/100</f>
        <v>182000</v>
      </c>
      <c r="P22" s="443" t="e">
        <f ca="1">E22*G22*$I$1/100</f>
        <v>#NAME?</v>
      </c>
      <c r="Q22" s="443" t="e">
        <f t="shared" ca="1" si="7"/>
        <v>#NAME?</v>
      </c>
      <c r="R22" s="463" t="e">
        <f t="shared" ca="1" si="8"/>
        <v>#NAME?</v>
      </c>
      <c r="S22" s="463" t="e">
        <f t="shared" ca="1" si="9"/>
        <v>#NAME?</v>
      </c>
      <c r="T22" s="553" t="e">
        <f ca="1">_xll.BDP(C22,"YLD_YTM_BID")</f>
        <v>#NAME?</v>
      </c>
      <c r="U22" s="463" t="e">
        <f ca="1">E22*_xll.BDP(C22,"PX_GROSS_ASK")/100</f>
        <v>#NAME?</v>
      </c>
      <c r="V22" s="448" t="e">
        <f ca="1">_xll.BDP($C22,"CHG_PCT_YTD")</f>
        <v>#NAME?</v>
      </c>
      <c r="W22" s="448" t="e">
        <f ca="1">_xll.BDP($C22,"CHG_PCT_1YR")</f>
        <v>#NAME?</v>
      </c>
      <c r="X22" s="448"/>
    </row>
    <row r="23" spans="1:25" x14ac:dyDescent="0.2">
      <c r="B23" s="68" t="s">
        <v>106</v>
      </c>
      <c r="C23" s="68" t="s">
        <v>106</v>
      </c>
      <c r="D23" s="101" t="e">
        <f t="shared" ca="1" si="6"/>
        <v>#NAME?</v>
      </c>
      <c r="E23" s="101"/>
      <c r="F23" s="101"/>
      <c r="G23" s="66"/>
      <c r="H23" s="177"/>
      <c r="I23" s="179"/>
      <c r="J23" s="179"/>
      <c r="K23" s="179"/>
      <c r="L23" s="178"/>
      <c r="M23" s="187"/>
      <c r="N23" s="64"/>
      <c r="O23" s="64"/>
      <c r="P23" s="64">
        <v>0</v>
      </c>
      <c r="Q23" s="64">
        <v>2591131</v>
      </c>
      <c r="R23" s="61"/>
      <c r="S23" s="187"/>
      <c r="T23" s="322"/>
      <c r="U23" s="187">
        <f>Q23</f>
        <v>2591131</v>
      </c>
      <c r="V23" s="322"/>
      <c r="W23" s="177"/>
      <c r="X23" s="177"/>
      <c r="Y23" s="177"/>
    </row>
    <row r="24" spans="1:25" s="49" customFormat="1" ht="13.5" customHeight="1" thickBot="1" x14ac:dyDescent="0.25">
      <c r="B24" s="176"/>
      <c r="C24" s="176"/>
      <c r="D24" s="559" t="e">
        <f ca="1">SUM(D4:D23)</f>
        <v>#NAME?</v>
      </c>
      <c r="E24" s="176"/>
      <c r="F24" s="176"/>
      <c r="G24" s="176"/>
      <c r="H24" s="560"/>
      <c r="I24" s="674" t="e">
        <f ca="1">SUMPRODUCT(D4:D20,I4:I20)</f>
        <v>#NAME?</v>
      </c>
      <c r="J24" s="176"/>
      <c r="K24" s="176"/>
      <c r="L24" s="754" t="e">
        <f ca="1">SUMPRODUCT($D$4:$D$22,L4:L22)</f>
        <v>#NAME?</v>
      </c>
      <c r="M24" s="754" t="e">
        <f ca="1">SUMPRODUCT($D$4:$D$22,M4:M22)</f>
        <v>#NAME?</v>
      </c>
      <c r="N24" s="184">
        <v>3000000</v>
      </c>
      <c r="O24" s="184" t="e">
        <f ca="1">SUM(O4:O23)</f>
        <v>#NAME?</v>
      </c>
      <c r="P24" s="184" t="e">
        <f ca="1">SUM(P4:P23)</f>
        <v>#NAME?</v>
      </c>
      <c r="Q24" s="136" t="e">
        <f ca="1">SUM(Q4:Q23)</f>
        <v>#NAME?</v>
      </c>
      <c r="R24" s="184" t="e">
        <f ca="1">SUM(R4:R23)+$P$45</f>
        <v>#NAME?</v>
      </c>
      <c r="S24" s="184" t="e">
        <f ca="1">SUM(S4:S23)+$P$45</f>
        <v>#NAME?</v>
      </c>
      <c r="T24" s="563" t="e">
        <f ca="1">SUMPRODUCT(D4:D22,T4:T22)</f>
        <v>#NAME?</v>
      </c>
      <c r="U24" s="561" t="e">
        <f ca="1">SUM(U4:U23)</f>
        <v>#NAME?</v>
      </c>
      <c r="V24" s="561"/>
      <c r="W24" s="560"/>
      <c r="X24" s="560"/>
      <c r="Y24" s="560"/>
    </row>
    <row r="25" spans="1:25" s="429" customFormat="1" ht="13.5" customHeight="1" x14ac:dyDescent="0.2">
      <c r="B25" s="116"/>
      <c r="C25" s="116"/>
      <c r="D25" s="425"/>
      <c r="E25" s="116"/>
      <c r="F25" s="116"/>
      <c r="H25" s="116"/>
      <c r="I25" s="828" t="s">
        <v>808</v>
      </c>
      <c r="J25" s="828"/>
      <c r="K25" s="426"/>
      <c r="L25" s="426"/>
      <c r="M25" s="120"/>
      <c r="N25" s="478"/>
      <c r="O25" s="123"/>
      <c r="P25" s="123"/>
      <c r="Q25" s="759" t="e">
        <f ca="1">U24/N24-1</f>
        <v>#NAME?</v>
      </c>
      <c r="R25" s="564"/>
      <c r="S25" s="675" t="e">
        <f ca="1">$Q$24/$N$24-1</f>
        <v>#NAME?</v>
      </c>
      <c r="T25" s="828" t="s">
        <v>795</v>
      </c>
      <c r="U25" s="828"/>
      <c r="V25" s="565"/>
    </row>
    <row r="26" spans="1:25" s="429" customFormat="1" x14ac:dyDescent="0.2">
      <c r="E26" s="430"/>
      <c r="I26" s="829"/>
      <c r="J26" s="829"/>
      <c r="L26" s="431"/>
      <c r="M26" s="431"/>
      <c r="N26" s="116"/>
      <c r="O26" s="432"/>
      <c r="P26" s="432"/>
      <c r="Q26" s="431"/>
      <c r="R26" s="566"/>
      <c r="S26" s="566"/>
      <c r="T26" s="829"/>
      <c r="U26" s="829"/>
      <c r="V26" s="567"/>
    </row>
    <row r="27" spans="1:25" s="429" customFormat="1" x14ac:dyDescent="0.2">
      <c r="B27" s="429" t="s">
        <v>276</v>
      </c>
      <c r="E27" s="430"/>
      <c r="M27" s="116"/>
      <c r="N27" s="432"/>
      <c r="O27" s="432"/>
      <c r="P27" s="431"/>
      <c r="Q27" s="566"/>
      <c r="R27" s="566"/>
      <c r="S27" s="519"/>
      <c r="T27" s="519"/>
    </row>
    <row r="28" spans="1:25" s="429" customFormat="1" x14ac:dyDescent="0.2">
      <c r="B28" s="433">
        <v>2015</v>
      </c>
      <c r="M28" s="116"/>
      <c r="N28" s="432"/>
      <c r="O28" s="432"/>
      <c r="P28" s="431"/>
      <c r="Q28" s="566"/>
      <c r="R28" s="566"/>
      <c r="S28" s="519"/>
      <c r="T28" s="519"/>
    </row>
    <row r="29" spans="1:25" ht="40.5" customHeight="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5" x14ac:dyDescent="0.2">
      <c r="B30" s="103" t="s">
        <v>388</v>
      </c>
      <c r="C30" s="103" t="s">
        <v>8</v>
      </c>
      <c r="D30" s="73" t="s">
        <v>51</v>
      </c>
      <c r="E30" s="43" t="e">
        <f ca="1">F30*_xll.BDP(C30,"PX_LAST")</f>
        <v>#NAME?</v>
      </c>
      <c r="F30" s="43">
        <v>273</v>
      </c>
      <c r="G30" s="43">
        <v>273</v>
      </c>
      <c r="H30" s="47">
        <f t="shared" ref="H30:H39" si="10">G30/F30</f>
        <v>1</v>
      </c>
      <c r="I30" s="43">
        <f t="shared" ref="I30:I37" si="11">G30*K30</f>
        <v>3005975.6999999997</v>
      </c>
      <c r="J30" s="45">
        <f t="shared" ref="J30:J37" si="12">G30*L30</f>
        <v>3316284.9992999998</v>
      </c>
      <c r="K30" s="38">
        <v>11010.9</v>
      </c>
      <c r="L30" s="38">
        <v>12147.5641</v>
      </c>
      <c r="M30" s="44">
        <f t="shared" ref="M30:M39" si="13">L30/K30-1</f>
        <v>0.10323080765423343</v>
      </c>
      <c r="N30" s="43">
        <f t="shared" ref="N30:N37" si="14">J30-I30</f>
        <v>310309.29930000007</v>
      </c>
      <c r="O30" s="106" t="e">
        <f ca="1">_xll.BDP($C30,"CRNCY")</f>
        <v>#NAME?</v>
      </c>
      <c r="P30" s="43" t="e">
        <f ca="1">N30/R30</f>
        <v>#NAME?</v>
      </c>
      <c r="Q30" s="14">
        <v>42233</v>
      </c>
      <c r="R30" s="22" t="e">
        <f ca="1">_xll.BDH("RUB curncy","PX_LAST",$Q30)</f>
        <v>#NAME?</v>
      </c>
    </row>
    <row r="31" spans="1:25" x14ac:dyDescent="0.2">
      <c r="B31" s="103" t="s">
        <v>107</v>
      </c>
      <c r="C31" s="103" t="s">
        <v>31</v>
      </c>
      <c r="D31" s="73" t="s">
        <v>51</v>
      </c>
      <c r="E31" s="43" t="e">
        <f ca="1">F31*_xll.BDP(C31,"PX_LAST")</f>
        <v>#NAME?</v>
      </c>
      <c r="F31" s="43">
        <v>4510</v>
      </c>
      <c r="G31" s="43">
        <v>4510</v>
      </c>
      <c r="H31" s="47">
        <f t="shared" si="10"/>
        <v>1</v>
      </c>
      <c r="I31" s="43">
        <f t="shared" si="11"/>
        <v>2332932.7999999998</v>
      </c>
      <c r="J31" s="45">
        <f t="shared" si="12"/>
        <v>2707517.0016399999</v>
      </c>
      <c r="K31" s="38">
        <v>517.28</v>
      </c>
      <c r="L31" s="38">
        <v>600.336364</v>
      </c>
      <c r="M31" s="44">
        <f t="shared" si="13"/>
        <v>0.16056364831425918</v>
      </c>
      <c r="N31" s="43">
        <f t="shared" si="14"/>
        <v>374584.2016400001</v>
      </c>
      <c r="O31" s="106" t="e">
        <f ca="1">_xll.BDP($C31,"CRNCY")</f>
        <v>#NAME?</v>
      </c>
      <c r="P31" s="43" t="e">
        <f ca="1">N31/R31</f>
        <v>#NAME?</v>
      </c>
      <c r="Q31" s="14">
        <v>42243</v>
      </c>
      <c r="R31" s="22" t="e">
        <f ca="1">_xll.BDH("RUB curncy","PX_LAST",$Q31)</f>
        <v>#NAME?</v>
      </c>
      <c r="T31" s="323"/>
    </row>
    <row r="32" spans="1:25" x14ac:dyDescent="0.2">
      <c r="B32" s="103" t="s">
        <v>408</v>
      </c>
      <c r="C32" s="103" t="s">
        <v>409</v>
      </c>
      <c r="D32" s="73" t="s">
        <v>51</v>
      </c>
      <c r="E32" s="43" t="e">
        <f ca="1">F32*_xll.BDP(C32,"PX_LAST")</f>
        <v>#NAME?</v>
      </c>
      <c r="F32" s="43">
        <v>618</v>
      </c>
      <c r="G32" s="43">
        <v>618</v>
      </c>
      <c r="H32" s="47">
        <f t="shared" si="10"/>
        <v>1</v>
      </c>
      <c r="I32" s="43">
        <f t="shared" si="11"/>
        <v>7310.94</v>
      </c>
      <c r="J32" s="45">
        <f t="shared" si="12"/>
        <v>8961</v>
      </c>
      <c r="K32" s="38">
        <v>11.83</v>
      </c>
      <c r="L32" s="38">
        <v>14.5</v>
      </c>
      <c r="M32" s="44">
        <f t="shared" si="13"/>
        <v>0.22569737954353331</v>
      </c>
      <c r="N32" s="43">
        <f t="shared" si="14"/>
        <v>1650.0600000000004</v>
      </c>
      <c r="O32" s="106" t="e">
        <f ca="1">_xll.BDP($C32,"CRNCY")</f>
        <v>#NAME?</v>
      </c>
      <c r="P32" s="43">
        <f>N32</f>
        <v>1650.0600000000004</v>
      </c>
      <c r="Q32" s="14">
        <v>42248</v>
      </c>
      <c r="R32" s="22" t="e">
        <f ca="1">_xll.BDH("RUB curncy","PX_LAST",$Q32)</f>
        <v>#NAME?</v>
      </c>
    </row>
    <row r="33" spans="2:18" x14ac:dyDescent="0.2">
      <c r="B33" s="103" t="s">
        <v>355</v>
      </c>
      <c r="C33" s="103" t="s">
        <v>324</v>
      </c>
      <c r="D33" s="73" t="s">
        <v>51</v>
      </c>
      <c r="E33" s="43" t="e">
        <f ca="1">F33*_xll.BDP(C33,"PX_LAST")</f>
        <v>#NAME?</v>
      </c>
      <c r="F33" s="43">
        <v>12160</v>
      </c>
      <c r="G33" s="43">
        <v>12160</v>
      </c>
      <c r="H33" s="47">
        <f t="shared" si="10"/>
        <v>1</v>
      </c>
      <c r="I33" s="43">
        <f t="shared" si="11"/>
        <v>789062.4</v>
      </c>
      <c r="J33" s="45">
        <f t="shared" si="12"/>
        <v>972800</v>
      </c>
      <c r="K33" s="38">
        <v>64.89</v>
      </c>
      <c r="L33" s="38">
        <v>80</v>
      </c>
      <c r="M33" s="44">
        <f t="shared" si="13"/>
        <v>0.23285560178764064</v>
      </c>
      <c r="N33" s="43">
        <f t="shared" si="14"/>
        <v>183737.59999999998</v>
      </c>
      <c r="O33" s="106" t="e">
        <f ca="1">_xll.BDP($C33,"CRNCY")</f>
        <v>#NAME?</v>
      </c>
      <c r="P33" s="43" t="e">
        <f ca="1">N33/R33</f>
        <v>#NAME?</v>
      </c>
      <c r="Q33" s="14">
        <v>42258</v>
      </c>
      <c r="R33" s="22" t="e">
        <f ca="1">_xll.BDH("RUB curncy","PX_LAST",$Q33)</f>
        <v>#NAME?</v>
      </c>
    </row>
    <row r="34" spans="2:18" x14ac:dyDescent="0.2">
      <c r="B34" s="103" t="s">
        <v>196</v>
      </c>
      <c r="C34" s="103" t="s">
        <v>71</v>
      </c>
      <c r="D34" s="73" t="s">
        <v>51</v>
      </c>
      <c r="E34" s="43" t="e">
        <f ca="1">F34*_xll.BDP(C34,"PX_LAST")</f>
        <v>#NAME?</v>
      </c>
      <c r="F34" s="43">
        <v>1347</v>
      </c>
      <c r="G34" s="43">
        <v>1347</v>
      </c>
      <c r="H34" s="47">
        <f t="shared" si="10"/>
        <v>1</v>
      </c>
      <c r="I34" s="43">
        <f t="shared" si="11"/>
        <v>6506.01</v>
      </c>
      <c r="J34" s="45">
        <f t="shared" si="12"/>
        <v>8082</v>
      </c>
      <c r="K34" s="38">
        <v>4.83</v>
      </c>
      <c r="L34" s="38">
        <v>6</v>
      </c>
      <c r="M34" s="44">
        <f t="shared" si="13"/>
        <v>0.2422360248447204</v>
      </c>
      <c r="N34" s="43">
        <f t="shared" si="14"/>
        <v>1575.9899999999998</v>
      </c>
      <c r="O34" s="106" t="e">
        <f ca="1">_xll.BDP($C34,"CRNCY")</f>
        <v>#NAME?</v>
      </c>
      <c r="P34" s="43" t="e">
        <f ca="1">N34*R34</f>
        <v>#NAME?</v>
      </c>
      <c r="Q34" s="14">
        <v>42293</v>
      </c>
      <c r="R34" s="22" t="e">
        <f ca="1">_xll.BDH("GBP curncy","PX_LAST",$Q34)</f>
        <v>#NAME?</v>
      </c>
    </row>
    <row r="35" spans="2:18" x14ac:dyDescent="0.2">
      <c r="B35" s="103" t="s">
        <v>386</v>
      </c>
      <c r="C35" s="103" t="s">
        <v>20</v>
      </c>
      <c r="D35" s="73" t="s">
        <v>51</v>
      </c>
      <c r="E35" s="43" t="e">
        <f ca="1">F35*_xll.BDP(C35,"PX_LAST")</f>
        <v>#NAME?</v>
      </c>
      <c r="F35" s="43">
        <v>2938</v>
      </c>
      <c r="G35" s="43">
        <v>1469</v>
      </c>
      <c r="H35" s="47">
        <f t="shared" si="10"/>
        <v>0.5</v>
      </c>
      <c r="I35" s="43">
        <f t="shared" si="11"/>
        <v>25281.49</v>
      </c>
      <c r="J35" s="45">
        <f t="shared" si="12"/>
        <v>29380</v>
      </c>
      <c r="K35" s="38">
        <v>17.21</v>
      </c>
      <c r="L35" s="38">
        <v>20</v>
      </c>
      <c r="M35" s="44">
        <f t="shared" si="13"/>
        <v>0.16211504938988952</v>
      </c>
      <c r="N35" s="43">
        <f t="shared" si="14"/>
        <v>4098.5099999999984</v>
      </c>
      <c r="O35" s="106" t="e">
        <f ca="1">_xll.BDP($C35,"CRNCY")</f>
        <v>#NAME?</v>
      </c>
      <c r="P35" s="43">
        <f>N35</f>
        <v>4098.5099999999984</v>
      </c>
      <c r="Q35" s="14">
        <v>42293</v>
      </c>
      <c r="R35" s="22" t="e">
        <f ca="1">_xll.BDH("RUB curncy","PX_LAST",$Q35)</f>
        <v>#NAME?</v>
      </c>
    </row>
    <row r="36" spans="2:18" x14ac:dyDescent="0.2">
      <c r="B36" s="103" t="s">
        <v>390</v>
      </c>
      <c r="C36" s="103" t="s">
        <v>44</v>
      </c>
      <c r="D36" s="73" t="s">
        <v>51</v>
      </c>
      <c r="E36" s="43" t="e">
        <f ca="1">F36*_xll.BDP(C36,"PX_LAST")</f>
        <v>#NAME?</v>
      </c>
      <c r="F36" s="43">
        <v>11200</v>
      </c>
      <c r="G36" s="43">
        <v>11200</v>
      </c>
      <c r="H36" s="47">
        <f t="shared" si="10"/>
        <v>1</v>
      </c>
      <c r="I36" s="43">
        <f t="shared" si="11"/>
        <v>414959.99999999994</v>
      </c>
      <c r="J36" s="45">
        <f t="shared" si="12"/>
        <v>470400</v>
      </c>
      <c r="K36" s="38">
        <v>37.049999999999997</v>
      </c>
      <c r="L36" s="38">
        <v>42</v>
      </c>
      <c r="M36" s="44">
        <f t="shared" si="13"/>
        <v>0.1336032388663968</v>
      </c>
      <c r="N36" s="43">
        <f t="shared" si="14"/>
        <v>55440.000000000058</v>
      </c>
      <c r="O36" s="106" t="e">
        <f ca="1">_xll.BDP($C36,"CRNCY")</f>
        <v>#NAME?</v>
      </c>
      <c r="P36" s="43" t="e">
        <f ca="1">N36/R36</f>
        <v>#NAME?</v>
      </c>
      <c r="Q36" s="14">
        <v>42297</v>
      </c>
      <c r="R36" s="22" t="e">
        <f ca="1">_xll.BDH("RUB curncy","PX_LAST",$Q36)</f>
        <v>#NAME?</v>
      </c>
    </row>
    <row r="37" spans="2:18" x14ac:dyDescent="0.2">
      <c r="B37" s="103" t="s">
        <v>185</v>
      </c>
      <c r="C37" s="103" t="s">
        <v>68</v>
      </c>
      <c r="D37" s="73" t="s">
        <v>51</v>
      </c>
      <c r="E37" s="43" t="e">
        <f ca="1">F37*_xll.BDP(C37,"PX_LAST")</f>
        <v>#NAME?</v>
      </c>
      <c r="F37" s="43">
        <v>260182</v>
      </c>
      <c r="G37" s="43">
        <v>64000</v>
      </c>
      <c r="H37" s="47">
        <f t="shared" si="10"/>
        <v>0.24598165899255137</v>
      </c>
      <c r="I37" s="43">
        <f t="shared" si="11"/>
        <v>3098240</v>
      </c>
      <c r="J37" s="45">
        <f t="shared" si="12"/>
        <v>4486592.8575999998</v>
      </c>
      <c r="K37" s="38">
        <v>48.41</v>
      </c>
      <c r="L37" s="38">
        <v>70.103013399999995</v>
      </c>
      <c r="M37" s="44">
        <f t="shared" si="13"/>
        <v>0.44811017145217935</v>
      </c>
      <c r="N37" s="43">
        <f t="shared" si="14"/>
        <v>1388352.8575999998</v>
      </c>
      <c r="O37" s="106" t="e">
        <f ca="1">_xll.BDP($C37,"CRNCY")</f>
        <v>#NAME?</v>
      </c>
      <c r="P37" s="43" t="e">
        <f ca="1">N37/R37</f>
        <v>#NAME?</v>
      </c>
      <c r="Q37" s="14">
        <v>42311</v>
      </c>
      <c r="R37" s="22" t="e">
        <f ca="1">_xll.BDH("RUB curncy","PX_LAST",$Q37)</f>
        <v>#NAME?</v>
      </c>
    </row>
    <row r="38" spans="2:18" x14ac:dyDescent="0.2">
      <c r="B38" s="103" t="e">
        <f ca="1">_xll.BDP(C38,"SECURITY_NAME")</f>
        <v>#NAME?</v>
      </c>
      <c r="C38" s="41" t="s">
        <v>166</v>
      </c>
      <c r="D38" s="73" t="s">
        <v>51</v>
      </c>
      <c r="E38" s="43" t="e">
        <f ca="1">F38*_xll.BDP(C38,"PX_LAST")/100</f>
        <v>#NAME?</v>
      </c>
      <c r="F38" s="43">
        <v>320000</v>
      </c>
      <c r="G38" s="43">
        <v>320000</v>
      </c>
      <c r="H38" s="47">
        <f t="shared" si="10"/>
        <v>1</v>
      </c>
      <c r="I38" s="43">
        <f>G38*K38/100</f>
        <v>304096</v>
      </c>
      <c r="J38" s="45">
        <f>G38*L38/100</f>
        <v>313120</v>
      </c>
      <c r="K38" s="38">
        <v>95.03</v>
      </c>
      <c r="L38" s="38">
        <v>97.85</v>
      </c>
      <c r="M38" s="44">
        <f t="shared" si="13"/>
        <v>2.9674839524360674E-2</v>
      </c>
      <c r="N38" s="43" t="e">
        <f ca="1">(J38-I38)*R38</f>
        <v>#NAME?</v>
      </c>
      <c r="O38" s="106" t="e">
        <f ca="1">_xll.BDP($C38,"CRNCY")</f>
        <v>#NAME?</v>
      </c>
      <c r="P38" s="43" t="e">
        <f ca="1">N38/R38</f>
        <v>#NAME?</v>
      </c>
      <c r="Q38" s="14">
        <v>42314</v>
      </c>
      <c r="R38" s="22" t="e">
        <f ca="1">_xll.BDH("RUB curncy","PX_LAST",$Q38)</f>
        <v>#NAME?</v>
      </c>
    </row>
    <row r="39" spans="2:18" x14ac:dyDescent="0.2">
      <c r="B39" s="103" t="e">
        <f ca="1">_xll.BDP(C39,"SECURITY_NAME")</f>
        <v>#NAME?</v>
      </c>
      <c r="C39" s="41" t="s">
        <v>60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0"/>
        <v>1</v>
      </c>
      <c r="I39" s="43">
        <f>G39*K39/100</f>
        <v>211220</v>
      </c>
      <c r="J39" s="45">
        <f>G39*L39/100</f>
        <v>213700</v>
      </c>
      <c r="K39" s="38">
        <v>105.61</v>
      </c>
      <c r="L39" s="38">
        <v>106.85</v>
      </c>
      <c r="M39" s="44">
        <f t="shared" si="13"/>
        <v>1.1741312375721957E-2</v>
      </c>
      <c r="N39" s="43" t="e">
        <f ca="1">(J39-I39)*R39</f>
        <v>#NAME?</v>
      </c>
      <c r="O39" s="106" t="e">
        <f ca="1">_xll.BDP($C39,"CRNCY")</f>
        <v>#NAME?</v>
      </c>
      <c r="P39" s="43" t="e">
        <f ca="1">N39/R39</f>
        <v>#NAME?</v>
      </c>
      <c r="Q39" s="14">
        <v>42314</v>
      </c>
      <c r="R39" s="22" t="e">
        <f ca="1">_xll.BDH("RUB curncy","PX_LAST",$Q39)</f>
        <v>#NAME?</v>
      </c>
    </row>
    <row r="40" spans="2:18" x14ac:dyDescent="0.2">
      <c r="B40" s="103" t="s">
        <v>185</v>
      </c>
      <c r="C40" s="103" t="s">
        <v>68</v>
      </c>
      <c r="D40" s="73" t="s">
        <v>51</v>
      </c>
      <c r="E40" s="43" t="e">
        <f ca="1">F40*_xll.BDP(C40,"PX_LAST")</f>
        <v>#NAME?</v>
      </c>
      <c r="F40" s="43">
        <v>260182</v>
      </c>
      <c r="G40" s="43">
        <v>20000</v>
      </c>
      <c r="H40" s="47">
        <f>G40/F40</f>
        <v>7.6869268435172305E-2</v>
      </c>
      <c r="I40" s="43">
        <f>G40*K40</f>
        <v>968199.99999999988</v>
      </c>
      <c r="J40" s="45">
        <f>G40*L40</f>
        <v>1500000</v>
      </c>
      <c r="K40" s="38">
        <v>48.41</v>
      </c>
      <c r="L40" s="38">
        <v>75</v>
      </c>
      <c r="M40" s="44">
        <f>L40/K40-1</f>
        <v>0.54926668043792626</v>
      </c>
      <c r="N40" s="43">
        <f>J40-I40</f>
        <v>531800.00000000012</v>
      </c>
      <c r="O40" s="106" t="e">
        <f ca="1">_xll.BDP($C40,"CRNCY")</f>
        <v>#NAME?</v>
      </c>
      <c r="P40" s="43" t="e">
        <f ca="1">N40/R40</f>
        <v>#NAME?</v>
      </c>
      <c r="Q40" s="14">
        <v>42325</v>
      </c>
      <c r="R40" s="22" t="e">
        <f ca="1">_xll.BDH("RUB curncy","PX_LAST",$Q40)</f>
        <v>#NAME?</v>
      </c>
    </row>
    <row r="41" spans="2:18" x14ac:dyDescent="0.2">
      <c r="B41" s="103" t="s">
        <v>386</v>
      </c>
      <c r="C41" s="103" t="s">
        <v>20</v>
      </c>
      <c r="D41" s="73" t="s">
        <v>51</v>
      </c>
      <c r="E41" s="43" t="e">
        <f ca="1">F41*_xll.BDP(C41,"PX_LAST")</f>
        <v>#NAME?</v>
      </c>
      <c r="F41" s="43">
        <v>2938</v>
      </c>
      <c r="G41" s="43">
        <v>1469</v>
      </c>
      <c r="H41" s="47">
        <f>G41/F41</f>
        <v>0.5</v>
      </c>
      <c r="I41" s="43">
        <f>G41*K41</f>
        <v>25281.49</v>
      </c>
      <c r="J41" s="45">
        <f>G41*L41</f>
        <v>32318</v>
      </c>
      <c r="K41" s="38">
        <v>17.21</v>
      </c>
      <c r="L41" s="38">
        <v>22</v>
      </c>
      <c r="M41" s="44">
        <f>L41/K41-1</f>
        <v>0.27832655432887843</v>
      </c>
      <c r="N41" s="43">
        <f>J41-I41</f>
        <v>7036.5099999999984</v>
      </c>
      <c r="O41" s="106" t="e">
        <f ca="1">_xll.BDP($C41,"CRNCY")</f>
        <v>#NAME?</v>
      </c>
      <c r="P41" s="43">
        <f>N41</f>
        <v>7036.5099999999984</v>
      </c>
      <c r="Q41" s="14">
        <v>42332</v>
      </c>
      <c r="R41" s="22" t="e">
        <f ca="1">_xll.BDH("RUB curncy","PX_LAST",$Q41)</f>
        <v>#NAME?</v>
      </c>
    </row>
    <row r="42" spans="2:18" x14ac:dyDescent="0.2">
      <c r="B42" s="103" t="s">
        <v>185</v>
      </c>
      <c r="C42" s="103" t="s">
        <v>68</v>
      </c>
      <c r="D42" s="73" t="s">
        <v>51</v>
      </c>
      <c r="E42" s="43" t="e">
        <f ca="1">F42*_xll.BDP(C42,"PX_LAST")</f>
        <v>#NAME?</v>
      </c>
      <c r="F42" s="43">
        <v>260182</v>
      </c>
      <c r="G42" s="43">
        <v>64200</v>
      </c>
      <c r="H42" s="47">
        <f>G42/F42</f>
        <v>0.2467503516769031</v>
      </c>
      <c r="I42" s="43">
        <f>G42*K42</f>
        <v>3107922</v>
      </c>
      <c r="J42" s="45">
        <f>G42*L42</f>
        <v>5014880.9862000002</v>
      </c>
      <c r="K42" s="38">
        <v>48.41</v>
      </c>
      <c r="L42" s="38">
        <v>78.113410999999999</v>
      </c>
      <c r="M42" s="44">
        <f>L42/K42-1</f>
        <v>0.61358006610204519</v>
      </c>
      <c r="N42" s="43">
        <f>J42-I42</f>
        <v>1906958.9862000002</v>
      </c>
      <c r="O42" s="106" t="e">
        <f ca="1">_xll.BDP($C42,"CRNCY")</f>
        <v>#NAME?</v>
      </c>
      <c r="P42" s="43" t="e">
        <f ca="1">N42/R42</f>
        <v>#NAME?</v>
      </c>
      <c r="Q42" s="14">
        <v>42332</v>
      </c>
      <c r="R42" s="22" t="e">
        <f ca="1">_xll.BDH("RUB curncy","PX_LAST",$Q42)</f>
        <v>#NAME?</v>
      </c>
    </row>
    <row r="43" spans="2:18" x14ac:dyDescent="0.2">
      <c r="B43" s="103" t="s">
        <v>643</v>
      </c>
      <c r="C43" s="103" t="s">
        <v>69</v>
      </c>
      <c r="D43" s="73" t="s">
        <v>51</v>
      </c>
      <c r="E43" s="43" t="e">
        <f ca="1">F43*_xll.BDP(C43,"PX_LAST")</f>
        <v>#NAME?</v>
      </c>
      <c r="F43" s="43">
        <v>440000</v>
      </c>
      <c r="G43" s="43">
        <v>440000</v>
      </c>
      <c r="H43" s="47">
        <f>G43/F43</f>
        <v>1</v>
      </c>
      <c r="I43" s="43">
        <f>G43*K43</f>
        <v>1047200</v>
      </c>
      <c r="J43" s="104">
        <f>G43*L43</f>
        <v>1474000</v>
      </c>
      <c r="K43" s="38">
        <v>2.38</v>
      </c>
      <c r="L43" s="38">
        <v>3.35</v>
      </c>
      <c r="M43" s="44">
        <f>L43/K43-1</f>
        <v>0.40756302521008414</v>
      </c>
      <c r="N43" s="43">
        <f>J43-I43</f>
        <v>426800</v>
      </c>
      <c r="O43" s="106" t="e">
        <f ca="1">_xll.BDP($C43,"CRNCY")</f>
        <v>#NAME?</v>
      </c>
      <c r="P43" s="43" t="e">
        <f ca="1">N43/R43</f>
        <v>#NAME?</v>
      </c>
      <c r="Q43" s="14">
        <v>42334</v>
      </c>
      <c r="R43" s="140" t="e">
        <f ca="1">_xll.BDH("RUB curncy","PX_LAST",$Q43)</f>
        <v>#NAME?</v>
      </c>
    </row>
    <row r="44" spans="2:18" x14ac:dyDescent="0.2">
      <c r="B44" s="103" t="s">
        <v>191</v>
      </c>
      <c r="C44" s="103" t="s">
        <v>49</v>
      </c>
      <c r="D44" s="73" t="s">
        <v>51</v>
      </c>
      <c r="E44" s="43" t="e">
        <f ca="1">F44*_xll.BDP(C44,"PX_LAST")</f>
        <v>#NAME?</v>
      </c>
      <c r="F44" s="43">
        <v>4000</v>
      </c>
      <c r="G44" s="43">
        <v>4000</v>
      </c>
      <c r="H44" s="47">
        <f>G44/F44</f>
        <v>1</v>
      </c>
      <c r="I44" s="43">
        <f>G44*K44</f>
        <v>41320</v>
      </c>
      <c r="J44" s="45">
        <f>G44*L44</f>
        <v>47000</v>
      </c>
      <c r="K44" s="38">
        <v>10.33</v>
      </c>
      <c r="L44" s="38">
        <v>11.75</v>
      </c>
      <c r="M44" s="44">
        <f>L44/K44-1</f>
        <v>0.13746369796708624</v>
      </c>
      <c r="N44" s="43">
        <f>J44-I44</f>
        <v>5680</v>
      </c>
      <c r="O44" s="106" t="e">
        <f ca="1">_xll.BDP($C44,"CRNCY")</f>
        <v>#NAME?</v>
      </c>
      <c r="P44" s="43">
        <f>N44</f>
        <v>5680</v>
      </c>
      <c r="Q44" s="14">
        <v>42335</v>
      </c>
      <c r="R44" s="22" t="e">
        <f ca="1">_xll.BDH("RUB curncy","PX_LAST",$Q44)</f>
        <v>#NAME?</v>
      </c>
    </row>
    <row r="45" spans="2:18" x14ac:dyDescent="0.2">
      <c r="B45" s="35"/>
      <c r="C45" s="35"/>
      <c r="D45" s="40"/>
      <c r="G45" s="35"/>
      <c r="H45" s="35"/>
      <c r="I45" s="35"/>
      <c r="J45" s="35"/>
      <c r="K45" s="35"/>
      <c r="L45" s="46"/>
      <c r="N45" s="107" t="s">
        <v>94</v>
      </c>
      <c r="O45" s="356" t="s">
        <v>75</v>
      </c>
      <c r="P45" s="355" t="e">
        <f ca="1">SUM(P30:P44)</f>
        <v>#NAME?</v>
      </c>
    </row>
    <row r="46" spans="2:18" x14ac:dyDescent="0.2">
      <c r="B46" s="32" t="s">
        <v>276</v>
      </c>
      <c r="E46" s="155"/>
      <c r="M46" s="35"/>
      <c r="N46" s="34"/>
      <c r="O46" s="34"/>
      <c r="P46" s="30"/>
    </row>
    <row r="47" spans="2:18" x14ac:dyDescent="0.2">
      <c r="B47" s="379">
        <v>2016</v>
      </c>
      <c r="M47" s="35"/>
      <c r="N47" s="34"/>
      <c r="O47" s="34"/>
      <c r="P47" s="30"/>
    </row>
    <row r="48" spans="2:18" ht="51" x14ac:dyDescent="0.2">
      <c r="B48" s="51" t="s">
        <v>105</v>
      </c>
      <c r="C48" s="50" t="s">
        <v>104</v>
      </c>
      <c r="D48" s="50" t="s">
        <v>174</v>
      </c>
      <c r="E48" s="50" t="s">
        <v>173</v>
      </c>
      <c r="F48" s="50" t="s">
        <v>175</v>
      </c>
      <c r="G48" s="50" t="s">
        <v>172</v>
      </c>
      <c r="H48" s="50" t="s">
        <v>103</v>
      </c>
      <c r="I48" s="50" t="s">
        <v>102</v>
      </c>
      <c r="J48" s="50" t="s">
        <v>101</v>
      </c>
      <c r="K48" s="50" t="s">
        <v>100</v>
      </c>
      <c r="L48" s="50" t="s">
        <v>99</v>
      </c>
      <c r="M48" s="50" t="s">
        <v>98</v>
      </c>
      <c r="N48" s="50" t="s">
        <v>280</v>
      </c>
      <c r="O48" s="50" t="s">
        <v>97</v>
      </c>
      <c r="P48" s="50" t="s">
        <v>279</v>
      </c>
      <c r="Q48" s="50" t="s">
        <v>277</v>
      </c>
      <c r="R48" s="50" t="s">
        <v>278</v>
      </c>
    </row>
    <row r="49" spans="2:18" x14ac:dyDescent="0.2">
      <c r="B49" s="103" t="s">
        <v>185</v>
      </c>
      <c r="C49" s="103" t="s">
        <v>68</v>
      </c>
      <c r="D49" s="73" t="s">
        <v>51</v>
      </c>
      <c r="E49" s="43" t="e">
        <f ca="1">F49*_xll.BDP(C49,"PX_LAST")</f>
        <v>#NAME?</v>
      </c>
      <c r="F49" s="43">
        <v>260182</v>
      </c>
      <c r="G49" s="43">
        <v>55990</v>
      </c>
      <c r="H49" s="47">
        <f t="shared" ref="H49:H61" si="15">G49/F49</f>
        <v>0.21519551698426487</v>
      </c>
      <c r="I49" s="43">
        <f>G49*K49</f>
        <v>2710475.9</v>
      </c>
      <c r="J49" s="45">
        <f>G49*L49</f>
        <v>4233597.6254000003</v>
      </c>
      <c r="K49" s="38">
        <v>48.41</v>
      </c>
      <c r="L49" s="38">
        <v>75.613460000000003</v>
      </c>
      <c r="M49" s="44">
        <f t="shared" ref="M49:M61" si="16">L49/K49-1</f>
        <v>0.56193885560834556</v>
      </c>
      <c r="N49" s="43">
        <f>J49-I49</f>
        <v>1523121.7254000003</v>
      </c>
      <c r="O49" s="106" t="e">
        <f ca="1">_xll.BDP($C49,"CRNCY")</f>
        <v>#NAME?</v>
      </c>
      <c r="P49" s="43" t="e">
        <f t="shared" ref="P49:P56" ca="1" si="17">N49/R49</f>
        <v>#NAME?</v>
      </c>
      <c r="Q49" s="14">
        <v>42432</v>
      </c>
      <c r="R49" s="22" t="e">
        <f ca="1">_xll.BDH("RUB curncy","PX_LAST",$Q49)</f>
        <v>#NAME?</v>
      </c>
    </row>
    <row r="50" spans="2:18" x14ac:dyDescent="0.2">
      <c r="B50" s="103" t="s">
        <v>675</v>
      </c>
      <c r="C50" s="103" t="s">
        <v>36</v>
      </c>
      <c r="D50" s="73" t="s">
        <v>51</v>
      </c>
      <c r="E50" s="43" t="e">
        <f ca="1">F50*_xll.BDP(C50,"PX_LAST")</f>
        <v>#NAME?</v>
      </c>
      <c r="F50" s="43">
        <v>355620</v>
      </c>
      <c r="G50" s="43">
        <v>355620</v>
      </c>
      <c r="H50" s="47">
        <f t="shared" si="15"/>
        <v>1</v>
      </c>
      <c r="I50" s="43">
        <f>G50*K50</f>
        <v>373401</v>
      </c>
      <c r="J50" s="45">
        <f>G50*L50</f>
        <v>564368.93999999994</v>
      </c>
      <c r="K50" s="38">
        <v>1.05</v>
      </c>
      <c r="L50" s="38">
        <v>1.587</v>
      </c>
      <c r="M50" s="44">
        <f t="shared" si="16"/>
        <v>0.51142857142857134</v>
      </c>
      <c r="N50" s="43">
        <f>J50-I50</f>
        <v>190967.93999999994</v>
      </c>
      <c r="O50" s="106" t="e">
        <f ca="1">_xll.BDP($C50,"CRNCY")</f>
        <v>#NAME?</v>
      </c>
      <c r="P50" s="43" t="e">
        <f t="shared" ca="1" si="17"/>
        <v>#NAME?</v>
      </c>
      <c r="Q50" s="14">
        <v>42436</v>
      </c>
      <c r="R50" s="22" t="e">
        <f ca="1">_xll.BDH("RUB curncy","PX_LAST",$Q50)</f>
        <v>#NAME?</v>
      </c>
    </row>
    <row r="51" spans="2:18" x14ac:dyDescent="0.2">
      <c r="B51" s="103" t="s">
        <v>185</v>
      </c>
      <c r="C51" s="103" t="s">
        <v>68</v>
      </c>
      <c r="D51" s="73" t="s">
        <v>51</v>
      </c>
      <c r="E51" s="43" t="e">
        <f ca="1">F51*_xll.BDP(C51,"PX_LAST")</f>
        <v>#NAME?</v>
      </c>
      <c r="F51" s="43">
        <v>260182</v>
      </c>
      <c r="G51" s="43">
        <v>55992</v>
      </c>
      <c r="H51" s="47">
        <f t="shared" si="15"/>
        <v>0.21520320391110836</v>
      </c>
      <c r="I51" s="43">
        <f>G51*K51</f>
        <v>2710572.7199999997</v>
      </c>
      <c r="J51" s="45">
        <f>G51*L51</f>
        <v>4243023.3672000002</v>
      </c>
      <c r="K51" s="38">
        <v>48.41</v>
      </c>
      <c r="L51" s="38">
        <v>75.7791</v>
      </c>
      <c r="M51" s="44">
        <f t="shared" si="16"/>
        <v>0.56536046271431539</v>
      </c>
      <c r="N51" s="43">
        <f>J51-I51</f>
        <v>1532450.6472000005</v>
      </c>
      <c r="O51" s="106" t="e">
        <f ca="1">_xll.BDP($C51,"CRNCY")</f>
        <v>#NAME?</v>
      </c>
      <c r="P51" s="43" t="e">
        <f t="shared" ca="1" si="17"/>
        <v>#NAME?</v>
      </c>
      <c r="Q51" s="14">
        <v>42444</v>
      </c>
      <c r="R51" s="22" t="e">
        <f ca="1">_xll.BDH("RUB curncy","PX_LAST",$Q51)</f>
        <v>#NAME?</v>
      </c>
    </row>
    <row r="52" spans="2:18" x14ac:dyDescent="0.2">
      <c r="B52" s="103" t="s">
        <v>227</v>
      </c>
      <c r="C52" s="103" t="s">
        <v>343</v>
      </c>
      <c r="D52" s="73" t="s">
        <v>51</v>
      </c>
      <c r="E52" s="43" t="e">
        <f ca="1">F52*_xll.BDP(C52,"PX_LAST")</f>
        <v>#NAME?</v>
      </c>
      <c r="F52" s="43">
        <v>3920</v>
      </c>
      <c r="G52" s="43">
        <v>3920</v>
      </c>
      <c r="H52" s="47">
        <f t="shared" si="15"/>
        <v>1</v>
      </c>
      <c r="I52" s="43">
        <f>G52*K52</f>
        <v>3284960</v>
      </c>
      <c r="J52" s="45">
        <f>G52*L52</f>
        <v>4353160</v>
      </c>
      <c r="K52" s="38">
        <v>838</v>
      </c>
      <c r="L52" s="38">
        <v>1110.5</v>
      </c>
      <c r="M52" s="44">
        <f t="shared" si="16"/>
        <v>0.32517899761336522</v>
      </c>
      <c r="N52" s="43">
        <f>J52-I52</f>
        <v>1068200</v>
      </c>
      <c r="O52" s="106" t="e">
        <f ca="1">_xll.BDP($C52,"CRNCY")</f>
        <v>#NAME?</v>
      </c>
      <c r="P52" s="43" t="e">
        <f t="shared" ca="1" si="17"/>
        <v>#NAME?</v>
      </c>
      <c r="Q52" s="14">
        <v>42475</v>
      </c>
      <c r="R52" s="22" t="e">
        <f ca="1">_xll.BDH("RUB curncy","PX_LAST",$Q52)</f>
        <v>#NAME?</v>
      </c>
    </row>
    <row r="53" spans="2:18" x14ac:dyDescent="0.2">
      <c r="B53" s="103" t="s">
        <v>150</v>
      </c>
      <c r="C53" s="103" t="s">
        <v>729</v>
      </c>
      <c r="D53" s="73" t="s">
        <v>51</v>
      </c>
      <c r="E53" s="43" t="e">
        <f ca="1">F53*_xll.BDP(C53,"PX_LAST")</f>
        <v>#NAME?</v>
      </c>
      <c r="F53" s="43">
        <v>1200000</v>
      </c>
      <c r="G53" s="43">
        <v>1200000</v>
      </c>
      <c r="H53" s="47">
        <f t="shared" si="15"/>
        <v>1</v>
      </c>
      <c r="I53" s="43">
        <f>G53*K53</f>
        <v>3060000</v>
      </c>
      <c r="J53" s="45">
        <f>G53*L53</f>
        <v>3096599.9999999995</v>
      </c>
      <c r="K53" s="38">
        <v>2.5499999999999998</v>
      </c>
      <c r="L53" s="38">
        <v>2.5804999999999998</v>
      </c>
      <c r="M53" s="44">
        <f t="shared" si="16"/>
        <v>1.1960784313725492E-2</v>
      </c>
      <c r="N53" s="43">
        <f>J53-I53</f>
        <v>36599.999999999534</v>
      </c>
      <c r="O53" s="106" t="e">
        <f ca="1">_xll.BDP($C53,"CRNCY")</f>
        <v>#NAME?</v>
      </c>
      <c r="P53" s="43" t="e">
        <f t="shared" ca="1" si="17"/>
        <v>#NAME?</v>
      </c>
      <c r="Q53" s="14">
        <v>42480</v>
      </c>
      <c r="R53" s="22" t="e">
        <f ca="1">_xll.BDH("RUB curncy","PX_LAST",$Q53)</f>
        <v>#NAME?</v>
      </c>
    </row>
    <row r="54" spans="2:18" x14ac:dyDescent="0.2">
      <c r="B54" s="103" t="e">
        <f ca="1">_xll.BDP(C54,"SECURITY_NAME")</f>
        <v>#NAME?</v>
      </c>
      <c r="C54" s="103" t="s">
        <v>373</v>
      </c>
      <c r="D54" s="73" t="s">
        <v>51</v>
      </c>
      <c r="E54" s="43" t="e">
        <f ca="1">F54*_xll.BDP(C54,"PX_LAST")/100</f>
        <v>#NAME?</v>
      </c>
      <c r="F54" s="43">
        <v>200000</v>
      </c>
      <c r="G54" s="43">
        <v>200000</v>
      </c>
      <c r="H54" s="47">
        <f t="shared" si="15"/>
        <v>1</v>
      </c>
      <c r="I54" s="43">
        <f>G54*K54/100</f>
        <v>199840</v>
      </c>
      <c r="J54" s="45">
        <f>G54*L54/100</f>
        <v>209250</v>
      </c>
      <c r="K54" s="38">
        <v>99.92</v>
      </c>
      <c r="L54" s="38">
        <v>104.625</v>
      </c>
      <c r="M54" s="44">
        <f t="shared" si="16"/>
        <v>4.7087670136108928E-2</v>
      </c>
      <c r="N54" s="43" t="e">
        <f ca="1">(J54-I54)*R54</f>
        <v>#NAME?</v>
      </c>
      <c r="O54" s="106" t="e">
        <f ca="1">_xll.BDP($C54,"CRNCY")</f>
        <v>#NAME?</v>
      </c>
      <c r="P54" s="43" t="e">
        <f t="shared" ca="1" si="17"/>
        <v>#NAME?</v>
      </c>
      <c r="Q54" s="14">
        <v>42482</v>
      </c>
      <c r="R54" s="22" t="e">
        <f ca="1">_xll.BDH("RUB curncy","PX_LAST",$Q54)</f>
        <v>#NAME?</v>
      </c>
    </row>
    <row r="55" spans="2:18" x14ac:dyDescent="0.2">
      <c r="B55" s="103" t="e">
        <f ca="1">_xll.BDP(C55,"SECURITY_NAME")</f>
        <v>#NAME?</v>
      </c>
      <c r="C55" s="103" t="s">
        <v>61</v>
      </c>
      <c r="D55" s="73" t="s">
        <v>51</v>
      </c>
      <c r="E55" s="43" t="e">
        <f ca="1">F55*_xll.BDP(C55,"PX_LAST")/100</f>
        <v>#NAME?</v>
      </c>
      <c r="F55" s="43">
        <v>200000</v>
      </c>
      <c r="G55" s="43">
        <v>200000</v>
      </c>
      <c r="H55" s="47">
        <f t="shared" si="15"/>
        <v>1</v>
      </c>
      <c r="I55" s="43">
        <f>G55*K55/100</f>
        <v>196780</v>
      </c>
      <c r="J55" s="45">
        <f>G55*L55/100</f>
        <v>206037.5</v>
      </c>
      <c r="K55" s="38">
        <v>98.39</v>
      </c>
      <c r="L55" s="38">
        <v>103.01875</v>
      </c>
      <c r="M55" s="44">
        <f t="shared" si="16"/>
        <v>4.7044923264559335E-2</v>
      </c>
      <c r="N55" s="43" t="e">
        <f ca="1">(J55-I55)*R55</f>
        <v>#NAME?</v>
      </c>
      <c r="O55" s="106" t="e">
        <f ca="1">_xll.BDP($C55,"CRNCY")</f>
        <v>#NAME?</v>
      </c>
      <c r="P55" s="43" t="e">
        <f t="shared" ca="1" si="17"/>
        <v>#NAME?</v>
      </c>
      <c r="Q55" s="14">
        <v>42479</v>
      </c>
      <c r="R55" s="22" t="e">
        <f ca="1">_xll.BDH("RUB curncy","PX_LAST",$Q55)</f>
        <v>#NAME?</v>
      </c>
    </row>
    <row r="56" spans="2:18" x14ac:dyDescent="0.2">
      <c r="B56" s="103" t="e">
        <f ca="1">_xll.BDP(C56,"SECURITY_NAME")</f>
        <v>#NAME?</v>
      </c>
      <c r="C56" s="103" t="s">
        <v>377</v>
      </c>
      <c r="D56" s="73" t="s">
        <v>51</v>
      </c>
      <c r="E56" s="43" t="e">
        <f ca="1">F56*_xll.BDP(C56,"PX_LAST")/100</f>
        <v>#NAME?</v>
      </c>
      <c r="F56" s="43">
        <v>200000</v>
      </c>
      <c r="G56" s="43">
        <v>200000</v>
      </c>
      <c r="H56" s="47">
        <f t="shared" si="15"/>
        <v>1</v>
      </c>
      <c r="I56" s="43">
        <f>G56*K56/100</f>
        <v>149380</v>
      </c>
      <c r="J56" s="45">
        <f>G56*L56/100</f>
        <v>201000</v>
      </c>
      <c r="K56" s="38">
        <v>74.69</v>
      </c>
      <c r="L56" s="38">
        <v>100.5</v>
      </c>
      <c r="M56" s="44">
        <f t="shared" si="16"/>
        <v>0.34556165484000534</v>
      </c>
      <c r="N56" s="43" t="e">
        <f ca="1">(J56-I56)*R56</f>
        <v>#NAME?</v>
      </c>
      <c r="O56" s="106" t="e">
        <f ca="1">_xll.BDP($C56,"CRNCY")</f>
        <v>#NAME?</v>
      </c>
      <c r="P56" s="43" t="e">
        <f t="shared" ca="1" si="17"/>
        <v>#NAME?</v>
      </c>
      <c r="Q56" s="14">
        <v>42509</v>
      </c>
      <c r="R56" s="22" t="e">
        <f ca="1">_xll.BDH("RUB curncy","PX_LAST",$Q56)</f>
        <v>#NAME?</v>
      </c>
    </row>
    <row r="57" spans="2:18" x14ac:dyDescent="0.2">
      <c r="B57" s="103" t="e">
        <f ca="1">_xll.BDP(C57,"SECURITY_NAME")</f>
        <v>#NAME?</v>
      </c>
      <c r="C57" s="118" t="s">
        <v>374</v>
      </c>
      <c r="D57" s="73" t="s">
        <v>51</v>
      </c>
      <c r="E57" s="43" t="e">
        <f ca="1">F57*_xll.BDP(C57,"PX_LAST")/100</f>
        <v>#NAME?</v>
      </c>
      <c r="F57" s="43">
        <v>200000</v>
      </c>
      <c r="G57" s="43">
        <v>200000</v>
      </c>
      <c r="H57" s="47">
        <f t="shared" si="15"/>
        <v>1</v>
      </c>
      <c r="I57" s="43">
        <f>G57*K57/100</f>
        <v>198160</v>
      </c>
      <c r="J57" s="45">
        <f>G57*L57/100</f>
        <v>211000</v>
      </c>
      <c r="K57" s="38">
        <v>99.08</v>
      </c>
      <c r="L57" s="38">
        <v>105.5</v>
      </c>
      <c r="M57" s="44">
        <f t="shared" si="16"/>
        <v>6.4796124343964534E-2</v>
      </c>
      <c r="N57" s="43" t="e">
        <f ca="1">(J57-I57)*R57</f>
        <v>#NAME?</v>
      </c>
      <c r="O57" s="106" t="e">
        <f ca="1">_xll.BDP($C57,"CRNCY")</f>
        <v>#NAME?</v>
      </c>
      <c r="P57" s="43" t="e">
        <f t="shared" ref="P57:P64" ca="1" si="18">N57/R57</f>
        <v>#NAME?</v>
      </c>
      <c r="Q57" s="14">
        <v>42522</v>
      </c>
      <c r="R57" s="22" t="e">
        <f ca="1">_xll.BDH("RUB curncy","PX_LAST",$Q57)</f>
        <v>#NAME?</v>
      </c>
    </row>
    <row r="58" spans="2:18" x14ac:dyDescent="0.2">
      <c r="B58" s="103" t="s">
        <v>317</v>
      </c>
      <c r="C58" s="103" t="s">
        <v>253</v>
      </c>
      <c r="D58" s="73" t="s">
        <v>51</v>
      </c>
      <c r="E58" s="43" t="e">
        <f ca="1">F58*_xll.BDP(C58,"PX_LAST")</f>
        <v>#NAME?</v>
      </c>
      <c r="F58" s="43">
        <v>9100</v>
      </c>
      <c r="G58" s="43">
        <v>9100</v>
      </c>
      <c r="H58" s="47">
        <f t="shared" si="15"/>
        <v>1</v>
      </c>
      <c r="I58" s="43">
        <f>G58*K58</f>
        <v>1483300</v>
      </c>
      <c r="J58" s="45">
        <f>G58*L58</f>
        <v>1615250</v>
      </c>
      <c r="K58" s="38">
        <v>163</v>
      </c>
      <c r="L58" s="38">
        <v>177.5</v>
      </c>
      <c r="M58" s="44">
        <f t="shared" si="16"/>
        <v>8.8957055214723857E-2</v>
      </c>
      <c r="N58" s="43">
        <f>J58-I58</f>
        <v>131950</v>
      </c>
      <c r="O58" s="106" t="e">
        <f ca="1">_xll.BDP($C58,"CRNCY")</f>
        <v>#NAME?</v>
      </c>
      <c r="P58" s="43" t="e">
        <f t="shared" ca="1" si="18"/>
        <v>#NAME?</v>
      </c>
      <c r="Q58" s="14">
        <v>42536</v>
      </c>
      <c r="R58" s="22" t="e">
        <f ca="1">_xll.BDH("RUB curncy","PX_LAST",$Q58)</f>
        <v>#NAME?</v>
      </c>
    </row>
    <row r="59" spans="2:18" x14ac:dyDescent="0.2">
      <c r="B59" s="103" t="e">
        <f ca="1">_xll.BDP(C59,"SECURITY_NAME")</f>
        <v>#NAME?</v>
      </c>
      <c r="C59" s="118" t="s">
        <v>372</v>
      </c>
      <c r="D59" s="73" t="s">
        <v>51</v>
      </c>
      <c r="E59" s="43" t="e">
        <f ca="1">F59*_xll.BDP(C59,"PX_LAST")/100</f>
        <v>#NAME?</v>
      </c>
      <c r="F59" s="43">
        <v>250000</v>
      </c>
      <c r="G59" s="43">
        <v>250000</v>
      </c>
      <c r="H59" s="47">
        <f t="shared" si="15"/>
        <v>1</v>
      </c>
      <c r="I59" s="43">
        <f>G59*K59/100</f>
        <v>193500</v>
      </c>
      <c r="J59" s="45">
        <f>G59*L59/100</f>
        <v>250000</v>
      </c>
      <c r="K59" s="38">
        <v>77.400000000000006</v>
      </c>
      <c r="L59" s="38">
        <v>100</v>
      </c>
      <c r="M59" s="44">
        <f t="shared" si="16"/>
        <v>0.29198966408268734</v>
      </c>
      <c r="N59" s="43" t="e">
        <f ca="1">(J59-I59)*R59</f>
        <v>#NAME?</v>
      </c>
      <c r="O59" s="106" t="e">
        <f ca="1">_xll.BDP($C59,"CRNCY")</f>
        <v>#NAME?</v>
      </c>
      <c r="P59" s="43" t="e">
        <f t="shared" ca="1" si="18"/>
        <v>#NAME?</v>
      </c>
      <c r="Q59" s="14">
        <v>42558</v>
      </c>
      <c r="R59" s="22" t="e">
        <f ca="1">_xll.BDH("RUB curncy","PX_LAST",$Q59)</f>
        <v>#NAME?</v>
      </c>
    </row>
    <row r="60" spans="2:18" x14ac:dyDescent="0.2">
      <c r="B60" s="103" t="e">
        <f ca="1">_xll.BDP(C60,"SECURITY_NAME")</f>
        <v>#NAME?</v>
      </c>
      <c r="C60" s="118" t="s">
        <v>375</v>
      </c>
      <c r="D60" s="73" t="s">
        <v>51</v>
      </c>
      <c r="E60" s="43" t="e">
        <f ca="1">F60*_xll.BDP(C60,"PX_LAST")/100</f>
        <v>#NAME?</v>
      </c>
      <c r="F60" s="43">
        <v>200000</v>
      </c>
      <c r="G60" s="43">
        <v>200000</v>
      </c>
      <c r="H60" s="47">
        <f t="shared" si="15"/>
        <v>1</v>
      </c>
      <c r="I60" s="43">
        <f>G60*K60/100</f>
        <v>161320</v>
      </c>
      <c r="J60" s="45">
        <f>G60*L60/100</f>
        <v>198500</v>
      </c>
      <c r="K60" s="38">
        <v>80.66</v>
      </c>
      <c r="L60" s="38">
        <v>99.25</v>
      </c>
      <c r="M60" s="44">
        <f t="shared" si="16"/>
        <v>0.23047359285891411</v>
      </c>
      <c r="N60" s="43" t="e">
        <f ca="1">(J60-I60)*R60</f>
        <v>#NAME?</v>
      </c>
      <c r="O60" s="106" t="e">
        <f ca="1">_xll.BDP($C60,"CRNCY")</f>
        <v>#NAME?</v>
      </c>
      <c r="P60" s="43" t="e">
        <f t="shared" ca="1" si="18"/>
        <v>#NAME?</v>
      </c>
      <c r="Q60" s="14">
        <v>42559</v>
      </c>
      <c r="R60" s="22" t="e">
        <f ca="1">_xll.BDH("RUB curncy","PX_LAST",$Q60)</f>
        <v>#NAME?</v>
      </c>
    </row>
    <row r="61" spans="2:18" x14ac:dyDescent="0.2">
      <c r="B61" s="103" t="e">
        <f ca="1">_xll.BDP(C61,"SECURITY_NAME")</f>
        <v>#NAME?</v>
      </c>
      <c r="C61" s="118" t="s">
        <v>376</v>
      </c>
      <c r="D61" s="73" t="s">
        <v>51</v>
      </c>
      <c r="E61" s="43" t="e">
        <f ca="1">F61*_xll.BDP(C61,"PX_LAST")/100</f>
        <v>#NAME?</v>
      </c>
      <c r="F61" s="43">
        <v>250000</v>
      </c>
      <c r="G61" s="43">
        <v>250000</v>
      </c>
      <c r="H61" s="47">
        <f t="shared" si="15"/>
        <v>1</v>
      </c>
      <c r="I61" s="43">
        <f>G61*K61/100</f>
        <v>224775</v>
      </c>
      <c r="J61" s="45">
        <f>G61*L61/100</f>
        <v>260000</v>
      </c>
      <c r="K61" s="38">
        <v>89.91</v>
      </c>
      <c r="L61" s="38">
        <v>104</v>
      </c>
      <c r="M61" s="44">
        <f t="shared" si="16"/>
        <v>0.15671226782337899</v>
      </c>
      <c r="N61" s="43" t="e">
        <f ca="1">(J61-I61)*R61</f>
        <v>#NAME?</v>
      </c>
      <c r="O61" s="106" t="e">
        <f ca="1">_xll.BDP($C61,"CRNCY")</f>
        <v>#NAME?</v>
      </c>
      <c r="P61" s="43" t="e">
        <f t="shared" ca="1" si="18"/>
        <v>#NAME?</v>
      </c>
      <c r="Q61" s="14">
        <v>42565</v>
      </c>
      <c r="R61" s="22" t="e">
        <f ca="1">_xll.BDH("RUB curncy","PX_LAST",$Q61)</f>
        <v>#NAME?</v>
      </c>
    </row>
    <row r="62" spans="2:18" x14ac:dyDescent="0.2">
      <c r="B62" s="103" t="s">
        <v>201</v>
      </c>
      <c r="C62" s="103" t="s">
        <v>65</v>
      </c>
      <c r="D62" s="73" t="s">
        <v>51</v>
      </c>
      <c r="E62" s="43" t="e">
        <f ca="1">F62*_xll.BDP(C62,"PX_LAST")</f>
        <v>#NAME?</v>
      </c>
      <c r="F62" s="43">
        <v>1164</v>
      </c>
      <c r="G62" s="43">
        <v>1164</v>
      </c>
      <c r="H62" s="47">
        <f>G62/F62</f>
        <v>1</v>
      </c>
      <c r="I62" s="43">
        <f>G62*K62</f>
        <v>2181634.5531959999</v>
      </c>
      <c r="J62" s="45">
        <f>G62*L62</f>
        <v>3826712.499816</v>
      </c>
      <c r="K62" s="38">
        <v>1874.2564889999999</v>
      </c>
      <c r="L62" s="38">
        <v>3287.5536940000002</v>
      </c>
      <c r="M62" s="44">
        <f>L62/K62-1</f>
        <v>0.75405752270013915</v>
      </c>
      <c r="N62" s="43">
        <f>J62-I62</f>
        <v>1645077.9466200001</v>
      </c>
      <c r="O62" s="106" t="e">
        <f ca="1">_xll.BDP($C62,"CRNCY")</f>
        <v>#NAME?</v>
      </c>
      <c r="P62" s="43" t="e">
        <f t="shared" ca="1" si="18"/>
        <v>#NAME?</v>
      </c>
      <c r="Q62" s="14">
        <v>42646</v>
      </c>
      <c r="R62" s="22" t="e">
        <f ca="1">_xll.BDH("RUB curncy","PX_LAST",$Q62)</f>
        <v>#NAME?</v>
      </c>
    </row>
    <row r="63" spans="2:18" x14ac:dyDescent="0.2">
      <c r="B63" s="103" t="e">
        <f ca="1">_xll.BDP(C63,"SECURITY_NAME")</f>
        <v>#NAME?</v>
      </c>
      <c r="C63" s="118" t="s">
        <v>378</v>
      </c>
      <c r="D63" s="73" t="s">
        <v>51</v>
      </c>
      <c r="E63" s="43" t="e">
        <f ca="1">F63*_xll.BDP(C63,"PX_LAST")/100</f>
        <v>#NAME?</v>
      </c>
      <c r="F63" s="43">
        <v>225000</v>
      </c>
      <c r="G63" s="43">
        <v>225000</v>
      </c>
      <c r="H63" s="47">
        <f>G63/F63</f>
        <v>1</v>
      </c>
      <c r="I63" s="43">
        <f>G63*K63/100</f>
        <v>171855</v>
      </c>
      <c r="J63" s="45">
        <f>G63*L63/100</f>
        <v>226125</v>
      </c>
      <c r="K63" s="38">
        <v>76.38</v>
      </c>
      <c r="L63" s="38">
        <v>100.5</v>
      </c>
      <c r="M63" s="44">
        <f>L63/K63-1</f>
        <v>0.31578947368421062</v>
      </c>
      <c r="N63" s="43" t="e">
        <f ca="1">(J63-I63)*R63</f>
        <v>#NAME?</v>
      </c>
      <c r="O63" s="106" t="e">
        <f ca="1">_xll.BDP($C63,"CRNCY")</f>
        <v>#NAME?</v>
      </c>
      <c r="P63" s="43" t="e">
        <f t="shared" ca="1" si="18"/>
        <v>#NAME?</v>
      </c>
      <c r="Q63" s="14">
        <v>42647</v>
      </c>
      <c r="R63" s="22" t="e">
        <f ca="1">_xll.BDH("RUB curncy","PX_LAST",$Q63)</f>
        <v>#NAME?</v>
      </c>
    </row>
    <row r="64" spans="2:18" x14ac:dyDescent="0.2">
      <c r="B64" s="103" t="s">
        <v>227</v>
      </c>
      <c r="C64" s="103" t="s">
        <v>10</v>
      </c>
      <c r="D64" s="73" t="s">
        <v>51</v>
      </c>
      <c r="E64" s="43" t="e">
        <f ca="1">F64*_xll.BDP(C64,"PX_LAST")</f>
        <v>#NAME?</v>
      </c>
      <c r="F64" s="43">
        <v>1804</v>
      </c>
      <c r="G64" s="43">
        <v>1804</v>
      </c>
      <c r="H64" s="47">
        <f>G64/F64</f>
        <v>1</v>
      </c>
      <c r="I64" s="43">
        <f>G64*K64</f>
        <v>36585.120000000003</v>
      </c>
      <c r="J64" s="45">
        <f>G64*L64</f>
        <v>39850.36</v>
      </c>
      <c r="K64" s="38">
        <v>20.28</v>
      </c>
      <c r="L64" s="38">
        <v>22.09</v>
      </c>
      <c r="M64" s="44">
        <f>L64/K64-1</f>
        <v>8.9250493096646899E-2</v>
      </c>
      <c r="N64" s="43" t="e">
        <f ca="1">(J64-I64)*R64</f>
        <v>#NAME?</v>
      </c>
      <c r="O64" s="106" t="e">
        <f ca="1">_xll.BDP($C64,"CRNCY")</f>
        <v>#NAME?</v>
      </c>
      <c r="P64" s="43" t="e">
        <f t="shared" ca="1" si="18"/>
        <v>#NAME?</v>
      </c>
      <c r="Q64" s="14">
        <v>42649</v>
      </c>
      <c r="R64" s="22" t="e">
        <f ca="1">_xll.BDH("RUB curncy","PX_LAST",$Q64)</f>
        <v>#NAME?</v>
      </c>
    </row>
    <row r="65" spans="2:18" x14ac:dyDescent="0.2">
      <c r="J65" s="105"/>
      <c r="K65" s="70"/>
      <c r="L65" s="155"/>
      <c r="N65" s="107" t="s">
        <v>94</v>
      </c>
      <c r="O65" s="356" t="s">
        <v>75</v>
      </c>
      <c r="P65" s="355" t="e">
        <f ca="1">SUM(P49:P64)</f>
        <v>#NAME?</v>
      </c>
      <c r="R65" s="35"/>
    </row>
    <row r="66" spans="2:18" x14ac:dyDescent="0.2">
      <c r="J66" s="105"/>
      <c r="K66" s="70"/>
      <c r="L66" s="155"/>
      <c r="M66" s="35"/>
      <c r="N66" s="30"/>
      <c r="O66" s="30"/>
      <c r="P66" s="34"/>
      <c r="R66" s="35"/>
    </row>
    <row r="67" spans="2:18" x14ac:dyDescent="0.2">
      <c r="J67" s="105"/>
      <c r="K67" s="70"/>
      <c r="L67" s="155"/>
      <c r="M67" s="35"/>
      <c r="N67" s="30"/>
      <c r="O67" s="30"/>
      <c r="P67" s="34"/>
      <c r="R67" s="35"/>
    </row>
    <row r="68" spans="2:18" x14ac:dyDescent="0.2">
      <c r="H68" s="105"/>
      <c r="I68" s="70"/>
      <c r="J68" s="151"/>
      <c r="K68" s="35"/>
      <c r="L68" s="148"/>
      <c r="M68" s="34"/>
    </row>
    <row r="69" spans="2:18" x14ac:dyDescent="0.2">
      <c r="B69" s="32" t="s">
        <v>93</v>
      </c>
      <c r="C69" s="151"/>
      <c r="D69" s="105"/>
      <c r="H69" s="105"/>
      <c r="I69" s="151"/>
      <c r="J69" s="151"/>
      <c r="K69" s="30"/>
    </row>
    <row r="70" spans="2:18" ht="13.5" thickBot="1" x14ac:dyDescent="0.25">
      <c r="C70" s="30"/>
      <c r="D70" s="30"/>
      <c r="G70" s="30"/>
      <c r="H70" s="151"/>
      <c r="I70" s="30"/>
      <c r="J70" s="151"/>
      <c r="K70" s="30"/>
      <c r="Q70" s="174"/>
    </row>
    <row r="71" spans="2:18" ht="15" x14ac:dyDescent="0.35">
      <c r="B71" s="26"/>
      <c r="C71" s="26"/>
      <c r="D71" s="26"/>
      <c r="E71" s="26"/>
      <c r="F71" s="26"/>
      <c r="G71" s="26"/>
      <c r="H71" s="28" t="s">
        <v>92</v>
      </c>
      <c r="I71" s="27" t="s">
        <v>91</v>
      </c>
      <c r="J71" s="27" t="s">
        <v>90</v>
      </c>
      <c r="K71" s="27"/>
      <c r="L71" s="27"/>
      <c r="M71" s="26"/>
      <c r="N71" s="26"/>
    </row>
    <row r="72" spans="2:18" ht="15" x14ac:dyDescent="0.35">
      <c r="B72" s="23" t="s">
        <v>89</v>
      </c>
      <c r="C72" s="23" t="s">
        <v>88</v>
      </c>
      <c r="D72" s="23" t="s">
        <v>87</v>
      </c>
      <c r="E72" s="23" t="s">
        <v>86</v>
      </c>
      <c r="F72" s="23" t="s">
        <v>85</v>
      </c>
      <c r="G72" s="23" t="s">
        <v>84</v>
      </c>
      <c r="H72" s="25" t="s">
        <v>83</v>
      </c>
      <c r="I72" s="24" t="s">
        <v>83</v>
      </c>
      <c r="J72" s="24" t="s">
        <v>75</v>
      </c>
      <c r="K72" s="24" t="s">
        <v>73</v>
      </c>
      <c r="L72" s="24" t="s">
        <v>82</v>
      </c>
      <c r="M72" s="23" t="s">
        <v>81</v>
      </c>
      <c r="N72" s="23" t="s">
        <v>80</v>
      </c>
    </row>
    <row r="74" spans="2:18" x14ac:dyDescent="0.2">
      <c r="B74" s="21" t="s">
        <v>398</v>
      </c>
      <c r="C74" s="20" t="s">
        <v>42</v>
      </c>
      <c r="D74" s="18" t="e">
        <f ca="1">_xll.BDP(C74,"SECURITY_NAME")</f>
        <v>#NAME?</v>
      </c>
      <c r="E74" s="18" t="s">
        <v>50</v>
      </c>
      <c r="F74" s="19">
        <v>12550</v>
      </c>
      <c r="G74" s="18" t="e">
        <f ca="1">_xll.BDP(C74,"CRNCY")</f>
        <v>#NAME?</v>
      </c>
      <c r="H74" s="22">
        <v>3.28</v>
      </c>
      <c r="I74" s="15">
        <f>F74*H74</f>
        <v>41164</v>
      </c>
      <c r="J74" s="16">
        <f>I74</f>
        <v>41164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42359</v>
      </c>
      <c r="O74" s="33"/>
    </row>
    <row r="75" spans="2:18" x14ac:dyDescent="0.2">
      <c r="B75" s="71"/>
      <c r="C75" s="33"/>
      <c r="D75" s="73"/>
      <c r="E75" s="73"/>
      <c r="F75" s="79">
        <f>SUM(F74)</f>
        <v>12550</v>
      </c>
      <c r="G75" s="87"/>
      <c r="H75" s="80">
        <f>I75/F75</f>
        <v>3.28</v>
      </c>
      <c r="I75" s="79">
        <f>SUM(I74)</f>
        <v>41164</v>
      </c>
      <c r="J75" s="79">
        <f>SUM(J74)</f>
        <v>41164</v>
      </c>
      <c r="K75" s="79" t="e">
        <f ca="1">SUM(K74)</f>
        <v>#NAME?</v>
      </c>
      <c r="L75" s="88"/>
      <c r="M75" s="158"/>
      <c r="N75" s="157"/>
      <c r="O75" s="33"/>
    </row>
    <row r="76" spans="2:18" x14ac:dyDescent="0.2">
      <c r="B76" s="71"/>
      <c r="C76" s="33"/>
      <c r="D76" s="73"/>
      <c r="E76" s="73"/>
      <c r="F76" s="79"/>
      <c r="G76" s="87"/>
      <c r="H76" s="80"/>
      <c r="I76" s="79"/>
      <c r="J76" s="79"/>
      <c r="K76" s="79"/>
      <c r="L76" s="88"/>
      <c r="M76" s="158"/>
      <c r="N76" s="157"/>
      <c r="O76" s="33"/>
    </row>
    <row r="77" spans="2:18" x14ac:dyDescent="0.2">
      <c r="B77" s="21" t="s">
        <v>398</v>
      </c>
      <c r="C77" s="20" t="s">
        <v>18</v>
      </c>
      <c r="D77" s="18" t="e">
        <f ca="1">_xll.BDP(C77,"SECURITY_NAME")</f>
        <v>#NAME?</v>
      </c>
      <c r="E77" s="18" t="s">
        <v>50</v>
      </c>
      <c r="F77" s="19">
        <v>7600</v>
      </c>
      <c r="G77" s="18" t="e">
        <f ca="1">_xll.BDP(C77,"CRNCY")</f>
        <v>#NAME?</v>
      </c>
      <c r="H77" s="22">
        <v>197</v>
      </c>
      <c r="I77" s="15">
        <f>F77*H77</f>
        <v>1497200</v>
      </c>
      <c r="J77" s="16" t="e">
        <f ca="1">I77/L77</f>
        <v>#NAME?</v>
      </c>
      <c r="K77" s="15" t="e">
        <f ca="1">J77*L77</f>
        <v>#NAME?</v>
      </c>
      <c r="L77" s="140" t="e">
        <f ca="1">_xll.BDH("RUB curncy","PX_LAST",$N77)</f>
        <v>#NAME?</v>
      </c>
      <c r="M77" s="85" t="e">
        <f ca="1">1/_xll.BDH("RUB curncy","PX_LAST",$N77)</f>
        <v>#NAME?</v>
      </c>
      <c r="N77" s="14">
        <v>42324</v>
      </c>
      <c r="O77" s="33"/>
    </row>
    <row r="78" spans="2:18" x14ac:dyDescent="0.2">
      <c r="B78" s="71"/>
      <c r="C78" s="33"/>
      <c r="D78" s="73"/>
      <c r="E78" s="73"/>
      <c r="F78" s="79">
        <f>SUM(F77)</f>
        <v>7600</v>
      </c>
      <c r="G78" s="87"/>
      <c r="H78" s="80">
        <f>I78/F78</f>
        <v>197</v>
      </c>
      <c r="I78" s="79">
        <f>SUM(I77)</f>
        <v>1497200</v>
      </c>
      <c r="J78" s="79" t="e">
        <f ca="1">SUM(J77)</f>
        <v>#NAME?</v>
      </c>
      <c r="K78" s="79" t="e">
        <f ca="1">SUM(K77)</f>
        <v>#NAME?</v>
      </c>
      <c r="L78" s="88"/>
      <c r="M78" s="158"/>
      <c r="N78" s="157"/>
      <c r="O78" s="33"/>
    </row>
    <row r="79" spans="2:18" x14ac:dyDescent="0.2">
      <c r="B79" s="71"/>
      <c r="C79" s="33"/>
      <c r="D79" s="73"/>
      <c r="E79" s="73"/>
      <c r="F79" s="79"/>
      <c r="G79" s="87"/>
      <c r="H79" s="80"/>
      <c r="I79" s="79"/>
      <c r="J79" s="79"/>
      <c r="K79" s="79"/>
      <c r="L79" s="88"/>
      <c r="M79" s="158"/>
      <c r="N79" s="157"/>
      <c r="O79" s="33"/>
    </row>
    <row r="80" spans="2:18" x14ac:dyDescent="0.2">
      <c r="B80" s="21" t="s">
        <v>398</v>
      </c>
      <c r="C80" s="20" t="s">
        <v>44</v>
      </c>
      <c r="D80" s="18" t="e">
        <f ca="1">_xll.BDP(C80,"SECURITY_NAME")</f>
        <v>#NAME?</v>
      </c>
      <c r="E80" s="18" t="s">
        <v>50</v>
      </c>
      <c r="F80" s="19">
        <v>42000</v>
      </c>
      <c r="G80" s="18" t="e">
        <f ca="1">_xll.BDP(C80,"CRNCY")</f>
        <v>#NAME?</v>
      </c>
      <c r="H80" s="22">
        <v>38.18</v>
      </c>
      <c r="I80" s="15">
        <f>F80*H80</f>
        <v>1603560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42536</v>
      </c>
      <c r="O80" s="33"/>
    </row>
    <row r="81" spans="2:15" x14ac:dyDescent="0.2">
      <c r="B81" s="71"/>
      <c r="C81" s="33"/>
      <c r="D81" s="73"/>
      <c r="E81" s="73"/>
      <c r="F81" s="79">
        <f>SUM(F79:F80)</f>
        <v>42000</v>
      </c>
      <c r="G81" s="87"/>
      <c r="H81" s="80">
        <f>I81/F81</f>
        <v>38.18</v>
      </c>
      <c r="I81" s="79">
        <f>SUM(I79:I80)</f>
        <v>1603560</v>
      </c>
      <c r="J81" s="79" t="e">
        <f ca="1">SUM(J79:J80)</f>
        <v>#NAME?</v>
      </c>
      <c r="K81" s="79" t="e">
        <f ca="1">SUM(K79:K80)</f>
        <v>#NAME?</v>
      </c>
      <c r="L81" s="88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88"/>
      <c r="M82" s="86"/>
      <c r="N82" s="14"/>
      <c r="O82" s="33"/>
    </row>
    <row r="83" spans="2:15" x14ac:dyDescent="0.2">
      <c r="B83" s="21" t="s">
        <v>398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1600</v>
      </c>
      <c r="G83" s="18" t="e">
        <f ca="1">_xll.BDP(C83,"CRNCY")</f>
        <v>#NAME?</v>
      </c>
      <c r="H83" s="22">
        <v>806.46875</v>
      </c>
      <c r="I83" s="15">
        <f>F83*H83</f>
        <v>1290350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42250</v>
      </c>
      <c r="O83" s="33"/>
    </row>
    <row r="84" spans="2:15" x14ac:dyDescent="0.2">
      <c r="B84" s="71"/>
      <c r="C84" s="33"/>
      <c r="D84" s="73"/>
      <c r="E84" s="73"/>
      <c r="F84" s="79">
        <f>SUM(F83)</f>
        <v>1600</v>
      </c>
      <c r="G84" s="87"/>
      <c r="H84" s="80">
        <f>I84/F84</f>
        <v>806.46875</v>
      </c>
      <c r="I84" s="79">
        <f>SUM(I83)</f>
        <v>1290350</v>
      </c>
      <c r="J84" s="79" t="e">
        <f ca="1">SUM(J83)</f>
        <v>#NAME?</v>
      </c>
      <c r="K84" s="79" t="e">
        <f ca="1">SUM(K83)</f>
        <v>#NAME?</v>
      </c>
      <c r="L84" s="88"/>
      <c r="M84" s="86"/>
      <c r="N84" s="14"/>
      <c r="O84" s="33"/>
    </row>
    <row r="85" spans="2:15" x14ac:dyDescent="0.2">
      <c r="B85" s="160"/>
      <c r="D85" s="87"/>
      <c r="E85" s="87"/>
      <c r="F85" s="79"/>
      <c r="G85" s="87"/>
      <c r="H85" s="80"/>
      <c r="I85" s="79"/>
      <c r="J85" s="79"/>
      <c r="K85" s="79"/>
      <c r="L85" s="88"/>
      <c r="M85" s="158"/>
      <c r="N85" s="157"/>
    </row>
    <row r="86" spans="2:15" x14ac:dyDescent="0.2">
      <c r="B86" s="21" t="s">
        <v>398</v>
      </c>
      <c r="C86" s="20" t="s">
        <v>334</v>
      </c>
      <c r="D86" s="18" t="e">
        <f ca="1">_xll.BDP(C86,"SECURITY_NAME")</f>
        <v>#NAME?</v>
      </c>
      <c r="E86" s="18" t="s">
        <v>50</v>
      </c>
      <c r="F86" s="19">
        <v>12800</v>
      </c>
      <c r="G86" s="18" t="e">
        <f ca="1">_xll.BDP(C86,"CRNCY")</f>
        <v>#NAME?</v>
      </c>
      <c r="H86" s="22">
        <v>219.65258</v>
      </c>
      <c r="I86" s="15">
        <f>F86*H86</f>
        <v>2811553.0240000002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5" x14ac:dyDescent="0.2">
      <c r="B87" s="21" t="s">
        <v>398</v>
      </c>
      <c r="C87" s="20" t="s">
        <v>334</v>
      </c>
      <c r="D87" s="18" t="e">
        <f ca="1">_xll.BDP(C87,"SECURITY_NAME")</f>
        <v>#NAME?</v>
      </c>
      <c r="E87" s="18" t="s">
        <v>50</v>
      </c>
      <c r="F87" s="19">
        <v>6000</v>
      </c>
      <c r="G87" s="18" t="e">
        <f ca="1">_xll.BDP(C87,"CRNCY")</f>
        <v>#NAME?</v>
      </c>
      <c r="H87" s="22">
        <v>249</v>
      </c>
      <c r="I87" s="15">
        <f>F87*H87</f>
        <v>1494000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42314</v>
      </c>
    </row>
    <row r="88" spans="2:15" x14ac:dyDescent="0.2">
      <c r="B88" s="21" t="s">
        <v>398</v>
      </c>
      <c r="C88" s="20" t="s">
        <v>334</v>
      </c>
      <c r="D88" s="18" t="e">
        <f ca="1">_xll.BDP(C88,"SECURITY_NAME")</f>
        <v>#NAME?</v>
      </c>
      <c r="E88" s="18" t="s">
        <v>50</v>
      </c>
      <c r="F88" s="19">
        <v>5540</v>
      </c>
      <c r="G88" s="18" t="e">
        <f ca="1">_xll.BDP(C88,"CRNCY")</f>
        <v>#NAME?</v>
      </c>
      <c r="H88" s="22">
        <v>299.15350000000001</v>
      </c>
      <c r="I88" s="15">
        <f>F88*H88</f>
        <v>1657310.3900000001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42251</v>
      </c>
    </row>
    <row r="89" spans="2:15" x14ac:dyDescent="0.2">
      <c r="B89" s="71"/>
      <c r="C89" s="33"/>
      <c r="D89" s="73"/>
      <c r="E89" s="73"/>
      <c r="F89" s="79">
        <f>SUM(F86:F88)</f>
        <v>24340</v>
      </c>
      <c r="G89" s="87"/>
      <c r="H89" s="80">
        <f>I89/F89</f>
        <v>244.98206302382911</v>
      </c>
      <c r="I89" s="79">
        <f>SUM(I86:I88)</f>
        <v>5962863.4140000008</v>
      </c>
      <c r="J89" s="79" t="e">
        <f ca="1">SUM(J86:J88)</f>
        <v>#NAME?</v>
      </c>
      <c r="K89" s="79" t="e">
        <f ca="1">SUM(K86:K88)</f>
        <v>#NAME?</v>
      </c>
      <c r="L89" s="139"/>
      <c r="M89" s="86"/>
      <c r="N89" s="14"/>
    </row>
    <row r="90" spans="2:15" x14ac:dyDescent="0.2">
      <c r="B90" s="160"/>
      <c r="C90" s="159"/>
      <c r="D90" s="87"/>
      <c r="E90" s="87"/>
      <c r="F90" s="79"/>
      <c r="G90" s="87"/>
      <c r="H90" s="99"/>
      <c r="I90" s="79"/>
      <c r="J90" s="79"/>
      <c r="K90" s="79"/>
      <c r="L90" s="88"/>
      <c r="M90" s="158"/>
      <c r="N90" s="157"/>
    </row>
    <row r="91" spans="2:15" x14ac:dyDescent="0.2">
      <c r="B91" s="21" t="s">
        <v>398</v>
      </c>
      <c r="C91" s="20" t="s">
        <v>49</v>
      </c>
      <c r="D91" s="18" t="e">
        <f ca="1">_xll.BDP(C91,"SECURITY_NAME")</f>
        <v>#NAME?</v>
      </c>
      <c r="E91" s="18" t="s">
        <v>50</v>
      </c>
      <c r="F91" s="19">
        <v>2060</v>
      </c>
      <c r="G91" s="18" t="e">
        <f ca="1">_xll.BDP(C91,"CRNCY")</f>
        <v>#NAME?</v>
      </c>
      <c r="H91" s="22">
        <v>11.3</v>
      </c>
      <c r="I91" s="15">
        <f>F91*H91</f>
        <v>23278</v>
      </c>
      <c r="J91" s="16">
        <f>I91</f>
        <v>23278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42307</v>
      </c>
    </row>
    <row r="92" spans="2:15" x14ac:dyDescent="0.2">
      <c r="B92" s="21" t="s">
        <v>398</v>
      </c>
      <c r="C92" s="20" t="s">
        <v>49</v>
      </c>
      <c r="D92" s="18" t="e">
        <f ca="1">_xll.BDP(C92,"SECURITY_NAME")</f>
        <v>#NAME?</v>
      </c>
      <c r="E92" s="18" t="s">
        <v>50</v>
      </c>
      <c r="F92" s="19">
        <v>1940</v>
      </c>
      <c r="G92" s="18" t="e">
        <f ca="1">_xll.BDP(C92,"CRNCY")</f>
        <v>#NAME?</v>
      </c>
      <c r="H92" s="22">
        <v>9.3000000000000007</v>
      </c>
      <c r="I92" s="15">
        <f>F92*H92</f>
        <v>18042</v>
      </c>
      <c r="J92" s="16">
        <f>I92</f>
        <v>18042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42277</v>
      </c>
    </row>
    <row r="93" spans="2:15" x14ac:dyDescent="0.2">
      <c r="B93" s="71"/>
      <c r="C93" s="33"/>
      <c r="D93" s="73"/>
      <c r="E93" s="73"/>
      <c r="F93" s="79">
        <f>SUM(F90:F92)</f>
        <v>4000</v>
      </c>
      <c r="G93" s="87"/>
      <c r="H93" s="80">
        <f>I93/F93</f>
        <v>10.33</v>
      </c>
      <c r="I93" s="79">
        <f>SUM(I90:I92)</f>
        <v>41320</v>
      </c>
      <c r="J93" s="79">
        <f>SUM(J90:J92)</f>
        <v>41320</v>
      </c>
      <c r="K93" s="79" t="e">
        <f ca="1">SUM(K90:K92)</f>
        <v>#NAME?</v>
      </c>
      <c r="L93" s="139"/>
      <c r="M93" s="86"/>
      <c r="N93" s="14"/>
    </row>
    <row r="94" spans="2:15" x14ac:dyDescent="0.2">
      <c r="B94" s="160"/>
      <c r="D94" s="87"/>
      <c r="E94" s="87"/>
      <c r="F94" s="79"/>
      <c r="G94" s="87"/>
      <c r="H94" s="80"/>
      <c r="I94" s="79"/>
      <c r="J94" s="79"/>
      <c r="K94" s="79"/>
      <c r="L94" s="88"/>
      <c r="M94" s="158"/>
      <c r="N94" s="157"/>
    </row>
    <row r="95" spans="2:15" x14ac:dyDescent="0.2">
      <c r="B95" s="21" t="s">
        <v>398</v>
      </c>
      <c r="C95" s="20" t="s">
        <v>71</v>
      </c>
      <c r="D95" s="18" t="e">
        <f ca="1">_xll.BDP(C95,"SECURITY_NAME")</f>
        <v>#NAME?</v>
      </c>
      <c r="E95" s="18" t="s">
        <v>50</v>
      </c>
      <c r="F95" s="19">
        <v>4500</v>
      </c>
      <c r="G95" s="18" t="e">
        <f ca="1">_xll.BDP(C95,"CRNCY")</f>
        <v>#NAME?</v>
      </c>
      <c r="H95" s="22">
        <v>8.5050000000000008</v>
      </c>
      <c r="I95" s="15">
        <f>F95*H95</f>
        <v>38272.5</v>
      </c>
      <c r="J95" s="16" t="e">
        <f ca="1">I95*L95</f>
        <v>#NAME?</v>
      </c>
      <c r="K95" s="15" t="e">
        <f ca="1">J95*M95</f>
        <v>#NAME?</v>
      </c>
      <c r="L95" s="140" t="e">
        <f ca="1">_xll.BDH("GBP curncy","PX_LAST",$N95)</f>
        <v>#NAME?</v>
      </c>
      <c r="M95" s="85" t="e">
        <f ca="1">_xll.BDH("RUB curncy","PX_LAST",$N95)</f>
        <v>#NAME?</v>
      </c>
      <c r="N95" s="14">
        <v>42655</v>
      </c>
    </row>
    <row r="96" spans="2:15" x14ac:dyDescent="0.2">
      <c r="B96" s="71"/>
      <c r="C96" s="33"/>
      <c r="D96" s="73"/>
      <c r="E96" s="73"/>
      <c r="F96" s="79">
        <f>SUM(F95:F95)</f>
        <v>4500</v>
      </c>
      <c r="G96" s="87"/>
      <c r="H96" s="80">
        <f>I96/F96</f>
        <v>8.5050000000000008</v>
      </c>
      <c r="I96" s="79">
        <f>SUM(I95:I95)</f>
        <v>38272.5</v>
      </c>
      <c r="J96" s="79" t="e">
        <f ca="1">SUM(J95:J95)</f>
        <v>#NAME?</v>
      </c>
      <c r="K96" s="79" t="e">
        <f ca="1">SUM(K95:K95)</f>
        <v>#NAME?</v>
      </c>
      <c r="L96" s="139"/>
      <c r="M96" s="86"/>
      <c r="N96" s="14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21" t="s">
        <v>398</v>
      </c>
      <c r="C98" s="20" t="s">
        <v>72</v>
      </c>
      <c r="D98" s="18" t="e">
        <f ca="1">_xll.BDP(C98,"SECURITY_NAME")</f>
        <v>#NAME?</v>
      </c>
      <c r="E98" s="18" t="s">
        <v>50</v>
      </c>
      <c r="F98" s="19">
        <v>5900</v>
      </c>
      <c r="G98" s="18" t="e">
        <f ca="1">_xll.BDP(C98,"CRNCY")</f>
        <v>#NAME?</v>
      </c>
      <c r="H98" s="22">
        <v>64.954999999999998</v>
      </c>
      <c r="I98" s="15">
        <f>F98*H98</f>
        <v>383234.5</v>
      </c>
      <c r="J98" s="16" t="e">
        <f ca="1">I98/L98</f>
        <v>#NAME?</v>
      </c>
      <c r="K98" s="15" t="e">
        <f ca="1">J98*L98</f>
        <v>#NAME?</v>
      </c>
      <c r="L98" s="140" t="e">
        <f ca="1">_xll.BDH("RUB curncy","PX_LAST",$N98)</f>
        <v>#NAME?</v>
      </c>
      <c r="M98" s="85" t="e">
        <f ca="1">1/_xll.BDH("RUB curncy","PX_LAST",$N98)</f>
        <v>#NAME?</v>
      </c>
      <c r="N98" s="14">
        <v>42111</v>
      </c>
    </row>
    <row r="99" spans="2:14" x14ac:dyDescent="0.2">
      <c r="B99" s="21" t="s">
        <v>398</v>
      </c>
      <c r="C99" s="20" t="s">
        <v>72</v>
      </c>
      <c r="D99" s="18" t="e">
        <f ca="1">_xll.BDP(C99,"SECURITY_NAME")</f>
        <v>#NAME?</v>
      </c>
      <c r="E99" s="18" t="s">
        <v>50</v>
      </c>
      <c r="F99" s="19">
        <v>4000</v>
      </c>
      <c r="G99" s="18" t="e">
        <f ca="1">_xll.BDP(C99,"CRNCY")</f>
        <v>#NAME?</v>
      </c>
      <c r="H99" s="75">
        <v>63.396079999999998</v>
      </c>
      <c r="I99" s="15">
        <f>F99*H99</f>
        <v>253584.31999999998</v>
      </c>
      <c r="J99" s="16" t="e">
        <f ca="1">I99/L99</f>
        <v>#NAME?</v>
      </c>
      <c r="K99" s="15" t="e">
        <f ca="1">J99*L99</f>
        <v>#NAME?</v>
      </c>
      <c r="L99" s="140" t="e">
        <f ca="1">_xll.BDH("RUB curncy","PX_LAST",$N99)</f>
        <v>#NAME?</v>
      </c>
      <c r="M99" s="85" t="e">
        <f ca="1">1/_xll.BDH("RUB curncy","PX_LAST",$N99)</f>
        <v>#NAME?</v>
      </c>
      <c r="N99" s="14">
        <v>42111</v>
      </c>
    </row>
    <row r="100" spans="2:14" x14ac:dyDescent="0.2">
      <c r="B100" s="71"/>
      <c r="C100" s="33"/>
      <c r="D100" s="73"/>
      <c r="E100" s="73"/>
      <c r="F100" s="79">
        <f>SUM(F98:F99)</f>
        <v>9900</v>
      </c>
      <c r="G100" s="87"/>
      <c r="H100" s="80">
        <f>I100/F100</f>
        <v>64.325133333333326</v>
      </c>
      <c r="I100" s="79">
        <f>SUM(I98:I99)</f>
        <v>636818.81999999995</v>
      </c>
      <c r="J100" s="79" t="e">
        <f ca="1">SUM(J98:J99)</f>
        <v>#NAME?</v>
      </c>
      <c r="K100" s="79" t="e">
        <f ca="1">SUM(K98:K99)</f>
        <v>#NAME?</v>
      </c>
      <c r="L100" s="88"/>
      <c r="M100" s="158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s="273" customFormat="1" x14ac:dyDescent="0.2">
      <c r="B102" s="287" t="s">
        <v>398</v>
      </c>
      <c r="C102" s="286" t="s">
        <v>7</v>
      </c>
      <c r="D102" s="284" t="e">
        <f ca="1">_xll.BDP(C102,"SECURITY_NAME")</f>
        <v>#NAME?</v>
      </c>
      <c r="E102" s="284" t="s">
        <v>50</v>
      </c>
      <c r="F102" s="285">
        <v>18510</v>
      </c>
      <c r="G102" s="284" t="e">
        <f ca="1">_xll.BDP(C102,"CRNCY")</f>
        <v>#NAME?</v>
      </c>
      <c r="H102" s="281" t="e">
        <f ca="1">_xll.BDH(C102,"PX_LAST",N102)</f>
        <v>#NAME?</v>
      </c>
      <c r="I102" s="282" t="e">
        <f ca="1">F102*H102</f>
        <v>#NAME?</v>
      </c>
      <c r="J102" s="283" t="e">
        <f ca="1">I102/L102</f>
        <v>#NAME?</v>
      </c>
      <c r="K102" s="282" t="e">
        <f ca="1">J102*L102</f>
        <v>#NAME?</v>
      </c>
      <c r="L102" s="281" t="e">
        <f ca="1">_xll.BDH("RUB curncy","PX_LAST",$N102)</f>
        <v>#NAME?</v>
      </c>
      <c r="M102" s="280" t="e">
        <f ca="1">1/_xll.BDH("RUB curncy","PX_LAST",$N102)</f>
        <v>#NAME?</v>
      </c>
      <c r="N102" s="274">
        <v>42053</v>
      </c>
    </row>
    <row r="103" spans="2:14" s="273" customFormat="1" x14ac:dyDescent="0.2">
      <c r="B103" s="287" t="s">
        <v>398</v>
      </c>
      <c r="C103" s="286" t="s">
        <v>7</v>
      </c>
      <c r="D103" s="284" t="e">
        <f ca="1">_xll.BDP(C103,"SECURITY_NAME")</f>
        <v>#NAME?</v>
      </c>
      <c r="E103" s="284" t="s">
        <v>50</v>
      </c>
      <c r="F103" s="285">
        <f>20580-F102</f>
        <v>2070</v>
      </c>
      <c r="G103" s="284" t="e">
        <f ca="1">_xll.BDP(C103,"CRNCY")</f>
        <v>#NAME?</v>
      </c>
      <c r="H103" s="281" t="e">
        <f ca="1">_xll.BDH(C103,"PX_LAST",N103)</f>
        <v>#NAME?</v>
      </c>
      <c r="I103" s="282" t="e">
        <f ca="1">F103*H103</f>
        <v>#NAME?</v>
      </c>
      <c r="J103" s="283" t="e">
        <f ca="1">I103/L103</f>
        <v>#NAME?</v>
      </c>
      <c r="K103" s="282" t="e">
        <f ca="1">J103*L103</f>
        <v>#NAME?</v>
      </c>
      <c r="L103" s="281" t="e">
        <f ca="1">_xll.BDH("RUB curncy","PX_LAST",$N103)</f>
        <v>#NAME?</v>
      </c>
      <c r="M103" s="280" t="e">
        <f ca="1">1/_xll.BDH("RUB curncy","PX_LAST",$N103)</f>
        <v>#NAME?</v>
      </c>
      <c r="N103" s="274">
        <v>42041</v>
      </c>
    </row>
    <row r="104" spans="2:14" s="273" customFormat="1" x14ac:dyDescent="0.2">
      <c r="B104" s="303"/>
      <c r="C104" s="302"/>
      <c r="D104" s="290"/>
      <c r="E104" s="290"/>
      <c r="F104" s="277">
        <f>SUM(F102:F103)</f>
        <v>20580</v>
      </c>
      <c r="G104" s="278"/>
      <c r="H104" s="276" t="e">
        <f ca="1">I104/F104</f>
        <v>#NAME?</v>
      </c>
      <c r="I104" s="277" t="e">
        <f ca="1">SUM(I102:I103)</f>
        <v>#NAME?</v>
      </c>
      <c r="J104" s="277">
        <v>54404.36</v>
      </c>
      <c r="K104" s="277" t="e">
        <f ca="1">SUM(K102:K103)</f>
        <v>#NAME?</v>
      </c>
      <c r="L104" s="276"/>
      <c r="M104" s="275"/>
      <c r="N104" s="288"/>
    </row>
    <row r="105" spans="2:14" s="273" customFormat="1" x14ac:dyDescent="0.2"/>
    <row r="106" spans="2:14" s="273" customFormat="1" x14ac:dyDescent="0.2">
      <c r="B106" s="287" t="s">
        <v>398</v>
      </c>
      <c r="C106" s="286" t="s">
        <v>63</v>
      </c>
      <c r="D106" s="284" t="e">
        <f ca="1">_xll.BDP(C106,"SECURITY_NAME")</f>
        <v>#NAME?</v>
      </c>
      <c r="E106" s="284" t="s">
        <v>50</v>
      </c>
      <c r="F106" s="285">
        <v>170</v>
      </c>
      <c r="G106" s="284" t="e">
        <f ca="1">_xll.BDP(C106,"CRNCY")</f>
        <v>#NAME?</v>
      </c>
      <c r="H106" s="281" t="e">
        <f ca="1">_xll.BDH(C106,"PX_LAST",N106)</f>
        <v>#NAME?</v>
      </c>
      <c r="I106" s="282" t="e">
        <f t="shared" ref="I106:I111" ca="1" si="19">F106*H106</f>
        <v>#NAME?</v>
      </c>
      <c r="J106" s="283" t="e">
        <f t="shared" ref="J106:J111" ca="1" si="20">I106/L106</f>
        <v>#NAME?</v>
      </c>
      <c r="K106" s="282" t="e">
        <f t="shared" ref="K106:K111" ca="1" si="21">J106*L106</f>
        <v>#NAME?</v>
      </c>
      <c r="L106" s="281" t="e">
        <f ca="1">_xll.BDH("RUB curncy","PX_LAST",$N106)</f>
        <v>#NAME?</v>
      </c>
      <c r="M106" s="280" t="e">
        <f ca="1">1/_xll.BDH("RUB curncy","PX_LAST",$N106)</f>
        <v>#NAME?</v>
      </c>
      <c r="N106" s="274">
        <v>41953</v>
      </c>
    </row>
    <row r="107" spans="2:14" s="273" customFormat="1" x14ac:dyDescent="0.2">
      <c r="B107" s="287" t="s">
        <v>398</v>
      </c>
      <c r="C107" s="286" t="s">
        <v>63</v>
      </c>
      <c r="D107" s="284" t="e">
        <f ca="1">_xll.BDP(C107,"SECURITY_NAME")</f>
        <v>#NAME?</v>
      </c>
      <c r="E107" s="284" t="s">
        <v>50</v>
      </c>
      <c r="F107" s="285">
        <v>594</v>
      </c>
      <c r="G107" s="284" t="e">
        <f ca="1">_xll.BDP(C107,"CRNCY")</f>
        <v>#NAME?</v>
      </c>
      <c r="H107" s="281" t="e">
        <f ca="1">_xll.BDH(C107,"PX_LAST",N107)</f>
        <v>#NAME?</v>
      </c>
      <c r="I107" s="282" t="e">
        <f t="shared" ca="1" si="19"/>
        <v>#NAME?</v>
      </c>
      <c r="J107" s="283" t="e">
        <f t="shared" ca="1" si="20"/>
        <v>#NAME?</v>
      </c>
      <c r="K107" s="282" t="e">
        <f t="shared" ca="1" si="21"/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41978</v>
      </c>
    </row>
    <row r="108" spans="2:14" s="273" customFormat="1" x14ac:dyDescent="0.2">
      <c r="B108" s="287" t="s">
        <v>398</v>
      </c>
      <c r="C108" s="286" t="s">
        <v>63</v>
      </c>
      <c r="D108" s="284" t="e">
        <f ca="1">_xll.BDP(C108,"SECURITY_NAME")</f>
        <v>#NAME?</v>
      </c>
      <c r="E108" s="284" t="s">
        <v>50</v>
      </c>
      <c r="F108" s="285">
        <v>420</v>
      </c>
      <c r="G108" s="284" t="e">
        <f ca="1">_xll.BDP(C108,"CRNCY")</f>
        <v>#NAME?</v>
      </c>
      <c r="H108" s="281" t="e">
        <f ca="1">_xll.BDH(C108,"PX_LAST",N108)</f>
        <v>#NAME?</v>
      </c>
      <c r="I108" s="282" t="e">
        <f t="shared" ca="1" si="19"/>
        <v>#NAME?</v>
      </c>
      <c r="J108" s="283" t="e">
        <f t="shared" ca="1" si="20"/>
        <v>#NAME?</v>
      </c>
      <c r="K108" s="282" t="e">
        <f t="shared" ca="1" si="21"/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42046</v>
      </c>
    </row>
    <row r="109" spans="2:14" s="273" customFormat="1" x14ac:dyDescent="0.2">
      <c r="B109" s="287" t="s">
        <v>398</v>
      </c>
      <c r="C109" s="286" t="s">
        <v>63</v>
      </c>
      <c r="D109" s="284" t="e">
        <f ca="1">_xll.BDP(C109,"SECURITY_NAME")</f>
        <v>#NAME?</v>
      </c>
      <c r="E109" s="284" t="s">
        <v>50</v>
      </c>
      <c r="F109" s="285">
        <v>470</v>
      </c>
      <c r="G109" s="284" t="e">
        <f ca="1">_xll.BDP(C109,"CRNCY")</f>
        <v>#NAME?</v>
      </c>
      <c r="H109" s="281" t="e">
        <f ca="1">_xll.BDH(C109,"PX_LAST",N109)</f>
        <v>#NAME?</v>
      </c>
      <c r="I109" s="282" t="e">
        <f t="shared" ca="1" si="19"/>
        <v>#NAME?</v>
      </c>
      <c r="J109" s="283" t="e">
        <f t="shared" ca="1" si="20"/>
        <v>#NAME?</v>
      </c>
      <c r="K109" s="282" t="e">
        <f t="shared" ca="1" si="21"/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42068</v>
      </c>
    </row>
    <row r="110" spans="2:14" s="273" customFormat="1" x14ac:dyDescent="0.2">
      <c r="B110" s="287" t="s">
        <v>398</v>
      </c>
      <c r="C110" s="286" t="s">
        <v>63</v>
      </c>
      <c r="D110" s="284" t="e">
        <f ca="1">_xll.BDP(C110,"SECURITY_NAME")</f>
        <v>#NAME?</v>
      </c>
      <c r="E110" s="284" t="s">
        <v>50</v>
      </c>
      <c r="F110" s="285">
        <v>343</v>
      </c>
      <c r="G110" s="284" t="e">
        <f ca="1">_xll.BDP(C110,"CRNCY")</f>
        <v>#NAME?</v>
      </c>
      <c r="H110" s="281" t="e">
        <f ca="1">_xll.BDH(C110,"PX_LAST",N110)</f>
        <v>#NAME?</v>
      </c>
      <c r="I110" s="282" t="e">
        <f t="shared" ca="1" si="19"/>
        <v>#NAME?</v>
      </c>
      <c r="J110" s="283" t="e">
        <f t="shared" ca="1" si="20"/>
        <v>#NAME?</v>
      </c>
      <c r="K110" s="282" t="e">
        <f t="shared" ca="1" si="21"/>
        <v>#NAME?</v>
      </c>
      <c r="L110" s="281" t="e">
        <f ca="1">_xll.BDH("RUB curncy","PX_LAST",$N110)</f>
        <v>#NAME?</v>
      </c>
      <c r="M110" s="280" t="e">
        <f ca="1">1/_xll.BDH("RUB curncy","PX_LAST",$N110)</f>
        <v>#NAME?</v>
      </c>
      <c r="N110" s="274">
        <v>42111</v>
      </c>
    </row>
    <row r="111" spans="2:14" s="273" customFormat="1" x14ac:dyDescent="0.2">
      <c r="B111" s="287" t="s">
        <v>398</v>
      </c>
      <c r="C111" s="286" t="s">
        <v>63</v>
      </c>
      <c r="D111" s="284" t="e">
        <f ca="1">_xll.BDP(C111,"SECURITY_NAME")</f>
        <v>#NAME?</v>
      </c>
      <c r="E111" s="284" t="s">
        <v>50</v>
      </c>
      <c r="F111" s="285">
        <v>30</v>
      </c>
      <c r="G111" s="284" t="e">
        <f ca="1">_xll.BDP(C111,"CRNCY")</f>
        <v>#NAME?</v>
      </c>
      <c r="H111" s="281" t="e">
        <f ca="1">_xll.BDH(C111,"PX_LAST",N111)</f>
        <v>#NAME?</v>
      </c>
      <c r="I111" s="282" t="e">
        <f t="shared" ca="1" si="19"/>
        <v>#NAME?</v>
      </c>
      <c r="J111" s="283" t="e">
        <f t="shared" ca="1" si="20"/>
        <v>#NAME?</v>
      </c>
      <c r="K111" s="282" t="e">
        <f t="shared" ca="1" si="21"/>
        <v>#NAME?</v>
      </c>
      <c r="L111" s="281" t="e">
        <f ca="1">_xll.BDH("RUB curncy","PX_LAST",$N111)</f>
        <v>#NAME?</v>
      </c>
      <c r="M111" s="280" t="e">
        <f ca="1">1/_xll.BDH("RUB curncy","PX_LAST",$N111)</f>
        <v>#NAME?</v>
      </c>
      <c r="N111" s="274">
        <v>42114</v>
      </c>
    </row>
    <row r="112" spans="2:14" s="273" customFormat="1" x14ac:dyDescent="0.2">
      <c r="B112" s="279"/>
      <c r="C112" s="279"/>
      <c r="D112" s="278"/>
      <c r="E112" s="278"/>
      <c r="F112" s="277">
        <f>SUM(F106:F111)</f>
        <v>2027</v>
      </c>
      <c r="G112" s="278"/>
      <c r="H112" s="276" t="e">
        <f ca="1">I112/F112</f>
        <v>#NAME?</v>
      </c>
      <c r="I112" s="277" t="e">
        <f ca="1">SUM(I106:I111)</f>
        <v>#NAME?</v>
      </c>
      <c r="J112" s="277">
        <v>96688.042000000001</v>
      </c>
      <c r="K112" s="277" t="e">
        <f ca="1">SUM(K106:K111)</f>
        <v>#NAME?</v>
      </c>
      <c r="L112" s="276"/>
      <c r="M112" s="275"/>
      <c r="N112" s="288"/>
    </row>
    <row r="113" spans="2:14" s="273" customFormat="1" x14ac:dyDescent="0.2">
      <c r="B113" s="300"/>
      <c r="C113" s="299"/>
      <c r="D113" s="297"/>
      <c r="E113" s="297"/>
      <c r="F113" s="298"/>
      <c r="G113" s="297"/>
      <c r="H113" s="294"/>
      <c r="I113" s="295"/>
      <c r="J113" s="296"/>
      <c r="K113" s="295"/>
      <c r="L113" s="294"/>
      <c r="M113" s="293"/>
      <c r="N113" s="288"/>
    </row>
    <row r="114" spans="2:14" s="273" customFormat="1" x14ac:dyDescent="0.2">
      <c r="B114" s="287" t="s">
        <v>398</v>
      </c>
      <c r="C114" s="286" t="s">
        <v>44</v>
      </c>
      <c r="D114" s="284" t="e">
        <f ca="1">_xll.BDP(C114,"SECURITY_NAME")</f>
        <v>#NAME?</v>
      </c>
      <c r="E114" s="284" t="s">
        <v>50</v>
      </c>
      <c r="F114" s="285">
        <v>10000</v>
      </c>
      <c r="G114" s="284" t="e">
        <f ca="1">_xll.BDP(C114,"CRNCY")</f>
        <v>#NAME?</v>
      </c>
      <c r="H114" s="281" t="e">
        <f ca="1">_xll.BDH(C114,"PX_LAST",N114)</f>
        <v>#NAME?</v>
      </c>
      <c r="I114" s="282" t="e">
        <f ca="1">F114*H114</f>
        <v>#NAME?</v>
      </c>
      <c r="J114" s="283" t="e">
        <f ca="1">I114/L114</f>
        <v>#NAME?</v>
      </c>
      <c r="K114" s="282" t="e">
        <f ca="1">J114*L114</f>
        <v>#NAME?</v>
      </c>
      <c r="L114" s="281" t="e">
        <f ca="1">_xll.BDH("RUB curncy","PX_LAST",$N114)</f>
        <v>#NAME?</v>
      </c>
      <c r="M114" s="280" t="e">
        <f ca="1">1/_xll.BDH("RUB curncy","PX_LAST",$N114)</f>
        <v>#NAME?</v>
      </c>
      <c r="N114" s="274">
        <v>41977</v>
      </c>
    </row>
    <row r="115" spans="2:14" s="273" customFormat="1" x14ac:dyDescent="0.2">
      <c r="B115" s="287" t="s">
        <v>398</v>
      </c>
      <c r="C115" s="286" t="s">
        <v>44</v>
      </c>
      <c r="D115" s="284" t="e">
        <f ca="1">_xll.BDP(C115,"SECURITY_NAME")</f>
        <v>#NAME?</v>
      </c>
      <c r="E115" s="284" t="s">
        <v>50</v>
      </c>
      <c r="F115" s="285">
        <f>11200-F114</f>
        <v>1200</v>
      </c>
      <c r="G115" s="284" t="e">
        <f ca="1">_xll.BDP(C115,"CRNCY")</f>
        <v>#NAME?</v>
      </c>
      <c r="H115" s="281" t="e">
        <f ca="1">_xll.BDH(C115,"PX_LAST",N115)</f>
        <v>#NAME?</v>
      </c>
      <c r="I115" s="282" t="e">
        <f ca="1">F115*H115</f>
        <v>#NAME?</v>
      </c>
      <c r="J115" s="283" t="e">
        <f ca="1">I115/L115</f>
        <v>#NAME?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42137</v>
      </c>
    </row>
    <row r="116" spans="2:14" s="273" customFormat="1" x14ac:dyDescent="0.2">
      <c r="B116" s="303"/>
      <c r="C116" s="302"/>
      <c r="D116" s="290"/>
      <c r="E116" s="290"/>
      <c r="F116" s="277">
        <f>SUM(F114:F115)</f>
        <v>11200</v>
      </c>
      <c r="G116" s="278"/>
      <c r="H116" s="276" t="e">
        <f ca="1">I116/F116</f>
        <v>#NAME?</v>
      </c>
      <c r="I116" s="277" t="e">
        <f ca="1">SUM(I114:I115)</f>
        <v>#NAME?</v>
      </c>
      <c r="J116" s="277">
        <v>8700</v>
      </c>
      <c r="K116" s="277" t="e">
        <f ca="1">SUM(K114:K115)</f>
        <v>#NAME?</v>
      </c>
      <c r="L116" s="276"/>
      <c r="M116" s="275"/>
      <c r="N116" s="288"/>
    </row>
    <row r="117" spans="2:14" s="273" customFormat="1" x14ac:dyDescent="0.2">
      <c r="B117" s="300"/>
      <c r="C117" s="299"/>
      <c r="D117" s="297"/>
      <c r="E117" s="297"/>
      <c r="F117" s="298"/>
      <c r="G117" s="297"/>
      <c r="H117" s="294"/>
      <c r="I117" s="295"/>
      <c r="J117" s="296"/>
      <c r="K117" s="295"/>
      <c r="L117" s="294"/>
      <c r="M117" s="293"/>
      <c r="N117" s="288"/>
    </row>
    <row r="118" spans="2:14" s="273" customFormat="1" x14ac:dyDescent="0.2">
      <c r="B118" s="287" t="s">
        <v>398</v>
      </c>
      <c r="C118" s="286" t="s">
        <v>65</v>
      </c>
      <c r="D118" s="284" t="e">
        <f ca="1">_xll.BDP(C118,"SECURITY_NAME")</f>
        <v>#NAME?</v>
      </c>
      <c r="E118" s="284" t="s">
        <v>50</v>
      </c>
      <c r="F118" s="285">
        <v>1164</v>
      </c>
      <c r="G118" s="284" t="e">
        <f ca="1">_xll.BDP(C118,"CRNCY")</f>
        <v>#NAME?</v>
      </c>
      <c r="H118" s="281" t="e">
        <f ca="1">32.61*$L$118</f>
        <v>#NAME?</v>
      </c>
      <c r="I118" s="282" t="e">
        <f ca="1">F118*H118</f>
        <v>#NAME?</v>
      </c>
      <c r="J118" s="283" t="e">
        <f ca="1">I118/L118</f>
        <v>#NAME?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42193</v>
      </c>
    </row>
    <row r="119" spans="2:14" s="273" customFormat="1" x14ac:dyDescent="0.2">
      <c r="B119" s="303"/>
      <c r="C119" s="302"/>
      <c r="D119" s="290"/>
      <c r="E119" s="290"/>
      <c r="F119" s="277">
        <f>SUM(F117:F118)</f>
        <v>1164</v>
      </c>
      <c r="G119" s="278"/>
      <c r="H119" s="276" t="e">
        <f ca="1">I119/F119</f>
        <v>#NAME?</v>
      </c>
      <c r="I119" s="277" t="e">
        <f ca="1">SUM(I117:I118)</f>
        <v>#NAME?</v>
      </c>
      <c r="J119" s="277" t="e">
        <f ca="1">SUM(J118)</f>
        <v>#NAME?</v>
      </c>
      <c r="K119" s="277" t="e">
        <f ca="1">SUM(K117:K118)</f>
        <v>#NAME?</v>
      </c>
      <c r="L119" s="276"/>
      <c r="M119" s="275"/>
      <c r="N119" s="288"/>
    </row>
    <row r="120" spans="2:14" s="273" customFormat="1" x14ac:dyDescent="0.2">
      <c r="B120" s="300"/>
      <c r="C120" s="299"/>
      <c r="D120" s="297"/>
      <c r="E120" s="297"/>
      <c r="F120" s="298"/>
      <c r="G120" s="297"/>
      <c r="H120" s="294"/>
      <c r="I120" s="295"/>
      <c r="J120" s="296"/>
      <c r="K120" s="295"/>
      <c r="L120" s="294"/>
      <c r="M120" s="293"/>
      <c r="N120" s="288"/>
    </row>
    <row r="121" spans="2:14" s="273" customFormat="1" x14ac:dyDescent="0.2">
      <c r="B121" s="287" t="s">
        <v>398</v>
      </c>
      <c r="C121" s="286" t="s">
        <v>286</v>
      </c>
      <c r="D121" s="284" t="e">
        <f ca="1">_xll.BDP(C121,"SECURITY_NAME")</f>
        <v>#NAME?</v>
      </c>
      <c r="E121" s="284" t="s">
        <v>50</v>
      </c>
      <c r="F121" s="285">
        <v>7000</v>
      </c>
      <c r="G121" s="284" t="e">
        <f ca="1">_xll.BDP(C121,"CRNCY")</f>
        <v>#NAME?</v>
      </c>
      <c r="H121" s="281" t="e">
        <f ca="1">_xll.BDH(C121,"PX_LAST",N121)</f>
        <v>#NAME?</v>
      </c>
      <c r="I121" s="282" t="e">
        <f ca="1">F121*H121</f>
        <v>#NAME?</v>
      </c>
      <c r="J121" s="283" t="e">
        <f ca="1">I121/L121</f>
        <v>#NAME?</v>
      </c>
      <c r="K121" s="282" t="e">
        <f ca="1">J121*M121</f>
        <v>#NAME?</v>
      </c>
      <c r="L121" s="281" t="e">
        <f ca="1">_xll.BDH("HKD curncy","PX_LAST",$N121)</f>
        <v>#NAME?</v>
      </c>
      <c r="M121" s="280" t="e">
        <f ca="1">_xll.BDH("RUB curncy","PX_LAST",$N121)</f>
        <v>#NAME?</v>
      </c>
      <c r="N121" s="274">
        <v>42130</v>
      </c>
    </row>
    <row r="122" spans="2:14" s="273" customFormat="1" x14ac:dyDescent="0.2">
      <c r="B122" s="287" t="s">
        <v>398</v>
      </c>
      <c r="C122" s="286" t="s">
        <v>286</v>
      </c>
      <c r="D122" s="284" t="e">
        <f ca="1">_xll.BDP(C122,"SECURITY_NAME")</f>
        <v>#NAME?</v>
      </c>
      <c r="E122" s="284" t="s">
        <v>50</v>
      </c>
      <c r="F122" s="285">
        <v>10000</v>
      </c>
      <c r="G122" s="284" t="e">
        <f ca="1">_xll.BDP(C122,"CRNCY")</f>
        <v>#NAME?</v>
      </c>
      <c r="H122" s="281" t="e">
        <f ca="1">_xll.BDH(C122,"PX_LAST",N122)</f>
        <v>#NAME?</v>
      </c>
      <c r="I122" s="282" t="e">
        <f ca="1">F122*H122</f>
        <v>#NAME?</v>
      </c>
      <c r="J122" s="283" t="e">
        <f ca="1">I122/L122</f>
        <v>#NAME?</v>
      </c>
      <c r="K122" s="282" t="e">
        <f ca="1">J122*M122</f>
        <v>#NAME?</v>
      </c>
      <c r="L122" s="281" t="e">
        <f ca="1">_xll.BDH("HKD curncy","PX_LAST",$N122)</f>
        <v>#NAME?</v>
      </c>
      <c r="M122" s="280" t="e">
        <f ca="1">_xll.BDH("RUB curncy","PX_LAST",$N122)</f>
        <v>#NAME?</v>
      </c>
      <c r="N122" s="274">
        <v>42131</v>
      </c>
    </row>
    <row r="123" spans="2:14" s="273" customFormat="1" x14ac:dyDescent="0.2">
      <c r="B123" s="287" t="s">
        <v>398</v>
      </c>
      <c r="C123" s="286" t="s">
        <v>286</v>
      </c>
      <c r="D123" s="284" t="e">
        <f ca="1">_xll.BDP(C123,"SECURITY_NAME")</f>
        <v>#NAME?</v>
      </c>
      <c r="E123" s="284" t="s">
        <v>50</v>
      </c>
      <c r="F123" s="285">
        <v>3000</v>
      </c>
      <c r="G123" s="284" t="e">
        <f ca="1">_xll.BDP(C123,"CRNCY")</f>
        <v>#NAME?</v>
      </c>
      <c r="H123" s="281" t="e">
        <f ca="1">_xll.BDH(C123,"PX_LAST",N123)</f>
        <v>#NAME?</v>
      </c>
      <c r="I123" s="282" t="e">
        <f ca="1">F123*H123</f>
        <v>#NAME?</v>
      </c>
      <c r="J123" s="283" t="e">
        <f ca="1">I123/L123</f>
        <v>#NAME?</v>
      </c>
      <c r="K123" s="282" t="e">
        <f ca="1">J123*M123</f>
        <v>#NAME?</v>
      </c>
      <c r="L123" s="281" t="e">
        <f ca="1">_xll.BDH("HKD curncy","PX_LAST",$N123)</f>
        <v>#NAME?</v>
      </c>
      <c r="M123" s="280" t="e">
        <f ca="1">_xll.BDH("RUB curncy","PX_LAST",$N123)</f>
        <v>#NAME?</v>
      </c>
      <c r="N123" s="274">
        <v>42132</v>
      </c>
    </row>
    <row r="124" spans="2:14" s="273" customFormat="1" x14ac:dyDescent="0.2">
      <c r="B124" s="287" t="s">
        <v>398</v>
      </c>
      <c r="C124" s="286" t="s">
        <v>286</v>
      </c>
      <c r="D124" s="284" t="e">
        <f ca="1">_xll.BDP(C124,"SECURITY_NAME")</f>
        <v>#NAME?</v>
      </c>
      <c r="E124" s="284" t="s">
        <v>50</v>
      </c>
      <c r="F124" s="285">
        <v>4000</v>
      </c>
      <c r="G124" s="284" t="e">
        <f ca="1">_xll.BDP(C124,"CRNCY")</f>
        <v>#NAME?</v>
      </c>
      <c r="H124" s="281" t="e">
        <f ca="1">_xll.BDH(C124,"PX_LAST",N124)</f>
        <v>#NAME?</v>
      </c>
      <c r="I124" s="282" t="e">
        <f ca="1">F124*H124</f>
        <v>#NAME?</v>
      </c>
      <c r="J124" s="283" t="e">
        <f ca="1">I124/L124</f>
        <v>#NAME?</v>
      </c>
      <c r="K124" s="282" t="e">
        <f ca="1">J124*M124</f>
        <v>#NAME?</v>
      </c>
      <c r="L124" s="281" t="e">
        <f ca="1">_xll.BDH("HKD curncy","PX_LAST",$N124)</f>
        <v>#NAME?</v>
      </c>
      <c r="M124" s="280" t="e">
        <f ca="1">_xll.BDH("RUB curncy","PX_LAST",$N124)</f>
        <v>#NAME?</v>
      </c>
      <c r="N124" s="274">
        <v>42136</v>
      </c>
    </row>
    <row r="125" spans="2:14" s="273" customFormat="1" x14ac:dyDescent="0.2">
      <c r="B125" s="279"/>
      <c r="C125" s="279"/>
      <c r="D125" s="278"/>
      <c r="E125" s="278"/>
      <c r="F125" s="277">
        <f>SUM(F121:F124)</f>
        <v>24000</v>
      </c>
      <c r="G125" s="278"/>
      <c r="H125" s="276" t="e">
        <f ca="1">I125/F125</f>
        <v>#NAME?</v>
      </c>
      <c r="I125" s="277" t="e">
        <f ca="1">SUM(I121:I124)</f>
        <v>#NAME?</v>
      </c>
      <c r="J125" s="277" t="e">
        <f ca="1">SUM(J121:J124)</f>
        <v>#NAME?</v>
      </c>
      <c r="K125" s="277" t="e">
        <f ca="1">SUM(K121:K124)</f>
        <v>#NAME?</v>
      </c>
      <c r="L125" s="276"/>
      <c r="M125" s="275"/>
      <c r="N125" s="288"/>
    </row>
    <row r="126" spans="2:14" s="273" customFormat="1" x14ac:dyDescent="0.2">
      <c r="B126" s="279"/>
      <c r="C126" s="279"/>
      <c r="D126" s="278"/>
      <c r="E126" s="278"/>
      <c r="F126" s="277"/>
      <c r="G126" s="278"/>
      <c r="H126" s="301"/>
      <c r="I126" s="277"/>
      <c r="J126" s="277"/>
      <c r="K126" s="277"/>
      <c r="L126" s="276"/>
      <c r="M126" s="275"/>
      <c r="N126" s="288"/>
    </row>
    <row r="127" spans="2:14" s="273" customFormat="1" x14ac:dyDescent="0.2">
      <c r="B127" s="287" t="s">
        <v>398</v>
      </c>
      <c r="C127" s="286" t="s">
        <v>35</v>
      </c>
      <c r="D127" s="284" t="e">
        <f ca="1">_xll.BDP(C127,"SECURITY_NAME")</f>
        <v>#NAME?</v>
      </c>
      <c r="E127" s="284" t="s">
        <v>50</v>
      </c>
      <c r="F127" s="285">
        <v>176</v>
      </c>
      <c r="G127" s="284" t="e">
        <f ca="1">_xll.BDP(C127,"CRNCY")</f>
        <v>#NAME?</v>
      </c>
      <c r="H127" s="281" t="e">
        <f ca="1">_xll.BDH(C127,"PX_LAST",N127)</f>
        <v>#NAME?</v>
      </c>
      <c r="I127" s="282" t="e">
        <f ca="1">F127*H127</f>
        <v>#NAME?</v>
      </c>
      <c r="J127" s="283" t="e">
        <f ca="1">I127/L127</f>
        <v>#NAME?</v>
      </c>
      <c r="K127" s="282" t="e">
        <f ca="1">J127*L127</f>
        <v>#NAME?</v>
      </c>
      <c r="L127" s="281" t="e">
        <f ca="1">_xll.BDH("RUB curncy","PX_LAST",$N127)</f>
        <v>#NAME?</v>
      </c>
      <c r="M127" s="280" t="e">
        <f ca="1">1/_xll.BDH("RUB curncy","PX_LAST",$N127)</f>
        <v>#NAME?</v>
      </c>
      <c r="N127" s="274">
        <v>42118</v>
      </c>
    </row>
    <row r="128" spans="2:14" s="273" customFormat="1" x14ac:dyDescent="0.2">
      <c r="B128" s="287" t="s">
        <v>398</v>
      </c>
      <c r="C128" s="286" t="s">
        <v>35</v>
      </c>
      <c r="D128" s="284" t="e">
        <f ca="1">_xll.BDP(C128,"SECURITY_NAME")</f>
        <v>#NAME?</v>
      </c>
      <c r="E128" s="284" t="s">
        <v>50</v>
      </c>
      <c r="F128" s="285">
        <v>38</v>
      </c>
      <c r="G128" s="284" t="e">
        <f ca="1">_xll.BDP(C128,"CRNCY")</f>
        <v>#NAME?</v>
      </c>
      <c r="H128" s="281" t="e">
        <f ca="1">_xll.BDH(C128,"PX_LAST",N128)</f>
        <v>#NAME?</v>
      </c>
      <c r="I128" s="282" t="e">
        <f ca="1">F128*H128</f>
        <v>#NAME?</v>
      </c>
      <c r="J128" s="283" t="e">
        <f ca="1">I128/L128</f>
        <v>#NAME?</v>
      </c>
      <c r="K128" s="282" t="e">
        <f ca="1">J128*L128</f>
        <v>#NAME?</v>
      </c>
      <c r="L128" s="281" t="e">
        <f ca="1">_xll.BDH("RUB curncy","PX_LAST",$N128)</f>
        <v>#NAME?</v>
      </c>
      <c r="M128" s="280" t="e">
        <f ca="1">1/_xll.BDH("RUB curncy","PX_LAST",$N128)</f>
        <v>#NAME?</v>
      </c>
      <c r="N128" s="274">
        <v>42104</v>
      </c>
    </row>
    <row r="129" spans="2:14" s="273" customFormat="1" x14ac:dyDescent="0.2">
      <c r="B129" s="279"/>
      <c r="C129" s="279"/>
      <c r="D129" s="278"/>
      <c r="E129" s="278"/>
      <c r="F129" s="277">
        <f>SUM(F127:F128)</f>
        <v>214</v>
      </c>
      <c r="G129" s="278"/>
      <c r="H129" s="276" t="e">
        <f ca="1">I129/F129</f>
        <v>#NAME?</v>
      </c>
      <c r="I129" s="277" t="e">
        <f ca="1">SUM(I127:I128)</f>
        <v>#NAME?</v>
      </c>
      <c r="J129" s="277">
        <v>40810</v>
      </c>
      <c r="K129" s="277" t="e">
        <f ca="1">SUM(K127:K128)</f>
        <v>#NAME?</v>
      </c>
      <c r="L129" s="276"/>
      <c r="M129" s="275"/>
      <c r="N129" s="288"/>
    </row>
    <row r="130" spans="2:14" s="273" customFormat="1" ht="14.25" customHeight="1" x14ac:dyDescent="0.2">
      <c r="B130" s="300"/>
      <c r="C130" s="299"/>
      <c r="D130" s="297"/>
      <c r="E130" s="297"/>
      <c r="F130" s="298"/>
      <c r="G130" s="297"/>
      <c r="H130" s="294"/>
      <c r="I130" s="295"/>
      <c r="J130" s="296"/>
      <c r="K130" s="295"/>
      <c r="L130" s="294"/>
      <c r="M130" s="293"/>
      <c r="N130" s="288"/>
    </row>
    <row r="131" spans="2:14" s="273" customFormat="1" x14ac:dyDescent="0.2">
      <c r="B131" s="287" t="s">
        <v>398</v>
      </c>
      <c r="C131" s="286" t="s">
        <v>19</v>
      </c>
      <c r="D131" s="284" t="e">
        <f ca="1">_xll.BDP(C131,"SECURITY_NAME")</f>
        <v>#NAME?</v>
      </c>
      <c r="E131" s="284" t="s">
        <v>50</v>
      </c>
      <c r="F131" s="285">
        <v>5920</v>
      </c>
      <c r="G131" s="284" t="e">
        <f ca="1">_xll.BDP(C131,"CRNCY")</f>
        <v>#NAME?</v>
      </c>
      <c r="H131" s="281" t="e">
        <f ca="1">_xll.BDH(C131,"PX_LAST",N131)</f>
        <v>#NAME?</v>
      </c>
      <c r="I131" s="282" t="e">
        <f ca="1">F131*H131</f>
        <v>#NAME?</v>
      </c>
      <c r="J131" s="283" t="e">
        <f ca="1">I131/L131</f>
        <v>#NAME?</v>
      </c>
      <c r="K131" s="282" t="e">
        <f ca="1">J131*L131</f>
        <v>#NAME?</v>
      </c>
      <c r="L131" s="281" t="e">
        <f ca="1">_xll.BDH("RUB curncy","PX_LAST",$N131)</f>
        <v>#NAME?</v>
      </c>
      <c r="M131" s="280" t="e">
        <f ca="1">1/_xll.BDH("RUB curncy","PX_LAST",$N131)</f>
        <v>#NAME?</v>
      </c>
      <c r="N131" s="274">
        <v>42180</v>
      </c>
    </row>
    <row r="132" spans="2:14" s="273" customFormat="1" x14ac:dyDescent="0.2">
      <c r="B132" s="287" t="s">
        <v>398</v>
      </c>
      <c r="C132" s="286" t="s">
        <v>19</v>
      </c>
      <c r="D132" s="284" t="e">
        <f ca="1">_xll.BDP(C132,"SECURITY_NAME")</f>
        <v>#NAME?</v>
      </c>
      <c r="E132" s="284" t="s">
        <v>50</v>
      </c>
      <c r="F132" s="285">
        <v>210</v>
      </c>
      <c r="G132" s="284" t="e">
        <f ca="1">_xll.BDP(C132,"CRNCY")</f>
        <v>#NAME?</v>
      </c>
      <c r="H132" s="281" t="e">
        <f ca="1">_xll.BDH(C132,"PX_LAST",N132)</f>
        <v>#NAME?</v>
      </c>
      <c r="I132" s="282" t="e">
        <f ca="1">F132*H132</f>
        <v>#NAME?</v>
      </c>
      <c r="J132" s="283" t="e">
        <f ca="1">I132/L132</f>
        <v>#NAME?</v>
      </c>
      <c r="K132" s="282" t="e">
        <f ca="1">J132*L132</f>
        <v>#NAME?</v>
      </c>
      <c r="L132" s="281" t="e">
        <f ca="1">_xll.BDH("RUB curncy","PX_LAST",$N132)</f>
        <v>#NAME?</v>
      </c>
      <c r="M132" s="280" t="e">
        <f ca="1">1/_xll.BDH("RUB curncy","PX_LAST",$N132)</f>
        <v>#NAME?</v>
      </c>
      <c r="N132" s="274">
        <v>41876</v>
      </c>
    </row>
    <row r="133" spans="2:14" s="273" customFormat="1" x14ac:dyDescent="0.2">
      <c r="B133" s="287" t="s">
        <v>398</v>
      </c>
      <c r="C133" s="286" t="s">
        <v>19</v>
      </c>
      <c r="D133" s="284" t="e">
        <f ca="1">_xll.BDP(C133,"SECURITY_NAME")</f>
        <v>#NAME?</v>
      </c>
      <c r="E133" s="284" t="s">
        <v>50</v>
      </c>
      <c r="F133" s="285">
        <v>870</v>
      </c>
      <c r="G133" s="284" t="e">
        <f ca="1">_xll.BDP(C133,"CRNCY")</f>
        <v>#NAME?</v>
      </c>
      <c r="H133" s="281" t="e">
        <f ca="1">_xll.BDH(C133,"PX_LAST",N133)</f>
        <v>#NAME?</v>
      </c>
      <c r="I133" s="282" t="e">
        <f ca="1">F133*H133</f>
        <v>#NAME?</v>
      </c>
      <c r="J133" s="283" t="e">
        <f ca="1">I133/L133</f>
        <v>#NAME?</v>
      </c>
      <c r="K133" s="282" t="e">
        <f ca="1">J133*L133</f>
        <v>#NAME?</v>
      </c>
      <c r="L133" s="281" t="e">
        <f ca="1">_xll.BDH("RUB curncy","PX_LAST",$N133)</f>
        <v>#NAME?</v>
      </c>
      <c r="M133" s="280" t="e">
        <f ca="1">1/_xll.BDH("RUB curncy","PX_LAST",$N133)</f>
        <v>#NAME?</v>
      </c>
      <c r="N133" s="274">
        <v>41716</v>
      </c>
    </row>
    <row r="134" spans="2:14" s="273" customFormat="1" x14ac:dyDescent="0.2">
      <c r="B134" s="287" t="s">
        <v>398</v>
      </c>
      <c r="C134" s="286" t="s">
        <v>19</v>
      </c>
      <c r="D134" s="284" t="e">
        <f ca="1">_xll.BDP(C134,"SECURITY_NAME")</f>
        <v>#NAME?</v>
      </c>
      <c r="E134" s="284" t="s">
        <v>50</v>
      </c>
      <c r="F134" s="285">
        <v>350</v>
      </c>
      <c r="G134" s="284" t="e">
        <f ca="1">_xll.BDP(C134,"CRNCY")</f>
        <v>#NAME?</v>
      </c>
      <c r="H134" s="281" t="e">
        <f ca="1">_xll.BDH(C134,"PX_LAST",N134)</f>
        <v>#NAME?</v>
      </c>
      <c r="I134" s="282" t="e">
        <f ca="1">F134*H134</f>
        <v>#NAME?</v>
      </c>
      <c r="J134" s="283" t="e">
        <f ca="1">I134/L134</f>
        <v>#NAME?</v>
      </c>
      <c r="K134" s="282" t="e">
        <f ca="1">J134*L134</f>
        <v>#NAME?</v>
      </c>
      <c r="L134" s="281" t="e">
        <f ca="1">_xll.BDH("RUB curncy","PX_LAST",$N134)</f>
        <v>#NAME?</v>
      </c>
      <c r="M134" s="280" t="e">
        <f ca="1">1/_xll.BDH("RUB curncy","PX_LAST",$N134)</f>
        <v>#NAME?</v>
      </c>
      <c r="N134" s="274">
        <v>41703</v>
      </c>
    </row>
    <row r="135" spans="2:14" s="273" customFormat="1" x14ac:dyDescent="0.2">
      <c r="B135" s="287" t="s">
        <v>398</v>
      </c>
      <c r="C135" s="286" t="s">
        <v>19</v>
      </c>
      <c r="D135" s="284" t="e">
        <f ca="1">_xll.BDP(C135,"SECURITY_NAME")</f>
        <v>#NAME?</v>
      </c>
      <c r="E135" s="284" t="s">
        <v>50</v>
      </c>
      <c r="F135" s="285">
        <f>8413-7350</f>
        <v>1063</v>
      </c>
      <c r="G135" s="284" t="e">
        <f ca="1">_xll.BDP(C135,"CRNCY")</f>
        <v>#NAME?</v>
      </c>
      <c r="H135" s="281" t="e">
        <f ca="1">_xll.BDH(C135,"PX_LAST",N135)</f>
        <v>#NAME?</v>
      </c>
      <c r="I135" s="282" t="e">
        <f ca="1">F135*H135</f>
        <v>#NAME?</v>
      </c>
      <c r="J135" s="283" t="e">
        <f ca="1">I135/L135</f>
        <v>#NAME?</v>
      </c>
      <c r="K135" s="282" t="e">
        <f ca="1">J135*L135</f>
        <v>#NAME?</v>
      </c>
      <c r="L135" s="281" t="e">
        <f ca="1">_xll.BDH("RUB curncy","PX_LAST",$N135)</f>
        <v>#NAME?</v>
      </c>
      <c r="M135" s="280" t="e">
        <f ca="1">1/_xll.BDH("RUB curncy","PX_LAST",$N135)</f>
        <v>#NAME?</v>
      </c>
      <c r="N135" s="274">
        <v>41702</v>
      </c>
    </row>
    <row r="136" spans="2:14" s="273" customFormat="1" x14ac:dyDescent="0.2">
      <c r="B136" s="279"/>
      <c r="C136" s="279"/>
      <c r="D136" s="278"/>
      <c r="E136" s="278"/>
      <c r="F136" s="277">
        <f>SUM(F131:F135)</f>
        <v>8413</v>
      </c>
      <c r="G136" s="278"/>
      <c r="H136" s="276" t="e">
        <f ca="1">I136/F136</f>
        <v>#NAME?</v>
      </c>
      <c r="I136" s="277" t="e">
        <f ca="1">SUM(I131:I135)</f>
        <v>#NAME?</v>
      </c>
      <c r="J136" s="277">
        <v>54029.9686</v>
      </c>
      <c r="K136" s="277" t="e">
        <f ca="1">SUM(K131:K135)</f>
        <v>#NAME?</v>
      </c>
      <c r="L136" s="276"/>
      <c r="M136" s="275"/>
      <c r="N136" s="288"/>
    </row>
    <row r="137" spans="2:14" s="273" customFormat="1" x14ac:dyDescent="0.2">
      <c r="B137" s="279"/>
      <c r="C137" s="279"/>
      <c r="D137" s="278"/>
      <c r="E137" s="278"/>
      <c r="F137" s="277"/>
      <c r="G137" s="278"/>
      <c r="H137" s="301"/>
      <c r="I137" s="277"/>
      <c r="J137" s="277"/>
      <c r="K137" s="277"/>
      <c r="L137" s="276"/>
      <c r="M137" s="275"/>
      <c r="N137" s="288"/>
    </row>
    <row r="138" spans="2:14" s="273" customFormat="1" x14ac:dyDescent="0.2">
      <c r="B138" s="287" t="s">
        <v>398</v>
      </c>
      <c r="C138" s="286" t="s">
        <v>12</v>
      </c>
      <c r="D138" s="284" t="e">
        <f ca="1">_xll.BDP(C138,"SECURITY_NAME")</f>
        <v>#NAME?</v>
      </c>
      <c r="E138" s="284" t="s">
        <v>50</v>
      </c>
      <c r="F138" s="285">
        <v>2413</v>
      </c>
      <c r="G138" s="284" t="e">
        <f ca="1">_xll.BDP(C138,"CRNCY")</f>
        <v>#NAME?</v>
      </c>
      <c r="H138" s="281">
        <v>11.65</v>
      </c>
      <c r="I138" s="282">
        <f>F138*H138</f>
        <v>28111.45</v>
      </c>
      <c r="J138" s="283">
        <f>I138</f>
        <v>28111.45</v>
      </c>
      <c r="K138" s="282" t="e">
        <f ca="1">J138*L138</f>
        <v>#NAME?</v>
      </c>
      <c r="L138" s="281" t="e">
        <f ca="1">_xll.BDH("RUB curncy","PX_LAST",$N138)</f>
        <v>#NAME?</v>
      </c>
      <c r="M138" s="280" t="e">
        <f ca="1">1/_xll.BDH("RUB curncy","PX_LAST",$N138)</f>
        <v>#NAME?</v>
      </c>
      <c r="N138" s="274">
        <v>42509</v>
      </c>
    </row>
    <row r="139" spans="2:14" s="273" customFormat="1" x14ac:dyDescent="0.2">
      <c r="B139" s="287" t="s">
        <v>398</v>
      </c>
      <c r="C139" s="286" t="s">
        <v>12</v>
      </c>
      <c r="D139" s="284" t="e">
        <f ca="1">_xll.BDP(C139,"SECURITY_NAME")</f>
        <v>#NAME?</v>
      </c>
      <c r="E139" s="284" t="s">
        <v>50</v>
      </c>
      <c r="F139" s="285">
        <v>1980</v>
      </c>
      <c r="G139" s="284" t="e">
        <f ca="1">_xll.BDP(C139,"CRNCY")</f>
        <v>#NAME?</v>
      </c>
      <c r="H139" s="281">
        <v>16.807324999999999</v>
      </c>
      <c r="I139" s="282">
        <f>F139*H139</f>
        <v>33278.503499999999</v>
      </c>
      <c r="J139" s="283">
        <f>I139</f>
        <v>33278.503499999999</v>
      </c>
      <c r="K139" s="282" t="e">
        <f ca="1">J139*L139</f>
        <v>#NAME?</v>
      </c>
      <c r="L139" s="281" t="e">
        <f ca="1">_xll.BDH("RUB curncy","PX_LAST",$N139)</f>
        <v>#NAME?</v>
      </c>
      <c r="M139" s="280" t="e">
        <f ca="1">1/_xll.BDH("RUB curncy","PX_LAST",$N139)</f>
        <v>#NAME?</v>
      </c>
      <c r="N139" s="274">
        <v>42307</v>
      </c>
    </row>
    <row r="140" spans="2:14" s="273" customFormat="1" x14ac:dyDescent="0.2">
      <c r="B140" s="287" t="s">
        <v>398</v>
      </c>
      <c r="C140" s="286" t="s">
        <v>12</v>
      </c>
      <c r="D140" s="284" t="e">
        <f ca="1">_xll.BDP(C140,"SECURITY_NAME")</f>
        <v>#NAME?</v>
      </c>
      <c r="E140" s="284" t="s">
        <v>50</v>
      </c>
      <c r="F140" s="285">
        <v>427</v>
      </c>
      <c r="G140" s="284" t="e">
        <f ca="1">_xll.BDP(C140,"CRNCY")</f>
        <v>#NAME?</v>
      </c>
      <c r="H140" s="281">
        <v>31.2949728</v>
      </c>
      <c r="I140" s="282">
        <f>F140*H140</f>
        <v>13362.9533856</v>
      </c>
      <c r="J140" s="283">
        <f>I140</f>
        <v>13362.9533856</v>
      </c>
      <c r="K140" s="282" t="e">
        <f ca="1">J140*L140</f>
        <v>#NAME?</v>
      </c>
      <c r="L140" s="281" t="e">
        <f ca="1">_xll.BDH("RUB curncy","PX_LAST",$N140)</f>
        <v>#NAME?</v>
      </c>
      <c r="M140" s="280" t="e">
        <f ca="1">1/_xll.BDH("RUB curncy","PX_LAST",$N140)</f>
        <v>#NAME?</v>
      </c>
      <c r="N140" s="274">
        <v>41949</v>
      </c>
    </row>
    <row r="141" spans="2:14" s="273" customFormat="1" x14ac:dyDescent="0.2">
      <c r="B141" s="279"/>
      <c r="C141" s="279"/>
      <c r="D141" s="278"/>
      <c r="E141" s="278"/>
      <c r="F141" s="277">
        <f>SUM(F138:F140)</f>
        <v>4820</v>
      </c>
      <c r="G141" s="278"/>
      <c r="H141" s="276">
        <f>I141/F141</f>
        <v>15.508901843485479</v>
      </c>
      <c r="I141" s="277">
        <f>SUM(I138:I140)</f>
        <v>74752.906885600009</v>
      </c>
      <c r="J141" s="277">
        <f>SUM(J138:J140)</f>
        <v>74752.906885600009</v>
      </c>
      <c r="K141" s="277" t="e">
        <f ca="1">SUM(K138:K140)</f>
        <v>#NAME?</v>
      </c>
      <c r="L141" s="276"/>
      <c r="M141" s="275"/>
      <c r="N141" s="288"/>
    </row>
    <row r="142" spans="2:14" s="273" customFormat="1" x14ac:dyDescent="0.2">
      <c r="B142" s="300"/>
      <c r="C142" s="299"/>
      <c r="D142" s="297"/>
      <c r="E142" s="297"/>
      <c r="F142" s="298"/>
      <c r="G142" s="297"/>
      <c r="H142" s="294"/>
      <c r="I142" s="295"/>
      <c r="J142" s="296"/>
      <c r="K142" s="295"/>
      <c r="L142" s="294"/>
      <c r="M142" s="293"/>
      <c r="N142" s="288"/>
    </row>
    <row r="143" spans="2:14" s="273" customFormat="1" x14ac:dyDescent="0.2">
      <c r="B143" s="287" t="s">
        <v>398</v>
      </c>
      <c r="C143" s="286" t="s">
        <v>13</v>
      </c>
      <c r="D143" s="284" t="e">
        <f ca="1">_xll.BDP(C143,"SECURITY_NAME")</f>
        <v>#NAME?</v>
      </c>
      <c r="E143" s="284" t="s">
        <v>50</v>
      </c>
      <c r="F143" s="285">
        <v>620</v>
      </c>
      <c r="G143" s="284" t="e">
        <f ca="1">_xll.BDP(C143,"CRNCY")</f>
        <v>#NAME?</v>
      </c>
      <c r="H143" s="281" t="e">
        <f ca="1">_xll.BDH(C143,"PX_LAST",N143)</f>
        <v>#NAME?</v>
      </c>
      <c r="I143" s="282" t="e">
        <f t="shared" ref="I143:I151" ca="1" si="22">F143*H143</f>
        <v>#NAME?</v>
      </c>
      <c r="J143" s="283" t="e">
        <f t="shared" ref="J143:J151" ca="1" si="23">I143</f>
        <v>#NAME?</v>
      </c>
      <c r="K143" s="282" t="e">
        <f t="shared" ref="K143:K151" ca="1" si="24">J143*L143</f>
        <v>#NAME?</v>
      </c>
      <c r="L143" s="281" t="e">
        <f ca="1">_xll.BDH("RUB curncy","PX_LAST",$N143)</f>
        <v>#NAME?</v>
      </c>
      <c r="M143" s="280" t="e">
        <f ca="1">1/_xll.BDH("RUB curncy","PX_LAST",$N143)</f>
        <v>#NAME?</v>
      </c>
      <c r="N143" s="274">
        <v>41950</v>
      </c>
    </row>
    <row r="144" spans="2:14" s="273" customFormat="1" x14ac:dyDescent="0.2">
      <c r="B144" s="287" t="s">
        <v>398</v>
      </c>
      <c r="C144" s="286" t="s">
        <v>13</v>
      </c>
      <c r="D144" s="284" t="e">
        <f ca="1">_xll.BDP(C144,"SECURITY_NAME")</f>
        <v>#NAME?</v>
      </c>
      <c r="E144" s="284" t="s">
        <v>50</v>
      </c>
      <c r="F144" s="285">
        <v>1304</v>
      </c>
      <c r="G144" s="284" t="e">
        <f ca="1">_xll.BDP(C144,"CRNCY")</f>
        <v>#NAME?</v>
      </c>
      <c r="H144" s="281" t="e">
        <f ca="1">_xll.BDH(C144,"PX_LAST",N144)</f>
        <v>#NAME?</v>
      </c>
      <c r="I144" s="282" t="e">
        <f t="shared" ca="1" si="22"/>
        <v>#NAME?</v>
      </c>
      <c r="J144" s="283" t="e">
        <f t="shared" ca="1" si="23"/>
        <v>#NAME?</v>
      </c>
      <c r="K144" s="282" t="e">
        <f t="shared" ca="1" si="24"/>
        <v>#NAME?</v>
      </c>
      <c r="L144" s="281" t="e">
        <f ca="1">_xll.BDH("RUB curncy","PX_LAST",$N144)</f>
        <v>#NAME?</v>
      </c>
      <c r="M144" s="280" t="e">
        <f ca="1">1/_xll.BDH("RUB curncy","PX_LAST",$N144)</f>
        <v>#NAME?</v>
      </c>
      <c r="N144" s="274">
        <v>41912</v>
      </c>
    </row>
    <row r="145" spans="2:14" s="273" customFormat="1" ht="13.5" customHeight="1" x14ac:dyDescent="0.2">
      <c r="B145" s="287" t="s">
        <v>398</v>
      </c>
      <c r="C145" s="286" t="s">
        <v>13</v>
      </c>
      <c r="D145" s="284" t="e">
        <f ca="1">_xll.BDP(C145,"SECURITY_NAME")</f>
        <v>#NAME?</v>
      </c>
      <c r="E145" s="284" t="s">
        <v>50</v>
      </c>
      <c r="F145" s="285">
        <v>670</v>
      </c>
      <c r="G145" s="284" t="e">
        <f ca="1">_xll.BDP(C145,"CRNCY")</f>
        <v>#NAME?</v>
      </c>
      <c r="H145" s="281" t="e">
        <f ca="1">_xll.BDH(C145,"PX_LAST",N145)</f>
        <v>#NAME?</v>
      </c>
      <c r="I145" s="282" t="e">
        <f t="shared" ca="1" si="22"/>
        <v>#NAME?</v>
      </c>
      <c r="J145" s="283" t="e">
        <f t="shared" ca="1" si="23"/>
        <v>#NAME?</v>
      </c>
      <c r="K145" s="282" t="e">
        <f t="shared" ca="1" si="24"/>
        <v>#NAME?</v>
      </c>
      <c r="L145" s="281" t="e">
        <f ca="1">_xll.BDH("RUB curncy","PX_LAST",$N145)</f>
        <v>#NAME?</v>
      </c>
      <c r="M145" s="280" t="e">
        <f ca="1">1/_xll.BDH("RUB curncy","PX_LAST",$N145)</f>
        <v>#NAME?</v>
      </c>
      <c r="N145" s="274">
        <v>41795</v>
      </c>
    </row>
    <row r="146" spans="2:14" s="273" customFormat="1" ht="13.5" customHeight="1" x14ac:dyDescent="0.2">
      <c r="B146" s="287" t="s">
        <v>398</v>
      </c>
      <c r="C146" s="286" t="s">
        <v>13</v>
      </c>
      <c r="D146" s="284" t="e">
        <f ca="1">_xll.BDP(C146,"SECURITY_NAME")</f>
        <v>#NAME?</v>
      </c>
      <c r="E146" s="284" t="s">
        <v>50</v>
      </c>
      <c r="F146" s="285">
        <v>380</v>
      </c>
      <c r="G146" s="284" t="e">
        <f ca="1">_xll.BDP(C146,"CRNCY")</f>
        <v>#NAME?</v>
      </c>
      <c r="H146" s="281" t="e">
        <f ca="1">_xll.BDH(C146,"PX_LAST",N146)</f>
        <v>#NAME?</v>
      </c>
      <c r="I146" s="282" t="e">
        <f t="shared" ca="1" si="22"/>
        <v>#NAME?</v>
      </c>
      <c r="J146" s="283" t="e">
        <f t="shared" ca="1" si="23"/>
        <v>#NAME?</v>
      </c>
      <c r="K146" s="282" t="e">
        <f t="shared" ca="1" si="24"/>
        <v>#NAME?</v>
      </c>
      <c r="L146" s="281" t="e">
        <f ca="1">_xll.BDH("RUB curncy","PX_LAST",$N146)</f>
        <v>#NAME?</v>
      </c>
      <c r="M146" s="280" t="e">
        <f ca="1">1/_xll.BDH("RUB curncy","PX_LAST",$N146)</f>
        <v>#NAME?</v>
      </c>
      <c r="N146" s="274">
        <v>41787</v>
      </c>
    </row>
    <row r="147" spans="2:14" s="273" customFormat="1" ht="13.5" customHeight="1" x14ac:dyDescent="0.2">
      <c r="B147" s="287" t="s">
        <v>398</v>
      </c>
      <c r="C147" s="286" t="s">
        <v>13</v>
      </c>
      <c r="D147" s="284" t="e">
        <f ca="1">_xll.BDP(C147,"SECURITY_NAME")</f>
        <v>#NAME?</v>
      </c>
      <c r="E147" s="284" t="s">
        <v>50</v>
      </c>
      <c r="F147" s="285">
        <v>88</v>
      </c>
      <c r="G147" s="284" t="e">
        <f ca="1">_xll.BDP(C147,"CRNCY")</f>
        <v>#NAME?</v>
      </c>
      <c r="H147" s="281" t="e">
        <f ca="1">_xll.BDH(C147,"PX_LAST",N147)</f>
        <v>#NAME?</v>
      </c>
      <c r="I147" s="282" t="e">
        <f t="shared" ca="1" si="22"/>
        <v>#NAME?</v>
      </c>
      <c r="J147" s="283" t="e">
        <f t="shared" ca="1" si="23"/>
        <v>#NAME?</v>
      </c>
      <c r="K147" s="282" t="e">
        <f t="shared" ca="1" si="24"/>
        <v>#NAME?</v>
      </c>
      <c r="L147" s="281" t="e">
        <f ca="1">_xll.BDH("RUB curncy","PX_LAST",$N147)</f>
        <v>#NAME?</v>
      </c>
      <c r="M147" s="280" t="e">
        <f ca="1">1/_xll.BDH("RUB curncy","PX_LAST",$N147)</f>
        <v>#NAME?</v>
      </c>
      <c r="N147" s="274">
        <v>41782</v>
      </c>
    </row>
    <row r="148" spans="2:14" s="273" customFormat="1" ht="13.5" customHeight="1" x14ac:dyDescent="0.2">
      <c r="B148" s="287" t="s">
        <v>398</v>
      </c>
      <c r="C148" s="286" t="s">
        <v>13</v>
      </c>
      <c r="D148" s="284" t="e">
        <f ca="1">_xll.BDP(C148,"SECURITY_NAME")</f>
        <v>#NAME?</v>
      </c>
      <c r="E148" s="284" t="s">
        <v>50</v>
      </c>
      <c r="F148" s="285">
        <v>570</v>
      </c>
      <c r="G148" s="284" t="e">
        <f ca="1">_xll.BDP(C148,"CRNCY")</f>
        <v>#NAME?</v>
      </c>
      <c r="H148" s="281" t="e">
        <f ca="1">_xll.BDH(C148,"PX_LAST",N148)</f>
        <v>#NAME?</v>
      </c>
      <c r="I148" s="282" t="e">
        <f t="shared" ca="1" si="22"/>
        <v>#NAME?</v>
      </c>
      <c r="J148" s="283" t="e">
        <f t="shared" ca="1" si="23"/>
        <v>#NAME?</v>
      </c>
      <c r="K148" s="282" t="e">
        <f t="shared" ca="1" si="24"/>
        <v>#NAME?</v>
      </c>
      <c r="L148" s="281" t="e">
        <f ca="1">_xll.BDH("RUB curncy","PX_LAST",$N148)</f>
        <v>#NAME?</v>
      </c>
      <c r="M148" s="280" t="e">
        <f ca="1">1/_xll.BDH("RUB curncy","PX_LAST",$N148)</f>
        <v>#NAME?</v>
      </c>
      <c r="N148" s="274">
        <v>41781</v>
      </c>
    </row>
    <row r="149" spans="2:14" s="273" customFormat="1" ht="13.5" customHeight="1" x14ac:dyDescent="0.2">
      <c r="B149" s="287" t="s">
        <v>398</v>
      </c>
      <c r="C149" s="286" t="s">
        <v>13</v>
      </c>
      <c r="D149" s="284" t="e">
        <f ca="1">_xll.BDP(C149,"SECURITY_NAME")</f>
        <v>#NAME?</v>
      </c>
      <c r="E149" s="284" t="s">
        <v>50</v>
      </c>
      <c r="F149" s="285">
        <v>1030</v>
      </c>
      <c r="G149" s="284" t="e">
        <f ca="1">_xll.BDP(C149,"CRNCY")</f>
        <v>#NAME?</v>
      </c>
      <c r="H149" s="281" t="e">
        <f ca="1">_xll.BDH(C149,"PX_LAST",N149)</f>
        <v>#NAME?</v>
      </c>
      <c r="I149" s="282" t="e">
        <f t="shared" ca="1" si="22"/>
        <v>#NAME?</v>
      </c>
      <c r="J149" s="283" t="e">
        <f t="shared" ca="1" si="23"/>
        <v>#NAME?</v>
      </c>
      <c r="K149" s="282" t="e">
        <f t="shared" ca="1" si="24"/>
        <v>#NAME?</v>
      </c>
      <c r="L149" s="281" t="e">
        <f ca="1">_xll.BDH("RUB curncy","PX_LAST",$N149)</f>
        <v>#NAME?</v>
      </c>
      <c r="M149" s="280" t="e">
        <f ca="1">1/_xll.BDH("RUB curncy","PX_LAST",$N149)</f>
        <v>#NAME?</v>
      </c>
      <c r="N149" s="274">
        <v>41779</v>
      </c>
    </row>
    <row r="150" spans="2:14" s="273" customFormat="1" ht="13.5" customHeight="1" x14ac:dyDescent="0.2">
      <c r="B150" s="287" t="s">
        <v>398</v>
      </c>
      <c r="C150" s="286" t="s">
        <v>13</v>
      </c>
      <c r="D150" s="284" t="e">
        <f ca="1">_xll.BDP(C150,"SECURITY_NAME")</f>
        <v>#NAME?</v>
      </c>
      <c r="E150" s="284" t="s">
        <v>50</v>
      </c>
      <c r="F150" s="285">
        <v>600</v>
      </c>
      <c r="G150" s="284" t="e">
        <f ca="1">_xll.BDP(C150,"CRNCY")</f>
        <v>#NAME?</v>
      </c>
      <c r="H150" s="281" t="e">
        <f ca="1">_xll.BDH(C150,"PX_LAST",N150)</f>
        <v>#NAME?</v>
      </c>
      <c r="I150" s="282" t="e">
        <f t="shared" ca="1" si="22"/>
        <v>#NAME?</v>
      </c>
      <c r="J150" s="283" t="e">
        <f t="shared" ca="1" si="23"/>
        <v>#NAME?</v>
      </c>
      <c r="K150" s="282" t="e">
        <f t="shared" ca="1" si="24"/>
        <v>#NAME?</v>
      </c>
      <c r="L150" s="281" t="e">
        <f ca="1">_xll.BDH("RUB curncy","PX_LAST",$N150)</f>
        <v>#NAME?</v>
      </c>
      <c r="M150" s="280" t="e">
        <f ca="1">1/_xll.BDH("RUB curncy","PX_LAST",$N150)</f>
        <v>#NAME?</v>
      </c>
      <c r="N150" s="274">
        <v>41388</v>
      </c>
    </row>
    <row r="151" spans="2:14" s="273" customFormat="1" ht="13.5" customHeight="1" x14ac:dyDescent="0.2">
      <c r="B151" s="287" t="s">
        <v>398</v>
      </c>
      <c r="C151" s="286" t="s">
        <v>13</v>
      </c>
      <c r="D151" s="284" t="e">
        <f ca="1">_xll.BDP(C151,"SECURITY_NAME")</f>
        <v>#NAME?</v>
      </c>
      <c r="E151" s="284" t="s">
        <v>50</v>
      </c>
      <c r="F151" s="285">
        <f>6194-5262</f>
        <v>932</v>
      </c>
      <c r="G151" s="284" t="e">
        <f ca="1">_xll.BDP(C151,"CRNCY")</f>
        <v>#NAME?</v>
      </c>
      <c r="H151" s="281" t="e">
        <f ca="1">_xll.BDH(C151,"PX_LAST",N151)</f>
        <v>#NAME?</v>
      </c>
      <c r="I151" s="282" t="e">
        <f t="shared" ca="1" si="22"/>
        <v>#NAME?</v>
      </c>
      <c r="J151" s="283" t="e">
        <f t="shared" ca="1" si="23"/>
        <v>#NAME?</v>
      </c>
      <c r="K151" s="282" t="e">
        <f t="shared" ca="1" si="24"/>
        <v>#NAME?</v>
      </c>
      <c r="L151" s="281" t="e">
        <f ca="1">_xll.BDH("RUB curncy","PX_LAST",$N151)</f>
        <v>#NAME?</v>
      </c>
      <c r="M151" s="280" t="e">
        <f ca="1">1/_xll.BDH("RUB curncy","PX_LAST",$N151)</f>
        <v>#NAME?</v>
      </c>
      <c r="N151" s="274">
        <v>41290</v>
      </c>
    </row>
    <row r="152" spans="2:14" s="273" customFormat="1" x14ac:dyDescent="0.2">
      <c r="B152" s="279"/>
      <c r="C152" s="279"/>
      <c r="D152" s="278"/>
      <c r="E152" s="278"/>
      <c r="F152" s="277">
        <f>SUM(F143:F151)</f>
        <v>6194</v>
      </c>
      <c r="G152" s="278"/>
      <c r="H152" s="276">
        <f>J152/F152</f>
        <v>10.7541168873103</v>
      </c>
      <c r="I152" s="277" t="e">
        <f ca="1">SUM(I143:I151)</f>
        <v>#NAME?</v>
      </c>
      <c r="J152" s="277">
        <v>66611</v>
      </c>
      <c r="K152" s="277" t="e">
        <f ca="1">SUM(K143:K151)</f>
        <v>#NAME?</v>
      </c>
      <c r="L152" s="276"/>
      <c r="M152" s="275"/>
      <c r="N152" s="288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s="273" customFormat="1" x14ac:dyDescent="0.2">
      <c r="B154" s="287" t="s">
        <v>398</v>
      </c>
      <c r="C154" s="286" t="s">
        <v>69</v>
      </c>
      <c r="D154" s="284" t="e">
        <f ca="1">_xll.BDP(C154,"SECURITY_NAME")</f>
        <v>#NAME?</v>
      </c>
      <c r="E154" s="284" t="s">
        <v>50</v>
      </c>
      <c r="F154" s="285">
        <v>1200000</v>
      </c>
      <c r="G154" s="284" t="e">
        <f ca="1">_xll.BDP(C154,"CRNCY")</f>
        <v>#NAME?</v>
      </c>
      <c r="H154" s="281">
        <v>2.5543999999999998</v>
      </c>
      <c r="I154" s="282">
        <f>F154*H154</f>
        <v>3065279.9999999995</v>
      </c>
      <c r="J154" s="283" t="e">
        <f ca="1">I154/L154</f>
        <v>#NAME?</v>
      </c>
      <c r="K154" s="282" t="e">
        <f ca="1">J154*L154</f>
        <v>#NAME?</v>
      </c>
      <c r="L154" s="281" t="e">
        <f ca="1">_xll.BDH("RUB curncy","PX_LAST",$N154)</f>
        <v>#NAME?</v>
      </c>
      <c r="M154" s="280" t="e">
        <f ca="1">1/_xll.BDH("RUB curncy","PX_LAST",$N154)</f>
        <v>#NAME?</v>
      </c>
      <c r="N154" s="274">
        <v>42446</v>
      </c>
    </row>
    <row r="155" spans="2:14" s="273" customFormat="1" x14ac:dyDescent="0.2">
      <c r="B155" s="279"/>
      <c r="C155" s="279"/>
      <c r="D155" s="278"/>
      <c r="E155" s="278"/>
      <c r="F155" s="277">
        <f>SUM(F154:F154)</f>
        <v>1200000</v>
      </c>
      <c r="G155" s="278"/>
      <c r="H155" s="276">
        <f>I155/F155</f>
        <v>2.5543999999999998</v>
      </c>
      <c r="I155" s="277">
        <f>SUM(I154:I154)</f>
        <v>3065279.9999999995</v>
      </c>
      <c r="J155" s="277" t="e">
        <f ca="1">SUM(J154:J154)</f>
        <v>#NAME?</v>
      </c>
      <c r="K155" s="277" t="e">
        <f ca="1">SUM(K154:K154)</f>
        <v>#NAME?</v>
      </c>
      <c r="L155" s="276"/>
      <c r="M155" s="275"/>
      <c r="N155" s="288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K156" s="79"/>
      <c r="L156" s="88"/>
      <c r="M156" s="158"/>
      <c r="N156" s="157"/>
    </row>
    <row r="157" spans="2:14" s="273" customFormat="1" x14ac:dyDescent="0.2">
      <c r="B157" s="287" t="s">
        <v>398</v>
      </c>
      <c r="C157" s="286" t="s">
        <v>36</v>
      </c>
      <c r="D157" s="284" t="e">
        <f ca="1">_xll.BDP(C157,"SECURITY_NAME")</f>
        <v>#NAME?</v>
      </c>
      <c r="E157" s="284" t="s">
        <v>50</v>
      </c>
      <c r="F157" s="285">
        <v>355620</v>
      </c>
      <c r="G157" s="284" t="e">
        <f ca="1">_xll.BDP(C157,"CRNCY")</f>
        <v>#NAME?</v>
      </c>
      <c r="H157" s="281" t="e">
        <f ca="1">_xll.BDH(C157,"PX_LAST",N157)</f>
        <v>#NAME?</v>
      </c>
      <c r="I157" s="282" t="e">
        <f ca="1">F157*H157</f>
        <v>#NAME?</v>
      </c>
      <c r="J157" s="283" t="e">
        <f ca="1">I157/L157</f>
        <v>#NAME?</v>
      </c>
      <c r="K157" s="282" t="e">
        <f ca="1">J157*L157</f>
        <v>#NAME?</v>
      </c>
      <c r="L157" s="281" t="e">
        <f ca="1">_xll.BDH("RUB curncy","PX_LAST",$N157)</f>
        <v>#NAME?</v>
      </c>
      <c r="M157" s="280" t="e">
        <f ca="1">1/_xll.BDH("RUB curncy","PX_LAST",$N157)</f>
        <v>#NAME?</v>
      </c>
      <c r="N157" s="274">
        <v>42093</v>
      </c>
    </row>
    <row r="158" spans="2:14" s="273" customFormat="1" x14ac:dyDescent="0.2">
      <c r="B158" s="279"/>
      <c r="C158" s="279"/>
      <c r="D158" s="278"/>
      <c r="E158" s="278"/>
      <c r="F158" s="277">
        <f>SUM(F157)</f>
        <v>355620</v>
      </c>
      <c r="G158" s="278"/>
      <c r="H158" s="276" t="e">
        <f ca="1">I158/F158</f>
        <v>#NAME?</v>
      </c>
      <c r="I158" s="277" t="e">
        <f ca="1">SUM(I157)</f>
        <v>#NAME?</v>
      </c>
      <c r="J158" s="277">
        <v>6074</v>
      </c>
      <c r="K158" s="277" t="e">
        <f ca="1">SUM(K157)</f>
        <v>#NAME?</v>
      </c>
      <c r="L158" s="276"/>
      <c r="M158" s="275"/>
      <c r="N158" s="288"/>
    </row>
    <row r="159" spans="2:14" s="273" customFormat="1" x14ac:dyDescent="0.2">
      <c r="B159" s="279"/>
      <c r="C159" s="279"/>
      <c r="D159" s="278"/>
      <c r="E159" s="278"/>
      <c r="F159" s="277"/>
      <c r="G159" s="278"/>
      <c r="H159" s="276"/>
      <c r="I159" s="277"/>
      <c r="J159" s="277"/>
      <c r="K159" s="277"/>
      <c r="L159" s="276"/>
      <c r="M159" s="275"/>
      <c r="N159" s="288"/>
    </row>
    <row r="160" spans="2:14" x14ac:dyDescent="0.2">
      <c r="B160" s="287" t="s">
        <v>398</v>
      </c>
      <c r="C160" s="286" t="s">
        <v>4</v>
      </c>
      <c r="D160" s="284" t="e">
        <f ca="1">_xll.BDP(C160,"SECURITY_NAME")</f>
        <v>#NAME?</v>
      </c>
      <c r="E160" s="284" t="s">
        <v>50</v>
      </c>
      <c r="F160" s="285">
        <v>21700</v>
      </c>
      <c r="G160" s="284" t="e">
        <f ca="1">_xll.BDP(C160,"CRNCY")</f>
        <v>#NAME?</v>
      </c>
      <c r="H160" s="281">
        <v>1.74</v>
      </c>
      <c r="I160" s="282">
        <f t="shared" ref="I160:I165" si="25">F160*H160</f>
        <v>37758</v>
      </c>
      <c r="J160" s="283">
        <f t="shared" ref="J160:J165" si="26">I160</f>
        <v>37758</v>
      </c>
      <c r="K160" s="282" t="e">
        <f t="shared" ref="K160:K165" ca="1" si="27">J160*L160</f>
        <v>#NAME?</v>
      </c>
      <c r="L160" s="281" t="e">
        <f ca="1">_xll.BDH("RUB curncy","PX_LAST",$N160)</f>
        <v>#NAME?</v>
      </c>
      <c r="M160" s="280" t="e">
        <f ca="1">1/_xll.BDH("RUB curncy","PX_LAST",$N160)</f>
        <v>#NAME?</v>
      </c>
      <c r="N160" s="274">
        <v>42436</v>
      </c>
    </row>
    <row r="161" spans="2:14" s="273" customFormat="1" ht="13.5" customHeight="1" x14ac:dyDescent="0.2">
      <c r="B161" s="287" t="s">
        <v>398</v>
      </c>
      <c r="C161" s="286" t="s">
        <v>4</v>
      </c>
      <c r="D161" s="284" t="e">
        <f ca="1">_xll.BDP(C161,"SECURITY_NAME")</f>
        <v>#NAME?</v>
      </c>
      <c r="E161" s="284" t="s">
        <v>50</v>
      </c>
      <c r="F161" s="285">
        <v>1568</v>
      </c>
      <c r="G161" s="284" t="e">
        <f ca="1">_xll.BDP(C161,"CRNCY")</f>
        <v>#NAME?</v>
      </c>
      <c r="H161" s="281" t="e">
        <f ca="1">_xll.BDH(C161,"PX_LAST",N161)</f>
        <v>#NAME?</v>
      </c>
      <c r="I161" s="282" t="e">
        <f t="shared" ca="1" si="25"/>
        <v>#NAME?</v>
      </c>
      <c r="J161" s="283" t="e">
        <f t="shared" ca="1" si="26"/>
        <v>#NAME?</v>
      </c>
      <c r="K161" s="282" t="e">
        <f t="shared" ca="1" si="27"/>
        <v>#NAME?</v>
      </c>
      <c r="L161" s="281" t="e">
        <f ca="1">_xll.BDH("RUB curncy","PX_LAST",$N161)</f>
        <v>#NAME?</v>
      </c>
      <c r="M161" s="280" t="e">
        <f ca="1">1/_xll.BDH("RUB curncy","PX_LAST",$N161)</f>
        <v>#NAME?</v>
      </c>
      <c r="N161" s="274">
        <v>41949</v>
      </c>
    </row>
    <row r="162" spans="2:14" s="273" customFormat="1" ht="13.5" customHeight="1" x14ac:dyDescent="0.2">
      <c r="B162" s="287" t="s">
        <v>398</v>
      </c>
      <c r="C162" s="286" t="s">
        <v>4</v>
      </c>
      <c r="D162" s="284" t="e">
        <f ca="1">_xll.BDP(C162,"SECURITY_NAME")</f>
        <v>#NAME?</v>
      </c>
      <c r="E162" s="284" t="s">
        <v>50</v>
      </c>
      <c r="F162" s="285">
        <v>952</v>
      </c>
      <c r="G162" s="284" t="e">
        <f ca="1">_xll.BDP(C162,"CRNCY")</f>
        <v>#NAME?</v>
      </c>
      <c r="H162" s="281" t="e">
        <f ca="1">_xll.BDH(C162,"PX_LAST",N162)</f>
        <v>#NAME?</v>
      </c>
      <c r="I162" s="282" t="e">
        <f t="shared" ca="1" si="25"/>
        <v>#NAME?</v>
      </c>
      <c r="J162" s="283" t="e">
        <f t="shared" ca="1" si="26"/>
        <v>#NAME?</v>
      </c>
      <c r="K162" s="282" t="e">
        <f t="shared" ca="1" si="27"/>
        <v>#NAME?</v>
      </c>
      <c r="L162" s="281" t="e">
        <f ca="1">_xll.BDH("RUB curncy","PX_LAST",$N162)</f>
        <v>#NAME?</v>
      </c>
      <c r="M162" s="280" t="e">
        <f ca="1">1/_xll.BDH("RUB curncy","PX_LAST",$N162)</f>
        <v>#NAME?</v>
      </c>
      <c r="N162" s="274">
        <v>41949</v>
      </c>
    </row>
    <row r="163" spans="2:14" s="273" customFormat="1" ht="13.5" customHeight="1" x14ac:dyDescent="0.2">
      <c r="B163" s="287" t="s">
        <v>398</v>
      </c>
      <c r="C163" s="286" t="s">
        <v>4</v>
      </c>
      <c r="D163" s="284" t="e">
        <f ca="1">_xll.BDP(C163,"SECURITY_NAME")</f>
        <v>#NAME?</v>
      </c>
      <c r="E163" s="284" t="s">
        <v>50</v>
      </c>
      <c r="F163" s="285">
        <v>4019</v>
      </c>
      <c r="G163" s="284" t="e">
        <f ca="1">_xll.BDP(C163,"CRNCY")</f>
        <v>#NAME?</v>
      </c>
      <c r="H163" s="281" t="e">
        <f ca="1">_xll.BDH(C163,"PX_LAST",N163)</f>
        <v>#NAME?</v>
      </c>
      <c r="I163" s="282" t="e">
        <f t="shared" ca="1" si="25"/>
        <v>#NAME?</v>
      </c>
      <c r="J163" s="283" t="e">
        <f t="shared" ca="1" si="26"/>
        <v>#NAME?</v>
      </c>
      <c r="K163" s="282" t="e">
        <f t="shared" ca="1" si="27"/>
        <v>#NAME?</v>
      </c>
      <c r="L163" s="281" t="e">
        <f ca="1">_xll.BDH("RUB curncy","PX_LAST",$N163)</f>
        <v>#NAME?</v>
      </c>
      <c r="M163" s="280" t="e">
        <f ca="1">1/_xll.BDH("RUB curncy","PX_LAST",$N163)</f>
        <v>#NAME?</v>
      </c>
      <c r="N163" s="274">
        <v>41926</v>
      </c>
    </row>
    <row r="164" spans="2:14" s="273" customFormat="1" ht="13.5" customHeight="1" x14ac:dyDescent="0.2">
      <c r="B164" s="287" t="s">
        <v>398</v>
      </c>
      <c r="C164" s="286" t="s">
        <v>4</v>
      </c>
      <c r="D164" s="284" t="e">
        <f ca="1">_xll.BDP(C164,"SECURITY_NAME")</f>
        <v>#NAME?</v>
      </c>
      <c r="E164" s="284" t="s">
        <v>50</v>
      </c>
      <c r="F164" s="285">
        <v>2741</v>
      </c>
      <c r="G164" s="284" t="e">
        <f ca="1">_xll.BDP(C164,"CRNCY")</f>
        <v>#NAME?</v>
      </c>
      <c r="H164" s="281" t="e">
        <f ca="1">_xll.BDH(C164,"PX_LAST",N164)</f>
        <v>#NAME?</v>
      </c>
      <c r="I164" s="282" t="e">
        <f t="shared" ca="1" si="25"/>
        <v>#NAME?</v>
      </c>
      <c r="J164" s="283" t="e">
        <f t="shared" ca="1" si="26"/>
        <v>#NAME?</v>
      </c>
      <c r="K164" s="282" t="e">
        <f t="shared" ca="1" si="27"/>
        <v>#NAME?</v>
      </c>
      <c r="L164" s="281" t="e">
        <f ca="1">_xll.BDH("RUB curncy","PX_LAST",$N164)</f>
        <v>#NAME?</v>
      </c>
      <c r="M164" s="280" t="e">
        <f ca="1">1/_xll.BDH("RUB curncy","PX_LAST",$N164)</f>
        <v>#NAME?</v>
      </c>
      <c r="N164" s="274">
        <v>41925</v>
      </c>
    </row>
    <row r="165" spans="2:14" s="273" customFormat="1" ht="13.5" customHeight="1" x14ac:dyDescent="0.2">
      <c r="B165" s="287" t="s">
        <v>398</v>
      </c>
      <c r="C165" s="286" t="s">
        <v>4</v>
      </c>
      <c r="D165" s="284" t="e">
        <f ca="1">_xll.BDP(C165,"SECURITY_NAME")</f>
        <v>#NAME?</v>
      </c>
      <c r="E165" s="284" t="s">
        <v>50</v>
      </c>
      <c r="F165" s="285">
        <v>5180</v>
      </c>
      <c r="G165" s="284" t="e">
        <f ca="1">_xll.BDP(C165,"CRNCY")</f>
        <v>#NAME?</v>
      </c>
      <c r="H165" s="281" t="e">
        <f ca="1">_xll.BDH(C165,"PX_LAST",N165)</f>
        <v>#NAME?</v>
      </c>
      <c r="I165" s="282" t="e">
        <f t="shared" ca="1" si="25"/>
        <v>#NAME?</v>
      </c>
      <c r="J165" s="283" t="e">
        <f t="shared" ca="1" si="26"/>
        <v>#NAME?</v>
      </c>
      <c r="K165" s="282" t="e">
        <f t="shared" ca="1" si="27"/>
        <v>#NAME?</v>
      </c>
      <c r="L165" s="281" t="e">
        <f ca="1">_xll.BDH("RUB curncy","PX_LAST",$N165)</f>
        <v>#NAME?</v>
      </c>
      <c r="M165" s="280" t="e">
        <f ca="1">1/_xll.BDH("RUB curncy","PX_LAST",$N165)</f>
        <v>#NAME?</v>
      </c>
      <c r="N165" s="274">
        <v>41919</v>
      </c>
    </row>
    <row r="166" spans="2:14" s="273" customFormat="1" x14ac:dyDescent="0.2">
      <c r="B166" s="279"/>
      <c r="C166" s="279"/>
      <c r="D166" s="278"/>
      <c r="E166" s="278"/>
      <c r="F166" s="277">
        <f>SUM(F160:F165)</f>
        <v>36160</v>
      </c>
      <c r="G166" s="278"/>
      <c r="H166" s="276" t="e">
        <f ca="1">J166/F166</f>
        <v>#NAME?</v>
      </c>
      <c r="I166" s="277" t="e">
        <f ca="1">SUM(I160:I165)</f>
        <v>#NAME?</v>
      </c>
      <c r="J166" s="277" t="e">
        <f ca="1">SUM(J160:J165)</f>
        <v>#NAME?</v>
      </c>
      <c r="K166" s="277" t="e">
        <f ca="1">SUM(K160:K165)</f>
        <v>#NAME?</v>
      </c>
      <c r="L166" s="276"/>
      <c r="M166" s="275"/>
      <c r="N166" s="288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s="273" customFormat="1" x14ac:dyDescent="0.2">
      <c r="B168" s="287" t="s">
        <v>398</v>
      </c>
      <c r="C168" s="286" t="s">
        <v>432</v>
      </c>
      <c r="D168" s="284" t="e">
        <f ca="1">_xll.BDP(C168,"SECURITY_NAME")</f>
        <v>#NAME?</v>
      </c>
      <c r="E168" s="284" t="s">
        <v>50</v>
      </c>
      <c r="F168" s="285">
        <v>1436</v>
      </c>
      <c r="G168" s="284" t="e">
        <f ca="1">_xll.BDP(C168,"CRNCY")</f>
        <v>#NAME?</v>
      </c>
      <c r="H168" s="281">
        <v>14.12</v>
      </c>
      <c r="I168" s="282">
        <f>F168*H168</f>
        <v>20276.32</v>
      </c>
      <c r="J168" s="283">
        <f>I168</f>
        <v>20276.32</v>
      </c>
      <c r="K168" s="282" t="e">
        <f ca="1">J168*L168</f>
        <v>#NAME?</v>
      </c>
      <c r="L168" s="281" t="e">
        <f ca="1">_xll.BDH("RUB curncy","PX_LAST",$N168)</f>
        <v>#NAME?</v>
      </c>
      <c r="M168" s="280" t="e">
        <f ca="1">1/_xll.BDH("RUB curncy","PX_LAST",$N168)</f>
        <v>#NAME?</v>
      </c>
      <c r="N168" s="274">
        <v>42171</v>
      </c>
    </row>
    <row r="169" spans="2:14" s="273" customFormat="1" x14ac:dyDescent="0.2">
      <c r="B169" s="279"/>
      <c r="C169" s="279"/>
      <c r="D169" s="278"/>
      <c r="E169" s="278"/>
      <c r="F169" s="277">
        <f>SUM(F168)</f>
        <v>1436</v>
      </c>
      <c r="G169" s="278"/>
      <c r="H169" s="276">
        <f>I169/F169</f>
        <v>14.12</v>
      </c>
      <c r="I169" s="277">
        <f>SUM(I168)</f>
        <v>20276.32</v>
      </c>
      <c r="J169" s="277">
        <f>SUM(J168)</f>
        <v>20276.32</v>
      </c>
      <c r="K169" s="277" t="e">
        <f ca="1">SUM(K168)</f>
        <v>#NAME?</v>
      </c>
      <c r="L169" s="276"/>
      <c r="M169" s="275"/>
      <c r="N169" s="288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s="273" customFormat="1" x14ac:dyDescent="0.2">
      <c r="B171" s="287" t="s">
        <v>398</v>
      </c>
      <c r="C171" s="286" t="s">
        <v>309</v>
      </c>
      <c r="D171" s="284" t="e">
        <f ca="1">_xll.BDP(C171,"SECURITY_NAME")</f>
        <v>#NAME?</v>
      </c>
      <c r="E171" s="284" t="s">
        <v>50</v>
      </c>
      <c r="F171" s="285">
        <v>59600</v>
      </c>
      <c r="G171" s="284" t="e">
        <f ca="1">_xll.BDP(C171,"CRNCY")</f>
        <v>#NAME?</v>
      </c>
      <c r="H171" s="281" t="e">
        <f ca="1">_xll.BDH(C171,"PX_LAST",N171)</f>
        <v>#NAME?</v>
      </c>
      <c r="I171" s="282" t="e">
        <f ca="1">F171*H171</f>
        <v>#NAME?</v>
      </c>
      <c r="J171" s="283" t="e">
        <f ca="1">I171/L171</f>
        <v>#NAME?</v>
      </c>
      <c r="K171" s="282" t="e">
        <f ca="1">J171*L171</f>
        <v>#NAME?</v>
      </c>
      <c r="L171" s="281" t="e">
        <f ca="1">_xll.BDH("RUB curncy","PX_LAST",$N171)</f>
        <v>#NAME?</v>
      </c>
      <c r="M171" s="280" t="e">
        <f ca="1">1/_xll.BDH("RUB curncy","PX_LAST",$N171)</f>
        <v>#NAME?</v>
      </c>
      <c r="N171" s="274">
        <v>42178</v>
      </c>
    </row>
    <row r="172" spans="2:14" s="273" customFormat="1" x14ac:dyDescent="0.2">
      <c r="B172" s="279"/>
      <c r="C172" s="279"/>
      <c r="D172" s="278"/>
      <c r="E172" s="278"/>
      <c r="F172" s="277">
        <f>SUM(F171)</f>
        <v>59600</v>
      </c>
      <c r="G172" s="278"/>
      <c r="H172" s="276" t="e">
        <f ca="1">I172/F172</f>
        <v>#NAME?</v>
      </c>
      <c r="I172" s="277" t="e">
        <f ca="1">SUM(I171)</f>
        <v>#NAME?</v>
      </c>
      <c r="J172" s="277">
        <v>20304</v>
      </c>
      <c r="K172" s="277" t="e">
        <f ca="1">SUM(K171)</f>
        <v>#NAME?</v>
      </c>
      <c r="L172" s="276"/>
      <c r="M172" s="275"/>
      <c r="N172" s="288"/>
    </row>
    <row r="173" spans="2:14" x14ac:dyDescent="0.2">
      <c r="B173" s="167"/>
      <c r="C173" s="166"/>
      <c r="D173" s="165"/>
      <c r="E173" s="165"/>
      <c r="F173" s="96"/>
      <c r="G173" s="292"/>
      <c r="H173" s="291"/>
      <c r="I173" s="163"/>
      <c r="J173" s="164"/>
      <c r="K173" s="163"/>
      <c r="L173" s="162"/>
      <c r="M173" s="161"/>
      <c r="N173" s="157"/>
    </row>
    <row r="174" spans="2:14" x14ac:dyDescent="0.2">
      <c r="F174" s="79"/>
      <c r="H174" s="80"/>
      <c r="I174" s="79"/>
      <c r="J174" s="79"/>
      <c r="K174" s="79"/>
    </row>
    <row r="175" spans="2:14" s="273" customFormat="1" ht="13.5" customHeight="1" x14ac:dyDescent="0.2">
      <c r="B175" s="287" t="s">
        <v>398</v>
      </c>
      <c r="C175" s="286" t="s">
        <v>167</v>
      </c>
      <c r="D175" s="284" t="e">
        <f ca="1">_xll.BDP(C175,"SECURITY_NAME")</f>
        <v>#NAME?</v>
      </c>
      <c r="E175" s="284" t="s">
        <v>50</v>
      </c>
      <c r="F175" s="285">
        <v>60000</v>
      </c>
      <c r="G175" s="284" t="e">
        <f ca="1">_xll.BDP(C175,"CRNCY")</f>
        <v>#NAME?</v>
      </c>
      <c r="H175" s="281" t="e">
        <f ca="1">_xll.BDH(C175,"PX_LAST",N175)</f>
        <v>#NAME?</v>
      </c>
      <c r="I175" s="282" t="e">
        <f ca="1">F175*H175/100</f>
        <v>#NAME?</v>
      </c>
      <c r="J175" s="283" t="e">
        <f ca="1">I175</f>
        <v>#NAME?</v>
      </c>
      <c r="K175" s="282" t="e">
        <f ca="1">J175*L175</f>
        <v>#NAME?</v>
      </c>
      <c r="L175" s="281" t="e">
        <f ca="1">_xll.BDH("RUB curncy","PX_LAST",$N175)</f>
        <v>#NAME?</v>
      </c>
      <c r="M175" s="280" t="e">
        <f ca="1">1/_xll.BDH("RUB curncy","PX_LAST",$N175)</f>
        <v>#NAME?</v>
      </c>
      <c r="N175" s="274">
        <v>41873</v>
      </c>
    </row>
    <row r="176" spans="2:14" s="273" customFormat="1" ht="13.5" customHeight="1" x14ac:dyDescent="0.2">
      <c r="B176" s="287" t="s">
        <v>398</v>
      </c>
      <c r="C176" s="286" t="s">
        <v>167</v>
      </c>
      <c r="D176" s="284" t="e">
        <f ca="1">_xll.BDP(C176,"SECURITY_NAME")</f>
        <v>#NAME?</v>
      </c>
      <c r="E176" s="284" t="s">
        <v>50</v>
      </c>
      <c r="F176" s="285">
        <v>140000</v>
      </c>
      <c r="G176" s="284" t="e">
        <f ca="1">_xll.BDP(C176,"CRNCY")</f>
        <v>#NAME?</v>
      </c>
      <c r="H176" s="281" t="e">
        <f ca="1">_xll.BDH(C176,"PX_LAST",N176)</f>
        <v>#NAME?</v>
      </c>
      <c r="I176" s="282" t="e">
        <f ca="1">F176*H176/100</f>
        <v>#NAME?</v>
      </c>
      <c r="J176" s="283" t="e">
        <f ca="1">I176</f>
        <v>#NAME?</v>
      </c>
      <c r="K176" s="282" t="e">
        <f ca="1">J176*L176</f>
        <v>#NAME?</v>
      </c>
      <c r="L176" s="281" t="e">
        <f ca="1">_xll.BDH("RUB curncy","PX_LAST",$N176)</f>
        <v>#NAME?</v>
      </c>
      <c r="M176" s="280" t="e">
        <f ca="1">1/_xll.BDH("RUB curncy","PX_LAST",$N176)</f>
        <v>#NAME?</v>
      </c>
      <c r="N176" s="274">
        <v>42060</v>
      </c>
    </row>
    <row r="177" spans="2:14" s="273" customFormat="1" ht="13.5" customHeight="1" x14ac:dyDescent="0.2">
      <c r="B177" s="287" t="s">
        <v>398</v>
      </c>
      <c r="C177" s="286" t="s">
        <v>167</v>
      </c>
      <c r="D177" s="284" t="e">
        <f ca="1">_xll.BDP(C177,"SECURITY_NAME")</f>
        <v>#NAME?</v>
      </c>
      <c r="E177" s="284" t="s">
        <v>50</v>
      </c>
      <c r="F177" s="285">
        <v>45000</v>
      </c>
      <c r="G177" s="284" t="e">
        <f ca="1">_xll.BDP(C177,"CRNCY")</f>
        <v>#NAME?</v>
      </c>
      <c r="H177" s="281" t="e">
        <f ca="1">_xll.BDH(C177,"PX_LAST",N177)</f>
        <v>#NAME?</v>
      </c>
      <c r="I177" s="282" t="e">
        <f ca="1">F177*H177/100</f>
        <v>#NAME?</v>
      </c>
      <c r="J177" s="283" t="e">
        <f ca="1">I177</f>
        <v>#NAME?</v>
      </c>
      <c r="K177" s="282" t="e">
        <f ca="1">J177*L177</f>
        <v>#NAME?</v>
      </c>
      <c r="L177" s="281" t="e">
        <f ca="1">_xll.BDH("RUB curncy","PX_LAST",$N177)</f>
        <v>#NAME?</v>
      </c>
      <c r="M177" s="280" t="e">
        <f ca="1">1/_xll.BDH("RUB curncy","PX_LAST",$N177)</f>
        <v>#NAME?</v>
      </c>
      <c r="N177" s="274">
        <v>42069</v>
      </c>
    </row>
    <row r="178" spans="2:14" s="273" customFormat="1" x14ac:dyDescent="0.2">
      <c r="B178" s="279"/>
      <c r="C178" s="279"/>
      <c r="D178" s="278"/>
      <c r="E178" s="278"/>
      <c r="F178" s="277">
        <f>SUM(F175:F177)</f>
        <v>245000</v>
      </c>
      <c r="G178" s="278"/>
      <c r="H178" s="276" t="e">
        <f ca="1">J178/F178*100</f>
        <v>#NAME?</v>
      </c>
      <c r="I178" s="277" t="e">
        <f ca="1">SUM(I175:I177)</f>
        <v>#NAME?</v>
      </c>
      <c r="J178" s="277" t="e">
        <f ca="1">SUM(J175:J177)</f>
        <v>#NAME?</v>
      </c>
      <c r="K178" s="277" t="e">
        <f ca="1">SUM(K175:K177)</f>
        <v>#NAME?</v>
      </c>
      <c r="L178" s="276"/>
      <c r="M178" s="275"/>
      <c r="N178" s="274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287" t="s">
        <v>398</v>
      </c>
      <c r="C180" s="41" t="s">
        <v>697</v>
      </c>
      <c r="D180" s="284" t="e">
        <f ca="1">_xll.BDP(C180,"SECURITY_NAME")</f>
        <v>#NAME?</v>
      </c>
      <c r="E180" s="284" t="s">
        <v>50</v>
      </c>
      <c r="F180" s="285">
        <v>200000</v>
      </c>
      <c r="G180" s="284" t="e">
        <f ca="1">_xll.BDP(C180,"CRNCY")</f>
        <v>#NAME?</v>
      </c>
      <c r="H180" s="281">
        <v>91</v>
      </c>
      <c r="I180" s="282">
        <f>F180*H180/100</f>
        <v>182000</v>
      </c>
      <c r="J180" s="283">
        <f>I180</f>
        <v>182000</v>
      </c>
      <c r="K180" s="282" t="e">
        <f ca="1">J180*L180</f>
        <v>#NAME?</v>
      </c>
      <c r="L180" s="281" t="e">
        <f ca="1">_xll.BDH("RUB curncy","PX_LAST",$N180)</f>
        <v>#NAME?</v>
      </c>
      <c r="M180" s="280" t="e">
        <f ca="1">1/_xll.BDH("RUB curncy","PX_LAST",$N180)</f>
        <v>#NAME?</v>
      </c>
      <c r="N180" s="274">
        <v>42482</v>
      </c>
    </row>
    <row r="181" spans="2:14" x14ac:dyDescent="0.2">
      <c r="B181" s="279"/>
      <c r="C181" s="279"/>
      <c r="D181" s="278"/>
      <c r="E181" s="278"/>
      <c r="F181" s="277">
        <f>SUM(F180)</f>
        <v>200000</v>
      </c>
      <c r="G181" s="278"/>
      <c r="H181" s="276">
        <f>J181/F181*100</f>
        <v>91</v>
      </c>
      <c r="I181" s="277">
        <f>SUM(I180)</f>
        <v>182000</v>
      </c>
      <c r="J181" s="277">
        <f>SUM(J180)</f>
        <v>182000</v>
      </c>
      <c r="K181" s="277" t="e">
        <f ca="1">SUM(K180)</f>
        <v>#NAME?</v>
      </c>
      <c r="L181" s="276"/>
      <c r="M181" s="275"/>
      <c r="N181" s="274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80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C189" s="159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80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0"/>
      <c r="C199" s="159"/>
      <c r="D199" s="87"/>
      <c r="E199" s="87"/>
      <c r="F199" s="79"/>
      <c r="G199" s="87"/>
      <c r="H199" s="79"/>
      <c r="I199" s="79"/>
      <c r="J199" s="79"/>
      <c r="K199" s="79"/>
      <c r="L199" s="88"/>
      <c r="M199" s="158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0"/>
      <c r="C210" s="159"/>
      <c r="D210" s="87"/>
      <c r="E210" s="87"/>
      <c r="F210" s="79"/>
      <c r="G210" s="87"/>
      <c r="H210" s="80"/>
      <c r="I210" s="79"/>
      <c r="J210" s="79"/>
      <c r="K210" s="79"/>
      <c r="L210" s="88"/>
      <c r="M210" s="158"/>
      <c r="N210" s="157"/>
    </row>
    <row r="211" spans="2:14" x14ac:dyDescent="0.2">
      <c r="B211" s="160"/>
      <c r="C211" s="159"/>
      <c r="D211" s="87"/>
      <c r="E211" s="87"/>
      <c r="F211" s="79"/>
      <c r="G211" s="87"/>
      <c r="H211" s="80"/>
      <c r="I211" s="79"/>
      <c r="J211" s="79"/>
      <c r="K211" s="79"/>
      <c r="L211" s="88"/>
      <c r="M211" s="158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58"/>
      <c r="N213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58"/>
      <c r="N222" s="157"/>
    </row>
    <row r="223" spans="2:14" x14ac:dyDescent="0.2">
      <c r="B223" s="160"/>
      <c r="C223" s="159"/>
      <c r="D223" s="87"/>
      <c r="E223" s="87"/>
      <c r="F223" s="79"/>
      <c r="G223" s="87"/>
      <c r="H223" s="80"/>
      <c r="I223" s="79"/>
      <c r="J223" s="79"/>
      <c r="K223" s="79"/>
      <c r="L223" s="88"/>
      <c r="M223" s="158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58"/>
      <c r="N233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F236" s="79"/>
      <c r="H236" s="88"/>
      <c r="I236" s="79"/>
      <c r="J236" s="79"/>
      <c r="K236" s="79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79"/>
      <c r="J240" s="79"/>
      <c r="K240" s="79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73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0"/>
      <c r="C243" s="159"/>
      <c r="D243" s="87"/>
      <c r="E243" s="87"/>
      <c r="F243" s="79"/>
      <c r="G243" s="87"/>
      <c r="H243" s="88"/>
      <c r="I243" s="79"/>
      <c r="J243" s="79"/>
      <c r="K243" s="79"/>
      <c r="L243" s="88"/>
      <c r="M243" s="173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73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168"/>
      <c r="J259" s="169"/>
      <c r="K259" s="168"/>
      <c r="L259" s="88"/>
      <c r="M259" s="158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73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73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168"/>
      <c r="J275" s="169"/>
      <c r="K275" s="168"/>
      <c r="L275" s="88"/>
      <c r="M275" s="158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73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73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73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59"/>
      <c r="D292" s="87"/>
      <c r="E292" s="87"/>
      <c r="F292" s="79"/>
      <c r="G292" s="87"/>
      <c r="H292" s="80"/>
      <c r="I292" s="79"/>
      <c r="J292" s="79"/>
      <c r="K292" s="79"/>
      <c r="L292" s="88"/>
      <c r="M292" s="158"/>
      <c r="N292" s="157"/>
    </row>
    <row r="293" spans="2:14" x14ac:dyDescent="0.2">
      <c r="B293" s="160"/>
      <c r="C293" s="159"/>
      <c r="D293" s="87"/>
      <c r="E293" s="87"/>
      <c r="F293" s="79"/>
      <c r="G293" s="87"/>
      <c r="H293" s="80"/>
      <c r="I293" s="168"/>
      <c r="J293" s="169"/>
      <c r="K293" s="168"/>
      <c r="L293" s="88"/>
      <c r="M293" s="173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91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91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172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93"/>
      <c r="I300" s="79"/>
      <c r="J300" s="79"/>
      <c r="K300" s="79"/>
      <c r="L300" s="88"/>
      <c r="M300" s="158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92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171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92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92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170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170"/>
      <c r="I306" s="163"/>
      <c r="J306" s="164"/>
      <c r="K306" s="163"/>
      <c r="L306" s="162"/>
      <c r="M306" s="161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95"/>
      <c r="I307" s="79"/>
      <c r="J307" s="79"/>
      <c r="K307" s="79"/>
      <c r="L307" s="88"/>
      <c r="M307" s="158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168"/>
      <c r="J308" s="169"/>
      <c r="K308" s="168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58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168"/>
      <c r="J314" s="169"/>
      <c r="K314" s="168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96"/>
      <c r="J330" s="96"/>
      <c r="K330" s="96"/>
      <c r="L330" s="162"/>
      <c r="M330" s="161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96"/>
      <c r="J331" s="96"/>
      <c r="K331" s="96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67"/>
      <c r="C338" s="166"/>
      <c r="D338" s="165"/>
      <c r="E338" s="165"/>
      <c r="F338" s="96"/>
      <c r="G338" s="165"/>
      <c r="H338" s="97"/>
      <c r="I338" s="163"/>
      <c r="J338" s="164"/>
      <c r="K338" s="163"/>
      <c r="L338" s="162"/>
      <c r="M338" s="161"/>
      <c r="N338" s="157"/>
    </row>
    <row r="339" spans="2:14" x14ac:dyDescent="0.2">
      <c r="B339" s="167"/>
      <c r="C339" s="166"/>
      <c r="D339" s="165"/>
      <c r="E339" s="165"/>
      <c r="F339" s="96"/>
      <c r="G339" s="165"/>
      <c r="H339" s="97"/>
      <c r="I339" s="163"/>
      <c r="J339" s="164"/>
      <c r="K339" s="163"/>
      <c r="L339" s="162"/>
      <c r="M339" s="161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80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58"/>
      <c r="N342" s="157"/>
    </row>
    <row r="343" spans="2:14" x14ac:dyDescent="0.2">
      <c r="B343" s="160"/>
      <c r="C343" s="166"/>
      <c r="D343" s="165"/>
      <c r="E343" s="165"/>
      <c r="F343" s="96"/>
      <c r="G343" s="165"/>
      <c r="H343" s="97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0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97"/>
      <c r="I346" s="163"/>
      <c r="J346" s="164"/>
      <c r="K346" s="163"/>
      <c r="L346" s="162"/>
      <c r="M346" s="161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58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79"/>
      <c r="J351" s="79"/>
      <c r="K351" s="79"/>
      <c r="L351" s="88"/>
      <c r="M351" s="158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0"/>
      <c r="C353" s="159"/>
      <c r="D353" s="87"/>
      <c r="E353" s="87"/>
      <c r="F353" s="79"/>
      <c r="G353" s="87"/>
      <c r="H353" s="80"/>
      <c r="I353" s="79"/>
      <c r="J353" s="79"/>
      <c r="K353" s="79"/>
      <c r="L353" s="88"/>
      <c r="M353" s="158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7"/>
      <c r="C355" s="166"/>
      <c r="D355" s="165"/>
      <c r="E355" s="165"/>
      <c r="F355" s="96"/>
      <c r="G355" s="165"/>
      <c r="H355" s="97"/>
      <c r="I355" s="163"/>
      <c r="J355" s="164"/>
      <c r="K355" s="163"/>
      <c r="L355" s="162"/>
      <c r="M355" s="161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0"/>
      <c r="C357" s="159"/>
      <c r="D357" s="87"/>
      <c r="E357" s="87"/>
      <c r="F357" s="79"/>
      <c r="G357" s="87"/>
      <c r="H357" s="80"/>
      <c r="I357" s="79"/>
      <c r="J357" s="79"/>
      <c r="K357" s="79"/>
      <c r="L357" s="88"/>
      <c r="M357" s="158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0"/>
      <c r="C364" s="159"/>
      <c r="D364" s="87"/>
      <c r="E364" s="87"/>
      <c r="F364" s="79"/>
      <c r="G364" s="87"/>
      <c r="H364" s="80"/>
      <c r="I364" s="79"/>
      <c r="J364" s="79"/>
      <c r="K364" s="79"/>
      <c r="L364" s="88"/>
      <c r="M364" s="158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0"/>
      <c r="C367" s="159"/>
      <c r="D367" s="87"/>
      <c r="E367" s="87"/>
      <c r="F367" s="79"/>
      <c r="G367" s="87"/>
      <c r="H367" s="80"/>
      <c r="I367" s="79"/>
      <c r="J367" s="79"/>
      <c r="K367" s="79"/>
      <c r="L367" s="88"/>
      <c r="M367" s="158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0"/>
      <c r="C370" s="159"/>
      <c r="D370" s="87"/>
      <c r="E370" s="87"/>
      <c r="F370" s="79"/>
      <c r="G370" s="87"/>
      <c r="H370" s="80"/>
      <c r="I370" s="79"/>
      <c r="J370" s="79"/>
      <c r="K370" s="79"/>
      <c r="L370" s="88"/>
      <c r="M370" s="158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168"/>
      <c r="J371" s="169"/>
      <c r="K371" s="168"/>
      <c r="L371" s="88"/>
      <c r="M371" s="158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163"/>
      <c r="J372" s="164"/>
      <c r="K372" s="163"/>
      <c r="L372" s="162"/>
      <c r="M372" s="161"/>
      <c r="N372" s="157"/>
    </row>
    <row r="373" spans="2:14" x14ac:dyDescent="0.2">
      <c r="B373" s="160"/>
      <c r="C373" s="159"/>
      <c r="D373" s="87"/>
      <c r="E373" s="87"/>
      <c r="F373" s="79"/>
      <c r="G373" s="87"/>
      <c r="H373" s="80"/>
      <c r="I373" s="79"/>
      <c r="J373" s="79"/>
      <c r="K373" s="79"/>
      <c r="L373" s="88"/>
      <c r="M373" s="158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168"/>
      <c r="J374" s="169"/>
      <c r="K374" s="168"/>
      <c r="L374" s="88"/>
      <c r="M374" s="158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0"/>
      <c r="C376" s="159"/>
      <c r="D376" s="87"/>
      <c r="E376" s="87"/>
      <c r="F376" s="79"/>
      <c r="G376" s="87"/>
      <c r="H376" s="80"/>
      <c r="I376" s="79"/>
      <c r="J376" s="79"/>
      <c r="K376" s="79"/>
      <c r="L376" s="88"/>
      <c r="M376" s="158"/>
      <c r="N376" s="157"/>
    </row>
    <row r="377" spans="2:14" x14ac:dyDescent="0.2">
      <c r="B377" s="160"/>
      <c r="C377" s="159"/>
      <c r="D377" s="87"/>
      <c r="E377" s="87"/>
      <c r="F377" s="79"/>
      <c r="G377" s="87"/>
      <c r="H377" s="80"/>
      <c r="I377" s="79"/>
      <c r="J377" s="79"/>
      <c r="K377" s="79"/>
      <c r="L377" s="88"/>
      <c r="M377" s="158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0"/>
      <c r="C379" s="159"/>
      <c r="D379" s="87"/>
      <c r="E379" s="87"/>
      <c r="F379" s="79"/>
      <c r="G379" s="87"/>
      <c r="H379" s="80"/>
      <c r="I379" s="79"/>
      <c r="J379" s="79"/>
      <c r="K379" s="79"/>
      <c r="L379" s="88"/>
      <c r="M379" s="158"/>
      <c r="N379" s="157"/>
    </row>
    <row r="380" spans="2:14" x14ac:dyDescent="0.2">
      <c r="B380" s="160"/>
      <c r="C380" s="159"/>
      <c r="D380" s="87"/>
      <c r="E380" s="87"/>
      <c r="F380" s="79"/>
      <c r="G380" s="87"/>
      <c r="H380" s="80"/>
      <c r="I380" s="168"/>
      <c r="J380" s="169"/>
      <c r="K380" s="168"/>
      <c r="L380" s="88"/>
      <c r="M380" s="158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0"/>
      <c r="C384" s="159"/>
      <c r="D384" s="87"/>
      <c r="E384" s="87"/>
      <c r="F384" s="79"/>
      <c r="G384" s="87"/>
      <c r="H384" s="80"/>
      <c r="I384" s="79"/>
      <c r="J384" s="79"/>
      <c r="K384" s="79"/>
      <c r="L384" s="88"/>
      <c r="M384" s="158"/>
      <c r="N384" s="157"/>
    </row>
    <row r="385" spans="2:14" x14ac:dyDescent="0.2">
      <c r="B385" s="160"/>
      <c r="C385" s="159"/>
      <c r="D385" s="87"/>
      <c r="E385" s="87"/>
      <c r="F385" s="79"/>
      <c r="G385" s="87"/>
      <c r="H385" s="80"/>
      <c r="I385" s="168"/>
      <c r="J385" s="169"/>
      <c r="K385" s="168"/>
      <c r="L385" s="88"/>
      <c r="M385" s="158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0"/>
      <c r="C387" s="159"/>
      <c r="D387" s="87"/>
      <c r="E387" s="87"/>
      <c r="F387" s="79"/>
      <c r="G387" s="87"/>
      <c r="H387" s="80"/>
      <c r="I387" s="79"/>
      <c r="J387" s="79"/>
      <c r="K387" s="79"/>
      <c r="L387" s="88"/>
      <c r="M387" s="158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168"/>
      <c r="J388" s="169"/>
      <c r="K388" s="168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0"/>
      <c r="C390" s="159"/>
      <c r="D390" s="87"/>
      <c r="E390" s="87"/>
      <c r="F390" s="79"/>
      <c r="G390" s="87"/>
      <c r="H390" s="80"/>
      <c r="I390" s="79"/>
      <c r="J390" s="79"/>
      <c r="K390" s="79"/>
      <c r="L390" s="88"/>
      <c r="M390" s="158"/>
      <c r="N390" s="157"/>
    </row>
    <row r="391" spans="2:14" x14ac:dyDescent="0.2">
      <c r="B391" s="156"/>
      <c r="C391" s="156"/>
      <c r="D391" s="156"/>
      <c r="E391" s="102"/>
      <c r="F391" s="102"/>
      <c r="G391" s="156"/>
      <c r="H391" s="156"/>
      <c r="I391" s="156"/>
      <c r="J391" s="156"/>
      <c r="K391" s="156"/>
      <c r="L391" s="102"/>
      <c r="M391" s="156"/>
      <c r="N391" s="156"/>
    </row>
    <row r="392" spans="2:14" x14ac:dyDescent="0.2">
      <c r="H392" s="151"/>
    </row>
    <row r="393" spans="2:14" x14ac:dyDescent="0.2">
      <c r="H393" s="151"/>
    </row>
    <row r="395" spans="2:14" x14ac:dyDescent="0.2">
      <c r="H395" s="151"/>
    </row>
    <row r="396" spans="2:14" x14ac:dyDescent="0.2">
      <c r="H396" s="151"/>
    </row>
    <row r="397" spans="2:14" x14ac:dyDescent="0.2">
      <c r="L397" s="155"/>
    </row>
    <row r="398" spans="2:14" x14ac:dyDescent="0.2">
      <c r="L398" s="155"/>
    </row>
    <row r="399" spans="2:14" x14ac:dyDescent="0.2">
      <c r="L399" s="154"/>
    </row>
    <row r="401" spans="7:12" x14ac:dyDescent="0.2">
      <c r="L401" s="153"/>
    </row>
    <row r="405" spans="7:12" x14ac:dyDescent="0.2">
      <c r="G405" s="151"/>
    </row>
    <row r="406" spans="7:12" x14ac:dyDescent="0.2">
      <c r="G406" s="152"/>
    </row>
    <row r="409" spans="7:12" x14ac:dyDescent="0.2">
      <c r="G409" s="151"/>
    </row>
  </sheetData>
  <sortState ref="A4:Y20">
    <sortCondition descending="1" ref="I4:I20"/>
  </sortState>
  <mergeCells count="2">
    <mergeCell ref="I25:J26"/>
    <mergeCell ref="T25:U26"/>
  </mergeCells>
  <conditionalFormatting sqref="E240:E241 E288:E289 E281 E271:E272 E243:E244 E284:E285 E292:E294 E154">
    <cfRule type="containsText" dxfId="4693" priority="1166" operator="containsText" text="Buy">
      <formula>NOT(ISERROR(SEARCH("Buy",E154)))</formula>
    </cfRule>
    <cfRule type="containsText" dxfId="4692" priority="1167" operator="containsText" text="Sell">
      <formula>NOT(ISERROR(SEARCH("Sell",E154)))</formula>
    </cfRule>
  </conditionalFormatting>
  <conditionalFormatting sqref="E313:E314 E303:E304 E308">
    <cfRule type="containsText" dxfId="4691" priority="1164" operator="containsText" text="Buy">
      <formula>NOT(ISERROR(SEARCH("Buy",E303)))</formula>
    </cfRule>
    <cfRule type="containsText" dxfId="4690" priority="1165" operator="containsText" text="Sell">
      <formula>NOT(ISERROR(SEARCH("Sell",E303)))</formula>
    </cfRule>
  </conditionalFormatting>
  <conditionalFormatting sqref="E329:E331 E388 E385 E380 E374 E371 E368 E365 E358 E354 E348 E338">
    <cfRule type="containsText" dxfId="4689" priority="1162" operator="containsText" text="Buy">
      <formula>NOT(ISERROR(SEARCH("Buy",E329)))</formula>
    </cfRule>
    <cfRule type="containsText" dxfId="4688" priority="1163" operator="containsText" text="Sell">
      <formula>NOT(ISERROR(SEARCH("Sell",E329)))</formula>
    </cfRule>
  </conditionalFormatting>
  <conditionalFormatting sqref="E328">
    <cfRule type="containsText" dxfId="4687" priority="1160" operator="containsText" text="Buy">
      <formula>NOT(ISERROR(SEARCH("Buy",E328)))</formula>
    </cfRule>
    <cfRule type="containsText" dxfId="4686" priority="1161" operator="containsText" text="Sell">
      <formula>NOT(ISERROR(SEARCH("Sell",E328)))</formula>
    </cfRule>
  </conditionalFormatting>
  <conditionalFormatting sqref="E327">
    <cfRule type="containsText" dxfId="4685" priority="1158" operator="containsText" text="Buy">
      <formula>NOT(ISERROR(SEARCH("Buy",E327)))</formula>
    </cfRule>
    <cfRule type="containsText" dxfId="4684" priority="1159" operator="containsText" text="Sell">
      <formula>NOT(ISERROR(SEARCH("Sell",E327)))</formula>
    </cfRule>
  </conditionalFormatting>
  <conditionalFormatting sqref="E326">
    <cfRule type="containsText" dxfId="4683" priority="1156" operator="containsText" text="Buy">
      <formula>NOT(ISERROR(SEARCH("Buy",E326)))</formula>
    </cfRule>
    <cfRule type="containsText" dxfId="4682" priority="1157" operator="containsText" text="Sell">
      <formula>NOT(ISERROR(SEARCH("Sell",E326)))</formula>
    </cfRule>
  </conditionalFormatting>
  <conditionalFormatting sqref="E239">
    <cfRule type="containsText" dxfId="4681" priority="1154" operator="containsText" text="Buy">
      <formula>NOT(ISERROR(SEARCH("Buy",E239)))</formula>
    </cfRule>
    <cfRule type="containsText" dxfId="4680" priority="1155" operator="containsText" text="Sell">
      <formula>NOT(ISERROR(SEARCH("Sell",E239)))</formula>
    </cfRule>
  </conditionalFormatting>
  <conditionalFormatting sqref="E238">
    <cfRule type="containsText" dxfId="4679" priority="1152" operator="containsText" text="Buy">
      <formula>NOT(ISERROR(SEARCH("Buy",E238)))</formula>
    </cfRule>
    <cfRule type="containsText" dxfId="4678" priority="1153" operator="containsText" text="Sell">
      <formula>NOT(ISERROR(SEARCH("Sell",E238)))</formula>
    </cfRule>
  </conditionalFormatting>
  <conditionalFormatting sqref="E287">
    <cfRule type="containsText" dxfId="4677" priority="1150" operator="containsText" text="Buy">
      <formula>NOT(ISERROR(SEARCH("Buy",E287)))</formula>
    </cfRule>
    <cfRule type="containsText" dxfId="4676" priority="1151" operator="containsText" text="Sell">
      <formula>NOT(ISERROR(SEARCH("Sell",E287)))</formula>
    </cfRule>
  </conditionalFormatting>
  <conditionalFormatting sqref="E286">
    <cfRule type="containsText" dxfId="4675" priority="1148" operator="containsText" text="Buy">
      <formula>NOT(ISERROR(SEARCH("Buy",E286)))</formula>
    </cfRule>
    <cfRule type="containsText" dxfId="4674" priority="1149" operator="containsText" text="Sell">
      <formula>NOT(ISERROR(SEARCH("Sell",E286)))</formula>
    </cfRule>
  </conditionalFormatting>
  <conditionalFormatting sqref="E273:E275">
    <cfRule type="containsText" dxfId="4673" priority="1146" operator="containsText" text="Buy">
      <formula>NOT(ISERROR(SEARCH("Buy",E273)))</formula>
    </cfRule>
    <cfRule type="containsText" dxfId="4672" priority="1147" operator="containsText" text="Sell">
      <formula>NOT(ISERROR(SEARCH("Sell",E273)))</formula>
    </cfRule>
  </conditionalFormatting>
  <conditionalFormatting sqref="E270">
    <cfRule type="containsText" dxfId="4671" priority="1144" operator="containsText" text="Buy">
      <formula>NOT(ISERROR(SEARCH("Buy",E270)))</formula>
    </cfRule>
    <cfRule type="containsText" dxfId="4670" priority="1145" operator="containsText" text="Sell">
      <formula>NOT(ISERROR(SEARCH("Sell",E270)))</formula>
    </cfRule>
  </conditionalFormatting>
  <conditionalFormatting sqref="E269">
    <cfRule type="containsText" dxfId="4669" priority="1142" operator="containsText" text="Buy">
      <formula>NOT(ISERROR(SEARCH("Buy",E269)))</formula>
    </cfRule>
    <cfRule type="containsText" dxfId="4668" priority="1143" operator="containsText" text="Sell">
      <formula>NOT(ISERROR(SEARCH("Sell",E269)))</formula>
    </cfRule>
  </conditionalFormatting>
  <conditionalFormatting sqref="E268">
    <cfRule type="containsText" dxfId="4667" priority="1140" operator="containsText" text="Buy">
      <formula>NOT(ISERROR(SEARCH("Buy",E268)))</formula>
    </cfRule>
    <cfRule type="containsText" dxfId="4666" priority="1141" operator="containsText" text="Sell">
      <formula>NOT(ISERROR(SEARCH("Sell",E268)))</formula>
    </cfRule>
  </conditionalFormatting>
  <conditionalFormatting sqref="E267">
    <cfRule type="containsText" dxfId="4665" priority="1138" operator="containsText" text="Buy">
      <formula>NOT(ISERROR(SEARCH("Buy",E267)))</formula>
    </cfRule>
    <cfRule type="containsText" dxfId="4664" priority="1139" operator="containsText" text="Sell">
      <formula>NOT(ISERROR(SEARCH("Sell",E267)))</formula>
    </cfRule>
  </conditionalFormatting>
  <conditionalFormatting sqref="E266">
    <cfRule type="containsText" dxfId="4663" priority="1136" operator="containsText" text="Buy">
      <formula>NOT(ISERROR(SEARCH("Buy",E266)))</formula>
    </cfRule>
    <cfRule type="containsText" dxfId="4662" priority="1137" operator="containsText" text="Sell">
      <formula>NOT(ISERROR(SEARCH("Sell",E266)))</formula>
    </cfRule>
  </conditionalFormatting>
  <conditionalFormatting sqref="E265">
    <cfRule type="containsText" dxfId="4661" priority="1134" operator="containsText" text="Buy">
      <formula>NOT(ISERROR(SEARCH("Buy",E265)))</formula>
    </cfRule>
    <cfRule type="containsText" dxfId="4660" priority="1135" operator="containsText" text="Sell">
      <formula>NOT(ISERROR(SEARCH("Sell",E265)))</formula>
    </cfRule>
  </conditionalFormatting>
  <conditionalFormatting sqref="E264">
    <cfRule type="containsText" dxfId="4659" priority="1132" operator="containsText" text="Buy">
      <formula>NOT(ISERROR(SEARCH("Buy",E264)))</formula>
    </cfRule>
    <cfRule type="containsText" dxfId="4658" priority="1133" operator="containsText" text="Sell">
      <formula>NOT(ISERROR(SEARCH("Sell",E264)))</formula>
    </cfRule>
  </conditionalFormatting>
  <conditionalFormatting sqref="E257:E259">
    <cfRule type="containsText" dxfId="4657" priority="1130" operator="containsText" text="Buy">
      <formula>NOT(ISERROR(SEARCH("Buy",E257)))</formula>
    </cfRule>
    <cfRule type="containsText" dxfId="4656" priority="1131" operator="containsText" text="Sell">
      <formula>NOT(ISERROR(SEARCH("Sell",E257)))</formula>
    </cfRule>
  </conditionalFormatting>
  <conditionalFormatting sqref="E256">
    <cfRule type="containsText" dxfId="4655" priority="1128" operator="containsText" text="Buy">
      <formula>NOT(ISERROR(SEARCH("Buy",E256)))</formula>
    </cfRule>
    <cfRule type="containsText" dxfId="4654" priority="1129" operator="containsText" text="Sell">
      <formula>NOT(ISERROR(SEARCH("Sell",E256)))</formula>
    </cfRule>
  </conditionalFormatting>
  <conditionalFormatting sqref="E255">
    <cfRule type="containsText" dxfId="4653" priority="1126" operator="containsText" text="Buy">
      <formula>NOT(ISERROR(SEARCH("Buy",E255)))</formula>
    </cfRule>
    <cfRule type="containsText" dxfId="4652" priority="1127" operator="containsText" text="Sell">
      <formula>NOT(ISERROR(SEARCH("Sell",E255)))</formula>
    </cfRule>
  </conditionalFormatting>
  <conditionalFormatting sqref="E254">
    <cfRule type="containsText" dxfId="4651" priority="1124" operator="containsText" text="Buy">
      <formula>NOT(ISERROR(SEARCH("Buy",E254)))</formula>
    </cfRule>
    <cfRule type="containsText" dxfId="4650" priority="1125" operator="containsText" text="Sell">
      <formula>NOT(ISERROR(SEARCH("Sell",E254)))</formula>
    </cfRule>
  </conditionalFormatting>
  <conditionalFormatting sqref="E253">
    <cfRule type="containsText" dxfId="4649" priority="1122" operator="containsText" text="Buy">
      <formula>NOT(ISERROR(SEARCH("Buy",E253)))</formula>
    </cfRule>
    <cfRule type="containsText" dxfId="4648" priority="1123" operator="containsText" text="Sell">
      <formula>NOT(ISERROR(SEARCH("Sell",E253)))</formula>
    </cfRule>
  </conditionalFormatting>
  <conditionalFormatting sqref="E252">
    <cfRule type="containsText" dxfId="4647" priority="1120" operator="containsText" text="Buy">
      <formula>NOT(ISERROR(SEARCH("Buy",E252)))</formula>
    </cfRule>
    <cfRule type="containsText" dxfId="4646" priority="1121" operator="containsText" text="Sell">
      <formula>NOT(ISERROR(SEARCH("Sell",E252)))</formula>
    </cfRule>
  </conditionalFormatting>
  <conditionalFormatting sqref="E251">
    <cfRule type="containsText" dxfId="4645" priority="1118" operator="containsText" text="Buy">
      <formula>NOT(ISERROR(SEARCH("Buy",E251)))</formula>
    </cfRule>
    <cfRule type="containsText" dxfId="4644" priority="1119" operator="containsText" text="Sell">
      <formula>NOT(ISERROR(SEARCH("Sell",E251)))</formula>
    </cfRule>
  </conditionalFormatting>
  <conditionalFormatting sqref="E250">
    <cfRule type="containsText" dxfId="4643" priority="1116" operator="containsText" text="Buy">
      <formula>NOT(ISERROR(SEARCH("Buy",E250)))</formula>
    </cfRule>
    <cfRule type="containsText" dxfId="4642" priority="1117" operator="containsText" text="Sell">
      <formula>NOT(ISERROR(SEARCH("Sell",E250)))</formula>
    </cfRule>
  </conditionalFormatting>
  <conditionalFormatting sqref="E249">
    <cfRule type="containsText" dxfId="4641" priority="1114" operator="containsText" text="Buy">
      <formula>NOT(ISERROR(SEARCH("Buy",E249)))</formula>
    </cfRule>
    <cfRule type="containsText" dxfId="4640" priority="1115" operator="containsText" text="Sell">
      <formula>NOT(ISERROR(SEARCH("Sell",E249)))</formula>
    </cfRule>
  </conditionalFormatting>
  <conditionalFormatting sqref="E248">
    <cfRule type="containsText" dxfId="4639" priority="1112" operator="containsText" text="Buy">
      <formula>NOT(ISERROR(SEARCH("Buy",E248)))</formula>
    </cfRule>
    <cfRule type="containsText" dxfId="4638" priority="1113" operator="containsText" text="Sell">
      <formula>NOT(ISERROR(SEARCH("Sell",E248)))</formula>
    </cfRule>
  </conditionalFormatting>
  <conditionalFormatting sqref="E247">
    <cfRule type="containsText" dxfId="4637" priority="1110" operator="containsText" text="Buy">
      <formula>NOT(ISERROR(SEARCH("Buy",E247)))</formula>
    </cfRule>
    <cfRule type="containsText" dxfId="4636" priority="1111" operator="containsText" text="Sell">
      <formula>NOT(ISERROR(SEARCH("Sell",E247)))</formula>
    </cfRule>
  </conditionalFormatting>
  <conditionalFormatting sqref="E246">
    <cfRule type="containsText" dxfId="4635" priority="1108" operator="containsText" text="Buy">
      <formula>NOT(ISERROR(SEARCH("Buy",E246)))</formula>
    </cfRule>
    <cfRule type="containsText" dxfId="4634" priority="1109" operator="containsText" text="Sell">
      <formula>NOT(ISERROR(SEARCH("Sell",E246)))</formula>
    </cfRule>
  </conditionalFormatting>
  <conditionalFormatting sqref="E242">
    <cfRule type="containsText" dxfId="4633" priority="1106" operator="containsText" text="Buy">
      <formula>NOT(ISERROR(SEARCH("Buy",E242)))</formula>
    </cfRule>
    <cfRule type="containsText" dxfId="4632" priority="1107" operator="containsText" text="Sell">
      <formula>NOT(ISERROR(SEARCH("Sell",E242)))</formula>
    </cfRule>
  </conditionalFormatting>
  <conditionalFormatting sqref="E302">
    <cfRule type="containsText" dxfId="4631" priority="1104" operator="containsText" text="Buy">
      <formula>NOT(ISERROR(SEARCH("Buy",E302)))</formula>
    </cfRule>
    <cfRule type="containsText" dxfId="4630" priority="1105" operator="containsText" text="Sell">
      <formula>NOT(ISERROR(SEARCH("Sell",E302)))</formula>
    </cfRule>
  </conditionalFormatting>
  <conditionalFormatting sqref="E301 E298">
    <cfRule type="containsText" dxfId="4629" priority="1102" operator="containsText" text="Buy">
      <formula>NOT(ISERROR(SEARCH("Buy",E298)))</formula>
    </cfRule>
    <cfRule type="containsText" dxfId="4628" priority="1103" operator="containsText" text="Sell">
      <formula>NOT(ISERROR(SEARCH("Sell",E298)))</formula>
    </cfRule>
  </conditionalFormatting>
  <conditionalFormatting sqref="E307">
    <cfRule type="containsText" dxfId="4627" priority="1100" operator="containsText" text="Buy">
      <formula>NOT(ISERROR(SEARCH("Buy",E307)))</formula>
    </cfRule>
    <cfRule type="containsText" dxfId="4626" priority="1101" operator="containsText" text="Sell">
      <formula>NOT(ISERROR(SEARCH("Sell",E307)))</formula>
    </cfRule>
  </conditionalFormatting>
  <conditionalFormatting sqref="E389:E390">
    <cfRule type="containsText" dxfId="4625" priority="1096" operator="containsText" text="Buy">
      <formula>NOT(ISERROR(SEARCH("Buy",E389)))</formula>
    </cfRule>
    <cfRule type="containsText" dxfId="4624" priority="1097" operator="containsText" text="Sell">
      <formula>NOT(ISERROR(SEARCH("Sell",E389)))</formula>
    </cfRule>
  </conditionalFormatting>
  <conditionalFormatting sqref="E300">
    <cfRule type="containsText" dxfId="4623" priority="1094" operator="containsText" text="Buy">
      <formula>NOT(ISERROR(SEARCH("Buy",E300)))</formula>
    </cfRule>
    <cfRule type="containsText" dxfId="4622" priority="1095" operator="containsText" text="Sell">
      <formula>NOT(ISERROR(SEARCH("Sell",E300)))</formula>
    </cfRule>
  </conditionalFormatting>
  <conditionalFormatting sqref="E297">
    <cfRule type="containsText" dxfId="4621" priority="1092" operator="containsText" text="Buy">
      <formula>NOT(ISERROR(SEARCH("Buy",E297)))</formula>
    </cfRule>
    <cfRule type="containsText" dxfId="4620" priority="1093" operator="containsText" text="Sell">
      <formula>NOT(ISERROR(SEARCH("Sell",E297)))</formula>
    </cfRule>
  </conditionalFormatting>
  <conditionalFormatting sqref="E296">
    <cfRule type="containsText" dxfId="4619" priority="1090" operator="containsText" text="Buy">
      <formula>NOT(ISERROR(SEARCH("Buy",E296)))</formula>
    </cfRule>
    <cfRule type="containsText" dxfId="4618" priority="1091" operator="containsText" text="Sell">
      <formula>NOT(ISERROR(SEARCH("Sell",E296)))</formula>
    </cfRule>
  </conditionalFormatting>
  <conditionalFormatting sqref="E283">
    <cfRule type="containsText" dxfId="4617" priority="1088" operator="containsText" text="Buy">
      <formula>NOT(ISERROR(SEARCH("Buy",E283)))</formula>
    </cfRule>
    <cfRule type="containsText" dxfId="4616" priority="1089" operator="containsText" text="Sell">
      <formula>NOT(ISERROR(SEARCH("Sell",E283)))</formula>
    </cfRule>
  </conditionalFormatting>
  <conditionalFormatting sqref="E220:E223 E233 E230:E231">
    <cfRule type="containsText" dxfId="4615" priority="1084" operator="containsText" text="Buy">
      <formula>NOT(ISERROR(SEARCH("Buy",E220)))</formula>
    </cfRule>
    <cfRule type="containsText" dxfId="4614" priority="1085" operator="containsText" text="Sell">
      <formula>NOT(ISERROR(SEARCH("Sell",E220)))</formula>
    </cfRule>
  </conditionalFormatting>
  <conditionalFormatting sqref="E386:E387">
    <cfRule type="containsText" dxfId="4613" priority="1082" operator="containsText" text="Buy">
      <formula>NOT(ISERROR(SEARCH("Buy",E386)))</formula>
    </cfRule>
    <cfRule type="containsText" dxfId="4612" priority="1083" operator="containsText" text="Sell">
      <formula>NOT(ISERROR(SEARCH("Sell",E386)))</formula>
    </cfRule>
  </conditionalFormatting>
  <conditionalFormatting sqref="E383:E384">
    <cfRule type="containsText" dxfId="4611" priority="1080" operator="containsText" text="Buy">
      <formula>NOT(ISERROR(SEARCH("Buy",E383)))</formula>
    </cfRule>
    <cfRule type="containsText" dxfId="4610" priority="1081" operator="containsText" text="Sell">
      <formula>NOT(ISERROR(SEARCH("Sell",E383)))</formula>
    </cfRule>
  </conditionalFormatting>
  <conditionalFormatting sqref="E381:E382">
    <cfRule type="containsText" dxfId="4609" priority="1078" operator="containsText" text="Buy">
      <formula>NOT(ISERROR(SEARCH("Buy",E381)))</formula>
    </cfRule>
    <cfRule type="containsText" dxfId="4608" priority="1079" operator="containsText" text="Sell">
      <formula>NOT(ISERROR(SEARCH("Sell",E381)))</formula>
    </cfRule>
  </conditionalFormatting>
  <conditionalFormatting sqref="E378:E379">
    <cfRule type="containsText" dxfId="4607" priority="1076" operator="containsText" text="Buy">
      <formula>NOT(ISERROR(SEARCH("Buy",E378)))</formula>
    </cfRule>
    <cfRule type="containsText" dxfId="4606" priority="1077" operator="containsText" text="Sell">
      <formula>NOT(ISERROR(SEARCH("Sell",E378)))</formula>
    </cfRule>
  </conditionalFormatting>
  <conditionalFormatting sqref="E375:E377">
    <cfRule type="containsText" dxfId="4605" priority="1074" operator="containsText" text="Buy">
      <formula>NOT(ISERROR(SEARCH("Buy",E375)))</formula>
    </cfRule>
    <cfRule type="containsText" dxfId="4604" priority="1075" operator="containsText" text="Sell">
      <formula>NOT(ISERROR(SEARCH("Sell",E375)))</formula>
    </cfRule>
  </conditionalFormatting>
  <conditionalFormatting sqref="E372:E373">
    <cfRule type="containsText" dxfId="4603" priority="1072" operator="containsText" text="Buy">
      <formula>NOT(ISERROR(SEARCH("Buy",E372)))</formula>
    </cfRule>
    <cfRule type="containsText" dxfId="4602" priority="1073" operator="containsText" text="Sell">
      <formula>NOT(ISERROR(SEARCH("Sell",E372)))</formula>
    </cfRule>
  </conditionalFormatting>
  <conditionalFormatting sqref="E369:E370">
    <cfRule type="containsText" dxfId="4601" priority="1070" operator="containsText" text="Buy">
      <formula>NOT(ISERROR(SEARCH("Buy",E369)))</formula>
    </cfRule>
    <cfRule type="containsText" dxfId="4600" priority="1071" operator="containsText" text="Sell">
      <formula>NOT(ISERROR(SEARCH("Sell",E369)))</formula>
    </cfRule>
  </conditionalFormatting>
  <conditionalFormatting sqref="E366:E367">
    <cfRule type="containsText" dxfId="4599" priority="1068" operator="containsText" text="Buy">
      <formula>NOT(ISERROR(SEARCH("Buy",E366)))</formula>
    </cfRule>
    <cfRule type="containsText" dxfId="4598" priority="1069" operator="containsText" text="Sell">
      <formula>NOT(ISERROR(SEARCH("Sell",E366)))</formula>
    </cfRule>
  </conditionalFormatting>
  <conditionalFormatting sqref="E362">
    <cfRule type="containsText" dxfId="4597" priority="1064" operator="containsText" text="Buy">
      <formula>NOT(ISERROR(SEARCH("Buy",E362)))</formula>
    </cfRule>
    <cfRule type="containsText" dxfId="4596" priority="1065" operator="containsText" text="Sell">
      <formula>NOT(ISERROR(SEARCH("Sell",E362)))</formula>
    </cfRule>
  </conditionalFormatting>
  <conditionalFormatting sqref="E363:E364">
    <cfRule type="containsText" dxfId="4595" priority="1066" operator="containsText" text="Buy">
      <formula>NOT(ISERROR(SEARCH("Buy",E363)))</formula>
    </cfRule>
    <cfRule type="containsText" dxfId="4594" priority="1067" operator="containsText" text="Sell">
      <formula>NOT(ISERROR(SEARCH("Sell",E363)))</formula>
    </cfRule>
  </conditionalFormatting>
  <conditionalFormatting sqref="E356:E357">
    <cfRule type="containsText" dxfId="4593" priority="1062" operator="containsText" text="Buy">
      <formula>NOT(ISERROR(SEARCH("Buy",E356)))</formula>
    </cfRule>
    <cfRule type="containsText" dxfId="4592" priority="1063" operator="containsText" text="Sell">
      <formula>NOT(ISERROR(SEARCH("Sell",E356)))</formula>
    </cfRule>
  </conditionalFormatting>
  <conditionalFormatting sqref="E352:E353">
    <cfRule type="containsText" dxfId="4591" priority="1060" operator="containsText" text="Buy">
      <formula>NOT(ISERROR(SEARCH("Buy",E352)))</formula>
    </cfRule>
    <cfRule type="containsText" dxfId="4590" priority="1061" operator="containsText" text="Sell">
      <formula>NOT(ISERROR(SEARCH("Sell",E352)))</formula>
    </cfRule>
  </conditionalFormatting>
  <conditionalFormatting sqref="E217:E218">
    <cfRule type="containsText" dxfId="4589" priority="1058" operator="containsText" text="Buy">
      <formula>NOT(ISERROR(SEARCH("Buy",E217)))</formula>
    </cfRule>
    <cfRule type="containsText" dxfId="4588" priority="1059" operator="containsText" text="Sell">
      <formula>NOT(ISERROR(SEARCH("Sell",E217)))</formula>
    </cfRule>
  </conditionalFormatting>
  <conditionalFormatting sqref="E212:E213">
    <cfRule type="containsText" dxfId="4587" priority="1056" operator="containsText" text="Buy">
      <formula>NOT(ISERROR(SEARCH("Buy",E212)))</formula>
    </cfRule>
    <cfRule type="containsText" dxfId="4586" priority="1057" operator="containsText" text="Sell">
      <formula>NOT(ISERROR(SEARCH("Sell",E212)))</formula>
    </cfRule>
  </conditionalFormatting>
  <conditionalFormatting sqref="E229">
    <cfRule type="containsText" dxfId="4585" priority="1054" operator="containsText" text="Buy">
      <formula>NOT(ISERROR(SEARCH("Buy",E229)))</formula>
    </cfRule>
    <cfRule type="containsText" dxfId="4584" priority="1055" operator="containsText" text="Sell">
      <formula>NOT(ISERROR(SEARCH("Sell",E229)))</formula>
    </cfRule>
  </conditionalFormatting>
  <conditionalFormatting sqref="E228">
    <cfRule type="containsText" dxfId="4583" priority="1052" operator="containsText" text="Buy">
      <formula>NOT(ISERROR(SEARCH("Buy",E228)))</formula>
    </cfRule>
    <cfRule type="containsText" dxfId="4582" priority="1053" operator="containsText" text="Sell">
      <formula>NOT(ISERROR(SEARCH("Sell",E228)))</formula>
    </cfRule>
  </conditionalFormatting>
  <conditionalFormatting sqref="E224">
    <cfRule type="containsText" dxfId="4581" priority="1050" operator="containsText" text="Buy">
      <formula>NOT(ISERROR(SEARCH("Buy",E224)))</formula>
    </cfRule>
    <cfRule type="containsText" dxfId="4580" priority="1051" operator="containsText" text="Sell">
      <formula>NOT(ISERROR(SEARCH("Sell",E224)))</formula>
    </cfRule>
  </conditionalFormatting>
  <conditionalFormatting sqref="E349:E351">
    <cfRule type="containsText" dxfId="4579" priority="1046" operator="containsText" text="Buy">
      <formula>NOT(ISERROR(SEARCH("Buy",E349)))</formula>
    </cfRule>
    <cfRule type="containsText" dxfId="4578" priority="1047" operator="containsText" text="Sell">
      <formula>NOT(ISERROR(SEARCH("Sell",E349)))</formula>
    </cfRule>
  </conditionalFormatting>
  <conditionalFormatting sqref="E346:E347">
    <cfRule type="containsText" dxfId="4577" priority="1044" operator="containsText" text="Buy">
      <formula>NOT(ISERROR(SEARCH("Buy",E346)))</formula>
    </cfRule>
    <cfRule type="containsText" dxfId="4576" priority="1045" operator="containsText" text="Sell">
      <formula>NOT(ISERROR(SEARCH("Sell",E346)))</formula>
    </cfRule>
  </conditionalFormatting>
  <conditionalFormatting sqref="E340:E342">
    <cfRule type="containsText" dxfId="4575" priority="1042" operator="containsText" text="Buy">
      <formula>NOT(ISERROR(SEARCH("Buy",E340)))</formula>
    </cfRule>
    <cfRule type="containsText" dxfId="4574" priority="1043" operator="containsText" text="Sell">
      <formula>NOT(ISERROR(SEARCH("Sell",E340)))</formula>
    </cfRule>
  </conditionalFormatting>
  <conditionalFormatting sqref="E336:E337">
    <cfRule type="containsText" dxfId="4573" priority="1040" operator="containsText" text="Buy">
      <formula>NOT(ISERROR(SEARCH("Buy",E336)))</formula>
    </cfRule>
    <cfRule type="containsText" dxfId="4572" priority="1041" operator="containsText" text="Sell">
      <formula>NOT(ISERROR(SEARCH("Sell",E336)))</formula>
    </cfRule>
  </conditionalFormatting>
  <conditionalFormatting sqref="E345">
    <cfRule type="containsText" dxfId="4571" priority="1038" operator="containsText" text="Buy">
      <formula>NOT(ISERROR(SEARCH("Buy",E345)))</formula>
    </cfRule>
    <cfRule type="containsText" dxfId="4570" priority="1039" operator="containsText" text="Sell">
      <formula>NOT(ISERROR(SEARCH("Sell",E345)))</formula>
    </cfRule>
  </conditionalFormatting>
  <conditionalFormatting sqref="E325">
    <cfRule type="containsText" dxfId="4569" priority="1036" operator="containsText" text="Buy">
      <formula>NOT(ISERROR(SEARCH("Buy",E325)))</formula>
    </cfRule>
    <cfRule type="containsText" dxfId="4568" priority="1037" operator="containsText" text="Sell">
      <formula>NOT(ISERROR(SEARCH("Sell",E325)))</formula>
    </cfRule>
  </conditionalFormatting>
  <conditionalFormatting sqref="E324">
    <cfRule type="containsText" dxfId="4567" priority="1034" operator="containsText" text="Buy">
      <formula>NOT(ISERROR(SEARCH("Buy",E324)))</formula>
    </cfRule>
    <cfRule type="containsText" dxfId="4566" priority="1035" operator="containsText" text="Sell">
      <formula>NOT(ISERROR(SEARCH("Sell",E324)))</formula>
    </cfRule>
  </conditionalFormatting>
  <conditionalFormatting sqref="E323">
    <cfRule type="containsText" dxfId="4565" priority="1032" operator="containsText" text="Buy">
      <formula>NOT(ISERROR(SEARCH("Buy",E323)))</formula>
    </cfRule>
    <cfRule type="containsText" dxfId="4564" priority="1033" operator="containsText" text="Sell">
      <formula>NOT(ISERROR(SEARCH("Sell",E323)))</formula>
    </cfRule>
  </conditionalFormatting>
  <conditionalFormatting sqref="E280">
    <cfRule type="containsText" dxfId="4563" priority="1027" operator="containsText" text="Buy">
      <formula>NOT(ISERROR(SEARCH("Buy",E280)))</formula>
    </cfRule>
    <cfRule type="containsText" dxfId="4562" priority="1028" operator="containsText" text="Sell">
      <formula>NOT(ISERROR(SEARCH("Sell",E280)))</formula>
    </cfRule>
  </conditionalFormatting>
  <conditionalFormatting sqref="E299">
    <cfRule type="containsText" dxfId="4561" priority="1025" operator="containsText" text="Buy">
      <formula>NOT(ISERROR(SEARCH("Buy",E299)))</formula>
    </cfRule>
    <cfRule type="containsText" dxfId="4560" priority="1026" operator="containsText" text="Sell">
      <formula>NOT(ISERROR(SEARCH("Sell",E299)))</formula>
    </cfRule>
  </conditionalFormatting>
  <conditionalFormatting sqref="E193:E194">
    <cfRule type="containsText" dxfId="4559" priority="1020" operator="containsText" text="Buy">
      <formula>NOT(ISERROR(SEARCH("Buy",E193)))</formula>
    </cfRule>
    <cfRule type="containsText" dxfId="4558" priority="1021" operator="containsText" text="Sell">
      <formula>NOT(ISERROR(SEARCH("Sell",E193)))</formula>
    </cfRule>
  </conditionalFormatting>
  <conditionalFormatting sqref="E322">
    <cfRule type="containsText" dxfId="4557" priority="1016" operator="containsText" text="Buy">
      <formula>NOT(ISERROR(SEARCH("Buy",E322)))</formula>
    </cfRule>
    <cfRule type="containsText" dxfId="4556" priority="1017" operator="containsText" text="Sell">
      <formula>NOT(ISERROR(SEARCH("Sell",E322)))</formula>
    </cfRule>
  </conditionalFormatting>
  <conditionalFormatting sqref="E232">
    <cfRule type="containsText" dxfId="4555" priority="1018" operator="containsText" text="Buy">
      <formula>NOT(ISERROR(SEARCH("Buy",E232)))</formula>
    </cfRule>
    <cfRule type="containsText" dxfId="4554" priority="1019" operator="containsText" text="Sell">
      <formula>NOT(ISERROR(SEARCH("Sell",E232)))</formula>
    </cfRule>
  </conditionalFormatting>
  <conditionalFormatting sqref="E321">
    <cfRule type="containsText" dxfId="4553" priority="1014" operator="containsText" text="Buy">
      <formula>NOT(ISERROR(SEARCH("Buy",E321)))</formula>
    </cfRule>
    <cfRule type="containsText" dxfId="4552" priority="1015" operator="containsText" text="Sell">
      <formula>NOT(ISERROR(SEARCH("Sell",E321)))</formula>
    </cfRule>
  </conditionalFormatting>
  <conditionalFormatting sqref="E320">
    <cfRule type="containsText" dxfId="4551" priority="1012" operator="containsText" text="Buy">
      <formula>NOT(ISERROR(SEARCH("Buy",E320)))</formula>
    </cfRule>
    <cfRule type="containsText" dxfId="4550" priority="1013" operator="containsText" text="Sell">
      <formula>NOT(ISERROR(SEARCH("Sell",E320)))</formula>
    </cfRule>
  </conditionalFormatting>
  <conditionalFormatting sqref="E319">
    <cfRule type="containsText" dxfId="4549" priority="1010" operator="containsText" text="Buy">
      <formula>NOT(ISERROR(SEARCH("Buy",E319)))</formula>
    </cfRule>
    <cfRule type="containsText" dxfId="4548" priority="1011" operator="containsText" text="Sell">
      <formula>NOT(ISERROR(SEARCH("Sell",E319)))</formula>
    </cfRule>
  </conditionalFormatting>
  <conditionalFormatting sqref="E318">
    <cfRule type="containsText" dxfId="4547" priority="1008" operator="containsText" text="Buy">
      <formula>NOT(ISERROR(SEARCH("Buy",E318)))</formula>
    </cfRule>
    <cfRule type="containsText" dxfId="4546" priority="1009" operator="containsText" text="Sell">
      <formula>NOT(ISERROR(SEARCH("Sell",E318)))</formula>
    </cfRule>
  </conditionalFormatting>
  <conditionalFormatting sqref="E198:E200 E211">
    <cfRule type="containsText" dxfId="4545" priority="1006" operator="containsText" text="Buy">
      <formula>NOT(ISERROR(SEARCH("Buy",E198)))</formula>
    </cfRule>
    <cfRule type="containsText" dxfId="4544" priority="1007" operator="containsText" text="Sell">
      <formula>NOT(ISERROR(SEARCH("Sell",E198)))</formula>
    </cfRule>
  </conditionalFormatting>
  <conditionalFormatting sqref="H30">
    <cfRule type="dataBar" priority="10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{DBD83260-D7D9-407A-A688-C1368AB2FA06}</x14:id>
        </ext>
      </extLst>
    </cfRule>
    <cfRule type="cellIs" dxfId="4543" priority="1005" operator="equal">
      <formula>1</formula>
    </cfRule>
  </conditionalFormatting>
  <conditionalFormatting sqref="D30">
    <cfRule type="containsText" dxfId="4542" priority="1003" operator="containsText" text="Buy">
      <formula>NOT(ISERROR(SEARCH("Buy",D30)))</formula>
    </cfRule>
    <cfRule type="containsText" dxfId="4541" priority="1004" operator="containsText" text="Sell">
      <formula>NOT(ISERROR(SEARCH("Sell",D30)))</formula>
    </cfRule>
  </conditionalFormatting>
  <conditionalFormatting sqref="E188:E189">
    <cfRule type="containsText" dxfId="4540" priority="1000" operator="containsText" text="Buy">
      <formula>NOT(ISERROR(SEARCH("Buy",E188)))</formula>
    </cfRule>
    <cfRule type="containsText" dxfId="4539" priority="1001" operator="containsText" text="Sell">
      <formula>NOT(ISERROR(SEARCH("Sell",E188)))</formula>
    </cfRule>
  </conditionalFormatting>
  <conditionalFormatting sqref="E182:E183">
    <cfRule type="containsText" dxfId="4538" priority="998" operator="containsText" text="Buy">
      <formula>NOT(ISERROR(SEARCH("Buy",E182)))</formula>
    </cfRule>
    <cfRule type="containsText" dxfId="4537" priority="999" operator="containsText" text="Sell">
      <formula>NOT(ISERROR(SEARCH("Sell",E182)))</formula>
    </cfRule>
  </conditionalFormatting>
  <conditionalFormatting sqref="E209:E210">
    <cfRule type="containsText" dxfId="4536" priority="993" operator="containsText" text="Buy">
      <formula>NOT(ISERROR(SEARCH("Buy",E209)))</formula>
    </cfRule>
    <cfRule type="containsText" dxfId="4535" priority="994" operator="containsText" text="Sell">
      <formula>NOT(ISERROR(SEARCH("Sell",E209)))</formula>
    </cfRule>
  </conditionalFormatting>
  <conditionalFormatting sqref="E208">
    <cfRule type="containsText" dxfId="4534" priority="991" operator="containsText" text="Buy">
      <formula>NOT(ISERROR(SEARCH("Buy",E208)))</formula>
    </cfRule>
    <cfRule type="containsText" dxfId="4533" priority="992" operator="containsText" text="Sell">
      <formula>NOT(ISERROR(SEARCH("Sell",E208)))</formula>
    </cfRule>
  </conditionalFormatting>
  <conditionalFormatting sqref="E291">
    <cfRule type="containsText" dxfId="4532" priority="986" operator="containsText" text="Buy">
      <formula>NOT(ISERROR(SEARCH("Buy",E291)))</formula>
    </cfRule>
    <cfRule type="containsText" dxfId="4531" priority="987" operator="containsText" text="Sell">
      <formula>NOT(ISERROR(SEARCH("Sell",E291)))</formula>
    </cfRule>
  </conditionalFormatting>
  <conditionalFormatting sqref="E290">
    <cfRule type="containsText" dxfId="4530" priority="984" operator="containsText" text="Buy">
      <formula>NOT(ISERROR(SEARCH("Buy",E290)))</formula>
    </cfRule>
    <cfRule type="containsText" dxfId="4529" priority="985" operator="containsText" text="Sell">
      <formula>NOT(ISERROR(SEARCH("Sell",E290)))</formula>
    </cfRule>
  </conditionalFormatting>
  <conditionalFormatting sqref="T8">
    <cfRule type="dataBar" priority="9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{17F0AF27-469C-47E5-B1E8-8E6C83C8484B}</x14:id>
        </ext>
      </extLst>
    </cfRule>
  </conditionalFormatting>
  <conditionalFormatting sqref="E179">
    <cfRule type="containsText" dxfId="4528" priority="965" operator="containsText" text="Buy">
      <formula>NOT(ISERROR(SEARCH("Buy",E179)))</formula>
    </cfRule>
    <cfRule type="containsText" dxfId="4527" priority="966" operator="containsText" text="Sell">
      <formula>NOT(ISERROR(SEARCH("Sell",E179)))</formula>
    </cfRule>
  </conditionalFormatting>
  <conditionalFormatting sqref="E295">
    <cfRule type="containsText" dxfId="4526" priority="963" operator="containsText" text="Buy">
      <formula>NOT(ISERROR(SEARCH("Buy",E295)))</formula>
    </cfRule>
    <cfRule type="containsText" dxfId="4525" priority="964" operator="containsText" text="Sell">
      <formula>NOT(ISERROR(SEARCH("Sell",E295)))</formula>
    </cfRule>
  </conditionalFormatting>
  <conditionalFormatting sqref="E216">
    <cfRule type="containsText" dxfId="4524" priority="961" operator="containsText" text="Buy">
      <formula>NOT(ISERROR(SEARCH("Buy",E216)))</formula>
    </cfRule>
    <cfRule type="containsText" dxfId="4523" priority="962" operator="containsText" text="Sell">
      <formula>NOT(ISERROR(SEARCH("Sell",E216)))</formula>
    </cfRule>
  </conditionalFormatting>
  <conditionalFormatting sqref="E263">
    <cfRule type="containsText" dxfId="4522" priority="959" operator="containsText" text="Buy">
      <formula>NOT(ISERROR(SEARCH("Buy",E263)))</formula>
    </cfRule>
    <cfRule type="containsText" dxfId="4521" priority="960" operator="containsText" text="Sell">
      <formula>NOT(ISERROR(SEARCH("Sell",E263)))</formula>
    </cfRule>
  </conditionalFormatting>
  <conditionalFormatting sqref="E261">
    <cfRule type="containsText" dxfId="4520" priority="955" operator="containsText" text="Buy">
      <formula>NOT(ISERROR(SEARCH("Buy",E261)))</formula>
    </cfRule>
    <cfRule type="containsText" dxfId="4519" priority="956" operator="containsText" text="Sell">
      <formula>NOT(ISERROR(SEARCH("Sell",E261)))</formula>
    </cfRule>
  </conditionalFormatting>
  <conditionalFormatting sqref="E262">
    <cfRule type="containsText" dxfId="4518" priority="957" operator="containsText" text="Buy">
      <formula>NOT(ISERROR(SEARCH("Buy",E262)))</formula>
    </cfRule>
    <cfRule type="containsText" dxfId="4517" priority="958" operator="containsText" text="Sell">
      <formula>NOT(ISERROR(SEARCH("Sell",E262)))</formula>
    </cfRule>
  </conditionalFormatting>
  <conditionalFormatting sqref="E332:E334">
    <cfRule type="containsText" dxfId="4516" priority="950" operator="containsText" text="Buy">
      <formula>NOT(ISERROR(SEARCH("Buy",E332)))</formula>
    </cfRule>
    <cfRule type="containsText" dxfId="4515" priority="951" operator="containsText" text="Sell">
      <formula>NOT(ISERROR(SEARCH("Sell",E332)))</formula>
    </cfRule>
  </conditionalFormatting>
  <conditionalFormatting sqref="E317">
    <cfRule type="containsText" dxfId="4514" priority="948" operator="containsText" text="Buy">
      <formula>NOT(ISERROR(SEARCH("Buy",E317)))</formula>
    </cfRule>
    <cfRule type="containsText" dxfId="4513" priority="949" operator="containsText" text="Sell">
      <formula>NOT(ISERROR(SEARCH("Sell",E317)))</formula>
    </cfRule>
  </conditionalFormatting>
  <conditionalFormatting sqref="E316">
    <cfRule type="containsText" dxfId="4512" priority="946" operator="containsText" text="Buy">
      <formula>NOT(ISERROR(SEARCH("Buy",E316)))</formula>
    </cfRule>
    <cfRule type="containsText" dxfId="4511" priority="947" operator="containsText" text="Sell">
      <formula>NOT(ISERROR(SEARCH("Sell",E316)))</formula>
    </cfRule>
  </conditionalFormatting>
  <conditionalFormatting sqref="E282">
    <cfRule type="containsText" dxfId="4510" priority="944" operator="containsText" text="Buy">
      <formula>NOT(ISERROR(SEARCH("Buy",E282)))</formula>
    </cfRule>
    <cfRule type="containsText" dxfId="4509" priority="945" operator="containsText" text="Sell">
      <formula>NOT(ISERROR(SEARCH("Sell",E282)))</formula>
    </cfRule>
  </conditionalFormatting>
  <conditionalFormatting sqref="E279">
    <cfRule type="containsText" dxfId="4508" priority="942" operator="containsText" text="Buy">
      <formula>NOT(ISERROR(SEARCH("Buy",E279)))</formula>
    </cfRule>
    <cfRule type="containsText" dxfId="4507" priority="943" operator="containsText" text="Sell">
      <formula>NOT(ISERROR(SEARCH("Sell",E279)))</formula>
    </cfRule>
  </conditionalFormatting>
  <conditionalFormatting sqref="E315">
    <cfRule type="containsText" dxfId="4506" priority="938" operator="containsText" text="Buy">
      <formula>NOT(ISERROR(SEARCH("Buy",E315)))</formula>
    </cfRule>
    <cfRule type="containsText" dxfId="4505" priority="939" operator="containsText" text="Sell">
      <formula>NOT(ISERROR(SEARCH("Sell",E315)))</formula>
    </cfRule>
  </conditionalFormatting>
  <conditionalFormatting sqref="E361">
    <cfRule type="containsText" dxfId="4504" priority="930" operator="containsText" text="Buy">
      <formula>NOT(ISERROR(SEARCH("Buy",E361)))</formula>
    </cfRule>
    <cfRule type="containsText" dxfId="4503" priority="931" operator="containsText" text="Sell">
      <formula>NOT(ISERROR(SEARCH("Sell",E361)))</formula>
    </cfRule>
  </conditionalFormatting>
  <conditionalFormatting sqref="E207">
    <cfRule type="containsText" dxfId="4502" priority="934" operator="containsText" text="Buy">
      <formula>NOT(ISERROR(SEARCH("Buy",E207)))</formula>
    </cfRule>
    <cfRule type="containsText" dxfId="4501" priority="935" operator="containsText" text="Sell">
      <formula>NOT(ISERROR(SEARCH("Sell",E207)))</formula>
    </cfRule>
  </conditionalFormatting>
  <conditionalFormatting sqref="E344">
    <cfRule type="containsText" dxfId="4500" priority="932" operator="containsText" text="Buy">
      <formula>NOT(ISERROR(SEARCH("Buy",E344)))</formula>
    </cfRule>
    <cfRule type="containsText" dxfId="4499" priority="933" operator="containsText" text="Sell">
      <formula>NOT(ISERROR(SEARCH("Sell",E344)))</formula>
    </cfRule>
  </conditionalFormatting>
  <conditionalFormatting sqref="E339">
    <cfRule type="containsText" dxfId="4498" priority="926" operator="containsText" text="Buy">
      <formula>NOT(ISERROR(SEARCH("Buy",E339)))</formula>
    </cfRule>
    <cfRule type="containsText" dxfId="4497" priority="927" operator="containsText" text="Sell">
      <formula>NOT(ISERROR(SEARCH("Sell",E339)))</formula>
    </cfRule>
  </conditionalFormatting>
  <conditionalFormatting sqref="E335">
    <cfRule type="containsText" dxfId="4496" priority="924" operator="containsText" text="Buy">
      <formula>NOT(ISERROR(SEARCH("Buy",E335)))</formula>
    </cfRule>
    <cfRule type="containsText" dxfId="4495" priority="925" operator="containsText" text="Sell">
      <formula>NOT(ISERROR(SEARCH("Sell",E335)))</formula>
    </cfRule>
  </conditionalFormatting>
  <conditionalFormatting sqref="E170">
    <cfRule type="containsText" dxfId="4494" priority="928" operator="containsText" text="Buy">
      <formula>NOT(ISERROR(SEARCH("Buy",E170)))</formula>
    </cfRule>
    <cfRule type="containsText" dxfId="4493" priority="929" operator="containsText" text="Sell">
      <formula>NOT(ISERROR(SEARCH("Sell",E170)))</formula>
    </cfRule>
  </conditionalFormatting>
  <conditionalFormatting sqref="E153 E126">
    <cfRule type="containsText" dxfId="4492" priority="922" operator="containsText" text="Buy">
      <formula>NOT(ISERROR(SEARCH("Buy",E126)))</formula>
    </cfRule>
    <cfRule type="containsText" dxfId="4491" priority="923" operator="containsText" text="Sell">
      <formula>NOT(ISERROR(SEARCH("Sell",E126)))</formula>
    </cfRule>
  </conditionalFormatting>
  <conditionalFormatting sqref="E206">
    <cfRule type="containsText" dxfId="4490" priority="920" operator="containsText" text="Buy">
      <formula>NOT(ISERROR(SEARCH("Buy",E206)))</formula>
    </cfRule>
    <cfRule type="containsText" dxfId="4489" priority="921" operator="containsText" text="Sell">
      <formula>NOT(ISERROR(SEARCH("Sell",E206)))</formula>
    </cfRule>
  </conditionalFormatting>
  <conditionalFormatting sqref="E260">
    <cfRule type="containsText" dxfId="4488" priority="918" operator="containsText" text="Buy">
      <formula>NOT(ISERROR(SEARCH("Buy",E260)))</formula>
    </cfRule>
    <cfRule type="containsText" dxfId="4487" priority="919" operator="containsText" text="Sell">
      <formula>NOT(ISERROR(SEARCH("Sell",E260)))</formula>
    </cfRule>
  </conditionalFormatting>
  <conditionalFormatting sqref="E215">
    <cfRule type="containsText" dxfId="4486" priority="916" operator="containsText" text="Buy">
      <formula>NOT(ISERROR(SEARCH("Buy",E215)))</formula>
    </cfRule>
    <cfRule type="containsText" dxfId="4485" priority="917" operator="containsText" text="Sell">
      <formula>NOT(ISERROR(SEARCH("Sell",E215)))</formula>
    </cfRule>
  </conditionalFormatting>
  <conditionalFormatting sqref="E306">
    <cfRule type="containsText" dxfId="4484" priority="914" operator="containsText" text="Buy">
      <formula>NOT(ISERROR(SEARCH("Buy",E306)))</formula>
    </cfRule>
    <cfRule type="containsText" dxfId="4483" priority="915" operator="containsText" text="Sell">
      <formula>NOT(ISERROR(SEARCH("Sell",E306)))</formula>
    </cfRule>
  </conditionalFormatting>
  <conditionalFormatting sqref="E120">
    <cfRule type="containsText" dxfId="4482" priority="912" operator="containsText" text="Buy">
      <formula>NOT(ISERROR(SEARCH("Buy",E120)))</formula>
    </cfRule>
    <cfRule type="containsText" dxfId="4481" priority="913" operator="containsText" text="Sell">
      <formula>NOT(ISERROR(SEARCH("Sell",E120)))</formula>
    </cfRule>
  </conditionalFormatting>
  <conditionalFormatting sqref="E360">
    <cfRule type="containsText" dxfId="4480" priority="910" operator="containsText" text="Buy">
      <formula>NOT(ISERROR(SEARCH("Buy",E360)))</formula>
    </cfRule>
    <cfRule type="containsText" dxfId="4479" priority="911" operator="containsText" text="Sell">
      <formula>NOT(ISERROR(SEARCH("Sell",E360)))</formula>
    </cfRule>
  </conditionalFormatting>
  <conditionalFormatting sqref="E167">
    <cfRule type="containsText" dxfId="4478" priority="908" operator="containsText" text="Buy">
      <formula>NOT(ISERROR(SEARCH("Buy",E167)))</formula>
    </cfRule>
    <cfRule type="containsText" dxfId="4477" priority="909" operator="containsText" text="Sell">
      <formula>NOT(ISERROR(SEARCH("Sell",E167)))</formula>
    </cfRule>
  </conditionalFormatting>
  <conditionalFormatting sqref="E205">
    <cfRule type="containsText" dxfId="4476" priority="906" operator="containsText" text="Buy">
      <formula>NOT(ISERROR(SEARCH("Buy",E205)))</formula>
    </cfRule>
    <cfRule type="containsText" dxfId="4475" priority="907" operator="containsText" text="Sell">
      <formula>NOT(ISERROR(SEARCH("Sell",E205)))</formula>
    </cfRule>
  </conditionalFormatting>
  <conditionalFormatting sqref="E278">
    <cfRule type="containsText" dxfId="4474" priority="904" operator="containsText" text="Buy">
      <formula>NOT(ISERROR(SEARCH("Buy",E278)))</formula>
    </cfRule>
    <cfRule type="containsText" dxfId="4473" priority="905" operator="containsText" text="Sell">
      <formula>NOT(ISERROR(SEARCH("Sell",E278)))</formula>
    </cfRule>
  </conditionalFormatting>
  <conditionalFormatting sqref="E276">
    <cfRule type="containsText" dxfId="4472" priority="884" operator="containsText" text="Buy">
      <formula>NOT(ISERROR(SEARCH("Buy",E276)))</formula>
    </cfRule>
    <cfRule type="containsText" dxfId="4471" priority="885" operator="containsText" text="Sell">
      <formula>NOT(ISERROR(SEARCH("Sell",E276)))</formula>
    </cfRule>
  </conditionalFormatting>
  <conditionalFormatting sqref="E355">
    <cfRule type="containsText" dxfId="4470" priority="902" operator="containsText" text="Buy">
      <formula>NOT(ISERROR(SEARCH("Buy",E355)))</formula>
    </cfRule>
    <cfRule type="containsText" dxfId="4469" priority="903" operator="containsText" text="Sell">
      <formula>NOT(ISERROR(SEARCH("Sell",E355)))</formula>
    </cfRule>
  </conditionalFormatting>
  <conditionalFormatting sqref="E156">
    <cfRule type="containsText" dxfId="4468" priority="898" operator="containsText" text="Buy">
      <formula>NOT(ISERROR(SEARCH("Buy",E156)))</formula>
    </cfRule>
    <cfRule type="containsText" dxfId="4467" priority="899" operator="containsText" text="Sell">
      <formula>NOT(ISERROR(SEARCH("Sell",E156)))</formula>
    </cfRule>
  </conditionalFormatting>
  <conditionalFormatting sqref="E245">
    <cfRule type="containsText" dxfId="4466" priority="896" operator="containsText" text="Buy">
      <formula>NOT(ISERROR(SEARCH("Buy",E245)))</formula>
    </cfRule>
    <cfRule type="containsText" dxfId="4465" priority="897" operator="containsText" text="Sell">
      <formula>NOT(ISERROR(SEARCH("Sell",E245)))</formula>
    </cfRule>
  </conditionalFormatting>
  <conditionalFormatting sqref="E359">
    <cfRule type="containsText" dxfId="4464" priority="894" operator="containsText" text="Buy">
      <formula>NOT(ISERROR(SEARCH("Buy",E359)))</formula>
    </cfRule>
    <cfRule type="containsText" dxfId="4463" priority="895" operator="containsText" text="Sell">
      <formula>NOT(ISERROR(SEARCH("Sell",E359)))</formula>
    </cfRule>
  </conditionalFormatting>
  <conditionalFormatting sqref="E343">
    <cfRule type="containsText" dxfId="4462" priority="892" operator="containsText" text="Buy">
      <formula>NOT(ISERROR(SEARCH("Buy",E343)))</formula>
    </cfRule>
    <cfRule type="containsText" dxfId="4461" priority="893" operator="containsText" text="Sell">
      <formula>NOT(ISERROR(SEARCH("Sell",E343)))</formula>
    </cfRule>
  </conditionalFormatting>
  <conditionalFormatting sqref="E142">
    <cfRule type="containsText" dxfId="4460" priority="890" operator="containsText" text="Buy">
      <formula>NOT(ISERROR(SEARCH("Buy",E142)))</formula>
    </cfRule>
    <cfRule type="containsText" dxfId="4459" priority="891" operator="containsText" text="Sell">
      <formula>NOT(ISERROR(SEARCH("Sell",E142)))</formula>
    </cfRule>
  </conditionalFormatting>
  <conditionalFormatting sqref="E137">
    <cfRule type="containsText" dxfId="4458" priority="872" operator="containsText" text="Buy">
      <formula>NOT(ISERROR(SEARCH("Buy",E137)))</formula>
    </cfRule>
    <cfRule type="containsText" dxfId="4457" priority="873" operator="containsText" text="Sell">
      <formula>NOT(ISERROR(SEARCH("Sell",E137)))</formula>
    </cfRule>
  </conditionalFormatting>
  <conditionalFormatting sqref="E305">
    <cfRule type="containsText" dxfId="4456" priority="888" operator="containsText" text="Buy">
      <formula>NOT(ISERROR(SEARCH("Buy",E305)))</formula>
    </cfRule>
    <cfRule type="containsText" dxfId="4455" priority="889" operator="containsText" text="Sell">
      <formula>NOT(ISERROR(SEARCH("Sell",E305)))</formula>
    </cfRule>
  </conditionalFormatting>
  <conditionalFormatting sqref="E235">
    <cfRule type="containsText" dxfId="4454" priority="882" operator="containsText" text="Buy">
      <formula>NOT(ISERROR(SEARCH("Buy",E235)))</formula>
    </cfRule>
    <cfRule type="containsText" dxfId="4453" priority="883" operator="containsText" text="Sell">
      <formula>NOT(ISERROR(SEARCH("Sell",E235)))</formula>
    </cfRule>
  </conditionalFormatting>
  <conditionalFormatting sqref="E277">
    <cfRule type="containsText" dxfId="4452" priority="886" operator="containsText" text="Buy">
      <formula>NOT(ISERROR(SEARCH("Buy",E277)))</formula>
    </cfRule>
    <cfRule type="containsText" dxfId="4451" priority="887" operator="containsText" text="Sell">
      <formula>NOT(ISERROR(SEARCH("Sell",E277)))</formula>
    </cfRule>
  </conditionalFormatting>
  <conditionalFormatting sqref="E85 E79 E76">
    <cfRule type="containsText" dxfId="4450" priority="880" operator="containsText" text="Buy">
      <formula>NOT(ISERROR(SEARCH("Buy",E76)))</formula>
    </cfRule>
    <cfRule type="containsText" dxfId="4449" priority="881" operator="containsText" text="Sell">
      <formula>NOT(ISERROR(SEARCH("Sell",E76)))</formula>
    </cfRule>
  </conditionalFormatting>
  <conditionalFormatting sqref="E130">
    <cfRule type="containsText" dxfId="4448" priority="874" operator="containsText" text="Buy">
      <formula>NOT(ISERROR(SEARCH("Buy",E130)))</formula>
    </cfRule>
    <cfRule type="containsText" dxfId="4447" priority="875" operator="containsText" text="Sell">
      <formula>NOT(ISERROR(SEARCH("Sell",E130)))</formula>
    </cfRule>
  </conditionalFormatting>
  <conditionalFormatting sqref="E112">
    <cfRule type="containsText" dxfId="4446" priority="870" operator="containsText" text="Buy">
      <formula>NOT(ISERROR(SEARCH("Buy",E112)))</formula>
    </cfRule>
    <cfRule type="containsText" dxfId="4445" priority="871" operator="containsText" text="Sell">
      <formula>NOT(ISERROR(SEARCH("Sell",E112)))</formula>
    </cfRule>
  </conditionalFormatting>
  <conditionalFormatting sqref="E173">
    <cfRule type="containsText" dxfId="4444" priority="864" operator="containsText" text="Buy">
      <formula>NOT(ISERROR(SEARCH("Buy",E173)))</formula>
    </cfRule>
    <cfRule type="containsText" dxfId="4443" priority="865" operator="containsText" text="Sell">
      <formula>NOT(ISERROR(SEARCH("Sell",E173)))</formula>
    </cfRule>
  </conditionalFormatting>
  <conditionalFormatting sqref="E312">
    <cfRule type="containsText" dxfId="4442" priority="866" operator="containsText" text="Buy">
      <formula>NOT(ISERROR(SEARCH("Buy",E312)))</formula>
    </cfRule>
    <cfRule type="containsText" dxfId="4441" priority="867" operator="containsText" text="Sell">
      <formula>NOT(ISERROR(SEARCH("Sell",E312)))</formula>
    </cfRule>
  </conditionalFormatting>
  <conditionalFormatting sqref="E201">
    <cfRule type="containsText" dxfId="4440" priority="850" operator="containsText" text="Buy">
      <formula>NOT(ISERROR(SEARCH("Buy",E201)))</formula>
    </cfRule>
    <cfRule type="containsText" dxfId="4439" priority="851" operator="containsText" text="Sell">
      <formula>NOT(ISERROR(SEARCH("Sell",E201)))</formula>
    </cfRule>
  </conditionalFormatting>
  <conditionalFormatting sqref="E225:E227">
    <cfRule type="containsText" dxfId="4438" priority="860" operator="containsText" text="Buy">
      <formula>NOT(ISERROR(SEARCH("Buy",E225)))</formula>
    </cfRule>
    <cfRule type="containsText" dxfId="4437" priority="861" operator="containsText" text="Sell">
      <formula>NOT(ISERROR(SEARCH("Sell",E225)))</formula>
    </cfRule>
  </conditionalFormatting>
  <conditionalFormatting sqref="E204">
    <cfRule type="containsText" dxfId="4436" priority="858" operator="containsText" text="Buy">
      <formula>NOT(ISERROR(SEARCH("Buy",E204)))</formula>
    </cfRule>
    <cfRule type="containsText" dxfId="4435" priority="859" operator="containsText" text="Sell">
      <formula>NOT(ISERROR(SEARCH("Sell",E204)))</formula>
    </cfRule>
  </conditionalFormatting>
  <conditionalFormatting sqref="E203">
    <cfRule type="containsText" dxfId="4434" priority="856" operator="containsText" text="Buy">
      <formula>NOT(ISERROR(SEARCH("Buy",E203)))</formula>
    </cfRule>
    <cfRule type="containsText" dxfId="4433" priority="857" operator="containsText" text="Sell">
      <formula>NOT(ISERROR(SEARCH("Sell",E203)))</formula>
    </cfRule>
  </conditionalFormatting>
  <conditionalFormatting sqref="E197">
    <cfRule type="containsText" dxfId="4432" priority="854" operator="containsText" text="Buy">
      <formula>NOT(ISERROR(SEARCH("Buy",E197)))</formula>
    </cfRule>
    <cfRule type="containsText" dxfId="4431" priority="855" operator="containsText" text="Sell">
      <formula>NOT(ISERROR(SEARCH("Sell",E197)))</formula>
    </cfRule>
  </conditionalFormatting>
  <conditionalFormatting sqref="E202">
    <cfRule type="containsText" dxfId="4430" priority="852" operator="containsText" text="Buy">
      <formula>NOT(ISERROR(SEARCH("Buy",E202)))</formula>
    </cfRule>
    <cfRule type="containsText" dxfId="4429" priority="853" operator="containsText" text="Sell">
      <formula>NOT(ISERROR(SEARCH("Sell",E202)))</formula>
    </cfRule>
  </conditionalFormatting>
  <conditionalFormatting sqref="E186:E187">
    <cfRule type="containsText" dxfId="4428" priority="846" operator="containsText" text="Buy">
      <formula>NOT(ISERROR(SEARCH("Buy",E186)))</formula>
    </cfRule>
    <cfRule type="containsText" dxfId="4427" priority="847" operator="containsText" text="Sell">
      <formula>NOT(ISERROR(SEARCH("Sell",E186)))</formula>
    </cfRule>
  </conditionalFormatting>
  <conditionalFormatting sqref="E311">
    <cfRule type="containsText" dxfId="4426" priority="848" operator="containsText" text="Buy">
      <formula>NOT(ISERROR(SEARCH("Buy",E311)))</formula>
    </cfRule>
    <cfRule type="containsText" dxfId="4425" priority="849" operator="containsText" text="Sell">
      <formula>NOT(ISERROR(SEARCH("Sell",E311)))</formula>
    </cfRule>
  </conditionalFormatting>
  <conditionalFormatting sqref="E310">
    <cfRule type="containsText" dxfId="4424" priority="844" operator="containsText" text="Buy">
      <formula>NOT(ISERROR(SEARCH("Buy",E310)))</formula>
    </cfRule>
    <cfRule type="containsText" dxfId="4423" priority="845" operator="containsText" text="Sell">
      <formula>NOT(ISERROR(SEARCH("Sell",E310)))</formula>
    </cfRule>
  </conditionalFormatting>
  <conditionalFormatting sqref="E185">
    <cfRule type="containsText" dxfId="4422" priority="842" operator="containsText" text="Buy">
      <formula>NOT(ISERROR(SEARCH("Buy",E185)))</formula>
    </cfRule>
    <cfRule type="containsText" dxfId="4421" priority="843" operator="containsText" text="Sell">
      <formula>NOT(ISERROR(SEARCH("Sell",E185)))</formula>
    </cfRule>
  </conditionalFormatting>
  <conditionalFormatting sqref="E117">
    <cfRule type="containsText" dxfId="4420" priority="840" operator="containsText" text="Buy">
      <formula>NOT(ISERROR(SEARCH("Buy",E117)))</formula>
    </cfRule>
    <cfRule type="containsText" dxfId="4419" priority="841" operator="containsText" text="Sell">
      <formula>NOT(ISERROR(SEARCH("Sell",E117)))</formula>
    </cfRule>
  </conditionalFormatting>
  <conditionalFormatting sqref="E309">
    <cfRule type="containsText" dxfId="4418" priority="838" operator="containsText" text="Buy">
      <formula>NOT(ISERROR(SEARCH("Buy",E309)))</formula>
    </cfRule>
    <cfRule type="containsText" dxfId="4417" priority="839" operator="containsText" text="Sell">
      <formula>NOT(ISERROR(SEARCH("Sell",E309)))</formula>
    </cfRule>
  </conditionalFormatting>
  <conditionalFormatting sqref="E101">
    <cfRule type="containsText" dxfId="4416" priority="836" operator="containsText" text="Buy">
      <formula>NOT(ISERROR(SEARCH("Buy",E101)))</formula>
    </cfRule>
    <cfRule type="containsText" dxfId="4415" priority="837" operator="containsText" text="Sell">
      <formula>NOT(ISERROR(SEARCH("Sell",E101)))</formula>
    </cfRule>
  </conditionalFormatting>
  <conditionalFormatting sqref="T4">
    <cfRule type="dataBar" priority="8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{360B9F60-55E3-46DB-841A-0A80A3767C10}</x14:id>
        </ext>
      </extLst>
    </cfRule>
  </conditionalFormatting>
  <conditionalFormatting sqref="V4"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{426408E1-D9F5-4093-B61D-BD8BB06620B9}</x14:id>
        </ext>
      </extLst>
    </cfRule>
  </conditionalFormatting>
  <conditionalFormatting sqref="W4"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{FF423C09-E9A8-4790-A313-C3D44A0D0256}</x14:id>
        </ext>
      </extLst>
    </cfRule>
  </conditionalFormatting>
  <conditionalFormatting sqref="T14">
    <cfRule type="dataBar" priority="8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{7DBDCA60-2E8A-472C-B5D5-B1156C75059D}</x14:id>
        </ext>
      </extLst>
    </cfRule>
  </conditionalFormatting>
  <conditionalFormatting sqref="V14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{85DEF891-2930-4D7B-A78C-BC9AF4674E7E}</x14:id>
        </ext>
      </extLst>
    </cfRule>
  </conditionalFormatting>
  <conditionalFormatting sqref="W14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{7E55B1B3-7C47-42AE-B072-9BBC7E2B8F2C}</x14:id>
        </ext>
      </extLst>
    </cfRule>
  </conditionalFormatting>
  <conditionalFormatting sqref="E90">
    <cfRule type="containsText" dxfId="4414" priority="783" operator="containsText" text="Buy">
      <formula>NOT(ISERROR(SEARCH("Buy",E90)))</formula>
    </cfRule>
    <cfRule type="containsText" dxfId="4413" priority="784" operator="containsText" text="Sell">
      <formula>NOT(ISERROR(SEARCH("Sell",E90)))</formula>
    </cfRule>
  </conditionalFormatting>
  <conditionalFormatting sqref="E97">
    <cfRule type="containsText" dxfId="4412" priority="781" operator="containsText" text="Buy">
      <formula>NOT(ISERROR(SEARCH("Buy",E97)))</formula>
    </cfRule>
    <cfRule type="containsText" dxfId="4411" priority="782" operator="containsText" text="Sell">
      <formula>NOT(ISERROR(SEARCH("Sell",E97)))</formula>
    </cfRule>
  </conditionalFormatting>
  <conditionalFormatting sqref="E192">
    <cfRule type="containsText" dxfId="4410" priority="779" operator="containsText" text="Buy">
      <formula>NOT(ISERROR(SEARCH("Buy",E192)))</formula>
    </cfRule>
    <cfRule type="containsText" dxfId="4409" priority="780" operator="containsText" text="Sell">
      <formula>NOT(ISERROR(SEARCH("Sell",E192)))</formula>
    </cfRule>
  </conditionalFormatting>
  <conditionalFormatting sqref="E196">
    <cfRule type="containsText" dxfId="4408" priority="777" operator="containsText" text="Buy">
      <formula>NOT(ISERROR(SEARCH("Buy",E196)))</formula>
    </cfRule>
    <cfRule type="containsText" dxfId="4407" priority="778" operator="containsText" text="Sell">
      <formula>NOT(ISERROR(SEARCH("Sell",E196)))</formula>
    </cfRule>
  </conditionalFormatting>
  <conditionalFormatting sqref="E191">
    <cfRule type="containsText" dxfId="4406" priority="775" operator="containsText" text="Buy">
      <formula>NOT(ISERROR(SEARCH("Buy",E191)))</formula>
    </cfRule>
    <cfRule type="containsText" dxfId="4405" priority="776" operator="containsText" text="Sell">
      <formula>NOT(ISERROR(SEARCH("Sell",E191)))</formula>
    </cfRule>
  </conditionalFormatting>
  <conditionalFormatting sqref="E94">
    <cfRule type="containsText" dxfId="4404" priority="759" operator="containsText" text="Buy">
      <formula>NOT(ISERROR(SEARCH("Buy",E94)))</formula>
    </cfRule>
    <cfRule type="containsText" dxfId="4403" priority="760" operator="containsText" text="Sell">
      <formula>NOT(ISERROR(SEARCH("Sell",E94)))</formula>
    </cfRule>
  </conditionalFormatting>
  <conditionalFormatting sqref="E113">
    <cfRule type="containsText" dxfId="4402" priority="757" operator="containsText" text="Buy">
      <formula>NOT(ISERROR(SEARCH("Buy",E113)))</formula>
    </cfRule>
    <cfRule type="containsText" dxfId="4401" priority="758" operator="containsText" text="Sell">
      <formula>NOT(ISERROR(SEARCH("Sell",E113)))</formula>
    </cfRule>
  </conditionalFormatting>
  <conditionalFormatting sqref="T6">
    <cfRule type="dataBar" priority="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{FD5BC83C-1435-4D4E-AD00-D857B991C41F}</x14:id>
        </ext>
      </extLst>
    </cfRule>
  </conditionalFormatting>
  <conditionalFormatting sqref="V6">
    <cfRule type="dataBar" priority="7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{04C76F69-1D39-4649-A7FA-101FC8E3B254}</x14:id>
        </ext>
      </extLst>
    </cfRule>
  </conditionalFormatting>
  <conditionalFormatting sqref="W6">
    <cfRule type="dataBar" priority="7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{52DA6B0A-FF7B-4625-8545-4668DE743D0C}</x14:id>
        </ext>
      </extLst>
    </cfRule>
  </conditionalFormatting>
  <conditionalFormatting sqref="E83">
    <cfRule type="containsText" dxfId="4400" priority="734" operator="containsText" text="Buy">
      <formula>NOT(ISERROR(SEARCH("Buy",E83)))</formula>
    </cfRule>
    <cfRule type="containsText" dxfId="4399" priority="735" operator="containsText" text="Sell">
      <formula>NOT(ISERROR(SEARCH("Sell",E83)))</formula>
    </cfRule>
  </conditionalFormatting>
  <conditionalFormatting sqref="E84">
    <cfRule type="containsText" dxfId="4398" priority="736" operator="containsText" text="Buy">
      <formula>NOT(ISERROR(SEARCH("Buy",E84)))</formula>
    </cfRule>
    <cfRule type="containsText" dxfId="4397" priority="737" operator="containsText" text="Sell">
      <formula>NOT(ISERROR(SEARCH("Sell",E84)))</formula>
    </cfRule>
  </conditionalFormatting>
  <conditionalFormatting sqref="T21">
    <cfRule type="dataBar" priority="7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{F3D56FC3-2D97-4310-B1C4-72EE0E1AEDAB}</x14:id>
        </ext>
      </extLst>
    </cfRule>
  </conditionalFormatting>
  <conditionalFormatting sqref="T8">
    <cfRule type="dataBar" priority="1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{065C95E2-CE86-4CEF-B3D5-7B90D28EC5B7}</x14:id>
        </ext>
      </extLst>
    </cfRule>
  </conditionalFormatting>
  <conditionalFormatting sqref="V8">
    <cfRule type="dataBar" priority="12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{D8BC2AC0-FB9E-4DD9-984B-FF6DC18EA689}</x14:id>
        </ext>
      </extLst>
    </cfRule>
  </conditionalFormatting>
  <conditionalFormatting sqref="W8">
    <cfRule type="dataBar" priority="1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{C6230A2C-0E20-44D8-8E19-CCA6E6A703C4}</x14:id>
        </ext>
      </extLst>
    </cfRule>
  </conditionalFormatting>
  <conditionalFormatting sqref="X10 X7 X12:X13 X15:X17">
    <cfRule type="dataBar" priority="1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{9F327A08-23D7-4D98-BD5F-A0CB55E3E14B}</x14:id>
        </ext>
      </extLst>
    </cfRule>
  </conditionalFormatting>
  <conditionalFormatting sqref="H31">
    <cfRule type="dataBar" priority="6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{44F0CF41-C632-4C92-9CF0-B3096F29ED94}</x14:id>
        </ext>
      </extLst>
    </cfRule>
    <cfRule type="cellIs" dxfId="4396" priority="678" operator="equal">
      <formula>1</formula>
    </cfRule>
  </conditionalFormatting>
  <conditionalFormatting sqref="D31">
    <cfRule type="containsText" dxfId="4395" priority="676" operator="containsText" text="Buy">
      <formula>NOT(ISERROR(SEARCH("Buy",D31)))</formula>
    </cfRule>
    <cfRule type="containsText" dxfId="4394" priority="677" operator="containsText" text="Sell">
      <formula>NOT(ISERROR(SEARCH("Sell",D31)))</formula>
    </cfRule>
  </conditionalFormatting>
  <conditionalFormatting sqref="H32">
    <cfRule type="dataBar" priority="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{D71794F0-F063-499B-B204-E9F9F2E8080A}</x14:id>
        </ext>
      </extLst>
    </cfRule>
    <cfRule type="cellIs" dxfId="4393" priority="674" operator="equal">
      <formula>1</formula>
    </cfRule>
  </conditionalFormatting>
  <conditionalFormatting sqref="D32">
    <cfRule type="containsText" dxfId="4392" priority="672" operator="containsText" text="Buy">
      <formula>NOT(ISERROR(SEARCH("Buy",D32)))</formula>
    </cfRule>
    <cfRule type="containsText" dxfId="4391" priority="673" operator="containsText" text="Sell">
      <formula>NOT(ISERROR(SEARCH("Sell",D32)))</formula>
    </cfRule>
  </conditionalFormatting>
  <conditionalFormatting sqref="T18">
    <cfRule type="dataBar" priority="6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{5B01E59D-0E8C-4C4A-BC32-889FB23786F5}</x14:id>
        </ext>
      </extLst>
    </cfRule>
  </conditionalFormatting>
  <conditionalFormatting sqref="V18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{F9C1C784-7E22-4D04-BB63-7F80F2ACACD8}</x14:id>
        </ext>
      </extLst>
    </cfRule>
  </conditionalFormatting>
  <conditionalFormatting sqref="W18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{7F517C44-7D49-447C-BF6D-18D37052B53F}</x14:id>
        </ext>
      </extLst>
    </cfRule>
  </conditionalFormatting>
  <conditionalFormatting sqref="E88">
    <cfRule type="containsText" dxfId="4390" priority="652" operator="containsText" text="Buy">
      <formula>NOT(ISERROR(SEARCH("Buy",E88)))</formula>
    </cfRule>
    <cfRule type="containsText" dxfId="4389" priority="653" operator="containsText" text="Sell">
      <formula>NOT(ISERROR(SEARCH("Sell",E88)))</formula>
    </cfRule>
  </conditionalFormatting>
  <conditionalFormatting sqref="E89">
    <cfRule type="containsText" dxfId="4388" priority="654" operator="containsText" text="Buy">
      <formula>NOT(ISERROR(SEARCH("Buy",E89)))</formula>
    </cfRule>
    <cfRule type="containsText" dxfId="4387" priority="655" operator="containsText" text="Sell">
      <formula>NOT(ISERROR(SEARCH("Sell",E89)))</formula>
    </cfRule>
  </conditionalFormatting>
  <conditionalFormatting sqref="T9">
    <cfRule type="dataBar" priority="6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{6D4F94A7-0EF7-4428-87B8-504D7C8C8D74}</x14:id>
        </ext>
      </extLst>
    </cfRule>
  </conditionalFormatting>
  <conditionalFormatting sqref="V9">
    <cfRule type="dataBar" priority="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{D16A2827-EC12-454C-BE05-95FB09018164}</x14:id>
        </ext>
      </extLst>
    </cfRule>
  </conditionalFormatting>
  <conditionalFormatting sqref="W9">
    <cfRule type="dataBar" priority="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{6B8EC276-DCC0-411D-9434-61104C057EFF}</x14:id>
        </ext>
      </extLst>
    </cfRule>
  </conditionalFormatting>
  <conditionalFormatting sqref="H3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{DE60C851-752D-4476-8916-3E4550B41CAF}</x14:id>
        </ext>
      </extLst>
    </cfRule>
    <cfRule type="cellIs" dxfId="4386" priority="636" operator="equal">
      <formula>1</formula>
    </cfRule>
  </conditionalFormatting>
  <conditionalFormatting sqref="D33">
    <cfRule type="containsText" dxfId="4385" priority="634" operator="containsText" text="Buy">
      <formula>NOT(ISERROR(SEARCH("Buy",D33)))</formula>
    </cfRule>
    <cfRule type="containsText" dxfId="4384" priority="635" operator="containsText" text="Sell">
      <formula>NOT(ISERROR(SEARCH("Sell",D33)))</formula>
    </cfRule>
  </conditionalFormatting>
  <conditionalFormatting sqref="E92">
    <cfRule type="containsText" dxfId="4383" priority="629" operator="containsText" text="Buy">
      <formula>NOT(ISERROR(SEARCH("Buy",E92)))</formula>
    </cfRule>
    <cfRule type="containsText" dxfId="4382" priority="630" operator="containsText" text="Sell">
      <formula>NOT(ISERROR(SEARCH("Sell",E92)))</formula>
    </cfRule>
  </conditionalFormatting>
  <conditionalFormatting sqref="E93">
    <cfRule type="containsText" dxfId="4381" priority="631" operator="containsText" text="Buy">
      <formula>NOT(ISERROR(SEARCH("Buy",E93)))</formula>
    </cfRule>
    <cfRule type="containsText" dxfId="4380" priority="632" operator="containsText" text="Sell">
      <formula>NOT(ISERROR(SEARCH("Sell",E93)))</formula>
    </cfRule>
  </conditionalFormatting>
  <conditionalFormatting sqref="E95">
    <cfRule type="containsText" dxfId="4379" priority="594" operator="containsText" text="Buy">
      <formula>NOT(ISERROR(SEARCH("Buy",E95)))</formula>
    </cfRule>
    <cfRule type="containsText" dxfId="4378" priority="595" operator="containsText" text="Sell">
      <formula>NOT(ISERROR(SEARCH("Sell",E95)))</formula>
    </cfRule>
  </conditionalFormatting>
  <conditionalFormatting sqref="E96">
    <cfRule type="containsText" dxfId="4377" priority="596" operator="containsText" text="Buy">
      <formula>NOT(ISERROR(SEARCH("Buy",E96)))</formula>
    </cfRule>
    <cfRule type="containsText" dxfId="4376" priority="597" operator="containsText" text="Sell">
      <formula>NOT(ISERROR(SEARCH("Sell",E96)))</formula>
    </cfRule>
  </conditionalFormatting>
  <conditionalFormatting sqref="E98:E99">
    <cfRule type="containsText" dxfId="4375" priority="588" operator="containsText" text="Buy">
      <formula>NOT(ISERROR(SEARCH("Buy",E98)))</formula>
    </cfRule>
    <cfRule type="containsText" dxfId="4374" priority="589" operator="containsText" text="Sell">
      <formula>NOT(ISERROR(SEARCH("Sell",E98)))</formula>
    </cfRule>
  </conditionalFormatting>
  <conditionalFormatting sqref="E100">
    <cfRule type="containsText" dxfId="4373" priority="590" operator="containsText" text="Buy">
      <formula>NOT(ISERROR(SEARCH("Buy",E100)))</formula>
    </cfRule>
    <cfRule type="containsText" dxfId="4372" priority="591" operator="containsText" text="Sell">
      <formula>NOT(ISERROR(SEARCH("Sell",E100)))</formula>
    </cfRule>
  </conditionalFormatting>
  <conditionalFormatting sqref="E102:E103">
    <cfRule type="containsText" dxfId="4371" priority="584" operator="containsText" text="Buy">
      <formula>NOT(ISERROR(SEARCH("Buy",E102)))</formula>
    </cfRule>
    <cfRule type="containsText" dxfId="4370" priority="585" operator="containsText" text="Sell">
      <formula>NOT(ISERROR(SEARCH("Sell",E102)))</formula>
    </cfRule>
  </conditionalFormatting>
  <conditionalFormatting sqref="E104">
    <cfRule type="containsText" dxfId="4369" priority="586" operator="containsText" text="Buy">
      <formula>NOT(ISERROR(SEARCH("Buy",E104)))</formula>
    </cfRule>
    <cfRule type="containsText" dxfId="4368" priority="587" operator="containsText" text="Sell">
      <formula>NOT(ISERROR(SEARCH("Sell",E104)))</formula>
    </cfRule>
  </conditionalFormatting>
  <conditionalFormatting sqref="E106:E111">
    <cfRule type="containsText" dxfId="4367" priority="582" operator="containsText" text="Buy">
      <formula>NOT(ISERROR(SEARCH("Buy",E106)))</formula>
    </cfRule>
    <cfRule type="containsText" dxfId="4366" priority="583" operator="containsText" text="Sell">
      <formula>NOT(ISERROR(SEARCH("Sell",E106)))</formula>
    </cfRule>
  </conditionalFormatting>
  <conditionalFormatting sqref="E114:E115">
    <cfRule type="containsText" dxfId="4365" priority="578" operator="containsText" text="Buy">
      <formula>NOT(ISERROR(SEARCH("Buy",E114)))</formula>
    </cfRule>
    <cfRule type="containsText" dxfId="4364" priority="579" operator="containsText" text="Sell">
      <formula>NOT(ISERROR(SEARCH("Sell",E114)))</formula>
    </cfRule>
  </conditionalFormatting>
  <conditionalFormatting sqref="E116">
    <cfRule type="containsText" dxfId="4363" priority="580" operator="containsText" text="Buy">
      <formula>NOT(ISERROR(SEARCH("Buy",E116)))</formula>
    </cfRule>
    <cfRule type="containsText" dxfId="4362" priority="581" operator="containsText" text="Sell">
      <formula>NOT(ISERROR(SEARCH("Sell",E116)))</formula>
    </cfRule>
  </conditionalFormatting>
  <conditionalFormatting sqref="E118">
    <cfRule type="containsText" dxfId="4361" priority="574" operator="containsText" text="Buy">
      <formula>NOT(ISERROR(SEARCH("Buy",E118)))</formula>
    </cfRule>
    <cfRule type="containsText" dxfId="4360" priority="575" operator="containsText" text="Sell">
      <formula>NOT(ISERROR(SEARCH("Sell",E118)))</formula>
    </cfRule>
  </conditionalFormatting>
  <conditionalFormatting sqref="E119">
    <cfRule type="containsText" dxfId="4359" priority="576" operator="containsText" text="Buy">
      <formula>NOT(ISERROR(SEARCH("Buy",E119)))</formula>
    </cfRule>
    <cfRule type="containsText" dxfId="4358" priority="577" operator="containsText" text="Sell">
      <formula>NOT(ISERROR(SEARCH("Sell",E119)))</formula>
    </cfRule>
  </conditionalFormatting>
  <conditionalFormatting sqref="E125">
    <cfRule type="containsText" dxfId="4357" priority="572" operator="containsText" text="Buy">
      <formula>NOT(ISERROR(SEARCH("Buy",E125)))</formula>
    </cfRule>
    <cfRule type="containsText" dxfId="4356" priority="573" operator="containsText" text="Sell">
      <formula>NOT(ISERROR(SEARCH("Sell",E125)))</formula>
    </cfRule>
  </conditionalFormatting>
  <conditionalFormatting sqref="E121:E124">
    <cfRule type="containsText" dxfId="4355" priority="570" operator="containsText" text="Buy">
      <formula>NOT(ISERROR(SEARCH("Buy",E121)))</formula>
    </cfRule>
    <cfRule type="containsText" dxfId="4354" priority="571" operator="containsText" text="Sell">
      <formula>NOT(ISERROR(SEARCH("Sell",E121)))</formula>
    </cfRule>
  </conditionalFormatting>
  <conditionalFormatting sqref="E129">
    <cfRule type="containsText" dxfId="4353" priority="568" operator="containsText" text="Buy">
      <formula>NOT(ISERROR(SEARCH("Buy",E129)))</formula>
    </cfRule>
    <cfRule type="containsText" dxfId="4352" priority="569" operator="containsText" text="Sell">
      <formula>NOT(ISERROR(SEARCH("Sell",E129)))</formula>
    </cfRule>
  </conditionalFormatting>
  <conditionalFormatting sqref="E127:E128">
    <cfRule type="containsText" dxfId="4351" priority="566" operator="containsText" text="Buy">
      <formula>NOT(ISERROR(SEARCH("Buy",E127)))</formula>
    </cfRule>
    <cfRule type="containsText" dxfId="4350" priority="567" operator="containsText" text="Sell">
      <formula>NOT(ISERROR(SEARCH("Sell",E127)))</formula>
    </cfRule>
  </conditionalFormatting>
  <conditionalFormatting sqref="E136">
    <cfRule type="containsText" dxfId="4349" priority="564" operator="containsText" text="Buy">
      <formula>NOT(ISERROR(SEARCH("Buy",E136)))</formula>
    </cfRule>
    <cfRule type="containsText" dxfId="4348" priority="565" operator="containsText" text="Sell">
      <formula>NOT(ISERROR(SEARCH("Sell",E136)))</formula>
    </cfRule>
  </conditionalFormatting>
  <conditionalFormatting sqref="E131:E135">
    <cfRule type="containsText" dxfId="4347" priority="562" operator="containsText" text="Buy">
      <formula>NOT(ISERROR(SEARCH("Buy",E131)))</formula>
    </cfRule>
    <cfRule type="containsText" dxfId="4346" priority="563" operator="containsText" text="Sell">
      <formula>NOT(ISERROR(SEARCH("Sell",E131)))</formula>
    </cfRule>
  </conditionalFormatting>
  <conditionalFormatting sqref="E152">
    <cfRule type="containsText" dxfId="4345" priority="548" operator="containsText" text="Buy">
      <formula>NOT(ISERROR(SEARCH("Buy",E152)))</formula>
    </cfRule>
    <cfRule type="containsText" dxfId="4344" priority="549" operator="containsText" text="Sell">
      <formula>NOT(ISERROR(SEARCH("Sell",E152)))</formula>
    </cfRule>
  </conditionalFormatting>
  <conditionalFormatting sqref="E141">
    <cfRule type="containsText" dxfId="4343" priority="552" operator="containsText" text="Buy">
      <formula>NOT(ISERROR(SEARCH("Buy",E141)))</formula>
    </cfRule>
    <cfRule type="containsText" dxfId="4342" priority="553" operator="containsText" text="Sell">
      <formula>NOT(ISERROR(SEARCH("Sell",E141)))</formula>
    </cfRule>
  </conditionalFormatting>
  <conditionalFormatting sqref="E140">
    <cfRule type="containsText" dxfId="4341" priority="554" operator="containsText" text="Buy">
      <formula>NOT(ISERROR(SEARCH("Buy",E140)))</formula>
    </cfRule>
    <cfRule type="containsText" dxfId="4340" priority="555" operator="containsText" text="Sell">
      <formula>NOT(ISERROR(SEARCH("Sell",E140)))</formula>
    </cfRule>
  </conditionalFormatting>
  <conditionalFormatting sqref="E143:E151">
    <cfRule type="containsText" dxfId="4339" priority="550" operator="containsText" text="Buy">
      <formula>NOT(ISERROR(SEARCH("Buy",E143)))</formula>
    </cfRule>
    <cfRule type="containsText" dxfId="4338" priority="551" operator="containsText" text="Sell">
      <formula>NOT(ISERROR(SEARCH("Sell",E143)))</formula>
    </cfRule>
  </conditionalFormatting>
  <conditionalFormatting sqref="E155">
    <cfRule type="containsText" dxfId="4337" priority="546" operator="containsText" text="Buy">
      <formula>NOT(ISERROR(SEARCH("Buy",E155)))</formula>
    </cfRule>
    <cfRule type="containsText" dxfId="4336" priority="547" operator="containsText" text="Sell">
      <formula>NOT(ISERROR(SEARCH("Sell",E155)))</formula>
    </cfRule>
  </conditionalFormatting>
  <conditionalFormatting sqref="E158:E159">
    <cfRule type="containsText" dxfId="4335" priority="542" operator="containsText" text="Buy">
      <formula>NOT(ISERROR(SEARCH("Buy",E158)))</formula>
    </cfRule>
    <cfRule type="containsText" dxfId="4334" priority="543" operator="containsText" text="Sell">
      <formula>NOT(ISERROR(SEARCH("Sell",E158)))</formula>
    </cfRule>
  </conditionalFormatting>
  <conditionalFormatting sqref="E157">
    <cfRule type="containsText" dxfId="4333" priority="540" operator="containsText" text="Buy">
      <formula>NOT(ISERROR(SEARCH("Buy",E157)))</formula>
    </cfRule>
    <cfRule type="containsText" dxfId="4332" priority="541" operator="containsText" text="Sell">
      <formula>NOT(ISERROR(SEARCH("Sell",E157)))</formula>
    </cfRule>
  </conditionalFormatting>
  <conditionalFormatting sqref="E166">
    <cfRule type="containsText" dxfId="4331" priority="536" operator="containsText" text="Buy">
      <formula>NOT(ISERROR(SEARCH("Buy",E166)))</formula>
    </cfRule>
    <cfRule type="containsText" dxfId="4330" priority="537" operator="containsText" text="Sell">
      <formula>NOT(ISERROR(SEARCH("Sell",E166)))</formula>
    </cfRule>
  </conditionalFormatting>
  <conditionalFormatting sqref="E161:E165">
    <cfRule type="containsText" dxfId="4329" priority="538" operator="containsText" text="Buy">
      <formula>NOT(ISERROR(SEARCH("Buy",E161)))</formula>
    </cfRule>
    <cfRule type="containsText" dxfId="4328" priority="539" operator="containsText" text="Sell">
      <formula>NOT(ISERROR(SEARCH("Sell",E161)))</formula>
    </cfRule>
  </conditionalFormatting>
  <conditionalFormatting sqref="E169">
    <cfRule type="containsText" dxfId="4327" priority="532" operator="containsText" text="Buy">
      <formula>NOT(ISERROR(SEARCH("Buy",E169)))</formula>
    </cfRule>
    <cfRule type="containsText" dxfId="4326" priority="533" operator="containsText" text="Sell">
      <formula>NOT(ISERROR(SEARCH("Sell",E169)))</formula>
    </cfRule>
  </conditionalFormatting>
  <conditionalFormatting sqref="E168">
    <cfRule type="containsText" dxfId="4325" priority="534" operator="containsText" text="Buy">
      <formula>NOT(ISERROR(SEARCH("Buy",E168)))</formula>
    </cfRule>
    <cfRule type="containsText" dxfId="4324" priority="535" operator="containsText" text="Sell">
      <formula>NOT(ISERROR(SEARCH("Sell",E168)))</formula>
    </cfRule>
  </conditionalFormatting>
  <conditionalFormatting sqref="E172">
    <cfRule type="containsText" dxfId="4323" priority="530" operator="containsText" text="Buy">
      <formula>NOT(ISERROR(SEARCH("Buy",E172)))</formula>
    </cfRule>
    <cfRule type="containsText" dxfId="4322" priority="531" operator="containsText" text="Sell">
      <formula>NOT(ISERROR(SEARCH("Sell",E172)))</formula>
    </cfRule>
  </conditionalFormatting>
  <conditionalFormatting sqref="E171">
    <cfRule type="containsText" dxfId="4321" priority="528" operator="containsText" text="Buy">
      <formula>NOT(ISERROR(SEARCH("Buy",E171)))</formula>
    </cfRule>
    <cfRule type="containsText" dxfId="4320" priority="529" operator="containsText" text="Sell">
      <formula>NOT(ISERROR(SEARCH("Sell",E171)))</formula>
    </cfRule>
  </conditionalFormatting>
  <conditionalFormatting sqref="E178">
    <cfRule type="containsText" dxfId="4319" priority="502" operator="containsText" text="Buy">
      <formula>NOT(ISERROR(SEARCH("Buy",E178)))</formula>
    </cfRule>
    <cfRule type="containsText" dxfId="4318" priority="503" operator="containsText" text="Sell">
      <formula>NOT(ISERROR(SEARCH("Sell",E178)))</formula>
    </cfRule>
  </conditionalFormatting>
  <conditionalFormatting sqref="E175:E177">
    <cfRule type="containsText" dxfId="4317" priority="504" operator="containsText" text="Buy">
      <formula>NOT(ISERROR(SEARCH("Buy",E175)))</formula>
    </cfRule>
    <cfRule type="containsText" dxfId="4316" priority="505" operator="containsText" text="Sell">
      <formula>NOT(ISERROR(SEARCH("Sell",E175)))</formula>
    </cfRule>
  </conditionalFormatting>
  <conditionalFormatting sqref="H34">
    <cfRule type="dataBar" priority="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{2AF34328-BB65-491E-AAAC-655BA43D76E2}</x14:id>
        </ext>
      </extLst>
    </cfRule>
    <cfRule type="cellIs" dxfId="4315" priority="477" operator="equal">
      <formula>1</formula>
    </cfRule>
  </conditionalFormatting>
  <conditionalFormatting sqref="D34">
    <cfRule type="containsText" dxfId="4314" priority="475" operator="containsText" text="Buy">
      <formula>NOT(ISERROR(SEARCH("Buy",D34)))</formula>
    </cfRule>
    <cfRule type="containsText" dxfId="4313" priority="476" operator="containsText" text="Sell">
      <formula>NOT(ISERROR(SEARCH("Sell",D34)))</formula>
    </cfRule>
  </conditionalFormatting>
  <conditionalFormatting sqref="H35">
    <cfRule type="dataBar" priority="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{70D8189C-4320-4F57-8B66-8003B7DD5F87}</x14:id>
        </ext>
      </extLst>
    </cfRule>
    <cfRule type="cellIs" dxfId="4312" priority="473" operator="equal">
      <formula>1</formula>
    </cfRule>
  </conditionalFormatting>
  <conditionalFormatting sqref="D35">
    <cfRule type="containsText" dxfId="4311" priority="471" operator="containsText" text="Buy">
      <formula>NOT(ISERROR(SEARCH("Buy",D35)))</formula>
    </cfRule>
    <cfRule type="containsText" dxfId="4310" priority="472" operator="containsText" text="Sell">
      <formula>NOT(ISERROR(SEARCH("Sell",D35)))</formula>
    </cfRule>
  </conditionalFormatting>
  <conditionalFormatting sqref="H36">
    <cfRule type="dataBar" priority="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{7D604415-41A2-4288-B618-AD405443188B}</x14:id>
        </ext>
      </extLst>
    </cfRule>
    <cfRule type="cellIs" dxfId="4309" priority="469" operator="equal">
      <formula>1</formula>
    </cfRule>
  </conditionalFormatting>
  <conditionalFormatting sqref="D36">
    <cfRule type="containsText" dxfId="4308" priority="467" operator="containsText" text="Buy">
      <formula>NOT(ISERROR(SEARCH("Buy",D36)))</formula>
    </cfRule>
    <cfRule type="containsText" dxfId="4307" priority="468" operator="containsText" text="Sell">
      <formula>NOT(ISERROR(SEARCH("Sell",D36)))</formula>
    </cfRule>
  </conditionalFormatting>
  <conditionalFormatting sqref="E80">
    <cfRule type="containsText" dxfId="4306" priority="462" operator="containsText" text="Buy">
      <formula>NOT(ISERROR(SEARCH("Buy",E80)))</formula>
    </cfRule>
    <cfRule type="containsText" dxfId="4305" priority="463" operator="containsText" text="Sell">
      <formula>NOT(ISERROR(SEARCH("Sell",E80)))</formula>
    </cfRule>
  </conditionalFormatting>
  <conditionalFormatting sqref="E81:E82">
    <cfRule type="containsText" dxfId="4304" priority="464" operator="containsText" text="Buy">
      <formula>NOT(ISERROR(SEARCH("Buy",E81)))</formula>
    </cfRule>
    <cfRule type="containsText" dxfId="4303" priority="465" operator="containsText" text="Sell">
      <formula>NOT(ISERROR(SEARCH("Sell",E81)))</formula>
    </cfRule>
  </conditionalFormatting>
  <conditionalFormatting sqref="T11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{1F5AE433-79A2-498B-A187-06BF0C9DA442}</x14:id>
        </ext>
      </extLst>
    </cfRule>
  </conditionalFormatting>
  <conditionalFormatting sqref="V11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{D25EBF8C-2F5F-45EA-907E-91DEFD427C8C}</x14:id>
        </ext>
      </extLst>
    </cfRule>
  </conditionalFormatting>
  <conditionalFormatting sqref="W1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{D5371716-FB6B-40DF-B540-8336A46084AD}</x14:id>
        </ext>
      </extLst>
    </cfRule>
  </conditionalFormatting>
  <conditionalFormatting sqref="I11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{06DA3F0C-9B58-43BA-9996-5888C0E66AFA}</x14:id>
        </ext>
      </extLst>
    </cfRule>
  </conditionalFormatting>
  <conditionalFormatting sqref="K11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{02C9EC6C-080B-473E-A96F-AC97E22450F4}</x14:id>
        </ext>
      </extLst>
    </cfRule>
  </conditionalFormatting>
  <conditionalFormatting sqref="E91">
    <cfRule type="containsText" dxfId="4302" priority="439" operator="containsText" text="Buy">
      <formula>NOT(ISERROR(SEARCH("Buy",E91)))</formula>
    </cfRule>
    <cfRule type="containsText" dxfId="4301" priority="440" operator="containsText" text="Sell">
      <formula>NOT(ISERROR(SEARCH("Sell",E91)))</formula>
    </cfRule>
  </conditionalFormatting>
  <conditionalFormatting sqref="E139">
    <cfRule type="containsText" dxfId="4300" priority="437" operator="containsText" text="Buy">
      <formula>NOT(ISERROR(SEARCH("Buy",E139)))</formula>
    </cfRule>
    <cfRule type="containsText" dxfId="4299" priority="438" operator="containsText" text="Sell">
      <formula>NOT(ISERROR(SEARCH("Sell",E139)))</formula>
    </cfRule>
  </conditionalFormatting>
  <conditionalFormatting sqref="H37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{0B512949-AAD8-4A27-966D-86B8F938861F}</x14:id>
        </ext>
      </extLst>
    </cfRule>
    <cfRule type="cellIs" dxfId="4298" priority="436" operator="equal">
      <formula>1</formula>
    </cfRule>
  </conditionalFormatting>
  <conditionalFormatting sqref="D37">
    <cfRule type="containsText" dxfId="4297" priority="434" operator="containsText" text="Buy">
      <formula>NOT(ISERROR(SEARCH("Buy",D37)))</formula>
    </cfRule>
    <cfRule type="containsText" dxfId="4296" priority="435" operator="containsText" text="Sell">
      <formula>NOT(ISERROR(SEARCH("Sell",D37)))</formula>
    </cfRule>
  </conditionalFormatting>
  <conditionalFormatting sqref="D38">
    <cfRule type="containsText" dxfId="4295" priority="430" operator="containsText" text="Buy">
      <formula>NOT(ISERROR(SEARCH("Buy",D38)))</formula>
    </cfRule>
    <cfRule type="containsText" dxfId="4294" priority="431" operator="containsText" text="Sell">
      <formula>NOT(ISERROR(SEARCH("Sell",D38)))</formula>
    </cfRule>
  </conditionalFormatting>
  <conditionalFormatting sqref="H38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{8009ACE9-2E4E-4A6A-895F-E70C28E6824E}</x14:id>
        </ext>
      </extLst>
    </cfRule>
    <cfRule type="cellIs" dxfId="4293" priority="432" operator="equal">
      <formula>1</formula>
    </cfRule>
  </conditionalFormatting>
  <conditionalFormatting sqref="E87">
    <cfRule type="containsText" dxfId="4292" priority="427" operator="containsText" text="Buy">
      <formula>NOT(ISERROR(SEARCH("Buy",E87)))</formula>
    </cfRule>
    <cfRule type="containsText" dxfId="4291" priority="428" operator="containsText" text="Sell">
      <formula>NOT(ISERROR(SEARCH("Sell",E87)))</formula>
    </cfRule>
  </conditionalFormatting>
  <conditionalFormatting sqref="D39">
    <cfRule type="containsText" dxfId="4290" priority="424" operator="containsText" text="Buy">
      <formula>NOT(ISERROR(SEARCH("Buy",D39)))</formula>
    </cfRule>
    <cfRule type="containsText" dxfId="4289" priority="425" operator="containsText" text="Sell">
      <formula>NOT(ISERROR(SEARCH("Sell",D39)))</formula>
    </cfRule>
  </conditionalFormatting>
  <conditionalFormatting sqref="H39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{5F9D35E4-974C-49DF-A9F7-C7A504AB5D2D}</x14:id>
        </ext>
      </extLst>
    </cfRule>
    <cfRule type="cellIs" dxfId="4288" priority="426" operator="equal">
      <formula>1</formula>
    </cfRule>
  </conditionalFormatting>
  <conditionalFormatting sqref="T19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{48E3B245-4B6F-474F-878C-EFD7BE6CA1C4}</x14:id>
        </ext>
      </extLst>
    </cfRule>
  </conditionalFormatting>
  <conditionalFormatting sqref="V19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{E9DE2F68-1E98-426D-B132-6D08D470DEBC}</x14:id>
        </ext>
      </extLst>
    </cfRule>
  </conditionalFormatting>
  <conditionalFormatting sqref="W19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{D3EADB71-B98D-403F-823C-8CF99919D2EA}</x14:id>
        </ext>
      </extLst>
    </cfRule>
  </conditionalFormatting>
  <conditionalFormatting sqref="I19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{69C974C4-DEE6-4242-93F7-EE9B24C9BB0E}</x14:id>
        </ext>
      </extLst>
    </cfRule>
  </conditionalFormatting>
  <conditionalFormatting sqref="K1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{05963F64-B75C-46C1-946D-1587D0EB8A41}</x14:id>
        </ext>
      </extLst>
    </cfRule>
  </conditionalFormatting>
  <conditionalFormatting sqref="E77">
    <cfRule type="containsText" dxfId="4287" priority="399" operator="containsText" text="Buy">
      <formula>NOT(ISERROR(SEARCH("Buy",E77)))</formula>
    </cfRule>
    <cfRule type="containsText" dxfId="4286" priority="400" operator="containsText" text="Sell">
      <formula>NOT(ISERROR(SEARCH("Sell",E77)))</formula>
    </cfRule>
  </conditionalFormatting>
  <conditionalFormatting sqref="E78">
    <cfRule type="containsText" dxfId="4285" priority="401" operator="containsText" text="Buy">
      <formula>NOT(ISERROR(SEARCH("Buy",E78)))</formula>
    </cfRule>
    <cfRule type="containsText" dxfId="4284" priority="402" operator="containsText" text="Sell">
      <formula>NOT(ISERROR(SEARCH("Sell",E78)))</formula>
    </cfRule>
  </conditionalFormatting>
  <conditionalFormatting sqref="H40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{1BCA7DF7-7783-48C0-BAD0-CCE74876D49A}</x14:id>
        </ext>
      </extLst>
    </cfRule>
    <cfRule type="cellIs" dxfId="4283" priority="398" operator="equal">
      <formula>1</formula>
    </cfRule>
  </conditionalFormatting>
  <conditionalFormatting sqref="D40">
    <cfRule type="containsText" dxfId="4282" priority="396" operator="containsText" text="Buy">
      <formula>NOT(ISERROR(SEARCH("Buy",D40)))</formula>
    </cfRule>
    <cfRule type="containsText" dxfId="4281" priority="397" operator="containsText" text="Sell">
      <formula>NOT(ISERROR(SEARCH("Sell",D40)))</formula>
    </cfRule>
  </conditionalFormatting>
  <conditionalFormatting sqref="H41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{B95A8ACD-6047-40A8-A677-D22580D09661}</x14:id>
        </ext>
      </extLst>
    </cfRule>
    <cfRule type="cellIs" dxfId="4280" priority="394" operator="equal">
      <formula>1</formula>
    </cfRule>
  </conditionalFormatting>
  <conditionalFormatting sqref="D41">
    <cfRule type="containsText" dxfId="4279" priority="392" operator="containsText" text="Buy">
      <formula>NOT(ISERROR(SEARCH("Buy",D41)))</formula>
    </cfRule>
    <cfRule type="containsText" dxfId="4278" priority="393" operator="containsText" text="Sell">
      <formula>NOT(ISERROR(SEARCH("Sell",D41)))</formula>
    </cfRule>
  </conditionalFormatting>
  <conditionalFormatting sqref="H42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{40096F20-7A84-42F8-8DB0-7AD4486AFCE8}</x14:id>
        </ext>
      </extLst>
    </cfRule>
    <cfRule type="cellIs" dxfId="4277" priority="390" operator="equal">
      <formula>1</formula>
    </cfRule>
  </conditionalFormatting>
  <conditionalFormatting sqref="D42">
    <cfRule type="containsText" dxfId="4276" priority="388" operator="containsText" text="Buy">
      <formula>NOT(ISERROR(SEARCH("Buy",D42)))</formula>
    </cfRule>
    <cfRule type="containsText" dxfId="4275" priority="389" operator="containsText" text="Sell">
      <formula>NOT(ISERROR(SEARCH("Sell",D42)))</formula>
    </cfRule>
  </conditionalFormatting>
  <conditionalFormatting sqref="H43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{BAA74962-9DDE-4EAF-943D-0E159EAD0D0F}</x14:id>
        </ext>
      </extLst>
    </cfRule>
    <cfRule type="cellIs" dxfId="4274" priority="386" operator="equal">
      <formula>1</formula>
    </cfRule>
  </conditionalFormatting>
  <conditionalFormatting sqref="D43">
    <cfRule type="containsText" dxfId="4273" priority="384" operator="containsText" text="Buy">
      <formula>NOT(ISERROR(SEARCH("Buy",D43)))</formula>
    </cfRule>
    <cfRule type="containsText" dxfId="4272" priority="385" operator="containsText" text="Sell">
      <formula>NOT(ISERROR(SEARCH("Sell",D43)))</formula>
    </cfRule>
  </conditionalFormatting>
  <conditionalFormatting sqref="H44">
    <cfRule type="dataBar" priority="3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{AA65BE6F-D2FF-4022-AC43-C995C8BF307E}</x14:id>
        </ext>
      </extLst>
    </cfRule>
    <cfRule type="cellIs" dxfId="4271" priority="382" operator="equal">
      <formula>1</formula>
    </cfRule>
  </conditionalFormatting>
  <conditionalFormatting sqref="D44">
    <cfRule type="containsText" dxfId="4270" priority="380" operator="containsText" text="Buy">
      <formula>NOT(ISERROR(SEARCH("Buy",D44)))</formula>
    </cfRule>
    <cfRule type="containsText" dxfId="4269" priority="381" operator="containsText" text="Sell">
      <formula>NOT(ISERROR(SEARCH("Sell",D44)))</formula>
    </cfRule>
  </conditionalFormatting>
  <conditionalFormatting sqref="E86">
    <cfRule type="containsText" dxfId="4268" priority="377" operator="containsText" text="Buy">
      <formula>NOT(ISERROR(SEARCH("Buy",E86)))</formula>
    </cfRule>
    <cfRule type="containsText" dxfId="4267" priority="378" operator="containsText" text="Sell">
      <formula>NOT(ISERROR(SEARCH("Sell",E86)))</formula>
    </cfRule>
  </conditionalFormatting>
  <conditionalFormatting sqref="T20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{E73168EB-D3B5-43A4-95CC-C692F91E05AC}</x14:id>
        </ext>
      </extLst>
    </cfRule>
  </conditionalFormatting>
  <conditionalFormatting sqref="V20">
    <cfRule type="dataBar" priority="3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{3C1AE5E1-54AD-4EE6-95A7-CACB590566D2}</x14:id>
        </ext>
      </extLst>
    </cfRule>
  </conditionalFormatting>
  <conditionalFormatting sqref="W20">
    <cfRule type="dataBar" priority="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{640BEA28-E18B-4C9D-859E-8CE0F7649827}</x14:id>
        </ext>
      </extLst>
    </cfRule>
  </conditionalFormatting>
  <conditionalFormatting sqref="I20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{66925782-5FC4-41A9-98D8-834FDBBE875F}</x14:id>
        </ext>
      </extLst>
    </cfRule>
  </conditionalFormatting>
  <conditionalFormatting sqref="K20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{278B5279-10DD-41A0-9C0E-E7683C3EA1AD}</x14:id>
        </ext>
      </extLst>
    </cfRule>
  </conditionalFormatting>
  <conditionalFormatting sqref="E74">
    <cfRule type="containsText" dxfId="4266" priority="353" operator="containsText" text="Buy">
      <formula>NOT(ISERROR(SEARCH("Buy",E74)))</formula>
    </cfRule>
    <cfRule type="containsText" dxfId="4265" priority="354" operator="containsText" text="Sell">
      <formula>NOT(ISERROR(SEARCH("Sell",E74)))</formula>
    </cfRule>
  </conditionalFormatting>
  <conditionalFormatting sqref="E75">
    <cfRule type="containsText" dxfId="4264" priority="355" operator="containsText" text="Buy">
      <formula>NOT(ISERROR(SEARCH("Buy",E75)))</formula>
    </cfRule>
    <cfRule type="containsText" dxfId="4263" priority="356" operator="containsText" text="Sell">
      <formula>NOT(ISERROR(SEARCH("Sell",E75)))</formula>
    </cfRule>
  </conditionalFormatting>
  <conditionalFormatting sqref="H49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{6AB7612E-0539-4D44-950E-07194573317C}</x14:id>
        </ext>
      </extLst>
    </cfRule>
    <cfRule type="cellIs" dxfId="4262" priority="347" operator="equal">
      <formula>1</formula>
    </cfRule>
  </conditionalFormatting>
  <conditionalFormatting sqref="D49">
    <cfRule type="containsText" dxfId="4261" priority="345" operator="containsText" text="Buy">
      <formula>NOT(ISERROR(SEARCH("Buy",D49)))</formula>
    </cfRule>
    <cfRule type="containsText" dxfId="4260" priority="346" operator="containsText" text="Sell">
      <formula>NOT(ISERROR(SEARCH("Sell",D49)))</formula>
    </cfRule>
  </conditionalFormatting>
  <conditionalFormatting sqref="E160">
    <cfRule type="containsText" dxfId="4259" priority="342" operator="containsText" text="Buy">
      <formula>NOT(ISERROR(SEARCH("Buy",E160)))</formula>
    </cfRule>
    <cfRule type="containsText" dxfId="4258" priority="343" operator="containsText" text="Sell">
      <formula>NOT(ISERROR(SEARCH("Sell",E160)))</formula>
    </cfRule>
  </conditionalFormatting>
  <conditionalFormatting sqref="H50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{BEF61950-2EE5-41CE-8D49-299191B2B4FD}</x14:id>
        </ext>
      </extLst>
    </cfRule>
    <cfRule type="cellIs" dxfId="4257" priority="341" operator="equal">
      <formula>1</formula>
    </cfRule>
  </conditionalFormatting>
  <conditionalFormatting sqref="D50">
    <cfRule type="containsText" dxfId="4256" priority="339" operator="containsText" text="Buy">
      <formula>NOT(ISERROR(SEARCH("Buy",D50)))</formula>
    </cfRule>
    <cfRule type="containsText" dxfId="4255" priority="340" operator="containsText" text="Sell">
      <formula>NOT(ISERROR(SEARCH("Sell",D50)))</formula>
    </cfRule>
  </conditionalFormatting>
  <conditionalFormatting sqref="H51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{2BAF72D4-ACEC-4A82-B718-49D9F306EE6F}</x14:id>
        </ext>
      </extLst>
    </cfRule>
    <cfRule type="cellIs" dxfId="4254" priority="337" operator="equal">
      <formula>1</formula>
    </cfRule>
  </conditionalFormatting>
  <conditionalFormatting sqref="D51">
    <cfRule type="containsText" dxfId="4253" priority="335" operator="containsText" text="Buy">
      <formula>NOT(ISERROR(SEARCH("Buy",D51)))</formula>
    </cfRule>
    <cfRule type="containsText" dxfId="4252" priority="336" operator="containsText" text="Sell">
      <formula>NOT(ISERROR(SEARCH("Sell",D51)))</formula>
    </cfRule>
  </conditionalFormatting>
  <conditionalFormatting sqref="H52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{A39CD54D-D7A1-4350-8E15-CED91B5A8DF4}</x14:id>
        </ext>
      </extLst>
    </cfRule>
    <cfRule type="cellIs" dxfId="4251" priority="312" operator="equal">
      <formula>1</formula>
    </cfRule>
  </conditionalFormatting>
  <conditionalFormatting sqref="D52">
    <cfRule type="containsText" dxfId="4250" priority="310" operator="containsText" text="Buy">
      <formula>NOT(ISERROR(SEARCH("Buy",D52)))</formula>
    </cfRule>
    <cfRule type="containsText" dxfId="4249" priority="311" operator="containsText" text="Sell">
      <formula>NOT(ISERROR(SEARCH("Sell",D52)))</formula>
    </cfRule>
  </conditionalFormatting>
  <conditionalFormatting sqref="H53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{118E6D7E-39E5-4105-BA20-0A810EC00D1A}</x14:id>
        </ext>
      </extLst>
    </cfRule>
    <cfRule type="cellIs" dxfId="4248" priority="308" operator="equal">
      <formula>1</formula>
    </cfRule>
  </conditionalFormatting>
  <conditionalFormatting sqref="D53">
    <cfRule type="containsText" dxfId="4247" priority="306" operator="containsText" text="Buy">
      <formula>NOT(ISERROR(SEARCH("Buy",D53)))</formula>
    </cfRule>
    <cfRule type="containsText" dxfId="4246" priority="307" operator="containsText" text="Sell">
      <formula>NOT(ISERROR(SEARCH("Sell",D53)))</formula>
    </cfRule>
  </conditionalFormatting>
  <conditionalFormatting sqref="E181">
    <cfRule type="containsText" dxfId="4245" priority="303" operator="containsText" text="Buy">
      <formula>NOT(ISERROR(SEARCH("Buy",E181)))</formula>
    </cfRule>
    <cfRule type="containsText" dxfId="4244" priority="304" operator="containsText" text="Sell">
      <formula>NOT(ISERROR(SEARCH("Sell",E181)))</formula>
    </cfRule>
  </conditionalFormatting>
  <conditionalFormatting sqref="E180">
    <cfRule type="containsText" dxfId="4243" priority="301" operator="containsText" text="Buy">
      <formula>NOT(ISERROR(SEARCH("Buy",E180)))</formula>
    </cfRule>
    <cfRule type="containsText" dxfId="4242" priority="302" operator="containsText" text="Sell">
      <formula>NOT(ISERROR(SEARCH("Sell",E180)))</formula>
    </cfRule>
  </conditionalFormatting>
  <conditionalFormatting sqref="T22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{F80CACC4-9027-4B6E-9AAE-B89389F5AF71}</x14:id>
        </ext>
      </extLst>
    </cfRule>
  </conditionalFormatting>
  <conditionalFormatting sqref="V22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{DF057552-B8B0-4AA9-90A2-61A80E4223E5}</x14:id>
        </ext>
      </extLst>
    </cfRule>
  </conditionalFormatting>
  <conditionalFormatting sqref="W22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{90FBDC9D-ABD1-4576-A8B9-D5541355E4D0}</x14:id>
        </ext>
      </extLst>
    </cfRule>
  </conditionalFormatting>
  <conditionalFormatting sqref="I22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{B3E0D35A-20D5-43A0-AFF4-4BAD451918DE}</x14:id>
        </ext>
      </extLst>
    </cfRule>
  </conditionalFormatting>
  <conditionalFormatting sqref="I22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{4B7E10FF-4AFA-4FA5-BB33-66F6D09CB329}</x14:id>
        </ext>
      </extLst>
    </cfRule>
  </conditionalFormatting>
  <conditionalFormatting sqref="I22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{827B2573-540D-41D1-B04E-57005F0790F2}</x14:id>
        </ext>
      </extLst>
    </cfRule>
  </conditionalFormatting>
  <conditionalFormatting sqref="I22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{126C7A7A-59CE-4DB4-A059-421E4975B396}</x14:id>
        </ext>
      </extLst>
    </cfRule>
  </conditionalFormatting>
  <conditionalFormatting sqref="I22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{AFD61182-92ED-428D-A72A-BCD1F9E5DD25}</x14:id>
        </ext>
      </extLst>
    </cfRule>
  </conditionalFormatting>
  <conditionalFormatting sqref="H54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{2C08202C-34F8-4991-8245-C00EEBA98485}</x14:id>
        </ext>
      </extLst>
    </cfRule>
    <cfRule type="cellIs" dxfId="4241" priority="273" operator="equal">
      <formula>1</formula>
    </cfRule>
  </conditionalFormatting>
  <conditionalFormatting sqref="D54">
    <cfRule type="containsText" dxfId="4240" priority="271" operator="containsText" text="Buy">
      <formula>NOT(ISERROR(SEARCH("Buy",D54)))</formula>
    </cfRule>
    <cfRule type="containsText" dxfId="4239" priority="272" operator="containsText" text="Sell">
      <formula>NOT(ISERROR(SEARCH("Sell",D54)))</formula>
    </cfRule>
  </conditionalFormatting>
  <conditionalFormatting sqref="H55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{1C3ED108-C746-45AF-A999-0F5ADB12D150}</x14:id>
        </ext>
      </extLst>
    </cfRule>
    <cfRule type="cellIs" dxfId="4238" priority="269" operator="equal">
      <formula>1</formula>
    </cfRule>
  </conditionalFormatting>
  <conditionalFormatting sqref="D55">
    <cfRule type="containsText" dxfId="4237" priority="267" operator="containsText" text="Buy">
      <formula>NOT(ISERROR(SEARCH("Buy",D55)))</formula>
    </cfRule>
    <cfRule type="containsText" dxfId="4236" priority="268" operator="containsText" text="Sell">
      <formula>NOT(ISERROR(SEARCH("Sell",D55)))</formula>
    </cfRule>
  </conditionalFormatting>
  <conditionalFormatting sqref="T21">
    <cfRule type="dataBar" priority="155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{1E5D3502-8804-40B3-8109-22E723253062}</x14:id>
        </ext>
      </extLst>
    </cfRule>
  </conditionalFormatting>
  <conditionalFormatting sqref="V21">
    <cfRule type="dataBar" priority="15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{2FA7FF52-2FB0-417E-ACBC-2FC5E9935181}</x14:id>
        </ext>
      </extLst>
    </cfRule>
  </conditionalFormatting>
  <conditionalFormatting sqref="W21">
    <cfRule type="dataBar" priority="15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{53F01223-DA6F-4383-8649-9A3EDE754CC2}</x14:id>
        </ext>
      </extLst>
    </cfRule>
  </conditionalFormatting>
  <conditionalFormatting sqref="E138">
    <cfRule type="containsText" dxfId="4235" priority="264" operator="containsText" text="Buy">
      <formula>NOT(ISERROR(SEARCH("Buy",E138)))</formula>
    </cfRule>
    <cfRule type="containsText" dxfId="4234" priority="265" operator="containsText" text="Sell">
      <formula>NOT(ISERROR(SEARCH("Sell",E138)))</formula>
    </cfRule>
  </conditionalFormatting>
  <conditionalFormatting sqref="H56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{A221E850-82DD-4524-8DE6-54F0BB872747}</x14:id>
        </ext>
      </extLst>
    </cfRule>
    <cfRule type="cellIs" dxfId="4233" priority="263" operator="equal">
      <formula>1</formula>
    </cfRule>
  </conditionalFormatting>
  <conditionalFormatting sqref="D56">
    <cfRule type="containsText" dxfId="4232" priority="261" operator="containsText" text="Buy">
      <formula>NOT(ISERROR(SEARCH("Buy",D56)))</formula>
    </cfRule>
    <cfRule type="containsText" dxfId="4231" priority="262" operator="containsText" text="Sell">
      <formula>NOT(ISERROR(SEARCH("Sell",D56)))</formula>
    </cfRule>
  </conditionalFormatting>
  <conditionalFormatting sqref="H57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{F788AC90-4EA1-4F03-91CB-46ED385E2D0E}</x14:id>
        </ext>
      </extLst>
    </cfRule>
    <cfRule type="cellIs" dxfId="4230" priority="259" operator="equal">
      <formula>1</formula>
    </cfRule>
  </conditionalFormatting>
  <conditionalFormatting sqref="D57">
    <cfRule type="containsText" dxfId="4229" priority="257" operator="containsText" text="Buy">
      <formula>NOT(ISERROR(SEARCH("Buy",D57)))</formula>
    </cfRule>
    <cfRule type="containsText" dxfId="4228" priority="258" operator="containsText" text="Sell">
      <formula>NOT(ISERROR(SEARCH("Sell",D57)))</formula>
    </cfRule>
  </conditionalFormatting>
  <conditionalFormatting sqref="H5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{A8FA3205-22F9-4EC1-AD5D-7DD2E4C6AA96}</x14:id>
        </ext>
      </extLst>
    </cfRule>
    <cfRule type="cellIs" dxfId="4227" priority="255" operator="equal">
      <formula>1</formula>
    </cfRule>
  </conditionalFormatting>
  <conditionalFormatting sqref="D58">
    <cfRule type="containsText" dxfId="4226" priority="253" operator="containsText" text="Buy">
      <formula>NOT(ISERROR(SEARCH("Buy",D58)))</formula>
    </cfRule>
    <cfRule type="containsText" dxfId="4225" priority="254" operator="containsText" text="Sell">
      <formula>NOT(ISERROR(SEARCH("Sell",D58)))</formula>
    </cfRule>
  </conditionalFormatting>
  <conditionalFormatting sqref="H59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{E16AEC06-410C-46F3-8502-B0FB84AC33CB}</x14:id>
        </ext>
      </extLst>
    </cfRule>
    <cfRule type="cellIs" dxfId="4224" priority="251" operator="equal">
      <formula>1</formula>
    </cfRule>
  </conditionalFormatting>
  <conditionalFormatting sqref="D59">
    <cfRule type="containsText" dxfId="4223" priority="249" operator="containsText" text="Buy">
      <formula>NOT(ISERROR(SEARCH("Buy",D59)))</formula>
    </cfRule>
    <cfRule type="containsText" dxfId="4222" priority="250" operator="containsText" text="Sell">
      <formula>NOT(ISERROR(SEARCH("Sell",D59)))</formula>
    </cfRule>
  </conditionalFormatting>
  <conditionalFormatting sqref="H60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{9FD021A3-1A51-4D13-B98F-45B5D34CF526}</x14:id>
        </ext>
      </extLst>
    </cfRule>
    <cfRule type="cellIs" dxfId="4221" priority="247" operator="equal">
      <formula>1</formula>
    </cfRule>
  </conditionalFormatting>
  <conditionalFormatting sqref="D60">
    <cfRule type="containsText" dxfId="4220" priority="245" operator="containsText" text="Buy">
      <formula>NOT(ISERROR(SEARCH("Buy",D60)))</formula>
    </cfRule>
    <cfRule type="containsText" dxfId="4219" priority="246" operator="containsText" text="Sell">
      <formula>NOT(ISERROR(SEARCH("Sell",D60)))</formula>
    </cfRule>
  </conditionalFormatting>
  <conditionalFormatting sqref="H61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{A93C492F-3DA5-4C11-994C-24012C19A01D}</x14:id>
        </ext>
      </extLst>
    </cfRule>
    <cfRule type="cellIs" dxfId="4218" priority="243" operator="equal">
      <formula>1</formula>
    </cfRule>
  </conditionalFormatting>
  <conditionalFormatting sqref="D61">
    <cfRule type="containsText" dxfId="4217" priority="241" operator="containsText" text="Buy">
      <formula>NOT(ISERROR(SEARCH("Buy",D61)))</formula>
    </cfRule>
    <cfRule type="containsText" dxfId="4216" priority="242" operator="containsText" text="Sell">
      <formula>NOT(ISERROR(SEARCH("Sell",D61)))</formula>
    </cfRule>
  </conditionalFormatting>
  <conditionalFormatting sqref="K21:K22">
    <cfRule type="dataBar" priority="184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{84A1FA67-1A2F-43E4-848C-D1D5CC517653}</x14:id>
        </ext>
      </extLst>
    </cfRule>
  </conditionalFormatting>
  <conditionalFormatting sqref="K21:K22">
    <cfRule type="dataBar" priority="184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{CBB3D324-0F3F-4C65-9096-9D503262EF6D}</x14:id>
        </ext>
      </extLst>
    </cfRule>
  </conditionalFormatting>
  <conditionalFormatting sqref="V4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{BE3F3AD0-A556-4D19-B136-A5ED0BCE1CC4}</x14:id>
        </ext>
      </extLst>
    </cfRule>
  </conditionalFormatting>
  <conditionalFormatting sqref="W4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{A7203D62-2D28-4088-9BFD-6A7B5E1D3B00}</x14:id>
        </ext>
      </extLst>
    </cfRule>
  </conditionalFormatting>
  <conditionalFormatting sqref="X4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{17E2E82B-36E1-4F33-BBB3-06A68BEDB297}</x14:id>
        </ext>
      </extLst>
    </cfRule>
  </conditionalFormatting>
  <conditionalFormatting sqref="V14">
    <cfRule type="dataBar" priority="1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{4724B866-0F49-44DF-B4F4-A7E7139F60D6}</x14:id>
        </ext>
      </extLst>
    </cfRule>
  </conditionalFormatting>
  <conditionalFormatting sqref="W14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{8F57E87D-8B51-4FE4-BA35-4AB8DC1C3793}</x14:id>
        </ext>
      </extLst>
    </cfRule>
  </conditionalFormatting>
  <conditionalFormatting sqref="X14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{F01F81A3-9E18-43C8-BCEC-E894149D9350}</x14:id>
        </ext>
      </extLst>
    </cfRule>
  </conditionalFormatting>
  <conditionalFormatting sqref="V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{74D02C65-D129-4D06-AB56-EDDF7C7A0042}</x14:id>
        </ext>
      </extLst>
    </cfRule>
  </conditionalFormatting>
  <conditionalFormatting sqref="W6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{FCC2BAB1-719D-4FD3-8244-E51E4D882D3E}</x14:id>
        </ext>
      </extLst>
    </cfRule>
  </conditionalFormatting>
  <conditionalFormatting sqref="X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{F6879869-50D7-4E38-B147-985937B904BF}</x14:id>
        </ext>
      </extLst>
    </cfRule>
  </conditionalFormatting>
  <conditionalFormatting sqref="Y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{3FBF946E-3990-486D-8CF3-D12E07ACD988}</x14:id>
        </ext>
      </extLst>
    </cfRule>
  </conditionalFormatting>
  <conditionalFormatting sqref="Y6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{AD752708-B0B7-4414-88B6-0E3684DFF2EC}</x14:id>
        </ext>
      </extLst>
    </cfRule>
  </conditionalFormatting>
  <conditionalFormatting sqref="Y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{A098A1AA-5FAF-4572-B9C7-59806905A1D0}</x14:id>
        </ext>
      </extLst>
    </cfRule>
  </conditionalFormatting>
  <conditionalFormatting sqref="Y6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{6FAE8866-6462-4A95-90A6-70FEE27B5416}</x14:id>
        </ext>
      </extLst>
    </cfRule>
  </conditionalFormatting>
  <conditionalFormatting sqref="V8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{329149EF-68AA-4F2B-8541-BBAEA3D3440C}</x14:id>
        </ext>
      </extLst>
    </cfRule>
  </conditionalFormatting>
  <conditionalFormatting sqref="W8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{DC631295-9906-4E43-8E1C-525DC30CAFBC}</x14:id>
        </ext>
      </extLst>
    </cfRule>
  </conditionalFormatting>
  <conditionalFormatting sqref="X8">
    <cfRule type="dataBar" priority="2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{FD3C94DB-8422-400E-A2A0-1A2941C93D7F}</x14:id>
        </ext>
      </extLst>
    </cfRule>
  </conditionalFormatting>
  <conditionalFormatting sqref="V10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{8D164D5E-BB93-4786-8719-79AD8AF92533}</x14:id>
        </ext>
      </extLst>
    </cfRule>
  </conditionalFormatting>
  <conditionalFormatting sqref="W10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{1C75D081-BD89-45EA-8C7F-01B0025F566E}</x14:id>
        </ext>
      </extLst>
    </cfRule>
  </conditionalFormatting>
  <conditionalFormatting sqref="V18">
    <cfRule type="dataBar" priority="1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{484A7274-C2D5-4FEC-8A6C-150A3C9973CD}</x14:id>
        </ext>
      </extLst>
    </cfRule>
  </conditionalFormatting>
  <conditionalFormatting sqref="W18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{1F649129-7930-4232-B363-DCE54B49D62D}</x14:id>
        </ext>
      </extLst>
    </cfRule>
  </conditionalFormatting>
  <conditionalFormatting sqref="X18">
    <cfRule type="dataBar" priority="1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{ACE6939C-8CDF-4B77-B769-8548A0D18D45}</x14:id>
        </ext>
      </extLst>
    </cfRule>
  </conditionalFormatting>
  <conditionalFormatting sqref="Y18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{914EEB9E-D837-4765-BE98-7C0ACD5776D7}</x14:id>
        </ext>
      </extLst>
    </cfRule>
  </conditionalFormatting>
  <conditionalFormatting sqref="V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{54B82720-70E8-4FEB-8CA7-0FB9B7C8665C}</x14:id>
        </ext>
      </extLst>
    </cfRule>
  </conditionalFormatting>
  <conditionalFormatting sqref="W9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{6B3EE574-4A9C-4612-A2C7-BF90444B8907}</x14:id>
        </ext>
      </extLst>
    </cfRule>
  </conditionalFormatting>
  <conditionalFormatting sqref="X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{7EE6BAA1-F322-4E32-B0B1-0A6A6B5F41FE}</x14:id>
        </ext>
      </extLst>
    </cfRule>
  </conditionalFormatting>
  <conditionalFormatting sqref="Y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{81E50681-799A-4CEF-8173-08B388A91758}</x14:id>
        </ext>
      </extLst>
    </cfRule>
  </conditionalFormatting>
  <conditionalFormatting sqref="Y11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{375511AF-7E5D-4C43-8EA9-6858B8B21199}</x14:id>
        </ext>
      </extLst>
    </cfRule>
  </conditionalFormatting>
  <conditionalFormatting sqref="V1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{40913E15-6635-4116-AE67-A6E38402C4C8}</x14:id>
        </ext>
      </extLst>
    </cfRule>
  </conditionalFormatting>
  <conditionalFormatting sqref="W1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{ED1732C2-CBAA-4FF4-A13F-68556AB38738}</x14:id>
        </ext>
      </extLst>
    </cfRule>
  </conditionalFormatting>
  <conditionalFormatting sqref="X1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{F9B3D413-7C21-410E-8561-1E7F04D65D7A}</x14:id>
        </ext>
      </extLst>
    </cfRule>
  </conditionalFormatting>
  <conditionalFormatting sqref="Y1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{5452C088-ECBF-4ADE-804C-DD6D674A86E1}</x14:id>
        </ext>
      </extLst>
    </cfRule>
  </conditionalFormatting>
  <conditionalFormatting sqref="L11:M11"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{740137F6-82BB-47B7-9471-2AB212D90BB2}</x14:id>
        </ext>
      </extLst>
    </cfRule>
  </conditionalFormatting>
  <conditionalFormatting sqref="L11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{B275AF8E-0D3F-4CDD-B4AE-558EB59409FA}</x14:id>
        </ext>
      </extLst>
    </cfRule>
  </conditionalFormatting>
  <conditionalFormatting sqref="M11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{FBC6530E-DD17-4ECD-A916-B6F6A5622CFC}</x14:id>
        </ext>
      </extLst>
    </cfRule>
  </conditionalFormatting>
  <conditionalFormatting sqref="L11:M11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{C7E2D701-0139-4FA4-AC72-21EAF7461EDF}</x14:id>
        </ext>
      </extLst>
    </cfRule>
  </conditionalFormatting>
  <conditionalFormatting sqref="V19">
    <cfRule type="dataBar" priority="1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{44978971-D8FD-49F6-98CB-99B7E046DC3E}</x14:id>
        </ext>
      </extLst>
    </cfRule>
  </conditionalFormatting>
  <conditionalFormatting sqref="W19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{406E5635-59A5-4C21-B24A-1AD252A5554A}</x14:id>
        </ext>
      </extLst>
    </cfRule>
  </conditionalFormatting>
  <conditionalFormatting sqref="X1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{12EE8F76-DF1F-4618-9C94-7BA156FB17D1}</x14:id>
        </ext>
      </extLst>
    </cfRule>
  </conditionalFormatting>
  <conditionalFormatting sqref="Y19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{0AE78796-85E1-4C99-A576-667BF329B15D}</x14:id>
        </ext>
      </extLst>
    </cfRule>
  </conditionalFormatting>
  <conditionalFormatting sqref="L19:M19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{2EA82107-502C-4148-946A-D5448681C0DB}</x14:id>
        </ext>
      </extLst>
    </cfRule>
  </conditionalFormatting>
  <conditionalFormatting sqref="L19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{EA2D13F5-F8C6-44DA-AEE4-3091A742E306}</x14:id>
        </ext>
      </extLst>
    </cfRule>
  </conditionalFormatting>
  <conditionalFormatting sqref="M19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{4275AF15-0056-427C-94CF-162E2E1EC87C}</x14:id>
        </ext>
      </extLst>
    </cfRule>
  </conditionalFormatting>
  <conditionalFormatting sqref="L19:M19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{DABDC7C7-A77D-4080-9C3B-42EB04A64627}</x14:id>
        </ext>
      </extLst>
    </cfRule>
  </conditionalFormatting>
  <conditionalFormatting sqref="L19:M19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{C4C08DDA-A93C-489A-BDD9-9BC0B6889855}</x14:id>
        </ext>
      </extLst>
    </cfRule>
  </conditionalFormatting>
  <conditionalFormatting sqref="V20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{4E6D5E39-F7DB-4976-B15D-B14CDD2D15C9}</x14:id>
        </ext>
      </extLst>
    </cfRule>
  </conditionalFormatting>
  <conditionalFormatting sqref="W20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{93BBF4FA-EEDF-47F8-871A-8BEC2A5F1AE7}</x14:id>
        </ext>
      </extLst>
    </cfRule>
  </conditionalFormatting>
  <conditionalFormatting sqref="X20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{36B1CF13-EE5B-444E-9A70-39BB742CF6CD}</x14:id>
        </ext>
      </extLst>
    </cfRule>
  </conditionalFormatting>
  <conditionalFormatting sqref="Y2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{01A4DFB2-7260-4E6D-B207-D230D0BB86C6}</x14:id>
        </ext>
      </extLst>
    </cfRule>
  </conditionalFormatting>
  <conditionalFormatting sqref="L20:M20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{E7D6821D-E67A-48E5-9279-DD6DC0F8A398}</x14:id>
        </ext>
      </extLst>
    </cfRule>
  </conditionalFormatting>
  <conditionalFormatting sqref="L20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{18608A10-C1A4-4120-8673-3482D755446A}</x14:id>
        </ext>
      </extLst>
    </cfRule>
  </conditionalFormatting>
  <conditionalFormatting sqref="M20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{7F936188-8C45-4DE6-B317-D616A32E6D10}</x14:id>
        </ext>
      </extLst>
    </cfRule>
  </conditionalFormatting>
  <conditionalFormatting sqref="L20:M20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{38F4D6FE-8DFF-4214-97BC-6C67C1B889C6}</x14:id>
        </ext>
      </extLst>
    </cfRule>
  </conditionalFormatting>
  <conditionalFormatting sqref="L20:M2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{17D93BDD-4D30-4C39-B06C-0E987333887D}</x14:id>
        </ext>
      </extLst>
    </cfRule>
  </conditionalFormatting>
  <conditionalFormatting sqref="Y13 Y8 Y4 Y10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{CACD51C4-9D98-4FF5-929B-5B4B69A7B3EF}</x14:id>
        </ext>
      </extLst>
    </cfRule>
  </conditionalFormatting>
  <conditionalFormatting sqref="V22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{CB458A01-332D-4A36-935B-EE4D34472940}</x14:id>
        </ext>
      </extLst>
    </cfRule>
  </conditionalFormatting>
  <conditionalFormatting sqref="W22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{38182866-8AE6-48F8-862B-E0FAC46955C8}</x14:id>
        </ext>
      </extLst>
    </cfRule>
  </conditionalFormatting>
  <conditionalFormatting sqref="X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{89D47743-7E66-496B-A0E6-989BD99F7634}</x14:id>
        </ext>
      </extLst>
    </cfRule>
  </conditionalFormatting>
  <conditionalFormatting sqref="L22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{4260A226-2B36-4898-BB04-8697A346FA40}</x14:id>
        </ext>
      </extLst>
    </cfRule>
  </conditionalFormatting>
  <conditionalFormatting sqref="L22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{C7883205-6684-4C48-8195-A64E09CB2ED4}</x14:id>
        </ext>
      </extLst>
    </cfRule>
  </conditionalFormatting>
  <conditionalFormatting sqref="L22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{77463BC4-A581-4EBA-BF20-88879EDD2BBE}</x14:id>
        </ext>
      </extLst>
    </cfRule>
  </conditionalFormatting>
  <conditionalFormatting sqref="L22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{651AE081-C365-4B5F-80EA-CBCABEE5A3F4}</x14:id>
        </ext>
      </extLst>
    </cfRule>
  </conditionalFormatting>
  <conditionalFormatting sqref="L22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{643745ED-8F49-4F04-9CF2-A6FD7B283E3A}</x14:id>
        </ext>
      </extLst>
    </cfRule>
  </conditionalFormatting>
  <conditionalFormatting sqref="V21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{280C3CD8-3016-4D20-873C-B4D71E36CC12}</x14:id>
        </ext>
      </extLst>
    </cfRule>
  </conditionalFormatting>
  <conditionalFormatting sqref="W21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{87B67B16-6C8E-4E16-845E-087392AAC71C}</x14:id>
        </ext>
      </extLst>
    </cfRule>
  </conditionalFormatting>
  <conditionalFormatting sqref="X2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{8ABE62FE-AB42-4F5C-9CAE-769CB60873DB}</x14:id>
        </ext>
      </extLst>
    </cfRule>
  </conditionalFormatting>
  <conditionalFormatting sqref="L4:M4 L21 M21:M22 L6:M20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{4779B2F3-D09A-45A4-8F36-20A71D1C0E11}</x14:id>
        </ext>
      </extLst>
    </cfRule>
  </conditionalFormatting>
  <conditionalFormatting sqref="M21:M22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{844D847B-54CD-4236-8BE4-14806976B98B}</x14:id>
        </ext>
      </extLst>
    </cfRule>
  </conditionalFormatting>
  <conditionalFormatting sqref="M21:M2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{91CB8C31-4FBB-4FDE-8472-46B3F852BB2E}</x14:id>
        </ext>
      </extLst>
    </cfRule>
  </conditionalFormatting>
  <conditionalFormatting sqref="M2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{A736EE72-CD54-46B4-B8F1-5D5375C84B85}</x14:id>
        </ext>
      </extLst>
    </cfRule>
  </conditionalFormatting>
  <conditionalFormatting sqref="M20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{CDD6209D-1BC4-4625-A4C0-4509CB15E67D}</x14:id>
        </ext>
      </extLst>
    </cfRule>
  </conditionalFormatting>
  <conditionalFormatting sqref="M20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{38A22378-7D90-4B57-AE42-4370B59C6934}</x14:id>
        </ext>
      </extLst>
    </cfRule>
  </conditionalFormatting>
  <conditionalFormatting sqref="M20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{70AF054C-87E9-45C1-85A7-5796F24665C2}</x14:id>
        </ext>
      </extLst>
    </cfRule>
  </conditionalFormatting>
  <conditionalFormatting sqref="T21:T22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{65009EC2-7718-4E8C-BDD5-088344195541}</x14:id>
        </ext>
      </extLst>
    </cfRule>
  </conditionalFormatting>
  <conditionalFormatting sqref="T21:T22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{0C7C2D37-18F0-4945-8293-637575A11097}</x14:id>
        </ext>
      </extLst>
    </cfRule>
  </conditionalFormatting>
  <conditionalFormatting sqref="T21:T22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{AAC038D4-887A-4DD1-ABD4-AF2478A534BF}</x14:id>
        </ext>
      </extLst>
    </cfRule>
  </conditionalFormatting>
  <conditionalFormatting sqref="T21:T22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{4DDFF2DA-4053-4C92-A6AD-B34A853A5788}</x14:id>
        </ext>
      </extLst>
    </cfRule>
  </conditionalFormatting>
  <conditionalFormatting sqref="T21:T2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{6A88E436-3E51-4848-861A-394714435105}</x14:id>
        </ext>
      </extLst>
    </cfRule>
  </conditionalFormatting>
  <conditionalFormatting sqref="H62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{A5A4171A-88A1-4657-9835-A9EF93733E2A}</x14:id>
        </ext>
      </extLst>
    </cfRule>
    <cfRule type="cellIs" dxfId="4215" priority="58" operator="equal">
      <formula>1</formula>
    </cfRule>
  </conditionalFormatting>
  <conditionalFormatting sqref="D62">
    <cfRule type="containsText" dxfId="4214" priority="56" operator="containsText" text="Buy">
      <formula>NOT(ISERROR(SEARCH("Buy",D62)))</formula>
    </cfRule>
    <cfRule type="containsText" dxfId="4213" priority="57" operator="containsText" text="Sell">
      <formula>NOT(ISERROR(SEARCH("Sell",D62)))</formula>
    </cfRule>
  </conditionalFormatting>
  <conditionalFormatting sqref="H63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{CBC33CEF-405D-4B01-835D-16CB06D139C3}</x14:id>
        </ext>
      </extLst>
    </cfRule>
    <cfRule type="cellIs" dxfId="4212" priority="51" operator="equal">
      <formula>1</formula>
    </cfRule>
  </conditionalFormatting>
  <conditionalFormatting sqref="D63">
    <cfRule type="containsText" dxfId="4211" priority="49" operator="containsText" text="Buy">
      <formula>NOT(ISERROR(SEARCH("Buy",D63)))</formula>
    </cfRule>
    <cfRule type="containsText" dxfId="4210" priority="50" operator="containsText" text="Sell">
      <formula>NOT(ISERROR(SEARCH("Sell",D63)))</formula>
    </cfRule>
  </conditionalFormatting>
  <conditionalFormatting sqref="V16:W16 T16">
    <cfRule type="dataBar" priority="30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{5E8AB172-3DC8-44A4-8700-EC886ECB5F01}</x14:id>
        </ext>
      </extLst>
    </cfRule>
  </conditionalFormatting>
  <conditionalFormatting sqref="V7:W7 T7">
    <cfRule type="dataBar" priority="304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{C11A4C15-6A0A-4264-9ECF-48D652CABEAC}</x14:id>
        </ext>
      </extLst>
    </cfRule>
  </conditionalFormatting>
  <conditionalFormatting sqref="V12:W12 T12">
    <cfRule type="dataBar" priority="3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{EF270112-3B37-414C-8C44-2634E831D520}</x14:id>
        </ext>
      </extLst>
    </cfRule>
  </conditionalFormatting>
  <conditionalFormatting sqref="V12:W12">
    <cfRule type="dataBar" priority="304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{1917AA1F-0A51-48A8-893C-372F2DA355F8}</x14:id>
        </ext>
      </extLst>
    </cfRule>
  </conditionalFormatting>
  <conditionalFormatting sqref="V15:W15 T15">
    <cfRule type="dataBar" priority="304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{2CC6D1C0-49EE-469C-92C7-7527A82513DD}</x14:id>
        </ext>
      </extLst>
    </cfRule>
  </conditionalFormatting>
  <conditionalFormatting sqref="V15:W15">
    <cfRule type="dataBar" priority="30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{71726F4C-81C3-42F5-970B-EB1D09E26E16}</x14:id>
        </ext>
      </extLst>
    </cfRule>
  </conditionalFormatting>
  <conditionalFormatting sqref="V17:W17 T17">
    <cfRule type="dataBar" priority="304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{1CF1933F-54CE-48AB-840F-12752A4053CC}</x14:id>
        </ext>
      </extLst>
    </cfRule>
  </conditionalFormatting>
  <conditionalFormatting sqref="V17:W17">
    <cfRule type="dataBar" priority="30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{FC71F06E-4E92-4D61-B529-258DC2F63FEE}</x14:id>
        </ext>
      </extLst>
    </cfRule>
  </conditionalFormatting>
  <conditionalFormatting sqref="V10:W10 T10">
    <cfRule type="dataBar" priority="304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{147C52EB-35D1-4BE9-9BAC-B5DD472B594F}</x14:id>
        </ext>
      </extLst>
    </cfRule>
  </conditionalFormatting>
  <conditionalFormatting sqref="V10:W10">
    <cfRule type="dataBar" priority="304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{E8757047-068B-4FBB-A788-B30F42CBD7F6}</x14:id>
        </ext>
      </extLst>
    </cfRule>
  </conditionalFormatting>
  <conditionalFormatting sqref="V4:W4 T4">
    <cfRule type="dataBar" priority="30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{03CE9526-4B36-4E01-A3B2-01018F680F75}</x14:id>
        </ext>
      </extLst>
    </cfRule>
  </conditionalFormatting>
  <conditionalFormatting sqref="V4:W4 T4">
    <cfRule type="dataBar" priority="30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{E0896835-D9AF-43F7-AED4-16C34D2D670C}</x14:id>
        </ext>
      </extLst>
    </cfRule>
  </conditionalFormatting>
  <conditionalFormatting sqref="V14:W14 T14">
    <cfRule type="dataBar" priority="30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{5EE9D4AE-90B7-4205-91CD-6041CC3CBD70}</x14:id>
        </ext>
      </extLst>
    </cfRule>
  </conditionalFormatting>
  <conditionalFormatting sqref="V14:W14">
    <cfRule type="dataBar" priority="304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{4B049651-D567-4897-B8A9-AC61BF8E07BF}</x14:id>
        </ext>
      </extLst>
    </cfRule>
  </conditionalFormatting>
  <conditionalFormatting sqref="V14:W14 T14">
    <cfRule type="dataBar" priority="304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{2656205E-7969-477C-937D-08469E6CFF20}</x14:id>
        </ext>
      </extLst>
    </cfRule>
  </conditionalFormatting>
  <conditionalFormatting sqref="V16:W16">
    <cfRule type="dataBar" priority="30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{8C410A55-9406-488E-8346-5B2814D91BA8}</x14:id>
        </ext>
      </extLst>
    </cfRule>
  </conditionalFormatting>
  <conditionalFormatting sqref="V6:W6 T6">
    <cfRule type="dataBar" priority="30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{69735419-A7C0-4EDF-8F79-3854EF977DFB}</x14:id>
        </ext>
      </extLst>
    </cfRule>
  </conditionalFormatting>
  <conditionalFormatting sqref="V6:W6 T6">
    <cfRule type="dataBar" priority="304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{A70A7F7C-4F51-4E5A-8C5D-398C552809F8}</x14:id>
        </ext>
      </extLst>
    </cfRule>
  </conditionalFormatting>
  <conditionalFormatting sqref="V13:W13 T13">
    <cfRule type="dataBar" priority="30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{6386C5FB-F82F-4EE9-8698-26811FB64AE8}</x14:id>
        </ext>
      </extLst>
    </cfRule>
  </conditionalFormatting>
  <conditionalFormatting sqref="V13:W13">
    <cfRule type="dataBar" priority="30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{C368034A-F4C7-4E1D-BD15-AD23B70EACD8}</x14:id>
        </ext>
      </extLst>
    </cfRule>
  </conditionalFormatting>
  <conditionalFormatting sqref="V8:W8">
    <cfRule type="dataBar" priority="305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{A2804D74-B67F-4E58-A24D-07E0B902FC84}</x14:id>
        </ext>
      </extLst>
    </cfRule>
  </conditionalFormatting>
  <conditionalFormatting sqref="V8:W8 T8">
    <cfRule type="dataBar" priority="305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{C4F810C8-6D1B-40D7-A97A-6D4719720A32}</x14:id>
        </ext>
      </extLst>
    </cfRule>
  </conditionalFormatting>
  <conditionalFormatting sqref="V18:W18 T18">
    <cfRule type="dataBar" priority="30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{4BBA978A-0958-4292-878F-42D3CA2CBF34}</x14:id>
        </ext>
      </extLst>
    </cfRule>
  </conditionalFormatting>
  <conditionalFormatting sqref="V18:W1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{8A3BFD1C-285F-4DE8-B48A-8667934AA53E}</x14:id>
        </ext>
      </extLst>
    </cfRule>
  </conditionalFormatting>
  <conditionalFormatting sqref="V18:W18 T18">
    <cfRule type="dataBar" priority="30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{9D531848-10E9-45D4-A19E-E50358F60D53}</x14:id>
        </ext>
      </extLst>
    </cfRule>
  </conditionalFormatting>
  <conditionalFormatting sqref="V9:W9 T9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{FAD5B507-6804-4F2C-BE6B-D0728100257B}</x14:id>
        </ext>
      </extLst>
    </cfRule>
  </conditionalFormatting>
  <conditionalFormatting sqref="V9:W9">
    <cfRule type="dataBar" priority="30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{4C299580-7DF9-4320-B76B-E92777D3B66C}</x14:id>
        </ext>
      </extLst>
    </cfRule>
  </conditionalFormatting>
  <conditionalFormatting sqref="V9:W9 T9">
    <cfRule type="dataBar" priority="30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{6EB8AF80-ED27-4B18-B9B0-D32299CAF980}</x14:id>
        </ext>
      </extLst>
    </cfRule>
  </conditionalFormatting>
  <conditionalFormatting sqref="V11:W11 T11">
    <cfRule type="dataBar" priority="305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{501EBA12-FABA-4788-B3EA-F8661046FE44}</x14:id>
        </ext>
      </extLst>
    </cfRule>
  </conditionalFormatting>
  <conditionalFormatting sqref="V11:W11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{8EFEFB2E-EE02-46DA-B406-0613029C8407}</x14:id>
        </ext>
      </extLst>
    </cfRule>
  </conditionalFormatting>
  <conditionalFormatting sqref="V11:W11 T11">
    <cfRule type="dataBar" priority="30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{592EF9ED-E753-44D2-B841-8004373239E9}</x14:id>
        </ext>
      </extLst>
    </cfRule>
  </conditionalFormatting>
  <conditionalFormatting sqref="V19:W19 T19">
    <cfRule type="dataBar" priority="305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{60736DC3-B1D2-4E60-B6E2-C77EA802C2FF}</x14:id>
        </ext>
      </extLst>
    </cfRule>
  </conditionalFormatting>
  <conditionalFormatting sqref="V19:W19">
    <cfRule type="dataBar" priority="305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{4AFDCAB4-1B72-44D4-B6A3-C5FA9198736B}</x14:id>
        </ext>
      </extLst>
    </cfRule>
  </conditionalFormatting>
  <conditionalFormatting sqref="V19:W19 T19">
    <cfRule type="dataBar" priority="30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{75C45DB7-0BF6-4D59-945A-8FEBEAB3222C}</x14:id>
        </ext>
      </extLst>
    </cfRule>
  </conditionalFormatting>
  <conditionalFormatting sqref="V20:W20 T20">
    <cfRule type="dataBar" priority="305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{D41EC97B-E8B0-4FD0-B9F7-2DE255B8CF7C}</x14:id>
        </ext>
      </extLst>
    </cfRule>
  </conditionalFormatting>
  <conditionalFormatting sqref="V20:W2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{883BDBD7-3CA1-4FD3-9E40-0870C02DADEA}</x14:id>
        </ext>
      </extLst>
    </cfRule>
  </conditionalFormatting>
  <conditionalFormatting sqref="V20:W20 T20">
    <cfRule type="dataBar" priority="30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{E965B582-33B0-4FA2-9A42-5D29EA18D5C8}</x14:id>
        </ext>
      </extLst>
    </cfRule>
  </conditionalFormatting>
  <conditionalFormatting sqref="V22:W22 T22">
    <cfRule type="dataBar" priority="305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{623B7436-68A6-4840-A63B-1BC73E0B6FBC}</x14:id>
        </ext>
      </extLst>
    </cfRule>
  </conditionalFormatting>
  <conditionalFormatting sqref="V22:W22">
    <cfRule type="dataBar" priority="305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{74172AC3-10D0-473F-9660-4E29CA5D8620}</x14:id>
        </ext>
      </extLst>
    </cfRule>
  </conditionalFormatting>
  <conditionalFormatting sqref="V22:W22 T22">
    <cfRule type="dataBar" priority="30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{3827DA89-084C-49B3-BF2F-9AA9EA55937F}</x14:id>
        </ext>
      </extLst>
    </cfRule>
  </conditionalFormatting>
  <conditionalFormatting sqref="V21:W21">
    <cfRule type="dataBar" priority="305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{B66966C4-FC02-4809-B328-C3770C445099}</x14:id>
        </ext>
      </extLst>
    </cfRule>
  </conditionalFormatting>
  <conditionalFormatting sqref="V21:W21 T21">
    <cfRule type="dataBar" priority="30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{EC2546CA-571E-47FE-B86C-BDF6F8293089}</x14:id>
        </ext>
      </extLst>
    </cfRule>
  </conditionalFormatting>
  <conditionalFormatting sqref="H6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{4B6FA86A-DE53-4FBE-A2BA-5FDFFA0F8D6C}</x14:id>
        </ext>
      </extLst>
    </cfRule>
    <cfRule type="cellIs" dxfId="4209" priority="46" operator="equal">
      <formula>1</formula>
    </cfRule>
  </conditionalFormatting>
  <conditionalFormatting sqref="D64">
    <cfRule type="containsText" dxfId="4208" priority="44" operator="containsText" text="Buy">
      <formula>NOT(ISERROR(SEARCH("Buy",D64)))</formula>
    </cfRule>
    <cfRule type="containsText" dxfId="4207" priority="45" operator="containsText" text="Sell">
      <formula>NOT(ISERROR(SEARCH("Sell",D64)))</formula>
    </cfRule>
  </conditionalFormatting>
  <conditionalFormatting sqref="T10 T7 T12:T13 T15:T17">
    <cfRule type="dataBar" priority="306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{F3734BEA-9048-43EA-81FC-2171A1FF28FA}</x14:id>
        </ext>
      </extLst>
    </cfRule>
  </conditionalFormatting>
  <conditionalFormatting sqref="V7 V10 V12:V13 V15:V17">
    <cfRule type="dataBar" priority="306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{48A11995-3CCE-41C6-98C0-63F0573A7E4E}</x14:id>
        </ext>
      </extLst>
    </cfRule>
  </conditionalFormatting>
  <conditionalFormatting sqref="W10 W7 W12:W13 W15:W17">
    <cfRule type="dataBar" priority="306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{D1E652F0-4A83-4DD6-A88E-378BD467547C}</x14:id>
        </ext>
      </extLst>
    </cfRule>
  </conditionalFormatting>
  <conditionalFormatting sqref="Y10 Y4 Y7:Y8 Y12:Y17">
    <cfRule type="dataBar" priority="306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{56556431-91BF-4EDC-A227-7E3D6B444DDB}</x14:id>
        </ext>
      </extLst>
    </cfRule>
  </conditionalFormatting>
  <conditionalFormatting sqref="L4:M4 L6:L21 L12:M18 L6:M10">
    <cfRule type="dataBar" priority="306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{1266D673-7971-4DFA-845A-4CD2C30B5A1C}</x14:id>
        </ext>
      </extLst>
    </cfRule>
  </conditionalFormatting>
  <conditionalFormatting sqref="L4:M4 L6:L21 L12:M18 L6:M10">
    <cfRule type="dataBar" priority="30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{30895E9D-344A-46D3-B76C-E3C5FA0F67C7}</x14:id>
        </ext>
      </extLst>
    </cfRule>
  </conditionalFormatting>
  <conditionalFormatting sqref="L8:L21 L4:M4 L6:M18">
    <cfRule type="dataBar" priority="30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{D99804A9-1D94-46DE-9508-88B869BC77DA}</x14:id>
        </ext>
      </extLst>
    </cfRule>
  </conditionalFormatting>
  <conditionalFormatting sqref="T6:T20 T4">
    <cfRule type="dataBar" priority="30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{7076C7B0-2D99-4490-85FA-BBE841384F48}</x14:id>
        </ext>
      </extLst>
    </cfRule>
  </conditionalFormatting>
  <conditionalFormatting sqref="I6:I20 I4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{D47F3DDA-84C0-4F45-B0B6-0A0C4D2DB21C}</x14:id>
        </ext>
      </extLst>
    </cfRule>
  </conditionalFormatting>
  <conditionalFormatting sqref="K12:K18 K4 K6:K10">
    <cfRule type="dataBar" priority="30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{1CFC0B1A-1248-44C8-9202-18B25DD886C2}</x14:id>
        </ext>
      </extLst>
    </cfRule>
  </conditionalFormatting>
  <conditionalFormatting sqref="M12:M18 M4 M6:M10">
    <cfRule type="dataBar" priority="30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{637127DD-1CAD-457E-B23C-09B4BA2EBF12}</x14:id>
        </ext>
      </extLst>
    </cfRule>
  </conditionalFormatting>
  <conditionalFormatting sqref="I6:I21 I4">
    <cfRule type="dataBar" priority="30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{57E2B464-CC9B-40AA-A5D1-437BE2D81FFF}</x14:id>
        </ext>
      </extLst>
    </cfRule>
  </conditionalFormatting>
  <conditionalFormatting sqref="L6:L21 L4">
    <cfRule type="dataBar" priority="30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{738D513F-2CBC-41FF-B681-BD6A215F7E75}</x14:id>
        </ext>
      </extLst>
    </cfRule>
  </conditionalFormatting>
  <conditionalFormatting sqref="T6:T22 T4">
    <cfRule type="dataBar" priority="30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{C85FC604-F29F-4B3E-BEA9-4A7CC5C05E48}</x14:id>
        </ext>
      </extLst>
    </cfRule>
  </conditionalFormatting>
  <conditionalFormatting sqref="L4:M4 L6:M22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{B3733E8F-F6E1-452D-8560-3238A273F602}</x14:id>
        </ext>
      </extLst>
    </cfRule>
  </conditionalFormatting>
  <conditionalFormatting sqref="T6:T24 T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{251D68A5-CD7F-4B09-B5F1-E03FD17AE80F}</x14:id>
        </ext>
      </extLst>
    </cfRule>
  </conditionalFormatting>
  <conditionalFormatting sqref="T6:T24">
    <cfRule type="dataBar" priority="30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{20AE5CA8-DE72-4B51-9FD9-91F536934D8D}</x14:id>
        </ext>
      </extLst>
    </cfRule>
  </conditionalFormatting>
  <conditionalFormatting sqref="T10 T7 T12 T15:T17 V15:W17 V12:W12 V7:W7 V10:W10">
    <cfRule type="dataBar" priority="30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{968580D6-D701-4C6B-A36E-7D7099377775}</x14:id>
        </ext>
      </extLst>
    </cfRule>
  </conditionalFormatting>
  <conditionalFormatting sqref="T10 T7 T12:T13 T15:T17 V15:W17 V12:W13 V7:W7 V10:W10">
    <cfRule type="dataBar" priority="30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{EB4B72D5-DF19-4E2C-BE34-E76A30216E4E}</x14:id>
        </ext>
      </extLst>
    </cfRule>
  </conditionalFormatting>
  <conditionalFormatting sqref="I6:I24 I4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{8C81A31F-20BC-473F-A386-134E8BF94978}</x14:id>
        </ext>
      </extLst>
    </cfRule>
  </conditionalFormatting>
  <conditionalFormatting sqref="U3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{510D22B3-48AA-4CCF-98BE-88FF5B6A916D}</x14:id>
        </ext>
      </extLst>
    </cfRule>
  </conditionalFormatting>
  <conditionalFormatting sqref="T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{202A0E3C-13D1-489C-8F91-AE298A424A20}</x14:id>
        </ext>
      </extLst>
    </cfRule>
  </conditionalFormatting>
  <conditionalFormatting sqref="V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{4A7227F2-B3A0-49E9-8947-A3CE5280B3DB}</x14:id>
        </ext>
      </extLst>
    </cfRule>
  </conditionalFormatting>
  <conditionalFormatting sqref="W5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{998FECB7-A184-4657-8F02-CC10F01EC3C8}</x14:id>
        </ext>
      </extLst>
    </cfRule>
  </conditionalFormatting>
  <conditionalFormatting sqref="V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{D7515E0A-7968-40EE-A60A-74F91C6CB04B}</x14:id>
        </ext>
      </extLst>
    </cfRule>
  </conditionalFormatting>
  <conditionalFormatting sqref="W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{DC195FFC-A45A-42C6-AD5C-F8D16F594CE3}</x14:id>
        </ext>
      </extLst>
    </cfRule>
  </conditionalFormatting>
  <conditionalFormatting sqref="X5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{15A647A0-9F0F-44DE-9C47-53FB7A01F736}</x14:id>
        </ext>
      </extLst>
    </cfRule>
  </conditionalFormatting>
  <conditionalFormatting sqref="Y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{CA687C0D-A8D7-43C7-B2A9-5731CAEA5256}</x14:id>
        </ext>
      </extLst>
    </cfRule>
  </conditionalFormatting>
  <conditionalFormatting sqref="L5:M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{A21D8798-AE23-455E-923A-9EBCC8C1EB68}</x14:id>
        </ext>
      </extLst>
    </cfRule>
  </conditionalFormatting>
  <conditionalFormatting sqref="V5:W5 T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{51836753-4A98-4CCC-BD6C-C08FDDEE9BB1}</x14:id>
        </ext>
      </extLst>
    </cfRule>
  </conditionalFormatting>
  <conditionalFormatting sqref="V5:W5 T5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{A5B9D1B6-B1B5-4FB1-BEE1-65C1B7A58A6A}</x14:id>
        </ext>
      </extLst>
    </cfRule>
  </conditionalFormatting>
  <conditionalFormatting sqref="Y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{93C3ADB8-0A03-47F7-B77A-AA15C11126C3}</x14:id>
        </ext>
      </extLst>
    </cfRule>
  </conditionalFormatting>
  <conditionalFormatting sqref="L5:M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{29703377-C829-4D2E-AAC9-AE1E896EC94C}</x14:id>
        </ext>
      </extLst>
    </cfRule>
  </conditionalFormatting>
  <conditionalFormatting sqref="L5:M5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{E901589E-C5F2-46D6-ADEA-FDB3387C1D02}</x14:id>
        </ext>
      </extLst>
    </cfRule>
  </conditionalFormatting>
  <conditionalFormatting sqref="L5:M5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{BF3AB3AB-BBBB-47C3-976D-4AE7995A80C2}</x14:id>
        </ext>
      </extLst>
    </cfRule>
  </conditionalFormatting>
  <conditionalFormatting sqref="T5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{E1215C7A-DE99-47C8-8A76-DBDAE3AF8769}</x14:id>
        </ext>
      </extLst>
    </cfRule>
  </conditionalFormatting>
  <conditionalFormatting sqref="I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{E9F358A1-D2FD-4875-9E3F-59FE8AB05293}</x14:id>
        </ext>
      </extLst>
    </cfRule>
  </conditionalFormatting>
  <conditionalFormatting sqref="K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{9BF60584-9AEC-4BE3-8079-5A9C127A8943}</x14:id>
        </ext>
      </extLst>
    </cfRule>
  </conditionalFormatting>
  <conditionalFormatting sqref="M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{A302AC49-040B-4A73-85E7-596EAB8FF6D7}</x14:id>
        </ext>
      </extLst>
    </cfRule>
  </conditionalFormatting>
  <conditionalFormatting sqref="I5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{56BB5843-1D66-45E6-8BBD-0A43F2622C3C}</x14:id>
        </ext>
      </extLst>
    </cfRule>
  </conditionalFormatting>
  <conditionalFormatting sqref="L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{BD8FDC93-7F8D-4124-B3DE-7CEDAC30379A}</x14:id>
        </ext>
      </extLst>
    </cfRule>
  </conditionalFormatting>
  <conditionalFormatting sqref="T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{D21D3C45-8E30-4B62-B4C0-341BFC83AC6E}</x14:id>
        </ext>
      </extLst>
    </cfRule>
  </conditionalFormatting>
  <conditionalFormatting sqref="L5:M5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{FB824E96-08AF-4452-A5F8-381225924172}</x14:id>
        </ext>
      </extLst>
    </cfRule>
  </conditionalFormatting>
  <conditionalFormatting sqref="T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{FAF2940A-DD6F-46D9-9D19-36C1A496B19D}</x14:id>
        </ext>
      </extLst>
    </cfRule>
  </conditionalFormatting>
  <conditionalFormatting sqref="T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{477DA84B-6FBA-40FE-8A60-33EF2B154048}</x14:id>
        </ext>
      </extLst>
    </cfRule>
  </conditionalFormatting>
  <conditionalFormatting sqref="I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{220B0D5B-21B2-4D71-A9CE-D27B6E7286DA}</x14:id>
        </ext>
      </extLst>
    </cfRule>
  </conditionalFormatting>
  <conditionalFormatting sqref="I11 K11">
    <cfRule type="dataBar" priority="32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{2BEA3972-3F08-4BBA-A0E6-758203816002}</x14:id>
        </ext>
      </extLst>
    </cfRule>
  </conditionalFormatting>
  <conditionalFormatting sqref="I11 K11">
    <cfRule type="dataBar" priority="32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{AB963A46-FB52-4B6E-A61B-F7D267CE6128}</x14:id>
        </ext>
      </extLst>
    </cfRule>
  </conditionalFormatting>
  <conditionalFormatting sqref="K19 I19">
    <cfRule type="dataBar" priority="32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{8BE7007A-7F69-4EEF-B3EF-B050762C7579}</x14:id>
        </ext>
      </extLst>
    </cfRule>
  </conditionalFormatting>
  <conditionalFormatting sqref="K19 I19">
    <cfRule type="dataBar" priority="32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{427EDBFC-6F6E-4767-A143-C0FEF9076B66}</x14:id>
        </ext>
      </extLst>
    </cfRule>
  </conditionalFormatting>
  <conditionalFormatting sqref="K20 I20">
    <cfRule type="dataBar" priority="32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{A5888E1F-0D50-433F-B739-1C2BBC77E21E}</x14:id>
        </ext>
      </extLst>
    </cfRule>
  </conditionalFormatting>
  <conditionalFormatting sqref="K20 I20">
    <cfRule type="dataBar" priority="32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{F43CF438-950D-4A13-86DF-A78D9122353A}</x14:id>
        </ext>
      </extLst>
    </cfRule>
  </conditionalFormatting>
  <conditionalFormatting sqref="K4 I4 I6:I21 K6:K20">
    <cfRule type="dataBar" priority="32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{EF5F9E17-0D90-4605-A6A4-74260B5D0E16}</x14:id>
        </ext>
      </extLst>
    </cfRule>
  </conditionalFormatting>
  <conditionalFormatting sqref="I4 K4 K12:K18 I6:I21 K6:K10">
    <cfRule type="dataBar" priority="322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{14F3995D-A052-422D-A82B-3D40A45DB3DA}</x14:id>
        </ext>
      </extLst>
    </cfRule>
  </conditionalFormatting>
  <conditionalFormatting sqref="K4 I4 K12:K18 I6:I21 K6:K10">
    <cfRule type="dataBar" priority="32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{796CEA9D-8BEA-4838-B743-1FD77EE227E3}</x14:id>
        </ext>
      </extLst>
    </cfRule>
  </conditionalFormatting>
  <conditionalFormatting sqref="K4 I4 I6:I21 K6:K18">
    <cfRule type="dataBar" priority="32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{FAF148DE-57B0-40F9-97F4-52C96601FACA}</x14:id>
        </ext>
      </extLst>
    </cfRule>
  </conditionalFormatting>
  <conditionalFormatting sqref="K4 I4 I6:I22 K6:K22">
    <cfRule type="dataBar" priority="322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{769D3F61-3423-4D7D-93B7-B806DB238EED}</x14:id>
        </ext>
      </extLst>
    </cfRule>
  </conditionalFormatting>
  <conditionalFormatting sqref="K5 I5">
    <cfRule type="dataBar" priority="32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{E902FC6D-DA78-4A83-8708-9FD46BB1100D}</x14:id>
        </ext>
      </extLst>
    </cfRule>
  </conditionalFormatting>
  <conditionalFormatting sqref="K5 I5">
    <cfRule type="dataBar" priority="323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{C3B60644-5B5E-4064-A8CA-197894C01E74}</x14:id>
        </ext>
      </extLst>
    </cfRule>
  </conditionalFormatting>
  <conditionalFormatting sqref="J23:J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{641C8FCC-82B0-4770-A9D7-F0DDC238C378}</x14:id>
        </ext>
      </extLst>
    </cfRule>
  </conditionalFormatting>
  <conditionalFormatting sqref="I4:I2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{6AB95CBB-38E7-4191-B8A7-4FD11F0CCFB0}</x14:id>
        </ext>
      </extLst>
    </cfRule>
  </conditionalFormatting>
  <conditionalFormatting sqref="M4:M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{6E0F4869-21F6-489F-990C-2C461C0D07E4}</x14:id>
        </ext>
      </extLst>
    </cfRule>
  </conditionalFormatting>
  <conditionalFormatting sqref="V4:W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{8CC36082-8963-4C98-9193-CD72D608BBD2}</x14:id>
        </ext>
      </extLst>
    </cfRule>
  </conditionalFormatting>
  <conditionalFormatting sqref="L4:M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{205F015E-B9C8-40E2-A005-A6CB495BCF74}</x14:id>
        </ext>
      </extLst>
    </cfRule>
  </conditionalFormatting>
  <pageMargins left="0.25" right="0.25" top="0.75" bottom="0.75" header="0.3" footer="0.3"/>
  <pageSetup paperSize="8" scale="1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D83260-D7D9-407A-A688-C1368AB2F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17F0AF27-469C-47E5-B1E8-8E6C83C848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360B9F60-55E3-46DB-841A-0A80A3767C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426408E1-D9F5-4093-B61D-BD8BB06620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FF423C09-E9A8-4790-A313-C3D44A0D0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7DBDCA60-2E8A-472C-B5D5-B1156C7505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5DEF891-2930-4D7B-A78C-BC9AF4674E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7E55B1B3-7C47-42AE-B072-9BBC7E2B8F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D5BC83C-1435-4D4E-AD00-D857B991C4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04C76F69-1D39-4649-A7FA-101FC8E3B2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A6B0A-FF7B-4625-8545-4668DE743D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3D56FC3-2D97-4310-B1C4-72EE0E1AE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065C95E2-CE86-4CEF-B3D5-7B90D28EC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D8BC2AC0-FB9E-4DD9-984B-FF6DC18EA6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6230A2C-0E20-44D8-8E19-CCA6E6A703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F327A08-23D7-4D98-BD5F-A0CB55E3E1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 X7 X12:X13 X15:X17</xm:sqref>
        </x14:conditionalFormatting>
        <x14:conditionalFormatting xmlns:xm="http://schemas.microsoft.com/office/excel/2006/main">
          <x14:cfRule type="dataBar" id="{44F0CF41-C632-4C92-9CF0-B3096F29ED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D71794F0-F063-499B-B204-E9F9F2E808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5B01E59D-0E8C-4C4A-BC32-889FB2378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F9C1C784-7E22-4D04-BB63-7F80F2AC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7F517C44-7D49-447C-BF6D-18D37052B5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6D4F94A7-0EF7-4428-87B8-504D7C8C8D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D16A2827-EC12-454C-BE05-95FB09018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8EC276-DCC0-411D-9434-61104C057E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DE60C851-752D-4476-8916-3E4550B41C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AF34328-BB65-491E-AAAC-655BA43D76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70D8189C-4320-4F57-8B66-8003B7DD5F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7D604415-41A2-4288-B618-AD4054431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1F5AE433-79A2-498B-A187-06BF0C9DA4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D25EBF8C-2F5F-45EA-907E-91DEFD427C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D5371716-FB6B-40DF-B540-8336A4608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6DA3F0C-9B58-43BA-9996-5888C0E66A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02C9EC6C-080B-473E-A96F-AC97E2245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B512949-AAD8-4A27-966D-86B8F93886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8009ACE9-2E4E-4A6A-895F-E70C28E682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5F9D35E4-974C-49DF-A9F7-C7A504AB5D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48E3B245-4B6F-474F-878C-EFD7BE6CA1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E9DE2F68-1E98-426D-B132-6D08D470DE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D3EADB71-B98D-403F-823C-8CF99919D2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69C974C4-DEE6-4242-93F7-EE9B24C9BB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05963F64-B75C-46C1-946D-1587D0EB8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1BCA7DF7-7783-48C0-BAD0-CCE74876D4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B95A8ACD-6047-40A8-A677-D22580D096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40096F20-7A84-42F8-8DB0-7AD4486AFC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BAA74962-9DDE-4EAF-943D-0E159EAD0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AA65BE6F-D2FF-4022-AC43-C995C8BF30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E73168EB-D3B5-43A4-95CC-C692F91E0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3C1AE5E1-54AD-4EE6-95A7-CACB590566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40BEA28-E18B-4C9D-859E-8CE0F76498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66925782-5FC4-41A9-98D8-834FDBBE87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278B5279-10DD-41A0-9C0E-E7683C3EA1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6AB7612E-0539-4D44-950E-071945733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H49</xm:sqref>
        </x14:conditionalFormatting>
        <x14:conditionalFormatting xmlns:xm="http://schemas.microsoft.com/office/excel/2006/main">
          <x14:cfRule type="dataBar" id="{BEF61950-2EE5-41CE-8D49-299191B2B4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H50</xm:sqref>
        </x14:conditionalFormatting>
        <x14:conditionalFormatting xmlns:xm="http://schemas.microsoft.com/office/excel/2006/main">
          <x14:cfRule type="dataBar" id="{2BAF72D4-ACEC-4A82-B718-49D9F306E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H51</xm:sqref>
        </x14:conditionalFormatting>
        <x14:conditionalFormatting xmlns:xm="http://schemas.microsoft.com/office/excel/2006/main">
          <x14:cfRule type="dataBar" id="{A39CD54D-D7A1-4350-8E15-CED91B5A8D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H52</xm:sqref>
        </x14:conditionalFormatting>
        <x14:conditionalFormatting xmlns:xm="http://schemas.microsoft.com/office/excel/2006/main">
          <x14:cfRule type="dataBar" id="{118E6D7E-39E5-4105-BA20-0A810EC00D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H53</xm:sqref>
        </x14:conditionalFormatting>
        <x14:conditionalFormatting xmlns:xm="http://schemas.microsoft.com/office/excel/2006/main">
          <x14:cfRule type="dataBar" id="{F80CACC4-9027-4B6E-9AAE-B89389F5A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DF057552-B8B0-4AA9-90A2-61A80E4223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90FBDC9D-ABD1-4576-A8B9-D5541355E4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B3E0D35A-20D5-43A0-AFF4-4BAD451918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4B7E10FF-4AFA-4FA5-BB33-66F6D09CB3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827B2573-540D-41D1-B04E-57005F07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126C7A7A-59CE-4DB4-A059-421E4975B3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AFD61182-92ED-428D-A72A-BCD1F9E5DD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I22</xm:sqref>
        </x14:conditionalFormatting>
        <x14:conditionalFormatting xmlns:xm="http://schemas.microsoft.com/office/excel/2006/main">
          <x14:cfRule type="dataBar" id="{2C08202C-34F8-4991-8245-C00EEBA984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H54</xm:sqref>
        </x14:conditionalFormatting>
        <x14:conditionalFormatting xmlns:xm="http://schemas.microsoft.com/office/excel/2006/main">
          <x14:cfRule type="dataBar" id="{1C3ED108-C746-45AF-A999-0F5ADB12D1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H55</xm:sqref>
        </x14:conditionalFormatting>
        <x14:conditionalFormatting xmlns:xm="http://schemas.microsoft.com/office/excel/2006/main">
          <x14:cfRule type="dataBar" id="{1E5D3502-8804-40B3-8109-22E7232530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2FA7FF52-2FB0-417E-ACBC-2FC5E9935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53F01223-DA6F-4383-8649-9A3EDE754C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A221E850-82DD-4524-8DE6-54F0BB8727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H56</xm:sqref>
        </x14:conditionalFormatting>
        <x14:conditionalFormatting xmlns:xm="http://schemas.microsoft.com/office/excel/2006/main">
          <x14:cfRule type="dataBar" id="{F788AC90-4EA1-4F03-91CB-46ED385E2D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H57</xm:sqref>
        </x14:conditionalFormatting>
        <x14:conditionalFormatting xmlns:xm="http://schemas.microsoft.com/office/excel/2006/main">
          <x14:cfRule type="dataBar" id="{A8FA3205-22F9-4EC1-AD5D-7DD2E4C6AA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H58</xm:sqref>
        </x14:conditionalFormatting>
        <x14:conditionalFormatting xmlns:xm="http://schemas.microsoft.com/office/excel/2006/main">
          <x14:cfRule type="dataBar" id="{E16AEC06-410C-46F3-8502-B0FB84AC33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H59</xm:sqref>
        </x14:conditionalFormatting>
        <x14:conditionalFormatting xmlns:xm="http://schemas.microsoft.com/office/excel/2006/main">
          <x14:cfRule type="dataBar" id="{9FD021A3-1A51-4D13-B98F-45B5D34CF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H60</xm:sqref>
        </x14:conditionalFormatting>
        <x14:conditionalFormatting xmlns:xm="http://schemas.microsoft.com/office/excel/2006/main">
          <x14:cfRule type="dataBar" id="{A93C492F-3DA5-4C11-994C-24012C19A0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H61</xm:sqref>
        </x14:conditionalFormatting>
        <x14:conditionalFormatting xmlns:xm="http://schemas.microsoft.com/office/excel/2006/main">
          <x14:cfRule type="dataBar" id="{84A1FA67-1A2F-43E4-848C-D1D5CC5176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CBB3D324-0F3F-4C65-9096-9D503262EF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K21:K22</xm:sqref>
        </x14:conditionalFormatting>
        <x14:conditionalFormatting xmlns:xm="http://schemas.microsoft.com/office/excel/2006/main">
          <x14:cfRule type="dataBar" id="{BE3F3AD0-A556-4D19-B136-A5ED0BCE1C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7203D62-2D28-4088-9BFD-6A7B5E1D3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7E2E82B-36E1-4F33-BBB3-06A68BEDB2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4724B866-0F49-44DF-B4F4-A7E7139F60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8F57E87D-8B51-4FE4-BA35-4AB8DC1C37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F01F81A3-9E18-43C8-BCEC-E894149D93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74D02C65-D129-4D06-AB56-EDDF7C7A0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CC2BAB1-719D-4FD3-8244-E51E4D882D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F6879869-50D7-4E38-B147-985937B90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FBF946E-3990-486D-8CF3-D12E07ACD9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D752708-B0B7-4414-88B6-0E3684DFF2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098A1AA-5FAF-4572-B9C7-59806905A1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6FAE8866-6462-4A95-90A6-70FEE27B54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329149EF-68AA-4F2B-8541-BBAEA3D344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C631295-9906-4E43-8E1C-525DC30CA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FD3C94DB-8422-400E-A2A0-1A2941C93D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164D5E-BB93-4786-8719-79AD8AF925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C75D081-BD89-45EA-8C7F-01B0025F56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484A7274-C2D5-4FEC-8A6C-150A3C9973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1F649129-7930-4232-B363-DCE54B49D6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ACE6939C-8CDF-4B77-B769-8548A0D18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914EEB9E-D837-4765-BE98-7C0ACD577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54B82720-70E8-4FEB-8CA7-0FB9B7C86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6B3EE574-4A9C-4612-A2C7-BF90444B8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7EE6BAA1-F322-4E32-B0B1-0A6A6B5F41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1E50681-799A-4CEF-8173-08B388A917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375511AF-7E5D-4C43-8EA9-6858B8B211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0913E15-6635-4116-AE67-A6E38402C4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ED1732C2-CBAA-4FF4-A13F-68556AB387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9B3D413-7C21-410E-8561-1E7F04D65D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5452C088-ECBF-4ADE-804C-DD6D674A86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740137F6-82BB-47B7-9471-2AB212D90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275AF8E-0D3F-4CDD-B4AE-558EB5940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BC6530E-DD17-4ECD-A916-B6F6A5622C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7E2D701-0139-4FA4-AC72-21EAF7461E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4978971-D8FD-49F6-98CB-99B7E046DC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406E5635-59A5-4C21-B24A-1AD252A555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12EE8F76-DF1F-4618-9C94-7BA156FB17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0AE78796-85E1-4C99-A576-667BF329B1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2EA82107-502C-4148-946A-D5448681C0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EA2D13F5-F8C6-44DA-AEE4-3091A742E3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4275AF15-0056-427C-94CF-162E2E1EC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DABDC7C7-A77D-4080-9C3B-42EB04A64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C4C08DDA-A93C-489A-BDD9-9BC0B68898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L19:M19</xm:sqref>
        </x14:conditionalFormatting>
        <x14:conditionalFormatting xmlns:xm="http://schemas.microsoft.com/office/excel/2006/main">
          <x14:cfRule type="dataBar" id="{4E6D5E39-F7DB-4976-B15D-B14CDD2D1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93BBF4FA-EEDF-47F8-871A-8BEC2A5F1A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36B1CF13-EE5B-444E-9A70-39BB742CF6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01A4DFB2-7260-4E6D-B207-D230D0BB86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E7D6821D-E67A-48E5-9279-DD6DC0F8A3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8608A10-C1A4-4120-8673-3482D75544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7F936188-8C45-4DE6-B317-D616A32E6D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F4D6FE-8DFF-4214-97BC-6C67C1B889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17D93BDD-4D30-4C39-B06C-0E98733388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L20:M20</xm:sqref>
        </x14:conditionalFormatting>
        <x14:conditionalFormatting xmlns:xm="http://schemas.microsoft.com/office/excel/2006/main">
          <x14:cfRule type="dataBar" id="{CACD51C4-9D98-4FF5-929B-5B4B69A7B3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 Y8 Y4 Y10</xm:sqref>
        </x14:conditionalFormatting>
        <x14:conditionalFormatting xmlns:xm="http://schemas.microsoft.com/office/excel/2006/main">
          <x14:cfRule type="dataBar" id="{CB458A01-332D-4A36-935B-EE4D344729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38182866-8AE6-48F8-862B-E0FAC46955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89D47743-7E66-496B-A0E6-989BD99F7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4260A226-2B36-4898-BB04-8697A346FA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C7883205-6684-4C48-8195-A64E09CB2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77463BC4-A581-4EBA-BF20-88879EDD2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51AE081-C365-4B5F-80EA-CBCABEE5A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643745ED-8F49-4F04-9CF2-A6FD7B283E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L22</xm:sqref>
        </x14:conditionalFormatting>
        <x14:conditionalFormatting xmlns:xm="http://schemas.microsoft.com/office/excel/2006/main">
          <x14:cfRule type="dataBar" id="{280C3CD8-3016-4D20-873C-B4D71E36CC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87B67B16-6C8E-4E16-845E-087392AAC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8ABE62FE-AB42-4F5C-9CAE-769CB6087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4779B2F3-D09A-45A4-8F36-20A71D1C0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L21 M21:M22 L6:M20</xm:sqref>
        </x14:conditionalFormatting>
        <x14:conditionalFormatting xmlns:xm="http://schemas.microsoft.com/office/excel/2006/main">
          <x14:cfRule type="dataBar" id="{844D847B-54CD-4236-8BE4-14806976B9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91CB8C31-4FBB-4FDE-8472-46B3F852BB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M21:M22</xm:sqref>
        </x14:conditionalFormatting>
        <x14:conditionalFormatting xmlns:xm="http://schemas.microsoft.com/office/excel/2006/main">
          <x14:cfRule type="dataBar" id="{A736EE72-CD54-46B4-B8F1-5D5375C84B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CDD6209D-1BC4-4625-A4C0-4509CB15E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38A22378-7D90-4B57-AE42-4370B59C69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70AF054C-87E9-45C1-85A7-5796F246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65009EC2-7718-4E8C-BDD5-0883441955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0C7C2D37-18F0-4945-8293-637575A110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AC038D4-887A-4DD1-ABD4-AF2478A534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4DDFF2DA-4053-4C92-A6AD-B34A853A57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6A88E436-3E51-4848-861A-394714435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T21:T22</xm:sqref>
        </x14:conditionalFormatting>
        <x14:conditionalFormatting xmlns:xm="http://schemas.microsoft.com/office/excel/2006/main">
          <x14:cfRule type="dataBar" id="{A5A4171A-88A1-4657-9835-A9EF93733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H62</xm:sqref>
        </x14:conditionalFormatting>
        <x14:conditionalFormatting xmlns:xm="http://schemas.microsoft.com/office/excel/2006/main">
          <x14:cfRule type="dataBar" id="{CBC33CEF-405D-4B01-835D-16CB06D13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H63</xm:sqref>
        </x14:conditionalFormatting>
        <x14:conditionalFormatting xmlns:xm="http://schemas.microsoft.com/office/excel/2006/main">
          <x14:cfRule type="dataBar" id="{5E8AB172-3DC8-44A4-8700-EC886ECB5F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 T16</xm:sqref>
        </x14:conditionalFormatting>
        <x14:conditionalFormatting xmlns:xm="http://schemas.microsoft.com/office/excel/2006/main">
          <x14:cfRule type="dataBar" id="{C11A4C15-6A0A-4264-9ECF-48D652CAB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V7:W7 T7</xm:sqref>
        </x14:conditionalFormatting>
        <x14:conditionalFormatting xmlns:xm="http://schemas.microsoft.com/office/excel/2006/main">
          <x14:cfRule type="dataBar" id="{EF270112-3B37-414C-8C44-2634E831D5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 T12</xm:sqref>
        </x14:conditionalFormatting>
        <x14:conditionalFormatting xmlns:xm="http://schemas.microsoft.com/office/excel/2006/main">
          <x14:cfRule type="dataBar" id="{1917AA1F-0A51-48A8-893C-372F2DA355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V12:W12</xm:sqref>
        </x14:conditionalFormatting>
        <x14:conditionalFormatting xmlns:xm="http://schemas.microsoft.com/office/excel/2006/main">
          <x14:cfRule type="dataBar" id="{2CC6D1C0-49EE-469C-92C7-7527A8251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 T15</xm:sqref>
        </x14:conditionalFormatting>
        <x14:conditionalFormatting xmlns:xm="http://schemas.microsoft.com/office/excel/2006/main">
          <x14:cfRule type="dataBar" id="{71726F4C-81C3-42F5-970B-EB1D09E26E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V15:W15</xm:sqref>
        </x14:conditionalFormatting>
        <x14:conditionalFormatting xmlns:xm="http://schemas.microsoft.com/office/excel/2006/main">
          <x14:cfRule type="dataBar" id="{1CF1933F-54CE-48AB-840F-12752A4053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 T17</xm:sqref>
        </x14:conditionalFormatting>
        <x14:conditionalFormatting xmlns:xm="http://schemas.microsoft.com/office/excel/2006/main">
          <x14:cfRule type="dataBar" id="{FC71F06E-4E92-4D61-B529-258DC2F63F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V17:W17</xm:sqref>
        </x14:conditionalFormatting>
        <x14:conditionalFormatting xmlns:xm="http://schemas.microsoft.com/office/excel/2006/main">
          <x14:cfRule type="dataBar" id="{147C52EB-35D1-4BE9-9BAC-B5DD472B59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 T10</xm:sqref>
        </x14:conditionalFormatting>
        <x14:conditionalFormatting xmlns:xm="http://schemas.microsoft.com/office/excel/2006/main">
          <x14:cfRule type="dataBar" id="{E8757047-068B-4FBB-A788-B30F42CBD7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V10:W10</xm:sqref>
        </x14:conditionalFormatting>
        <x14:conditionalFormatting xmlns:xm="http://schemas.microsoft.com/office/excel/2006/main">
          <x14:cfRule type="dataBar" id="{03CE9526-4B36-4E01-A3B2-01018F680F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E0896835-D9AF-43F7-AED4-16C34D2D6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V4:W4 T4</xm:sqref>
        </x14:conditionalFormatting>
        <x14:conditionalFormatting xmlns:xm="http://schemas.microsoft.com/office/excel/2006/main">
          <x14:cfRule type="dataBar" id="{5EE9D4AE-90B7-4205-91CD-6041CC3CB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4B049651-D567-4897-B8A9-AC61BF8E07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V14:W14</xm:sqref>
        </x14:conditionalFormatting>
        <x14:conditionalFormatting xmlns:xm="http://schemas.microsoft.com/office/excel/2006/main">
          <x14:cfRule type="dataBar" id="{2656205E-7969-477C-937D-08469E6CF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V14:W14 T14</xm:sqref>
        </x14:conditionalFormatting>
        <x14:conditionalFormatting xmlns:xm="http://schemas.microsoft.com/office/excel/2006/main">
          <x14:cfRule type="dataBar" id="{8C410A55-9406-488E-8346-5B2814D91B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V16:W16</xm:sqref>
        </x14:conditionalFormatting>
        <x14:conditionalFormatting xmlns:xm="http://schemas.microsoft.com/office/excel/2006/main">
          <x14:cfRule type="dataBar" id="{69735419-A7C0-4EDF-8F79-3854EF977D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A70A7F7C-4F51-4E5A-8C5D-398C552809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V6:W6 T6</xm:sqref>
        </x14:conditionalFormatting>
        <x14:conditionalFormatting xmlns:xm="http://schemas.microsoft.com/office/excel/2006/main">
          <x14:cfRule type="dataBar" id="{6386C5FB-F82F-4EE9-8698-26811FB64AE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 T13</xm:sqref>
        </x14:conditionalFormatting>
        <x14:conditionalFormatting xmlns:xm="http://schemas.microsoft.com/office/excel/2006/main">
          <x14:cfRule type="dataBar" id="{C368034A-F4C7-4E1D-BD15-AD23B70EAC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V13:W13</xm:sqref>
        </x14:conditionalFormatting>
        <x14:conditionalFormatting xmlns:xm="http://schemas.microsoft.com/office/excel/2006/main">
          <x14:cfRule type="dataBar" id="{A2804D74-B67F-4E58-A24D-07E0B902F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V8:W8</xm:sqref>
        </x14:conditionalFormatting>
        <x14:conditionalFormatting xmlns:xm="http://schemas.microsoft.com/office/excel/2006/main">
          <x14:cfRule type="dataBar" id="{C4F810C8-6D1B-40D7-A97A-6D4719720A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V8:W8 T8</xm:sqref>
        </x14:conditionalFormatting>
        <x14:conditionalFormatting xmlns:xm="http://schemas.microsoft.com/office/excel/2006/main">
          <x14:cfRule type="dataBar" id="{4BBA978A-0958-4292-878F-42D3CA2CBF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8A3BFD1C-285F-4DE8-B48A-8667934AA5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V18:W18</xm:sqref>
        </x14:conditionalFormatting>
        <x14:conditionalFormatting xmlns:xm="http://schemas.microsoft.com/office/excel/2006/main">
          <x14:cfRule type="dataBar" id="{9D531848-10E9-45D4-A19E-E50358F60D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V18:W18 T18</xm:sqref>
        </x14:conditionalFormatting>
        <x14:conditionalFormatting xmlns:xm="http://schemas.microsoft.com/office/excel/2006/main">
          <x14:cfRule type="dataBar" id="{FAD5B507-6804-4F2C-BE6B-D072810025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4C299580-7DF9-4320-B76B-E92777D3B6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V9:W9</xm:sqref>
        </x14:conditionalFormatting>
        <x14:conditionalFormatting xmlns:xm="http://schemas.microsoft.com/office/excel/2006/main">
          <x14:cfRule type="dataBar" id="{6EB8AF80-ED27-4B18-B9B0-D32299CAF9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V9:W9 T9</xm:sqref>
        </x14:conditionalFormatting>
        <x14:conditionalFormatting xmlns:xm="http://schemas.microsoft.com/office/excel/2006/main">
          <x14:cfRule type="dataBar" id="{501EBA12-FABA-4788-B3EA-F8661046F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8EFEFB2E-EE02-46DA-B406-0613029C84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V11:W11</xm:sqref>
        </x14:conditionalFormatting>
        <x14:conditionalFormatting xmlns:xm="http://schemas.microsoft.com/office/excel/2006/main">
          <x14:cfRule type="dataBar" id="{592EF9ED-E753-44D2-B841-8004373239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V11:W11 T11</xm:sqref>
        </x14:conditionalFormatting>
        <x14:conditionalFormatting xmlns:xm="http://schemas.microsoft.com/office/excel/2006/main">
          <x14:cfRule type="dataBar" id="{60736DC3-B1D2-4E60-B6E2-C77EA802C2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4AFDCAB4-1B72-44D4-B6A3-C5FA919873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V19:W19</xm:sqref>
        </x14:conditionalFormatting>
        <x14:conditionalFormatting xmlns:xm="http://schemas.microsoft.com/office/excel/2006/main">
          <x14:cfRule type="dataBar" id="{75C45DB7-0BF6-4D59-945A-8FEBEAB32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V19:W19 T19</xm:sqref>
        </x14:conditionalFormatting>
        <x14:conditionalFormatting xmlns:xm="http://schemas.microsoft.com/office/excel/2006/main">
          <x14:cfRule type="dataBar" id="{D41EC97B-E8B0-4FD0-B9F7-2DE255B8CF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883BDBD7-3CA1-4FD3-9E40-0870C02DA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V20:W20</xm:sqref>
        </x14:conditionalFormatting>
        <x14:conditionalFormatting xmlns:xm="http://schemas.microsoft.com/office/excel/2006/main">
          <x14:cfRule type="dataBar" id="{E965B582-33B0-4FA2-9A42-5D29EA18D5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V20:W20 T20</xm:sqref>
        </x14:conditionalFormatting>
        <x14:conditionalFormatting xmlns:xm="http://schemas.microsoft.com/office/excel/2006/main">
          <x14:cfRule type="dataBar" id="{623B7436-68A6-4840-A63B-1BC73E0B6F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74172AC3-10D0-473F-9660-4E29CA5D8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V22:W22</xm:sqref>
        </x14:conditionalFormatting>
        <x14:conditionalFormatting xmlns:xm="http://schemas.microsoft.com/office/excel/2006/main">
          <x14:cfRule type="dataBar" id="{3827DA89-084C-49B3-BF2F-9AA9EA559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V22:W22 T22</xm:sqref>
        </x14:conditionalFormatting>
        <x14:conditionalFormatting xmlns:xm="http://schemas.microsoft.com/office/excel/2006/main">
          <x14:cfRule type="dataBar" id="{B66966C4-FC02-4809-B328-C3770C4450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V21:W21</xm:sqref>
        </x14:conditionalFormatting>
        <x14:conditionalFormatting xmlns:xm="http://schemas.microsoft.com/office/excel/2006/main">
          <x14:cfRule type="dataBar" id="{EC2546CA-571E-47FE-B86C-BDF6F82930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V21:W21 T21</xm:sqref>
        </x14:conditionalFormatting>
        <x14:conditionalFormatting xmlns:xm="http://schemas.microsoft.com/office/excel/2006/main">
          <x14:cfRule type="dataBar" id="{4B6FA86A-DE53-4FBE-A2BA-5FDFFA0F8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H64</xm:sqref>
        </x14:conditionalFormatting>
        <x14:conditionalFormatting xmlns:xm="http://schemas.microsoft.com/office/excel/2006/main">
          <x14:cfRule type="dataBar" id="{F3734BEA-9048-43EA-81FC-2171A1FF2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T12:T13 T15:T17</xm:sqref>
        </x14:conditionalFormatting>
        <x14:conditionalFormatting xmlns:xm="http://schemas.microsoft.com/office/excel/2006/main">
          <x14:cfRule type="dataBar" id="{48A11995-3CCE-41C6-98C0-63F0573A7E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 V10 V12:V13 V15:V17</xm:sqref>
        </x14:conditionalFormatting>
        <x14:conditionalFormatting xmlns:xm="http://schemas.microsoft.com/office/excel/2006/main">
          <x14:cfRule type="dataBar" id="{D1E652F0-4A83-4DD6-A88E-378BD46754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 W7 W12:W13 W15:W17</xm:sqref>
        </x14:conditionalFormatting>
        <x14:conditionalFormatting xmlns:xm="http://schemas.microsoft.com/office/excel/2006/main">
          <x14:cfRule type="dataBar" id="{56556431-91BF-4EDC-A227-7E3D6B444D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 Y4 Y7:Y8 Y12:Y17</xm:sqref>
        </x14:conditionalFormatting>
        <x14:conditionalFormatting xmlns:xm="http://schemas.microsoft.com/office/excel/2006/main">
          <x14:cfRule type="dataBar" id="{1266D673-7971-4DFA-845A-4CD2C30B5A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30895E9D-344A-46D3-B76C-E3C5FA0F67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 L6:L21 L12:M18 L6:M10</xm:sqref>
        </x14:conditionalFormatting>
        <x14:conditionalFormatting xmlns:xm="http://schemas.microsoft.com/office/excel/2006/main">
          <x14:cfRule type="dataBar" id="{D99804A9-1D94-46DE-9508-88B869BC7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L8:L21 L4:M4 L6:M18</xm:sqref>
        </x14:conditionalFormatting>
        <x14:conditionalFormatting xmlns:xm="http://schemas.microsoft.com/office/excel/2006/main">
          <x14:cfRule type="dataBar" id="{7076C7B0-2D99-4490-85FA-BBE841384F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T6:T20 T4</xm:sqref>
        </x14:conditionalFormatting>
        <x14:conditionalFormatting xmlns:xm="http://schemas.microsoft.com/office/excel/2006/main">
          <x14:cfRule type="dataBar" id="{D47F3DDA-84C0-4F45-B0B6-0A0C4D2DB2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I6:I20 I4</xm:sqref>
        </x14:conditionalFormatting>
        <x14:conditionalFormatting xmlns:xm="http://schemas.microsoft.com/office/excel/2006/main">
          <x14:cfRule type="dataBar" id="{1CFC0B1A-1248-44C8-9202-18B25DD886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K12:K18 K4 K6:K10</xm:sqref>
        </x14:conditionalFormatting>
        <x14:conditionalFormatting xmlns:xm="http://schemas.microsoft.com/office/excel/2006/main">
          <x14:cfRule type="dataBar" id="{637127DD-1CAD-457E-B23C-09B4BA2EBF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M12:M18 M4 M6:M10</xm:sqref>
        </x14:conditionalFormatting>
        <x14:conditionalFormatting xmlns:xm="http://schemas.microsoft.com/office/excel/2006/main">
          <x14:cfRule type="dataBar" id="{57E2B464-CC9B-40AA-A5D1-437BE2D81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I6:I21 I4</xm:sqref>
        </x14:conditionalFormatting>
        <x14:conditionalFormatting xmlns:xm="http://schemas.microsoft.com/office/excel/2006/main">
          <x14:cfRule type="dataBar" id="{738D513F-2CBC-41FF-B681-BD6A215F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L6:L21 L4</xm:sqref>
        </x14:conditionalFormatting>
        <x14:conditionalFormatting xmlns:xm="http://schemas.microsoft.com/office/excel/2006/main">
          <x14:cfRule type="dataBar" id="{C85FC604-F29F-4B3E-BEA9-4A7CC5C05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T6:T22 T4</xm:sqref>
        </x14:conditionalFormatting>
        <x14:conditionalFormatting xmlns:xm="http://schemas.microsoft.com/office/excel/2006/main">
          <x14:cfRule type="dataBar" id="{B3733E8F-F6E1-452D-8560-3238A273F6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 L6:M22</xm:sqref>
        </x14:conditionalFormatting>
        <x14:conditionalFormatting xmlns:xm="http://schemas.microsoft.com/office/excel/2006/main">
          <x14:cfRule type="dataBar" id="{251D68A5-CD7F-4B09-B5F1-E03FD17AE8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 T4</xm:sqref>
        </x14:conditionalFormatting>
        <x14:conditionalFormatting xmlns:xm="http://schemas.microsoft.com/office/excel/2006/main">
          <x14:cfRule type="dataBar" id="{20AE5CA8-DE72-4B51-9FD9-91F536934D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T6:T24</xm:sqref>
        </x14:conditionalFormatting>
        <x14:conditionalFormatting xmlns:xm="http://schemas.microsoft.com/office/excel/2006/main">
          <x14:cfRule type="dataBar" id="{968580D6-D701-4C6B-A36E-7D70993777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T10 T7 T12 T15:T17 V15:W17 V12:W12 V7:W7 V10:W10</xm:sqref>
        </x14:conditionalFormatting>
        <x14:conditionalFormatting xmlns:xm="http://schemas.microsoft.com/office/excel/2006/main">
          <x14:cfRule type="dataBar" id="{EB4B72D5-DF19-4E2C-BE34-E76A30216E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 T7 T12:T13 T15:T17 V15:W17 V12:W13 V7:W7 V10:W10</xm:sqref>
        </x14:conditionalFormatting>
        <x14:conditionalFormatting xmlns:xm="http://schemas.microsoft.com/office/excel/2006/main">
          <x14:cfRule type="dataBar" id="{8C81A31F-20BC-473F-A386-134E8BF949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I6:I24 I4</xm:sqref>
        </x14:conditionalFormatting>
        <x14:conditionalFormatting xmlns:xm="http://schemas.microsoft.com/office/excel/2006/main">
          <x14:cfRule type="dataBar" id="{510D22B3-48AA-4CCF-98BE-88FF5B6A9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202A0E3C-13D1-489C-8F91-AE298A424A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A7227F2-B3A0-49E9-8947-A3CE5280B3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98FECB7-A184-4657-8F02-CC10F01EC3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7515E0A-7968-40EE-A60A-74F91C6CB0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DC195FFC-A45A-42C6-AD5C-F8D16F594C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5A647A0-9F0F-44DE-9C47-53FB7A01F7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687C0D-A8D7-43C7-B2A9-5731CAEA5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21D8798-AE23-455E-923A-9EBCC8C1EB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1836753-4A98-4CCC-BD6C-C08FDDEE9B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A5B9D1B6-B1B5-4FB1-BEE1-65C1B7A58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V5:W5 T5</xm:sqref>
        </x14:conditionalFormatting>
        <x14:conditionalFormatting xmlns:xm="http://schemas.microsoft.com/office/excel/2006/main">
          <x14:cfRule type="dataBar" id="{93C3ADB8-0A03-47F7-B77A-AA15C11126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29703377-C829-4D2E-AAC9-AE1E896EC9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901589E-C5F2-46D6-ADEA-FDB3387C1D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F3AB3AB-BBBB-47C3-976D-4AE7995A80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1215C7A-DE99-47C8-8A76-DBDAE3AF87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9F358A1-D2FD-4875-9E3F-59FE8AB052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BF60584-9AEC-4BE3-8079-5A9C127A89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A302AC49-040B-4A73-85E7-596EAB8FF6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6BB5843-1D66-45E6-8BBD-0A43F2622C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D8FDC93-7F8D-4124-B3DE-7CEDAC3037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21D3C45-8E30-4B62-B4C0-341BFC83A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824E96-08AF-4452-A5F8-3812259241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AF2940A-DD6F-46D9-9D19-36C1A496B1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477DA84B-6FBA-40FE-8A60-33EF2B1540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220B0D5B-21B2-4D71-A9CE-D27B6E7286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BEA3972-3F08-4BBA-A0E6-7582038160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AB963A46-FB52-4B6E-A61B-F7D267CE61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8BE7007A-7F69-4EEF-B3EF-B050762C75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427EDBFC-6F6E-4767-A143-C0FEF9076B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 I19</xm:sqref>
        </x14:conditionalFormatting>
        <x14:conditionalFormatting xmlns:xm="http://schemas.microsoft.com/office/excel/2006/main">
          <x14:cfRule type="dataBar" id="{A5888E1F-0D50-433F-B739-1C2BBC77E2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F43CF438-950D-4A13-86DF-A78D912235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 I20</xm:sqref>
        </x14:conditionalFormatting>
        <x14:conditionalFormatting xmlns:xm="http://schemas.microsoft.com/office/excel/2006/main">
          <x14:cfRule type="dataBar" id="{EF5F9E17-0D90-4605-A6A4-74260B5D0E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K6:K20</xm:sqref>
        </x14:conditionalFormatting>
        <x14:conditionalFormatting xmlns:xm="http://schemas.microsoft.com/office/excel/2006/main">
          <x14:cfRule type="dataBar" id="{14F3995D-A052-422D-A82B-3D40A45DB3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 K4 K12:K18 I6:I21 K6:K10</xm:sqref>
        </x14:conditionalFormatting>
        <x14:conditionalFormatting xmlns:xm="http://schemas.microsoft.com/office/excel/2006/main">
          <x14:cfRule type="dataBar" id="{796CEA9D-8BEA-4838-B743-1FD77EE227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K12:K18 I6:I21 K6:K10</xm:sqref>
        </x14:conditionalFormatting>
        <x14:conditionalFormatting xmlns:xm="http://schemas.microsoft.com/office/excel/2006/main">
          <x14:cfRule type="dataBar" id="{FAF148DE-57B0-40F9-97F4-52C96601FA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 I4 I6:I21 K6:K18</xm:sqref>
        </x14:conditionalFormatting>
        <x14:conditionalFormatting xmlns:xm="http://schemas.microsoft.com/office/excel/2006/main">
          <x14:cfRule type="dataBar" id="{769D3F61-3423-4D7D-93B7-B806DB238E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 I4 I6:I22 K6:K22</xm:sqref>
        </x14:conditionalFormatting>
        <x14:conditionalFormatting xmlns:xm="http://schemas.microsoft.com/office/excel/2006/main">
          <x14:cfRule type="dataBar" id="{E902FC6D-DA78-4A83-8708-9FD46BB110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C3B60644-5B5E-4064-A8CA-197894C01E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 I5</xm:sqref>
        </x14:conditionalFormatting>
        <x14:conditionalFormatting xmlns:xm="http://schemas.microsoft.com/office/excel/2006/main">
          <x14:cfRule type="dataBar" id="{641C8FCC-82B0-4770-A9D7-F0DDC238C3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J23:J24</xm:sqref>
        </x14:conditionalFormatting>
        <x14:conditionalFormatting xmlns:xm="http://schemas.microsoft.com/office/excel/2006/main">
          <x14:cfRule type="dataBar" id="{6AB95CBB-38E7-4191-B8A7-4FD11F0CCF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I4:I24</xm:sqref>
        </x14:conditionalFormatting>
        <x14:conditionalFormatting xmlns:xm="http://schemas.microsoft.com/office/excel/2006/main">
          <x14:cfRule type="dataBar" id="{6E0F4869-21F6-489F-990C-2C461C0D07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M4:M23</xm:sqref>
        </x14:conditionalFormatting>
        <x14:conditionalFormatting xmlns:xm="http://schemas.microsoft.com/office/excel/2006/main">
          <x14:cfRule type="dataBar" id="{8CC36082-8963-4C98-9193-CD72D608BB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V4:W22</xm:sqref>
        </x14:conditionalFormatting>
        <x14:conditionalFormatting xmlns:xm="http://schemas.microsoft.com/office/excel/2006/main">
          <x14:cfRule type="dataBar" id="{205F015E-B9C8-40E2-A005-A6CB495BCF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L4:M24</xm:sqref>
        </x14:conditionalFormatting>
        <x14:conditionalFormatting xmlns:xm="http://schemas.microsoft.com/office/excel/2006/main">
          <x14:cfRule type="iconSet" priority="6" id="{968BA6B6-E5F3-4450-A635-0EC1EB292E1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J4:J20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50"/>
    <pageSetUpPr fitToPage="1"/>
  </sheetPr>
  <dimension ref="A1:AC467"/>
  <sheetViews>
    <sheetView workbookViewId="0">
      <selection activeCell="B4" sqref="B4"/>
    </sheetView>
  </sheetViews>
  <sheetFormatPr defaultRowHeight="12.75" x14ac:dyDescent="0.2"/>
  <cols>
    <col min="1" max="1" width="3.5703125" style="32" customWidth="1"/>
    <col min="2" max="2" width="12.42578125" style="32" customWidth="1"/>
    <col min="3" max="3" width="15.42578125" style="32" customWidth="1"/>
    <col min="4" max="4" width="8.28515625" style="32" customWidth="1"/>
    <col min="5" max="5" width="10.5703125" style="49" customWidth="1"/>
    <col min="6" max="6" width="10.28515625" style="49" customWidth="1"/>
    <col min="7" max="7" width="11.28515625" style="32" customWidth="1"/>
    <col min="8" max="9" width="12.5703125" style="32" customWidth="1"/>
    <col min="10" max="10" width="10.7109375" style="32" customWidth="1"/>
    <col min="11" max="11" width="12" style="32" customWidth="1"/>
    <col min="12" max="12" width="11.5703125" style="49" customWidth="1"/>
    <col min="13" max="13" width="11.7109375" style="32" customWidth="1"/>
    <col min="14" max="14" width="11.42578125" style="32" customWidth="1"/>
    <col min="15" max="15" width="11.5703125" style="32" customWidth="1"/>
    <col min="16" max="16" width="11.7109375" style="32" customWidth="1"/>
    <col min="17" max="17" width="13.5703125" style="32" customWidth="1"/>
    <col min="18" max="19" width="11.5703125" style="32" customWidth="1"/>
    <col min="20" max="20" width="14.140625" style="32" customWidth="1"/>
    <col min="21" max="22" width="11.28515625" style="32" hidden="1" customWidth="1"/>
    <col min="23" max="23" width="11.5703125" style="32" hidden="1" customWidth="1"/>
    <col min="24" max="24" width="11.140625" style="32" hidden="1" customWidth="1"/>
    <col min="25" max="25" width="11.28515625" style="32" hidden="1" customWidth="1"/>
    <col min="26" max="26" width="15.5703125" style="32" hidden="1" customWidth="1"/>
    <col min="27" max="27" width="11.42578125" style="32" hidden="1" customWidth="1"/>
    <col min="28" max="28" width="10.85546875" style="32" customWidth="1"/>
    <col min="29" max="29" width="10.7109375" style="32" customWidth="1"/>
    <col min="30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s="626" customFormat="1" ht="76.5" x14ac:dyDescent="0.25">
      <c r="B2" s="407" t="s">
        <v>105</v>
      </c>
      <c r="C2" s="394" t="s">
        <v>104</v>
      </c>
      <c r="D2" s="394" t="s">
        <v>120</v>
      </c>
      <c r="E2" s="394" t="s">
        <v>119</v>
      </c>
      <c r="F2" s="394" t="s">
        <v>100</v>
      </c>
      <c r="G2" s="394" t="s">
        <v>118</v>
      </c>
      <c r="H2" s="619" t="s">
        <v>792</v>
      </c>
      <c r="I2" s="619" t="s">
        <v>793</v>
      </c>
      <c r="J2" s="618" t="s">
        <v>24</v>
      </c>
      <c r="K2" s="394" t="s">
        <v>97</v>
      </c>
      <c r="L2" s="394" t="s">
        <v>401</v>
      </c>
      <c r="M2" s="394" t="s">
        <v>138</v>
      </c>
      <c r="N2" s="394" t="s">
        <v>117</v>
      </c>
      <c r="O2" s="394" t="s">
        <v>127</v>
      </c>
      <c r="P2" s="394" t="s">
        <v>116</v>
      </c>
      <c r="Q2" s="394" t="s">
        <v>114</v>
      </c>
      <c r="R2" s="394" t="s">
        <v>113</v>
      </c>
      <c r="S2" s="394" t="s">
        <v>112</v>
      </c>
      <c r="T2" s="619" t="s">
        <v>746</v>
      </c>
      <c r="U2" s="394" t="s">
        <v>129</v>
      </c>
      <c r="V2" s="394" t="s">
        <v>128</v>
      </c>
      <c r="W2" s="394" t="s">
        <v>130</v>
      </c>
      <c r="X2" s="394" t="s">
        <v>131</v>
      </c>
      <c r="Y2" s="394" t="s">
        <v>132</v>
      </c>
      <c r="Z2" s="394" t="s">
        <v>233</v>
      </c>
      <c r="AA2" s="394" t="s">
        <v>110</v>
      </c>
      <c r="AB2" s="619" t="s">
        <v>778</v>
      </c>
      <c r="AC2" s="619" t="s">
        <v>779</v>
      </c>
    </row>
    <row r="3" spans="1:29" s="48" customFormat="1" x14ac:dyDescent="0.2">
      <c r="A3" s="48" t="s">
        <v>662</v>
      </c>
      <c r="B3" s="46" t="s">
        <v>206</v>
      </c>
      <c r="C3" s="103" t="s">
        <v>207</v>
      </c>
      <c r="D3" s="44" t="e">
        <f t="shared" ref="D3:D18" ca="1" si="0">P3/$P$19</f>
        <v>#NAME?</v>
      </c>
      <c r="E3" s="43">
        <f>$F$102</f>
        <v>3746</v>
      </c>
      <c r="F3" s="38">
        <f>$H$102</f>
        <v>1335.7768286171918</v>
      </c>
      <c r="G3" s="38" t="e">
        <f ca="1">_xll.BDP($C3,"PX_LAST")</f>
        <v>#NAME?</v>
      </c>
      <c r="H3" s="760" t="e">
        <f ca="1">_xll.BDP($C3,"BEST_TARGET_PRICE")</f>
        <v>#NAME?</v>
      </c>
      <c r="I3" s="44" t="e">
        <f t="shared" ref="I3:I15" ca="1" si="1">H3/G3-1</f>
        <v>#NAME?</v>
      </c>
      <c r="J3" s="38" t="e">
        <f ca="1">_xll.BDP($C3,"EQY_REC_CONS")</f>
        <v>#NAME?</v>
      </c>
      <c r="K3" s="106" t="e">
        <f ca="1">_xll.BDP($C3,"CRNCY")</f>
        <v>#NAME?</v>
      </c>
      <c r="L3" s="44" t="e">
        <f ca="1">G3/F3-1</f>
        <v>#NAME?</v>
      </c>
      <c r="M3" s="44" t="e">
        <f ca="1">Q3/O3-1</f>
        <v>#NAME?</v>
      </c>
      <c r="N3" s="43">
        <f>E3*F3</f>
        <v>5003820</v>
      </c>
      <c r="O3" s="43" t="e">
        <f ca="1">$J$102</f>
        <v>#NAME?</v>
      </c>
      <c r="P3" s="43" t="e">
        <f ca="1">E3*G3</f>
        <v>#NAME?</v>
      </c>
      <c r="Q3" s="43" t="e">
        <f t="shared" ref="Q3:Q15" ca="1" si="2">P3/$I$1</f>
        <v>#NAME?</v>
      </c>
      <c r="R3" s="142" t="e">
        <f t="shared" ref="R3:R15" ca="1" si="3">P3-N3</f>
        <v>#NAME?</v>
      </c>
      <c r="S3" s="142" t="e">
        <f t="shared" ref="S3:S15" ca="1" si="4">Q3-O3</f>
        <v>#NAME?</v>
      </c>
      <c r="T3" s="763" t="e">
        <f ca="1">_xll.BDP($C3,"EQY_DVD_YLD_EST")</f>
        <v>#NAME?</v>
      </c>
      <c r="U3" s="82" t="e">
        <f ca="1">_xll.BDP($C3,"CHG_PCT_1YR")</f>
        <v>#NAME?</v>
      </c>
      <c r="V3" s="82" t="e">
        <f ca="1">_xll.BDP($C3,"CHG_PCT_YTD")</f>
        <v>#NAME?</v>
      </c>
      <c r="W3" s="82" t="e">
        <f ca="1">_xll.BDP($C3,"CHG_PCT_6M")</f>
        <v>#NAME?</v>
      </c>
      <c r="X3" s="82" t="e">
        <f ca="1">_xll.BDP($C3,"CHG_PCT_3M")</f>
        <v>#NAME?</v>
      </c>
      <c r="Y3" s="82" t="e">
        <f ca="1">_xll.BDP($C3,"CHG_PCT_1M")</f>
        <v>#NAME?</v>
      </c>
      <c r="Z3" s="82" t="e">
        <f ca="1">_xll.BDP($C3,"CHG_PCT_5D")</f>
        <v>#NAME?</v>
      </c>
      <c r="AA3" s="82" t="e">
        <f ca="1">_xll.BDP($C3,"CHG_PCT_1D")</f>
        <v>#NAME?</v>
      </c>
      <c r="AB3" s="82" t="e">
        <f ca="1">_xll.BDP($C3,"DVD_EX_DT")</f>
        <v>#NAME?</v>
      </c>
      <c r="AC3" s="82" t="e">
        <f ca="1">_xll.BDP($C3,"BDVD_NEXT_EST_DECL_DT")</f>
        <v>#NAME?</v>
      </c>
    </row>
    <row r="4" spans="1:29" s="48" customFormat="1" x14ac:dyDescent="0.2">
      <c r="A4" s="48" t="s">
        <v>662</v>
      </c>
      <c r="B4" s="46" t="s">
        <v>402</v>
      </c>
      <c r="C4" s="103" t="s">
        <v>55</v>
      </c>
      <c r="D4" s="44" t="e">
        <f t="shared" ca="1" si="0"/>
        <v>#NAME?</v>
      </c>
      <c r="E4" s="43">
        <f>$F$111</f>
        <v>524</v>
      </c>
      <c r="F4" s="38">
        <f>$H$111</f>
        <v>9573.038167938932</v>
      </c>
      <c r="G4" s="38" t="e">
        <f ca="1">_xll.BDP($C4,"PX_LAST")</f>
        <v>#NAME?</v>
      </c>
      <c r="H4" s="760" t="e">
        <f ca="1">_xll.BDP($C4,"BEST_TARGET_PRICE")</f>
        <v>#NAME?</v>
      </c>
      <c r="I4" s="44" t="e">
        <f t="shared" ca="1" si="1"/>
        <v>#NAME?</v>
      </c>
      <c r="J4" s="38" t="e">
        <f ca="1">_xll.BDP($C4,"EQY_REC_CONS")</f>
        <v>#NAME?</v>
      </c>
      <c r="K4" s="106" t="e">
        <f ca="1">_xll.BDP($C4,"CRNCY")</f>
        <v>#NAME?</v>
      </c>
      <c r="L4" s="44" t="e">
        <f ca="1">G4/F4-1</f>
        <v>#NAME?</v>
      </c>
      <c r="M4" s="44" t="e">
        <f ca="1">Q4/O4-1</f>
        <v>#NAME?</v>
      </c>
      <c r="N4" s="43">
        <f>E4*F4</f>
        <v>5016272</v>
      </c>
      <c r="O4" s="43" t="e">
        <f ca="1">$J$111</f>
        <v>#NAME?</v>
      </c>
      <c r="P4" s="43" t="e">
        <f ca="1">E4*G4</f>
        <v>#NAME?</v>
      </c>
      <c r="Q4" s="43" t="e">
        <f t="shared" ca="1" si="2"/>
        <v>#NAME?</v>
      </c>
      <c r="R4" s="142" t="e">
        <f t="shared" ca="1" si="3"/>
        <v>#NAME?</v>
      </c>
      <c r="S4" s="142" t="e">
        <f t="shared" ca="1" si="4"/>
        <v>#NAME?</v>
      </c>
      <c r="T4" s="763" t="e">
        <f ca="1">_xll.BDP($C4,"EQY_DVD_YLD_EST")</f>
        <v>#NAME?</v>
      </c>
      <c r="U4" s="82" t="e">
        <f ca="1">_xll.BDP($C4,"CHG_PCT_1YR")</f>
        <v>#NAME?</v>
      </c>
      <c r="V4" s="82" t="e">
        <f ca="1">_xll.BDP($C4,"CHG_PCT_YTD")</f>
        <v>#NAME?</v>
      </c>
      <c r="W4" s="82" t="e">
        <f ca="1">_xll.BDP($C4,"CHG_PCT_6M")</f>
        <v>#NAME?</v>
      </c>
      <c r="X4" s="82" t="e">
        <f ca="1">_xll.BDP($C4,"CHG_PCT_3M")</f>
        <v>#NAME?</v>
      </c>
      <c r="Y4" s="82" t="e">
        <f ca="1">_xll.BDP($C4,"CHG_PCT_1M")</f>
        <v>#NAME?</v>
      </c>
      <c r="Z4" s="82" t="e">
        <f ca="1">_xll.BDP($C4,"CHG_PCT_5D")</f>
        <v>#NAME?</v>
      </c>
      <c r="AA4" s="82" t="e">
        <f ca="1">_xll.BDP($C4,"CHG_PCT_1D")</f>
        <v>#NAME?</v>
      </c>
      <c r="AB4" s="82" t="e">
        <f ca="1">_xll.BDP($C4,"DVD_EX_DT")</f>
        <v>#NAME?</v>
      </c>
      <c r="AC4" s="82" t="e">
        <f ca="1">_xll.BDP($C4,"BDVD_NEXT_EST_DECL_DT")</f>
        <v>#NAME?</v>
      </c>
    </row>
    <row r="5" spans="1:29" s="48" customFormat="1" x14ac:dyDescent="0.2">
      <c r="A5" s="48" t="s">
        <v>662</v>
      </c>
      <c r="B5" s="46" t="s">
        <v>388</v>
      </c>
      <c r="C5" s="103" t="s">
        <v>736</v>
      </c>
      <c r="D5" s="44" t="e">
        <f t="shared" ca="1" si="0"/>
        <v>#NAME?</v>
      </c>
      <c r="E5" s="43">
        <f>$F$62</f>
        <v>225</v>
      </c>
      <c r="F5" s="38">
        <f>$H$62</f>
        <v>9760</v>
      </c>
      <c r="G5" s="38" t="e">
        <f ca="1">_xll.BDP($C5,"PX_LAST")</f>
        <v>#NAME?</v>
      </c>
      <c r="H5" s="760" t="e">
        <f ca="1">_xll.BDP($C5,"BEST_TARGET_PRICE")</f>
        <v>#NAME?</v>
      </c>
      <c r="I5" s="44" t="e">
        <f t="shared" ca="1" si="1"/>
        <v>#NAME?</v>
      </c>
      <c r="J5" s="38" t="e">
        <f ca="1">_xll.BDP($C5,"EQY_REC_CONS")</f>
        <v>#NAME?</v>
      </c>
      <c r="K5" s="106" t="e">
        <f ca="1">_xll.BDP($C5,"CRNCY")</f>
        <v>#NAME?</v>
      </c>
      <c r="L5" s="44" t="e">
        <f ca="1">G5/F5-1</f>
        <v>#NAME?</v>
      </c>
      <c r="M5" s="44" t="e">
        <f ca="1">Q5/O5-1</f>
        <v>#NAME?</v>
      </c>
      <c r="N5" s="43">
        <f>E5*F5</f>
        <v>2196000</v>
      </c>
      <c r="O5" s="43" t="e">
        <f ca="1">$J$62</f>
        <v>#NAME?</v>
      </c>
      <c r="P5" s="43" t="e">
        <f ca="1">E5*G5</f>
        <v>#NAME?</v>
      </c>
      <c r="Q5" s="43" t="e">
        <f t="shared" ca="1" si="2"/>
        <v>#NAME?</v>
      </c>
      <c r="R5" s="142" t="e">
        <f t="shared" ca="1" si="3"/>
        <v>#NAME?</v>
      </c>
      <c r="S5" s="142" t="e">
        <f t="shared" ca="1" si="4"/>
        <v>#NAME?</v>
      </c>
      <c r="T5" s="763" t="e">
        <f ca="1">_xll.BDP($C5,"EQY_DVD_YLD_EST")</f>
        <v>#NAME?</v>
      </c>
      <c r="U5" s="82" t="e">
        <f ca="1">_xll.BDP($C5,"CHG_PCT_1YR")</f>
        <v>#NAME?</v>
      </c>
      <c r="V5" s="82" t="e">
        <f ca="1">_xll.BDP($C5,"CHG_PCT_YTD")</f>
        <v>#NAME?</v>
      </c>
      <c r="W5" s="82" t="e">
        <f ca="1">_xll.BDP($C5,"CHG_PCT_6M")</f>
        <v>#NAME?</v>
      </c>
      <c r="X5" s="82" t="e">
        <f ca="1">_xll.BDP($C5,"CHG_PCT_3M")</f>
        <v>#NAME?</v>
      </c>
      <c r="Y5" s="82" t="e">
        <f ca="1">_xll.BDP($C5,"CHG_PCT_1M")</f>
        <v>#NAME?</v>
      </c>
      <c r="Z5" s="82" t="e">
        <f ca="1">_xll.BDP($C5,"CHG_PCT_5D")</f>
        <v>#NAME?</v>
      </c>
      <c r="AA5" s="82" t="e">
        <f ca="1">_xll.BDP($C5,"CHG_PCT_1D")</f>
        <v>#NAME?</v>
      </c>
      <c r="AB5" s="82" t="e">
        <f ca="1">_xll.BDP($C5,"DVD_EX_DT")</f>
        <v>#NAME?</v>
      </c>
      <c r="AC5" s="82" t="e">
        <f ca="1">_xll.BDP($C5,"BDVD_NEXT_EST_DECL_DT")</f>
        <v>#NAME?</v>
      </c>
    </row>
    <row r="6" spans="1:29" s="48" customFormat="1" x14ac:dyDescent="0.2">
      <c r="A6" s="48" t="s">
        <v>662</v>
      </c>
      <c r="B6" s="46" t="s">
        <v>205</v>
      </c>
      <c r="C6" s="103" t="s">
        <v>204</v>
      </c>
      <c r="D6" s="44" t="e">
        <f t="shared" ca="1" si="0"/>
        <v>#NAME?</v>
      </c>
      <c r="E6" s="43">
        <f>$F$94</f>
        <v>22840</v>
      </c>
      <c r="F6" s="38" t="e">
        <f ca="1">$H$94</f>
        <v>#NAME?</v>
      </c>
      <c r="G6" s="38" t="e">
        <f ca="1">_xll.BDP($C6,"PX_LAST")</f>
        <v>#NAME?</v>
      </c>
      <c r="H6" s="760" t="e">
        <f ca="1">_xll.BDP($C6,"BEST_TARGET_PRICE")</f>
        <v>#NAME?</v>
      </c>
      <c r="I6" s="44" t="e">
        <f t="shared" ca="1" si="1"/>
        <v>#NAME?</v>
      </c>
      <c r="J6" s="38" t="e">
        <f ca="1">_xll.BDP($C6,"EQY_REC_CONS")</f>
        <v>#NAME?</v>
      </c>
      <c r="K6" s="106" t="e">
        <f ca="1">_xll.BDP($C6,"CRNCY")</f>
        <v>#NAME?</v>
      </c>
      <c r="L6" s="44" t="e">
        <f ca="1">P6/N6-1</f>
        <v>#NAME?</v>
      </c>
      <c r="M6" s="44" t="e">
        <f ca="1">G6/F6-1</f>
        <v>#NAME?</v>
      </c>
      <c r="N6" s="43" t="e">
        <f ca="1">$K$94</f>
        <v>#NAME?</v>
      </c>
      <c r="O6" s="43" t="e">
        <f ca="1">E6*F6</f>
        <v>#NAME?</v>
      </c>
      <c r="P6" s="43" t="e">
        <f ca="1">E6*G6*$I$1</f>
        <v>#NAME?</v>
      </c>
      <c r="Q6" s="43" t="e">
        <f t="shared" ca="1" si="2"/>
        <v>#NAME?</v>
      </c>
      <c r="R6" s="142" t="e">
        <f t="shared" ca="1" si="3"/>
        <v>#NAME?</v>
      </c>
      <c r="S6" s="142" t="e">
        <f t="shared" ca="1" si="4"/>
        <v>#NAME?</v>
      </c>
      <c r="T6" s="763" t="e">
        <f ca="1">_xll.BDP($C6,"EQY_DVD_YLD_EST")</f>
        <v>#NAME?</v>
      </c>
      <c r="U6" s="82" t="e">
        <f ca="1">_xll.BDP($C6,"CHG_PCT_1YR")</f>
        <v>#NAME?</v>
      </c>
      <c r="V6" s="82" t="e">
        <f ca="1">_xll.BDP($C6,"CHG_PCT_YTD")</f>
        <v>#NAME?</v>
      </c>
      <c r="W6" s="82" t="e">
        <f ca="1">_xll.BDP($C6,"CHG_PCT_6M")</f>
        <v>#NAME?</v>
      </c>
      <c r="X6" s="82" t="e">
        <f ca="1">_xll.BDP($C6,"CHG_PCT_3M")</f>
        <v>#NAME?</v>
      </c>
      <c r="Y6" s="82" t="e">
        <f ca="1">_xll.BDP($C6,"CHG_PCT_1M")</f>
        <v>#NAME?</v>
      </c>
      <c r="Z6" s="82" t="e">
        <f ca="1">_xll.BDP($C6,"CHG_PCT_5D")</f>
        <v>#NAME?</v>
      </c>
      <c r="AA6" s="82" t="e">
        <f ca="1">_xll.BDP($C6,"CHG_PCT_1D")</f>
        <v>#NAME?</v>
      </c>
      <c r="AB6" s="82" t="e">
        <f ca="1">_xll.BDP($C6,"DVD_EX_DT")</f>
        <v>#NAME?</v>
      </c>
      <c r="AC6" s="82" t="e">
        <f ca="1">_xll.BDP($C6,"BDVD_NEXT_EST_DECL_DT")</f>
        <v>#NAME?</v>
      </c>
    </row>
    <row r="7" spans="1:29" s="48" customFormat="1" x14ac:dyDescent="0.2">
      <c r="A7" s="48" t="s">
        <v>662</v>
      </c>
      <c r="B7" s="46" t="s">
        <v>96</v>
      </c>
      <c r="C7" s="103" t="s">
        <v>184</v>
      </c>
      <c r="D7" s="44" t="e">
        <f t="shared" ca="1" si="0"/>
        <v>#NAME?</v>
      </c>
      <c r="E7" s="43">
        <f>$F$85</f>
        <v>6245</v>
      </c>
      <c r="F7" s="38">
        <f>$H$85</f>
        <v>801.49879903923136</v>
      </c>
      <c r="G7" s="38" t="e">
        <f ca="1">_xll.BDP($C7,"PX_LAST")</f>
        <v>#NAME?</v>
      </c>
      <c r="H7" s="760" t="e">
        <f ca="1">_xll.BDP($C7,"BEST_TARGET_PRICE")</f>
        <v>#NAME?</v>
      </c>
      <c r="I7" s="44" t="e">
        <f t="shared" ca="1" si="1"/>
        <v>#NAME?</v>
      </c>
      <c r="J7" s="38" t="e">
        <f ca="1">_xll.BDP($C7,"EQY_REC_CONS")</f>
        <v>#NAME?</v>
      </c>
      <c r="K7" s="106" t="e">
        <f ca="1">_xll.BDP($C7,"CRNCY")</f>
        <v>#NAME?</v>
      </c>
      <c r="L7" s="44" t="e">
        <f ca="1">G7/F7-1</f>
        <v>#NAME?</v>
      </c>
      <c r="M7" s="44" t="e">
        <f ca="1">Q7/O7-1</f>
        <v>#NAME?</v>
      </c>
      <c r="N7" s="43">
        <f>E7*F7</f>
        <v>5005360</v>
      </c>
      <c r="O7" s="43" t="e">
        <f ca="1">$J$85</f>
        <v>#NAME?</v>
      </c>
      <c r="P7" s="43" t="e">
        <f ca="1">E7*G7</f>
        <v>#NAME?</v>
      </c>
      <c r="Q7" s="43" t="e">
        <f t="shared" ca="1" si="2"/>
        <v>#NAME?</v>
      </c>
      <c r="R7" s="142" t="e">
        <f t="shared" ca="1" si="3"/>
        <v>#NAME?</v>
      </c>
      <c r="S7" s="142" t="e">
        <f t="shared" ca="1" si="4"/>
        <v>#NAME?</v>
      </c>
      <c r="T7" s="763" t="e">
        <f ca="1">_xll.BDP($C7,"EQY_DVD_YLD_EST")</f>
        <v>#NAME?</v>
      </c>
      <c r="U7" s="82" t="e">
        <f ca="1">_xll.BDP($C7,"CHG_PCT_1YR")</f>
        <v>#NAME?</v>
      </c>
      <c r="V7" s="82" t="e">
        <f ca="1">_xll.BDP($C7,"CHG_PCT_YTD")</f>
        <v>#NAME?</v>
      </c>
      <c r="W7" s="82" t="e">
        <f ca="1">_xll.BDP($C7,"CHG_PCT_6M")</f>
        <v>#NAME?</v>
      </c>
      <c r="X7" s="82" t="e">
        <f ca="1">_xll.BDP($C7,"CHG_PCT_3M")</f>
        <v>#NAME?</v>
      </c>
      <c r="Y7" s="82" t="e">
        <f ca="1">_xll.BDP($C7,"CHG_PCT_1M")</f>
        <v>#NAME?</v>
      </c>
      <c r="Z7" s="82" t="e">
        <f ca="1">_xll.BDP($C7,"CHG_PCT_5D")</f>
        <v>#NAME?</v>
      </c>
      <c r="AA7" s="82" t="e">
        <f ca="1">_xll.BDP($C7,"CHG_PCT_1D")</f>
        <v>#NAME?</v>
      </c>
      <c r="AB7" s="82" t="e">
        <f ca="1">_xll.BDP($C7,"DVD_EX_DT")</f>
        <v>#NAME?</v>
      </c>
      <c r="AC7" s="82" t="e">
        <f ca="1">_xll.BDP($C7,"BDVD_NEXT_EST_DECL_DT")</f>
        <v>#NAME?</v>
      </c>
    </row>
    <row r="8" spans="1:29" s="48" customFormat="1" x14ac:dyDescent="0.2">
      <c r="A8" s="48" t="s">
        <v>662</v>
      </c>
      <c r="B8" s="46" t="s">
        <v>366</v>
      </c>
      <c r="C8" s="103" t="s">
        <v>360</v>
      </c>
      <c r="D8" s="44" t="e">
        <f t="shared" ca="1" si="0"/>
        <v>#NAME?</v>
      </c>
      <c r="E8" s="43">
        <f>$F$70</f>
        <v>4800</v>
      </c>
      <c r="F8" s="38">
        <f>$H$70</f>
        <v>17.574999999999999</v>
      </c>
      <c r="G8" s="38" t="e">
        <f ca="1">_xll.BDP($C8,"PX_LAST")</f>
        <v>#NAME?</v>
      </c>
      <c r="H8" s="760" t="e">
        <f ca="1">_xll.BDP($C8,"BEST_TARGET_PRICE")</f>
        <v>#NAME?</v>
      </c>
      <c r="I8" s="44" t="e">
        <f t="shared" ca="1" si="1"/>
        <v>#NAME?</v>
      </c>
      <c r="J8" s="38" t="e">
        <f ca="1">_xll.BDP($C8,"EQY_REC_CONS")</f>
        <v>#NAME?</v>
      </c>
      <c r="K8" s="106" t="e">
        <f ca="1">_xll.BDP($C8,"CRNCY")</f>
        <v>#NAME?</v>
      </c>
      <c r="L8" s="44" t="e">
        <f ca="1">P8/N8-1</f>
        <v>#NAME?</v>
      </c>
      <c r="M8" s="44" t="e">
        <f ca="1">G8/F8-1</f>
        <v>#NAME?</v>
      </c>
      <c r="N8" s="43" t="e">
        <f ca="1">$K$70</f>
        <v>#NAME?</v>
      </c>
      <c r="O8" s="43">
        <f>E8*F8</f>
        <v>84360</v>
      </c>
      <c r="P8" s="43" t="e">
        <f ca="1">E8*G8*$I$1</f>
        <v>#NAME?</v>
      </c>
      <c r="Q8" s="43" t="e">
        <f t="shared" ca="1" si="2"/>
        <v>#NAME?</v>
      </c>
      <c r="R8" s="142" t="e">
        <f t="shared" ca="1" si="3"/>
        <v>#NAME?</v>
      </c>
      <c r="S8" s="142" t="e">
        <f t="shared" ca="1" si="4"/>
        <v>#NAME?</v>
      </c>
      <c r="T8" s="763" t="e">
        <f ca="1">_xll.BDP($C8,"EQY_DVD_YLD_EST")</f>
        <v>#NAME?</v>
      </c>
      <c r="U8" s="82" t="e">
        <f ca="1">_xll.BDP($C8,"CHG_PCT_1YR")</f>
        <v>#NAME?</v>
      </c>
      <c r="V8" s="82" t="e">
        <f ca="1">_xll.BDP($C8,"CHG_PCT_YTD")</f>
        <v>#NAME?</v>
      </c>
      <c r="W8" s="82" t="e">
        <f ca="1">_xll.BDP($C8,"CHG_PCT_6M")</f>
        <v>#NAME?</v>
      </c>
      <c r="X8" s="82" t="e">
        <f ca="1">_xll.BDP($C8,"CHG_PCT_3M")</f>
        <v>#NAME?</v>
      </c>
      <c r="Y8" s="82" t="e">
        <f ca="1">_xll.BDP($C8,"CHG_PCT_1M")</f>
        <v>#NAME?</v>
      </c>
      <c r="Z8" s="82" t="e">
        <f ca="1">_xll.BDP($C8,"CHG_PCT_5D")</f>
        <v>#NAME?</v>
      </c>
      <c r="AA8" s="82" t="e">
        <f ca="1">_xll.BDP($C8,"CHG_PCT_1D")</f>
        <v>#NAME?</v>
      </c>
      <c r="AB8" s="82" t="e">
        <f ca="1">_xll.BDP($C8,"DVD_EX_DT")</f>
        <v>#NAME?</v>
      </c>
      <c r="AC8" s="82" t="e">
        <f ca="1">_xll.BDP($C8,"BDVD_NEXT_EST_DECL_DT")</f>
        <v>#NAME?</v>
      </c>
    </row>
    <row r="9" spans="1:29" s="48" customFormat="1" x14ac:dyDescent="0.2">
      <c r="A9" s="48" t="s">
        <v>662</v>
      </c>
      <c r="B9" s="46" t="s">
        <v>153</v>
      </c>
      <c r="C9" s="103" t="s">
        <v>54</v>
      </c>
      <c r="D9" s="44" t="e">
        <f t="shared" ca="1" si="0"/>
        <v>#NAME?</v>
      </c>
      <c r="E9" s="43">
        <f>$F$77</f>
        <v>22400</v>
      </c>
      <c r="F9" s="38">
        <f>$H$77</f>
        <v>134</v>
      </c>
      <c r="G9" s="38" t="e">
        <f ca="1">_xll.BDP($C9,"PX_LAST")</f>
        <v>#NAME?</v>
      </c>
      <c r="H9" s="760" t="e">
        <f ca="1">_xll.BDP($C9,"BEST_TARGET_PRICE")</f>
        <v>#NAME?</v>
      </c>
      <c r="I9" s="44" t="e">
        <f t="shared" ca="1" si="1"/>
        <v>#NAME?</v>
      </c>
      <c r="J9" s="38" t="e">
        <f ca="1">_xll.BDP($C9,"EQY_REC_CONS")</f>
        <v>#NAME?</v>
      </c>
      <c r="K9" s="106" t="e">
        <f ca="1">_xll.BDP($C9,"CRNCY")</f>
        <v>#NAME?</v>
      </c>
      <c r="L9" s="44" t="e">
        <f ca="1">G9/F9-1</f>
        <v>#NAME?</v>
      </c>
      <c r="M9" s="44" t="e">
        <f t="shared" ref="M9:M15" ca="1" si="5">Q9/O9-1</f>
        <v>#NAME?</v>
      </c>
      <c r="N9" s="43">
        <f>E9*F9</f>
        <v>3001600</v>
      </c>
      <c r="O9" s="43" t="e">
        <f ca="1">$J$77</f>
        <v>#NAME?</v>
      </c>
      <c r="P9" s="43" t="e">
        <f ca="1">E9*G9</f>
        <v>#NAME?</v>
      </c>
      <c r="Q9" s="43" t="e">
        <f t="shared" ca="1" si="2"/>
        <v>#NAME?</v>
      </c>
      <c r="R9" s="142" t="e">
        <f t="shared" ca="1" si="3"/>
        <v>#NAME?</v>
      </c>
      <c r="S9" s="142" t="e">
        <f t="shared" ca="1" si="4"/>
        <v>#NAME?</v>
      </c>
      <c r="T9" s="763" t="e">
        <f ca="1">_xll.BDP($C9,"EQY_DVD_YLD_EST")</f>
        <v>#NAME?</v>
      </c>
      <c r="U9" s="82" t="e">
        <f ca="1">_xll.BDP($C9,"CHG_PCT_1YR")</f>
        <v>#NAME?</v>
      </c>
      <c r="V9" s="82" t="e">
        <f ca="1">_xll.BDP($C9,"CHG_PCT_YTD")</f>
        <v>#NAME?</v>
      </c>
      <c r="W9" s="82" t="e">
        <f ca="1">_xll.BDP($C9,"CHG_PCT_6M")</f>
        <v>#NAME?</v>
      </c>
      <c r="X9" s="82" t="e">
        <f ca="1">_xll.BDP($C9,"CHG_PCT_3M")</f>
        <v>#NAME?</v>
      </c>
      <c r="Y9" s="82" t="e">
        <f ca="1">_xll.BDP($C9,"CHG_PCT_1M")</f>
        <v>#NAME?</v>
      </c>
      <c r="Z9" s="82" t="e">
        <f ca="1">_xll.BDP($C9,"CHG_PCT_5D")</f>
        <v>#NAME?</v>
      </c>
      <c r="AA9" s="82" t="e">
        <f ca="1">_xll.BDP($C9,"CHG_PCT_1D")</f>
        <v>#NAME?</v>
      </c>
      <c r="AB9" s="82" t="e">
        <f ca="1">_xll.BDP($C9,"DVD_EX_DT")</f>
        <v>#NAME?</v>
      </c>
      <c r="AC9" s="82" t="e">
        <f ca="1">_xll.BDP($C9,"BDVD_NEXT_EST_DECL_DT")</f>
        <v>#NAME?</v>
      </c>
    </row>
    <row r="10" spans="1:29" s="48" customFormat="1" x14ac:dyDescent="0.2">
      <c r="A10" s="48" t="s">
        <v>662</v>
      </c>
      <c r="B10" s="46" t="s">
        <v>208</v>
      </c>
      <c r="C10" s="103" t="s">
        <v>209</v>
      </c>
      <c r="D10" s="44" t="e">
        <f t="shared" ca="1" si="0"/>
        <v>#NAME?</v>
      </c>
      <c r="E10" s="43">
        <f>$F$66</f>
        <v>89740</v>
      </c>
      <c r="F10" s="38">
        <f>$H$66</f>
        <v>56.246155560508136</v>
      </c>
      <c r="G10" s="38" t="e">
        <f ca="1">_xll.BDP($C10,"PX_LAST")</f>
        <v>#NAME?</v>
      </c>
      <c r="H10" s="760" t="e">
        <f ca="1">_xll.BDP($C10,"BEST_TARGET_PRICE")</f>
        <v>#NAME?</v>
      </c>
      <c r="I10" s="44" t="e">
        <f t="shared" ca="1" si="1"/>
        <v>#NAME?</v>
      </c>
      <c r="J10" s="38" t="e">
        <f ca="1">_xll.BDP($C10,"EQY_REC_CONS")</f>
        <v>#NAME?</v>
      </c>
      <c r="K10" s="106" t="e">
        <f ca="1">_xll.BDP($C10,"CRNCY")</f>
        <v>#NAME?</v>
      </c>
      <c r="L10" s="44" t="e">
        <f ca="1">G10/F10-1</f>
        <v>#NAME?</v>
      </c>
      <c r="M10" s="44" t="e">
        <f t="shared" ca="1" si="5"/>
        <v>#NAME?</v>
      </c>
      <c r="N10" s="43">
        <f>E10*F10</f>
        <v>5047530</v>
      </c>
      <c r="O10" s="43" t="e">
        <f ca="1">$J$66</f>
        <v>#NAME?</v>
      </c>
      <c r="P10" s="43" t="e">
        <f ca="1">E10*G10</f>
        <v>#NAME?</v>
      </c>
      <c r="Q10" s="43" t="e">
        <f t="shared" ca="1" si="2"/>
        <v>#NAME?</v>
      </c>
      <c r="R10" s="142" t="e">
        <f t="shared" ca="1" si="3"/>
        <v>#NAME?</v>
      </c>
      <c r="S10" s="142" t="e">
        <f t="shared" ca="1" si="4"/>
        <v>#NAME?</v>
      </c>
      <c r="T10" s="763" t="e">
        <f ca="1">_xll.BDP($C10,"EQY_DVD_YLD_EST")</f>
        <v>#NAME?</v>
      </c>
      <c r="U10" s="82" t="e">
        <f ca="1">_xll.BDP($C10,"CHG_PCT_1YR")</f>
        <v>#NAME?</v>
      </c>
      <c r="V10" s="82" t="e">
        <f ca="1">_xll.BDP($C10,"CHG_PCT_YTD")</f>
        <v>#NAME?</v>
      </c>
      <c r="W10" s="82" t="e">
        <f ca="1">_xll.BDP($C10,"CHG_PCT_6M")</f>
        <v>#NAME?</v>
      </c>
      <c r="X10" s="82" t="e">
        <f ca="1">_xll.BDP($C10,"CHG_PCT_3M")</f>
        <v>#NAME?</v>
      </c>
      <c r="Y10" s="82" t="e">
        <f ca="1">_xll.BDP($C10,"CHG_PCT_1M")</f>
        <v>#NAME?</v>
      </c>
      <c r="Z10" s="82" t="e">
        <f ca="1">_xll.BDP($C10,"CHG_PCT_5D")</f>
        <v>#NAME?</v>
      </c>
      <c r="AA10" s="82" t="e">
        <f ca="1">_xll.BDP($C10,"CHG_PCT_1D")</f>
        <v>#NAME?</v>
      </c>
      <c r="AB10" s="82" t="e">
        <f ca="1">_xll.BDP($C10,"DVD_EX_DT")</f>
        <v>#NAME?</v>
      </c>
      <c r="AC10" s="82" t="e">
        <f ca="1">_xll.BDP($C10,"BDVD_NEXT_EST_DECL_DT")</f>
        <v>#NAME?</v>
      </c>
    </row>
    <row r="11" spans="1:29" s="48" customFormat="1" x14ac:dyDescent="0.2">
      <c r="A11" s="48" t="s">
        <v>662</v>
      </c>
      <c r="B11" s="46" t="s">
        <v>196</v>
      </c>
      <c r="C11" s="103" t="s">
        <v>335</v>
      </c>
      <c r="D11" s="44" t="e">
        <f t="shared" ca="1" si="0"/>
        <v>#NAME?</v>
      </c>
      <c r="E11" s="43">
        <f>$F$90</f>
        <v>18739</v>
      </c>
      <c r="F11" s="38" t="e">
        <f ca="1">$H$90</f>
        <v>#NAME?</v>
      </c>
      <c r="G11" s="38" t="e">
        <f ca="1">_xll.BDP($C11,"PX_LAST")</f>
        <v>#NAME?</v>
      </c>
      <c r="H11" s="760" t="e">
        <f ca="1">_xll.BDP($C11,"BEST_TARGET_PRICE")</f>
        <v>#NAME?</v>
      </c>
      <c r="I11" s="44" t="e">
        <f t="shared" ca="1" si="1"/>
        <v>#NAME?</v>
      </c>
      <c r="J11" s="38" t="e">
        <f ca="1">_xll.BDP($C11,"EQY_REC_CONS")</f>
        <v>#NAME?</v>
      </c>
      <c r="K11" s="106" t="e">
        <f ca="1">_xll.BDP($C11,"CRNCY")</f>
        <v>#NAME?</v>
      </c>
      <c r="L11" s="44" t="e">
        <f ca="1">G11/F11-1</f>
        <v>#NAME?</v>
      </c>
      <c r="M11" s="44" t="e">
        <f t="shared" ca="1" si="5"/>
        <v>#NAME?</v>
      </c>
      <c r="N11" s="43" t="e">
        <f ca="1">E11*F11</f>
        <v>#NAME?</v>
      </c>
      <c r="O11" s="43" t="e">
        <f ca="1">$J$90</f>
        <v>#NAME?</v>
      </c>
      <c r="P11" s="43" t="e">
        <f ca="1">E11*G11</f>
        <v>#NAME?</v>
      </c>
      <c r="Q11" s="43" t="e">
        <f t="shared" ca="1" si="2"/>
        <v>#NAME?</v>
      </c>
      <c r="R11" s="142" t="e">
        <f t="shared" ca="1" si="3"/>
        <v>#NAME?</v>
      </c>
      <c r="S11" s="142" t="e">
        <f t="shared" ca="1" si="4"/>
        <v>#NAME?</v>
      </c>
      <c r="T11" s="763" t="e">
        <f ca="1">_xll.BDP($C11,"EQY_DVD_YLD_EST")</f>
        <v>#NAME?</v>
      </c>
      <c r="U11" s="82" t="e">
        <f ca="1">_xll.BDP($C11,"CHG_PCT_1YR")</f>
        <v>#NAME?</v>
      </c>
      <c r="V11" s="82" t="e">
        <f ca="1">_xll.BDP($C11,"CHG_PCT_YTD")</f>
        <v>#NAME?</v>
      </c>
      <c r="W11" s="82" t="e">
        <f ca="1">_xll.BDP($C11,"CHG_PCT_6M")</f>
        <v>#NAME?</v>
      </c>
      <c r="X11" s="82" t="e">
        <f ca="1">_xll.BDP($C11,"CHG_PCT_3M")</f>
        <v>#NAME?</v>
      </c>
      <c r="Y11" s="82" t="e">
        <f ca="1">_xll.BDP($C11,"CHG_PCT_1M")</f>
        <v>#NAME?</v>
      </c>
      <c r="Z11" s="82" t="e">
        <f ca="1">_xll.BDP($C11,"CHG_PCT_5D")</f>
        <v>#NAME?</v>
      </c>
      <c r="AA11" s="82" t="e">
        <f ca="1">_xll.BDP($C11,"CHG_PCT_1D")</f>
        <v>#NAME?</v>
      </c>
      <c r="AB11" s="82" t="e">
        <f ca="1">_xll.BDP($C11,"DVD_EX_DT")</f>
        <v>#NAME?</v>
      </c>
      <c r="AC11" s="82" t="e">
        <f ca="1">_xll.BDP($C11,"BDVD_NEXT_EST_DECL_DT")</f>
        <v>#NAME?</v>
      </c>
    </row>
    <row r="12" spans="1:29" s="48" customFormat="1" x14ac:dyDescent="0.2">
      <c r="A12" s="48" t="s">
        <v>662</v>
      </c>
      <c r="B12" s="46" t="s">
        <v>95</v>
      </c>
      <c r="C12" s="103" t="s">
        <v>78</v>
      </c>
      <c r="D12" s="44" t="e">
        <f t="shared" ca="1" si="0"/>
        <v>#NAME?</v>
      </c>
      <c r="E12" s="43">
        <f>$F$98</f>
        <v>22700</v>
      </c>
      <c r="F12" s="38">
        <f>$H$98</f>
        <v>220.37885462555067</v>
      </c>
      <c r="G12" s="38" t="e">
        <f ca="1">_xll.BDP($C12,"PX_LAST")</f>
        <v>#NAME?</v>
      </c>
      <c r="H12" s="760" t="e">
        <f ca="1">_xll.BDP($C12,"BEST_TARGET_PRICE")</f>
        <v>#NAME?</v>
      </c>
      <c r="I12" s="44" t="e">
        <f t="shared" ca="1" si="1"/>
        <v>#NAME?</v>
      </c>
      <c r="J12" s="38" t="e">
        <f ca="1">_xll.BDP($C12,"EQY_REC_CONS")</f>
        <v>#NAME?</v>
      </c>
      <c r="K12" s="106" t="e">
        <f ca="1">_xll.BDP($C12,"CRNCY")</f>
        <v>#NAME?</v>
      </c>
      <c r="L12" s="44" t="e">
        <f ca="1">G12/F12-1</f>
        <v>#NAME?</v>
      </c>
      <c r="M12" s="44" t="e">
        <f t="shared" ca="1" si="5"/>
        <v>#NAME?</v>
      </c>
      <c r="N12" s="43">
        <f>E12*F12</f>
        <v>5002600</v>
      </c>
      <c r="O12" s="43" t="e">
        <f ca="1">$J$98</f>
        <v>#NAME?</v>
      </c>
      <c r="P12" s="43" t="e">
        <f ca="1">E12*G12</f>
        <v>#NAME?</v>
      </c>
      <c r="Q12" s="43" t="e">
        <f t="shared" ca="1" si="2"/>
        <v>#NAME?</v>
      </c>
      <c r="R12" s="142" t="e">
        <f t="shared" ca="1" si="3"/>
        <v>#NAME?</v>
      </c>
      <c r="S12" s="142" t="e">
        <f t="shared" ca="1" si="4"/>
        <v>#NAME?</v>
      </c>
      <c r="T12" s="763" t="e">
        <f ca="1">_xll.BDP($C12,"EQY_DVD_YLD_EST")</f>
        <v>#NAME?</v>
      </c>
      <c r="U12" s="82" t="e">
        <f ca="1">_xll.BDP($C12,"CHG_PCT_1YR")</f>
        <v>#NAME?</v>
      </c>
      <c r="V12" s="82" t="e">
        <f ca="1">_xll.BDP($C12,"CHG_PCT_YTD")</f>
        <v>#NAME?</v>
      </c>
      <c r="W12" s="82" t="e">
        <f ca="1">_xll.BDP($C12,"CHG_PCT_6M")</f>
        <v>#NAME?</v>
      </c>
      <c r="X12" s="82" t="e">
        <f ca="1">_xll.BDP($C12,"CHG_PCT_3M")</f>
        <v>#NAME?</v>
      </c>
      <c r="Y12" s="82" t="e">
        <f ca="1">_xll.BDP($C12,"CHG_PCT_1M")</f>
        <v>#NAME?</v>
      </c>
      <c r="Z12" s="82" t="e">
        <f ca="1">_xll.BDP($C12,"CHG_PCT_5D")</f>
        <v>#NAME?</v>
      </c>
      <c r="AA12" s="82" t="e">
        <f ca="1">_xll.BDP($C12,"CHG_PCT_1D")</f>
        <v>#NAME?</v>
      </c>
      <c r="AB12" s="82" t="e">
        <f ca="1">_xll.BDP($C12,"DVD_EX_DT")</f>
        <v>#NAME?</v>
      </c>
      <c r="AC12" s="82" t="e">
        <f ca="1">_xll.BDP($C12,"BDVD_NEXT_EST_DECL_DT")</f>
        <v>#NAME?</v>
      </c>
    </row>
    <row r="13" spans="1:29" s="48" customFormat="1" x14ac:dyDescent="0.2">
      <c r="A13" s="48" t="s">
        <v>662</v>
      </c>
      <c r="B13" s="46" t="s">
        <v>399</v>
      </c>
      <c r="C13" s="103" t="s">
        <v>400</v>
      </c>
      <c r="D13" s="44" t="e">
        <f t="shared" ca="1" si="0"/>
        <v>#NAME?</v>
      </c>
      <c r="E13" s="43">
        <f>$F$107</f>
        <v>106008</v>
      </c>
      <c r="F13" s="38">
        <f>$H$107</f>
        <v>0.49822598294468345</v>
      </c>
      <c r="G13" s="38" t="e">
        <f ca="1">_xll.BDP($C13,"PX_LAST")/100</f>
        <v>#NAME?</v>
      </c>
      <c r="H13" s="760" t="e">
        <f ca="1">_xll.BDP($C13,"BEST_TARGET_PRICE")/100</f>
        <v>#NAME?</v>
      </c>
      <c r="I13" s="44" t="e">
        <f t="shared" ca="1" si="1"/>
        <v>#NAME?</v>
      </c>
      <c r="J13" s="38" t="e">
        <f ca="1">_xll.BDP($C13,"EQY_REC_CONS")</f>
        <v>#NAME?</v>
      </c>
      <c r="K13" s="106" t="e">
        <f ca="1">_xll.BDP($C13,"CRNCY")</f>
        <v>#NAME?</v>
      </c>
      <c r="L13" s="44" t="e">
        <f ca="1">P13/N13-1</f>
        <v>#NAME?</v>
      </c>
      <c r="M13" s="44" t="e">
        <f t="shared" ca="1" si="5"/>
        <v>#NAME?</v>
      </c>
      <c r="N13" s="43" t="e">
        <f ca="1">$K$107</f>
        <v>#NAME?</v>
      </c>
      <c r="O13" s="43" t="e">
        <f ca="1">$J$107</f>
        <v>#NAME?</v>
      </c>
      <c r="P13" s="43" t="e">
        <f ca="1">E13*G13*$I$1*$K$1</f>
        <v>#NAME?</v>
      </c>
      <c r="Q13" s="43" t="e">
        <f t="shared" ca="1" si="2"/>
        <v>#NAME?</v>
      </c>
      <c r="R13" s="142" t="e">
        <f t="shared" ca="1" si="3"/>
        <v>#NAME?</v>
      </c>
      <c r="S13" s="142" t="e">
        <f t="shared" ca="1" si="4"/>
        <v>#NAME?</v>
      </c>
      <c r="T13" s="763" t="e">
        <f ca="1">_xll.BDP($C13,"EQY_DVD_YLD_EST")</f>
        <v>#NAME?</v>
      </c>
      <c r="U13" s="82" t="e">
        <f ca="1">_xll.BDP($C13,"CHG_PCT_1YR")</f>
        <v>#NAME?</v>
      </c>
      <c r="V13" s="82" t="e">
        <f ca="1">_xll.BDP($C13,"CHG_PCT_YTD")</f>
        <v>#NAME?</v>
      </c>
      <c r="W13" s="82" t="e">
        <f ca="1">_xll.BDP($C13,"CHG_PCT_6M")</f>
        <v>#NAME?</v>
      </c>
      <c r="X13" s="82" t="e">
        <f ca="1">_xll.BDP($C13,"CHG_PCT_3M")</f>
        <v>#NAME?</v>
      </c>
      <c r="Y13" s="82" t="e">
        <f ca="1">_xll.BDP($C13,"CHG_PCT_1M")</f>
        <v>#NAME?</v>
      </c>
      <c r="Z13" s="82" t="e">
        <f ca="1">_xll.BDP($C13,"CHG_PCT_5D")</f>
        <v>#NAME?</v>
      </c>
      <c r="AA13" s="82" t="e">
        <f ca="1">_xll.BDP($C13,"CHG_PCT_1D")</f>
        <v>#NAME?</v>
      </c>
      <c r="AB13" s="82" t="e">
        <f ca="1">_xll.BDP($C13,"DVD_EX_DT")</f>
        <v>#NAME?</v>
      </c>
      <c r="AC13" s="82" t="e">
        <f ca="1">_xll.BDP($C13,"BDVD_NEXT_EST_DECL_DT")</f>
        <v>#NAME?</v>
      </c>
    </row>
    <row r="14" spans="1:29" s="48" customFormat="1" x14ac:dyDescent="0.2">
      <c r="A14" s="48" t="s">
        <v>662</v>
      </c>
      <c r="B14" s="46" t="s">
        <v>333</v>
      </c>
      <c r="C14" s="103" t="s">
        <v>332</v>
      </c>
      <c r="D14" s="44" t="e">
        <f t="shared" ca="1" si="0"/>
        <v>#NAME?</v>
      </c>
      <c r="E14" s="43">
        <f>$F$50</f>
        <v>13000</v>
      </c>
      <c r="F14" s="38">
        <f>$H$50</f>
        <v>219.11150000000001</v>
      </c>
      <c r="G14" s="38" t="e">
        <f ca="1">_xll.BDP($C14,"PX_LAST")</f>
        <v>#NAME?</v>
      </c>
      <c r="H14" s="760" t="e">
        <f ca="1">_xll.BDP($C14,"BEST_TARGET_PRICE")</f>
        <v>#NAME?</v>
      </c>
      <c r="I14" s="44" t="e">
        <f t="shared" ca="1" si="1"/>
        <v>#NAME?</v>
      </c>
      <c r="J14" s="38" t="e">
        <f ca="1">_xll.BDP($C14,"EQY_REC_CONS")</f>
        <v>#NAME?</v>
      </c>
      <c r="K14" s="106" t="e">
        <f ca="1">_xll.BDP($C14,"CRNCY")</f>
        <v>#NAME?</v>
      </c>
      <c r="L14" s="44" t="e">
        <f ca="1">G14/F14-1</f>
        <v>#NAME?</v>
      </c>
      <c r="M14" s="44" t="e">
        <f t="shared" ca="1" si="5"/>
        <v>#NAME?</v>
      </c>
      <c r="N14" s="43">
        <f>E14*F14</f>
        <v>2848449.5</v>
      </c>
      <c r="O14" s="43" t="e">
        <f ca="1">$J$50</f>
        <v>#NAME?</v>
      </c>
      <c r="P14" s="43" t="e">
        <f ca="1">E14*G14</f>
        <v>#NAME?</v>
      </c>
      <c r="Q14" s="43" t="e">
        <f t="shared" ca="1" si="2"/>
        <v>#NAME?</v>
      </c>
      <c r="R14" s="142" t="e">
        <f t="shared" ca="1" si="3"/>
        <v>#NAME?</v>
      </c>
      <c r="S14" s="142" t="e">
        <f t="shared" ca="1" si="4"/>
        <v>#NAME?</v>
      </c>
      <c r="T14" s="763" t="e">
        <f ca="1">_xll.BDP($C14,"EQY_DVD_YLD_EST")</f>
        <v>#NAME?</v>
      </c>
      <c r="U14" s="82" t="e">
        <f ca="1">_xll.BDP($C14,"CHG_PCT_1YR")</f>
        <v>#NAME?</v>
      </c>
      <c r="V14" s="82" t="e">
        <f ca="1">_xll.BDP($C14,"CHG_PCT_YTD")</f>
        <v>#NAME?</v>
      </c>
      <c r="W14" s="82" t="e">
        <f ca="1">_xll.BDP($C14,"CHG_PCT_6M")</f>
        <v>#NAME?</v>
      </c>
      <c r="X14" s="82" t="e">
        <f ca="1">_xll.BDP($C14,"CHG_PCT_3M")</f>
        <v>#NAME?</v>
      </c>
      <c r="Y14" s="82" t="e">
        <f ca="1">_xll.BDP($C14,"CHG_PCT_1M")</f>
        <v>#NAME?</v>
      </c>
      <c r="Z14" s="82" t="e">
        <f ca="1">_xll.BDP($C14,"CHG_PCT_5D")</f>
        <v>#NAME?</v>
      </c>
      <c r="AA14" s="82" t="e">
        <f ca="1">_xll.BDP($C14,"CHG_PCT_1D")</f>
        <v>#NAME?</v>
      </c>
      <c r="AB14" s="82" t="e">
        <f ca="1">_xll.BDP($C14,"DVD_EX_DT")</f>
        <v>#NAME?</v>
      </c>
      <c r="AC14" s="82" t="e">
        <f ca="1">_xll.BDP($C14,"BDVD_NEXT_EST_DECL_DT")</f>
        <v>#NAME?</v>
      </c>
    </row>
    <row r="15" spans="1:29" s="48" customFormat="1" x14ac:dyDescent="0.2">
      <c r="A15" s="48" t="s">
        <v>662</v>
      </c>
      <c r="B15" s="46" t="s">
        <v>438</v>
      </c>
      <c r="C15" s="103" t="s">
        <v>202</v>
      </c>
      <c r="D15" s="44" t="e">
        <f t="shared" ca="1" si="0"/>
        <v>#NAME?</v>
      </c>
      <c r="E15" s="43">
        <f>$F$59</f>
        <v>2794</v>
      </c>
      <c r="F15" s="38">
        <f>$H$59</f>
        <v>1801.9624194999999</v>
      </c>
      <c r="G15" s="38" t="e">
        <f ca="1">_xll.BDP($C15,"PX_LAST")</f>
        <v>#NAME?</v>
      </c>
      <c r="H15" s="760" t="e">
        <f ca="1">_xll.BDP($C15,"BEST_TARGET_PRICE")</f>
        <v>#NAME?</v>
      </c>
      <c r="I15" s="44" t="e">
        <f t="shared" ca="1" si="1"/>
        <v>#NAME?</v>
      </c>
      <c r="J15" s="38" t="e">
        <f ca="1">_xll.BDP($C15,"EQY_REC_CONS")</f>
        <v>#NAME?</v>
      </c>
      <c r="K15" s="106" t="e">
        <f ca="1">_xll.BDP($C15,"CRNCY")</f>
        <v>#NAME?</v>
      </c>
      <c r="L15" s="44" t="e">
        <f ca="1">G15/F15-1</f>
        <v>#NAME?</v>
      </c>
      <c r="M15" s="44" t="e">
        <f t="shared" ca="1" si="5"/>
        <v>#NAME?</v>
      </c>
      <c r="N15" s="43">
        <f>E15*F15</f>
        <v>5034683.0000829995</v>
      </c>
      <c r="O15" s="43" t="e">
        <f ca="1">$J$59</f>
        <v>#NAME?</v>
      </c>
      <c r="P15" s="43" t="e">
        <f ca="1">E15*G15</f>
        <v>#NAME?</v>
      </c>
      <c r="Q15" s="43" t="e">
        <f t="shared" ca="1" si="2"/>
        <v>#NAME?</v>
      </c>
      <c r="R15" s="142" t="e">
        <f t="shared" ca="1" si="3"/>
        <v>#NAME?</v>
      </c>
      <c r="S15" s="142" t="e">
        <f t="shared" ca="1" si="4"/>
        <v>#NAME?</v>
      </c>
      <c r="T15" s="763" t="e">
        <f ca="1">_xll.BDP($C15,"EQY_DVD_YLD_EST")</f>
        <v>#NAME?</v>
      </c>
      <c r="U15" s="82" t="e">
        <f ca="1">_xll.BDP($C15,"CHG_PCT_1YR")</f>
        <v>#NAME?</v>
      </c>
      <c r="V15" s="82" t="e">
        <f ca="1">_xll.BDP($C15,"CHG_PCT_YTD")</f>
        <v>#NAME?</v>
      </c>
      <c r="W15" s="82" t="e">
        <f ca="1">_xll.BDP($C15,"CHG_PCT_6M")</f>
        <v>#NAME?</v>
      </c>
      <c r="X15" s="82" t="e">
        <f ca="1">_xll.BDP($C15,"CHG_PCT_3M")</f>
        <v>#NAME?</v>
      </c>
      <c r="Y15" s="82" t="e">
        <f ca="1">_xll.BDP($C15,"CHG_PCT_1M")</f>
        <v>#NAME?</v>
      </c>
      <c r="Z15" s="82" t="e">
        <f ca="1">_xll.BDP($C15,"CHG_PCT_5D")</f>
        <v>#NAME?</v>
      </c>
      <c r="AA15" s="82" t="e">
        <f ca="1">_xll.BDP($C15,"CHG_PCT_1D")</f>
        <v>#NAME?</v>
      </c>
      <c r="AB15" s="82" t="e">
        <f ca="1">_xll.BDP($C15,"DVD_EX_DT")</f>
        <v>#NAME?</v>
      </c>
      <c r="AC15" s="82" t="e">
        <f ca="1">_xll.BDP($C15,"BDVD_NEXT_EST_DECL_DT")</f>
        <v>#NAME?</v>
      </c>
    </row>
    <row r="16" spans="1:29" s="578" customFormat="1" x14ac:dyDescent="0.2">
      <c r="A16" s="578" t="s">
        <v>662</v>
      </c>
      <c r="B16" s="441" t="e">
        <f ca="1">_xll.BDP(C16,"SECURITY_NAME")</f>
        <v>#NAME?</v>
      </c>
      <c r="C16" s="440" t="s">
        <v>697</v>
      </c>
      <c r="D16" s="442" t="e">
        <f t="shared" ca="1" si="0"/>
        <v>#NAME?</v>
      </c>
      <c r="E16" s="443">
        <f>$F$114</f>
        <v>200000</v>
      </c>
      <c r="F16" s="501">
        <f>$H$114</f>
        <v>90.89</v>
      </c>
      <c r="G16" s="444" t="e">
        <f ca="1">_xll.BDP(C16,"PX LAST")</f>
        <v>#NAME?</v>
      </c>
      <c r="H16" s="761"/>
      <c r="I16" s="442"/>
      <c r="J16" s="444"/>
      <c r="K16" s="461" t="e">
        <f ca="1">_xll.BDP($C16,"CRNCY")</f>
        <v>#NAME?</v>
      </c>
      <c r="L16" s="442" t="e">
        <f ca="1">P16/N16-1</f>
        <v>#NAME?</v>
      </c>
      <c r="M16" s="442" t="e">
        <f ca="1">G16/F16-1</f>
        <v>#NAME?</v>
      </c>
      <c r="N16" s="762" t="e">
        <f ca="1">$K$114</f>
        <v>#NAME?</v>
      </c>
      <c r="O16" s="443">
        <f>E16*F16/100</f>
        <v>181780</v>
      </c>
      <c r="P16" s="443" t="e">
        <f ca="1">E16*G16/100*$I$1</f>
        <v>#NAME?</v>
      </c>
      <c r="Q16" s="462" t="e">
        <f t="shared" ref="Q16:Q18" ca="1" si="6">P16/$I$1</f>
        <v>#NAME?</v>
      </c>
      <c r="R16" s="446" t="e">
        <f t="shared" ref="R16:R17" ca="1" si="7">P16-N16</f>
        <v>#NAME?</v>
      </c>
      <c r="S16" s="446" t="e">
        <f ca="1">Q16-O16</f>
        <v>#NAME?</v>
      </c>
      <c r="T16" s="553" t="e">
        <f ca="1">_xll.BDP(C16,"YLD_YTM_BID")</f>
        <v>#NAME?</v>
      </c>
      <c r="U16" s="448" t="e">
        <f ca="1">_xll.BDP($C16,"CHG_PCT_1YR")</f>
        <v>#NAME?</v>
      </c>
      <c r="V16" s="448" t="e">
        <f ca="1">_xll.BDP($C16,"CHG_PCT_YTD")</f>
        <v>#NAME?</v>
      </c>
      <c r="W16" s="448" t="e">
        <f ca="1">_xll.BDP($C16,"CHG_PCT_6M")</f>
        <v>#NAME?</v>
      </c>
      <c r="X16" s="448" t="e">
        <f ca="1">_xll.BDP($C16,"CHG_PCT_3M")</f>
        <v>#NAME?</v>
      </c>
      <c r="Y16" s="448" t="e">
        <f ca="1">_xll.BDP($C16,"CHG_PCT_1M")</f>
        <v>#NAME?</v>
      </c>
      <c r="Z16" s="448" t="e">
        <f ca="1">_xll.BDP($C16,"CHG_PCT_5D")</f>
        <v>#NAME?</v>
      </c>
      <c r="AA16" s="448" t="e">
        <f ca="1">_xll.BDP($C16,"CHG_PCT_1D")</f>
        <v>#NAME?</v>
      </c>
      <c r="AB16" s="460"/>
      <c r="AC16" s="448"/>
    </row>
    <row r="17" spans="1:29" s="578" customFormat="1" x14ac:dyDescent="0.2">
      <c r="A17" s="578" t="s">
        <v>662</v>
      </c>
      <c r="B17" s="441" t="e">
        <f ca="1">_xll.BDP(C17,"SECURITY_NAME")</f>
        <v>#NAME?</v>
      </c>
      <c r="C17" s="440" t="s">
        <v>321</v>
      </c>
      <c r="D17" s="442" t="e">
        <f t="shared" ca="1" si="0"/>
        <v>#NAME?</v>
      </c>
      <c r="E17" s="443">
        <f>$F$53</f>
        <v>200000</v>
      </c>
      <c r="F17" s="501">
        <f>$H$53</f>
        <v>88.2</v>
      </c>
      <c r="G17" s="444" t="e">
        <f ca="1">_xll.BDP(C17,"PX LAST")</f>
        <v>#NAME?</v>
      </c>
      <c r="H17" s="761"/>
      <c r="I17" s="442"/>
      <c r="J17" s="444"/>
      <c r="K17" s="461" t="e">
        <f ca="1">_xll.BDP($C17,"CRNCY")</f>
        <v>#NAME?</v>
      </c>
      <c r="L17" s="442" t="e">
        <f ca="1">P17/N17-1</f>
        <v>#NAME?</v>
      </c>
      <c r="M17" s="442" t="e">
        <f ca="1">G17/F17-1</f>
        <v>#NAME?</v>
      </c>
      <c r="N17" s="762" t="e">
        <f ca="1">$K$53</f>
        <v>#NAME?</v>
      </c>
      <c r="O17" s="443">
        <f>E17*F17/100</f>
        <v>176400</v>
      </c>
      <c r="P17" s="443" t="e">
        <f ca="1">E17*G17/100*$I$1</f>
        <v>#NAME?</v>
      </c>
      <c r="Q17" s="462" t="e">
        <f t="shared" ca="1" si="6"/>
        <v>#NAME?</v>
      </c>
      <c r="R17" s="446" t="e">
        <f t="shared" ca="1" si="7"/>
        <v>#NAME?</v>
      </c>
      <c r="S17" s="446" t="e">
        <f t="shared" ref="S17" ca="1" si="8">Q17-O17</f>
        <v>#NAME?</v>
      </c>
      <c r="T17" s="553" t="e">
        <f ca="1">_xll.BDP(C17,"YLD_YTM_BID")</f>
        <v>#NAME?</v>
      </c>
      <c r="U17" s="448" t="e">
        <f ca="1">_xll.BDP($C17,"CHG_PCT_1YR")</f>
        <v>#NAME?</v>
      </c>
      <c r="V17" s="448" t="e">
        <f ca="1">_xll.BDP($C17,"CHG_PCT_YTD")</f>
        <v>#NAME?</v>
      </c>
      <c r="W17" s="448" t="e">
        <f ca="1">_xll.BDP($C17,"CHG_PCT_6M")</f>
        <v>#NAME?</v>
      </c>
      <c r="X17" s="448" t="e">
        <f ca="1">_xll.BDP($C17,"CHG_PCT_3M")</f>
        <v>#NAME?</v>
      </c>
      <c r="Y17" s="448" t="e">
        <f ca="1">_xll.BDP($C17,"CHG_PCT_1M")</f>
        <v>#NAME?</v>
      </c>
      <c r="Z17" s="448" t="e">
        <f ca="1">_xll.BDP($C17,"CHG_PCT_5D")</f>
        <v>#NAME?</v>
      </c>
      <c r="AA17" s="448" t="e">
        <f ca="1">_xll.BDP($C17,"CHG_PCT_1D")</f>
        <v>#NAME?</v>
      </c>
      <c r="AB17" s="460"/>
      <c r="AC17" s="448"/>
    </row>
    <row r="18" spans="1:29" x14ac:dyDescent="0.2">
      <c r="A18" s="33"/>
      <c r="B18" s="68" t="s">
        <v>106</v>
      </c>
      <c r="C18" s="68" t="s">
        <v>106</v>
      </c>
      <c r="D18" s="101" t="e">
        <f t="shared" ca="1" si="0"/>
        <v>#NAME?</v>
      </c>
      <c r="E18" s="101"/>
      <c r="F18" s="101"/>
      <c r="G18" s="66"/>
      <c r="H18" s="66"/>
      <c r="I18" s="66"/>
      <c r="J18" s="66"/>
      <c r="K18" s="177"/>
      <c r="L18" s="179"/>
      <c r="M18" s="179"/>
      <c r="N18" s="64" t="e">
        <f ca="1">100000000-SUM(N3:N17)</f>
        <v>#NAME?</v>
      </c>
      <c r="O18" s="321" t="e">
        <f ca="1">N18/$I$1</f>
        <v>#NAME?</v>
      </c>
      <c r="P18" s="64" t="e">
        <f ca="1">(256739+83292)*$I$1+3018711+100000</f>
        <v>#NAME?</v>
      </c>
      <c r="Q18" s="64" t="e">
        <f t="shared" ca="1" si="6"/>
        <v>#NAME?</v>
      </c>
      <c r="R18" s="62"/>
      <c r="S18" s="62"/>
      <c r="T18" s="62"/>
      <c r="U18" s="177"/>
      <c r="V18" s="177"/>
      <c r="W18" s="177"/>
      <c r="X18" s="177"/>
      <c r="Y18" s="177"/>
      <c r="Z18" s="177"/>
      <c r="AA18" s="177"/>
      <c r="AB18" s="177"/>
      <c r="AC18" s="177"/>
    </row>
    <row r="19" spans="1:29" ht="13.5" customHeight="1" thickBot="1" x14ac:dyDescent="0.25">
      <c r="B19" s="175"/>
      <c r="C19" s="175"/>
      <c r="D19" s="59" t="e">
        <f ca="1">SUM(D3:D18)</f>
        <v>#NAME?</v>
      </c>
      <c r="E19" s="176"/>
      <c r="F19" s="176"/>
      <c r="G19" s="175"/>
      <c r="H19" s="175"/>
      <c r="I19" s="570" t="e">
        <f ca="1">SUMPRODUCT(D3:D15,I3:I15)</f>
        <v>#NAME?</v>
      </c>
      <c r="J19" s="175"/>
      <c r="K19" s="55"/>
      <c r="L19" s="570" t="e">
        <f ca="1">SUMPRODUCT($D$3:$D$17,L3:L17)</f>
        <v>#NAME?</v>
      </c>
      <c r="M19" s="570" t="e">
        <f ca="1">SUMPRODUCT($D$3:$D$17,M3:M17)</f>
        <v>#NAME?</v>
      </c>
      <c r="N19" s="111" t="e">
        <f ca="1">SUM(N3:N18)</f>
        <v>#NAME?</v>
      </c>
      <c r="O19" s="184" t="e">
        <f ca="1">SUM(O3:O18)</f>
        <v>#NAME?</v>
      </c>
      <c r="P19" s="111" t="e">
        <f ca="1">SUM(P3:P18)</f>
        <v>#NAME?</v>
      </c>
      <c r="Q19" s="137" t="e">
        <f ca="1">SUM(Q3:Q18)</f>
        <v>#NAME?</v>
      </c>
      <c r="R19" s="111" t="e">
        <f ca="1">SUM(R3:R17)</f>
        <v>#NAME?</v>
      </c>
      <c r="S19" s="137" t="e">
        <f ca="1">SUM(S3:S17)</f>
        <v>#NAME?</v>
      </c>
      <c r="T19" s="764" t="e">
        <f ca="1">SUMPRODUCT($D$3:$D$17,T3:T17)</f>
        <v>#NAME?</v>
      </c>
      <c r="U19" s="55"/>
      <c r="V19" s="55"/>
      <c r="W19" s="55"/>
      <c r="X19" s="55"/>
      <c r="Y19" s="55"/>
      <c r="Z19" s="55"/>
      <c r="AA19" s="55"/>
      <c r="AB19" s="55"/>
      <c r="AC19" s="55"/>
    </row>
    <row r="20" spans="1:29" ht="13.5" customHeight="1" x14ac:dyDescent="0.2">
      <c r="B20" s="35"/>
      <c r="C20" s="35"/>
      <c r="D20" s="54"/>
      <c r="E20" s="46"/>
      <c r="F20" s="46"/>
      <c r="G20" s="35"/>
      <c r="I20" s="33" t="s">
        <v>838</v>
      </c>
      <c r="K20" s="35"/>
      <c r="L20" s="40"/>
      <c r="M20" s="40"/>
      <c r="N20" s="40"/>
      <c r="O20" s="130"/>
      <c r="P20" s="52"/>
      <c r="Q20" s="53"/>
      <c r="R20" s="143" t="e">
        <f ca="1">P19/N19-1</f>
        <v>#NAME?</v>
      </c>
      <c r="S20" s="206" t="e">
        <f ca="1">Q19/O19-1</f>
        <v>#NAME?</v>
      </c>
    </row>
    <row r="21" spans="1:29" x14ac:dyDescent="0.2">
      <c r="E21" s="155"/>
      <c r="K21" s="30"/>
      <c r="L21" s="148"/>
      <c r="M21" s="35"/>
      <c r="N21" s="34"/>
      <c r="O21" s="34"/>
      <c r="P21" s="30"/>
    </row>
    <row r="22" spans="1:29" x14ac:dyDescent="0.2">
      <c r="B22" s="32" t="s">
        <v>276</v>
      </c>
      <c r="E22" s="155"/>
      <c r="M22" s="35"/>
      <c r="N22" s="34"/>
      <c r="O22" s="34"/>
      <c r="P22" s="30"/>
    </row>
    <row r="23" spans="1:29" x14ac:dyDescent="0.2">
      <c r="B23" s="379">
        <v>2015</v>
      </c>
      <c r="M23" s="35"/>
      <c r="N23" s="34"/>
      <c r="O23" s="34"/>
      <c r="P23" s="30"/>
    </row>
    <row r="24" spans="1:29" ht="40.5" customHeight="1" x14ac:dyDescent="0.2">
      <c r="B24" s="51" t="s">
        <v>105</v>
      </c>
      <c r="C24" s="50" t="s">
        <v>104</v>
      </c>
      <c r="D24" s="50" t="s">
        <v>174</v>
      </c>
      <c r="E24" s="50" t="s">
        <v>173</v>
      </c>
      <c r="F24" s="50" t="s">
        <v>175</v>
      </c>
      <c r="G24" s="50" t="s">
        <v>172</v>
      </c>
      <c r="H24" s="50" t="s">
        <v>103</v>
      </c>
      <c r="I24" s="50" t="s">
        <v>102</v>
      </c>
      <c r="J24" s="50" t="s">
        <v>101</v>
      </c>
      <c r="K24" s="50" t="s">
        <v>100</v>
      </c>
      <c r="L24" s="50" t="s">
        <v>99</v>
      </c>
      <c r="M24" s="50" t="s">
        <v>98</v>
      </c>
      <c r="N24" s="50" t="s">
        <v>280</v>
      </c>
      <c r="O24" s="50" t="s">
        <v>97</v>
      </c>
      <c r="P24" s="50" t="s">
        <v>279</v>
      </c>
      <c r="Q24" s="50" t="s">
        <v>277</v>
      </c>
      <c r="R24" s="50" t="s">
        <v>278</v>
      </c>
    </row>
    <row r="25" spans="1:29" x14ac:dyDescent="0.2">
      <c r="B25" s="103" t="s">
        <v>191</v>
      </c>
      <c r="C25" s="103" t="s">
        <v>49</v>
      </c>
      <c r="D25" s="73" t="s">
        <v>51</v>
      </c>
      <c r="E25" s="43" t="e">
        <f ca="1">F25*_xll.BDP(C25,"PX_LAST")</f>
        <v>#NAME?</v>
      </c>
      <c r="F25" s="43">
        <v>8200</v>
      </c>
      <c r="G25" s="43">
        <v>8200</v>
      </c>
      <c r="H25" s="47">
        <f>G25/F25</f>
        <v>1</v>
      </c>
      <c r="I25" s="43">
        <f>G25*K25</f>
        <v>76096</v>
      </c>
      <c r="J25" s="45">
        <f>G25*L25</f>
        <v>96350</v>
      </c>
      <c r="K25" s="38">
        <v>9.2799999999999994</v>
      </c>
      <c r="L25" s="38">
        <v>11.75</v>
      </c>
      <c r="M25" s="44">
        <f>L25/K25-1</f>
        <v>0.2661637931034484</v>
      </c>
      <c r="N25" s="43">
        <f>J25-I25</f>
        <v>20254</v>
      </c>
      <c r="O25" s="106" t="e">
        <f ca="1">_xll.BDP($C25,"CRNCY")</f>
        <v>#NAME?</v>
      </c>
      <c r="P25" s="43">
        <f>N25</f>
        <v>20254</v>
      </c>
      <c r="Q25" s="14">
        <v>42335</v>
      </c>
      <c r="R25" s="22" t="e">
        <f ca="1">_xll.BDH("GBP curncy","PX_LAST",$Q25)</f>
        <v>#NAME?</v>
      </c>
    </row>
    <row r="26" spans="1:29" x14ac:dyDescent="0.2">
      <c r="B26" s="41"/>
      <c r="C26" s="41"/>
      <c r="D26" s="42"/>
      <c r="E26" s="48"/>
      <c r="F26" s="48"/>
      <c r="G26" s="41"/>
      <c r="H26" s="41"/>
      <c r="I26" s="41"/>
      <c r="J26" s="41"/>
      <c r="K26" s="41"/>
      <c r="L26" s="103"/>
      <c r="M26" s="33"/>
      <c r="N26" s="107" t="s">
        <v>94</v>
      </c>
      <c r="O26" s="356" t="s">
        <v>75</v>
      </c>
      <c r="P26" s="355">
        <f>SUM(P25:P25)</f>
        <v>20254</v>
      </c>
      <c r="Q26" s="33"/>
      <c r="R26" s="33"/>
    </row>
    <row r="27" spans="1:29" x14ac:dyDescent="0.2">
      <c r="B27" s="32" t="s">
        <v>276</v>
      </c>
      <c r="E27" s="155"/>
      <c r="M27" s="35"/>
      <c r="N27" s="34"/>
      <c r="O27" s="34"/>
      <c r="P27" s="30"/>
    </row>
    <row r="28" spans="1:29" x14ac:dyDescent="0.2">
      <c r="B28" s="379">
        <v>2016</v>
      </c>
      <c r="M28" s="35"/>
      <c r="N28" s="34"/>
      <c r="O28" s="34"/>
      <c r="P28" s="30"/>
    </row>
    <row r="29" spans="1:29" ht="51" x14ac:dyDescent="0.2">
      <c r="B29" s="51" t="s">
        <v>105</v>
      </c>
      <c r="C29" s="50" t="s">
        <v>104</v>
      </c>
      <c r="D29" s="50" t="s">
        <v>174</v>
      </c>
      <c r="E29" s="50" t="s">
        <v>173</v>
      </c>
      <c r="F29" s="50" t="s">
        <v>175</v>
      </c>
      <c r="G29" s="50" t="s">
        <v>172</v>
      </c>
      <c r="H29" s="50" t="s">
        <v>103</v>
      </c>
      <c r="I29" s="50" t="s">
        <v>102</v>
      </c>
      <c r="J29" s="50" t="s">
        <v>101</v>
      </c>
      <c r="K29" s="50" t="s">
        <v>100</v>
      </c>
      <c r="L29" s="50" t="s">
        <v>99</v>
      </c>
      <c r="M29" s="50" t="s">
        <v>98</v>
      </c>
      <c r="N29" s="50" t="s">
        <v>280</v>
      </c>
      <c r="O29" s="50" t="s">
        <v>97</v>
      </c>
      <c r="P29" s="50" t="s">
        <v>279</v>
      </c>
      <c r="Q29" s="50" t="s">
        <v>277</v>
      </c>
      <c r="R29" s="50" t="s">
        <v>278</v>
      </c>
    </row>
    <row r="30" spans="1:29" x14ac:dyDescent="0.2">
      <c r="B30" s="103" t="s">
        <v>145</v>
      </c>
      <c r="C30" s="103" t="s">
        <v>21</v>
      </c>
      <c r="D30" s="73" t="s">
        <v>51</v>
      </c>
      <c r="E30" s="43" t="e">
        <f ca="1">F30*_xll.BDP(C30,"PX_LAST")</f>
        <v>#NAME?</v>
      </c>
      <c r="F30" s="43">
        <v>25300</v>
      </c>
      <c r="G30" s="43">
        <v>25300</v>
      </c>
      <c r="H30" s="47">
        <f>G30/F30</f>
        <v>1</v>
      </c>
      <c r="I30" s="43">
        <f>G30*K30</f>
        <v>5008894</v>
      </c>
      <c r="J30" s="45">
        <f>G30*L30</f>
        <v>6502100</v>
      </c>
      <c r="K30" s="38">
        <v>197.98</v>
      </c>
      <c r="L30" s="38">
        <v>257</v>
      </c>
      <c r="M30" s="44">
        <f>L30/K30-1</f>
        <v>0.29811092029497943</v>
      </c>
      <c r="N30" s="43">
        <f>J30-I30</f>
        <v>1493206</v>
      </c>
      <c r="O30" s="106" t="e">
        <f ca="1">_xll.BDP($C30,"CRNCY")</f>
        <v>#NAME?</v>
      </c>
      <c r="P30" s="43" t="e">
        <f ca="1">N30/R30</f>
        <v>#NAME?</v>
      </c>
      <c r="Q30" s="14">
        <v>42453</v>
      </c>
      <c r="R30" s="22" t="e">
        <f ca="1">_xll.BDH("RUB curncy","PX_LAST",$Q30)</f>
        <v>#NAME?</v>
      </c>
    </row>
    <row r="31" spans="1:29" x14ac:dyDescent="0.2">
      <c r="B31" s="103" t="s">
        <v>227</v>
      </c>
      <c r="C31" s="103" t="s">
        <v>343</v>
      </c>
      <c r="D31" s="73" t="s">
        <v>51</v>
      </c>
      <c r="E31" s="43" t="e">
        <f ca="1">F31*_xll.BDP(C31,"PX_LAST")</f>
        <v>#NAME?</v>
      </c>
      <c r="F31" s="43">
        <v>11668</v>
      </c>
      <c r="G31" s="43">
        <v>11668</v>
      </c>
      <c r="H31" s="47">
        <f>G31/F31</f>
        <v>1</v>
      </c>
      <c r="I31" s="43">
        <f>G31*K31</f>
        <v>9999476</v>
      </c>
      <c r="J31" s="45">
        <f>G31*L31</f>
        <v>12111384</v>
      </c>
      <c r="K31" s="38">
        <v>857</v>
      </c>
      <c r="L31" s="38">
        <v>1038</v>
      </c>
      <c r="M31" s="44">
        <f>L31/K31-1</f>
        <v>0.21120186697782972</v>
      </c>
      <c r="N31" s="43">
        <f>J31-I31</f>
        <v>2111908</v>
      </c>
      <c r="O31" s="106" t="e">
        <f ca="1">_xll.BDP($C31,"CRNCY")</f>
        <v>#NAME?</v>
      </c>
      <c r="P31" s="43" t="e">
        <f ca="1">N31/R31</f>
        <v>#NAME?</v>
      </c>
      <c r="Q31" s="14">
        <v>42453</v>
      </c>
      <c r="R31" s="22" t="e">
        <f ca="1">_xll.BDH("RUB curncy","PX_LAST",$Q31)</f>
        <v>#NAME?</v>
      </c>
    </row>
    <row r="32" spans="1:29" x14ac:dyDescent="0.2">
      <c r="B32" s="103" t="s">
        <v>317</v>
      </c>
      <c r="C32" s="103" t="s">
        <v>253</v>
      </c>
      <c r="D32" s="73" t="s">
        <v>51</v>
      </c>
      <c r="E32" s="43" t="e">
        <f ca="1">F32*_xll.BDP(C32,"PX_LAST")</f>
        <v>#NAME?</v>
      </c>
      <c r="F32" s="43">
        <v>15200</v>
      </c>
      <c r="G32" s="43">
        <v>15200</v>
      </c>
      <c r="H32" s="47">
        <f>G32/F32</f>
        <v>1</v>
      </c>
      <c r="I32" s="43">
        <f>G32*K32</f>
        <v>2500400</v>
      </c>
      <c r="J32" s="45">
        <f>G32*L32</f>
        <v>2660000</v>
      </c>
      <c r="K32" s="38">
        <v>164.5</v>
      </c>
      <c r="L32" s="38">
        <v>175</v>
      </c>
      <c r="M32" s="44">
        <f>L32/K32-1</f>
        <v>6.3829787234042534E-2</v>
      </c>
      <c r="N32" s="43">
        <f>J32-I32</f>
        <v>159600</v>
      </c>
      <c r="O32" s="106" t="e">
        <f ca="1">_xll.BDP($C32,"CRNCY")</f>
        <v>#NAME?</v>
      </c>
      <c r="P32" s="43" t="e">
        <f ca="1">N32/R32</f>
        <v>#NAME?</v>
      </c>
      <c r="Q32" s="14">
        <v>42531</v>
      </c>
      <c r="R32" s="22" t="e">
        <f ca="1">_xll.BDH("RUB curncy","PX_LAST",$Q32)</f>
        <v>#NAME?</v>
      </c>
    </row>
    <row r="33" spans="2:19" x14ac:dyDescent="0.2">
      <c r="B33" s="103" t="s">
        <v>845</v>
      </c>
      <c r="C33" s="103" t="s">
        <v>44</v>
      </c>
      <c r="D33" s="73" t="s">
        <v>51</v>
      </c>
      <c r="E33" s="43" t="e">
        <f ca="1">F33*_xll.BDP(C33,"PX_LAST")</f>
        <v>#NAME?</v>
      </c>
      <c r="F33" s="43">
        <v>97600</v>
      </c>
      <c r="G33" s="43">
        <v>97600</v>
      </c>
      <c r="H33" s="47">
        <f>G33/F33</f>
        <v>1</v>
      </c>
      <c r="I33" s="43">
        <f>G33*K33</f>
        <v>3904000</v>
      </c>
      <c r="J33" s="45">
        <f>G33*L33</f>
        <v>3017967.68</v>
      </c>
      <c r="K33" s="38">
        <v>40</v>
      </c>
      <c r="L33" s="38">
        <v>30.921800000000001</v>
      </c>
      <c r="M33" s="44">
        <f>L33/K33-1</f>
        <v>-0.22695500000000002</v>
      </c>
      <c r="N33" s="43">
        <f>J33-I33</f>
        <v>-886032.31999999983</v>
      </c>
      <c r="O33" s="106" t="e">
        <f ca="1">_xll.BDP($C33,"CRNCY")</f>
        <v>#NAME?</v>
      </c>
      <c r="P33" s="43" t="e">
        <f ca="1">N33/R33</f>
        <v>#NAME?</v>
      </c>
      <c r="Q33" s="14">
        <v>42731</v>
      </c>
      <c r="R33" s="22" t="e">
        <f ca="1">_xll.BDH("RUB curncy","PX_LAST",$Q33)</f>
        <v>#NAME?</v>
      </c>
    </row>
    <row r="34" spans="2:19" x14ac:dyDescent="0.2">
      <c r="B34" s="41"/>
      <c r="C34" s="41"/>
      <c r="D34" s="42"/>
      <c r="E34" s="48"/>
      <c r="F34" s="48"/>
      <c r="G34" s="41"/>
      <c r="H34" s="41"/>
      <c r="I34" s="41"/>
      <c r="J34" s="41"/>
      <c r="K34" s="41"/>
      <c r="L34" s="103"/>
      <c r="M34" s="107" t="s">
        <v>94</v>
      </c>
      <c r="N34" s="355">
        <f>SUM(N30:N33)</f>
        <v>2878681.68</v>
      </c>
      <c r="O34" s="356" t="s">
        <v>75</v>
      </c>
      <c r="P34" s="355" t="e">
        <f ca="1">SUM(P30:P33)</f>
        <v>#NAME?</v>
      </c>
      <c r="Q34" s="33"/>
      <c r="R34" s="33"/>
    </row>
    <row r="35" spans="2:19" x14ac:dyDescent="0.2">
      <c r="J35" s="105"/>
      <c r="K35" s="70"/>
      <c r="L35" s="155"/>
      <c r="M35" s="35"/>
      <c r="N35" s="30"/>
      <c r="O35" s="30"/>
      <c r="P35" s="34"/>
      <c r="R35" s="35"/>
    </row>
    <row r="36" spans="2:19" ht="51" x14ac:dyDescent="0.2">
      <c r="B36" s="51" t="s">
        <v>105</v>
      </c>
      <c r="C36" s="50" t="s">
        <v>104</v>
      </c>
      <c r="D36" s="50" t="s">
        <v>174</v>
      </c>
      <c r="E36" s="50" t="s">
        <v>173</v>
      </c>
      <c r="F36" s="50" t="s">
        <v>175</v>
      </c>
      <c r="G36" s="50" t="s">
        <v>172</v>
      </c>
      <c r="H36" s="50" t="s">
        <v>103</v>
      </c>
      <c r="I36" s="50" t="s">
        <v>102</v>
      </c>
      <c r="J36" s="50" t="s">
        <v>101</v>
      </c>
      <c r="K36" s="50" t="s">
        <v>100</v>
      </c>
      <c r="L36" s="50" t="s">
        <v>99</v>
      </c>
      <c r="M36" s="50" t="s">
        <v>98</v>
      </c>
      <c r="N36" s="50" t="s">
        <v>280</v>
      </c>
      <c r="O36" s="50" t="s">
        <v>97</v>
      </c>
      <c r="P36" s="50" t="s">
        <v>279</v>
      </c>
      <c r="Q36" s="50" t="s">
        <v>277</v>
      </c>
      <c r="R36" s="50" t="s">
        <v>278</v>
      </c>
    </row>
    <row r="37" spans="2:19" x14ac:dyDescent="0.2">
      <c r="B37" s="103" t="s">
        <v>201</v>
      </c>
      <c r="C37" s="103" t="s">
        <v>65</v>
      </c>
      <c r="D37" s="73" t="s">
        <v>51</v>
      </c>
      <c r="E37" s="43" t="e">
        <f ca="1">F37*_xll.BDP(C37,"PX_LAST")</f>
        <v>#NAME?</v>
      </c>
      <c r="F37" s="43">
        <v>2794</v>
      </c>
      <c r="G37" s="43">
        <v>2794</v>
      </c>
      <c r="H37" s="47">
        <f>G37/F37</f>
        <v>1</v>
      </c>
      <c r="I37" s="43">
        <f>G37*K37</f>
        <v>5034788</v>
      </c>
      <c r="J37" s="45">
        <f>G37*L37</f>
        <v>10355709.539999999</v>
      </c>
      <c r="K37" s="38">
        <v>1802</v>
      </c>
      <c r="L37" s="38">
        <v>3706.41</v>
      </c>
      <c r="M37" s="44">
        <f>L37/K37-1</f>
        <v>1.0568312985571588</v>
      </c>
      <c r="N37" s="43">
        <f>J37-I37</f>
        <v>5320921.5399999991</v>
      </c>
      <c r="O37" s="106" t="e">
        <f ca="1">_xll.BDP($C37,"CRNCY")</f>
        <v>#NAME?</v>
      </c>
      <c r="P37" s="43" t="e">
        <f ca="1">N37/R37</f>
        <v>#NAME?</v>
      </c>
      <c r="Q37" s="14">
        <v>42453</v>
      </c>
      <c r="R37" s="22" t="e">
        <f ca="1">_xll.BDH("RUB curncy","PX_LAST",$Q37)</f>
        <v>#NAME?</v>
      </c>
    </row>
    <row r="38" spans="2:19" x14ac:dyDescent="0.2">
      <c r="B38" s="103" t="s">
        <v>147</v>
      </c>
      <c r="C38" s="103" t="s">
        <v>63</v>
      </c>
      <c r="D38" s="73" t="s">
        <v>51</v>
      </c>
      <c r="E38" s="43" t="e">
        <f ca="1">F38*_xll.BDP(C38,"PX_LAST")</f>
        <v>#NAME?</v>
      </c>
      <c r="F38" s="43">
        <v>2100</v>
      </c>
      <c r="G38" s="43">
        <v>2100</v>
      </c>
      <c r="H38" s="47">
        <f>G38/F38</f>
        <v>1</v>
      </c>
      <c r="I38" s="43">
        <f>G38*K38</f>
        <v>5016900</v>
      </c>
      <c r="J38" s="45">
        <f>G38*L38</f>
        <v>7045500</v>
      </c>
      <c r="K38" s="38">
        <v>2389</v>
      </c>
      <c r="L38" s="38">
        <v>3355</v>
      </c>
      <c r="M38" s="44">
        <f>L38/K38-1</f>
        <v>0.40435328589367936</v>
      </c>
      <c r="N38" s="43">
        <f>J38-I38</f>
        <v>2028600</v>
      </c>
      <c r="O38" s="106" t="e">
        <f ca="1">_xll.BDP($C38,"CRNCY")</f>
        <v>#NAME?</v>
      </c>
      <c r="P38" s="43" t="e">
        <f ca="1">N38/R38</f>
        <v>#NAME?</v>
      </c>
      <c r="Q38" s="14">
        <v>42767</v>
      </c>
      <c r="R38" s="22" t="e">
        <f ca="1">_xll.BDH("RUB curncy","PX_LAST",$Q38)</f>
        <v>#NAME?</v>
      </c>
    </row>
    <row r="39" spans="2:19" x14ac:dyDescent="0.2">
      <c r="B39" s="103" t="s">
        <v>261</v>
      </c>
      <c r="C39" s="103" t="s">
        <v>19</v>
      </c>
      <c r="D39" s="73" t="s">
        <v>51</v>
      </c>
      <c r="E39" s="43" t="e">
        <f ca="1">F39*_xll.BDP(C39,"PX_LAST")</f>
        <v>#NAME?</v>
      </c>
      <c r="F39" s="43">
        <v>8000</v>
      </c>
      <c r="G39" s="43">
        <v>8000</v>
      </c>
      <c r="H39" s="47">
        <f>G39/F39</f>
        <v>1</v>
      </c>
      <c r="I39" s="43">
        <f>G39*K39</f>
        <v>2496000</v>
      </c>
      <c r="J39" s="45">
        <f>G39*L39</f>
        <v>2200000</v>
      </c>
      <c r="K39" s="38">
        <v>312</v>
      </c>
      <c r="L39" s="38">
        <v>275</v>
      </c>
      <c r="M39" s="44">
        <f>L39/K39-1</f>
        <v>-0.11858974358974361</v>
      </c>
      <c r="N39" s="43">
        <f>J39-I39</f>
        <v>-296000</v>
      </c>
      <c r="O39" s="106" t="e">
        <f ca="1">_xll.BDP($C39,"CRNCY")</f>
        <v>#NAME?</v>
      </c>
      <c r="P39" s="43" t="e">
        <f ca="1">N39/R39</f>
        <v>#NAME?</v>
      </c>
      <c r="Q39" s="14">
        <v>42767</v>
      </c>
      <c r="R39" s="22" t="e">
        <f ca="1">_xll.BDH("RUB curncy","PX_LAST",$Q39)</f>
        <v>#NAME?</v>
      </c>
    </row>
    <row r="40" spans="2:19" x14ac:dyDescent="0.2">
      <c r="J40" s="105"/>
      <c r="K40" s="70"/>
      <c r="L40" s="155"/>
      <c r="M40" s="35"/>
      <c r="N40" s="30"/>
      <c r="O40" s="30"/>
      <c r="P40" s="34"/>
      <c r="R40" s="35"/>
    </row>
    <row r="41" spans="2:19" x14ac:dyDescent="0.2">
      <c r="H41" s="105"/>
      <c r="I41" s="70"/>
      <c r="J41" s="151"/>
      <c r="K41" s="35"/>
      <c r="L41" s="148"/>
      <c r="M41" s="34"/>
    </row>
    <row r="42" spans="2:19" x14ac:dyDescent="0.2">
      <c r="B42" s="32" t="s">
        <v>93</v>
      </c>
      <c r="C42" s="151"/>
      <c r="D42" s="105"/>
      <c r="H42" s="105"/>
      <c r="I42" s="151"/>
      <c r="J42" s="151"/>
      <c r="K42" s="30"/>
    </row>
    <row r="43" spans="2:19" ht="13.5" thickBot="1" x14ac:dyDescent="0.25">
      <c r="C43" s="30"/>
      <c r="D43" s="30"/>
      <c r="G43" s="30"/>
      <c r="H43" s="151"/>
      <c r="I43" s="30"/>
      <c r="J43" s="151"/>
      <c r="K43" s="30"/>
    </row>
    <row r="44" spans="2:19" ht="15" x14ac:dyDescent="0.35">
      <c r="B44" s="26"/>
      <c r="C44" s="26"/>
      <c r="D44" s="26"/>
      <c r="E44" s="26"/>
      <c r="F44" s="26"/>
      <c r="G44" s="26"/>
      <c r="H44" s="28" t="s">
        <v>92</v>
      </c>
      <c r="I44" s="27" t="s">
        <v>91</v>
      </c>
      <c r="J44" s="27" t="s">
        <v>90</v>
      </c>
      <c r="K44" s="27"/>
      <c r="L44" s="27"/>
      <c r="M44" s="26"/>
      <c r="N44" s="26"/>
      <c r="S44" s="190"/>
    </row>
    <row r="45" spans="2:19" ht="15" x14ac:dyDescent="0.35">
      <c r="B45" s="23" t="s">
        <v>89</v>
      </c>
      <c r="C45" s="23" t="s">
        <v>88</v>
      </c>
      <c r="D45" s="23" t="s">
        <v>87</v>
      </c>
      <c r="E45" s="23" t="s">
        <v>86</v>
      </c>
      <c r="F45" s="23" t="s">
        <v>85</v>
      </c>
      <c r="G45" s="23" t="s">
        <v>84</v>
      </c>
      <c r="H45" s="25" t="s">
        <v>83</v>
      </c>
      <c r="I45" s="24" t="s">
        <v>83</v>
      </c>
      <c r="J45" s="24" t="s">
        <v>75</v>
      </c>
      <c r="K45" s="24" t="s">
        <v>73</v>
      </c>
      <c r="L45" s="24" t="s">
        <v>82</v>
      </c>
      <c r="M45" s="23" t="s">
        <v>81</v>
      </c>
      <c r="N45" s="23" t="s">
        <v>80</v>
      </c>
      <c r="S45" s="190"/>
    </row>
    <row r="46" spans="2:19" x14ac:dyDescent="0.2">
      <c r="B46" s="21" t="s">
        <v>396</v>
      </c>
      <c r="C46" s="20" t="s">
        <v>343</v>
      </c>
      <c r="D46" s="18" t="e">
        <f ca="1">_xll.BDP(C46,"SECURITY_NAME")</f>
        <v>#NAME?</v>
      </c>
      <c r="E46" s="18" t="s">
        <v>50</v>
      </c>
      <c r="F46" s="19">
        <v>11668</v>
      </c>
      <c r="G46" s="18" t="e">
        <f ca="1">_xll.BDP(C46,"CRNCY")</f>
        <v>#NAME?</v>
      </c>
      <c r="H46" s="22">
        <v>857</v>
      </c>
      <c r="I46" s="15">
        <f>F46*H46</f>
        <v>9999476</v>
      </c>
      <c r="J46" s="16" t="e">
        <f ca="1">I46/L46</f>
        <v>#NAME?</v>
      </c>
      <c r="K46" s="15" t="e">
        <f ca="1">J46*L46</f>
        <v>#NAME?</v>
      </c>
      <c r="L46" s="140" t="e">
        <f ca="1">_xll.BDH("RUB curncy","PX_LAST",$N46)</f>
        <v>#NAME?</v>
      </c>
      <c r="M46" s="85" t="e">
        <f ca="1">1/_xll.BDH("RUB curncy","PX_LAST",$N46)</f>
        <v>#NAME?</v>
      </c>
      <c r="N46" s="14">
        <v>42228</v>
      </c>
      <c r="O46" s="33"/>
    </row>
    <row r="47" spans="2:19" x14ac:dyDescent="0.2">
      <c r="B47" s="71"/>
      <c r="C47" s="33"/>
      <c r="D47" s="73"/>
      <c r="E47" s="73"/>
      <c r="F47" s="79">
        <f>SUM(F46)</f>
        <v>11668</v>
      </c>
      <c r="G47" s="87"/>
      <c r="H47" s="80">
        <f>I47/F47</f>
        <v>857</v>
      </c>
      <c r="I47" s="79">
        <f>SUM(I46)</f>
        <v>9999476</v>
      </c>
      <c r="J47" s="79" t="e">
        <f ca="1">SUM(J46)</f>
        <v>#NAME?</v>
      </c>
      <c r="K47" s="79" t="e">
        <f ca="1">SUM(K46)</f>
        <v>#NAME?</v>
      </c>
      <c r="L47" s="139"/>
      <c r="M47" s="86"/>
      <c r="N47" s="14"/>
      <c r="O47" s="33"/>
    </row>
    <row r="48" spans="2:19" x14ac:dyDescent="0.2">
      <c r="B48" s="71"/>
      <c r="C48" s="33"/>
      <c r="D48" s="73"/>
      <c r="E48" s="73"/>
      <c r="F48" s="79"/>
      <c r="G48" s="87"/>
      <c r="H48" s="80"/>
      <c r="I48" s="79"/>
      <c r="J48" s="79"/>
      <c r="K48" s="79"/>
      <c r="L48" s="139"/>
      <c r="M48" s="86"/>
      <c r="N48" s="14"/>
      <c r="O48" s="33"/>
    </row>
    <row r="49" spans="2:15" x14ac:dyDescent="0.2">
      <c r="B49" s="21" t="s">
        <v>396</v>
      </c>
      <c r="C49" s="20" t="s">
        <v>334</v>
      </c>
      <c r="D49" s="18" t="e">
        <f ca="1">_xll.BDP(C49,"SECURITY_NAME")</f>
        <v>#NAME?</v>
      </c>
      <c r="E49" s="18" t="s">
        <v>50</v>
      </c>
      <c r="F49" s="19">
        <v>13000</v>
      </c>
      <c r="G49" s="18" t="e">
        <f ca="1">_xll.BDP(C49,"CRNCY")</f>
        <v>#NAME?</v>
      </c>
      <c r="H49" s="22">
        <v>219.11150000000001</v>
      </c>
      <c r="I49" s="15">
        <f>F49*H49</f>
        <v>2848449.5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42363</v>
      </c>
      <c r="O49" s="33"/>
    </row>
    <row r="50" spans="2:15" x14ac:dyDescent="0.2">
      <c r="B50" s="71"/>
      <c r="C50" s="33"/>
      <c r="D50" s="73"/>
      <c r="E50" s="73"/>
      <c r="F50" s="79">
        <f>SUM(F49)</f>
        <v>13000</v>
      </c>
      <c r="G50" s="87"/>
      <c r="H50" s="80">
        <f>I50/F50</f>
        <v>219.11150000000001</v>
      </c>
      <c r="I50" s="79">
        <f>SUM(I49)</f>
        <v>2848449.5</v>
      </c>
      <c r="J50" s="79" t="e">
        <f ca="1">SUM(J49)</f>
        <v>#NAME?</v>
      </c>
      <c r="K50" s="79" t="e">
        <f ca="1">SUM(K49)</f>
        <v>#NAME?</v>
      </c>
      <c r="L50" s="139"/>
      <c r="M50" s="86"/>
      <c r="N50" s="14"/>
      <c r="O50" s="33"/>
    </row>
    <row r="51" spans="2:15" x14ac:dyDescent="0.2">
      <c r="B51" s="71"/>
      <c r="C51" s="33"/>
      <c r="D51" s="73"/>
      <c r="E51" s="73"/>
      <c r="F51" s="79"/>
      <c r="G51" s="87"/>
      <c r="H51" s="80"/>
      <c r="I51" s="79"/>
      <c r="J51" s="79"/>
      <c r="K51" s="79"/>
      <c r="L51" s="139"/>
      <c r="M51" s="86"/>
      <c r="N51" s="14"/>
      <c r="O51" s="33"/>
    </row>
    <row r="52" spans="2:15" x14ac:dyDescent="0.2">
      <c r="B52" s="21" t="s">
        <v>396</v>
      </c>
      <c r="C52" s="253" t="s">
        <v>321</v>
      </c>
      <c r="D52" s="251" t="e">
        <f ca="1">_xll.BDP(C52,"SECURITY_NAME")</f>
        <v>#NAME?</v>
      </c>
      <c r="E52" s="251" t="s">
        <v>50</v>
      </c>
      <c r="F52" s="252">
        <v>200000</v>
      </c>
      <c r="G52" s="251" t="e">
        <f ca="1">_xll.BDP(C52,"CRNCY")</f>
        <v>#NAME?</v>
      </c>
      <c r="H52" s="250">
        <v>88.2</v>
      </c>
      <c r="I52" s="248">
        <f>F52*H52/100</f>
        <v>176400</v>
      </c>
      <c r="J52" s="249">
        <f>I52</f>
        <v>176400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42297</v>
      </c>
      <c r="O52" s="33"/>
    </row>
    <row r="53" spans="2:15" x14ac:dyDescent="0.2">
      <c r="B53" s="217"/>
      <c r="D53" s="215"/>
      <c r="E53" s="215"/>
      <c r="F53" s="213">
        <f>SUM(F52)</f>
        <v>200000</v>
      </c>
      <c r="G53" s="215"/>
      <c r="H53" s="214">
        <f>I53/F53*100</f>
        <v>88.2</v>
      </c>
      <c r="I53" s="213">
        <f>SUM(I52)</f>
        <v>176400</v>
      </c>
      <c r="J53" s="213">
        <f>SUM(J52)</f>
        <v>176400</v>
      </c>
      <c r="K53" s="213" t="e">
        <f ca="1">SUM(K52)</f>
        <v>#NAME?</v>
      </c>
      <c r="L53" s="212"/>
      <c r="M53" s="211"/>
      <c r="N53" s="210"/>
      <c r="O53" s="33"/>
    </row>
    <row r="54" spans="2:15" x14ac:dyDescent="0.2">
      <c r="B54" s="71"/>
      <c r="C54" s="33"/>
      <c r="D54" s="73"/>
      <c r="E54" s="73"/>
      <c r="F54" s="79"/>
      <c r="G54" s="87"/>
      <c r="H54" s="80"/>
      <c r="I54" s="79"/>
      <c r="J54" s="79"/>
      <c r="K54" s="79"/>
      <c r="L54" s="139"/>
      <c r="M54" s="86"/>
      <c r="N54" s="14"/>
      <c r="O54" s="33"/>
    </row>
    <row r="55" spans="2:15" x14ac:dyDescent="0.2">
      <c r="B55" s="21" t="s">
        <v>396</v>
      </c>
      <c r="C55" s="20" t="s">
        <v>44</v>
      </c>
      <c r="D55" s="18" t="e">
        <f ca="1">_xll.BDP(C55,"SECURITY_NAME")</f>
        <v>#NAME?</v>
      </c>
      <c r="E55" s="18" t="s">
        <v>50</v>
      </c>
      <c r="F55" s="19">
        <v>97600</v>
      </c>
      <c r="G55" s="18" t="e">
        <f ca="1">_xll.BDP(C55,"CRNCY")</f>
        <v>#NAME?</v>
      </c>
      <c r="H55" s="22">
        <v>40</v>
      </c>
      <c r="I55" s="15">
        <f>F55*H55</f>
        <v>3904000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42531</v>
      </c>
      <c r="O55" s="33"/>
    </row>
    <row r="56" spans="2:15" x14ac:dyDescent="0.2">
      <c r="B56" s="71"/>
      <c r="C56" s="33"/>
      <c r="D56" s="73"/>
      <c r="E56" s="73"/>
      <c r="F56" s="79">
        <f>SUM(F55)</f>
        <v>97600</v>
      </c>
      <c r="G56" s="87"/>
      <c r="H56" s="80">
        <f>I56/F56</f>
        <v>40</v>
      </c>
      <c r="I56" s="79">
        <f>SUM(I55)</f>
        <v>3904000</v>
      </c>
      <c r="J56" s="79" t="e">
        <f ca="1">SUM(J55)</f>
        <v>#NAME?</v>
      </c>
      <c r="K56" s="79" t="e">
        <f ca="1">SUM(K55)</f>
        <v>#NAME?</v>
      </c>
      <c r="L56" s="139"/>
      <c r="M56" s="86"/>
      <c r="N56" s="14"/>
      <c r="O56" s="33"/>
    </row>
    <row r="57" spans="2:15" x14ac:dyDescent="0.2">
      <c r="B57" s="71"/>
      <c r="C57" s="33"/>
      <c r="D57" s="73"/>
      <c r="E57" s="73"/>
      <c r="F57" s="79"/>
      <c r="G57" s="87"/>
      <c r="H57" s="80"/>
      <c r="I57" s="79"/>
      <c r="J57" s="79"/>
      <c r="K57" s="79"/>
      <c r="L57" s="139"/>
      <c r="M57" s="86"/>
      <c r="N57" s="14"/>
      <c r="O57" s="33"/>
    </row>
    <row r="58" spans="2:15" x14ac:dyDescent="0.2">
      <c r="B58" s="21" t="s">
        <v>396</v>
      </c>
      <c r="C58" s="20" t="s">
        <v>65</v>
      </c>
      <c r="D58" s="18" t="e">
        <f ca="1">_xll.BDP(C58,"SECURITY_NAME")</f>
        <v>#NAME?</v>
      </c>
      <c r="E58" s="18" t="s">
        <v>50</v>
      </c>
      <c r="F58" s="19">
        <v>2794</v>
      </c>
      <c r="G58" s="18" t="e">
        <f ca="1">_xll.BDP(C58,"CRNCY")</f>
        <v>#NAME?</v>
      </c>
      <c r="H58" s="22">
        <v>1801.9624194999999</v>
      </c>
      <c r="I58" s="15">
        <f>F58*H58</f>
        <v>5034683.0000829995</v>
      </c>
      <c r="J58" s="16" t="e">
        <f ca="1">I58/L58</f>
        <v>#NAME?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42291</v>
      </c>
      <c r="O58" s="33"/>
    </row>
    <row r="59" spans="2:15" x14ac:dyDescent="0.2">
      <c r="B59" s="71"/>
      <c r="C59" s="33"/>
      <c r="D59" s="73"/>
      <c r="E59" s="73"/>
      <c r="F59" s="79">
        <f>SUM(F58)</f>
        <v>2794</v>
      </c>
      <c r="G59" s="87"/>
      <c r="H59" s="80">
        <f>I59/F59</f>
        <v>1801.9624194999999</v>
      </c>
      <c r="I59" s="79">
        <f>SUM(I58)</f>
        <v>5034683.0000829995</v>
      </c>
      <c r="J59" s="79" t="e">
        <f ca="1">SUM(J58)</f>
        <v>#NAME?</v>
      </c>
      <c r="K59" s="79" t="e">
        <f ca="1">SUM(K58)</f>
        <v>#NAME?</v>
      </c>
      <c r="L59" s="139"/>
      <c r="M59" s="86"/>
      <c r="N59" s="14"/>
      <c r="O59" s="33"/>
    </row>
    <row r="60" spans="2:15" x14ac:dyDescent="0.2">
      <c r="B60" s="71"/>
      <c r="C60" s="33"/>
      <c r="D60" s="73"/>
      <c r="E60" s="73"/>
      <c r="F60" s="79"/>
      <c r="G60" s="87"/>
      <c r="H60" s="80"/>
      <c r="I60" s="79"/>
      <c r="J60" s="79"/>
      <c r="K60" s="79"/>
      <c r="L60" s="139"/>
      <c r="M60" s="86"/>
      <c r="N60" s="14"/>
      <c r="O60" s="33"/>
    </row>
    <row r="61" spans="2:15" x14ac:dyDescent="0.2">
      <c r="B61" s="21" t="s">
        <v>396</v>
      </c>
      <c r="C61" s="20" t="s">
        <v>8</v>
      </c>
      <c r="D61" s="18" t="e">
        <f ca="1">_xll.BDP(C61,"SECURITY_NAME")</f>
        <v>#NAME?</v>
      </c>
      <c r="E61" s="18" t="s">
        <v>50</v>
      </c>
      <c r="F61" s="19">
        <v>225</v>
      </c>
      <c r="G61" s="18" t="e">
        <f ca="1">_xll.BDP(C61,"CRNCY")</f>
        <v>#NAME?</v>
      </c>
      <c r="H61" s="22">
        <v>9760</v>
      </c>
      <c r="I61" s="15">
        <f>F61*H61</f>
        <v>2196000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42767</v>
      </c>
      <c r="O61" s="33"/>
    </row>
    <row r="62" spans="2:15" x14ac:dyDescent="0.2">
      <c r="B62" s="71"/>
      <c r="C62" s="33"/>
      <c r="D62" s="73"/>
      <c r="E62" s="73"/>
      <c r="F62" s="79">
        <f>SUM(F61)</f>
        <v>225</v>
      </c>
      <c r="G62" s="87"/>
      <c r="H62" s="80">
        <f>I62/F62</f>
        <v>9760</v>
      </c>
      <c r="I62" s="79">
        <f>SUM(I61)</f>
        <v>2196000</v>
      </c>
      <c r="J62" s="79" t="e">
        <f ca="1">SUM(J61)</f>
        <v>#NAME?</v>
      </c>
      <c r="K62" s="79" t="e">
        <f ca="1">SUM(K61)</f>
        <v>#NAME?</v>
      </c>
      <c r="L62" s="139"/>
      <c r="M62" s="86"/>
      <c r="N62" s="14"/>
      <c r="O62" s="33"/>
    </row>
    <row r="63" spans="2:15" x14ac:dyDescent="0.2">
      <c r="B63" s="71"/>
      <c r="C63" s="33"/>
      <c r="D63" s="73"/>
      <c r="E63" s="73"/>
      <c r="F63" s="79"/>
      <c r="G63" s="87"/>
      <c r="H63" s="80"/>
      <c r="I63" s="79"/>
      <c r="J63" s="79"/>
      <c r="K63" s="79"/>
      <c r="L63" s="139"/>
      <c r="M63" s="86"/>
      <c r="N63" s="14"/>
      <c r="O63" s="33"/>
    </row>
    <row r="64" spans="2:15" x14ac:dyDescent="0.2">
      <c r="B64" s="21" t="s">
        <v>396</v>
      </c>
      <c r="C64" s="20" t="s">
        <v>72</v>
      </c>
      <c r="D64" s="18" t="e">
        <f ca="1">_xll.BDP(C64,"SECURITY_NAME")</f>
        <v>#NAME?</v>
      </c>
      <c r="E64" s="18" t="s">
        <v>50</v>
      </c>
      <c r="F64" s="19">
        <v>45100</v>
      </c>
      <c r="G64" s="18" t="e">
        <f ca="1">_xll.BDP(C64,"CRNCY")</f>
        <v>#NAME?</v>
      </c>
      <c r="H64" s="22">
        <v>55.5</v>
      </c>
      <c r="I64" s="15">
        <f>F64*H64</f>
        <v>2503050</v>
      </c>
      <c r="J64" s="16" t="e">
        <f ca="1">I64/L64</f>
        <v>#NAME?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42297</v>
      </c>
      <c r="O64" s="33"/>
    </row>
    <row r="65" spans="2:19" x14ac:dyDescent="0.2">
      <c r="B65" s="21" t="s">
        <v>396</v>
      </c>
      <c r="C65" s="20" t="s">
        <v>72</v>
      </c>
      <c r="D65" s="18" t="e">
        <f ca="1">_xll.BDP(C65,"SECURITY_NAME")</f>
        <v>#NAME?</v>
      </c>
      <c r="E65" s="18" t="s">
        <v>50</v>
      </c>
      <c r="F65" s="19">
        <v>44640</v>
      </c>
      <c r="G65" s="18" t="e">
        <f ca="1">_xll.BDP(C65,"CRNCY")</f>
        <v>#NAME?</v>
      </c>
      <c r="H65" s="22">
        <v>57</v>
      </c>
      <c r="I65" s="15">
        <f>F65*H65</f>
        <v>2544480</v>
      </c>
      <c r="J65" s="16" t="e">
        <f ca="1">I65/L65</f>
        <v>#NAME?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42277</v>
      </c>
      <c r="O65" s="33"/>
    </row>
    <row r="66" spans="2:19" x14ac:dyDescent="0.2">
      <c r="B66" s="71"/>
      <c r="C66" s="33"/>
      <c r="D66" s="73"/>
      <c r="E66" s="73"/>
      <c r="F66" s="79">
        <f>SUM(F64:F65)</f>
        <v>89740</v>
      </c>
      <c r="G66" s="87"/>
      <c r="H66" s="80">
        <f>I66/F66</f>
        <v>56.246155560508136</v>
      </c>
      <c r="I66" s="79">
        <f>SUM(I64:I65)</f>
        <v>5047530</v>
      </c>
      <c r="J66" s="79" t="e">
        <f ca="1">SUM(J64:J65)</f>
        <v>#NAME?</v>
      </c>
      <c r="K66" s="79" t="e">
        <f ca="1">SUM(K64:K65)</f>
        <v>#NAME?</v>
      </c>
      <c r="L66" s="139"/>
      <c r="M66" s="86"/>
      <c r="N66" s="14"/>
      <c r="O66" s="33"/>
    </row>
    <row r="67" spans="2:19" x14ac:dyDescent="0.2">
      <c r="B67" s="71"/>
      <c r="C67" s="33"/>
      <c r="D67" s="73"/>
      <c r="E67" s="73"/>
      <c r="F67" s="79"/>
      <c r="G67" s="87"/>
      <c r="H67" s="80"/>
      <c r="I67" s="79"/>
      <c r="J67" s="79"/>
      <c r="K67" s="79"/>
      <c r="L67" s="139"/>
      <c r="M67" s="86"/>
      <c r="N67" s="14"/>
      <c r="O67" s="33"/>
    </row>
    <row r="68" spans="2:19" x14ac:dyDescent="0.2">
      <c r="B68" s="21" t="s">
        <v>396</v>
      </c>
      <c r="C68" s="20" t="s">
        <v>12</v>
      </c>
      <c r="D68" s="18" t="e">
        <f ca="1">_xll.BDP(C68,"SECURITY_NAME")</f>
        <v>#NAME?</v>
      </c>
      <c r="E68" s="18" t="s">
        <v>50</v>
      </c>
      <c r="F68" s="19">
        <v>2400</v>
      </c>
      <c r="G68" s="18" t="e">
        <f ca="1">_xll.BDP(C68,"CRNCY")</f>
        <v>#NAME?</v>
      </c>
      <c r="H68" s="22">
        <v>16.149999999999999</v>
      </c>
      <c r="I68" s="15">
        <f>F68*H68</f>
        <v>38760</v>
      </c>
      <c r="J68" s="16">
        <f>I68</f>
        <v>38760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42277</v>
      </c>
      <c r="O68" s="33"/>
    </row>
    <row r="69" spans="2:19" x14ac:dyDescent="0.2">
      <c r="B69" s="21" t="s">
        <v>396</v>
      </c>
      <c r="C69" s="20" t="s">
        <v>12</v>
      </c>
      <c r="D69" s="18" t="e">
        <f ca="1">_xll.BDP(C69,"SECURITY_NAME")</f>
        <v>#NAME?</v>
      </c>
      <c r="E69" s="18" t="s">
        <v>50</v>
      </c>
      <c r="F69" s="19">
        <v>2400</v>
      </c>
      <c r="G69" s="18" t="e">
        <f ca="1">_xll.BDP(C69,"CRNCY")</f>
        <v>#NAME?</v>
      </c>
      <c r="H69" s="22">
        <v>19</v>
      </c>
      <c r="I69" s="15">
        <f>F69*H69</f>
        <v>45600</v>
      </c>
      <c r="J69" s="16">
        <f>I69</f>
        <v>45600</v>
      </c>
      <c r="K69" s="15" t="e">
        <f ca="1">J69*L69</f>
        <v>#NAME?</v>
      </c>
      <c r="L69" s="140" t="e">
        <f ca="1">_xll.BDH("RUB curncy","PX_LAST",$N69)</f>
        <v>#NAME?</v>
      </c>
      <c r="M69" s="85" t="e">
        <f ca="1">1/_xll.BDH("RUB curncy","PX_LAST",$N69)</f>
        <v>#NAME?</v>
      </c>
      <c r="N69" s="14">
        <v>42291</v>
      </c>
      <c r="O69" s="33"/>
    </row>
    <row r="70" spans="2:19" x14ac:dyDescent="0.2">
      <c r="B70" s="71"/>
      <c r="C70" s="33"/>
      <c r="D70" s="73"/>
      <c r="E70" s="73"/>
      <c r="F70" s="79">
        <f>SUM(F68:F69)</f>
        <v>4800</v>
      </c>
      <c r="G70" s="87"/>
      <c r="H70" s="80">
        <f>I70/F70</f>
        <v>17.574999999999999</v>
      </c>
      <c r="I70" s="79">
        <f>SUM(I68:I69)</f>
        <v>84360</v>
      </c>
      <c r="J70" s="79">
        <f>SUM(J68:J69)</f>
        <v>84360</v>
      </c>
      <c r="K70" s="79" t="e">
        <f ca="1">SUM(K68:K69)</f>
        <v>#NAME?</v>
      </c>
      <c r="L70" s="139"/>
      <c r="M70" s="86"/>
      <c r="N70" s="14"/>
      <c r="O70" s="33"/>
    </row>
    <row r="71" spans="2:19" x14ac:dyDescent="0.2">
      <c r="B71" s="71"/>
      <c r="C71" s="33"/>
      <c r="D71" s="73"/>
      <c r="E71" s="73"/>
      <c r="F71" s="79"/>
      <c r="G71" s="87"/>
      <c r="H71" s="80"/>
      <c r="I71" s="79"/>
      <c r="J71" s="79"/>
      <c r="K71" s="79"/>
      <c r="L71" s="139"/>
      <c r="M71" s="86"/>
      <c r="N71" s="14"/>
      <c r="O71" s="33"/>
    </row>
    <row r="72" spans="2:19" x14ac:dyDescent="0.2">
      <c r="B72" s="21" t="s">
        <v>396</v>
      </c>
      <c r="C72" s="20" t="s">
        <v>49</v>
      </c>
      <c r="D72" s="18" t="e">
        <f ca="1">_xll.BDP(C72,"SECURITY_NAME")</f>
        <v>#NAME?</v>
      </c>
      <c r="E72" s="18" t="s">
        <v>50</v>
      </c>
      <c r="F72" s="19">
        <v>4100</v>
      </c>
      <c r="G72" s="18" t="e">
        <f ca="1">_xll.BDP(C72,"CRNCY")</f>
        <v>#NAME?</v>
      </c>
      <c r="H72" s="22">
        <v>9.26</v>
      </c>
      <c r="I72" s="15">
        <f>F72*H72</f>
        <v>37966</v>
      </c>
      <c r="J72" s="16">
        <f>I72</f>
        <v>37966</v>
      </c>
      <c r="K72" s="15" t="e">
        <f ca="1">J72*L72</f>
        <v>#NAME?</v>
      </c>
      <c r="L72" s="140" t="e">
        <f ca="1">_xll.BDH("RUB curncy","PX_LAST",$N72)</f>
        <v>#NAME?</v>
      </c>
      <c r="M72" s="85" t="e">
        <f ca="1">1/_xll.BDH("RUB curncy","PX_LAST",$N72)</f>
        <v>#NAME?</v>
      </c>
      <c r="N72" s="14">
        <v>42277</v>
      </c>
      <c r="O72" s="33"/>
    </row>
    <row r="73" spans="2:19" x14ac:dyDescent="0.2">
      <c r="B73" s="21" t="s">
        <v>396</v>
      </c>
      <c r="C73" s="20" t="s">
        <v>49</v>
      </c>
      <c r="D73" s="18" t="e">
        <f ca="1">_xll.BDP(C73,"SECURITY_NAME")</f>
        <v>#NAME?</v>
      </c>
      <c r="E73" s="18" t="s">
        <v>50</v>
      </c>
      <c r="F73" s="19">
        <v>4100</v>
      </c>
      <c r="G73" s="18" t="e">
        <f ca="1">_xll.BDP(C73,"CRNCY")</f>
        <v>#NAME?</v>
      </c>
      <c r="H73" s="22">
        <v>9.3000000000000007</v>
      </c>
      <c r="I73" s="15">
        <f>F73*H73</f>
        <v>38130</v>
      </c>
      <c r="J73" s="16">
        <f>I73</f>
        <v>38130</v>
      </c>
      <c r="K73" s="15" t="e">
        <f ca="1">J73*L73</f>
        <v>#NAME?</v>
      </c>
      <c r="L73" s="140" t="e">
        <f ca="1">_xll.BDH("RUB curncy","PX_LAST",$N73)</f>
        <v>#NAME?</v>
      </c>
      <c r="M73" s="85" t="e">
        <f ca="1">1/_xll.BDH("RUB curncy","PX_LAST",$N73)</f>
        <v>#NAME?</v>
      </c>
      <c r="N73" s="14">
        <v>42277</v>
      </c>
      <c r="O73" s="33"/>
    </row>
    <row r="74" spans="2:19" x14ac:dyDescent="0.2">
      <c r="B74" s="71"/>
      <c r="C74" s="33"/>
      <c r="D74" s="73"/>
      <c r="E74" s="73"/>
      <c r="F74" s="79">
        <f>SUM(F72:F73)</f>
        <v>8200</v>
      </c>
      <c r="G74" s="87"/>
      <c r="H74" s="80">
        <f>I74/F74</f>
        <v>9.2799999999999994</v>
      </c>
      <c r="I74" s="79">
        <f>SUM(I72:I73)</f>
        <v>76096</v>
      </c>
      <c r="J74" s="79">
        <f>SUM(J72:J73)</f>
        <v>76096</v>
      </c>
      <c r="K74" s="79" t="e">
        <f ca="1">SUM(K72:K73)</f>
        <v>#NAME?</v>
      </c>
      <c r="L74" s="139"/>
      <c r="M74" s="86"/>
      <c r="N74" s="14"/>
      <c r="O74" s="33"/>
    </row>
    <row r="75" spans="2:19" x14ac:dyDescent="0.2">
      <c r="B75" s="71"/>
      <c r="C75" s="33"/>
      <c r="D75" s="73"/>
      <c r="E75" s="73"/>
      <c r="F75" s="79"/>
      <c r="G75" s="87"/>
      <c r="H75" s="80"/>
      <c r="I75" s="79"/>
      <c r="J75" s="79"/>
      <c r="K75" s="79"/>
      <c r="L75" s="139"/>
      <c r="M75" s="86"/>
      <c r="N75" s="14"/>
      <c r="O75" s="33"/>
    </row>
    <row r="76" spans="2:19" x14ac:dyDescent="0.2">
      <c r="B76" s="21" t="s">
        <v>396</v>
      </c>
      <c r="C76" s="20" t="s">
        <v>7</v>
      </c>
      <c r="D76" s="18" t="e">
        <f ca="1">_xll.BDP(C76,"SECURITY_NAME")</f>
        <v>#NAME?</v>
      </c>
      <c r="E76" s="18" t="s">
        <v>50</v>
      </c>
      <c r="F76" s="19">
        <v>22400</v>
      </c>
      <c r="G76" s="18" t="e">
        <f ca="1">_xll.BDP(C76,"CRNCY")</f>
        <v>#NAME?</v>
      </c>
      <c r="H76" s="22">
        <v>134</v>
      </c>
      <c r="I76" s="15">
        <f>F76*H76</f>
        <v>3001600</v>
      </c>
      <c r="J76" s="16" t="e">
        <f ca="1">I76/L76</f>
        <v>#NAME?</v>
      </c>
      <c r="K76" s="15" t="e">
        <f ca="1">J76*L76</f>
        <v>#NAME?</v>
      </c>
      <c r="L76" s="140" t="e">
        <f ca="1">_xll.BDH("RUB curncy","PX_LAST",$N76)</f>
        <v>#NAME?</v>
      </c>
      <c r="M76" s="85" t="e">
        <f ca="1">1/_xll.BDH("RUB curncy","PX_LAST",$N76)</f>
        <v>#NAME?</v>
      </c>
      <c r="N76" s="14">
        <v>42272</v>
      </c>
      <c r="O76" s="33"/>
    </row>
    <row r="77" spans="2:19" x14ac:dyDescent="0.2">
      <c r="B77" s="71"/>
      <c r="C77" s="33"/>
      <c r="D77" s="73"/>
      <c r="E77" s="73"/>
      <c r="F77" s="79">
        <f>SUM(F76)</f>
        <v>22400</v>
      </c>
      <c r="G77" s="87"/>
      <c r="H77" s="80">
        <f>I77/F77</f>
        <v>134</v>
      </c>
      <c r="I77" s="79">
        <f>SUM(I76)</f>
        <v>3001600</v>
      </c>
      <c r="J77" s="79" t="e">
        <f ca="1">SUM(J76)</f>
        <v>#NAME?</v>
      </c>
      <c r="K77" s="79" t="e">
        <f ca="1">SUM(K76)</f>
        <v>#NAME?</v>
      </c>
      <c r="L77" s="139"/>
      <c r="M77" s="86"/>
      <c r="N77" s="14"/>
      <c r="O77" s="33"/>
    </row>
    <row r="78" spans="2:19" x14ac:dyDescent="0.2">
      <c r="B78" s="71"/>
      <c r="C78" s="33"/>
      <c r="D78" s="73"/>
      <c r="E78" s="73"/>
      <c r="F78" s="79"/>
      <c r="G78" s="87"/>
      <c r="H78" s="80"/>
      <c r="I78" s="79"/>
      <c r="J78" s="79"/>
      <c r="K78" s="79"/>
      <c r="L78" s="139"/>
      <c r="M78" s="86"/>
      <c r="N78" s="14"/>
      <c r="O78" s="33"/>
    </row>
    <row r="79" spans="2:19" x14ac:dyDescent="0.2">
      <c r="B79" s="21" t="s">
        <v>396</v>
      </c>
      <c r="C79" s="20" t="s">
        <v>63</v>
      </c>
      <c r="D79" s="18" t="e">
        <f ca="1">_xll.BDP(C79,"SECURITY_NAME")</f>
        <v>#NAME?</v>
      </c>
      <c r="E79" s="18" t="s">
        <v>50</v>
      </c>
      <c r="F79" s="19">
        <v>1050</v>
      </c>
      <c r="G79" s="18" t="e">
        <f ca="1">_xll.BDP(C79,"CRNCY")</f>
        <v>#NAME?</v>
      </c>
      <c r="H79" s="22">
        <v>2400</v>
      </c>
      <c r="I79" s="15">
        <f>F79*H79</f>
        <v>2520000</v>
      </c>
      <c r="J79" s="16" t="e">
        <f ca="1">I79/L79</f>
        <v>#NAME?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42243</v>
      </c>
      <c r="O79" s="33"/>
    </row>
    <row r="80" spans="2:19" x14ac:dyDescent="0.2">
      <c r="B80" s="21" t="s">
        <v>396</v>
      </c>
      <c r="C80" s="20" t="s">
        <v>63</v>
      </c>
      <c r="D80" s="18" t="e">
        <f ca="1">_xll.BDP(C80,"SECURITY_NAME")</f>
        <v>#NAME?</v>
      </c>
      <c r="E80" s="18" t="s">
        <v>50</v>
      </c>
      <c r="F80" s="19">
        <v>1050</v>
      </c>
      <c r="G80" s="18" t="e">
        <f ca="1">_xll.BDP(C80,"CRNCY")</f>
        <v>#NAME?</v>
      </c>
      <c r="H80" s="22">
        <v>2378</v>
      </c>
      <c r="I80" s="15">
        <f>F80*H80</f>
        <v>2496900</v>
      </c>
      <c r="J80" s="16" t="e">
        <f ca="1">I80/L80</f>
        <v>#NAME?</v>
      </c>
      <c r="K80" s="15" t="e">
        <f ca="1">J80*L80</f>
        <v>#NAME?</v>
      </c>
      <c r="L80" s="140" t="e">
        <f ca="1">_xll.BDH("RUB curncy","PX_LAST",$N80)</f>
        <v>#NAME?</v>
      </c>
      <c r="M80" s="85" t="e">
        <f ca="1">1/_xll.BDH("RUB curncy","PX_LAST",$N80)</f>
        <v>#NAME?</v>
      </c>
      <c r="N80" s="14">
        <v>42243</v>
      </c>
      <c r="O80" s="33"/>
      <c r="S80" s="191"/>
    </row>
    <row r="81" spans="2:15" x14ac:dyDescent="0.2">
      <c r="B81" s="71"/>
      <c r="C81" s="33"/>
      <c r="D81" s="73"/>
      <c r="E81" s="73"/>
      <c r="F81" s="79">
        <f>SUM(F79:F80)</f>
        <v>2100</v>
      </c>
      <c r="G81" s="87"/>
      <c r="H81" s="80">
        <f>I81/F81</f>
        <v>2389</v>
      </c>
      <c r="I81" s="79">
        <f>SUM(I79:I80)</f>
        <v>5016900</v>
      </c>
      <c r="J81" s="79" t="e">
        <f ca="1">SUM(J79:J80)</f>
        <v>#NAME?</v>
      </c>
      <c r="K81" s="79" t="e">
        <f ca="1">SUM(K79:K80)</f>
        <v>#NAME?</v>
      </c>
      <c r="L81" s="139"/>
      <c r="M81" s="86"/>
      <c r="N81" s="14"/>
      <c r="O81" s="33"/>
    </row>
    <row r="82" spans="2:15" x14ac:dyDescent="0.2">
      <c r="B82" s="71"/>
      <c r="C82" s="33"/>
      <c r="D82" s="73"/>
      <c r="E82" s="73"/>
      <c r="F82" s="79"/>
      <c r="G82" s="87"/>
      <c r="H82" s="80"/>
      <c r="I82" s="79"/>
      <c r="J82" s="79"/>
      <c r="K82" s="79"/>
      <c r="L82" s="139"/>
      <c r="M82" s="86"/>
      <c r="N82" s="14"/>
      <c r="O82" s="33"/>
    </row>
    <row r="83" spans="2:15" x14ac:dyDescent="0.2">
      <c r="B83" s="21" t="s">
        <v>396</v>
      </c>
      <c r="C83" s="20" t="s">
        <v>2</v>
      </c>
      <c r="D83" s="18" t="e">
        <f ca="1">_xll.BDP(C83,"SECURITY_NAME")</f>
        <v>#NAME?</v>
      </c>
      <c r="E83" s="18" t="s">
        <v>50</v>
      </c>
      <c r="F83" s="19">
        <v>3120</v>
      </c>
      <c r="G83" s="18" t="e">
        <f ca="1">_xll.BDP(C83,"CRNCY")</f>
        <v>#NAME?</v>
      </c>
      <c r="H83" s="22">
        <v>803</v>
      </c>
      <c r="I83" s="15">
        <f>F83*H83</f>
        <v>2505360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42277</v>
      </c>
      <c r="O83" s="33"/>
    </row>
    <row r="84" spans="2:15" x14ac:dyDescent="0.2">
      <c r="B84" s="21" t="s">
        <v>396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3125</v>
      </c>
      <c r="G84" s="18" t="e">
        <f ca="1">_xll.BDP(C84,"CRNCY")</f>
        <v>#NAME?</v>
      </c>
      <c r="H84" s="22">
        <v>800</v>
      </c>
      <c r="I84" s="15">
        <f>F84*H84</f>
        <v>2500000</v>
      </c>
      <c r="J84" s="16" t="e">
        <f ca="1">I84/L84</f>
        <v>#NAME?</v>
      </c>
      <c r="K84" s="15" t="e">
        <f ca="1">J84*L84</f>
        <v>#NAME?</v>
      </c>
      <c r="L84" s="140" t="e">
        <f ca="1">_xll.BDH("RUB curncy","PX_LAST",$N84)</f>
        <v>#NAME?</v>
      </c>
      <c r="M84" s="85" t="e">
        <f ca="1">1/_xll.BDH("RUB curncy","PX_LAST",$N84)</f>
        <v>#NAME?</v>
      </c>
      <c r="N84" s="14">
        <v>42243</v>
      </c>
      <c r="O84" s="33"/>
    </row>
    <row r="85" spans="2:15" x14ac:dyDescent="0.2">
      <c r="B85" s="71"/>
      <c r="C85" s="33"/>
      <c r="D85" s="73"/>
      <c r="E85" s="73"/>
      <c r="F85" s="79">
        <f>SUM(F83:F84)</f>
        <v>6245</v>
      </c>
      <c r="G85" s="87"/>
      <c r="H85" s="80">
        <f>I85/F85</f>
        <v>801.49879903923136</v>
      </c>
      <c r="I85" s="79">
        <f>SUM(I83:I84)</f>
        <v>5005360</v>
      </c>
      <c r="J85" s="79" t="e">
        <f ca="1">SUM(J83:J84)</f>
        <v>#NAME?</v>
      </c>
      <c r="K85" s="79" t="e">
        <f ca="1">SUM(K83:K84)</f>
        <v>#NAME?</v>
      </c>
      <c r="L85" s="139"/>
      <c r="M85" s="86"/>
      <c r="N85" s="14"/>
      <c r="O85" s="33"/>
    </row>
    <row r="86" spans="2:15" x14ac:dyDescent="0.2">
      <c r="B86" s="71"/>
      <c r="C86" s="33"/>
      <c r="D86" s="73"/>
      <c r="E86" s="73"/>
      <c r="F86" s="74"/>
      <c r="G86" s="73"/>
      <c r="H86" s="75"/>
      <c r="I86" s="74"/>
      <c r="J86" s="74"/>
      <c r="K86" s="74"/>
      <c r="L86" s="139"/>
      <c r="M86" s="86"/>
      <c r="N86" s="14"/>
      <c r="O86" s="33"/>
    </row>
    <row r="87" spans="2:15" x14ac:dyDescent="0.2">
      <c r="B87" s="21" t="s">
        <v>396</v>
      </c>
      <c r="C87" s="20" t="s">
        <v>336</v>
      </c>
      <c r="D87" s="18" t="e">
        <f ca="1">_xll.BDP(C87,"SECURITY_NAME")</f>
        <v>#NAME?</v>
      </c>
      <c r="E87" s="18" t="s">
        <v>50</v>
      </c>
      <c r="F87" s="19">
        <f>418+147</f>
        <v>565</v>
      </c>
      <c r="G87" s="18" t="e">
        <f ca="1">_xll.BDP(C87,"CRNCY")</f>
        <v>#NAME?</v>
      </c>
      <c r="H87" s="22" t="e">
        <f ca="1">_xll.BDH(C87,"PX_LAST",N87)</f>
        <v>#NAME?</v>
      </c>
      <c r="I87" s="15" t="e">
        <f ca="1">F87*H87</f>
        <v>#NAME?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42767</v>
      </c>
      <c r="O87" s="33"/>
    </row>
    <row r="88" spans="2:15" x14ac:dyDescent="0.2">
      <c r="B88" s="21" t="s">
        <v>396</v>
      </c>
      <c r="C88" s="20" t="s">
        <v>336</v>
      </c>
      <c r="D88" s="18" t="e">
        <f ca="1">_xll.BDP(C88,"SECURITY_NAME")</f>
        <v>#NAME?</v>
      </c>
      <c r="E88" s="18" t="s">
        <v>50</v>
      </c>
      <c r="F88" s="19">
        <v>11111</v>
      </c>
      <c r="G88" s="18" t="e">
        <f ca="1">_xll.BDP(C88,"CRNCY")</f>
        <v>#NAME?</v>
      </c>
      <c r="H88" s="22">
        <v>449.95</v>
      </c>
      <c r="I88" s="15">
        <f>F88*H88</f>
        <v>4999394.45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42228</v>
      </c>
      <c r="O88" s="33"/>
    </row>
    <row r="89" spans="2:15" x14ac:dyDescent="0.2">
      <c r="B89" s="21" t="s">
        <v>396</v>
      </c>
      <c r="C89" s="20" t="s">
        <v>336</v>
      </c>
      <c r="D89" s="18" t="e">
        <f ca="1">_xll.BDP(C89,"SECURITY_NAME")</f>
        <v>#NAME?</v>
      </c>
      <c r="E89" s="18" t="s">
        <v>50</v>
      </c>
      <c r="F89" s="19">
        <v>7063</v>
      </c>
      <c r="G89" s="18" t="e">
        <f ca="1">_xll.BDP(C89,"CRNCY")</f>
        <v>#NAME?</v>
      </c>
      <c r="H89" s="22">
        <v>447.98320000000001</v>
      </c>
      <c r="I89" s="15">
        <f>F89*H89</f>
        <v>3164105.3415999999</v>
      </c>
      <c r="J89" s="16" t="e">
        <f ca="1">I89/L89</f>
        <v>#NAME?</v>
      </c>
      <c r="K89" s="15" t="e">
        <f ca="1">J89*L89</f>
        <v>#NAME?</v>
      </c>
      <c r="L89" s="140" t="e">
        <f ca="1">_xll.BDH("RUB curncy","PX_LAST",$N89)</f>
        <v>#NAME?</v>
      </c>
      <c r="M89" s="85" t="e">
        <f ca="1">1/_xll.BDH("RUB curncy","PX_LAST",$N89)</f>
        <v>#NAME?</v>
      </c>
      <c r="N89" s="14">
        <v>42230</v>
      </c>
      <c r="O89" s="33"/>
    </row>
    <row r="90" spans="2:15" x14ac:dyDescent="0.2">
      <c r="B90" s="71"/>
      <c r="C90" s="33"/>
      <c r="D90" s="73"/>
      <c r="E90" s="73"/>
      <c r="F90" s="79">
        <f>SUM(F87:F89)</f>
        <v>18739</v>
      </c>
      <c r="G90" s="87"/>
      <c r="H90" s="80" t="e">
        <f ca="1">I90/F90</f>
        <v>#NAME?</v>
      </c>
      <c r="I90" s="79" t="e">
        <f ca="1">SUM(I87:I89)</f>
        <v>#NAME?</v>
      </c>
      <c r="J90" s="79" t="e">
        <f ca="1">SUM(J87:J89)</f>
        <v>#NAME?</v>
      </c>
      <c r="K90" s="79" t="e">
        <f ca="1">SUM(K87:K89)</f>
        <v>#NAME?</v>
      </c>
      <c r="L90" s="139"/>
      <c r="M90" s="86"/>
      <c r="N90" s="14"/>
      <c r="O90" s="33"/>
    </row>
    <row r="91" spans="2:15" x14ac:dyDescent="0.2">
      <c r="B91" s="160"/>
      <c r="D91" s="87"/>
      <c r="E91" s="87"/>
      <c r="F91" s="79"/>
      <c r="G91" s="87"/>
      <c r="H91" s="80"/>
      <c r="I91" s="79"/>
      <c r="J91" s="79"/>
      <c r="K91" s="79"/>
      <c r="L91" s="88"/>
      <c r="M91" s="158"/>
      <c r="N91" s="157"/>
    </row>
    <row r="92" spans="2:15" x14ac:dyDescent="0.2">
      <c r="B92" s="21" t="s">
        <v>396</v>
      </c>
      <c r="C92" s="20" t="s">
        <v>42</v>
      </c>
      <c r="D92" s="18" t="e">
        <f ca="1">_xll.BDP(C92,"SECURITY_NAME")</f>
        <v>#NAME?</v>
      </c>
      <c r="E92" s="18" t="s">
        <v>50</v>
      </c>
      <c r="F92" s="19">
        <v>4590</v>
      </c>
      <c r="G92" s="18" t="e">
        <f ca="1">_xll.BDP(C92,"CRNCY")</f>
        <v>#NAME?</v>
      </c>
      <c r="H92" s="22">
        <v>3.5</v>
      </c>
      <c r="I92" s="15">
        <f>F92*H92</f>
        <v>16065</v>
      </c>
      <c r="J92" s="16">
        <f>I92</f>
        <v>16065</v>
      </c>
      <c r="K92" s="15" t="e">
        <f ca="1">J92*L92</f>
        <v>#NAME?</v>
      </c>
      <c r="L92" s="140" t="e">
        <f ca="1">_xll.BDH("RUB curncy","PX_LAST",$N92)</f>
        <v>#NAME?</v>
      </c>
      <c r="M92" s="85" t="e">
        <f ca="1">1/_xll.BDH("RUB curncy","PX_LAST",$N92)</f>
        <v>#NAME?</v>
      </c>
      <c r="N92" s="14">
        <v>42634</v>
      </c>
    </row>
    <row r="93" spans="2:15" x14ac:dyDescent="0.2">
      <c r="B93" s="21" t="s">
        <v>396</v>
      </c>
      <c r="C93" s="20" t="s">
        <v>42</v>
      </c>
      <c r="D93" s="18" t="e">
        <f ca="1">_xll.BDP(C93,"SECURITY_NAME")</f>
        <v>#NAME?</v>
      </c>
      <c r="E93" s="18" t="s">
        <v>50</v>
      </c>
      <c r="F93" s="19">
        <v>18250</v>
      </c>
      <c r="G93" s="18" t="e">
        <f ca="1">_xll.BDP(C93,"CRNCY")</f>
        <v>#NAME?</v>
      </c>
      <c r="H93" s="22" t="e">
        <f ca="1">_xll.BDH(C93,"PX_LAST",N93)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140" t="e">
        <f ca="1">_xll.BDH("RUB curncy","PX_LAST",$N93)</f>
        <v>#NAME?</v>
      </c>
      <c r="M93" s="85" t="e">
        <f ca="1">1/_xll.BDH("RUB curncy","PX_LAST",$N93)</f>
        <v>#NAME?</v>
      </c>
      <c r="N93" s="14">
        <v>42634</v>
      </c>
    </row>
    <row r="94" spans="2:15" x14ac:dyDescent="0.2">
      <c r="B94" s="71"/>
      <c r="C94" s="33"/>
      <c r="D94" s="73"/>
      <c r="E94" s="73"/>
      <c r="F94" s="79">
        <f>SUM(F92:F93)</f>
        <v>22840</v>
      </c>
      <c r="G94" s="87"/>
      <c r="H94" s="80" t="e">
        <f ca="1">I94/F94</f>
        <v>#NAME?</v>
      </c>
      <c r="I94" s="79" t="e">
        <f ca="1">SUM(I92:I93)</f>
        <v>#NAME?</v>
      </c>
      <c r="J94" s="79" t="e">
        <f ca="1">SUM(J92:J93)</f>
        <v>#NAME?</v>
      </c>
      <c r="K94" s="79" t="e">
        <f ca="1">SUM(K92:K93)</f>
        <v>#NAME?</v>
      </c>
      <c r="L94" s="139"/>
      <c r="M94" s="86"/>
      <c r="N94" s="14"/>
    </row>
    <row r="95" spans="2:15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5" x14ac:dyDescent="0.2">
      <c r="B96" s="21" t="s">
        <v>396</v>
      </c>
      <c r="C96" s="20" t="s">
        <v>18</v>
      </c>
      <c r="D96" s="18" t="e">
        <f ca="1">_xll.BDP(C96,"SECURITY_NAME")</f>
        <v>#NAME?</v>
      </c>
      <c r="E96" s="18" t="s">
        <v>50</v>
      </c>
      <c r="F96" s="19">
        <v>11600</v>
      </c>
      <c r="G96" s="18" t="e">
        <f ca="1">_xll.BDP(C96,"CRNCY")</f>
        <v>#NAME?</v>
      </c>
      <c r="H96" s="22">
        <v>215</v>
      </c>
      <c r="I96" s="15">
        <f>F96*H96</f>
        <v>2494000</v>
      </c>
      <c r="J96" s="16" t="e">
        <f ca="1">I96/L96</f>
        <v>#NAME?</v>
      </c>
      <c r="K96" s="15" t="e">
        <f ca="1">J96*L96</f>
        <v>#NAME?</v>
      </c>
      <c r="L96" s="140" t="e">
        <f ca="1">_xll.BDH("RUB curncy","PX_LAST",$N96)</f>
        <v>#NAME?</v>
      </c>
      <c r="M96" s="85" t="e">
        <f ca="1">1/_xll.BDH("RUB curncy","PX_LAST",$N96)</f>
        <v>#NAME?</v>
      </c>
      <c r="N96" s="14">
        <v>42277</v>
      </c>
    </row>
    <row r="97" spans="2:14" x14ac:dyDescent="0.2">
      <c r="B97" s="21" t="s">
        <v>396</v>
      </c>
      <c r="C97" s="20" t="s">
        <v>18</v>
      </c>
      <c r="D97" s="18" t="e">
        <f ca="1">_xll.BDP(C97,"SECURITY_NAME")</f>
        <v>#NAME?</v>
      </c>
      <c r="E97" s="18" t="s">
        <v>50</v>
      </c>
      <c r="F97" s="19">
        <v>11100</v>
      </c>
      <c r="G97" s="18" t="e">
        <f ca="1">_xll.BDP(C97,"CRNCY")</f>
        <v>#NAME?</v>
      </c>
      <c r="H97" s="22">
        <v>226</v>
      </c>
      <c r="I97" s="15">
        <f>F97*H97</f>
        <v>2508600</v>
      </c>
      <c r="J97" s="16" t="e">
        <f ca="1">I97/L97</f>
        <v>#NAME?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42230</v>
      </c>
    </row>
    <row r="98" spans="2:14" x14ac:dyDescent="0.2">
      <c r="B98" s="71"/>
      <c r="C98" s="33"/>
      <c r="D98" s="73"/>
      <c r="E98" s="73"/>
      <c r="F98" s="79">
        <f>SUM(F96:F97)</f>
        <v>22700</v>
      </c>
      <c r="G98" s="87"/>
      <c r="H98" s="80">
        <f>I98/F98</f>
        <v>220.37885462555067</v>
      </c>
      <c r="I98" s="79">
        <f>SUM(I96:I97)</f>
        <v>5002600</v>
      </c>
      <c r="J98" s="79" t="e">
        <f ca="1">SUM(J96:J97)</f>
        <v>#NAME?</v>
      </c>
      <c r="K98" s="79" t="e">
        <f ca="1">SUM(K96:K97)</f>
        <v>#NAME?</v>
      </c>
      <c r="L98" s="139"/>
      <c r="M98" s="86"/>
      <c r="N98" s="14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21" t="s">
        <v>396</v>
      </c>
      <c r="C100" s="20" t="s">
        <v>46</v>
      </c>
      <c r="D100" s="18" t="e">
        <f ca="1">_xll.BDP(C100,"SECURITY_NAME")</f>
        <v>#NAME?</v>
      </c>
      <c r="E100" s="18" t="s">
        <v>50</v>
      </c>
      <c r="F100" s="19">
        <v>1916</v>
      </c>
      <c r="G100" s="18" t="e">
        <f ca="1">_xll.BDP(C100,"CRNCY")</f>
        <v>#NAME?</v>
      </c>
      <c r="H100" s="22">
        <v>1305</v>
      </c>
      <c r="I100" s="15">
        <f>F100*H100</f>
        <v>2500380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42243</v>
      </c>
    </row>
    <row r="101" spans="2:14" x14ac:dyDescent="0.2">
      <c r="B101" s="21" t="s">
        <v>396</v>
      </c>
      <c r="C101" s="20" t="s">
        <v>46</v>
      </c>
      <c r="D101" s="18" t="e">
        <f ca="1">_xll.BDP(C101,"SECURITY_NAME")</f>
        <v>#NAME?</v>
      </c>
      <c r="E101" s="18" t="s">
        <v>50</v>
      </c>
      <c r="F101" s="19">
        <v>1830</v>
      </c>
      <c r="G101" s="18" t="e">
        <f ca="1">_xll.BDP(C101,"CRNCY")</f>
        <v>#NAME?</v>
      </c>
      <c r="H101" s="22">
        <v>1368</v>
      </c>
      <c r="I101" s="15">
        <f>F101*H101</f>
        <v>2503440</v>
      </c>
      <c r="J101" s="16" t="e">
        <f ca="1">I101/L101</f>
        <v>#NAME?</v>
      </c>
      <c r="K101" s="15" t="e">
        <f ca="1">J101*L101</f>
        <v>#NAME?</v>
      </c>
      <c r="L101" s="140" t="e">
        <f ca="1">_xll.BDH("RUB curncy","PX_LAST",$N101)</f>
        <v>#NAME?</v>
      </c>
      <c r="M101" s="85" t="e">
        <f ca="1">1/_xll.BDH("RUB curncy","PX_LAST",$N101)</f>
        <v>#NAME?</v>
      </c>
      <c r="N101" s="14">
        <v>42234</v>
      </c>
    </row>
    <row r="102" spans="2:14" x14ac:dyDescent="0.2">
      <c r="B102" s="71"/>
      <c r="C102" s="33"/>
      <c r="D102" s="73"/>
      <c r="E102" s="73"/>
      <c r="F102" s="79">
        <f>SUM(F100:F101)</f>
        <v>3746</v>
      </c>
      <c r="G102" s="87"/>
      <c r="H102" s="80">
        <f>I102/F102</f>
        <v>1335.7768286171918</v>
      </c>
      <c r="I102" s="79">
        <f>SUM(I100:I101)</f>
        <v>5003820</v>
      </c>
      <c r="J102" s="79" t="e">
        <f ca="1">SUM(J100:J101)</f>
        <v>#NAME?</v>
      </c>
      <c r="K102" s="79" t="e">
        <f ca="1">SUM(K100:K101)</f>
        <v>#NAME?</v>
      </c>
      <c r="L102" s="139"/>
      <c r="M102" s="86"/>
      <c r="N102" s="14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B104" s="21" t="s">
        <v>396</v>
      </c>
      <c r="C104" s="20" t="s">
        <v>134</v>
      </c>
      <c r="D104" s="18" t="e">
        <f ca="1">_xll.BDP(C104,"SECURITY_NAME")</f>
        <v>#NAME?</v>
      </c>
      <c r="E104" s="18" t="s">
        <v>50</v>
      </c>
      <c r="F104" s="19">
        <f>2429+1179</f>
        <v>3608</v>
      </c>
      <c r="G104" s="18" t="e">
        <f ca="1">_xll.BDP(C104,"CRNCY")</f>
        <v>#NAME?</v>
      </c>
      <c r="H104" s="22">
        <v>0.99250000000000005</v>
      </c>
      <c r="I104" s="15">
        <f>F104*H104</f>
        <v>3580.94</v>
      </c>
      <c r="J104" s="16" t="e">
        <f t="shared" ref="J104:K106" ca="1" si="9">I104*L104</f>
        <v>#NAME?</v>
      </c>
      <c r="K104" s="15" t="e">
        <f t="shared" ca="1" si="9"/>
        <v>#NAME?</v>
      </c>
      <c r="L104" s="140" t="e">
        <f ca="1">_xll.BDH("GBP curncy","PX_LAST",$N104)</f>
        <v>#NAME?</v>
      </c>
      <c r="M104" s="85" t="e">
        <f ca="1">_xll.BDH("RUB curncy","PX_LAST",$N104)</f>
        <v>#NAME?</v>
      </c>
      <c r="N104" s="14">
        <v>42548</v>
      </c>
    </row>
    <row r="105" spans="2:14" x14ac:dyDescent="0.2">
      <c r="B105" s="21" t="s">
        <v>396</v>
      </c>
      <c r="C105" s="20" t="s">
        <v>134</v>
      </c>
      <c r="D105" s="18" t="e">
        <f ca="1">_xll.BDP(C105,"SECURITY_NAME")</f>
        <v>#NAME?</v>
      </c>
      <c r="E105" s="18" t="s">
        <v>50</v>
      </c>
      <c r="F105" s="19">
        <v>50000</v>
      </c>
      <c r="G105" s="18" t="e">
        <f ca="1">_xll.BDP(C105,"CRNCY")</f>
        <v>#NAME?</v>
      </c>
      <c r="H105" s="22">
        <v>0.5</v>
      </c>
      <c r="I105" s="15">
        <f>F105*H105</f>
        <v>25000</v>
      </c>
      <c r="J105" s="16" t="e">
        <f t="shared" ca="1" si="9"/>
        <v>#NAME?</v>
      </c>
      <c r="K105" s="15" t="e">
        <f t="shared" ca="1" si="9"/>
        <v>#NAME?</v>
      </c>
      <c r="L105" s="140" t="e">
        <f ca="1">_xll.BDH("GBP curncy","PX_LAST",$N105)</f>
        <v>#NAME?</v>
      </c>
      <c r="M105" s="85" t="e">
        <f ca="1">_xll.BDH("RUB curncy","PX_LAST",$N105)</f>
        <v>#NAME?</v>
      </c>
      <c r="N105" s="14">
        <v>42320</v>
      </c>
    </row>
    <row r="106" spans="2:14" x14ac:dyDescent="0.2">
      <c r="B106" s="21" t="s">
        <v>396</v>
      </c>
      <c r="C106" s="20" t="s">
        <v>134</v>
      </c>
      <c r="D106" s="18" t="e">
        <f ca="1">_xll.BDP(C106,"SECURITY_NAME")</f>
        <v>#NAME?</v>
      </c>
      <c r="E106" s="18" t="s">
        <v>50</v>
      </c>
      <c r="F106" s="19">
        <v>52400</v>
      </c>
      <c r="G106" s="18" t="e">
        <f ca="1">_xll.BDP(C106,"CRNCY")</f>
        <v>#NAME?</v>
      </c>
      <c r="H106" s="22">
        <v>0.46250000000000002</v>
      </c>
      <c r="I106" s="15">
        <f>F106*H106</f>
        <v>24235</v>
      </c>
      <c r="J106" s="16" t="e">
        <f t="shared" ca="1" si="9"/>
        <v>#NAME?</v>
      </c>
      <c r="K106" s="15" t="e">
        <f t="shared" ca="1" si="9"/>
        <v>#NAME?</v>
      </c>
      <c r="L106" s="140" t="e">
        <f ca="1">_xll.BDH("GBP curncy","PX_LAST",$N106)</f>
        <v>#NAME?</v>
      </c>
      <c r="M106" s="85" t="e">
        <f ca="1">_xll.BDH("RUB curncy","PX_LAST",$N106)</f>
        <v>#NAME?</v>
      </c>
      <c r="N106" s="14">
        <v>42237</v>
      </c>
    </row>
    <row r="107" spans="2:14" x14ac:dyDescent="0.2">
      <c r="B107" s="71"/>
      <c r="C107" s="33"/>
      <c r="D107" s="73"/>
      <c r="E107" s="73"/>
      <c r="F107" s="79">
        <f>SUM(F104:F106)</f>
        <v>106008</v>
      </c>
      <c r="G107" s="87"/>
      <c r="H107" s="80">
        <f>I107/F107</f>
        <v>0.49822598294468345</v>
      </c>
      <c r="I107" s="79">
        <f>SUM(I104:I106)</f>
        <v>52815.94</v>
      </c>
      <c r="J107" s="79" t="e">
        <f ca="1">SUM(J104:J106)</f>
        <v>#NAME?</v>
      </c>
      <c r="K107" s="79" t="e">
        <f ca="1">SUM(K104:K106)</f>
        <v>#NAME?</v>
      </c>
      <c r="L107" s="139"/>
      <c r="M107" s="86"/>
      <c r="N107" s="14"/>
    </row>
    <row r="109" spans="2:14" x14ac:dyDescent="0.2">
      <c r="B109" s="21" t="s">
        <v>396</v>
      </c>
      <c r="C109" s="20" t="s">
        <v>35</v>
      </c>
      <c r="D109" s="18" t="e">
        <f ca="1">_xll.BDP(C109,"SECURITY_NAME")</f>
        <v>#NAME?</v>
      </c>
      <c r="E109" s="18" t="s">
        <v>50</v>
      </c>
      <c r="F109" s="19">
        <v>264</v>
      </c>
      <c r="G109" s="18" t="e">
        <f ca="1">_xll.BDP(C109,"CRNCY")</f>
        <v>#NAME?</v>
      </c>
      <c r="H109" s="22">
        <v>9448</v>
      </c>
      <c r="I109" s="15">
        <f>F109*H109</f>
        <v>2494272</v>
      </c>
      <c r="J109" s="16" t="e">
        <f ca="1">I109/L109</f>
        <v>#NAME?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42277</v>
      </c>
    </row>
    <row r="110" spans="2:14" x14ac:dyDescent="0.2">
      <c r="B110" s="21" t="s">
        <v>396</v>
      </c>
      <c r="C110" s="20" t="s">
        <v>35</v>
      </c>
      <c r="D110" s="18" t="e">
        <f ca="1">_xll.BDP(C110,"SECURITY_NAME")</f>
        <v>#NAME?</v>
      </c>
      <c r="E110" s="18" t="s">
        <v>50</v>
      </c>
      <c r="F110" s="19">
        <v>260</v>
      </c>
      <c r="G110" s="18" t="e">
        <f ca="1">_xll.BDP(C110,"CRNCY")</f>
        <v>#NAME?</v>
      </c>
      <c r="H110" s="22">
        <v>9700</v>
      </c>
      <c r="I110" s="15">
        <f>F110*H110</f>
        <v>2522000</v>
      </c>
      <c r="J110" s="16" t="e">
        <f ca="1">I110/L110</f>
        <v>#NAME?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42235</v>
      </c>
    </row>
    <row r="111" spans="2:14" x14ac:dyDescent="0.2">
      <c r="B111" s="71"/>
      <c r="C111" s="33"/>
      <c r="D111" s="73"/>
      <c r="E111" s="73"/>
      <c r="F111" s="79">
        <f>SUM(F109:F110)</f>
        <v>524</v>
      </c>
      <c r="G111" s="87"/>
      <c r="H111" s="80">
        <f>I111/F111</f>
        <v>9573.038167938932</v>
      </c>
      <c r="I111" s="79">
        <f>SUM(I109:I110)</f>
        <v>5016272</v>
      </c>
      <c r="J111" s="79" t="e">
        <f ca="1">SUM(J109:J110)</f>
        <v>#NAME?</v>
      </c>
      <c r="K111" s="79" t="e">
        <f ca="1">SUM(K109:K110)</f>
        <v>#NAME?</v>
      </c>
      <c r="L111" s="139"/>
      <c r="M111" s="86"/>
      <c r="N111" s="14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396</v>
      </c>
      <c r="C113" s="41" t="s">
        <v>697</v>
      </c>
      <c r="D113" s="251" t="e">
        <f ca="1">_xll.BDP(C113,"SECURITY_NAME")</f>
        <v>#NAME?</v>
      </c>
      <c r="E113" s="251" t="s">
        <v>50</v>
      </c>
      <c r="F113" s="252">
        <v>200000</v>
      </c>
      <c r="G113" s="251" t="e">
        <f ca="1">_xll.BDP(C113,"CRNCY")</f>
        <v>#NAME?</v>
      </c>
      <c r="H113" s="250">
        <v>90.89</v>
      </c>
      <c r="I113" s="248">
        <f>F113*H113/100</f>
        <v>181780</v>
      </c>
      <c r="J113" s="249">
        <f>I113</f>
        <v>181780</v>
      </c>
      <c r="K113" s="248" t="e">
        <f ca="1">J113*L113</f>
        <v>#NAME?</v>
      </c>
      <c r="L113" s="247" t="e">
        <f ca="1">_xll.BDH("RUB curncy","PX_LAST",$N113)</f>
        <v>#NAME?</v>
      </c>
      <c r="M113" s="246" t="e">
        <f ca="1">1/_xll.BDH("RUB curncy","PX_LAST",$N113)</f>
        <v>#NAME?</v>
      </c>
      <c r="N113" s="239">
        <v>42544</v>
      </c>
    </row>
    <row r="114" spans="2:14" x14ac:dyDescent="0.2">
      <c r="B114" s="217"/>
      <c r="D114" s="215"/>
      <c r="E114" s="215"/>
      <c r="F114" s="213">
        <f>SUM(F113)</f>
        <v>200000</v>
      </c>
      <c r="G114" s="215"/>
      <c r="H114" s="214">
        <f>I114/F114*100</f>
        <v>90.89</v>
      </c>
      <c r="I114" s="213">
        <f>SUM(I113)</f>
        <v>181780</v>
      </c>
      <c r="J114" s="213">
        <f>SUM(J113)</f>
        <v>181780</v>
      </c>
      <c r="K114" s="213" t="e">
        <f ca="1">SUM(K113)</f>
        <v>#NAME?</v>
      </c>
      <c r="L114" s="212"/>
      <c r="M114" s="211"/>
      <c r="N114" s="210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7" spans="2:14" x14ac:dyDescent="0.2">
      <c r="B117" s="160"/>
      <c r="D117" s="87"/>
      <c r="E117" s="87"/>
      <c r="F117" s="79"/>
      <c r="G117" s="87"/>
      <c r="H117" s="80"/>
      <c r="I117" s="79"/>
      <c r="J117" s="79"/>
      <c r="K117" s="79"/>
      <c r="L117" s="88"/>
      <c r="M117" s="158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0"/>
      <c r="C120" s="159"/>
      <c r="D120" s="87"/>
      <c r="E120" s="87"/>
      <c r="F120" s="79"/>
      <c r="G120" s="87"/>
      <c r="H120" s="99"/>
      <c r="I120" s="79"/>
      <c r="J120" s="79"/>
      <c r="K120" s="79"/>
      <c r="L120" s="88"/>
      <c r="M120" s="158"/>
      <c r="N120" s="157"/>
    </row>
    <row r="121" spans="2:14" x14ac:dyDescent="0.2">
      <c r="B121" s="160"/>
      <c r="C121" s="159"/>
      <c r="D121" s="87"/>
      <c r="E121" s="87"/>
      <c r="F121" s="79"/>
      <c r="G121" s="87"/>
      <c r="H121" s="99"/>
      <c r="I121" s="79"/>
      <c r="J121" s="79"/>
      <c r="K121" s="79"/>
      <c r="L121" s="88"/>
      <c r="M121" s="158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0"/>
      <c r="C123" s="159"/>
      <c r="D123" s="87"/>
      <c r="E123" s="87"/>
      <c r="F123" s="79"/>
      <c r="G123" s="87"/>
      <c r="H123" s="99"/>
      <c r="I123" s="79"/>
      <c r="J123" s="79"/>
      <c r="K123" s="79"/>
      <c r="L123" s="88"/>
      <c r="M123" s="158"/>
      <c r="N123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7"/>
      <c r="C127" s="166"/>
      <c r="D127" s="165"/>
      <c r="E127" s="165"/>
      <c r="F127" s="96"/>
      <c r="G127" s="165"/>
      <c r="H127" s="97"/>
      <c r="I127" s="163"/>
      <c r="J127" s="164"/>
      <c r="K127" s="163"/>
      <c r="L127" s="162"/>
      <c r="M127" s="161"/>
      <c r="N127" s="157"/>
    </row>
    <row r="128" spans="2:14" x14ac:dyDescent="0.2">
      <c r="B128" s="167"/>
      <c r="C128" s="166"/>
      <c r="D128" s="165"/>
      <c r="E128" s="165"/>
      <c r="F128" s="96"/>
      <c r="G128" s="165"/>
      <c r="H128" s="97"/>
      <c r="I128" s="163"/>
      <c r="J128" s="164"/>
      <c r="K128" s="163"/>
      <c r="L128" s="162"/>
      <c r="M128" s="161"/>
      <c r="N128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99"/>
      <c r="I132" s="79"/>
      <c r="J132" s="79"/>
      <c r="K132" s="79"/>
      <c r="L132" s="88"/>
      <c r="M132" s="158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160"/>
      <c r="C135" s="159"/>
      <c r="D135" s="87"/>
      <c r="E135" s="87"/>
      <c r="F135" s="79"/>
      <c r="G135" s="87"/>
      <c r="H135" s="99"/>
      <c r="I135" s="79"/>
      <c r="J135" s="79"/>
      <c r="K135" s="79"/>
      <c r="L135" s="88"/>
      <c r="M135" s="158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0"/>
      <c r="C137" s="159"/>
      <c r="D137" s="87"/>
      <c r="E137" s="87"/>
      <c r="F137" s="79"/>
      <c r="G137" s="87"/>
      <c r="H137" s="99"/>
      <c r="I137" s="79"/>
      <c r="J137" s="79"/>
      <c r="K137" s="79"/>
      <c r="L137" s="88"/>
      <c r="M137" s="158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0"/>
      <c r="C140" s="159"/>
      <c r="D140" s="87"/>
      <c r="E140" s="87"/>
      <c r="F140" s="79"/>
      <c r="G140" s="87"/>
      <c r="H140" s="99"/>
      <c r="I140" s="79"/>
      <c r="J140" s="79"/>
      <c r="K140" s="79"/>
      <c r="L140" s="88"/>
      <c r="M140" s="158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9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9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0"/>
      <c r="C149" s="159"/>
      <c r="D149" s="87"/>
      <c r="E149" s="87"/>
      <c r="F149" s="79"/>
      <c r="G149" s="87"/>
      <c r="H149" s="99"/>
      <c r="I149" s="79"/>
      <c r="J149" s="79"/>
      <c r="K149" s="79"/>
      <c r="L149" s="88"/>
      <c r="M149" s="158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0"/>
      <c r="C152" s="159"/>
      <c r="D152" s="87"/>
      <c r="E152" s="87"/>
      <c r="F152" s="79"/>
      <c r="G152" s="87"/>
      <c r="H152" s="99"/>
      <c r="I152" s="79"/>
      <c r="J152" s="79"/>
      <c r="K152" s="79"/>
      <c r="L152" s="88"/>
      <c r="M152" s="158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99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99"/>
      <c r="I158" s="79"/>
      <c r="J158" s="79"/>
      <c r="K158" s="79"/>
      <c r="L158" s="88"/>
      <c r="M158" s="158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0"/>
      <c r="C161" s="159"/>
      <c r="D161" s="87"/>
      <c r="E161" s="87"/>
      <c r="F161" s="79"/>
      <c r="G161" s="87"/>
      <c r="H161" s="99"/>
      <c r="I161" s="79"/>
      <c r="J161" s="79"/>
      <c r="K161" s="79"/>
      <c r="L161" s="88"/>
      <c r="M161" s="158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99"/>
      <c r="I162" s="79"/>
      <c r="J162" s="79"/>
      <c r="K162" s="79"/>
      <c r="L162" s="88"/>
      <c r="M162" s="158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99"/>
      <c r="I164" s="79"/>
      <c r="J164" s="79"/>
      <c r="K164" s="79"/>
      <c r="L164" s="88"/>
      <c r="M164" s="158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99"/>
      <c r="I165" s="79"/>
      <c r="J165" s="79"/>
      <c r="K165" s="79"/>
      <c r="L165" s="88"/>
      <c r="M165" s="158"/>
      <c r="N165" s="157"/>
    </row>
    <row r="166" spans="2:14" x14ac:dyDescent="0.2">
      <c r="B166" s="167"/>
      <c r="C166" s="166"/>
      <c r="D166" s="165"/>
      <c r="E166" s="165"/>
      <c r="F166" s="96"/>
      <c r="G166" s="165"/>
      <c r="H166" s="97"/>
      <c r="I166" s="163"/>
      <c r="J166" s="164"/>
      <c r="K166" s="163"/>
      <c r="L166" s="162"/>
      <c r="M166" s="161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99"/>
      <c r="I167" s="79"/>
      <c r="J167" s="79"/>
      <c r="K167" s="79"/>
      <c r="L167" s="88"/>
      <c r="M167" s="158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99"/>
      <c r="I168" s="79"/>
      <c r="J168" s="79"/>
      <c r="K168" s="79"/>
      <c r="L168" s="88"/>
      <c r="M168" s="158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99"/>
      <c r="I170" s="79"/>
      <c r="J170" s="79"/>
      <c r="K170" s="79"/>
      <c r="L170" s="88"/>
      <c r="M170" s="158"/>
      <c r="N170" s="157"/>
    </row>
    <row r="171" spans="2:14" x14ac:dyDescent="0.2">
      <c r="B171" s="160"/>
      <c r="C171" s="159"/>
      <c r="D171" s="87"/>
      <c r="E171" s="87"/>
      <c r="F171" s="79"/>
      <c r="G171" s="87"/>
      <c r="H171" s="99"/>
      <c r="I171" s="79"/>
      <c r="J171" s="79"/>
      <c r="K171" s="79"/>
      <c r="L171" s="88"/>
      <c r="M171" s="158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99"/>
      <c r="I173" s="79"/>
      <c r="J173" s="79"/>
      <c r="K173" s="79"/>
      <c r="L173" s="88"/>
      <c r="M173" s="158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99"/>
      <c r="I174" s="79"/>
      <c r="J174" s="79"/>
      <c r="K174" s="79"/>
      <c r="L174" s="88"/>
      <c r="M174" s="158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99"/>
      <c r="I176" s="79"/>
      <c r="J176" s="79"/>
      <c r="K176" s="79"/>
      <c r="L176" s="88"/>
      <c r="M176" s="158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0"/>
      <c r="C194" s="159"/>
      <c r="D194" s="87"/>
      <c r="E194" s="87"/>
      <c r="F194" s="79"/>
      <c r="G194" s="87"/>
      <c r="H194" s="99"/>
      <c r="I194" s="79"/>
      <c r="J194" s="79"/>
      <c r="K194" s="79"/>
      <c r="L194" s="88"/>
      <c r="M194" s="158"/>
      <c r="N194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0"/>
      <c r="C197" s="159"/>
      <c r="D197" s="87"/>
      <c r="E197" s="87"/>
      <c r="F197" s="79"/>
      <c r="G197" s="87"/>
      <c r="H197" s="99"/>
      <c r="I197" s="79"/>
      <c r="J197" s="79"/>
      <c r="K197" s="79"/>
      <c r="L197" s="88"/>
      <c r="M197" s="158"/>
      <c r="N197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C200" s="159"/>
      <c r="D200" s="87"/>
      <c r="E200" s="87"/>
      <c r="F200" s="79"/>
      <c r="G200" s="87"/>
      <c r="H200" s="99"/>
      <c r="I200" s="79"/>
      <c r="J200" s="79"/>
      <c r="K200" s="79"/>
      <c r="L200" s="88"/>
      <c r="M200" s="158"/>
      <c r="N200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100"/>
      <c r="I203" s="79"/>
      <c r="J203" s="79"/>
      <c r="K203" s="79"/>
      <c r="L203" s="88"/>
      <c r="M203" s="158"/>
      <c r="N203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0"/>
      <c r="D206" s="87"/>
      <c r="E206" s="87"/>
      <c r="F206" s="79"/>
      <c r="G206" s="87"/>
      <c r="H206" s="80"/>
      <c r="I206" s="79"/>
      <c r="J206" s="79"/>
      <c r="K206" s="79"/>
      <c r="L206" s="88"/>
      <c r="M206" s="158"/>
      <c r="N206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F214" s="79"/>
      <c r="H214" s="80"/>
      <c r="I214" s="79"/>
      <c r="J214" s="79"/>
      <c r="K214" s="79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D217" s="87"/>
      <c r="E217" s="87"/>
      <c r="F217" s="79"/>
      <c r="G217" s="87"/>
      <c r="H217" s="80"/>
      <c r="I217" s="79"/>
      <c r="J217" s="79"/>
      <c r="K217" s="79"/>
      <c r="L217" s="88"/>
      <c r="M217" s="158"/>
      <c r="N217" s="157"/>
    </row>
    <row r="218" spans="2:14" x14ac:dyDescent="0.2">
      <c r="B218" s="160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F229" s="79"/>
      <c r="H229" s="80"/>
      <c r="I229" s="79"/>
      <c r="J229" s="79"/>
      <c r="K229" s="79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F233" s="79"/>
      <c r="G233" s="79"/>
      <c r="H233" s="80"/>
      <c r="I233" s="79"/>
      <c r="J233" s="79"/>
      <c r="K233" s="79"/>
    </row>
    <row r="234" spans="2:14" x14ac:dyDescent="0.2">
      <c r="G234" s="79"/>
      <c r="H234" s="80"/>
      <c r="I234" s="79"/>
      <c r="J234" s="79"/>
      <c r="K234" s="79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7"/>
      <c r="C236" s="166"/>
      <c r="D236" s="165"/>
      <c r="E236" s="165"/>
      <c r="F236" s="96"/>
      <c r="G236" s="165"/>
      <c r="H236" s="97"/>
      <c r="I236" s="163"/>
      <c r="J236" s="164"/>
      <c r="K236" s="163"/>
      <c r="L236" s="162"/>
      <c r="M236" s="161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79"/>
      <c r="I238" s="79"/>
      <c r="J238" s="79"/>
      <c r="K238" s="79"/>
      <c r="L238" s="88"/>
      <c r="M238" s="158"/>
      <c r="N238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79"/>
      <c r="J247" s="79"/>
      <c r="K247" s="79"/>
      <c r="L247" s="88"/>
      <c r="M247" s="158"/>
      <c r="N247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79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79"/>
      <c r="J258" s="79"/>
      <c r="K258" s="79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0"/>
      <c r="C268" s="159"/>
      <c r="D268" s="87"/>
      <c r="E268" s="87"/>
      <c r="F268" s="79"/>
      <c r="G268" s="87"/>
      <c r="H268" s="80"/>
      <c r="I268" s="79"/>
      <c r="J268" s="79"/>
      <c r="K268" s="79"/>
      <c r="L268" s="88"/>
      <c r="M268" s="158"/>
      <c r="N268" s="157"/>
    </row>
    <row r="269" spans="2:14" x14ac:dyDescent="0.2">
      <c r="B269" s="160"/>
      <c r="C269" s="159"/>
      <c r="D269" s="87"/>
      <c r="E269" s="87"/>
      <c r="F269" s="79"/>
      <c r="G269" s="87"/>
      <c r="H269" s="80"/>
      <c r="I269" s="79"/>
      <c r="J269" s="79"/>
      <c r="K269" s="79"/>
      <c r="L269" s="88"/>
      <c r="M269" s="158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0"/>
      <c r="C276" s="159"/>
      <c r="D276" s="87"/>
      <c r="E276" s="87"/>
      <c r="F276" s="79"/>
      <c r="G276" s="87"/>
      <c r="H276" s="80"/>
      <c r="I276" s="79"/>
      <c r="J276" s="79"/>
      <c r="K276" s="79"/>
      <c r="L276" s="88"/>
      <c r="M276" s="158"/>
      <c r="N276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0"/>
      <c r="C279" s="159"/>
      <c r="D279" s="87"/>
      <c r="E279" s="87"/>
      <c r="F279" s="79"/>
      <c r="G279" s="87"/>
      <c r="H279" s="80"/>
      <c r="I279" s="79"/>
      <c r="J279" s="79"/>
      <c r="K279" s="79"/>
      <c r="L279" s="88"/>
      <c r="M279" s="158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F294" s="79"/>
      <c r="H294" s="88"/>
      <c r="I294" s="79"/>
      <c r="J294" s="79"/>
      <c r="K294" s="79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73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73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8"/>
      <c r="I301" s="79"/>
      <c r="J301" s="79"/>
      <c r="K301" s="79"/>
      <c r="L301" s="88"/>
      <c r="M301" s="173"/>
      <c r="N301" s="157"/>
    </row>
    <row r="302" spans="2:14" x14ac:dyDescent="0.2">
      <c r="B302" s="160"/>
      <c r="C302" s="159"/>
      <c r="D302" s="87"/>
      <c r="E302" s="87"/>
      <c r="F302" s="79"/>
      <c r="G302" s="87"/>
      <c r="H302" s="80"/>
      <c r="I302" s="79"/>
      <c r="J302" s="79"/>
      <c r="K302" s="79"/>
      <c r="L302" s="88"/>
      <c r="M302" s="173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79"/>
      <c r="J316" s="79"/>
      <c r="K316" s="79"/>
      <c r="L316" s="88"/>
      <c r="M316" s="158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168"/>
      <c r="J317" s="169"/>
      <c r="K317" s="168"/>
      <c r="L317" s="88"/>
      <c r="M317" s="158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7"/>
      <c r="C321" s="166"/>
      <c r="D321" s="165"/>
      <c r="E321" s="165"/>
      <c r="F321" s="96"/>
      <c r="G321" s="165"/>
      <c r="H321" s="97"/>
      <c r="I321" s="163"/>
      <c r="J321" s="164"/>
      <c r="K321" s="163"/>
      <c r="L321" s="162"/>
      <c r="M321" s="161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79"/>
      <c r="J332" s="79"/>
      <c r="K332" s="79"/>
      <c r="L332" s="88"/>
      <c r="M332" s="158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168"/>
      <c r="J333" s="169"/>
      <c r="K333" s="168"/>
      <c r="L333" s="88"/>
      <c r="M333" s="158"/>
      <c r="N333" s="157"/>
    </row>
    <row r="334" spans="2:14" x14ac:dyDescent="0.2">
      <c r="B334" s="167"/>
      <c r="C334" s="166"/>
      <c r="D334" s="165"/>
      <c r="E334" s="165"/>
      <c r="F334" s="96"/>
      <c r="G334" s="165"/>
      <c r="H334" s="97"/>
      <c r="I334" s="163"/>
      <c r="J334" s="164"/>
      <c r="K334" s="163"/>
      <c r="L334" s="162"/>
      <c r="M334" s="161"/>
      <c r="N334" s="157"/>
    </row>
    <row r="335" spans="2:14" x14ac:dyDescent="0.2">
      <c r="B335" s="167"/>
      <c r="C335" s="166"/>
      <c r="D335" s="165"/>
      <c r="E335" s="165"/>
      <c r="F335" s="96"/>
      <c r="G335" s="165"/>
      <c r="H335" s="97"/>
      <c r="I335" s="163"/>
      <c r="J335" s="164"/>
      <c r="K335" s="163"/>
      <c r="L335" s="162"/>
      <c r="M335" s="161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73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80"/>
      <c r="I339" s="79"/>
      <c r="J339" s="79"/>
      <c r="K339" s="79"/>
      <c r="L339" s="88"/>
      <c r="M339" s="173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97"/>
      <c r="I340" s="163"/>
      <c r="J340" s="164"/>
      <c r="K340" s="163"/>
      <c r="L340" s="162"/>
      <c r="M340" s="161"/>
      <c r="N340" s="157"/>
    </row>
    <row r="341" spans="2:14" x14ac:dyDescent="0.2">
      <c r="B341" s="167"/>
      <c r="C341" s="166"/>
      <c r="D341" s="165"/>
      <c r="E341" s="165"/>
      <c r="F341" s="96"/>
      <c r="G341" s="165"/>
      <c r="H341" s="97"/>
      <c r="I341" s="163"/>
      <c r="J341" s="164"/>
      <c r="K341" s="163"/>
      <c r="L341" s="162"/>
      <c r="M341" s="161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80"/>
      <c r="I342" s="79"/>
      <c r="J342" s="79"/>
      <c r="K342" s="79"/>
      <c r="L342" s="88"/>
      <c r="M342" s="173"/>
      <c r="N342" s="157"/>
    </row>
    <row r="343" spans="2:14" x14ac:dyDescent="0.2">
      <c r="B343" s="160"/>
      <c r="C343" s="159"/>
      <c r="D343" s="87"/>
      <c r="E343" s="87"/>
      <c r="F343" s="79"/>
      <c r="G343" s="87"/>
      <c r="H343" s="80"/>
      <c r="I343" s="79"/>
      <c r="J343" s="79"/>
      <c r="K343" s="79"/>
      <c r="L343" s="88"/>
      <c r="M343" s="173"/>
      <c r="N343" s="157"/>
    </row>
    <row r="344" spans="2:14" x14ac:dyDescent="0.2">
      <c r="B344" s="167"/>
      <c r="C344" s="166"/>
      <c r="D344" s="165"/>
      <c r="E344" s="165"/>
      <c r="F344" s="96"/>
      <c r="G344" s="165"/>
      <c r="H344" s="97"/>
      <c r="I344" s="163"/>
      <c r="J344" s="164"/>
      <c r="K344" s="163"/>
      <c r="L344" s="162"/>
      <c r="M344" s="161"/>
      <c r="N344" s="157"/>
    </row>
    <row r="345" spans="2:14" x14ac:dyDescent="0.2">
      <c r="B345" s="167"/>
      <c r="C345" s="166"/>
      <c r="D345" s="165"/>
      <c r="E345" s="165"/>
      <c r="F345" s="96"/>
      <c r="G345" s="165"/>
      <c r="H345" s="97"/>
      <c r="I345" s="163"/>
      <c r="J345" s="164"/>
      <c r="K345" s="163"/>
      <c r="L345" s="162"/>
      <c r="M345" s="161"/>
      <c r="N345" s="157"/>
    </row>
    <row r="346" spans="2:14" x14ac:dyDescent="0.2">
      <c r="B346" s="160"/>
      <c r="C346" s="159"/>
      <c r="D346" s="87"/>
      <c r="E346" s="87"/>
      <c r="F346" s="79"/>
      <c r="G346" s="87"/>
      <c r="H346" s="80"/>
      <c r="I346" s="79"/>
      <c r="J346" s="79"/>
      <c r="K346" s="79"/>
      <c r="L346" s="88"/>
      <c r="M346" s="173"/>
      <c r="N346" s="157"/>
    </row>
    <row r="347" spans="2:14" x14ac:dyDescent="0.2">
      <c r="B347" s="160"/>
      <c r="C347" s="159"/>
      <c r="D347" s="87"/>
      <c r="E347" s="87"/>
      <c r="F347" s="79"/>
      <c r="G347" s="87"/>
      <c r="H347" s="80"/>
      <c r="I347" s="79"/>
      <c r="J347" s="79"/>
      <c r="K347" s="79"/>
      <c r="L347" s="88"/>
      <c r="M347" s="173"/>
      <c r="N347" s="157"/>
    </row>
    <row r="348" spans="2:14" x14ac:dyDescent="0.2">
      <c r="B348" s="167"/>
      <c r="C348" s="166"/>
      <c r="D348" s="165"/>
      <c r="E348" s="165"/>
      <c r="F348" s="96"/>
      <c r="G348" s="165"/>
      <c r="H348" s="97"/>
      <c r="I348" s="163"/>
      <c r="J348" s="164"/>
      <c r="K348" s="163"/>
      <c r="L348" s="162"/>
      <c r="M348" s="161"/>
      <c r="N348" s="157"/>
    </row>
    <row r="349" spans="2:14" x14ac:dyDescent="0.2">
      <c r="B349" s="167"/>
      <c r="C349" s="166"/>
      <c r="D349" s="165"/>
      <c r="E349" s="165"/>
      <c r="F349" s="96"/>
      <c r="G349" s="165"/>
      <c r="H349" s="97"/>
      <c r="I349" s="163"/>
      <c r="J349" s="164"/>
      <c r="K349" s="163"/>
      <c r="L349" s="162"/>
      <c r="M349" s="161"/>
      <c r="N349" s="157"/>
    </row>
    <row r="350" spans="2:14" x14ac:dyDescent="0.2">
      <c r="B350" s="160"/>
      <c r="C350" s="159"/>
      <c r="D350" s="87"/>
      <c r="E350" s="87"/>
      <c r="F350" s="79"/>
      <c r="G350" s="87"/>
      <c r="H350" s="80"/>
      <c r="I350" s="79"/>
      <c r="J350" s="79"/>
      <c r="K350" s="79"/>
      <c r="L350" s="88"/>
      <c r="M350" s="158"/>
      <c r="N350" s="157"/>
    </row>
    <row r="351" spans="2:14" x14ac:dyDescent="0.2">
      <c r="B351" s="160"/>
      <c r="C351" s="159"/>
      <c r="D351" s="87"/>
      <c r="E351" s="87"/>
      <c r="F351" s="79"/>
      <c r="G351" s="87"/>
      <c r="H351" s="80"/>
      <c r="I351" s="168"/>
      <c r="J351" s="169"/>
      <c r="K351" s="168"/>
      <c r="L351" s="88"/>
      <c r="M351" s="173"/>
      <c r="N351" s="157"/>
    </row>
    <row r="352" spans="2:14" x14ac:dyDescent="0.2">
      <c r="B352" s="160"/>
      <c r="C352" s="159"/>
      <c r="D352" s="87"/>
      <c r="E352" s="87"/>
      <c r="F352" s="79"/>
      <c r="G352" s="87"/>
      <c r="H352" s="91"/>
      <c r="I352" s="79"/>
      <c r="J352" s="79"/>
      <c r="K352" s="79"/>
      <c r="L352" s="88"/>
      <c r="M352" s="158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7"/>
      <c r="C354" s="166"/>
      <c r="D354" s="165"/>
      <c r="E354" s="165"/>
      <c r="F354" s="96"/>
      <c r="G354" s="165"/>
      <c r="H354" s="97"/>
      <c r="I354" s="163"/>
      <c r="J354" s="164"/>
      <c r="K354" s="163"/>
      <c r="L354" s="162"/>
      <c r="M354" s="161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79"/>
      <c r="J355" s="79"/>
      <c r="K355" s="79"/>
      <c r="L355" s="88"/>
      <c r="M355" s="158"/>
      <c r="N355" s="157"/>
    </row>
    <row r="356" spans="2:14" x14ac:dyDescent="0.2">
      <c r="B356" s="160"/>
      <c r="C356" s="159"/>
      <c r="D356" s="87"/>
      <c r="E356" s="87"/>
      <c r="F356" s="79"/>
      <c r="G356" s="87"/>
      <c r="H356" s="91"/>
      <c r="I356" s="79"/>
      <c r="J356" s="79"/>
      <c r="K356" s="79"/>
      <c r="L356" s="88"/>
      <c r="M356" s="158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172"/>
      <c r="I357" s="163"/>
      <c r="J357" s="164"/>
      <c r="K357" s="163"/>
      <c r="L357" s="162"/>
      <c r="M357" s="161"/>
      <c r="N357" s="157"/>
    </row>
    <row r="358" spans="2:14" x14ac:dyDescent="0.2">
      <c r="B358" s="160"/>
      <c r="C358" s="159"/>
      <c r="D358" s="87"/>
      <c r="E358" s="87"/>
      <c r="F358" s="79"/>
      <c r="G358" s="87"/>
      <c r="H358" s="93"/>
      <c r="I358" s="79"/>
      <c r="J358" s="79"/>
      <c r="K358" s="79"/>
      <c r="L358" s="88"/>
      <c r="M358" s="158"/>
      <c r="N358" s="157"/>
    </row>
    <row r="359" spans="2:14" x14ac:dyDescent="0.2">
      <c r="B359" s="160"/>
      <c r="C359" s="159"/>
      <c r="D359" s="87"/>
      <c r="E359" s="87"/>
      <c r="F359" s="79"/>
      <c r="G359" s="87"/>
      <c r="H359" s="92"/>
      <c r="I359" s="79"/>
      <c r="J359" s="79"/>
      <c r="K359" s="79"/>
      <c r="L359" s="88"/>
      <c r="M359" s="158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171"/>
      <c r="I360" s="163"/>
      <c r="J360" s="164"/>
      <c r="K360" s="163"/>
      <c r="L360" s="162"/>
      <c r="M360" s="161"/>
      <c r="N360" s="157"/>
    </row>
    <row r="361" spans="2:14" x14ac:dyDescent="0.2">
      <c r="B361" s="160"/>
      <c r="C361" s="159"/>
      <c r="D361" s="87"/>
      <c r="E361" s="87"/>
      <c r="F361" s="79"/>
      <c r="G361" s="87"/>
      <c r="H361" s="92"/>
      <c r="I361" s="79"/>
      <c r="J361" s="79"/>
      <c r="K361" s="79"/>
      <c r="L361" s="88"/>
      <c r="M361" s="158"/>
      <c r="N361" s="157"/>
    </row>
    <row r="362" spans="2:14" x14ac:dyDescent="0.2">
      <c r="B362" s="160"/>
      <c r="C362" s="159"/>
      <c r="D362" s="87"/>
      <c r="E362" s="87"/>
      <c r="F362" s="79"/>
      <c r="G362" s="87"/>
      <c r="H362" s="92"/>
      <c r="I362" s="79"/>
      <c r="J362" s="79"/>
      <c r="K362" s="79"/>
      <c r="L362" s="88"/>
      <c r="M362" s="158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170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170"/>
      <c r="I364" s="163"/>
      <c r="J364" s="164"/>
      <c r="K364" s="163"/>
      <c r="L364" s="162"/>
      <c r="M364" s="161"/>
      <c r="N364" s="157"/>
    </row>
    <row r="365" spans="2:14" x14ac:dyDescent="0.2">
      <c r="B365" s="160"/>
      <c r="C365" s="159"/>
      <c r="D365" s="87"/>
      <c r="E365" s="87"/>
      <c r="F365" s="79"/>
      <c r="G365" s="87"/>
      <c r="H365" s="95"/>
      <c r="I365" s="79"/>
      <c r="J365" s="79"/>
      <c r="K365" s="79"/>
      <c r="L365" s="88"/>
      <c r="M365" s="158"/>
      <c r="N365" s="157"/>
    </row>
    <row r="366" spans="2:14" x14ac:dyDescent="0.2">
      <c r="B366" s="160"/>
      <c r="C366" s="159"/>
      <c r="D366" s="87"/>
      <c r="E366" s="87"/>
      <c r="F366" s="79"/>
      <c r="G366" s="87"/>
      <c r="H366" s="80"/>
      <c r="I366" s="168"/>
      <c r="J366" s="169"/>
      <c r="K366" s="168"/>
      <c r="L366" s="88"/>
      <c r="M366" s="158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0"/>
      <c r="C371" s="159"/>
      <c r="D371" s="87"/>
      <c r="E371" s="87"/>
      <c r="F371" s="79"/>
      <c r="G371" s="87"/>
      <c r="H371" s="80"/>
      <c r="I371" s="79"/>
      <c r="J371" s="79"/>
      <c r="K371" s="79"/>
      <c r="L371" s="88"/>
      <c r="M371" s="158"/>
      <c r="N371" s="157"/>
    </row>
    <row r="372" spans="2:14" x14ac:dyDescent="0.2">
      <c r="B372" s="160"/>
      <c r="C372" s="159"/>
      <c r="D372" s="87"/>
      <c r="E372" s="87"/>
      <c r="F372" s="79"/>
      <c r="G372" s="87"/>
      <c r="H372" s="80"/>
      <c r="I372" s="168"/>
      <c r="J372" s="169"/>
      <c r="K372" s="168"/>
      <c r="L372" s="88"/>
      <c r="M372" s="158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7"/>
      <c r="C374" s="166"/>
      <c r="D374" s="165"/>
      <c r="E374" s="165"/>
      <c r="F374" s="96"/>
      <c r="G374" s="165"/>
      <c r="H374" s="97"/>
      <c r="I374" s="163"/>
      <c r="J374" s="164"/>
      <c r="K374" s="163"/>
      <c r="L374" s="162"/>
      <c r="M374" s="161"/>
      <c r="N374" s="157"/>
    </row>
    <row r="375" spans="2:14" x14ac:dyDescent="0.2">
      <c r="B375" s="167"/>
      <c r="C375" s="166"/>
      <c r="D375" s="165"/>
      <c r="E375" s="165"/>
      <c r="F375" s="96"/>
      <c r="G375" s="165"/>
      <c r="H375" s="97"/>
      <c r="I375" s="163"/>
      <c r="J375" s="164"/>
      <c r="K375" s="163"/>
      <c r="L375" s="162"/>
      <c r="M375" s="161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7"/>
      <c r="C378" s="166"/>
      <c r="D378" s="165"/>
      <c r="E378" s="165"/>
      <c r="F378" s="96"/>
      <c r="G378" s="165"/>
      <c r="H378" s="97"/>
      <c r="I378" s="163"/>
      <c r="J378" s="164"/>
      <c r="K378" s="163"/>
      <c r="L378" s="162"/>
      <c r="M378" s="161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7"/>
      <c r="C382" s="166"/>
      <c r="D382" s="165"/>
      <c r="E382" s="165"/>
      <c r="F382" s="96"/>
      <c r="G382" s="165"/>
      <c r="H382" s="97"/>
      <c r="I382" s="163"/>
      <c r="J382" s="164"/>
      <c r="K382" s="163"/>
      <c r="L382" s="162"/>
      <c r="M382" s="161"/>
      <c r="N382" s="157"/>
    </row>
    <row r="383" spans="2:14" x14ac:dyDescent="0.2">
      <c r="B383" s="167"/>
      <c r="C383" s="166"/>
      <c r="D383" s="165"/>
      <c r="E383" s="165"/>
      <c r="F383" s="96"/>
      <c r="G383" s="165"/>
      <c r="H383" s="97"/>
      <c r="I383" s="163"/>
      <c r="J383" s="164"/>
      <c r="K383" s="163"/>
      <c r="L383" s="162"/>
      <c r="M383" s="161"/>
      <c r="N383" s="157"/>
    </row>
    <row r="384" spans="2:14" x14ac:dyDescent="0.2">
      <c r="B384" s="167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7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7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7"/>
      <c r="C388" s="166"/>
      <c r="D388" s="165"/>
      <c r="E388" s="165"/>
      <c r="F388" s="96"/>
      <c r="G388" s="165"/>
      <c r="H388" s="97"/>
      <c r="I388" s="96"/>
      <c r="J388" s="96"/>
      <c r="K388" s="96"/>
      <c r="L388" s="162"/>
      <c r="M388" s="161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96"/>
      <c r="J389" s="96"/>
      <c r="K389" s="96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7"/>
      <c r="C394" s="166"/>
      <c r="D394" s="165"/>
      <c r="E394" s="165"/>
      <c r="F394" s="96"/>
      <c r="G394" s="165"/>
      <c r="H394" s="97"/>
      <c r="I394" s="163"/>
      <c r="J394" s="164"/>
      <c r="K394" s="163"/>
      <c r="L394" s="162"/>
      <c r="M394" s="161"/>
      <c r="N394" s="157"/>
    </row>
    <row r="395" spans="2:14" x14ac:dyDescent="0.2">
      <c r="B395" s="160"/>
      <c r="C395" s="159"/>
      <c r="D395" s="87"/>
      <c r="E395" s="87"/>
      <c r="F395" s="79"/>
      <c r="G395" s="87"/>
      <c r="H395" s="80"/>
      <c r="I395" s="79"/>
      <c r="J395" s="79"/>
      <c r="K395" s="79"/>
      <c r="L395" s="88"/>
      <c r="M395" s="158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7"/>
      <c r="C398" s="166"/>
      <c r="D398" s="165"/>
      <c r="E398" s="165"/>
      <c r="F398" s="96"/>
      <c r="G398" s="165"/>
      <c r="H398" s="97"/>
      <c r="I398" s="163"/>
      <c r="J398" s="164"/>
      <c r="K398" s="163"/>
      <c r="L398" s="162"/>
      <c r="M398" s="161"/>
      <c r="N398" s="157"/>
    </row>
    <row r="399" spans="2:14" x14ac:dyDescent="0.2">
      <c r="B399" s="160"/>
      <c r="C399" s="159"/>
      <c r="D399" s="87"/>
      <c r="E399" s="87"/>
      <c r="F399" s="79"/>
      <c r="G399" s="87"/>
      <c r="H399" s="80"/>
      <c r="I399" s="79"/>
      <c r="J399" s="79"/>
      <c r="K399" s="79"/>
      <c r="L399" s="88"/>
      <c r="M399" s="158"/>
      <c r="N399" s="157"/>
    </row>
    <row r="400" spans="2:14" x14ac:dyDescent="0.2">
      <c r="B400" s="160"/>
      <c r="C400" s="159"/>
      <c r="D400" s="87"/>
      <c r="E400" s="87"/>
      <c r="F400" s="79"/>
      <c r="G400" s="87"/>
      <c r="H400" s="80"/>
      <c r="I400" s="79"/>
      <c r="J400" s="79"/>
      <c r="K400" s="79"/>
      <c r="L400" s="88"/>
      <c r="M400" s="158"/>
      <c r="N400" s="157"/>
    </row>
    <row r="401" spans="2:14" x14ac:dyDescent="0.2">
      <c r="B401" s="160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0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0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0"/>
      <c r="C409" s="159"/>
      <c r="D409" s="87"/>
      <c r="E409" s="87"/>
      <c r="F409" s="79"/>
      <c r="G409" s="87"/>
      <c r="H409" s="80"/>
      <c r="I409" s="79"/>
      <c r="J409" s="79"/>
      <c r="K409" s="79"/>
      <c r="L409" s="88"/>
      <c r="M409" s="158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7"/>
      <c r="C412" s="166"/>
      <c r="D412" s="165"/>
      <c r="E412" s="165"/>
      <c r="F412" s="96"/>
      <c r="G412" s="165"/>
      <c r="H412" s="97"/>
      <c r="I412" s="163"/>
      <c r="J412" s="164"/>
      <c r="K412" s="163"/>
      <c r="L412" s="162"/>
      <c r="M412" s="161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7"/>
      <c r="C414" s="166"/>
      <c r="D414" s="165"/>
      <c r="E414" s="165"/>
      <c r="F414" s="96"/>
      <c r="G414" s="165"/>
      <c r="H414" s="97"/>
      <c r="I414" s="163"/>
      <c r="J414" s="164"/>
      <c r="K414" s="163"/>
      <c r="L414" s="162"/>
      <c r="M414" s="161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79"/>
      <c r="J415" s="79"/>
      <c r="K415" s="79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7"/>
      <c r="C417" s="166"/>
      <c r="D417" s="165"/>
      <c r="E417" s="165"/>
      <c r="F417" s="96"/>
      <c r="G417" s="165"/>
      <c r="H417" s="97"/>
      <c r="I417" s="163"/>
      <c r="J417" s="164"/>
      <c r="K417" s="163"/>
      <c r="L417" s="162"/>
      <c r="M417" s="161"/>
      <c r="N417" s="157"/>
    </row>
    <row r="418" spans="2:14" x14ac:dyDescent="0.2">
      <c r="B418" s="167"/>
      <c r="C418" s="166"/>
      <c r="D418" s="165"/>
      <c r="E418" s="165"/>
      <c r="F418" s="96"/>
      <c r="G418" s="165"/>
      <c r="H418" s="97"/>
      <c r="I418" s="163"/>
      <c r="J418" s="164"/>
      <c r="K418" s="163"/>
      <c r="L418" s="162"/>
      <c r="M418" s="161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7"/>
      <c r="C420" s="166"/>
      <c r="D420" s="165"/>
      <c r="E420" s="165"/>
      <c r="F420" s="96"/>
      <c r="G420" s="165"/>
      <c r="H420" s="97"/>
      <c r="I420" s="163"/>
      <c r="J420" s="164"/>
      <c r="K420" s="163"/>
      <c r="L420" s="162"/>
      <c r="M420" s="161"/>
      <c r="N420" s="157"/>
    </row>
    <row r="421" spans="2:14" x14ac:dyDescent="0.2">
      <c r="B421" s="167"/>
      <c r="C421" s="166"/>
      <c r="D421" s="165"/>
      <c r="E421" s="165"/>
      <c r="F421" s="96"/>
      <c r="G421" s="165"/>
      <c r="H421" s="97"/>
      <c r="I421" s="163"/>
      <c r="J421" s="164"/>
      <c r="K421" s="163"/>
      <c r="L421" s="162"/>
      <c r="M421" s="161"/>
      <c r="N421" s="157"/>
    </row>
    <row r="422" spans="2:14" x14ac:dyDescent="0.2">
      <c r="B422" s="160"/>
      <c r="C422" s="159"/>
      <c r="D422" s="87"/>
      <c r="E422" s="87"/>
      <c r="F422" s="79"/>
      <c r="G422" s="87"/>
      <c r="H422" s="80"/>
      <c r="I422" s="79"/>
      <c r="J422" s="79"/>
      <c r="K422" s="79"/>
      <c r="L422" s="88"/>
      <c r="M422" s="158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7"/>
      <c r="C426" s="166"/>
      <c r="D426" s="165"/>
      <c r="E426" s="165"/>
      <c r="F426" s="96"/>
      <c r="G426" s="165"/>
      <c r="H426" s="97"/>
      <c r="I426" s="163"/>
      <c r="J426" s="164"/>
      <c r="K426" s="163"/>
      <c r="L426" s="162"/>
      <c r="M426" s="161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60"/>
      <c r="C432" s="159"/>
      <c r="D432" s="87"/>
      <c r="E432" s="87"/>
      <c r="F432" s="79"/>
      <c r="G432" s="87"/>
      <c r="H432" s="80"/>
      <c r="I432" s="168"/>
      <c r="J432" s="169"/>
      <c r="K432" s="168"/>
      <c r="L432" s="88"/>
      <c r="M432" s="158"/>
      <c r="N432" s="157"/>
    </row>
    <row r="433" spans="2:14" x14ac:dyDescent="0.2">
      <c r="B433" s="167"/>
      <c r="C433" s="166"/>
      <c r="D433" s="165"/>
      <c r="E433" s="165"/>
      <c r="F433" s="96"/>
      <c r="G433" s="165"/>
      <c r="H433" s="97"/>
      <c r="I433" s="163"/>
      <c r="J433" s="164"/>
      <c r="K433" s="163"/>
      <c r="L433" s="162"/>
      <c r="M433" s="161"/>
      <c r="N433" s="157"/>
    </row>
    <row r="434" spans="2:14" x14ac:dyDescent="0.2">
      <c r="B434" s="160"/>
      <c r="C434" s="159"/>
      <c r="D434" s="87"/>
      <c r="E434" s="87"/>
      <c r="F434" s="79"/>
      <c r="G434" s="87"/>
      <c r="H434" s="80"/>
      <c r="I434" s="79"/>
      <c r="J434" s="79"/>
      <c r="K434" s="79"/>
      <c r="L434" s="88"/>
      <c r="M434" s="158"/>
      <c r="N434" s="157"/>
    </row>
    <row r="435" spans="2:14" x14ac:dyDescent="0.2">
      <c r="B435" s="160"/>
      <c r="C435" s="159"/>
      <c r="D435" s="87"/>
      <c r="E435" s="87"/>
      <c r="F435" s="79"/>
      <c r="G435" s="87"/>
      <c r="H435" s="80"/>
      <c r="I435" s="79"/>
      <c r="J435" s="79"/>
      <c r="K435" s="79"/>
      <c r="L435" s="88"/>
      <c r="M435" s="158"/>
      <c r="N435" s="157"/>
    </row>
    <row r="436" spans="2:14" x14ac:dyDescent="0.2">
      <c r="B436" s="167"/>
      <c r="C436" s="166"/>
      <c r="D436" s="165"/>
      <c r="E436" s="165"/>
      <c r="F436" s="96"/>
      <c r="G436" s="165"/>
      <c r="H436" s="97"/>
      <c r="I436" s="163"/>
      <c r="J436" s="164"/>
      <c r="K436" s="163"/>
      <c r="L436" s="162"/>
      <c r="M436" s="161"/>
      <c r="N436" s="157"/>
    </row>
    <row r="437" spans="2:14" x14ac:dyDescent="0.2">
      <c r="B437" s="160"/>
      <c r="C437" s="159"/>
      <c r="D437" s="87"/>
      <c r="E437" s="87"/>
      <c r="F437" s="79"/>
      <c r="G437" s="87"/>
      <c r="H437" s="80"/>
      <c r="I437" s="79"/>
      <c r="J437" s="79"/>
      <c r="K437" s="79"/>
      <c r="L437" s="88"/>
      <c r="M437" s="158"/>
      <c r="N437" s="157"/>
    </row>
    <row r="438" spans="2:14" x14ac:dyDescent="0.2">
      <c r="B438" s="160"/>
      <c r="C438" s="159"/>
      <c r="D438" s="87"/>
      <c r="E438" s="87"/>
      <c r="F438" s="79"/>
      <c r="G438" s="87"/>
      <c r="H438" s="80"/>
      <c r="I438" s="168"/>
      <c r="J438" s="169"/>
      <c r="K438" s="168"/>
      <c r="L438" s="88"/>
      <c r="M438" s="158"/>
      <c r="N438" s="157"/>
    </row>
    <row r="439" spans="2:14" x14ac:dyDescent="0.2">
      <c r="B439" s="167"/>
      <c r="C439" s="166"/>
      <c r="D439" s="165"/>
      <c r="E439" s="165"/>
      <c r="F439" s="96"/>
      <c r="G439" s="165"/>
      <c r="H439" s="97"/>
      <c r="I439" s="163"/>
      <c r="J439" s="164"/>
      <c r="K439" s="163"/>
      <c r="L439" s="162"/>
      <c r="M439" s="161"/>
      <c r="N439" s="157"/>
    </row>
    <row r="440" spans="2:14" x14ac:dyDescent="0.2">
      <c r="B440" s="167"/>
      <c r="C440" s="166"/>
      <c r="D440" s="165"/>
      <c r="E440" s="165"/>
      <c r="F440" s="96"/>
      <c r="G440" s="165"/>
      <c r="H440" s="97"/>
      <c r="I440" s="163"/>
      <c r="J440" s="164"/>
      <c r="K440" s="163"/>
      <c r="L440" s="162"/>
      <c r="M440" s="161"/>
      <c r="N440" s="157"/>
    </row>
    <row r="441" spans="2:14" x14ac:dyDescent="0.2">
      <c r="B441" s="167"/>
      <c r="C441" s="166"/>
      <c r="D441" s="165"/>
      <c r="E441" s="165"/>
      <c r="F441" s="96"/>
      <c r="G441" s="165"/>
      <c r="H441" s="97"/>
      <c r="I441" s="163"/>
      <c r="J441" s="164"/>
      <c r="K441" s="163"/>
      <c r="L441" s="162"/>
      <c r="M441" s="161"/>
      <c r="N441" s="157"/>
    </row>
    <row r="442" spans="2:14" x14ac:dyDescent="0.2">
      <c r="B442" s="160"/>
      <c r="C442" s="159"/>
      <c r="D442" s="87"/>
      <c r="E442" s="87"/>
      <c r="F442" s="79"/>
      <c r="G442" s="87"/>
      <c r="H442" s="80"/>
      <c r="I442" s="79"/>
      <c r="J442" s="79"/>
      <c r="K442" s="79"/>
      <c r="L442" s="88"/>
      <c r="M442" s="158"/>
      <c r="N442" s="157"/>
    </row>
    <row r="443" spans="2:14" x14ac:dyDescent="0.2">
      <c r="B443" s="160"/>
      <c r="C443" s="159"/>
      <c r="D443" s="87"/>
      <c r="E443" s="87"/>
      <c r="F443" s="79"/>
      <c r="G443" s="87"/>
      <c r="H443" s="80"/>
      <c r="I443" s="168"/>
      <c r="J443" s="169"/>
      <c r="K443" s="168"/>
      <c r="L443" s="88"/>
      <c r="M443" s="158"/>
      <c r="N443" s="157"/>
    </row>
    <row r="444" spans="2:14" x14ac:dyDescent="0.2">
      <c r="B444" s="167"/>
      <c r="C444" s="166"/>
      <c r="D444" s="165"/>
      <c r="E444" s="165"/>
      <c r="F444" s="96"/>
      <c r="G444" s="165"/>
      <c r="H444" s="97"/>
      <c r="I444" s="163"/>
      <c r="J444" s="164"/>
      <c r="K444" s="163"/>
      <c r="L444" s="162"/>
      <c r="M444" s="161"/>
      <c r="N444" s="157"/>
    </row>
    <row r="445" spans="2:14" x14ac:dyDescent="0.2">
      <c r="B445" s="160"/>
      <c r="C445" s="159"/>
      <c r="D445" s="87"/>
      <c r="E445" s="87"/>
      <c r="F445" s="79"/>
      <c r="G445" s="87"/>
      <c r="H445" s="80"/>
      <c r="I445" s="79"/>
      <c r="J445" s="79"/>
      <c r="K445" s="79"/>
      <c r="L445" s="88"/>
      <c r="M445" s="158"/>
      <c r="N445" s="157"/>
    </row>
    <row r="446" spans="2:14" x14ac:dyDescent="0.2">
      <c r="B446" s="160"/>
      <c r="C446" s="159"/>
      <c r="D446" s="87"/>
      <c r="E446" s="87"/>
      <c r="F446" s="79"/>
      <c r="G446" s="87"/>
      <c r="H446" s="80"/>
      <c r="I446" s="168"/>
      <c r="J446" s="169"/>
      <c r="K446" s="168"/>
      <c r="L446" s="88"/>
      <c r="M446" s="158"/>
      <c r="N446" s="157"/>
    </row>
    <row r="447" spans="2:14" x14ac:dyDescent="0.2">
      <c r="B447" s="167"/>
      <c r="C447" s="166"/>
      <c r="D447" s="165"/>
      <c r="E447" s="165"/>
      <c r="F447" s="96"/>
      <c r="G447" s="165"/>
      <c r="H447" s="97"/>
      <c r="I447" s="163"/>
      <c r="J447" s="164"/>
      <c r="K447" s="163"/>
      <c r="L447" s="162"/>
      <c r="M447" s="161"/>
      <c r="N447" s="157"/>
    </row>
    <row r="448" spans="2:14" x14ac:dyDescent="0.2">
      <c r="B448" s="160"/>
      <c r="C448" s="159"/>
      <c r="D448" s="87"/>
      <c r="E448" s="87"/>
      <c r="F448" s="79"/>
      <c r="G448" s="87"/>
      <c r="H448" s="80"/>
      <c r="I448" s="79"/>
      <c r="J448" s="79"/>
      <c r="K448" s="79"/>
      <c r="L448" s="88"/>
      <c r="M448" s="158"/>
      <c r="N448" s="157"/>
    </row>
    <row r="449" spans="2:14" x14ac:dyDescent="0.2">
      <c r="B449" s="156"/>
      <c r="C449" s="156"/>
      <c r="D449" s="156"/>
      <c r="E449" s="102"/>
      <c r="F449" s="102"/>
      <c r="G449" s="156"/>
      <c r="H449" s="156"/>
      <c r="I449" s="156"/>
      <c r="J449" s="156"/>
      <c r="K449" s="156"/>
      <c r="L449" s="102"/>
      <c r="M449" s="156"/>
      <c r="N449" s="156"/>
    </row>
    <row r="450" spans="2:14" x14ac:dyDescent="0.2">
      <c r="H450" s="151"/>
    </row>
    <row r="451" spans="2:14" x14ac:dyDescent="0.2">
      <c r="H451" s="151"/>
    </row>
    <row r="453" spans="2:14" x14ac:dyDescent="0.2">
      <c r="H453" s="151"/>
    </row>
    <row r="454" spans="2:14" x14ac:dyDescent="0.2">
      <c r="H454" s="151"/>
    </row>
    <row r="455" spans="2:14" x14ac:dyDescent="0.2">
      <c r="L455" s="155"/>
    </row>
    <row r="456" spans="2:14" x14ac:dyDescent="0.2">
      <c r="L456" s="155"/>
    </row>
    <row r="457" spans="2:14" x14ac:dyDescent="0.2">
      <c r="L457" s="154"/>
    </row>
    <row r="459" spans="2:14" x14ac:dyDescent="0.2">
      <c r="L459" s="153"/>
    </row>
    <row r="463" spans="2:14" x14ac:dyDescent="0.2">
      <c r="G463" s="151"/>
    </row>
    <row r="464" spans="2:14" x14ac:dyDescent="0.2">
      <c r="G464" s="152"/>
    </row>
    <row r="467" spans="7:7" x14ac:dyDescent="0.2">
      <c r="G467" s="151"/>
    </row>
  </sheetData>
  <sortState ref="A3:AC17">
    <sortCondition descending="1" ref="I3:I17"/>
  </sortState>
  <conditionalFormatting sqref="E298:E299 E346:E347 E339 E329:E330 E301:E302 E342:E343 E130 E177 E159 E350:E352">
    <cfRule type="containsText" dxfId="4206" priority="987" operator="containsText" text="Buy">
      <formula>NOT(ISERROR(SEARCH("Buy",E130)))</formula>
    </cfRule>
    <cfRule type="containsText" dxfId="4205" priority="988" operator="containsText" text="Sell">
      <formula>NOT(ISERROR(SEARCH("Sell",E130)))</formula>
    </cfRule>
  </conditionalFormatting>
  <conditionalFormatting sqref="E371:E372 E361:E362 E366">
    <cfRule type="containsText" dxfId="4204" priority="985" operator="containsText" text="Buy">
      <formula>NOT(ISERROR(SEARCH("Buy",E361)))</formula>
    </cfRule>
    <cfRule type="containsText" dxfId="4203" priority="986" operator="containsText" text="Sell">
      <formula>NOT(ISERROR(SEARCH("Sell",E361)))</formula>
    </cfRule>
  </conditionalFormatting>
  <conditionalFormatting sqref="E387:E389 E446 E443 E438 E432 E429 E426 E423 E416 E412 E406 E396">
    <cfRule type="containsText" dxfId="4202" priority="983" operator="containsText" text="Buy">
      <formula>NOT(ISERROR(SEARCH("Buy",E387)))</formula>
    </cfRule>
    <cfRule type="containsText" dxfId="4201" priority="984" operator="containsText" text="Sell">
      <formula>NOT(ISERROR(SEARCH("Sell",E387)))</formula>
    </cfRule>
  </conditionalFormatting>
  <conditionalFormatting sqref="E386">
    <cfRule type="containsText" dxfId="4200" priority="981" operator="containsText" text="Buy">
      <formula>NOT(ISERROR(SEARCH("Buy",E386)))</formula>
    </cfRule>
    <cfRule type="containsText" dxfId="4199" priority="982" operator="containsText" text="Sell">
      <formula>NOT(ISERROR(SEARCH("Sell",E386)))</formula>
    </cfRule>
  </conditionalFormatting>
  <conditionalFormatting sqref="E385">
    <cfRule type="containsText" dxfId="4198" priority="979" operator="containsText" text="Buy">
      <formula>NOT(ISERROR(SEARCH("Buy",E385)))</formula>
    </cfRule>
    <cfRule type="containsText" dxfId="4197" priority="980" operator="containsText" text="Sell">
      <formula>NOT(ISERROR(SEARCH("Sell",E385)))</formula>
    </cfRule>
  </conditionalFormatting>
  <conditionalFormatting sqref="E384">
    <cfRule type="containsText" dxfId="4196" priority="977" operator="containsText" text="Buy">
      <formula>NOT(ISERROR(SEARCH("Buy",E384)))</formula>
    </cfRule>
    <cfRule type="containsText" dxfId="4195" priority="978" operator="containsText" text="Sell">
      <formula>NOT(ISERROR(SEARCH("Sell",E384)))</formula>
    </cfRule>
  </conditionalFormatting>
  <conditionalFormatting sqref="E297">
    <cfRule type="containsText" dxfId="4194" priority="975" operator="containsText" text="Buy">
      <formula>NOT(ISERROR(SEARCH("Buy",E297)))</formula>
    </cfRule>
    <cfRule type="containsText" dxfId="4193" priority="976" operator="containsText" text="Sell">
      <formula>NOT(ISERROR(SEARCH("Sell",E297)))</formula>
    </cfRule>
  </conditionalFormatting>
  <conditionalFormatting sqref="E296">
    <cfRule type="containsText" dxfId="4192" priority="973" operator="containsText" text="Buy">
      <formula>NOT(ISERROR(SEARCH("Buy",E296)))</formula>
    </cfRule>
    <cfRule type="containsText" dxfId="4191" priority="974" operator="containsText" text="Sell">
      <formula>NOT(ISERROR(SEARCH("Sell",E296)))</formula>
    </cfRule>
  </conditionalFormatting>
  <conditionalFormatting sqref="E345">
    <cfRule type="containsText" dxfId="4190" priority="971" operator="containsText" text="Buy">
      <formula>NOT(ISERROR(SEARCH("Buy",E345)))</formula>
    </cfRule>
    <cfRule type="containsText" dxfId="4189" priority="972" operator="containsText" text="Sell">
      <formula>NOT(ISERROR(SEARCH("Sell",E345)))</formula>
    </cfRule>
  </conditionalFormatting>
  <conditionalFormatting sqref="E344">
    <cfRule type="containsText" dxfId="4188" priority="969" operator="containsText" text="Buy">
      <formula>NOT(ISERROR(SEARCH("Buy",E344)))</formula>
    </cfRule>
    <cfRule type="containsText" dxfId="4187" priority="970" operator="containsText" text="Sell">
      <formula>NOT(ISERROR(SEARCH("Sell",E344)))</formula>
    </cfRule>
  </conditionalFormatting>
  <conditionalFormatting sqref="E331:E333">
    <cfRule type="containsText" dxfId="4186" priority="967" operator="containsText" text="Buy">
      <formula>NOT(ISERROR(SEARCH("Buy",E331)))</formula>
    </cfRule>
    <cfRule type="containsText" dxfId="4185" priority="968" operator="containsText" text="Sell">
      <formula>NOT(ISERROR(SEARCH("Sell",E331)))</formula>
    </cfRule>
  </conditionalFormatting>
  <conditionalFormatting sqref="E328">
    <cfRule type="containsText" dxfId="4184" priority="965" operator="containsText" text="Buy">
      <formula>NOT(ISERROR(SEARCH("Buy",E328)))</formula>
    </cfRule>
    <cfRule type="containsText" dxfId="4183" priority="966" operator="containsText" text="Sell">
      <formula>NOT(ISERROR(SEARCH("Sell",E328)))</formula>
    </cfRule>
  </conditionalFormatting>
  <conditionalFormatting sqref="E327">
    <cfRule type="containsText" dxfId="4182" priority="963" operator="containsText" text="Buy">
      <formula>NOT(ISERROR(SEARCH("Buy",E327)))</formula>
    </cfRule>
    <cfRule type="containsText" dxfId="4181" priority="964" operator="containsText" text="Sell">
      <formula>NOT(ISERROR(SEARCH("Sell",E327)))</formula>
    </cfRule>
  </conditionalFormatting>
  <conditionalFormatting sqref="E326">
    <cfRule type="containsText" dxfId="4180" priority="961" operator="containsText" text="Buy">
      <formula>NOT(ISERROR(SEARCH("Buy",E326)))</formula>
    </cfRule>
    <cfRule type="containsText" dxfId="4179" priority="962" operator="containsText" text="Sell">
      <formula>NOT(ISERROR(SEARCH("Sell",E326)))</formula>
    </cfRule>
  </conditionalFormatting>
  <conditionalFormatting sqref="E325">
    <cfRule type="containsText" dxfId="4178" priority="959" operator="containsText" text="Buy">
      <formula>NOT(ISERROR(SEARCH("Buy",E325)))</formula>
    </cfRule>
    <cfRule type="containsText" dxfId="4177" priority="960" operator="containsText" text="Sell">
      <formula>NOT(ISERROR(SEARCH("Sell",E325)))</formula>
    </cfRule>
  </conditionalFormatting>
  <conditionalFormatting sqref="E324">
    <cfRule type="containsText" dxfId="4176" priority="957" operator="containsText" text="Buy">
      <formula>NOT(ISERROR(SEARCH("Buy",E324)))</formula>
    </cfRule>
    <cfRule type="containsText" dxfId="4175" priority="958" operator="containsText" text="Sell">
      <formula>NOT(ISERROR(SEARCH("Sell",E324)))</formula>
    </cfRule>
  </conditionalFormatting>
  <conditionalFormatting sqref="E323">
    <cfRule type="containsText" dxfId="4174" priority="955" operator="containsText" text="Buy">
      <formula>NOT(ISERROR(SEARCH("Buy",E323)))</formula>
    </cfRule>
    <cfRule type="containsText" dxfId="4173" priority="956" operator="containsText" text="Sell">
      <formula>NOT(ISERROR(SEARCH("Sell",E323)))</formula>
    </cfRule>
  </conditionalFormatting>
  <conditionalFormatting sqref="E322">
    <cfRule type="containsText" dxfId="4172" priority="953" operator="containsText" text="Buy">
      <formula>NOT(ISERROR(SEARCH("Buy",E322)))</formula>
    </cfRule>
    <cfRule type="containsText" dxfId="4171" priority="954" operator="containsText" text="Sell">
      <formula>NOT(ISERROR(SEARCH("Sell",E322)))</formula>
    </cfRule>
  </conditionalFormatting>
  <conditionalFormatting sqref="E315:E317">
    <cfRule type="containsText" dxfId="4170" priority="951" operator="containsText" text="Buy">
      <formula>NOT(ISERROR(SEARCH("Buy",E315)))</formula>
    </cfRule>
    <cfRule type="containsText" dxfId="4169" priority="952" operator="containsText" text="Sell">
      <formula>NOT(ISERROR(SEARCH("Sell",E315)))</formula>
    </cfRule>
  </conditionalFormatting>
  <conditionalFormatting sqref="E314">
    <cfRule type="containsText" dxfId="4168" priority="949" operator="containsText" text="Buy">
      <formula>NOT(ISERROR(SEARCH("Buy",E314)))</formula>
    </cfRule>
    <cfRule type="containsText" dxfId="4167" priority="950" operator="containsText" text="Sell">
      <formula>NOT(ISERROR(SEARCH("Sell",E314)))</formula>
    </cfRule>
  </conditionalFormatting>
  <conditionalFormatting sqref="E313">
    <cfRule type="containsText" dxfId="4166" priority="947" operator="containsText" text="Buy">
      <formula>NOT(ISERROR(SEARCH("Buy",E313)))</formula>
    </cfRule>
    <cfRule type="containsText" dxfId="4165" priority="948" operator="containsText" text="Sell">
      <formula>NOT(ISERROR(SEARCH("Sell",E313)))</formula>
    </cfRule>
  </conditionalFormatting>
  <conditionalFormatting sqref="E312">
    <cfRule type="containsText" dxfId="4164" priority="945" operator="containsText" text="Buy">
      <formula>NOT(ISERROR(SEARCH("Buy",E312)))</formula>
    </cfRule>
    <cfRule type="containsText" dxfId="4163" priority="946" operator="containsText" text="Sell">
      <formula>NOT(ISERROR(SEARCH("Sell",E312)))</formula>
    </cfRule>
  </conditionalFormatting>
  <conditionalFormatting sqref="E311">
    <cfRule type="containsText" dxfId="4162" priority="943" operator="containsText" text="Buy">
      <formula>NOT(ISERROR(SEARCH("Buy",E311)))</formula>
    </cfRule>
    <cfRule type="containsText" dxfId="4161" priority="944" operator="containsText" text="Sell">
      <formula>NOT(ISERROR(SEARCH("Sell",E311)))</formula>
    </cfRule>
  </conditionalFormatting>
  <conditionalFormatting sqref="E310">
    <cfRule type="containsText" dxfId="4160" priority="941" operator="containsText" text="Buy">
      <formula>NOT(ISERROR(SEARCH("Buy",E310)))</formula>
    </cfRule>
    <cfRule type="containsText" dxfId="4159" priority="942" operator="containsText" text="Sell">
      <formula>NOT(ISERROR(SEARCH("Sell",E310)))</formula>
    </cfRule>
  </conditionalFormatting>
  <conditionalFormatting sqref="E309">
    <cfRule type="containsText" dxfId="4158" priority="939" operator="containsText" text="Buy">
      <formula>NOT(ISERROR(SEARCH("Buy",E309)))</formula>
    </cfRule>
    <cfRule type="containsText" dxfId="4157" priority="940" operator="containsText" text="Sell">
      <formula>NOT(ISERROR(SEARCH("Sell",E309)))</formula>
    </cfRule>
  </conditionalFormatting>
  <conditionalFormatting sqref="E308">
    <cfRule type="containsText" dxfId="4156" priority="937" operator="containsText" text="Buy">
      <formula>NOT(ISERROR(SEARCH("Buy",E308)))</formula>
    </cfRule>
    <cfRule type="containsText" dxfId="4155" priority="938" operator="containsText" text="Sell">
      <formula>NOT(ISERROR(SEARCH("Sell",E308)))</formula>
    </cfRule>
  </conditionalFormatting>
  <conditionalFormatting sqref="E307">
    <cfRule type="containsText" dxfId="4154" priority="935" operator="containsText" text="Buy">
      <formula>NOT(ISERROR(SEARCH("Buy",E307)))</formula>
    </cfRule>
    <cfRule type="containsText" dxfId="4153" priority="936" operator="containsText" text="Sell">
      <formula>NOT(ISERROR(SEARCH("Sell",E307)))</formula>
    </cfRule>
  </conditionalFormatting>
  <conditionalFormatting sqref="E306">
    <cfRule type="containsText" dxfId="4152" priority="933" operator="containsText" text="Buy">
      <formula>NOT(ISERROR(SEARCH("Buy",E306)))</formula>
    </cfRule>
    <cfRule type="containsText" dxfId="4151" priority="934" operator="containsText" text="Sell">
      <formula>NOT(ISERROR(SEARCH("Sell",E306)))</formula>
    </cfRule>
  </conditionalFormatting>
  <conditionalFormatting sqref="E305">
    <cfRule type="containsText" dxfId="4150" priority="931" operator="containsText" text="Buy">
      <formula>NOT(ISERROR(SEARCH("Buy",E305)))</formula>
    </cfRule>
    <cfRule type="containsText" dxfId="4149" priority="932" operator="containsText" text="Sell">
      <formula>NOT(ISERROR(SEARCH("Sell",E305)))</formula>
    </cfRule>
  </conditionalFormatting>
  <conditionalFormatting sqref="E304">
    <cfRule type="containsText" dxfId="4148" priority="929" operator="containsText" text="Buy">
      <formula>NOT(ISERROR(SEARCH("Buy",E304)))</formula>
    </cfRule>
    <cfRule type="containsText" dxfId="4147" priority="930" operator="containsText" text="Sell">
      <formula>NOT(ISERROR(SEARCH("Sell",E304)))</formula>
    </cfRule>
  </conditionalFormatting>
  <conditionalFormatting sqref="E300">
    <cfRule type="containsText" dxfId="4146" priority="927" operator="containsText" text="Buy">
      <formula>NOT(ISERROR(SEARCH("Buy",E300)))</formula>
    </cfRule>
    <cfRule type="containsText" dxfId="4145" priority="928" operator="containsText" text="Sell">
      <formula>NOT(ISERROR(SEARCH("Sell",E300)))</formula>
    </cfRule>
  </conditionalFormatting>
  <conditionalFormatting sqref="E360">
    <cfRule type="containsText" dxfId="4144" priority="925" operator="containsText" text="Buy">
      <formula>NOT(ISERROR(SEARCH("Buy",E360)))</formula>
    </cfRule>
    <cfRule type="containsText" dxfId="4143" priority="926" operator="containsText" text="Sell">
      <formula>NOT(ISERROR(SEARCH("Sell",E360)))</formula>
    </cfRule>
  </conditionalFormatting>
  <conditionalFormatting sqref="E359 E356">
    <cfRule type="containsText" dxfId="4142" priority="923" operator="containsText" text="Buy">
      <formula>NOT(ISERROR(SEARCH("Buy",E356)))</formula>
    </cfRule>
    <cfRule type="containsText" dxfId="4141" priority="924" operator="containsText" text="Sell">
      <formula>NOT(ISERROR(SEARCH("Sell",E356)))</formula>
    </cfRule>
  </conditionalFormatting>
  <conditionalFormatting sqref="E365">
    <cfRule type="containsText" dxfId="4140" priority="921" operator="containsText" text="Buy">
      <formula>NOT(ISERROR(SEARCH("Buy",E365)))</formula>
    </cfRule>
    <cfRule type="containsText" dxfId="4139" priority="922" operator="containsText" text="Sell">
      <formula>NOT(ISERROR(SEARCH("Sell",E365)))</formula>
    </cfRule>
  </conditionalFormatting>
  <conditionalFormatting sqref="E447:E448">
    <cfRule type="containsText" dxfId="4138" priority="919" operator="containsText" text="Buy">
      <formula>NOT(ISERROR(SEARCH("Buy",E447)))</formula>
    </cfRule>
    <cfRule type="containsText" dxfId="4137" priority="920" operator="containsText" text="Sell">
      <formula>NOT(ISERROR(SEARCH("Sell",E447)))</formula>
    </cfRule>
  </conditionalFormatting>
  <conditionalFormatting sqref="E358">
    <cfRule type="containsText" dxfId="4136" priority="917" operator="containsText" text="Buy">
      <formula>NOT(ISERROR(SEARCH("Buy",E358)))</formula>
    </cfRule>
    <cfRule type="containsText" dxfId="4135" priority="918" operator="containsText" text="Sell">
      <formula>NOT(ISERROR(SEARCH("Sell",E358)))</formula>
    </cfRule>
  </conditionalFormatting>
  <conditionalFormatting sqref="E355">
    <cfRule type="containsText" dxfId="4134" priority="915" operator="containsText" text="Buy">
      <formula>NOT(ISERROR(SEARCH("Buy",E355)))</formula>
    </cfRule>
    <cfRule type="containsText" dxfId="4133" priority="916" operator="containsText" text="Sell">
      <formula>NOT(ISERROR(SEARCH("Sell",E355)))</formula>
    </cfRule>
  </conditionalFormatting>
  <conditionalFormatting sqref="E354">
    <cfRule type="containsText" dxfId="4132" priority="913" operator="containsText" text="Buy">
      <formula>NOT(ISERROR(SEARCH("Buy",E354)))</formula>
    </cfRule>
    <cfRule type="containsText" dxfId="4131" priority="914" operator="containsText" text="Sell">
      <formula>NOT(ISERROR(SEARCH("Sell",E354)))</formula>
    </cfRule>
  </conditionalFormatting>
  <conditionalFormatting sqref="E341">
    <cfRule type="containsText" dxfId="4130" priority="911" operator="containsText" text="Buy">
      <formula>NOT(ISERROR(SEARCH("Buy",E341)))</formula>
    </cfRule>
    <cfRule type="containsText" dxfId="4129" priority="912" operator="containsText" text="Sell">
      <formula>NOT(ISERROR(SEARCH("Sell",E341)))</formula>
    </cfRule>
  </conditionalFormatting>
  <conditionalFormatting sqref="E278:E281 E291 E288:E289">
    <cfRule type="containsText" dxfId="4128" priority="909" operator="containsText" text="Buy">
      <formula>NOT(ISERROR(SEARCH("Buy",E278)))</formula>
    </cfRule>
    <cfRule type="containsText" dxfId="4127" priority="910" operator="containsText" text="Sell">
      <formula>NOT(ISERROR(SEARCH("Sell",E278)))</formula>
    </cfRule>
  </conditionalFormatting>
  <conditionalFormatting sqref="E444:E445">
    <cfRule type="containsText" dxfId="4126" priority="907" operator="containsText" text="Buy">
      <formula>NOT(ISERROR(SEARCH("Buy",E444)))</formula>
    </cfRule>
    <cfRule type="containsText" dxfId="4125" priority="908" operator="containsText" text="Sell">
      <formula>NOT(ISERROR(SEARCH("Sell",E444)))</formula>
    </cfRule>
  </conditionalFormatting>
  <conditionalFormatting sqref="E441:E442">
    <cfRule type="containsText" dxfId="4124" priority="905" operator="containsText" text="Buy">
      <formula>NOT(ISERROR(SEARCH("Buy",E441)))</formula>
    </cfRule>
    <cfRule type="containsText" dxfId="4123" priority="906" operator="containsText" text="Sell">
      <formula>NOT(ISERROR(SEARCH("Sell",E441)))</formula>
    </cfRule>
  </conditionalFormatting>
  <conditionalFormatting sqref="E439:E440">
    <cfRule type="containsText" dxfId="4122" priority="903" operator="containsText" text="Buy">
      <formula>NOT(ISERROR(SEARCH("Buy",E439)))</formula>
    </cfRule>
    <cfRule type="containsText" dxfId="4121" priority="904" operator="containsText" text="Sell">
      <formula>NOT(ISERROR(SEARCH("Sell",E439)))</formula>
    </cfRule>
  </conditionalFormatting>
  <conditionalFormatting sqref="E436:E437">
    <cfRule type="containsText" dxfId="4120" priority="901" operator="containsText" text="Buy">
      <formula>NOT(ISERROR(SEARCH("Buy",E436)))</formula>
    </cfRule>
    <cfRule type="containsText" dxfId="4119" priority="902" operator="containsText" text="Sell">
      <formula>NOT(ISERROR(SEARCH("Sell",E436)))</formula>
    </cfRule>
  </conditionalFormatting>
  <conditionalFormatting sqref="E433:E435">
    <cfRule type="containsText" dxfId="4118" priority="899" operator="containsText" text="Buy">
      <formula>NOT(ISERROR(SEARCH("Buy",E433)))</formula>
    </cfRule>
    <cfRule type="containsText" dxfId="4117" priority="900" operator="containsText" text="Sell">
      <formula>NOT(ISERROR(SEARCH("Sell",E433)))</formula>
    </cfRule>
  </conditionalFormatting>
  <conditionalFormatting sqref="E430:E431">
    <cfRule type="containsText" dxfId="4116" priority="897" operator="containsText" text="Buy">
      <formula>NOT(ISERROR(SEARCH("Buy",E430)))</formula>
    </cfRule>
    <cfRule type="containsText" dxfId="4115" priority="898" operator="containsText" text="Sell">
      <formula>NOT(ISERROR(SEARCH("Sell",E430)))</formula>
    </cfRule>
  </conditionalFormatting>
  <conditionalFormatting sqref="E427:E428">
    <cfRule type="containsText" dxfId="4114" priority="895" operator="containsText" text="Buy">
      <formula>NOT(ISERROR(SEARCH("Buy",E427)))</formula>
    </cfRule>
    <cfRule type="containsText" dxfId="4113" priority="896" operator="containsText" text="Sell">
      <formula>NOT(ISERROR(SEARCH("Sell",E427)))</formula>
    </cfRule>
  </conditionalFormatting>
  <conditionalFormatting sqref="E424:E425">
    <cfRule type="containsText" dxfId="4112" priority="893" operator="containsText" text="Buy">
      <formula>NOT(ISERROR(SEARCH("Buy",E424)))</formula>
    </cfRule>
    <cfRule type="containsText" dxfId="4111" priority="894" operator="containsText" text="Sell">
      <formula>NOT(ISERROR(SEARCH("Sell",E424)))</formula>
    </cfRule>
  </conditionalFormatting>
  <conditionalFormatting sqref="E420">
    <cfRule type="containsText" dxfId="4110" priority="889" operator="containsText" text="Buy">
      <formula>NOT(ISERROR(SEARCH("Buy",E420)))</formula>
    </cfRule>
    <cfRule type="containsText" dxfId="4109" priority="890" operator="containsText" text="Sell">
      <formula>NOT(ISERROR(SEARCH("Sell",E420)))</formula>
    </cfRule>
  </conditionalFormatting>
  <conditionalFormatting sqref="E421:E422">
    <cfRule type="containsText" dxfId="4108" priority="891" operator="containsText" text="Buy">
      <formula>NOT(ISERROR(SEARCH("Buy",E421)))</formula>
    </cfRule>
    <cfRule type="containsText" dxfId="4107" priority="892" operator="containsText" text="Sell">
      <formula>NOT(ISERROR(SEARCH("Sell",E421)))</formula>
    </cfRule>
  </conditionalFormatting>
  <conditionalFormatting sqref="E414:E415">
    <cfRule type="containsText" dxfId="4106" priority="887" operator="containsText" text="Buy">
      <formula>NOT(ISERROR(SEARCH("Buy",E414)))</formula>
    </cfRule>
    <cfRule type="containsText" dxfId="4105" priority="888" operator="containsText" text="Sell">
      <formula>NOT(ISERROR(SEARCH("Sell",E414)))</formula>
    </cfRule>
  </conditionalFormatting>
  <conditionalFormatting sqref="E410:E411">
    <cfRule type="containsText" dxfId="4104" priority="885" operator="containsText" text="Buy">
      <formula>NOT(ISERROR(SEARCH("Buy",E410)))</formula>
    </cfRule>
    <cfRule type="containsText" dxfId="4103" priority="886" operator="containsText" text="Sell">
      <formula>NOT(ISERROR(SEARCH("Sell",E410)))</formula>
    </cfRule>
  </conditionalFormatting>
  <conditionalFormatting sqref="E275:E276">
    <cfRule type="containsText" dxfId="4102" priority="883" operator="containsText" text="Buy">
      <formula>NOT(ISERROR(SEARCH("Buy",E275)))</formula>
    </cfRule>
    <cfRule type="containsText" dxfId="4101" priority="884" operator="containsText" text="Sell">
      <formula>NOT(ISERROR(SEARCH("Sell",E275)))</formula>
    </cfRule>
  </conditionalFormatting>
  <conditionalFormatting sqref="E270:E271">
    <cfRule type="containsText" dxfId="4100" priority="881" operator="containsText" text="Buy">
      <formula>NOT(ISERROR(SEARCH("Buy",E270)))</formula>
    </cfRule>
    <cfRule type="containsText" dxfId="4099" priority="882" operator="containsText" text="Sell">
      <formula>NOT(ISERROR(SEARCH("Sell",E270)))</formula>
    </cfRule>
  </conditionalFormatting>
  <conditionalFormatting sqref="E287">
    <cfRule type="containsText" dxfId="4098" priority="879" operator="containsText" text="Buy">
      <formula>NOT(ISERROR(SEARCH("Buy",E287)))</formula>
    </cfRule>
    <cfRule type="containsText" dxfId="4097" priority="880" operator="containsText" text="Sell">
      <formula>NOT(ISERROR(SEARCH("Sell",E287)))</formula>
    </cfRule>
  </conditionalFormatting>
  <conditionalFormatting sqref="E286">
    <cfRule type="containsText" dxfId="4096" priority="877" operator="containsText" text="Buy">
      <formula>NOT(ISERROR(SEARCH("Buy",E286)))</formula>
    </cfRule>
    <cfRule type="containsText" dxfId="4095" priority="878" operator="containsText" text="Sell">
      <formula>NOT(ISERROR(SEARCH("Sell",E286)))</formula>
    </cfRule>
  </conditionalFormatting>
  <conditionalFormatting sqref="E282">
    <cfRule type="containsText" dxfId="4094" priority="875" operator="containsText" text="Buy">
      <formula>NOT(ISERROR(SEARCH("Buy",E282)))</formula>
    </cfRule>
    <cfRule type="containsText" dxfId="4093" priority="876" operator="containsText" text="Sell">
      <formula>NOT(ISERROR(SEARCH("Sell",E282)))</formula>
    </cfRule>
  </conditionalFormatting>
  <conditionalFormatting sqref="E407:E409">
    <cfRule type="containsText" dxfId="4092" priority="873" operator="containsText" text="Buy">
      <formula>NOT(ISERROR(SEARCH("Buy",E407)))</formula>
    </cfRule>
    <cfRule type="containsText" dxfId="4091" priority="874" operator="containsText" text="Sell">
      <formula>NOT(ISERROR(SEARCH("Sell",E407)))</formula>
    </cfRule>
  </conditionalFormatting>
  <conditionalFormatting sqref="E404:E405">
    <cfRule type="containsText" dxfId="4090" priority="871" operator="containsText" text="Buy">
      <formula>NOT(ISERROR(SEARCH("Buy",E404)))</formula>
    </cfRule>
    <cfRule type="containsText" dxfId="4089" priority="872" operator="containsText" text="Sell">
      <formula>NOT(ISERROR(SEARCH("Sell",E404)))</formula>
    </cfRule>
  </conditionalFormatting>
  <conditionalFormatting sqref="E398:E400">
    <cfRule type="containsText" dxfId="4088" priority="869" operator="containsText" text="Buy">
      <formula>NOT(ISERROR(SEARCH("Buy",E398)))</formula>
    </cfRule>
    <cfRule type="containsText" dxfId="4087" priority="870" operator="containsText" text="Sell">
      <formula>NOT(ISERROR(SEARCH("Sell",E398)))</formula>
    </cfRule>
  </conditionalFormatting>
  <conditionalFormatting sqref="E394:E395">
    <cfRule type="containsText" dxfId="4086" priority="867" operator="containsText" text="Buy">
      <formula>NOT(ISERROR(SEARCH("Buy",E394)))</formula>
    </cfRule>
    <cfRule type="containsText" dxfId="4085" priority="868" operator="containsText" text="Sell">
      <formula>NOT(ISERROR(SEARCH("Sell",E394)))</formula>
    </cfRule>
  </conditionalFormatting>
  <conditionalFormatting sqref="E403">
    <cfRule type="containsText" dxfId="4084" priority="865" operator="containsText" text="Buy">
      <formula>NOT(ISERROR(SEARCH("Buy",E403)))</formula>
    </cfRule>
    <cfRule type="containsText" dxfId="4083" priority="866" operator="containsText" text="Sell">
      <formula>NOT(ISERROR(SEARCH("Sell",E403)))</formula>
    </cfRule>
  </conditionalFormatting>
  <conditionalFormatting sqref="E383">
    <cfRule type="containsText" dxfId="4082" priority="863" operator="containsText" text="Buy">
      <formula>NOT(ISERROR(SEARCH("Buy",E383)))</formula>
    </cfRule>
    <cfRule type="containsText" dxfId="4081" priority="864" operator="containsText" text="Sell">
      <formula>NOT(ISERROR(SEARCH("Sell",E383)))</formula>
    </cfRule>
  </conditionalFormatting>
  <conditionalFormatting sqref="E382">
    <cfRule type="containsText" dxfId="4080" priority="861" operator="containsText" text="Buy">
      <formula>NOT(ISERROR(SEARCH("Buy",E382)))</formula>
    </cfRule>
    <cfRule type="containsText" dxfId="4079" priority="862" operator="containsText" text="Sell">
      <formula>NOT(ISERROR(SEARCH("Sell",E382)))</formula>
    </cfRule>
  </conditionalFormatting>
  <conditionalFormatting sqref="E381">
    <cfRule type="containsText" dxfId="4078" priority="859" operator="containsText" text="Buy">
      <formula>NOT(ISERROR(SEARCH("Buy",E381)))</formula>
    </cfRule>
    <cfRule type="containsText" dxfId="4077" priority="860" operator="containsText" text="Sell">
      <formula>NOT(ISERROR(SEARCH("Sell",E381)))</formula>
    </cfRule>
  </conditionalFormatting>
  <conditionalFormatting sqref="E338">
    <cfRule type="containsText" dxfId="4076" priority="857" operator="containsText" text="Buy">
      <formula>NOT(ISERROR(SEARCH("Buy",E338)))</formula>
    </cfRule>
    <cfRule type="containsText" dxfId="4075" priority="858" operator="containsText" text="Sell">
      <formula>NOT(ISERROR(SEARCH("Sell",E338)))</formula>
    </cfRule>
  </conditionalFormatting>
  <conditionalFormatting sqref="E357">
    <cfRule type="containsText" dxfId="4074" priority="855" operator="containsText" text="Buy">
      <formula>NOT(ISERROR(SEARCH("Buy",E357)))</formula>
    </cfRule>
    <cfRule type="containsText" dxfId="4073" priority="856" operator="containsText" text="Sell">
      <formula>NOT(ISERROR(SEARCH("Sell",E357)))</formula>
    </cfRule>
  </conditionalFormatting>
  <conditionalFormatting sqref="E251:E252">
    <cfRule type="containsText" dxfId="4072" priority="853" operator="containsText" text="Buy">
      <formula>NOT(ISERROR(SEARCH("Buy",E251)))</formula>
    </cfRule>
    <cfRule type="containsText" dxfId="4071" priority="854" operator="containsText" text="Sell">
      <formula>NOT(ISERROR(SEARCH("Sell",E251)))</formula>
    </cfRule>
  </conditionalFormatting>
  <conditionalFormatting sqref="E380">
    <cfRule type="containsText" dxfId="4070" priority="849" operator="containsText" text="Buy">
      <formula>NOT(ISERROR(SEARCH("Buy",E380)))</formula>
    </cfRule>
    <cfRule type="containsText" dxfId="4069" priority="850" operator="containsText" text="Sell">
      <formula>NOT(ISERROR(SEARCH("Sell",E380)))</formula>
    </cfRule>
  </conditionalFormatting>
  <conditionalFormatting sqref="E290">
    <cfRule type="containsText" dxfId="4068" priority="851" operator="containsText" text="Buy">
      <formula>NOT(ISERROR(SEARCH("Buy",E290)))</formula>
    </cfRule>
    <cfRule type="containsText" dxfId="4067" priority="852" operator="containsText" text="Sell">
      <formula>NOT(ISERROR(SEARCH("Sell",E290)))</formula>
    </cfRule>
  </conditionalFormatting>
  <conditionalFormatting sqref="E379">
    <cfRule type="containsText" dxfId="4066" priority="847" operator="containsText" text="Buy">
      <formula>NOT(ISERROR(SEARCH("Buy",E379)))</formula>
    </cfRule>
    <cfRule type="containsText" dxfId="4065" priority="848" operator="containsText" text="Sell">
      <formula>NOT(ISERROR(SEARCH("Sell",E379)))</formula>
    </cfRule>
  </conditionalFormatting>
  <conditionalFormatting sqref="E378">
    <cfRule type="containsText" dxfId="4064" priority="845" operator="containsText" text="Buy">
      <formula>NOT(ISERROR(SEARCH("Buy",E378)))</formula>
    </cfRule>
    <cfRule type="containsText" dxfId="4063" priority="846" operator="containsText" text="Sell">
      <formula>NOT(ISERROR(SEARCH("Sell",E378)))</formula>
    </cfRule>
  </conditionalFormatting>
  <conditionalFormatting sqref="E377">
    <cfRule type="containsText" dxfId="4062" priority="843" operator="containsText" text="Buy">
      <formula>NOT(ISERROR(SEARCH("Buy",E377)))</formula>
    </cfRule>
    <cfRule type="containsText" dxfId="4061" priority="844" operator="containsText" text="Sell">
      <formula>NOT(ISERROR(SEARCH("Sell",E377)))</formula>
    </cfRule>
  </conditionalFormatting>
  <conditionalFormatting sqref="E376">
    <cfRule type="containsText" dxfId="4060" priority="841" operator="containsText" text="Buy">
      <formula>NOT(ISERROR(SEARCH("Buy",E376)))</formula>
    </cfRule>
    <cfRule type="containsText" dxfId="4059" priority="842" operator="containsText" text="Sell">
      <formula>NOT(ISERROR(SEARCH("Sell",E376)))</formula>
    </cfRule>
  </conditionalFormatting>
  <conditionalFormatting sqref="E256:E258 E269">
    <cfRule type="containsText" dxfId="4058" priority="839" operator="containsText" text="Buy">
      <formula>NOT(ISERROR(SEARCH("Buy",E256)))</formula>
    </cfRule>
    <cfRule type="containsText" dxfId="4057" priority="840" operator="containsText" text="Sell">
      <formula>NOT(ISERROR(SEARCH("Sell",E256)))</formula>
    </cfRule>
  </conditionalFormatting>
  <conditionalFormatting sqref="H25"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{138479DE-E3F3-4716-AD63-7CBD15AB1C93}</x14:id>
        </ext>
      </extLst>
    </cfRule>
    <cfRule type="cellIs" dxfId="4056" priority="838" operator="equal">
      <formula>1</formula>
    </cfRule>
  </conditionalFormatting>
  <conditionalFormatting sqref="D25">
    <cfRule type="containsText" dxfId="4055" priority="836" operator="containsText" text="Buy">
      <formula>NOT(ISERROR(SEARCH("Buy",D25)))</formula>
    </cfRule>
    <cfRule type="containsText" dxfId="4054" priority="837" operator="containsText" text="Sell">
      <formula>NOT(ISERROR(SEARCH("Sell",D25)))</formula>
    </cfRule>
  </conditionalFormatting>
  <conditionalFormatting sqref="E246:E247">
    <cfRule type="containsText" dxfId="4053" priority="833" operator="containsText" text="Buy">
      <formula>NOT(ISERROR(SEARCH("Buy",E246)))</formula>
    </cfRule>
    <cfRule type="containsText" dxfId="4052" priority="834" operator="containsText" text="Sell">
      <formula>NOT(ISERROR(SEARCH("Sell",E246)))</formula>
    </cfRule>
  </conditionalFormatting>
  <conditionalFormatting sqref="E240:E241">
    <cfRule type="containsText" dxfId="4051" priority="831" operator="containsText" text="Buy">
      <formula>NOT(ISERROR(SEARCH("Buy",E240)))</formula>
    </cfRule>
    <cfRule type="containsText" dxfId="4050" priority="832" operator="containsText" text="Sell">
      <formula>NOT(ISERROR(SEARCH("Sell",E240)))</formula>
    </cfRule>
  </conditionalFormatting>
  <conditionalFormatting sqref="E267:E268">
    <cfRule type="containsText" dxfId="4049" priority="829" operator="containsText" text="Buy">
      <formula>NOT(ISERROR(SEARCH("Buy",E267)))</formula>
    </cfRule>
    <cfRule type="containsText" dxfId="4048" priority="830" operator="containsText" text="Sell">
      <formula>NOT(ISERROR(SEARCH("Sell",E267)))</formula>
    </cfRule>
  </conditionalFormatting>
  <conditionalFormatting sqref="E266">
    <cfRule type="containsText" dxfId="4047" priority="827" operator="containsText" text="Buy">
      <formula>NOT(ISERROR(SEARCH("Buy",E266)))</formula>
    </cfRule>
    <cfRule type="containsText" dxfId="4046" priority="828" operator="containsText" text="Sell">
      <formula>NOT(ISERROR(SEARCH("Sell",E266)))</formula>
    </cfRule>
  </conditionalFormatting>
  <conditionalFormatting sqref="E349">
    <cfRule type="containsText" dxfId="4045" priority="825" operator="containsText" text="Buy">
      <formula>NOT(ISERROR(SEARCH("Buy",E349)))</formula>
    </cfRule>
    <cfRule type="containsText" dxfId="4044" priority="826" operator="containsText" text="Sell">
      <formula>NOT(ISERROR(SEARCH("Sell",E349)))</formula>
    </cfRule>
  </conditionalFormatting>
  <conditionalFormatting sqref="E348">
    <cfRule type="containsText" dxfId="4043" priority="823" operator="containsText" text="Buy">
      <formula>NOT(ISERROR(SEARCH("Buy",E348)))</formula>
    </cfRule>
    <cfRule type="containsText" dxfId="4042" priority="824" operator="containsText" text="Sell">
      <formula>NOT(ISERROR(SEARCH("Sell",E348)))</formula>
    </cfRule>
  </conditionalFormatting>
  <conditionalFormatting sqref="E237:E238">
    <cfRule type="containsText" dxfId="4041" priority="821" operator="containsText" text="Buy">
      <formula>NOT(ISERROR(SEARCH("Buy",E237)))</formula>
    </cfRule>
    <cfRule type="containsText" dxfId="4040" priority="822" operator="containsText" text="Sell">
      <formula>NOT(ISERROR(SEARCH("Sell",E237)))</formula>
    </cfRule>
  </conditionalFormatting>
  <conditionalFormatting sqref="E236">
    <cfRule type="containsText" dxfId="4039" priority="819" operator="containsText" text="Buy">
      <formula>NOT(ISERROR(SEARCH("Buy",E236)))</formula>
    </cfRule>
    <cfRule type="containsText" dxfId="4038" priority="820" operator="containsText" text="Sell">
      <formula>NOT(ISERROR(SEARCH("Sell",E236)))</formula>
    </cfRule>
  </conditionalFormatting>
  <conditionalFormatting sqref="E235">
    <cfRule type="containsText" dxfId="4037" priority="817" operator="containsText" text="Buy">
      <formula>NOT(ISERROR(SEARCH("Buy",E235)))</formula>
    </cfRule>
    <cfRule type="containsText" dxfId="4036" priority="818" operator="containsText" text="Sell">
      <formula>NOT(ISERROR(SEARCH("Sell",E235)))</formula>
    </cfRule>
  </conditionalFormatting>
  <conditionalFormatting sqref="E232">
    <cfRule type="containsText" dxfId="4035" priority="815" operator="containsText" text="Buy">
      <formula>NOT(ISERROR(SEARCH("Buy",E232)))</formula>
    </cfRule>
    <cfRule type="containsText" dxfId="4034" priority="816" operator="containsText" text="Sell">
      <formula>NOT(ISERROR(SEARCH("Sell",E232)))</formula>
    </cfRule>
  </conditionalFormatting>
  <conditionalFormatting sqref="E231">
    <cfRule type="containsText" dxfId="4033" priority="813" operator="containsText" text="Buy">
      <formula>NOT(ISERROR(SEARCH("Buy",E231)))</formula>
    </cfRule>
    <cfRule type="containsText" dxfId="4032" priority="814" operator="containsText" text="Sell">
      <formula>NOT(ISERROR(SEARCH("Sell",E231)))</formula>
    </cfRule>
  </conditionalFormatting>
  <conditionalFormatting sqref="E228">
    <cfRule type="containsText" dxfId="4031" priority="811" operator="containsText" text="Buy">
      <formula>NOT(ISERROR(SEARCH("Buy",E228)))</formula>
    </cfRule>
    <cfRule type="containsText" dxfId="4030" priority="812" operator="containsText" text="Sell">
      <formula>NOT(ISERROR(SEARCH("Sell",E228)))</formula>
    </cfRule>
  </conditionalFormatting>
  <conditionalFormatting sqref="E227">
    <cfRule type="containsText" dxfId="4029" priority="809" operator="containsText" text="Buy">
      <formula>NOT(ISERROR(SEARCH("Buy",E227)))</formula>
    </cfRule>
    <cfRule type="containsText" dxfId="4028" priority="810" operator="containsText" text="Sell">
      <formula>NOT(ISERROR(SEARCH("Sell",E227)))</formula>
    </cfRule>
  </conditionalFormatting>
  <conditionalFormatting sqref="E226">
    <cfRule type="containsText" dxfId="4027" priority="807" operator="containsText" text="Buy">
      <formula>NOT(ISERROR(SEARCH("Buy",E226)))</formula>
    </cfRule>
    <cfRule type="containsText" dxfId="4026" priority="808" operator="containsText" text="Sell">
      <formula>NOT(ISERROR(SEARCH("Sell",E226)))</formula>
    </cfRule>
  </conditionalFormatting>
  <conditionalFormatting sqref="E224:E225">
    <cfRule type="containsText" dxfId="4025" priority="805" operator="containsText" text="Buy">
      <formula>NOT(ISERROR(SEARCH("Buy",E224)))</formula>
    </cfRule>
    <cfRule type="containsText" dxfId="4024" priority="806" operator="containsText" text="Sell">
      <formula>NOT(ISERROR(SEARCH("Sell",E224)))</formula>
    </cfRule>
  </conditionalFormatting>
  <conditionalFormatting sqref="E221 E217:E218">
    <cfRule type="containsText" dxfId="4023" priority="803" operator="containsText" text="Buy">
      <formula>NOT(ISERROR(SEARCH("Buy",E217)))</formula>
    </cfRule>
    <cfRule type="containsText" dxfId="4022" priority="804" operator="containsText" text="Sell">
      <formula>NOT(ISERROR(SEARCH("Sell",E217)))</formula>
    </cfRule>
  </conditionalFormatting>
  <conditionalFormatting sqref="E213">
    <cfRule type="containsText" dxfId="4021" priority="801" operator="containsText" text="Buy">
      <formula>NOT(ISERROR(SEARCH("Buy",E213)))</formula>
    </cfRule>
    <cfRule type="containsText" dxfId="4020" priority="802" operator="containsText" text="Sell">
      <formula>NOT(ISERROR(SEARCH("Sell",E213)))</formula>
    </cfRule>
  </conditionalFormatting>
  <conditionalFormatting sqref="E212">
    <cfRule type="containsText" dxfId="4019" priority="799" operator="containsText" text="Buy">
      <formula>NOT(ISERROR(SEARCH("Buy",E212)))</formula>
    </cfRule>
    <cfRule type="containsText" dxfId="4018" priority="800" operator="containsText" text="Sell">
      <formula>NOT(ISERROR(SEARCH("Sell",E212)))</formula>
    </cfRule>
  </conditionalFormatting>
  <conditionalFormatting sqref="E220">
    <cfRule type="containsText" dxfId="4017" priority="797" operator="containsText" text="Buy">
      <formula>NOT(ISERROR(SEARCH("Buy",E220)))</formula>
    </cfRule>
    <cfRule type="containsText" dxfId="4016" priority="798" operator="containsText" text="Sell">
      <formula>NOT(ISERROR(SEARCH("Sell",E220)))</formula>
    </cfRule>
  </conditionalFormatting>
  <conditionalFormatting sqref="E219">
    <cfRule type="containsText" dxfId="4015" priority="795" operator="containsText" text="Buy">
      <formula>NOT(ISERROR(SEARCH("Buy",E219)))</formula>
    </cfRule>
    <cfRule type="containsText" dxfId="4014" priority="796" operator="containsText" text="Sell">
      <formula>NOT(ISERROR(SEARCH("Sell",E219)))</formula>
    </cfRule>
  </conditionalFormatting>
  <conditionalFormatting sqref="E353">
    <cfRule type="containsText" dxfId="4013" priority="793" operator="containsText" text="Buy">
      <formula>NOT(ISERROR(SEARCH("Buy",E353)))</formula>
    </cfRule>
    <cfRule type="containsText" dxfId="4012" priority="794" operator="containsText" text="Sell">
      <formula>NOT(ISERROR(SEARCH("Sell",E353)))</formula>
    </cfRule>
  </conditionalFormatting>
  <conditionalFormatting sqref="E274">
    <cfRule type="containsText" dxfId="4011" priority="791" operator="containsText" text="Buy">
      <formula>NOT(ISERROR(SEARCH("Buy",E274)))</formula>
    </cfRule>
    <cfRule type="containsText" dxfId="4010" priority="792" operator="containsText" text="Sell">
      <formula>NOT(ISERROR(SEARCH("Sell",E274)))</formula>
    </cfRule>
  </conditionalFormatting>
  <conditionalFormatting sqref="E321">
    <cfRule type="containsText" dxfId="4009" priority="789" operator="containsText" text="Buy">
      <formula>NOT(ISERROR(SEARCH("Buy",E321)))</formula>
    </cfRule>
    <cfRule type="containsText" dxfId="4008" priority="790" operator="containsText" text="Sell">
      <formula>NOT(ISERROR(SEARCH("Sell",E321)))</formula>
    </cfRule>
  </conditionalFormatting>
  <conditionalFormatting sqref="E216">
    <cfRule type="containsText" dxfId="4007" priority="787" operator="containsText" text="Buy">
      <formula>NOT(ISERROR(SEARCH("Buy",E216)))</formula>
    </cfRule>
    <cfRule type="containsText" dxfId="4006" priority="788" operator="containsText" text="Sell">
      <formula>NOT(ISERROR(SEARCH("Sell",E216)))</formula>
    </cfRule>
  </conditionalFormatting>
  <conditionalFormatting sqref="E206">
    <cfRule type="containsText" dxfId="4005" priority="785" operator="containsText" text="Buy">
      <formula>NOT(ISERROR(SEARCH("Buy",E206)))</formula>
    </cfRule>
    <cfRule type="containsText" dxfId="4004" priority="786" operator="containsText" text="Sell">
      <formula>NOT(ISERROR(SEARCH("Sell",E206)))</formula>
    </cfRule>
  </conditionalFormatting>
  <conditionalFormatting sqref="E320">
    <cfRule type="containsText" dxfId="4003" priority="783" operator="containsText" text="Buy">
      <formula>NOT(ISERROR(SEARCH("Buy",E320)))</formula>
    </cfRule>
    <cfRule type="containsText" dxfId="4002" priority="784" operator="containsText" text="Sell">
      <formula>NOT(ISERROR(SEARCH("Sell",E320)))</formula>
    </cfRule>
  </conditionalFormatting>
  <conditionalFormatting sqref="E319">
    <cfRule type="containsText" dxfId="4001" priority="781" operator="containsText" text="Buy">
      <formula>NOT(ISERROR(SEARCH("Buy",E319)))</formula>
    </cfRule>
    <cfRule type="containsText" dxfId="4000" priority="782" operator="containsText" text="Sell">
      <formula>NOT(ISERROR(SEARCH("Sell",E319)))</formula>
    </cfRule>
  </conditionalFormatting>
  <conditionalFormatting sqref="E390:E392">
    <cfRule type="containsText" dxfId="3999" priority="779" operator="containsText" text="Buy">
      <formula>NOT(ISERROR(SEARCH("Buy",E390)))</formula>
    </cfRule>
    <cfRule type="containsText" dxfId="3998" priority="780" operator="containsText" text="Sell">
      <formula>NOT(ISERROR(SEARCH("Sell",E390)))</formula>
    </cfRule>
  </conditionalFormatting>
  <conditionalFormatting sqref="E375">
    <cfRule type="containsText" dxfId="3997" priority="777" operator="containsText" text="Buy">
      <formula>NOT(ISERROR(SEARCH("Buy",E375)))</formula>
    </cfRule>
    <cfRule type="containsText" dxfId="3996" priority="778" operator="containsText" text="Sell">
      <formula>NOT(ISERROR(SEARCH("Sell",E375)))</formula>
    </cfRule>
  </conditionalFormatting>
  <conditionalFormatting sqref="E374">
    <cfRule type="containsText" dxfId="3995" priority="775" operator="containsText" text="Buy">
      <formula>NOT(ISERROR(SEARCH("Buy",E374)))</formula>
    </cfRule>
    <cfRule type="containsText" dxfId="3994" priority="776" operator="containsText" text="Sell">
      <formula>NOT(ISERROR(SEARCH("Sell",E374)))</formula>
    </cfRule>
  </conditionalFormatting>
  <conditionalFormatting sqref="E211">
    <cfRule type="containsText" dxfId="3993" priority="773" operator="containsText" text="Buy">
      <formula>NOT(ISERROR(SEARCH("Buy",E211)))</formula>
    </cfRule>
    <cfRule type="containsText" dxfId="3992" priority="774" operator="containsText" text="Sell">
      <formula>NOT(ISERROR(SEARCH("Sell",E211)))</formula>
    </cfRule>
  </conditionalFormatting>
  <conditionalFormatting sqref="E340">
    <cfRule type="containsText" dxfId="3991" priority="771" operator="containsText" text="Buy">
      <formula>NOT(ISERROR(SEARCH("Buy",E340)))</formula>
    </cfRule>
    <cfRule type="containsText" dxfId="3990" priority="772" operator="containsText" text="Sell">
      <formula>NOT(ISERROR(SEARCH("Sell",E340)))</formula>
    </cfRule>
  </conditionalFormatting>
  <conditionalFormatting sqref="E337">
    <cfRule type="containsText" dxfId="3989" priority="769" operator="containsText" text="Buy">
      <formula>NOT(ISERROR(SEARCH("Buy",E337)))</formula>
    </cfRule>
    <cfRule type="containsText" dxfId="3988" priority="770" operator="containsText" text="Sell">
      <formula>NOT(ISERROR(SEARCH("Sell",E337)))</formula>
    </cfRule>
  </conditionalFormatting>
  <conditionalFormatting sqref="E202:E203">
    <cfRule type="containsText" dxfId="3987" priority="767" operator="containsText" text="Buy">
      <formula>NOT(ISERROR(SEARCH("Buy",E202)))</formula>
    </cfRule>
    <cfRule type="containsText" dxfId="3986" priority="768" operator="containsText" text="Sell">
      <formula>NOT(ISERROR(SEARCH("Sell",E202)))</formula>
    </cfRule>
  </conditionalFormatting>
  <conditionalFormatting sqref="E199:E200">
    <cfRule type="containsText" dxfId="3985" priority="765" operator="containsText" text="Buy">
      <formula>NOT(ISERROR(SEARCH("Buy",E199)))</formula>
    </cfRule>
    <cfRule type="containsText" dxfId="3984" priority="766" operator="containsText" text="Sell">
      <formula>NOT(ISERROR(SEARCH("Sell",E199)))</formula>
    </cfRule>
  </conditionalFormatting>
  <conditionalFormatting sqref="E373">
    <cfRule type="containsText" dxfId="3983" priority="763" operator="containsText" text="Buy">
      <formula>NOT(ISERROR(SEARCH("Buy",E373)))</formula>
    </cfRule>
    <cfRule type="containsText" dxfId="3982" priority="764" operator="containsText" text="Sell">
      <formula>NOT(ISERROR(SEARCH("Sell",E373)))</formula>
    </cfRule>
  </conditionalFormatting>
  <conditionalFormatting sqref="E196:E197">
    <cfRule type="containsText" dxfId="3981" priority="761" operator="containsText" text="Buy">
      <formula>NOT(ISERROR(SEARCH("Buy",E196)))</formula>
    </cfRule>
    <cfRule type="containsText" dxfId="3980" priority="762" operator="containsText" text="Sell">
      <formula>NOT(ISERROR(SEARCH("Sell",E196)))</formula>
    </cfRule>
  </conditionalFormatting>
  <conditionalFormatting sqref="E193:E194">
    <cfRule type="containsText" dxfId="3979" priority="759" operator="containsText" text="Buy">
      <formula>NOT(ISERROR(SEARCH("Buy",E193)))</formula>
    </cfRule>
    <cfRule type="containsText" dxfId="3978" priority="760" operator="containsText" text="Sell">
      <formula>NOT(ISERROR(SEARCH("Sell",E193)))</formula>
    </cfRule>
  </conditionalFormatting>
  <conditionalFormatting sqref="E265">
    <cfRule type="containsText" dxfId="3977" priority="757" operator="containsText" text="Buy">
      <formula>NOT(ISERROR(SEARCH("Buy",E265)))</formula>
    </cfRule>
    <cfRule type="containsText" dxfId="3976" priority="758" operator="containsText" text="Sell">
      <formula>NOT(ISERROR(SEARCH("Sell",E265)))</formula>
    </cfRule>
  </conditionalFormatting>
  <conditionalFormatting sqref="E191">
    <cfRule type="containsText" dxfId="3975" priority="755" operator="containsText" text="Buy">
      <formula>NOT(ISERROR(SEARCH("Buy",E191)))</formula>
    </cfRule>
    <cfRule type="containsText" dxfId="3974" priority="756" operator="containsText" text="Sell">
      <formula>NOT(ISERROR(SEARCH("Sell",E191)))</formula>
    </cfRule>
  </conditionalFormatting>
  <conditionalFormatting sqref="E190">
    <cfRule type="containsText" dxfId="3973" priority="753" operator="containsText" text="Buy">
      <formula>NOT(ISERROR(SEARCH("Buy",E190)))</formula>
    </cfRule>
    <cfRule type="containsText" dxfId="3972" priority="754" operator="containsText" text="Sell">
      <formula>NOT(ISERROR(SEARCH("Sell",E190)))</formula>
    </cfRule>
  </conditionalFormatting>
  <conditionalFormatting sqref="E402">
    <cfRule type="containsText" dxfId="3971" priority="751" operator="containsText" text="Buy">
      <formula>NOT(ISERROR(SEARCH("Buy",E402)))</formula>
    </cfRule>
    <cfRule type="containsText" dxfId="3970" priority="752" operator="containsText" text="Sell">
      <formula>NOT(ISERROR(SEARCH("Sell",E402)))</formula>
    </cfRule>
  </conditionalFormatting>
  <conditionalFormatting sqref="E419">
    <cfRule type="containsText" dxfId="3969" priority="749" operator="containsText" text="Buy">
      <formula>NOT(ISERROR(SEARCH("Buy",E419)))</formula>
    </cfRule>
    <cfRule type="containsText" dxfId="3968" priority="750" operator="containsText" text="Sell">
      <formula>NOT(ISERROR(SEARCH("Sell",E419)))</formula>
    </cfRule>
  </conditionalFormatting>
  <conditionalFormatting sqref="E182:E183">
    <cfRule type="containsText" dxfId="3967" priority="747" operator="containsText" text="Buy">
      <formula>NOT(ISERROR(SEARCH("Buy",E182)))</formula>
    </cfRule>
    <cfRule type="containsText" dxfId="3966" priority="748" operator="containsText" text="Sell">
      <formula>NOT(ISERROR(SEARCH("Sell",E182)))</formula>
    </cfRule>
  </conditionalFormatting>
  <conditionalFormatting sqref="E397">
    <cfRule type="containsText" dxfId="3965" priority="745" operator="containsText" text="Buy">
      <formula>NOT(ISERROR(SEARCH("Buy",E397)))</formula>
    </cfRule>
    <cfRule type="containsText" dxfId="3964" priority="746" operator="containsText" text="Sell">
      <formula>NOT(ISERROR(SEARCH("Sell",E397)))</formula>
    </cfRule>
  </conditionalFormatting>
  <conditionalFormatting sqref="E393">
    <cfRule type="containsText" dxfId="3963" priority="743" operator="containsText" text="Buy">
      <formula>NOT(ISERROR(SEARCH("Buy",E393)))</formula>
    </cfRule>
    <cfRule type="containsText" dxfId="3962" priority="744" operator="containsText" text="Sell">
      <formula>NOT(ISERROR(SEARCH("Sell",E393)))</formula>
    </cfRule>
  </conditionalFormatting>
  <conditionalFormatting sqref="E131:E132 E174 E171 E168 E165 E156 E135 E150">
    <cfRule type="containsText" dxfId="3961" priority="741" operator="containsText" text="Buy">
      <formula>NOT(ISERROR(SEARCH("Buy",E131)))</formula>
    </cfRule>
    <cfRule type="containsText" dxfId="3960" priority="742" operator="containsText" text="Sell">
      <formula>NOT(ISERROR(SEARCH("Sell",E131)))</formula>
    </cfRule>
  </conditionalFormatting>
  <conditionalFormatting sqref="E264">
    <cfRule type="containsText" dxfId="3959" priority="739" operator="containsText" text="Buy">
      <formula>NOT(ISERROR(SEARCH("Buy",E264)))</formula>
    </cfRule>
    <cfRule type="containsText" dxfId="3958" priority="740" operator="containsText" text="Sell">
      <formula>NOT(ISERROR(SEARCH("Sell",E264)))</formula>
    </cfRule>
  </conditionalFormatting>
  <conditionalFormatting sqref="E318">
    <cfRule type="containsText" dxfId="3957" priority="737" operator="containsText" text="Buy">
      <formula>NOT(ISERROR(SEARCH("Buy",E318)))</formula>
    </cfRule>
    <cfRule type="containsText" dxfId="3956" priority="738" operator="containsText" text="Sell">
      <formula>NOT(ISERROR(SEARCH("Sell",E318)))</formula>
    </cfRule>
  </conditionalFormatting>
  <conditionalFormatting sqref="E273">
    <cfRule type="containsText" dxfId="3955" priority="735" operator="containsText" text="Buy">
      <formula>NOT(ISERROR(SEARCH("Buy",E273)))</formula>
    </cfRule>
    <cfRule type="containsText" dxfId="3954" priority="736" operator="containsText" text="Sell">
      <formula>NOT(ISERROR(SEARCH("Sell",E273)))</formula>
    </cfRule>
  </conditionalFormatting>
  <conditionalFormatting sqref="E208">
    <cfRule type="containsText" dxfId="3953" priority="733" operator="containsText" text="Buy">
      <formula>NOT(ISERROR(SEARCH("Buy",E208)))</formula>
    </cfRule>
    <cfRule type="containsText" dxfId="3952" priority="734" operator="containsText" text="Sell">
      <formula>NOT(ISERROR(SEARCH("Sell",E208)))</formula>
    </cfRule>
  </conditionalFormatting>
  <conditionalFormatting sqref="E116:E117">
    <cfRule type="containsText" dxfId="3951" priority="731" operator="containsText" text="Buy">
      <formula>NOT(ISERROR(SEARCH("Buy",E116)))</formula>
    </cfRule>
    <cfRule type="containsText" dxfId="3950" priority="732" operator="containsText" text="Sell">
      <formula>NOT(ISERROR(SEARCH("Sell",E116)))</formula>
    </cfRule>
  </conditionalFormatting>
  <conditionalFormatting sqref="E115">
    <cfRule type="containsText" dxfId="3949" priority="729" operator="containsText" text="Buy">
      <formula>NOT(ISERROR(SEARCH("Buy",E115)))</formula>
    </cfRule>
    <cfRule type="containsText" dxfId="3948" priority="730" operator="containsText" text="Sell">
      <formula>NOT(ISERROR(SEARCH("Sell",E115)))</formula>
    </cfRule>
  </conditionalFormatting>
  <conditionalFormatting sqref="E364">
    <cfRule type="containsText" dxfId="3947" priority="727" operator="containsText" text="Buy">
      <formula>NOT(ISERROR(SEARCH("Buy",E364)))</formula>
    </cfRule>
    <cfRule type="containsText" dxfId="3946" priority="728" operator="containsText" text="Sell">
      <formula>NOT(ISERROR(SEARCH("Sell",E364)))</formula>
    </cfRule>
  </conditionalFormatting>
  <conditionalFormatting sqref="E129">
    <cfRule type="containsText" dxfId="3945" priority="725" operator="containsText" text="Buy">
      <formula>NOT(ISERROR(SEARCH("Buy",E129)))</formula>
    </cfRule>
    <cfRule type="containsText" dxfId="3944" priority="726" operator="containsText" text="Sell">
      <formula>NOT(ISERROR(SEARCH("Sell",E129)))</formula>
    </cfRule>
  </conditionalFormatting>
  <conditionalFormatting sqref="E418">
    <cfRule type="containsText" dxfId="3943" priority="723" operator="containsText" text="Buy">
      <formula>NOT(ISERROR(SEARCH("Buy",E418)))</formula>
    </cfRule>
    <cfRule type="containsText" dxfId="3942" priority="724" operator="containsText" text="Sell">
      <formula>NOT(ISERROR(SEARCH("Sell",E418)))</formula>
    </cfRule>
  </conditionalFormatting>
  <conditionalFormatting sqref="E179:E180">
    <cfRule type="containsText" dxfId="3941" priority="721" operator="containsText" text="Buy">
      <formula>NOT(ISERROR(SEARCH("Buy",E179)))</formula>
    </cfRule>
    <cfRule type="containsText" dxfId="3940" priority="722" operator="containsText" text="Sell">
      <formula>NOT(ISERROR(SEARCH("Sell",E179)))</formula>
    </cfRule>
  </conditionalFormatting>
  <conditionalFormatting sqref="E263">
    <cfRule type="containsText" dxfId="3939" priority="719" operator="containsText" text="Buy">
      <formula>NOT(ISERROR(SEARCH("Buy",E263)))</formula>
    </cfRule>
    <cfRule type="containsText" dxfId="3938" priority="720" operator="containsText" text="Sell">
      <formula>NOT(ISERROR(SEARCH("Sell",E263)))</formula>
    </cfRule>
  </conditionalFormatting>
  <conditionalFormatting sqref="E128">
    <cfRule type="containsText" dxfId="3937" priority="717" operator="containsText" text="Buy">
      <formula>NOT(ISERROR(SEARCH("Buy",E128)))</formula>
    </cfRule>
    <cfRule type="containsText" dxfId="3936" priority="718" operator="containsText" text="Sell">
      <formula>NOT(ISERROR(SEARCH("Sell",E128)))</formula>
    </cfRule>
  </conditionalFormatting>
  <conditionalFormatting sqref="E336">
    <cfRule type="containsText" dxfId="3935" priority="715" operator="containsText" text="Buy">
      <formula>NOT(ISERROR(SEARCH("Buy",E336)))</formula>
    </cfRule>
    <cfRule type="containsText" dxfId="3934" priority="716" operator="containsText" text="Sell">
      <formula>NOT(ISERROR(SEARCH("Sell",E336)))</formula>
    </cfRule>
  </conditionalFormatting>
  <conditionalFormatting sqref="E175:E176">
    <cfRule type="containsText" dxfId="3933" priority="713" operator="containsText" text="Buy">
      <formula>NOT(ISERROR(SEARCH("Buy",E175)))</formula>
    </cfRule>
    <cfRule type="containsText" dxfId="3932" priority="714" operator="containsText" text="Sell">
      <formula>NOT(ISERROR(SEARCH("Sell",E175)))</formula>
    </cfRule>
  </conditionalFormatting>
  <conditionalFormatting sqref="E413">
    <cfRule type="containsText" dxfId="3931" priority="711" operator="containsText" text="Buy">
      <formula>NOT(ISERROR(SEARCH("Buy",E413)))</formula>
    </cfRule>
    <cfRule type="containsText" dxfId="3930" priority="712" operator="containsText" text="Sell">
      <formula>NOT(ISERROR(SEARCH("Sell",E413)))</formula>
    </cfRule>
  </conditionalFormatting>
  <conditionalFormatting sqref="E172:E173">
    <cfRule type="containsText" dxfId="3929" priority="709" operator="containsText" text="Buy">
      <formula>NOT(ISERROR(SEARCH("Buy",E172)))</formula>
    </cfRule>
    <cfRule type="containsText" dxfId="3928" priority="710" operator="containsText" text="Sell">
      <formula>NOT(ISERROR(SEARCH("Sell",E172)))</formula>
    </cfRule>
  </conditionalFormatting>
  <conditionalFormatting sqref="E169:E170">
    <cfRule type="containsText" dxfId="3927" priority="707" operator="containsText" text="Buy">
      <formula>NOT(ISERROR(SEARCH("Buy",E169)))</formula>
    </cfRule>
    <cfRule type="containsText" dxfId="3926" priority="708" operator="containsText" text="Sell">
      <formula>NOT(ISERROR(SEARCH("Sell",E169)))</formula>
    </cfRule>
  </conditionalFormatting>
  <conditionalFormatting sqref="E303">
    <cfRule type="containsText" dxfId="3925" priority="705" operator="containsText" text="Buy">
      <formula>NOT(ISERROR(SEARCH("Buy",E303)))</formula>
    </cfRule>
    <cfRule type="containsText" dxfId="3924" priority="706" operator="containsText" text="Sell">
      <formula>NOT(ISERROR(SEARCH("Sell",E303)))</formula>
    </cfRule>
  </conditionalFormatting>
  <conditionalFormatting sqref="E417">
    <cfRule type="containsText" dxfId="3923" priority="703" operator="containsText" text="Buy">
      <formula>NOT(ISERROR(SEARCH("Buy",E417)))</formula>
    </cfRule>
    <cfRule type="containsText" dxfId="3922" priority="704" operator="containsText" text="Sell">
      <formula>NOT(ISERROR(SEARCH("Sell",E417)))</formula>
    </cfRule>
  </conditionalFormatting>
  <conditionalFormatting sqref="E401">
    <cfRule type="containsText" dxfId="3921" priority="701" operator="containsText" text="Buy">
      <formula>NOT(ISERROR(SEARCH("Buy",E401)))</formula>
    </cfRule>
    <cfRule type="containsText" dxfId="3920" priority="702" operator="containsText" text="Sell">
      <formula>NOT(ISERROR(SEARCH("Sell",E401)))</formula>
    </cfRule>
  </conditionalFormatting>
  <conditionalFormatting sqref="E178">
    <cfRule type="containsText" dxfId="3919" priority="699" operator="containsText" text="Buy">
      <formula>NOT(ISERROR(SEARCH("Buy",E178)))</formula>
    </cfRule>
    <cfRule type="containsText" dxfId="3918" priority="700" operator="containsText" text="Sell">
      <formula>NOT(ISERROR(SEARCH("Sell",E178)))</formula>
    </cfRule>
  </conditionalFormatting>
  <conditionalFormatting sqref="E166:E167">
    <cfRule type="containsText" dxfId="3917" priority="697" operator="containsText" text="Buy">
      <formula>NOT(ISERROR(SEARCH("Buy",E166)))</formula>
    </cfRule>
    <cfRule type="containsText" dxfId="3916" priority="698" operator="containsText" text="Sell">
      <formula>NOT(ISERROR(SEARCH("Sell",E166)))</formula>
    </cfRule>
  </conditionalFormatting>
  <conditionalFormatting sqref="E160:E162">
    <cfRule type="containsText" dxfId="3915" priority="695" operator="containsText" text="Buy">
      <formula>NOT(ISERROR(SEARCH("Buy",E160)))</formula>
    </cfRule>
    <cfRule type="containsText" dxfId="3914" priority="696" operator="containsText" text="Sell">
      <formula>NOT(ISERROR(SEARCH("Sell",E160)))</formula>
    </cfRule>
  </conditionalFormatting>
  <conditionalFormatting sqref="E185">
    <cfRule type="containsText" dxfId="3913" priority="693" operator="containsText" text="Buy">
      <formula>NOT(ISERROR(SEARCH("Buy",E185)))</formula>
    </cfRule>
    <cfRule type="containsText" dxfId="3912" priority="694" operator="containsText" text="Sell">
      <formula>NOT(ISERROR(SEARCH("Sell",E185)))</formula>
    </cfRule>
  </conditionalFormatting>
  <conditionalFormatting sqref="E363">
    <cfRule type="containsText" dxfId="3911" priority="691" operator="containsText" text="Buy">
      <formula>NOT(ISERROR(SEARCH("Buy",E363)))</formula>
    </cfRule>
    <cfRule type="containsText" dxfId="3910" priority="692" operator="containsText" text="Sell">
      <formula>NOT(ISERROR(SEARCH("Sell",E363)))</formula>
    </cfRule>
  </conditionalFormatting>
  <conditionalFormatting sqref="E334">
    <cfRule type="containsText" dxfId="3909" priority="687" operator="containsText" text="Buy">
      <formula>NOT(ISERROR(SEARCH("Buy",E334)))</formula>
    </cfRule>
    <cfRule type="containsText" dxfId="3908" priority="688" operator="containsText" text="Sell">
      <formula>NOT(ISERROR(SEARCH("Sell",E334)))</formula>
    </cfRule>
  </conditionalFormatting>
  <conditionalFormatting sqref="E293">
    <cfRule type="containsText" dxfId="3907" priority="685" operator="containsText" text="Buy">
      <formula>NOT(ISERROR(SEARCH("Buy",E293)))</formula>
    </cfRule>
    <cfRule type="containsText" dxfId="3906" priority="686" operator="containsText" text="Sell">
      <formula>NOT(ISERROR(SEARCH("Sell",E293)))</formula>
    </cfRule>
  </conditionalFormatting>
  <conditionalFormatting sqref="E335">
    <cfRule type="containsText" dxfId="3905" priority="689" operator="containsText" text="Buy">
      <formula>NOT(ISERROR(SEARCH("Buy",E335)))</formula>
    </cfRule>
    <cfRule type="containsText" dxfId="3904" priority="690" operator="containsText" text="Sell">
      <formula>NOT(ISERROR(SEARCH("Sell",E335)))</formula>
    </cfRule>
  </conditionalFormatting>
  <conditionalFormatting sqref="E112">
    <cfRule type="containsText" dxfId="3903" priority="681" operator="containsText" text="Buy">
      <formula>NOT(ISERROR(SEARCH("Buy",E112)))</formula>
    </cfRule>
    <cfRule type="containsText" dxfId="3902" priority="682" operator="containsText" text="Sell">
      <formula>NOT(ISERROR(SEARCH("Sell",E112)))</formula>
    </cfRule>
  </conditionalFormatting>
  <conditionalFormatting sqref="E223">
    <cfRule type="containsText" dxfId="3901" priority="679" operator="containsText" text="Buy">
      <formula>NOT(ISERROR(SEARCH("Buy",E223)))</formula>
    </cfRule>
    <cfRule type="containsText" dxfId="3900" priority="680" operator="containsText" text="Sell">
      <formula>NOT(ISERROR(SEARCH("Sell",E223)))</formula>
    </cfRule>
  </conditionalFormatting>
  <conditionalFormatting sqref="E46">
    <cfRule type="containsText" dxfId="3899" priority="675" operator="containsText" text="Buy">
      <formula>NOT(ISERROR(SEARCH("Buy",E46)))</formula>
    </cfRule>
    <cfRule type="containsText" dxfId="3898" priority="676" operator="containsText" text="Sell">
      <formula>NOT(ISERROR(SEARCH("Sell",E46)))</formula>
    </cfRule>
  </conditionalFormatting>
  <conditionalFormatting sqref="E47:E48 E86 E82 E78 E71 E67 E63 E60 E57 E54 E51">
    <cfRule type="containsText" dxfId="3897" priority="677" operator="containsText" text="Buy">
      <formula>NOT(ISERROR(SEARCH("Buy",E47)))</formula>
    </cfRule>
    <cfRule type="containsText" dxfId="3896" priority="678" operator="containsText" text="Sell">
      <formula>NOT(ISERROR(SEARCH("Sell",E47)))</formula>
    </cfRule>
  </conditionalFormatting>
  <conditionalFormatting sqref="E151:E153">
    <cfRule type="containsText" dxfId="3895" priority="673" operator="containsText" text="Buy">
      <formula>NOT(ISERROR(SEARCH("Buy",E151)))</formula>
    </cfRule>
    <cfRule type="containsText" dxfId="3894" priority="674" operator="containsText" text="Sell">
      <formula>NOT(ISERROR(SEARCH("Sell",E151)))</formula>
    </cfRule>
  </conditionalFormatting>
  <conditionalFormatting sqref="E133:E134">
    <cfRule type="containsText" dxfId="3893" priority="671" operator="containsText" text="Buy">
      <formula>NOT(ISERROR(SEARCH("Buy",E133)))</formula>
    </cfRule>
    <cfRule type="containsText" dxfId="3892" priority="672" operator="containsText" text="Sell">
      <formula>NOT(ISERROR(SEARCH("Sell",E133)))</formula>
    </cfRule>
  </conditionalFormatting>
  <conditionalFormatting sqref="E136:E138">
    <cfRule type="containsText" dxfId="3891" priority="669" operator="containsText" text="Buy">
      <formula>NOT(ISERROR(SEARCH("Buy",E136)))</formula>
    </cfRule>
    <cfRule type="containsText" dxfId="3890" priority="670" operator="containsText" text="Sell">
      <formula>NOT(ISERROR(SEARCH("Sell",E136)))</formula>
    </cfRule>
  </conditionalFormatting>
  <conditionalFormatting sqref="E139:E141">
    <cfRule type="containsText" dxfId="3889" priority="667" operator="containsText" text="Buy">
      <formula>NOT(ISERROR(SEARCH("Buy",E139)))</formula>
    </cfRule>
    <cfRule type="containsText" dxfId="3888" priority="668" operator="containsText" text="Sell">
      <formula>NOT(ISERROR(SEARCH("Sell",E139)))</formula>
    </cfRule>
  </conditionalFormatting>
  <conditionalFormatting sqref="E142:E144">
    <cfRule type="containsText" dxfId="3887" priority="665" operator="containsText" text="Buy">
      <formula>NOT(ISERROR(SEARCH("Buy",E142)))</formula>
    </cfRule>
    <cfRule type="containsText" dxfId="3886" priority="666" operator="containsText" text="Sell">
      <formula>NOT(ISERROR(SEARCH("Sell",E142)))</formula>
    </cfRule>
  </conditionalFormatting>
  <conditionalFormatting sqref="E145:E147">
    <cfRule type="containsText" dxfId="3885" priority="663" operator="containsText" text="Buy">
      <formula>NOT(ISERROR(SEARCH("Buy",E145)))</formula>
    </cfRule>
    <cfRule type="containsText" dxfId="3884" priority="664" operator="containsText" text="Sell">
      <formula>NOT(ISERROR(SEARCH("Sell",E145)))</formula>
    </cfRule>
  </conditionalFormatting>
  <conditionalFormatting sqref="E148:E149">
    <cfRule type="containsText" dxfId="3883" priority="661" operator="containsText" text="Buy">
      <formula>NOT(ISERROR(SEARCH("Buy",E148)))</formula>
    </cfRule>
    <cfRule type="containsText" dxfId="3882" priority="662" operator="containsText" text="Sell">
      <formula>NOT(ISERROR(SEARCH("Sell",E148)))</formula>
    </cfRule>
  </conditionalFormatting>
  <conditionalFormatting sqref="E163:E164">
    <cfRule type="containsText" dxfId="3881" priority="659" operator="containsText" text="Buy">
      <formula>NOT(ISERROR(SEARCH("Buy",E163)))</formula>
    </cfRule>
    <cfRule type="containsText" dxfId="3880" priority="660" operator="containsText" text="Sell">
      <formula>NOT(ISERROR(SEARCH("Sell",E163)))</formula>
    </cfRule>
  </conditionalFormatting>
  <conditionalFormatting sqref="E205">
    <cfRule type="containsText" dxfId="3879" priority="657" operator="containsText" text="Buy">
      <formula>NOT(ISERROR(SEARCH("Buy",E205)))</formula>
    </cfRule>
    <cfRule type="containsText" dxfId="3878" priority="658" operator="containsText" text="Sell">
      <formula>NOT(ISERROR(SEARCH("Sell",E205)))</formula>
    </cfRule>
  </conditionalFormatting>
  <conditionalFormatting sqref="E120:E121">
    <cfRule type="containsText" dxfId="3877" priority="655" operator="containsText" text="Buy">
      <formula>NOT(ISERROR(SEARCH("Buy",E120)))</formula>
    </cfRule>
    <cfRule type="containsText" dxfId="3876" priority="656" operator="containsText" text="Sell">
      <formula>NOT(ISERROR(SEARCH("Sell",E120)))</formula>
    </cfRule>
  </conditionalFormatting>
  <conditionalFormatting sqref="E119">
    <cfRule type="containsText" dxfId="3875" priority="653" operator="containsText" text="Buy">
      <formula>NOT(ISERROR(SEARCH("Buy",E119)))</formula>
    </cfRule>
    <cfRule type="containsText" dxfId="3874" priority="654" operator="containsText" text="Sell">
      <formula>NOT(ISERROR(SEARCH("Sell",E119)))</formula>
    </cfRule>
  </conditionalFormatting>
  <conditionalFormatting sqref="E154:E155">
    <cfRule type="containsText" dxfId="3873" priority="651" operator="containsText" text="Buy">
      <formula>NOT(ISERROR(SEARCH("Buy",E154)))</formula>
    </cfRule>
    <cfRule type="containsText" dxfId="3872" priority="652" operator="containsText" text="Sell">
      <formula>NOT(ISERROR(SEARCH("Sell",E154)))</formula>
    </cfRule>
  </conditionalFormatting>
  <conditionalFormatting sqref="E157:E158">
    <cfRule type="containsText" dxfId="3871" priority="649" operator="containsText" text="Buy">
      <formula>NOT(ISERROR(SEARCH("Buy",E157)))</formula>
    </cfRule>
    <cfRule type="containsText" dxfId="3870" priority="650" operator="containsText" text="Sell">
      <formula>NOT(ISERROR(SEARCH("Sell",E157)))</formula>
    </cfRule>
  </conditionalFormatting>
  <conditionalFormatting sqref="E370">
    <cfRule type="containsText" dxfId="3869" priority="647" operator="containsText" text="Buy">
      <formula>NOT(ISERROR(SEARCH("Buy",E370)))</formula>
    </cfRule>
    <cfRule type="containsText" dxfId="3868" priority="648" operator="containsText" text="Sell">
      <formula>NOT(ISERROR(SEARCH("Sell",E370)))</formula>
    </cfRule>
  </conditionalFormatting>
  <conditionalFormatting sqref="E189">
    <cfRule type="containsText" dxfId="3867" priority="645" operator="containsText" text="Buy">
      <formula>NOT(ISERROR(SEARCH("Buy",E189)))</formula>
    </cfRule>
    <cfRule type="containsText" dxfId="3866" priority="646" operator="containsText" text="Sell">
      <formula>NOT(ISERROR(SEARCH("Sell",E189)))</formula>
    </cfRule>
  </conditionalFormatting>
  <conditionalFormatting sqref="E188">
    <cfRule type="containsText" dxfId="3865" priority="643" operator="containsText" text="Buy">
      <formula>NOT(ISERROR(SEARCH("Buy",E188)))</formula>
    </cfRule>
    <cfRule type="containsText" dxfId="3864" priority="644" operator="containsText" text="Sell">
      <formula>NOT(ISERROR(SEARCH("Sell",E188)))</formula>
    </cfRule>
  </conditionalFormatting>
  <conditionalFormatting sqref="E187">
    <cfRule type="containsText" dxfId="3863" priority="641" operator="containsText" text="Buy">
      <formula>NOT(ISERROR(SEARCH("Buy",E187)))</formula>
    </cfRule>
    <cfRule type="containsText" dxfId="3862" priority="642" operator="containsText" text="Sell">
      <formula>NOT(ISERROR(SEARCH("Sell",E187)))</formula>
    </cfRule>
  </conditionalFormatting>
  <conditionalFormatting sqref="E186">
    <cfRule type="containsText" dxfId="3861" priority="639" operator="containsText" text="Buy">
      <formula>NOT(ISERROR(SEARCH("Buy",E186)))</formula>
    </cfRule>
    <cfRule type="containsText" dxfId="3860" priority="640" operator="containsText" text="Sell">
      <formula>NOT(ISERROR(SEARCH("Sell",E186)))</formula>
    </cfRule>
  </conditionalFormatting>
  <conditionalFormatting sqref="E209:E210">
    <cfRule type="containsText" dxfId="3859" priority="637" operator="containsText" text="Buy">
      <formula>NOT(ISERROR(SEARCH("Buy",E209)))</formula>
    </cfRule>
    <cfRule type="containsText" dxfId="3858" priority="638" operator="containsText" text="Sell">
      <formula>NOT(ISERROR(SEARCH("Sell",E209)))</formula>
    </cfRule>
  </conditionalFormatting>
  <conditionalFormatting sqref="E283:E285">
    <cfRule type="containsText" dxfId="3857" priority="635" operator="containsText" text="Buy">
      <formula>NOT(ISERROR(SEARCH("Buy",E283)))</formula>
    </cfRule>
    <cfRule type="containsText" dxfId="3856" priority="636" operator="containsText" text="Sell">
      <formula>NOT(ISERROR(SEARCH("Sell",E283)))</formula>
    </cfRule>
  </conditionalFormatting>
  <conditionalFormatting sqref="E262">
    <cfRule type="containsText" dxfId="3855" priority="633" operator="containsText" text="Buy">
      <formula>NOT(ISERROR(SEARCH("Buy",E262)))</formula>
    </cfRule>
    <cfRule type="containsText" dxfId="3854" priority="634" operator="containsText" text="Sell">
      <formula>NOT(ISERROR(SEARCH("Sell",E262)))</formula>
    </cfRule>
  </conditionalFormatting>
  <conditionalFormatting sqref="E261">
    <cfRule type="containsText" dxfId="3853" priority="631" operator="containsText" text="Buy">
      <formula>NOT(ISERROR(SEARCH("Buy",E261)))</formula>
    </cfRule>
    <cfRule type="containsText" dxfId="3852" priority="632" operator="containsText" text="Sell">
      <formula>NOT(ISERROR(SEARCH("Sell",E261)))</formula>
    </cfRule>
  </conditionalFormatting>
  <conditionalFormatting sqref="E127">
    <cfRule type="containsText" dxfId="3851" priority="629" operator="containsText" text="Buy">
      <formula>NOT(ISERROR(SEARCH("Buy",E127)))</formula>
    </cfRule>
    <cfRule type="containsText" dxfId="3850" priority="630" operator="containsText" text="Sell">
      <formula>NOT(ISERROR(SEARCH("Sell",E127)))</formula>
    </cfRule>
  </conditionalFormatting>
  <conditionalFormatting sqref="E255">
    <cfRule type="containsText" dxfId="3849" priority="627" operator="containsText" text="Buy">
      <formula>NOT(ISERROR(SEARCH("Buy",E255)))</formula>
    </cfRule>
    <cfRule type="containsText" dxfId="3848" priority="628" operator="containsText" text="Sell">
      <formula>NOT(ISERROR(SEARCH("Sell",E255)))</formula>
    </cfRule>
  </conditionalFormatting>
  <conditionalFormatting sqref="E260">
    <cfRule type="containsText" dxfId="3847" priority="625" operator="containsText" text="Buy">
      <formula>NOT(ISERROR(SEARCH("Buy",E260)))</formula>
    </cfRule>
    <cfRule type="containsText" dxfId="3846" priority="626" operator="containsText" text="Sell">
      <formula>NOT(ISERROR(SEARCH("Sell",E260)))</formula>
    </cfRule>
  </conditionalFormatting>
  <conditionalFormatting sqref="E259">
    <cfRule type="containsText" dxfId="3845" priority="623" operator="containsText" text="Buy">
      <formula>NOT(ISERROR(SEARCH("Buy",E259)))</formula>
    </cfRule>
    <cfRule type="containsText" dxfId="3844" priority="624" operator="containsText" text="Sell">
      <formula>NOT(ISERROR(SEARCH("Sell",E259)))</formula>
    </cfRule>
  </conditionalFormatting>
  <conditionalFormatting sqref="E369">
    <cfRule type="containsText" dxfId="3843" priority="621" operator="containsText" text="Buy">
      <formula>NOT(ISERROR(SEARCH("Buy",E369)))</formula>
    </cfRule>
    <cfRule type="containsText" dxfId="3842" priority="622" operator="containsText" text="Sell">
      <formula>NOT(ISERROR(SEARCH("Sell",E369)))</formula>
    </cfRule>
  </conditionalFormatting>
  <conditionalFormatting sqref="E244:E245">
    <cfRule type="containsText" dxfId="3841" priority="619" operator="containsText" text="Buy">
      <formula>NOT(ISERROR(SEARCH("Buy",E244)))</formula>
    </cfRule>
    <cfRule type="containsText" dxfId="3840" priority="620" operator="containsText" text="Sell">
      <formula>NOT(ISERROR(SEARCH("Sell",E244)))</formula>
    </cfRule>
  </conditionalFormatting>
  <conditionalFormatting sqref="E368">
    <cfRule type="containsText" dxfId="3839" priority="617" operator="containsText" text="Buy">
      <formula>NOT(ISERROR(SEARCH("Buy",E368)))</formula>
    </cfRule>
    <cfRule type="containsText" dxfId="3838" priority="618" operator="containsText" text="Sell">
      <formula>NOT(ISERROR(SEARCH("Sell",E368)))</formula>
    </cfRule>
  </conditionalFormatting>
  <conditionalFormatting sqref="E243">
    <cfRule type="containsText" dxfId="3837" priority="615" operator="containsText" text="Buy">
      <formula>NOT(ISERROR(SEARCH("Buy",E243)))</formula>
    </cfRule>
    <cfRule type="containsText" dxfId="3836" priority="616" operator="containsText" text="Sell">
      <formula>NOT(ISERROR(SEARCH("Sell",E243)))</formula>
    </cfRule>
  </conditionalFormatting>
  <conditionalFormatting sqref="E367">
    <cfRule type="containsText" dxfId="3835" priority="609" operator="containsText" text="Buy">
      <formula>NOT(ISERROR(SEARCH("Buy",E367)))</formula>
    </cfRule>
    <cfRule type="containsText" dxfId="3834" priority="610" operator="containsText" text="Sell">
      <formula>NOT(ISERROR(SEARCH("Sell",E367)))</formula>
    </cfRule>
  </conditionalFormatting>
  <conditionalFormatting sqref="E126">
    <cfRule type="containsText" dxfId="3833" priority="611" operator="containsText" text="Buy">
      <formula>NOT(ISERROR(SEARCH("Buy",E126)))</formula>
    </cfRule>
    <cfRule type="containsText" dxfId="3832" priority="612" operator="containsText" text="Sell">
      <formula>NOT(ISERROR(SEARCH("Sell",E126)))</formula>
    </cfRule>
  </conditionalFormatting>
  <conditionalFormatting sqref="E95">
    <cfRule type="containsText" dxfId="3831" priority="603" operator="containsText" text="Buy">
      <formula>NOT(ISERROR(SEARCH("Buy",E95)))</formula>
    </cfRule>
    <cfRule type="containsText" dxfId="3830" priority="604" operator="containsText" text="Sell">
      <formula>NOT(ISERROR(SEARCH("Sell",E95)))</formula>
    </cfRule>
  </conditionalFormatting>
  <conditionalFormatting sqref="E250">
    <cfRule type="containsText" dxfId="3829" priority="597" operator="containsText" text="Buy">
      <formula>NOT(ISERROR(SEARCH("Buy",E250)))</formula>
    </cfRule>
    <cfRule type="containsText" dxfId="3828" priority="598" operator="containsText" text="Sell">
      <formula>NOT(ISERROR(SEARCH("Sell",E250)))</formula>
    </cfRule>
  </conditionalFormatting>
  <conditionalFormatting sqref="E254">
    <cfRule type="containsText" dxfId="3827" priority="595" operator="containsText" text="Buy">
      <formula>NOT(ISERROR(SEARCH("Buy",E254)))</formula>
    </cfRule>
    <cfRule type="containsText" dxfId="3826" priority="596" operator="containsText" text="Sell">
      <formula>NOT(ISERROR(SEARCH("Sell",E254)))</formula>
    </cfRule>
  </conditionalFormatting>
  <conditionalFormatting sqref="E103">
    <cfRule type="containsText" dxfId="3825" priority="593" operator="containsText" text="Buy">
      <formula>NOT(ISERROR(SEARCH("Buy",E103)))</formula>
    </cfRule>
    <cfRule type="containsText" dxfId="3824" priority="594" operator="containsText" text="Sell">
      <formula>NOT(ISERROR(SEARCH("Sell",E103)))</formula>
    </cfRule>
  </conditionalFormatting>
  <conditionalFormatting sqref="E118">
    <cfRule type="containsText" dxfId="3823" priority="587" operator="containsText" text="Buy">
      <formula>NOT(ISERROR(SEARCH("Buy",E118)))</formula>
    </cfRule>
    <cfRule type="containsText" dxfId="3822" priority="588" operator="containsText" text="Sell">
      <formula>NOT(ISERROR(SEARCH("Sell",E118)))</formula>
    </cfRule>
  </conditionalFormatting>
  <conditionalFormatting sqref="E249">
    <cfRule type="containsText" dxfId="3821" priority="589" operator="containsText" text="Buy">
      <formula>NOT(ISERROR(SEARCH("Buy",E249)))</formula>
    </cfRule>
    <cfRule type="containsText" dxfId="3820" priority="590" operator="containsText" text="Sell">
      <formula>NOT(ISERROR(SEARCH("Sell",E249)))</formula>
    </cfRule>
  </conditionalFormatting>
  <conditionalFormatting sqref="E125">
    <cfRule type="containsText" dxfId="3819" priority="585" operator="containsText" text="Buy">
      <formula>NOT(ISERROR(SEARCH("Buy",E125)))</formula>
    </cfRule>
    <cfRule type="containsText" dxfId="3818" priority="586" operator="containsText" text="Sell">
      <formula>NOT(ISERROR(SEARCH("Sell",E125)))</formula>
    </cfRule>
  </conditionalFormatting>
  <conditionalFormatting sqref="AA15:AA17">
    <cfRule type="dataBar" priority="5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{5DDBFAC7-D545-436A-BAD0-9ACC54A76DF9}</x14:id>
        </ext>
      </extLst>
    </cfRule>
  </conditionalFormatting>
  <conditionalFormatting sqref="U15:Y17">
    <cfRule type="dataBar" priority="5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{FCA6F772-55CD-49A0-AE55-83AB9B57A197}</x14:id>
        </ext>
      </extLst>
    </cfRule>
  </conditionalFormatting>
  <conditionalFormatting sqref="U15:Y17 AA15:AA17">
    <cfRule type="dataBar" priority="5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{2E139DAC-CC0B-4AFF-A5F6-98C016ACEDF7}</x14:id>
        </ext>
      </extLst>
    </cfRule>
  </conditionalFormatting>
  <conditionalFormatting sqref="Z15:Z17">
    <cfRule type="dataBar" priority="5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{2E56EC3A-0D88-4B48-B0A1-13741BEBEB0A}</x14:id>
        </ext>
      </extLst>
    </cfRule>
  </conditionalFormatting>
  <conditionalFormatting sqref="V15:V17">
    <cfRule type="dataBar" priority="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{B6206779-C6BF-46DB-B6ED-6D50EF70140F}</x14:id>
        </ext>
      </extLst>
    </cfRule>
  </conditionalFormatting>
  <conditionalFormatting sqref="U15:U17">
    <cfRule type="dataBar" priority="5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{6BF9B9DB-DB79-480F-814E-D5B552BC265B}</x14:id>
        </ext>
      </extLst>
    </cfRule>
  </conditionalFormatting>
  <conditionalFormatting sqref="W15:W17">
    <cfRule type="dataBar" priority="5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{4E04520B-5489-444B-BEBE-2CA97AEBD516}</x14:id>
        </ext>
      </extLst>
    </cfRule>
  </conditionalFormatting>
  <conditionalFormatting sqref="X15:X17">
    <cfRule type="dataBar" priority="5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{D847300C-46C0-4BAB-847E-37960C492359}</x14:id>
        </ext>
      </extLst>
    </cfRule>
  </conditionalFormatting>
  <conditionalFormatting sqref="Y15:Y17">
    <cfRule type="dataBar" priority="5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{A3BF62D4-9248-487F-9FD7-0BA449C28366}</x14:id>
        </ext>
      </extLst>
    </cfRule>
  </conditionalFormatting>
  <conditionalFormatting sqref="U15:AA17">
    <cfRule type="dataBar" priority="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{1D8F1D1B-A05B-4CDE-AD0E-F22793F470F3}</x14:id>
        </ext>
      </extLst>
    </cfRule>
  </conditionalFormatting>
  <conditionalFormatting sqref="E99">
    <cfRule type="containsText" dxfId="3817" priority="560" operator="containsText" text="Buy">
      <formula>NOT(ISERROR(SEARCH("Buy",E99)))</formula>
    </cfRule>
    <cfRule type="containsText" dxfId="3816" priority="561" operator="containsText" text="Sell">
      <formula>NOT(ISERROR(SEARCH("Sell",E99)))</formula>
    </cfRule>
  </conditionalFormatting>
  <conditionalFormatting sqref="E122">
    <cfRule type="containsText" dxfId="3815" priority="558" operator="containsText" text="Buy">
      <formula>NOT(ISERROR(SEARCH("Buy",E122)))</formula>
    </cfRule>
    <cfRule type="containsText" dxfId="3814" priority="559" operator="containsText" text="Sell">
      <formula>NOT(ISERROR(SEARCH("Sell",E122)))</formula>
    </cfRule>
  </conditionalFormatting>
  <conditionalFormatting sqref="E123">
    <cfRule type="containsText" dxfId="3813" priority="556" operator="containsText" text="Buy">
      <formula>NOT(ISERROR(SEARCH("Buy",E123)))</formula>
    </cfRule>
    <cfRule type="containsText" dxfId="3812" priority="557" operator="containsText" text="Sell">
      <formula>NOT(ISERROR(SEARCH("Sell",E123)))</formula>
    </cfRule>
  </conditionalFormatting>
  <conditionalFormatting sqref="E91">
    <cfRule type="containsText" dxfId="3811" priority="554" operator="containsText" text="Buy">
      <formula>NOT(ISERROR(SEARCH("Buy",E91)))</formula>
    </cfRule>
    <cfRule type="containsText" dxfId="3810" priority="555" operator="containsText" text="Sell">
      <formula>NOT(ISERROR(SEARCH("Sell",E91)))</formula>
    </cfRule>
  </conditionalFormatting>
  <conditionalFormatting sqref="E88">
    <cfRule type="containsText" dxfId="3809" priority="550" operator="containsText" text="Buy">
      <formula>NOT(ISERROR(SEARCH("Buy",E88)))</formula>
    </cfRule>
    <cfRule type="containsText" dxfId="3808" priority="551" operator="containsText" text="Sell">
      <formula>NOT(ISERROR(SEARCH("Sell",E88)))</formula>
    </cfRule>
  </conditionalFormatting>
  <conditionalFormatting sqref="E90">
    <cfRule type="containsText" dxfId="3807" priority="552" operator="containsText" text="Buy">
      <formula>NOT(ISERROR(SEARCH("Buy",E90)))</formula>
    </cfRule>
    <cfRule type="containsText" dxfId="3806" priority="553" operator="containsText" text="Sell">
      <formula>NOT(ISERROR(SEARCH("Sell",E90)))</formula>
    </cfRule>
  </conditionalFormatting>
  <conditionalFormatting sqref="AC17"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{059C1DA9-25E0-4CD2-8B4B-0D3331C29BA0}</x14:id>
        </ext>
      </extLst>
    </cfRule>
  </conditionalFormatting>
  <conditionalFormatting sqref="E89">
    <cfRule type="containsText" dxfId="3805" priority="548" operator="containsText" text="Buy">
      <formula>NOT(ISERROR(SEARCH("Buy",E89)))</formula>
    </cfRule>
    <cfRule type="containsText" dxfId="3804" priority="549" operator="containsText" text="Sell">
      <formula>NOT(ISERROR(SEARCH("Sell",E89)))</formula>
    </cfRule>
  </conditionalFormatting>
  <conditionalFormatting sqref="E93">
    <cfRule type="containsText" dxfId="3803" priority="544" operator="containsText" text="Buy">
      <formula>NOT(ISERROR(SEARCH("Buy",E93)))</formula>
    </cfRule>
    <cfRule type="containsText" dxfId="3802" priority="545" operator="containsText" text="Sell">
      <formula>NOT(ISERROR(SEARCH("Sell",E93)))</formula>
    </cfRule>
  </conditionalFormatting>
  <conditionalFormatting sqref="E94">
    <cfRule type="containsText" dxfId="3801" priority="546" operator="containsText" text="Buy">
      <formula>NOT(ISERROR(SEARCH("Buy",E94)))</formula>
    </cfRule>
    <cfRule type="containsText" dxfId="3800" priority="547" operator="containsText" text="Sell">
      <formula>NOT(ISERROR(SEARCH("Sell",E94)))</formula>
    </cfRule>
  </conditionalFormatting>
  <conditionalFormatting sqref="E97">
    <cfRule type="containsText" dxfId="3799" priority="540" operator="containsText" text="Buy">
      <formula>NOT(ISERROR(SEARCH("Buy",E97)))</formula>
    </cfRule>
    <cfRule type="containsText" dxfId="3798" priority="541" operator="containsText" text="Sell">
      <formula>NOT(ISERROR(SEARCH("Sell",E97)))</formula>
    </cfRule>
  </conditionalFormatting>
  <conditionalFormatting sqref="E98">
    <cfRule type="containsText" dxfId="3797" priority="542" operator="containsText" text="Buy">
      <formula>NOT(ISERROR(SEARCH("Buy",E98)))</formula>
    </cfRule>
    <cfRule type="containsText" dxfId="3796" priority="543" operator="containsText" text="Sell">
      <formula>NOT(ISERROR(SEARCH("Sell",E98)))</formula>
    </cfRule>
  </conditionalFormatting>
  <conditionalFormatting sqref="AA7">
    <cfRule type="dataBar" priority="5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{60EE0AAB-DE4A-4437-8845-473B0772ED13}</x14:id>
        </ext>
      </extLst>
    </cfRule>
  </conditionalFormatting>
  <conditionalFormatting sqref="U7:Y7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{8691A1CF-19F5-4B62-BE65-CFE383B74467}</x14:id>
        </ext>
      </extLst>
    </cfRule>
  </conditionalFormatting>
  <conditionalFormatting sqref="U7:Y7 AA7">
    <cfRule type="dataBar" priority="5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{BB147C57-696F-46D9-B44A-B311FEC1D2C5}</x14:id>
        </ext>
      </extLst>
    </cfRule>
  </conditionalFormatting>
  <conditionalFormatting sqref="Z7">
    <cfRule type="dataBar" priority="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{CDBCE521-93D8-4341-AB2B-84AA8E2F7306}</x14:id>
        </ext>
      </extLst>
    </cfRule>
  </conditionalFormatting>
  <conditionalFormatting sqref="M7">
    <cfRule type="dataBar" priority="5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{D10349F4-B305-47A7-A8F9-E7371E8A0948}</x14:id>
        </ext>
      </extLst>
    </cfRule>
  </conditionalFormatting>
  <conditionalFormatting sqref="M7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{F60A755B-F00B-4F00-A0B6-8E14D8413EB9}</x14:id>
        </ext>
      </extLst>
    </cfRule>
  </conditionalFormatting>
  <conditionalFormatting sqref="V7">
    <cfRule type="dataBar" priority="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{5B2AEA57-6A64-4070-9F33-F33B69E992F5}</x14:id>
        </ext>
      </extLst>
    </cfRule>
  </conditionalFormatting>
  <conditionalFormatting sqref="U7">
    <cfRule type="dataBar" priority="5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{BFB26A58-0046-4DFD-ABF1-3984EEE6E304}</x14:id>
        </ext>
      </extLst>
    </cfRule>
  </conditionalFormatting>
  <conditionalFormatting sqref="W7">
    <cfRule type="dataBar" priority="5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{AD191D6C-661C-4BFD-9A3B-F928BF5E445C}</x14:id>
        </ext>
      </extLst>
    </cfRule>
  </conditionalFormatting>
  <conditionalFormatting sqref="X7">
    <cfRule type="dataBar" priority="5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{98626527-D5CC-4341-9542-1EF3440B6F90}</x14:id>
        </ext>
      </extLst>
    </cfRule>
  </conditionalFormatting>
  <conditionalFormatting sqref="Y7">
    <cfRule type="dataBar" priority="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{20F3EF3C-7242-47FC-ACC8-8048FAA7396B}</x14:id>
        </ext>
      </extLst>
    </cfRule>
  </conditionalFormatting>
  <conditionalFormatting sqref="U7:AA7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{25FDF3C3-E480-4DA3-826A-794AA033C2CA}</x14:id>
        </ext>
      </extLst>
    </cfRule>
  </conditionalFormatting>
  <conditionalFormatting sqref="AA12">
    <cfRule type="dataBar" priority="5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{491478E3-9752-4C89-B587-E080B6EBCBC9}</x14:id>
        </ext>
      </extLst>
    </cfRule>
  </conditionalFormatting>
  <conditionalFormatting sqref="U12:Y1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{767AD513-9211-4350-BCEC-5A30E03D8CEA}</x14:id>
        </ext>
      </extLst>
    </cfRule>
  </conditionalFormatting>
  <conditionalFormatting sqref="U12:Y12 AA12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{C297CF63-232C-48FC-A0FA-590AAF9FF001}</x14:id>
        </ext>
      </extLst>
    </cfRule>
  </conditionalFormatting>
  <conditionalFormatting sqref="Z12">
    <cfRule type="dataBar" priority="5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{6F99894A-121F-4FA7-9E3C-D5322A0754A6}</x14:id>
        </ext>
      </extLst>
    </cfRule>
  </conditionalFormatting>
  <conditionalFormatting sqref="V12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{F3D9EB15-C9BC-4BAD-A728-AD74B47D98FA}</x14:id>
        </ext>
      </extLst>
    </cfRule>
  </conditionalFormatting>
  <conditionalFormatting sqref="U12">
    <cfRule type="dataBar" priority="5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{19E771E5-24DA-4658-B169-B9735ACFDE2C}</x14:id>
        </ext>
      </extLst>
    </cfRule>
  </conditionalFormatting>
  <conditionalFormatting sqref="W12">
    <cfRule type="dataBar" priority="5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{8FDFDDA9-1BA6-4C1C-9FCF-5DFB003AE236}</x14:id>
        </ext>
      </extLst>
    </cfRule>
  </conditionalFormatting>
  <conditionalFormatting sqref="X12">
    <cfRule type="dataBar" priority="5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{33850D06-1E31-4D65-97EB-4151D39CFA7B}</x14:id>
        </ext>
      </extLst>
    </cfRule>
  </conditionalFormatting>
  <conditionalFormatting sqref="Y12">
    <cfRule type="dataBar" priority="5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{34BA7655-F00F-4F82-9B65-3993E117CA2B}</x14:id>
        </ext>
      </extLst>
    </cfRule>
  </conditionalFormatting>
  <conditionalFormatting sqref="U12:AA12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{71EE8D41-A9AB-4497-8736-3B941A38532E}</x14:id>
        </ext>
      </extLst>
    </cfRule>
  </conditionalFormatting>
  <conditionalFormatting sqref="E101">
    <cfRule type="containsText" dxfId="3795" priority="506" operator="containsText" text="Buy">
      <formula>NOT(ISERROR(SEARCH("Buy",E101)))</formula>
    </cfRule>
    <cfRule type="containsText" dxfId="3794" priority="507" operator="containsText" text="Sell">
      <formula>NOT(ISERROR(SEARCH("Sell",E101)))</formula>
    </cfRule>
  </conditionalFormatting>
  <conditionalFormatting sqref="E102">
    <cfRule type="containsText" dxfId="3793" priority="508" operator="containsText" text="Buy">
      <formula>NOT(ISERROR(SEARCH("Buy",E102)))</formula>
    </cfRule>
    <cfRule type="containsText" dxfId="3792" priority="509" operator="containsText" text="Sell">
      <formula>NOT(ISERROR(SEARCH("Sell",E102)))</formula>
    </cfRule>
  </conditionalFormatting>
  <conditionalFormatting sqref="AA14">
    <cfRule type="dataBar" priority="4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{F7AC81D9-FB2B-448A-84CE-BF6FF62CBB17}</x14:id>
        </ext>
      </extLst>
    </cfRule>
  </conditionalFormatting>
  <conditionalFormatting sqref="U14:Y14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{26D1B0FE-0365-4A2D-9170-79E091897113}</x14:id>
        </ext>
      </extLst>
    </cfRule>
  </conditionalFormatting>
  <conditionalFormatting sqref="U14:Y14 AA14">
    <cfRule type="dataBar" priority="4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{1471243D-BE70-43A0-A1BB-7EEC1CBEEEE7}</x14:id>
        </ext>
      </extLst>
    </cfRule>
  </conditionalFormatting>
  <conditionalFormatting sqref="Z14">
    <cfRule type="dataBar" priority="4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{1A59B807-B1B5-4E10-B21D-E239253A9C75}</x14:id>
        </ext>
      </extLst>
    </cfRule>
  </conditionalFormatting>
  <conditionalFormatting sqref="V14">
    <cfRule type="dataBar" priority="4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{A4095484-90C4-46B8-8E0D-FF70C9F35C69}</x14:id>
        </ext>
      </extLst>
    </cfRule>
  </conditionalFormatting>
  <conditionalFormatting sqref="U14">
    <cfRule type="dataBar" priority="4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{D812A600-56A6-4641-AF94-FE2BBB4CD198}</x14:id>
        </ext>
      </extLst>
    </cfRule>
  </conditionalFormatting>
  <conditionalFormatting sqref="W14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{F8FFBA3C-AE26-4DC3-96BC-8839D4A1DA27}</x14:id>
        </ext>
      </extLst>
    </cfRule>
  </conditionalFormatting>
  <conditionalFormatting sqref="X14">
    <cfRule type="dataBar" priority="5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{94B37B65-83F6-45CA-AEE6-720A97467A06}</x14:id>
        </ext>
      </extLst>
    </cfRule>
  </conditionalFormatting>
  <conditionalFormatting sqref="Y14">
    <cfRule type="dataBar" priority="5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{9E3E583A-D559-48B1-9442-BDAC14E3A23E}</x14:id>
        </ext>
      </extLst>
    </cfRule>
  </conditionalFormatting>
  <conditionalFormatting sqref="U14:AA14">
    <cfRule type="dataBar" priority="5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{3A8A6D7C-A517-4FE2-9654-E1ED9030367B}</x14:id>
        </ext>
      </extLst>
    </cfRule>
  </conditionalFormatting>
  <conditionalFormatting sqref="E106">
    <cfRule type="containsText" dxfId="3791" priority="487" operator="containsText" text="Buy">
      <formula>NOT(ISERROR(SEARCH("Buy",E106)))</formula>
    </cfRule>
    <cfRule type="containsText" dxfId="3790" priority="488" operator="containsText" text="Sell">
      <formula>NOT(ISERROR(SEARCH("Sell",E106)))</formula>
    </cfRule>
  </conditionalFormatting>
  <conditionalFormatting sqref="E107">
    <cfRule type="containsText" dxfId="3789" priority="489" operator="containsText" text="Buy">
      <formula>NOT(ISERROR(SEARCH("Buy",E107)))</formula>
    </cfRule>
    <cfRule type="containsText" dxfId="3788" priority="490" operator="containsText" text="Sell">
      <formula>NOT(ISERROR(SEARCH("Sell",E107)))</formula>
    </cfRule>
  </conditionalFormatting>
  <conditionalFormatting sqref="M7">
    <cfRule type="dataBar" priority="4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{8EC81ED8-1FF9-4550-BF7E-42764C828222}</x14:id>
        </ext>
      </extLst>
    </cfRule>
  </conditionalFormatting>
  <conditionalFormatting sqref="AA9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{07D17A4F-FB2A-4581-94C2-C3F73E27A055}</x14:id>
        </ext>
      </extLst>
    </cfRule>
  </conditionalFormatting>
  <conditionalFormatting sqref="E110">
    <cfRule type="containsText" dxfId="3787" priority="466" operator="containsText" text="Buy">
      <formula>NOT(ISERROR(SEARCH("Buy",E110)))</formula>
    </cfRule>
    <cfRule type="containsText" dxfId="3786" priority="467" operator="containsText" text="Sell">
      <formula>NOT(ISERROR(SEARCH("Sell",E110)))</formula>
    </cfRule>
  </conditionalFormatting>
  <conditionalFormatting sqref="E111">
    <cfRule type="containsText" dxfId="3785" priority="468" operator="containsText" text="Buy">
      <formula>NOT(ISERROR(SEARCH("Buy",E111)))</formula>
    </cfRule>
    <cfRule type="containsText" dxfId="3784" priority="469" operator="containsText" text="Sell">
      <formula>NOT(ISERROR(SEARCH("Sell",E111)))</formula>
    </cfRule>
  </conditionalFormatting>
  <conditionalFormatting sqref="AA6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{B8167A37-3471-4331-B6FC-D83927ED1DBB}</x14:id>
        </ext>
      </extLst>
    </cfRule>
  </conditionalFormatting>
  <conditionalFormatting sqref="U6:Y6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{85BE7E8A-C485-4168-A505-582675392D6B}</x14:id>
        </ext>
      </extLst>
    </cfRule>
  </conditionalFormatting>
  <conditionalFormatting sqref="U6:Y6 AA6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{34041B40-04D5-4B45-A088-9F236B2CBA26}</x14:id>
        </ext>
      </extLst>
    </cfRule>
  </conditionalFormatting>
  <conditionalFormatting sqref="Z6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{FE994C56-5AF1-40BA-8F88-88B5F57138C1}</x14:id>
        </ext>
      </extLst>
    </cfRule>
  </conditionalFormatting>
  <conditionalFormatting sqref="M6">
    <cfRule type="dataBar" priority="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{08802B48-06C0-46C5-87BB-2ECD46631247}</x14:id>
        </ext>
      </extLst>
    </cfRule>
  </conditionalFormatting>
  <conditionalFormatting sqref="M6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{F3606A57-678A-4108-88C1-D40FCE107E5F}</x14:id>
        </ext>
      </extLst>
    </cfRule>
  </conditionalFormatting>
  <conditionalFormatting sqref="V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{0BE36963-BA9E-47C1-B883-CDD9C2EF30A7}</x14:id>
        </ext>
      </extLst>
    </cfRule>
  </conditionalFormatting>
  <conditionalFormatting sqref="U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{493BD888-979A-407A-AD83-66029635B5AE}</x14:id>
        </ext>
      </extLst>
    </cfRule>
  </conditionalFormatting>
  <conditionalFormatting sqref="W6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{11BC5D23-09EF-40C8-9133-0909570260F8}</x14:id>
        </ext>
      </extLst>
    </cfRule>
  </conditionalFormatting>
  <conditionalFormatting sqref="X6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{9C338D61-1034-4FF5-AB21-E0FE888EDFBF}</x14:id>
        </ext>
      </extLst>
    </cfRule>
  </conditionalFormatting>
  <conditionalFormatting sqref="Y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{A84E0995-8F38-498E-B86E-6BB5AD93E743}</x14:id>
        </ext>
      </extLst>
    </cfRule>
  </conditionalFormatting>
  <conditionalFormatting sqref="U6:AA6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{276E11EB-05ED-4E64-91AF-D48AC647B01D}</x14:id>
        </ext>
      </extLst>
    </cfRule>
  </conditionalFormatting>
  <conditionalFormatting sqref="M6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{7F051433-0A4A-4209-BBA4-F7737695D0D0}</x14:id>
        </ext>
      </extLst>
    </cfRule>
  </conditionalFormatting>
  <conditionalFormatting sqref="E84">
    <cfRule type="containsText" dxfId="3783" priority="444" operator="containsText" text="Buy">
      <formula>NOT(ISERROR(SEARCH("Buy",E84)))</formula>
    </cfRule>
    <cfRule type="containsText" dxfId="3782" priority="445" operator="containsText" text="Sell">
      <formula>NOT(ISERROR(SEARCH("Sell",E84)))</formula>
    </cfRule>
  </conditionalFormatting>
  <conditionalFormatting sqref="E85">
    <cfRule type="containsText" dxfId="3781" priority="446" operator="containsText" text="Buy">
      <formula>NOT(ISERROR(SEARCH("Buy",E85)))</formula>
    </cfRule>
    <cfRule type="containsText" dxfId="3780" priority="447" operator="containsText" text="Sell">
      <formula>NOT(ISERROR(SEARCH("Sell",E85)))</formula>
    </cfRule>
  </conditionalFormatting>
  <conditionalFormatting sqref="AA10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{339BEA98-803D-48A4-AB76-A1C0E3D3C411}</x14:id>
        </ext>
      </extLst>
    </cfRule>
  </conditionalFormatting>
  <conditionalFormatting sqref="U10:Y10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{9B6465ED-591A-41C0-BF67-3FF16FA7FA75}</x14:id>
        </ext>
      </extLst>
    </cfRule>
  </conditionalFormatting>
  <conditionalFormatting sqref="U10:Y10 AA10">
    <cfRule type="dataBar" priority="4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{29405CE9-B68F-40EB-9513-B41BF0CFB0CD}</x14:id>
        </ext>
      </extLst>
    </cfRule>
  </conditionalFormatting>
  <conditionalFormatting sqref="Z10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{34415D8C-9B56-4474-86E7-CB361E9924DA}</x14:id>
        </ext>
      </extLst>
    </cfRule>
  </conditionalFormatting>
  <conditionalFormatting sqref="V10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{172B0CC1-ADC1-4219-B92F-EA4647D9ACD3}</x14:id>
        </ext>
      </extLst>
    </cfRule>
  </conditionalFormatting>
  <conditionalFormatting sqref="U10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{073E7A53-3C87-460D-8426-FB4FC0E693C5}</x14:id>
        </ext>
      </extLst>
    </cfRule>
  </conditionalFormatting>
  <conditionalFormatting sqref="W10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{7E2ED7C7-413E-4D21-91C2-353D0149958D}</x14:id>
        </ext>
      </extLst>
    </cfRule>
  </conditionalFormatting>
  <conditionalFormatting sqref="X10">
    <cfRule type="dataBar" priority="4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{608B6C60-83F9-4CE6-9C3B-20BD570C14B8}</x14:id>
        </ext>
      </extLst>
    </cfRule>
  </conditionalFormatting>
  <conditionalFormatting sqref="Y10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{1B562C85-62BE-4FE4-9880-F79C5475193B}</x14:id>
        </ext>
      </extLst>
    </cfRule>
  </conditionalFormatting>
  <conditionalFormatting sqref="U10:AA10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{5DEA94BC-03ED-4E0C-B052-8CCEDDF34402}</x14:id>
        </ext>
      </extLst>
    </cfRule>
  </conditionalFormatting>
  <conditionalFormatting sqref="E80">
    <cfRule type="containsText" dxfId="3779" priority="424" operator="containsText" text="Buy">
      <formula>NOT(ISERROR(SEARCH("Buy",E80)))</formula>
    </cfRule>
    <cfRule type="containsText" dxfId="3778" priority="425" operator="containsText" text="Sell">
      <formula>NOT(ISERROR(SEARCH("Sell",E80)))</formula>
    </cfRule>
  </conditionalFormatting>
  <conditionalFormatting sqref="E81">
    <cfRule type="containsText" dxfId="3777" priority="426" operator="containsText" text="Buy">
      <formula>NOT(ISERROR(SEARCH("Buy",E81)))</formula>
    </cfRule>
    <cfRule type="containsText" dxfId="3776" priority="427" operator="containsText" text="Sell">
      <formula>NOT(ISERROR(SEARCH("Sell",E81)))</formula>
    </cfRule>
  </conditionalFormatting>
  <conditionalFormatting sqref="E79">
    <cfRule type="containsText" dxfId="3775" priority="422" operator="containsText" text="Buy">
      <formula>NOT(ISERROR(SEARCH("Buy",E79)))</formula>
    </cfRule>
    <cfRule type="containsText" dxfId="3774" priority="423" operator="containsText" text="Sell">
      <formula>NOT(ISERROR(SEARCH("Sell",E79)))</formula>
    </cfRule>
  </conditionalFormatting>
  <conditionalFormatting sqref="E100">
    <cfRule type="containsText" dxfId="3773" priority="420" operator="containsText" text="Buy">
      <formula>NOT(ISERROR(SEARCH("Buy",E100)))</formula>
    </cfRule>
    <cfRule type="containsText" dxfId="3772" priority="421" operator="containsText" text="Sell">
      <formula>NOT(ISERROR(SEARCH("Sell",E100)))</formula>
    </cfRule>
  </conditionalFormatting>
  <conditionalFormatting sqref="E73">
    <cfRule type="containsText" dxfId="3771" priority="400" operator="containsText" text="Buy">
      <formula>NOT(ISERROR(SEARCH("Buy",E73)))</formula>
    </cfRule>
    <cfRule type="containsText" dxfId="3770" priority="401" operator="containsText" text="Sell">
      <formula>NOT(ISERROR(SEARCH("Sell",E73)))</formula>
    </cfRule>
  </conditionalFormatting>
  <conditionalFormatting sqref="E74:E75">
    <cfRule type="containsText" dxfId="3769" priority="402" operator="containsText" text="Buy">
      <formula>NOT(ISERROR(SEARCH("Buy",E74)))</formula>
    </cfRule>
    <cfRule type="containsText" dxfId="3768" priority="403" operator="containsText" text="Sell">
      <formula>NOT(ISERROR(SEARCH("Sell",E74)))</formula>
    </cfRule>
  </conditionalFormatting>
  <conditionalFormatting sqref="AA9">
    <cfRule type="dataBar" priority="3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{D5E505CF-4B05-41F7-A77F-0D54614E46D6}</x14:id>
        </ext>
      </extLst>
    </cfRule>
  </conditionalFormatting>
  <conditionalFormatting sqref="U9:Y9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{509BF577-42C1-4769-9088-33FE805775E9}</x14:id>
        </ext>
      </extLst>
    </cfRule>
  </conditionalFormatting>
  <conditionalFormatting sqref="U9:Y9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{2961B765-6AF1-4E6B-875B-8C1F55A098CC}</x14:id>
        </ext>
      </extLst>
    </cfRule>
  </conditionalFormatting>
  <conditionalFormatting sqref="Z9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{4D6C3205-145F-4CA2-A3CD-14DB8AF1885E}</x14:id>
        </ext>
      </extLst>
    </cfRule>
  </conditionalFormatting>
  <conditionalFormatting sqref="M9">
    <cfRule type="dataBar" priority="3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{16BA53C5-7219-4EC7-AF2D-38E379015949}</x14:id>
        </ext>
      </extLst>
    </cfRule>
  </conditionalFormatting>
  <conditionalFormatting sqref="M9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{D898B66E-5E2E-4889-B255-7712DB9AB0B7}</x14:id>
        </ext>
      </extLst>
    </cfRule>
  </conditionalFormatting>
  <conditionalFormatting sqref="V9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{324CD99A-C496-435B-9BDB-C9ED21ACC9BE}</x14:id>
        </ext>
      </extLst>
    </cfRule>
  </conditionalFormatting>
  <conditionalFormatting sqref="U9">
    <cfRule type="dataBar" priority="3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{D8B4A2B4-AED9-450A-9116-0A2E4AD83080}</x14:id>
        </ext>
      </extLst>
    </cfRule>
  </conditionalFormatting>
  <conditionalFormatting sqref="W9">
    <cfRule type="dataBar" priority="3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{F17786ED-F933-4708-9C6E-5B3F001F78A5}</x14:id>
        </ext>
      </extLst>
    </cfRule>
  </conditionalFormatting>
  <conditionalFormatting sqref="X9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{C443D17B-92C0-4437-BF1D-526F2A27811A}</x14:id>
        </ext>
      </extLst>
    </cfRule>
  </conditionalFormatting>
  <conditionalFormatting sqref="Y9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{57C13AEF-50CD-45B2-A60A-4649F5C6BA15}</x14:id>
        </ext>
      </extLst>
    </cfRule>
  </conditionalFormatting>
  <conditionalFormatting sqref="U9:AA9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{E8F40C1C-3893-47AA-B7CF-3B5C5BB330A9}</x14:id>
        </ext>
      </extLst>
    </cfRule>
  </conditionalFormatting>
  <conditionalFormatting sqref="M9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{1CF7C5E5-799F-48C4-B108-1074762A9269}</x14:id>
        </ext>
      </extLst>
    </cfRule>
  </conditionalFormatting>
  <conditionalFormatting sqref="E76">
    <cfRule type="containsText" dxfId="3767" priority="380" operator="containsText" text="Buy">
      <formula>NOT(ISERROR(SEARCH("Buy",E76)))</formula>
    </cfRule>
    <cfRule type="containsText" dxfId="3766" priority="381" operator="containsText" text="Sell">
      <formula>NOT(ISERROR(SEARCH("Sell",E76)))</formula>
    </cfRule>
  </conditionalFormatting>
  <conditionalFormatting sqref="E77">
    <cfRule type="containsText" dxfId="3765" priority="382" operator="containsText" text="Buy">
      <formula>NOT(ISERROR(SEARCH("Buy",E77)))</formula>
    </cfRule>
    <cfRule type="containsText" dxfId="3764" priority="383" operator="containsText" text="Sell">
      <formula>NOT(ISERROR(SEARCH("Sell",E77)))</formula>
    </cfRule>
  </conditionalFormatting>
  <conditionalFormatting sqref="E96">
    <cfRule type="containsText" dxfId="3763" priority="378" operator="containsText" text="Buy">
      <formula>NOT(ISERROR(SEARCH("Buy",E96)))</formula>
    </cfRule>
    <cfRule type="containsText" dxfId="3762" priority="379" operator="containsText" text="Sell">
      <formula>NOT(ISERROR(SEARCH("Sell",E96)))</formula>
    </cfRule>
  </conditionalFormatting>
  <conditionalFormatting sqref="AA3">
    <cfRule type="dataBar" priority="3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{EA42DECE-D648-4731-89BE-673E9E6BD791}</x14:id>
        </ext>
      </extLst>
    </cfRule>
  </conditionalFormatting>
  <conditionalFormatting sqref="U3:Y3">
    <cfRule type="dataBar" priority="3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{3E515731-C395-417D-8790-C5A62135703A}</x14:id>
        </ext>
      </extLst>
    </cfRule>
  </conditionalFormatting>
  <conditionalFormatting sqref="U3:Y3 AA3">
    <cfRule type="dataBar" priority="3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{46AE4054-C61A-4A9F-AAF1-3ABF8F8722A6}</x14:id>
        </ext>
      </extLst>
    </cfRule>
  </conditionalFormatting>
  <conditionalFormatting sqref="Z3">
    <cfRule type="dataBar" priority="3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{A0E1F1F2-8321-4B87-B9EF-61F2A5F59699}</x14:id>
        </ext>
      </extLst>
    </cfRule>
  </conditionalFormatting>
  <conditionalFormatting sqref="L3:M3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{3D33BBBB-20D5-43C1-9473-398230E3D04C}</x14:id>
        </ext>
      </extLst>
    </cfRule>
  </conditionalFormatting>
  <conditionalFormatting sqref="L3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{1ACC5218-465D-4FB2-89BC-15086A4E11CD}</x14:id>
        </ext>
      </extLst>
    </cfRule>
  </conditionalFormatting>
  <conditionalFormatting sqref="M3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{618B42D3-C6A9-48C3-82B1-23F581691581}</x14:id>
        </ext>
      </extLst>
    </cfRule>
  </conditionalFormatting>
  <conditionalFormatting sqref="V3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{C15D400C-A0E3-441E-8964-07FE6B0A4E73}</x14:id>
        </ext>
      </extLst>
    </cfRule>
  </conditionalFormatting>
  <conditionalFormatting sqref="U3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{110317BB-2087-493D-8360-6F7AC39C0AE6}</x14:id>
        </ext>
      </extLst>
    </cfRule>
  </conditionalFormatting>
  <conditionalFormatting sqref="W3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{1351285B-87F8-4228-ABB0-634CB36AD1C1}</x14:id>
        </ext>
      </extLst>
    </cfRule>
  </conditionalFormatting>
  <conditionalFormatting sqref="X3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{E09771D9-6743-4C3C-BF1C-4BBC256D562E}</x14:id>
        </ext>
      </extLst>
    </cfRule>
  </conditionalFormatting>
  <conditionalFormatting sqref="Y3">
    <cfRule type="dataBar" priority="3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{3FA39788-5051-4C81-AB64-178572D4B998}</x14:id>
        </ext>
      </extLst>
    </cfRule>
  </conditionalFormatting>
  <conditionalFormatting sqref="U3:AA3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{9529020A-B185-42E4-82E3-7D3DBA9DFB00}</x14:id>
        </ext>
      </extLst>
    </cfRule>
  </conditionalFormatting>
  <conditionalFormatting sqref="L3:M3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{220F6962-3E8E-4D08-B57A-E827D41A43FD}</x14:id>
        </ext>
      </extLst>
    </cfRule>
  </conditionalFormatting>
  <conditionalFormatting sqref="E68">
    <cfRule type="containsText" dxfId="3761" priority="358" operator="containsText" text="Buy">
      <formula>NOT(ISERROR(SEARCH("Buy",E68)))</formula>
    </cfRule>
    <cfRule type="containsText" dxfId="3760" priority="359" operator="containsText" text="Sell">
      <formula>NOT(ISERROR(SEARCH("Sell",E68)))</formula>
    </cfRule>
  </conditionalFormatting>
  <conditionalFormatting sqref="E70">
    <cfRule type="containsText" dxfId="3759" priority="360" operator="containsText" text="Buy">
      <formula>NOT(ISERROR(SEARCH("Buy",E70)))</formula>
    </cfRule>
    <cfRule type="containsText" dxfId="3758" priority="361" operator="containsText" text="Sell">
      <formula>NOT(ISERROR(SEARCH("Sell",E70)))</formula>
    </cfRule>
  </conditionalFormatting>
  <conditionalFormatting sqref="L3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{AFE40558-0C6F-40CF-B499-5A5BF5A8A121}</x14:id>
        </ext>
      </extLst>
    </cfRule>
  </conditionalFormatting>
  <conditionalFormatting sqref="L14">
    <cfRule type="dataBar" priority="3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{19E681A0-5A23-4F2E-B2DC-B5BB57398BB5}</x14:id>
        </ext>
      </extLst>
    </cfRule>
  </conditionalFormatting>
  <conditionalFormatting sqref="L14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{7F814004-31DC-44AF-9CDD-F49001B7F8C5}</x14:id>
        </ext>
      </extLst>
    </cfRule>
  </conditionalFormatting>
  <conditionalFormatting sqref="M14:M15 M10 M12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{D307B9F1-1F67-4C08-9E9F-88EF77D64B59}</x14:id>
        </ext>
      </extLst>
    </cfRule>
  </conditionalFormatting>
  <conditionalFormatting sqref="M14:M15 M10 M1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{C80D9CBD-F1E0-41E2-90AC-AFCB0320A939}</x14:id>
        </ext>
      </extLst>
    </cfRule>
  </conditionalFormatting>
  <conditionalFormatting sqref="M10 M1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{8FEC55CB-C783-4EEA-B3AA-57D3F9CE489D}</x14:id>
        </ext>
      </extLst>
    </cfRule>
  </conditionalFormatting>
  <conditionalFormatting sqref="AA13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{EA0875EE-D141-49D6-8445-677564AD50E3}</x14:id>
        </ext>
      </extLst>
    </cfRule>
  </conditionalFormatting>
  <conditionalFormatting sqref="U13:Y13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{76EE6847-3948-4A65-8418-BAB2E15AC91C}</x14:id>
        </ext>
      </extLst>
    </cfRule>
  </conditionalFormatting>
  <conditionalFormatting sqref="U13:Y13 AA13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{9C3ED2F4-2559-41AF-923F-4CD8B24D9CF8}</x14:id>
        </ext>
      </extLst>
    </cfRule>
  </conditionalFormatting>
  <conditionalFormatting sqref="Z13">
    <cfRule type="dataBar" priority="3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{0346793E-6610-4B39-926F-23D5AB36FE2A}</x14:id>
        </ext>
      </extLst>
    </cfRule>
  </conditionalFormatting>
  <conditionalFormatting sqref="V13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{DC5A516F-5C40-4A98-9D89-1C5B1BF3988B}</x14:id>
        </ext>
      </extLst>
    </cfRule>
  </conditionalFormatting>
  <conditionalFormatting sqref="U13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{F56E1B18-D548-4191-822B-786002216D8F}</x14:id>
        </ext>
      </extLst>
    </cfRule>
  </conditionalFormatting>
  <conditionalFormatting sqref="W13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{4E9C521F-051B-4827-9FB8-038CADC10C03}</x14:id>
        </ext>
      </extLst>
    </cfRule>
  </conditionalFormatting>
  <conditionalFormatting sqref="X1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{E99EF041-58B5-4A36-98CD-8F878F5D183A}</x14:id>
        </ext>
      </extLst>
    </cfRule>
  </conditionalFormatting>
  <conditionalFormatting sqref="Y1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{EC051684-DC53-4F7F-B262-0FFB523C671E}</x14:id>
        </ext>
      </extLst>
    </cfRule>
  </conditionalFormatting>
  <conditionalFormatting sqref="U13:AA13">
    <cfRule type="dataBar" priority="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{61C01011-8354-40CD-87D2-28734C0E8565}</x14:id>
        </ext>
      </extLst>
    </cfRule>
  </conditionalFormatting>
  <conditionalFormatting sqref="M13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{FD1BDAB1-C03E-4FBA-97C5-F6927E5F891E}</x14:id>
        </ext>
      </extLst>
    </cfRule>
  </conditionalFormatting>
  <conditionalFormatting sqref="M13">
    <cfRule type="dataBar" priority="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{756FC92E-9628-48BF-B627-EFEB5AECD0E9}</x14:id>
        </ext>
      </extLst>
    </cfRule>
  </conditionalFormatting>
  <conditionalFormatting sqref="M13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{F4F8B424-F17B-4C7F-803B-34B0EDED09AA}</x14:id>
        </ext>
      </extLst>
    </cfRule>
  </conditionalFormatting>
  <conditionalFormatting sqref="E65">
    <cfRule type="containsText" dxfId="3757" priority="323" operator="containsText" text="Buy">
      <formula>NOT(ISERROR(SEARCH("Buy",E65)))</formula>
    </cfRule>
    <cfRule type="containsText" dxfId="3756" priority="324" operator="containsText" text="Sell">
      <formula>NOT(ISERROR(SEARCH("Sell",E65)))</formula>
    </cfRule>
  </conditionalFormatting>
  <conditionalFormatting sqref="E66">
    <cfRule type="containsText" dxfId="3755" priority="325" operator="containsText" text="Buy">
      <formula>NOT(ISERROR(SEARCH("Buy",E66)))</formula>
    </cfRule>
    <cfRule type="containsText" dxfId="3754" priority="326" operator="containsText" text="Sell">
      <formula>NOT(ISERROR(SEARCH("Sell",E66)))</formula>
    </cfRule>
  </conditionalFormatting>
  <conditionalFormatting sqref="E83">
    <cfRule type="containsText" dxfId="3753" priority="321" operator="containsText" text="Buy">
      <formula>NOT(ISERROR(SEARCH("Buy",E83)))</formula>
    </cfRule>
    <cfRule type="containsText" dxfId="3752" priority="322" operator="containsText" text="Sell">
      <formula>NOT(ISERROR(SEARCH("Sell",E83)))</formula>
    </cfRule>
  </conditionalFormatting>
  <conditionalFormatting sqref="E109">
    <cfRule type="containsText" dxfId="3751" priority="319" operator="containsText" text="Buy">
      <formula>NOT(ISERROR(SEARCH("Buy",E109)))</formula>
    </cfRule>
    <cfRule type="containsText" dxfId="3750" priority="320" operator="containsText" text="Sell">
      <formula>NOT(ISERROR(SEARCH("Sell",E109)))</formula>
    </cfRule>
  </conditionalFormatting>
  <conditionalFormatting sqref="E72">
    <cfRule type="containsText" dxfId="3749" priority="317" operator="containsText" text="Buy">
      <formula>NOT(ISERROR(SEARCH("Buy",E72)))</formula>
    </cfRule>
    <cfRule type="containsText" dxfId="3748" priority="318" operator="containsText" text="Sell">
      <formula>NOT(ISERROR(SEARCH("Sell",E72)))</formula>
    </cfRule>
  </conditionalFormatting>
  <conditionalFormatting sqref="AA4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{34637056-60FC-4F3A-A23F-B8E949C1336F}</x14:id>
        </ext>
      </extLst>
    </cfRule>
  </conditionalFormatting>
  <conditionalFormatting sqref="U4:Y4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{9274E38F-16A5-4491-A034-2F1336B9A0E7}</x14:id>
        </ext>
      </extLst>
    </cfRule>
  </conditionalFormatting>
  <conditionalFormatting sqref="U4:Y4 AA4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{7E67E3D5-FC10-422A-9986-43DEFB9C41C3}</x14:id>
        </ext>
      </extLst>
    </cfRule>
  </conditionalFormatting>
  <conditionalFormatting sqref="Z4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{447C7C2E-D761-4E1E-90D7-9B729DE32348}</x14:id>
        </ext>
      </extLst>
    </cfRule>
  </conditionalFormatting>
  <conditionalFormatting sqref="M4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{E2452FFC-1ABD-413E-9307-EE037D5EF910}</x14:id>
        </ext>
      </extLst>
    </cfRule>
  </conditionalFormatting>
  <conditionalFormatting sqref="M4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{389FE2DC-B106-41D7-AF6C-3E08393C8CAB}</x14:id>
        </ext>
      </extLst>
    </cfRule>
  </conditionalFormatting>
  <conditionalFormatting sqref="V4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{F50DB522-B4BA-47B4-B390-7E5A11769AA2}</x14:id>
        </ext>
      </extLst>
    </cfRule>
  </conditionalFormatting>
  <conditionalFormatting sqref="U4">
    <cfRule type="dataBar" priority="3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{E9A644E1-F59F-49D3-9606-789490B76020}</x14:id>
        </ext>
      </extLst>
    </cfRule>
  </conditionalFormatting>
  <conditionalFormatting sqref="W4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{4CA1D53C-3512-4979-88CD-226CB74BC23D}</x14:id>
        </ext>
      </extLst>
    </cfRule>
  </conditionalFormatting>
  <conditionalFormatting sqref="X4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{DE2BB8B3-366F-455E-85D7-5D24ABABFEC6}</x14:id>
        </ext>
      </extLst>
    </cfRule>
  </conditionalFormatting>
  <conditionalFormatting sqref="Y4">
    <cfRule type="dataBar" priority="3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{AC832E6D-54C7-4E8F-824B-23B2C996FF0B}</x14:id>
        </ext>
      </extLst>
    </cfRule>
  </conditionalFormatting>
  <conditionalFormatting sqref="U4:AA4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{01349D7E-5F89-4BFD-86E4-75DC48298631}</x14:id>
        </ext>
      </extLst>
    </cfRule>
  </conditionalFormatting>
  <conditionalFormatting sqref="M4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{30702D8D-F350-49BB-8658-245DECB415F2}</x14:id>
        </ext>
      </extLst>
    </cfRule>
  </conditionalFormatting>
  <conditionalFormatting sqref="E61">
    <cfRule type="containsText" dxfId="3747" priority="294" operator="containsText" text="Buy">
      <formula>NOT(ISERROR(SEARCH("Buy",E61)))</formula>
    </cfRule>
    <cfRule type="containsText" dxfId="3746" priority="295" operator="containsText" text="Sell">
      <formula>NOT(ISERROR(SEARCH("Sell",E61)))</formula>
    </cfRule>
  </conditionalFormatting>
  <conditionalFormatting sqref="E62">
    <cfRule type="containsText" dxfId="3745" priority="296" operator="containsText" text="Buy">
      <formula>NOT(ISERROR(SEARCH("Buy",E62)))</formula>
    </cfRule>
    <cfRule type="containsText" dxfId="3744" priority="297" operator="containsText" text="Sell">
      <formula>NOT(ISERROR(SEARCH("Sell",E62)))</formula>
    </cfRule>
  </conditionalFormatting>
  <conditionalFormatting sqref="AA11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{64332044-9598-4482-8EE9-515CE609D8D7}</x14:id>
        </ext>
      </extLst>
    </cfRule>
  </conditionalFormatting>
  <conditionalFormatting sqref="U11:Y1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{484D4D18-9A85-437F-98DB-757BF1F0AD8B}</x14:id>
        </ext>
      </extLst>
    </cfRule>
  </conditionalFormatting>
  <conditionalFormatting sqref="U11:Y11 AA1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{125A9444-4159-411E-AA86-961D3904365E}</x14:id>
        </ext>
      </extLst>
    </cfRule>
  </conditionalFormatting>
  <conditionalFormatting sqref="Z11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{3D4EA9AE-2D22-4E80-94A9-1F356507868F}</x14:id>
        </ext>
      </extLst>
    </cfRule>
  </conditionalFormatting>
  <conditionalFormatting sqref="V11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{77512D35-E146-4E06-9698-97590781B65D}</x14:id>
        </ext>
      </extLst>
    </cfRule>
  </conditionalFormatting>
  <conditionalFormatting sqref="U11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{8477A9C9-C615-41B5-87E8-8F9FD34DC836}</x14:id>
        </ext>
      </extLst>
    </cfRule>
  </conditionalFormatting>
  <conditionalFormatting sqref="W11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{0A492736-885C-400D-8AE7-CEA402F73A8D}</x14:id>
        </ext>
      </extLst>
    </cfRule>
  </conditionalFormatting>
  <conditionalFormatting sqref="X11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{D7B7ED3E-E8D6-4ABC-B369-A7AC5D1164AD}</x14:id>
        </ext>
      </extLst>
    </cfRule>
  </conditionalFormatting>
  <conditionalFormatting sqref="Y11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{DC8B2795-3E4D-4497-8011-9F3188D56041}</x14:id>
        </ext>
      </extLst>
    </cfRule>
  </conditionalFormatting>
  <conditionalFormatting sqref="U11:AA11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{4FE8CDD6-D68A-4EF8-8410-CFEF99361269}</x14:id>
        </ext>
      </extLst>
    </cfRule>
  </conditionalFormatting>
  <conditionalFormatting sqref="M11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{99906E5E-17F3-4132-9D99-B1E0D5F79414}</x14:id>
        </ext>
      </extLst>
    </cfRule>
  </conditionalFormatting>
  <conditionalFormatting sqref="M11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{EF2EBF71-2D21-4FD8-B543-1C6725519675}</x14:id>
        </ext>
      </extLst>
    </cfRule>
  </conditionalFormatting>
  <conditionalFormatting sqref="M11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{52CCCD8A-676D-4C54-AC09-88685748CAD8}</x14:id>
        </ext>
      </extLst>
    </cfRule>
  </conditionalFormatting>
  <conditionalFormatting sqref="E58">
    <cfRule type="containsText" dxfId="3743" priority="271" operator="containsText" text="Buy">
      <formula>NOT(ISERROR(SEARCH("Buy",E58)))</formula>
    </cfRule>
    <cfRule type="containsText" dxfId="3742" priority="272" operator="containsText" text="Sell">
      <formula>NOT(ISERROR(SEARCH("Sell",E58)))</formula>
    </cfRule>
  </conditionalFormatting>
  <conditionalFormatting sqref="E59">
    <cfRule type="containsText" dxfId="3741" priority="273" operator="containsText" text="Buy">
      <formula>NOT(ISERROR(SEARCH("Buy",E59)))</formula>
    </cfRule>
    <cfRule type="containsText" dxfId="3740" priority="274" operator="containsText" text="Sell">
      <formula>NOT(ISERROR(SEARCH("Sell",E59)))</formula>
    </cfRule>
  </conditionalFormatting>
  <conditionalFormatting sqref="L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{4E981CC9-53AE-49EE-9C14-60B4098C826D}</x14:id>
        </ext>
      </extLst>
    </cfRule>
  </conditionalFormatting>
  <conditionalFormatting sqref="L4">
    <cfRule type="dataBar" priority="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{E7134659-4CF8-4AE4-8112-26DEDB6D4C7E}</x14:id>
        </ext>
      </extLst>
    </cfRule>
  </conditionalFormatting>
  <conditionalFormatting sqref="L4">
    <cfRule type="dataBar" priority="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{2763A488-CB82-445B-AFB0-67875DD616A4}</x14:id>
        </ext>
      </extLst>
    </cfRule>
  </conditionalFormatting>
  <conditionalFormatting sqref="L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{5698789D-5DF2-4FB8-853C-1CDE053C0ED4}</x14:id>
        </ext>
      </extLst>
    </cfRule>
  </conditionalFormatting>
  <conditionalFormatting sqref="L6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{8E0DB91F-4738-4E28-A0E3-C3EFF4484B54}</x14:id>
        </ext>
      </extLst>
    </cfRule>
  </conditionalFormatting>
  <conditionalFormatting sqref="L6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{B7C1C1C2-046C-4D4D-B7D2-88A5BF9ADE1A}</x14:id>
        </ext>
      </extLst>
    </cfRule>
  </conditionalFormatting>
  <conditionalFormatting sqref="L6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{BEEF2DE9-18D6-472D-84C5-0FCED818A276}</x14:id>
        </ext>
      </extLst>
    </cfRule>
  </conditionalFormatting>
  <conditionalFormatting sqref="L6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{60C50149-73B2-4D43-AEB8-7194AA247AD5}</x14:id>
        </ext>
      </extLst>
    </cfRule>
  </conditionalFormatting>
  <conditionalFormatting sqref="L7">
    <cfRule type="dataBar" priority="2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{C350CB92-3E26-4AF1-984E-24D0C0F684BC}</x14:id>
        </ext>
      </extLst>
    </cfRule>
  </conditionalFormatting>
  <conditionalFormatting sqref="L7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{0F9C6575-A541-4D9A-B7ED-DE6A193D1A62}</x14:id>
        </ext>
      </extLst>
    </cfRule>
  </conditionalFormatting>
  <conditionalFormatting sqref="L7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{40DEECE9-63DA-48F0-862D-B0636595A80B}</x14:id>
        </ext>
      </extLst>
    </cfRule>
  </conditionalFormatting>
  <conditionalFormatting sqref="L7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{7E665CD8-3312-4687-BDB6-AF84DDAEBC4C}</x14:id>
        </ext>
      </extLst>
    </cfRule>
  </conditionalFormatting>
  <conditionalFormatting sqref="L9">
    <cfRule type="dataBar" priority="2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{D41B56C7-B9A2-4EDC-896E-FBEC619EE42B}</x14:id>
        </ext>
      </extLst>
    </cfRule>
  </conditionalFormatting>
  <conditionalFormatting sqref="L9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{D7686261-2E67-4923-B8DD-55B5F5B24DF3}</x14:id>
        </ext>
      </extLst>
    </cfRule>
  </conditionalFormatting>
  <conditionalFormatting sqref="L9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{1C01684A-D3A9-43D8-84F2-EA8C9598E9D4}</x14:id>
        </ext>
      </extLst>
    </cfRule>
  </conditionalFormatting>
  <conditionalFormatting sqref="L9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{0E379584-538C-469E-856B-DDC39537332E}</x14:id>
        </ext>
      </extLst>
    </cfRule>
  </conditionalFormatting>
  <conditionalFormatting sqref="L10">
    <cfRule type="dataBar" priority="2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{666BEC55-FE85-4AB2-BECE-AF46107E8CC0}</x14:id>
        </ext>
      </extLst>
    </cfRule>
  </conditionalFormatting>
  <conditionalFormatting sqref="L10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{529EB343-6EEE-42DD-B159-A1EDECE308E2}</x14:id>
        </ext>
      </extLst>
    </cfRule>
  </conditionalFormatting>
  <conditionalFormatting sqref="L10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{70C63230-0482-412C-B56E-825D20834B5F}</x14:id>
        </ext>
      </extLst>
    </cfRule>
  </conditionalFormatting>
  <conditionalFormatting sqref="L10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{F6D011CB-085F-4ABC-BD7D-81E910518BC5}</x14:id>
        </ext>
      </extLst>
    </cfRule>
  </conditionalFormatting>
  <conditionalFormatting sqref="L11">
    <cfRule type="dataBar" priority="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{BEA61A57-5B06-403D-A3DD-B80046EAB514}</x14:id>
        </ext>
      </extLst>
    </cfRule>
  </conditionalFormatting>
  <conditionalFormatting sqref="L11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{0B0DDF90-0BF4-4DB0-951A-8C5A155B9711}</x14:id>
        </ext>
      </extLst>
    </cfRule>
  </conditionalFormatting>
  <conditionalFormatting sqref="L11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{93A1598C-19BA-4D51-BD9D-021D6D29D058}</x14:id>
        </ext>
      </extLst>
    </cfRule>
  </conditionalFormatting>
  <conditionalFormatting sqref="L11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{4E9C077F-3005-4ECD-A5C9-B88259F7B4D3}</x14:id>
        </ext>
      </extLst>
    </cfRule>
  </conditionalFormatting>
  <conditionalFormatting sqref="L12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{866D4B9A-EB5D-473B-AA4B-BE95A17C758A}</x14:id>
        </ext>
      </extLst>
    </cfRule>
  </conditionalFormatting>
  <conditionalFormatting sqref="L12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{F907DA02-3A45-448D-88E9-87C3DEFC9661}</x14:id>
        </ext>
      </extLst>
    </cfRule>
  </conditionalFormatting>
  <conditionalFormatting sqref="L12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{10855153-2967-49B7-802B-B8C6DBCEDEEF}</x14:id>
        </ext>
      </extLst>
    </cfRule>
  </conditionalFormatting>
  <conditionalFormatting sqref="L12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{0CECF7AF-2F37-4618-B361-EAC9E06F574A}</x14:id>
        </ext>
      </extLst>
    </cfRule>
  </conditionalFormatting>
  <conditionalFormatting sqref="L13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{BFF1CDF6-2BF0-412C-9C20-E4C6B776B092}</x14:id>
        </ext>
      </extLst>
    </cfRule>
  </conditionalFormatting>
  <conditionalFormatting sqref="L13">
    <cfRule type="dataBar" priority="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{0912FB0E-AC02-4652-B477-79EACEAED658}</x14:id>
        </ext>
      </extLst>
    </cfRule>
  </conditionalFormatting>
  <conditionalFormatting sqref="L13">
    <cfRule type="dataBar" priority="2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{9302BE7E-0BC6-4B70-BB4A-7C7595DB9F4A}</x14:id>
        </ext>
      </extLst>
    </cfRule>
  </conditionalFormatting>
  <conditionalFormatting sqref="L13">
    <cfRule type="dataBar" priority="2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{58EC3685-E665-4170-9B47-21AED70BCF9F}</x14:id>
        </ext>
      </extLst>
    </cfRule>
  </conditionalFormatting>
  <conditionalFormatting sqref="L15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{3389084D-3F0B-45DD-B1E1-C82E36982B11}</x14:id>
        </ext>
      </extLst>
    </cfRule>
  </conditionalFormatting>
  <conditionalFormatting sqref="L15">
    <cfRule type="dataBar" priority="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{8018358B-F88A-4921-94D3-493CD947E484}</x14:id>
        </ext>
      </extLst>
    </cfRule>
  </conditionalFormatting>
  <conditionalFormatting sqref="L15">
    <cfRule type="dataBar" priority="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{95BAA533-0DFD-4453-82D0-295223B660EB}</x14:id>
        </ext>
      </extLst>
    </cfRule>
  </conditionalFormatting>
  <conditionalFormatting sqref="L15">
    <cfRule type="dataBar" priority="2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{683A568E-2D89-40C8-906A-FA6AC408BCAC}</x14:id>
        </ext>
      </extLst>
    </cfRule>
  </conditionalFormatting>
  <conditionalFormatting sqref="E69">
    <cfRule type="containsText" dxfId="3739" priority="224" operator="containsText" text="Buy">
      <formula>NOT(ISERROR(SEARCH("Buy",E69)))</formula>
    </cfRule>
    <cfRule type="containsText" dxfId="3738" priority="225" operator="containsText" text="Sell">
      <formula>NOT(ISERROR(SEARCH("Sell",E69)))</formula>
    </cfRule>
  </conditionalFormatting>
  <conditionalFormatting sqref="E64">
    <cfRule type="containsText" dxfId="3737" priority="222" operator="containsText" text="Buy">
      <formula>NOT(ISERROR(SEARCH("Buy",E64)))</formula>
    </cfRule>
    <cfRule type="containsText" dxfId="3736" priority="223" operator="containsText" text="Sell">
      <formula>NOT(ISERROR(SEARCH("Sell",E64)))</formula>
    </cfRule>
  </conditionalFormatting>
  <conditionalFormatting sqref="AA8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{A6F5A6B2-9D20-413B-B4EB-3D4562782C82}</x14:id>
        </ext>
      </extLst>
    </cfRule>
  </conditionalFormatting>
  <conditionalFormatting sqref="U8:Y8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{EEFE3B59-3EAA-4DD8-916E-ECC66C98C50A}</x14:id>
        </ext>
      </extLst>
    </cfRule>
  </conditionalFormatting>
  <conditionalFormatting sqref="U8:Y8 AA8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{94E97688-AD84-42E4-B203-C04AD7275877}</x14:id>
        </ext>
      </extLst>
    </cfRule>
  </conditionalFormatting>
  <conditionalFormatting sqref="Z8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{C5535E3C-5751-4179-838F-A7AF3AB642C8}</x14:id>
        </ext>
      </extLst>
    </cfRule>
  </conditionalFormatting>
  <conditionalFormatting sqref="M8">
    <cfRule type="dataBar" priority="2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{AA1A83B0-9F16-4E0A-8DD9-CB37D3E9FDE0}</x14:id>
        </ext>
      </extLst>
    </cfRule>
  </conditionalFormatting>
  <conditionalFormatting sqref="M8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{EAE5E913-543B-4964-BA4F-A294F107DE6E}</x14:id>
        </ext>
      </extLst>
    </cfRule>
  </conditionalFormatting>
  <conditionalFormatting sqref="V8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{2A44DB0D-45C4-4F2F-A264-C60B46E1316F}</x14:id>
        </ext>
      </extLst>
    </cfRule>
  </conditionalFormatting>
  <conditionalFormatting sqref="U8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{21C6712F-3064-4D65-8E62-8B8230B2052F}</x14:id>
        </ext>
      </extLst>
    </cfRule>
  </conditionalFormatting>
  <conditionalFormatting sqref="W8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{67EBB2D1-F5C7-434D-BCA1-B8CCA204E9E0}</x14:id>
        </ext>
      </extLst>
    </cfRule>
  </conditionalFormatting>
  <conditionalFormatting sqref="X8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{BF82F958-23AC-4F1D-BDAB-D4CA34197383}</x14:id>
        </ext>
      </extLst>
    </cfRule>
  </conditionalFormatting>
  <conditionalFormatting sqref="Y8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{FE439B03-E1E6-4F65-B748-2C55C309D084}</x14:id>
        </ext>
      </extLst>
    </cfRule>
  </conditionalFormatting>
  <conditionalFormatting sqref="U8:AA8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{C498BC8D-B556-4D81-A444-A7B037BCC9F6}</x14:id>
        </ext>
      </extLst>
    </cfRule>
  </conditionalFormatting>
  <conditionalFormatting sqref="M8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{DCFC06D8-DE72-48F3-8619-5D605605620F}</x14:id>
        </ext>
      </extLst>
    </cfRule>
  </conditionalFormatting>
  <conditionalFormatting sqref="L8">
    <cfRule type="dataBar" priority="2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{F8DF0207-DC52-4765-B9A6-7324B14AA493}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{7F7C4D65-2EA8-4883-BF99-75643CD9DC90}</x14:id>
        </ext>
      </extLst>
    </cfRule>
  </conditionalFormatting>
  <conditionalFormatting sqref="L8">
    <cfRule type="dataBar" priority="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{A549622C-0971-4047-8489-48ABB9D7A5E3}</x14:id>
        </ext>
      </extLst>
    </cfRule>
  </conditionalFormatting>
  <conditionalFormatting sqref="L8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{F9DC4D45-525A-45EF-A896-5ECF6DA5A039}</x14:id>
        </ext>
      </extLst>
    </cfRule>
  </conditionalFormatting>
  <conditionalFormatting sqref="L8: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{71D3122C-3C3E-4D90-9B60-BE8AAF6D53C6}</x14:id>
        </ext>
      </extLst>
    </cfRule>
  </conditionalFormatting>
  <conditionalFormatting sqref="E55">
    <cfRule type="containsText" dxfId="3735" priority="198" operator="containsText" text="Buy">
      <formula>NOT(ISERROR(SEARCH("Buy",E55)))</formula>
    </cfRule>
    <cfRule type="containsText" dxfId="3734" priority="199" operator="containsText" text="Sell">
      <formula>NOT(ISERROR(SEARCH("Sell",E55)))</formula>
    </cfRule>
  </conditionalFormatting>
  <conditionalFormatting sqref="E56">
    <cfRule type="containsText" dxfId="3733" priority="200" operator="containsText" text="Buy">
      <formula>NOT(ISERROR(SEARCH("Buy",E56)))</formula>
    </cfRule>
    <cfRule type="containsText" dxfId="3732" priority="201" operator="containsText" text="Sell">
      <formula>NOT(ISERROR(SEARCH("Sell",E56)))</formula>
    </cfRule>
  </conditionalFormatting>
  <conditionalFormatting sqref="U17:X17 AA1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{704F032F-851D-4116-B705-768894D4A16D}</x14:id>
        </ext>
      </extLst>
    </cfRule>
  </conditionalFormatting>
  <conditionalFormatting sqref="Y17">
    <cfRule type="dataBar" priority="1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{7931477D-3A51-4ABD-865D-51155E1B1F88}</x14:id>
        </ext>
      </extLst>
    </cfRule>
  </conditionalFormatting>
  <conditionalFormatting sqref="Y17">
    <cfRule type="dataBar" priority="1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{6A2A1B49-E44A-4E23-BE35-A24D1B9B9727}</x14:id>
        </ext>
      </extLst>
    </cfRule>
  </conditionalFormatting>
  <conditionalFormatting sqref="Y17"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{347FD919-9F4E-4D75-B94A-1CF10F654B68}</x14:id>
        </ext>
      </extLst>
    </cfRule>
  </conditionalFormatting>
  <conditionalFormatting sqref="L17:M1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{D972EE59-A89C-4AC7-A6CE-F71AD1CF597F}</x14:id>
        </ext>
      </extLst>
    </cfRule>
  </conditionalFormatting>
  <conditionalFormatting sqref="L17:M1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{92E9E153-C2BD-4991-9C96-09DE388347C7}</x14:id>
        </ext>
      </extLst>
    </cfRule>
  </conditionalFormatting>
  <conditionalFormatting sqref="L17">
    <cfRule type="dataBar" priority="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{0A5E6686-0E8B-4BA2-A594-E5F8A956BBA5}</x14:id>
        </ext>
      </extLst>
    </cfRule>
  </conditionalFormatting>
  <conditionalFormatting sqref="M1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{56505A6B-1175-49AD-BE04-6C4063C0B5FE}</x14:id>
        </ext>
      </extLst>
    </cfRule>
  </conditionalFormatting>
  <conditionalFormatting sqref="AA17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{D908221F-E50E-42EF-A001-2B8EFE30DA42}</x14:id>
        </ext>
      </extLst>
    </cfRule>
  </conditionalFormatting>
  <conditionalFormatting sqref="V17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{8550EE4F-7611-4E91-AFF6-54279E86347F}</x14:id>
        </ext>
      </extLst>
    </cfRule>
  </conditionalFormatting>
  <conditionalFormatting sqref="U17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{7F4BAEBC-1998-443F-8FB6-2FD4D99308CF}</x14:id>
        </ext>
      </extLst>
    </cfRule>
  </conditionalFormatting>
  <conditionalFormatting sqref="W17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{4B47E0FB-B39E-4CE5-B67A-BAD3515CDFB6}</x14:id>
        </ext>
      </extLst>
    </cfRule>
  </conditionalFormatting>
  <conditionalFormatting sqref="X17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{5AB7869D-5E02-44A6-901C-05488A2060A8}</x14:id>
        </ext>
      </extLst>
    </cfRule>
  </conditionalFormatting>
  <conditionalFormatting sqref="Y17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{348AD8F2-D837-46D7-895D-11C235B37045}</x14:id>
        </ext>
      </extLst>
    </cfRule>
  </conditionalFormatting>
  <conditionalFormatting sqref="Z17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{9F9ABAA0-F82C-4272-B33A-6A5FF1C463EA}</x14:id>
        </ext>
      </extLst>
    </cfRule>
  </conditionalFormatting>
  <conditionalFormatting sqref="M17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{34CBBAE8-57E7-41EA-A720-841E95F31548}</x14:id>
        </ext>
      </extLst>
    </cfRule>
  </conditionalFormatting>
  <conditionalFormatting sqref="L17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{121D3B36-B522-4766-8F96-461353E88672}</x14:id>
        </ext>
      </extLst>
    </cfRule>
  </conditionalFormatting>
  <conditionalFormatting sqref="M17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{DAD0CB4F-97F0-4DAC-BEC6-297F46E08580}</x14:id>
        </ext>
      </extLst>
    </cfRule>
  </conditionalFormatting>
  <conditionalFormatting sqref="E52">
    <cfRule type="containsText" dxfId="3731" priority="172" operator="containsText" text="Buy">
      <formula>NOT(ISERROR(SEARCH("Buy",E52)))</formula>
    </cfRule>
    <cfRule type="containsText" dxfId="3730" priority="173" operator="containsText" text="Sell">
      <formula>NOT(ISERROR(SEARCH("Sell",E52)))</formula>
    </cfRule>
  </conditionalFormatting>
  <conditionalFormatting sqref="E53">
    <cfRule type="containsText" dxfId="3729" priority="174" operator="containsText" text="Buy">
      <formula>NOT(ISERROR(SEARCH("Buy",E53)))</formula>
    </cfRule>
    <cfRule type="containsText" dxfId="3728" priority="175" operator="containsText" text="Sell">
      <formula>NOT(ISERROR(SEARCH("Sell",E53)))</formula>
    </cfRule>
  </conditionalFormatting>
  <conditionalFormatting sqref="E105">
    <cfRule type="containsText" dxfId="3727" priority="170" operator="containsText" text="Buy">
      <formula>NOT(ISERROR(SEARCH("Buy",E105)))</formula>
    </cfRule>
    <cfRule type="containsText" dxfId="3726" priority="171" operator="containsText" text="Sell">
      <formula>NOT(ISERROR(SEARCH("Sell",E105)))</formula>
    </cfRule>
  </conditionalFormatting>
  <conditionalFormatting sqref="E49">
    <cfRule type="containsText" dxfId="3725" priority="146" operator="containsText" text="Buy">
      <formula>NOT(ISERROR(SEARCH("Buy",E49)))</formula>
    </cfRule>
    <cfRule type="containsText" dxfId="3724" priority="147" operator="containsText" text="Sell">
      <formula>NOT(ISERROR(SEARCH("Sell",E49)))</formula>
    </cfRule>
  </conditionalFormatting>
  <conditionalFormatting sqref="E50">
    <cfRule type="containsText" dxfId="3723" priority="148" operator="containsText" text="Buy">
      <formula>NOT(ISERROR(SEARCH("Buy",E50)))</formula>
    </cfRule>
    <cfRule type="containsText" dxfId="3722" priority="149" operator="containsText" text="Sell">
      <formula>NOT(ISERROR(SEARCH("Sell",E50)))</formula>
    </cfRule>
  </conditionalFormatting>
  <conditionalFormatting sqref="H30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{6E653DD9-8F15-4F0C-B0A6-8FE25C2D5E76}</x14:id>
        </ext>
      </extLst>
    </cfRule>
    <cfRule type="cellIs" dxfId="3721" priority="145" operator="equal">
      <formula>1</formula>
    </cfRule>
  </conditionalFormatting>
  <conditionalFormatting sqref="D30">
    <cfRule type="containsText" dxfId="3720" priority="143" operator="containsText" text="Buy">
      <formula>NOT(ISERROR(SEARCH("Buy",D30)))</formula>
    </cfRule>
    <cfRule type="containsText" dxfId="3719" priority="144" operator="containsText" text="Sell">
      <formula>NOT(ISERROR(SEARCH("Sell",D30)))</formula>
    </cfRule>
  </conditionalFormatting>
  <conditionalFormatting sqref="H3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{7EC23A52-1493-4F1C-82FE-248DF6808222}</x14:id>
        </ext>
      </extLst>
    </cfRule>
    <cfRule type="cellIs" dxfId="3718" priority="141" operator="equal">
      <formula>1</formula>
    </cfRule>
  </conditionalFormatting>
  <conditionalFormatting sqref="D31">
    <cfRule type="containsText" dxfId="3717" priority="139" operator="containsText" text="Buy">
      <formula>NOT(ISERROR(SEARCH("Buy",D31)))</formula>
    </cfRule>
    <cfRule type="containsText" dxfId="3716" priority="140" operator="containsText" text="Sell">
      <formula>NOT(ISERROR(SEARCH("Sell",D31)))</formula>
    </cfRule>
  </conditionalFormatting>
  <conditionalFormatting sqref="H32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{95EEAD28-BD3C-421F-9F14-D876282312C3}</x14:id>
        </ext>
      </extLst>
    </cfRule>
    <cfRule type="cellIs" dxfId="3715" priority="137" operator="equal">
      <formula>1</formula>
    </cfRule>
  </conditionalFormatting>
  <conditionalFormatting sqref="D32">
    <cfRule type="containsText" dxfId="3714" priority="135" operator="containsText" text="Buy">
      <formula>NOT(ISERROR(SEARCH("Buy",D32)))</formula>
    </cfRule>
    <cfRule type="containsText" dxfId="3713" priority="136" operator="containsText" text="Sell">
      <formula>NOT(ISERROR(SEARCH("Sell",D32)))</formula>
    </cfRule>
  </conditionalFormatting>
  <conditionalFormatting sqref="E104">
    <cfRule type="containsText" dxfId="3712" priority="132" operator="containsText" text="Buy">
      <formula>NOT(ISERROR(SEARCH("Buy",E104)))</formula>
    </cfRule>
    <cfRule type="containsText" dxfId="3711" priority="133" operator="containsText" text="Sell">
      <formula>NOT(ISERROR(SEARCH("Sell",E104)))</formula>
    </cfRule>
  </conditionalFormatting>
  <conditionalFormatting sqref="AC1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{495163C7-D430-4920-BF10-5EBEBE9BEBDC}</x14:id>
        </ext>
      </extLst>
    </cfRule>
  </conditionalFormatting>
  <conditionalFormatting sqref="U16:X16 AA1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{7D76A906-CAAF-46EA-962B-FD7A7120E235}</x14:id>
        </ext>
      </extLst>
    </cfRule>
  </conditionalFormatting>
  <conditionalFormatting sqref="Y16"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{E6E072CD-69A2-4AD1-BF92-C2B665D19F17}</x14:id>
        </ext>
      </extLst>
    </cfRule>
  </conditionalFormatting>
  <conditionalFormatting sqref="Y16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{BB9DDF45-743A-4D0A-8A91-A3995E01130A}</x14:id>
        </ext>
      </extLst>
    </cfRule>
  </conditionalFormatting>
  <conditionalFormatting sqref="Y1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{75C0100A-9744-41EB-94F9-3F9933581B0D}</x14:id>
        </ext>
      </extLst>
    </cfRule>
  </conditionalFormatting>
  <conditionalFormatting sqref="L16:M16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{90AC222D-414B-46D0-B3D5-0B874C774F7C}</x14:id>
        </ext>
      </extLst>
    </cfRule>
  </conditionalFormatting>
  <conditionalFormatting sqref="L16:M16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{FB0EDA17-0CEB-438A-9FC4-597677876B0C}</x14:id>
        </ext>
      </extLst>
    </cfRule>
  </conditionalFormatting>
  <conditionalFormatting sqref="L1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{D28AA7E6-5CA5-4D10-AAE0-31E8C8FDE545}</x14:id>
        </ext>
      </extLst>
    </cfRule>
  </conditionalFormatting>
  <conditionalFormatting sqref="M16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{38308265-92E5-4900-8828-A717AB9FD9DB}</x14:id>
        </ext>
      </extLst>
    </cfRule>
  </conditionalFormatting>
  <conditionalFormatting sqref="AA16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{D3DC3784-4F50-4AB1-ACB5-8D5D95238233}</x14:id>
        </ext>
      </extLst>
    </cfRule>
  </conditionalFormatting>
  <conditionalFormatting sqref="V1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{32A394D1-358C-491E-9ACE-DA694E13781B}</x14:id>
        </ext>
      </extLst>
    </cfRule>
  </conditionalFormatting>
  <conditionalFormatting sqref="U1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{66E6CBEC-97A1-4263-823A-8DB048D3AB64}</x14:id>
        </ext>
      </extLst>
    </cfRule>
  </conditionalFormatting>
  <conditionalFormatting sqref="W16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{BE1D2298-EB7E-4098-9B18-DCA1C3DE171C}</x14:id>
        </ext>
      </extLst>
    </cfRule>
  </conditionalFormatting>
  <conditionalFormatting sqref="X16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{6C9D9EA0-F527-40AD-9D01-15710C5D94C9}</x14:id>
        </ext>
      </extLst>
    </cfRule>
  </conditionalFormatting>
  <conditionalFormatting sqref="Y1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{FEBD4142-16E8-4836-BDB7-427AB1A93F71}</x14:id>
        </ext>
      </extLst>
    </cfRule>
  </conditionalFormatting>
  <conditionalFormatting sqref="Z1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{826E8D0A-E9CE-4AF6-A41E-BA35330EF94B}</x14:id>
        </ext>
      </extLst>
    </cfRule>
  </conditionalFormatting>
  <conditionalFormatting sqref="M1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{A413EF3A-DD0E-4206-871A-A5C09F74E3D0}</x14:id>
        </ext>
      </extLst>
    </cfRule>
  </conditionalFormatting>
  <conditionalFormatting sqref="L1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{BF0EE622-14E1-4FF1-AFD3-08C44A2BF2F4}</x14:id>
        </ext>
      </extLst>
    </cfRule>
  </conditionalFormatting>
  <conditionalFormatting sqref="M1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{890B6C86-E45D-4E47-96D3-07B576A6C534}</x14:id>
        </ext>
      </extLst>
    </cfRule>
  </conditionalFormatting>
  <conditionalFormatting sqref="E113">
    <cfRule type="containsText" dxfId="3710" priority="105" operator="containsText" text="Buy">
      <formula>NOT(ISERROR(SEARCH("Buy",E113)))</formula>
    </cfRule>
    <cfRule type="containsText" dxfId="3709" priority="106" operator="containsText" text="Sell">
      <formula>NOT(ISERROR(SEARCH("Sell",E113)))</formula>
    </cfRule>
  </conditionalFormatting>
  <conditionalFormatting sqref="E114">
    <cfRule type="containsText" dxfId="3708" priority="107" operator="containsText" text="Buy">
      <formula>NOT(ISERROR(SEARCH("Buy",E114)))</formula>
    </cfRule>
    <cfRule type="containsText" dxfId="3707" priority="108" operator="containsText" text="Sell">
      <formula>NOT(ISERROR(SEARCH("Sell",E114)))</formula>
    </cfRule>
  </conditionalFormatting>
  <conditionalFormatting sqref="T16:T17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{C883412F-6168-4160-8B31-AB62B7997843}</x14:id>
        </ext>
      </extLst>
    </cfRule>
  </conditionalFormatting>
  <conditionalFormatting sqref="T16:T17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{82F17BEC-5EC8-4305-8CE3-71EB9FD79DE6}</x14:id>
        </ext>
      </extLst>
    </cfRule>
  </conditionalFormatting>
  <conditionalFormatting sqref="T16:T17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{371ACDCE-DC33-47A4-B4C6-C8E384561C51}</x14:id>
        </ext>
      </extLst>
    </cfRule>
  </conditionalFormatting>
  <conditionalFormatting sqref="T16:T17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{99A0BE7E-4F5D-4324-9C7A-833F09DA6DE9}</x14:id>
        </ext>
      </extLst>
    </cfRule>
  </conditionalFormatting>
  <conditionalFormatting sqref="T16:T17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{F11651FF-4C4D-4C3A-877F-11C473CB9CBC}</x14:id>
        </ext>
      </extLst>
    </cfRule>
  </conditionalFormatting>
  <conditionalFormatting sqref="T16:T17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{25383125-0C05-4118-B575-38FEDC0C7744}</x14:id>
        </ext>
      </extLst>
    </cfRule>
  </conditionalFormatting>
  <conditionalFormatting sqref="T16:T1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{F55AC45E-D218-4B8A-98BB-8D20183AE9FD}</x14:id>
        </ext>
      </extLst>
    </cfRule>
  </conditionalFormatting>
  <conditionalFormatting sqref="T16:T1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{D8576817-7FAD-4A27-A76B-77D7DB9F64E5}</x14:id>
        </ext>
      </extLst>
    </cfRule>
  </conditionalFormatting>
  <conditionalFormatting sqref="T16:T17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{55C7662D-80A7-488A-AE53-DAA3B5D65814}</x14:id>
        </ext>
      </extLst>
    </cfRule>
  </conditionalFormatting>
  <conditionalFormatting sqref="T16:T17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{ECBFABFF-8E5B-48F6-B440-A6D09077A9C2}</x14:id>
        </ext>
      </extLst>
    </cfRule>
  </conditionalFormatting>
  <conditionalFormatting sqref="T16:T17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{AE18CC27-DB45-428A-9D59-FF7B857739BC}</x14:id>
        </ext>
      </extLst>
    </cfRule>
  </conditionalFormatting>
  <conditionalFormatting sqref="T19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{7CFE962B-A6D6-44FA-BA38-F0C4BE8FB50D}</x14:id>
        </ext>
      </extLst>
    </cfRule>
  </conditionalFormatting>
  <conditionalFormatting sqref="AA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{52E563EC-9F3D-406B-BF7D-362532970A63}</x14:id>
        </ext>
      </extLst>
    </cfRule>
  </conditionalFormatting>
  <conditionalFormatting sqref="U5:Y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{0CF4E355-B4AC-48E5-9D66-A0A4BB2DD622}</x14:id>
        </ext>
      </extLst>
    </cfRule>
  </conditionalFormatting>
  <conditionalFormatting sqref="U5:Y5 AA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{23038CF9-C867-4E60-A051-E3275FB26C55}</x14:id>
        </ext>
      </extLst>
    </cfRule>
  </conditionalFormatting>
  <conditionalFormatting sqref="Z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{91C92466-699A-497B-B7C0-2E6053306462}</x14:id>
        </ext>
      </extLst>
    </cfRule>
  </conditionalFormatting>
  <conditionalFormatting sqref="M5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{4D1A2FD6-6DFE-4DB0-8F22-68C50BCDDA7B}</x14:id>
        </ext>
      </extLst>
    </cfRule>
  </conditionalFormatting>
  <conditionalFormatting sqref="M5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{B9CBD5F2-7835-475E-BB14-91C0A1D36040}</x14:id>
        </ext>
      </extLst>
    </cfRule>
  </conditionalFormatting>
  <conditionalFormatting sqref="V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{73C3E1B0-5A7C-4432-B9EC-90BE5C8E35D7}</x14:id>
        </ext>
      </extLst>
    </cfRule>
  </conditionalFormatting>
  <conditionalFormatting sqref="U5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{50A6F0FE-5370-48E7-8C52-FD57D6ABAD3B}</x14:id>
        </ext>
      </extLst>
    </cfRule>
  </conditionalFormatting>
  <conditionalFormatting sqref="W5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{48D7136B-1B02-4783-A521-C29F59CEBE6F}</x14:id>
        </ext>
      </extLst>
    </cfRule>
  </conditionalFormatting>
  <conditionalFormatting sqref="X5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{3CE5F26F-DB11-4904-8E70-EAF347B727D4}</x14:id>
        </ext>
      </extLst>
    </cfRule>
  </conditionalFormatting>
  <conditionalFormatting sqref="Y5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{3205B72F-70DD-4237-81AC-54A7E1111776}</x14:id>
        </ext>
      </extLst>
    </cfRule>
  </conditionalFormatting>
  <conditionalFormatting sqref="U5:AA5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{F1A8687B-7791-43DE-B396-3C0DB111218E}</x14:id>
        </ext>
      </extLst>
    </cfRule>
  </conditionalFormatting>
  <conditionalFormatting sqref="M5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{3FEF9B61-8DE5-4280-8C9E-CA8E6B0006D2}</x14:id>
        </ext>
      </extLst>
    </cfRule>
  </conditionalFormatting>
  <conditionalFormatting sqref="L5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{4143CADD-A474-48B7-9A5F-E29700B497AA}</x14:id>
        </ext>
      </extLst>
    </cfRule>
  </conditionalFormatting>
  <conditionalFormatting sqref="L5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{B1D922A3-F4A1-4DDB-BE8C-D6293F45635D}</x14:id>
        </ext>
      </extLst>
    </cfRule>
  </conditionalFormatting>
  <conditionalFormatting sqref="L5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{E012E3B0-DB5F-4B34-B9AD-A6E96CC89F3D}</x14:id>
        </ext>
      </extLst>
    </cfRule>
  </conditionalFormatting>
  <conditionalFormatting sqref="L5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{D65AEDB2-C32F-41B0-ACCF-34B4A67B3547}</x14:id>
        </ext>
      </extLst>
    </cfRule>
  </conditionalFormatting>
  <conditionalFormatting sqref="L5:M5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{47D55525-BA07-4EA4-AEE8-A49F9B560513}</x14:id>
        </ext>
      </extLst>
    </cfRule>
  </conditionalFormatting>
  <conditionalFormatting sqref="I5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{E38CAC51-6CEB-44B9-A0B1-0DB85F8399BF}</x14:id>
        </ext>
      </extLst>
    </cfRule>
  </conditionalFormatting>
  <conditionalFormatting sqref="I5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{F5E30BBF-23A4-462A-8981-903A0312E863}</x14:id>
        </ext>
      </extLst>
    </cfRule>
  </conditionalFormatting>
  <conditionalFormatting sqref="I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{C1A9182F-91E9-4B99-BD89-8D523F430466}</x14:id>
        </ext>
      </extLst>
    </cfRule>
  </conditionalFormatting>
  <conditionalFormatting sqref="I5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{A26EB940-DB14-40DE-A08B-D391A89E0933}</x14:id>
        </ext>
      </extLst>
    </cfRule>
  </conditionalFormatting>
  <conditionalFormatting sqref="I5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{B6E2D9BB-8980-47CE-8165-81F09D045590}</x14:id>
        </ext>
      </extLst>
    </cfRule>
  </conditionalFormatting>
  <conditionalFormatting sqref="I5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{7C843048-41DB-41C7-ACF9-446D20FFFB31}</x14:id>
        </ext>
      </extLst>
    </cfRule>
  </conditionalFormatting>
  <conditionalFormatting sqref="I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{203955BD-8554-45CB-8BE6-EC86ADB264CC}</x14:id>
        </ext>
      </extLst>
    </cfRule>
  </conditionalFormatting>
  <conditionalFormatting sqref="I5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{31AF45EE-5B3A-40FF-A22A-CBDCF9A466AA}</x14:id>
        </ext>
      </extLst>
    </cfRule>
  </conditionalFormatting>
  <conditionalFormatting sqref="I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{F1B0C80B-1473-4488-8EAD-56FBCBBA947A}</x14:id>
        </ext>
      </extLst>
    </cfRule>
  </conditionalFormatting>
  <conditionalFormatting sqref="I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{46F1F13B-1986-4E5C-9C14-1F37B9DD399C}</x14:id>
        </ext>
      </extLst>
    </cfRule>
  </conditionalFormatting>
  <conditionalFormatting sqref="L5:M5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{24F028BB-5F86-4AE1-B57C-7196FBF79E22}</x14:id>
        </ext>
      </extLst>
    </cfRule>
  </conditionalFormatting>
  <conditionalFormatting sqref="T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{D9A65B52-8EAA-4A92-8A15-0844A0410039}</x14:id>
        </ext>
      </extLst>
    </cfRule>
  </conditionalFormatting>
  <conditionalFormatting sqref="T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{922F0684-B0CC-4511-88F6-AB3EF8E2A384}</x14:id>
        </ext>
      </extLst>
    </cfRule>
  </conditionalFormatting>
  <conditionalFormatting sqref="T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{17FB9171-8DBB-49BE-9CF1-7B335FEE4292}</x14:id>
        </ext>
      </extLst>
    </cfRule>
  </conditionalFormatting>
  <conditionalFormatting sqref="T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{D79A23A1-8447-4477-BACB-7F86F9CB0EBE}</x14:id>
        </ext>
      </extLst>
    </cfRule>
  </conditionalFormatting>
  <conditionalFormatting sqref="T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{F9045EED-3AB9-4C93-930C-4495C0D68290}</x14:id>
        </ext>
      </extLst>
    </cfRule>
  </conditionalFormatting>
  <conditionalFormatting sqref="T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{F879C004-FD3F-4EB4-A83A-7EF5966080F0}</x14:id>
        </ext>
      </extLst>
    </cfRule>
  </conditionalFormatting>
  <conditionalFormatting sqref="AB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{1B701A8E-DBFC-4E93-ACFD-8C49A3D88862}</x14:id>
        </ext>
      </extLst>
    </cfRule>
  </conditionalFormatting>
  <conditionalFormatting sqref="AC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{B21D116C-E5EE-46C6-8AED-7D375ED4EAB1}</x14:id>
        </ext>
      </extLst>
    </cfRule>
  </conditionalFormatting>
  <conditionalFormatting sqref="AC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{59CD21ED-FE13-48CF-860D-98CB3E0F05FD}</x14:id>
        </ext>
      </extLst>
    </cfRule>
  </conditionalFormatting>
  <conditionalFormatting sqref="AC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{36036264-23AA-4909-8797-2465A759A82A}</x14:id>
        </ext>
      </extLst>
    </cfRule>
  </conditionalFormatting>
  <conditionalFormatting sqref="AC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{CFBAF32F-28AE-468D-8BC9-FBF0126270B3}</x14:id>
        </ext>
      </extLst>
    </cfRule>
  </conditionalFormatting>
  <conditionalFormatting sqref="U5:AA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{DCD520AF-88A3-420A-AAC0-B2BA9C8C970B}</x14:id>
        </ext>
      </extLst>
    </cfRule>
  </conditionalFormatting>
  <conditionalFormatting sqref="T5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{35CA55E7-ACA5-4537-A03B-0C2C7E5EBAE1}</x14:id>
        </ext>
      </extLst>
    </cfRule>
  </conditionalFormatting>
  <conditionalFormatting sqref="E92">
    <cfRule type="containsText" dxfId="3706" priority="22" operator="containsText" text="Buy">
      <formula>NOT(ISERROR(SEARCH("Buy",E92)))</formula>
    </cfRule>
    <cfRule type="containsText" dxfId="3705" priority="23" operator="containsText" text="Sell">
      <formula>NOT(ISERROR(SEARCH("Sell",E92)))</formula>
    </cfRule>
  </conditionalFormatting>
  <conditionalFormatting sqref="H3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{FB3B81E4-3DAA-400E-A97A-B5AA201C0C75}</x14:id>
        </ext>
      </extLst>
    </cfRule>
    <cfRule type="cellIs" dxfId="3704" priority="18" operator="equal">
      <formula>1</formula>
    </cfRule>
  </conditionalFormatting>
  <conditionalFormatting sqref="D37">
    <cfRule type="containsText" dxfId="3703" priority="16" operator="containsText" text="Buy">
      <formula>NOT(ISERROR(SEARCH("Buy",D37)))</formula>
    </cfRule>
    <cfRule type="containsText" dxfId="3702" priority="17" operator="containsText" text="Sell">
      <formula>NOT(ISERROR(SEARCH("Sell",D37)))</formula>
    </cfRule>
  </conditionalFormatting>
  <conditionalFormatting sqref="E87">
    <cfRule type="containsText" dxfId="3701" priority="13" operator="containsText" text="Buy">
      <formula>NOT(ISERROR(SEARCH("Buy",E87)))</formula>
    </cfRule>
    <cfRule type="containsText" dxfId="3700" priority="14" operator="containsText" text="Sell">
      <formula>NOT(ISERROR(SEARCH("Sell",E87)))</formula>
    </cfRule>
  </conditionalFormatting>
  <conditionalFormatting sqref="H3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{EBA2088C-DB45-4ECA-8C4F-798DDB8118D5}</x14:id>
        </ext>
      </extLst>
    </cfRule>
    <cfRule type="cellIs" dxfId="3699" priority="12" operator="equal">
      <formula>1</formula>
    </cfRule>
  </conditionalFormatting>
  <conditionalFormatting sqref="D38">
    <cfRule type="containsText" dxfId="3698" priority="10" operator="containsText" text="Buy">
      <formula>NOT(ISERROR(SEARCH("Buy",D38)))</formula>
    </cfRule>
    <cfRule type="containsText" dxfId="3697" priority="11" operator="containsText" text="Sell">
      <formula>NOT(ISERROR(SEARCH("Sell",D38)))</formula>
    </cfRule>
  </conditionalFormatting>
  <conditionalFormatting sqref="H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{BB44CFE0-BC57-4311-9F00-39B937E30879}</x14:id>
        </ext>
      </extLst>
    </cfRule>
    <cfRule type="cellIs" dxfId="3696" priority="8" operator="equal">
      <formula>1</formula>
    </cfRule>
  </conditionalFormatting>
  <conditionalFormatting sqref="D33">
    <cfRule type="containsText" dxfId="3695" priority="6" operator="containsText" text="Buy">
      <formula>NOT(ISERROR(SEARCH("Buy",D33)))</formula>
    </cfRule>
    <cfRule type="containsText" dxfId="3694" priority="7" operator="containsText" text="Sell">
      <formula>NOT(ISERROR(SEARCH("Sell",D33)))</formula>
    </cfRule>
  </conditionalFormatting>
  <conditionalFormatting sqref="H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{A3349092-D68B-48B3-B0BD-5A10A6B34BCC}</x14:id>
        </ext>
      </extLst>
    </cfRule>
    <cfRule type="cellIs" dxfId="3693" priority="4" operator="equal">
      <formula>1</formula>
    </cfRule>
  </conditionalFormatting>
  <conditionalFormatting sqref="D39">
    <cfRule type="containsText" dxfId="3692" priority="2" operator="containsText" text="Buy">
      <formula>NOT(ISERROR(SEARCH("Buy",D39)))</formula>
    </cfRule>
    <cfRule type="containsText" dxfId="3691" priority="3" operator="containsText" text="Sell">
      <formula>NOT(ISERROR(SEARCH("Sell",D39)))</formula>
    </cfRule>
  </conditionalFormatting>
  <conditionalFormatting sqref="L9:M15 L3:M4 L6:M7">
    <cfRule type="dataBar" priority="34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{7D384D96-E699-434C-B189-833DA072BDCB}</x14:id>
        </ext>
      </extLst>
    </cfRule>
  </conditionalFormatting>
  <conditionalFormatting sqref="I3:I4 I6:I17">
    <cfRule type="dataBar" priority="344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{F3DDB6E5-A83C-4351-BFDD-28ECAA1B8EEC}</x14:id>
        </ext>
      </extLst>
    </cfRule>
  </conditionalFormatting>
  <conditionalFormatting sqref="I3:I4 I6:I17">
    <cfRule type="dataBar" priority="34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{C5AE1B09-A81D-4895-91CD-042A2F37E845}</x14:id>
        </ext>
      </extLst>
    </cfRule>
  </conditionalFormatting>
  <conditionalFormatting sqref="I3:I4 I6:I19">
    <cfRule type="dataBar" priority="34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{9475B5B9-33CC-480B-A008-28C2BAF0030E}</x14:id>
        </ext>
      </extLst>
    </cfRule>
  </conditionalFormatting>
  <conditionalFormatting sqref="L3:M4 L6:M19">
    <cfRule type="dataBar" priority="34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{D8874D9B-1143-49EF-8E8F-1E0C0E8F8DFC}</x14:id>
        </ext>
      </extLst>
    </cfRule>
  </conditionalFormatting>
  <conditionalFormatting sqref="T3:T4 T6:T15">
    <cfRule type="dataBar" priority="34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{734EC607-25A0-4C71-A2FB-664D71178926}</x14:id>
        </ext>
      </extLst>
    </cfRule>
  </conditionalFormatting>
  <conditionalFormatting sqref="T3:T4 T6:T15">
    <cfRule type="dataBar" priority="34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{00BABF8B-CC18-40C9-8E09-58EA4DD1B9A7}</x14:id>
        </ext>
      </extLst>
    </cfRule>
  </conditionalFormatting>
  <conditionalFormatting sqref="T3:T4 T6:T15">
    <cfRule type="dataBar" priority="344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{1BF2E6BF-6804-41F2-A30A-AC80ACCC3D33}</x14:id>
        </ext>
      </extLst>
    </cfRule>
  </conditionalFormatting>
  <conditionalFormatting sqref="AB3:AB4 AB6:AB15">
    <cfRule type="dataBar" priority="34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{1386ABB0-DBA3-491B-9F23-B02043482875}</x14:id>
        </ext>
      </extLst>
    </cfRule>
  </conditionalFormatting>
  <conditionalFormatting sqref="AC3:AC4 AC6:AC15">
    <cfRule type="dataBar" priority="34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{46A545F9-D7EA-4A89-910A-2BD3895C3447}</x14:id>
        </ext>
      </extLst>
    </cfRule>
  </conditionalFormatting>
  <conditionalFormatting sqref="U3:AA4 U6:AA17">
    <cfRule type="dataBar" priority="344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{4148B9BE-A93C-4D94-B23C-95446824EA98}</x14:id>
        </ext>
      </extLst>
    </cfRule>
  </conditionalFormatting>
  <conditionalFormatting sqref="T3:T4 T6:T19">
    <cfRule type="dataBar" priority="34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{6EC10D5F-8CCB-4CE2-83F8-1C0D707CB748}</x14:id>
        </ext>
      </extLst>
    </cfRule>
  </conditionalFormatting>
  <conditionalFormatting sqref="I3:I19">
    <cfRule type="dataBar" priority="34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{ED2CFA86-4D92-44B0-BAB9-5402DECE2E4E}</x14:id>
        </ext>
      </extLst>
    </cfRule>
  </conditionalFormatting>
  <conditionalFormatting sqref="L3:M19">
    <cfRule type="dataBar" priority="344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{D4E3C385-41B9-4B38-99DC-48A5FEFA3334}</x14:id>
        </ext>
      </extLst>
    </cfRule>
  </conditionalFormatting>
  <conditionalFormatting sqref="T3:T19">
    <cfRule type="dataBar" priority="344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{7EE7F8E3-B14B-4E9F-A19F-CE09875C8C24}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8479DE-E3F3-4716-AD63-7CBD15AB1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5DDBFAC7-D545-436A-BAD0-9ACC54A76D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AA15:AA17</xm:sqref>
        </x14:conditionalFormatting>
        <x14:conditionalFormatting xmlns:xm="http://schemas.microsoft.com/office/excel/2006/main">
          <x14:cfRule type="dataBar" id="{FCA6F772-55CD-49A0-AE55-83AB9B57A1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</xm:sqref>
        </x14:conditionalFormatting>
        <x14:conditionalFormatting xmlns:xm="http://schemas.microsoft.com/office/excel/2006/main">
          <x14:cfRule type="dataBar" id="{2E139DAC-CC0B-4AFF-A5F6-98C016ACEDF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U15:Y17 AA15:AA17</xm:sqref>
        </x14:conditionalFormatting>
        <x14:conditionalFormatting xmlns:xm="http://schemas.microsoft.com/office/excel/2006/main">
          <x14:cfRule type="dataBar" id="{2E56EC3A-0D88-4B48-B0A1-13741BEBEB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Z15:Z17</xm:sqref>
        </x14:conditionalFormatting>
        <x14:conditionalFormatting xmlns:xm="http://schemas.microsoft.com/office/excel/2006/main">
          <x14:cfRule type="dataBar" id="{B6206779-C6BF-46DB-B6ED-6D50EF7014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V15:V17</xm:sqref>
        </x14:conditionalFormatting>
        <x14:conditionalFormatting xmlns:xm="http://schemas.microsoft.com/office/excel/2006/main">
          <x14:cfRule type="dataBar" id="{6BF9B9DB-DB79-480F-814E-D5B552BC26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U15:U17</xm:sqref>
        </x14:conditionalFormatting>
        <x14:conditionalFormatting xmlns:xm="http://schemas.microsoft.com/office/excel/2006/main">
          <x14:cfRule type="dataBar" id="{4E04520B-5489-444B-BEBE-2CA97AEBD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W15:W17</xm:sqref>
        </x14:conditionalFormatting>
        <x14:conditionalFormatting xmlns:xm="http://schemas.microsoft.com/office/excel/2006/main">
          <x14:cfRule type="dataBar" id="{D847300C-46C0-4BAB-847E-37960C492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X15:X17</xm:sqref>
        </x14:conditionalFormatting>
        <x14:conditionalFormatting xmlns:xm="http://schemas.microsoft.com/office/excel/2006/main">
          <x14:cfRule type="dataBar" id="{A3BF62D4-9248-487F-9FD7-0BA449C283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Y15:Y17</xm:sqref>
        </x14:conditionalFormatting>
        <x14:conditionalFormatting xmlns:xm="http://schemas.microsoft.com/office/excel/2006/main">
          <x14:cfRule type="dataBar" id="{1D8F1D1B-A05B-4CDE-AD0E-F22793F470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U15:AA17</xm:sqref>
        </x14:conditionalFormatting>
        <x14:conditionalFormatting xmlns:xm="http://schemas.microsoft.com/office/excel/2006/main">
          <x14:cfRule type="dataBar" id="{059C1DA9-25E0-4CD2-8B4B-0D3331C29B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AC17</xm:sqref>
        </x14:conditionalFormatting>
        <x14:conditionalFormatting xmlns:xm="http://schemas.microsoft.com/office/excel/2006/main">
          <x14:cfRule type="dataBar" id="{60EE0AAB-DE4A-4437-8845-473B0772ED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8691A1CF-19F5-4B62-BE65-CFE383B744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</xm:sqref>
        </x14:conditionalFormatting>
        <x14:conditionalFormatting xmlns:xm="http://schemas.microsoft.com/office/excel/2006/main">
          <x14:cfRule type="dataBar" id="{BB147C57-696F-46D9-B44A-B311FEC1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U7:Y7 AA7</xm:sqref>
        </x14:conditionalFormatting>
        <x14:conditionalFormatting xmlns:xm="http://schemas.microsoft.com/office/excel/2006/main">
          <x14:cfRule type="dataBar" id="{CDBCE521-93D8-4341-AB2B-84AA8E2F73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D10349F4-B305-47A7-A8F9-E7371E8A09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60A755B-F00B-4F00-A0B6-8E14D8413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B2AEA57-6A64-4070-9F33-F33B69E992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BFB26A58-0046-4DFD-ABF1-3984EEE6E3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D191D6C-661C-4BFD-9A3B-F928BF5E44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98626527-D5CC-4341-9542-1EF3440B6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0F3EF3C-7242-47FC-ACC8-8048FAA7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25FDF3C3-E480-4DA3-826A-794AA033C2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U7:AA7</xm:sqref>
        </x14:conditionalFormatting>
        <x14:conditionalFormatting xmlns:xm="http://schemas.microsoft.com/office/excel/2006/main">
          <x14:cfRule type="dataBar" id="{491478E3-9752-4C89-B587-E080B6EBCB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67AD513-9211-4350-BCEC-5A30E03D8C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</xm:sqref>
        </x14:conditionalFormatting>
        <x14:conditionalFormatting xmlns:xm="http://schemas.microsoft.com/office/excel/2006/main">
          <x14:cfRule type="dataBar" id="{C297CF63-232C-48FC-A0FA-590AAF9FF0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U12:Y12 AA12</xm:sqref>
        </x14:conditionalFormatting>
        <x14:conditionalFormatting xmlns:xm="http://schemas.microsoft.com/office/excel/2006/main">
          <x14:cfRule type="dataBar" id="{6F99894A-121F-4FA7-9E3C-D5322A0754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F3D9EB15-C9BC-4BAD-A728-AD74B47D9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19E771E5-24DA-4658-B169-B9735ACFDE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8FDFDDA9-1BA6-4C1C-9FCF-5DFB003AE2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33850D06-1E31-4D65-97EB-4151D39CFA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34BA7655-F00F-4F82-9B65-3993E117CA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71EE8D41-A9AB-4497-8736-3B941A385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U12:AA12</xm:sqref>
        </x14:conditionalFormatting>
        <x14:conditionalFormatting xmlns:xm="http://schemas.microsoft.com/office/excel/2006/main">
          <x14:cfRule type="dataBar" id="{F7AC81D9-FB2B-448A-84CE-BF6FF62CBB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6D1B0FE-0365-4A2D-9170-79E0918971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</xm:sqref>
        </x14:conditionalFormatting>
        <x14:conditionalFormatting xmlns:xm="http://schemas.microsoft.com/office/excel/2006/main">
          <x14:cfRule type="dataBar" id="{1471243D-BE70-43A0-A1BB-7EEC1CBEEE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U14:Y14 AA14</xm:sqref>
        </x14:conditionalFormatting>
        <x14:conditionalFormatting xmlns:xm="http://schemas.microsoft.com/office/excel/2006/main">
          <x14:cfRule type="dataBar" id="{1A59B807-B1B5-4E10-B21D-E239253A9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A4095484-90C4-46B8-8E0D-FF70C9F35C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D812A600-56A6-4641-AF94-FE2BBB4CD1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F8FFBA3C-AE26-4DC3-96BC-8839D4A1DA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94B37B65-83F6-45CA-AEE6-720A97467A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9E3E583A-D559-48B1-9442-BDAC14E3A2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A8A6D7C-A517-4FE2-9654-E1ED903036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U14:AA14</xm:sqref>
        </x14:conditionalFormatting>
        <x14:conditionalFormatting xmlns:xm="http://schemas.microsoft.com/office/excel/2006/main">
          <x14:cfRule type="dataBar" id="{8EC81ED8-1FF9-4550-BF7E-42764C8282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07D17A4F-FB2A-4581-94C2-C3F73E27A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B8167A37-3471-4331-B6FC-D83927ED1D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AA6</xm:sqref>
        </x14:conditionalFormatting>
        <x14:conditionalFormatting xmlns:xm="http://schemas.microsoft.com/office/excel/2006/main">
          <x14:cfRule type="dataBar" id="{85BE7E8A-C485-4168-A505-582675392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</xm:sqref>
        </x14:conditionalFormatting>
        <x14:conditionalFormatting xmlns:xm="http://schemas.microsoft.com/office/excel/2006/main">
          <x14:cfRule type="dataBar" id="{34041B40-04D5-4B45-A088-9F236B2CBA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U6:Y6 AA6</xm:sqref>
        </x14:conditionalFormatting>
        <x14:conditionalFormatting xmlns:xm="http://schemas.microsoft.com/office/excel/2006/main">
          <x14:cfRule type="dataBar" id="{FE994C56-5AF1-40BA-8F88-88B5F57138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08802B48-06C0-46C5-87BB-2ECD466312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F3606A57-678A-4108-88C1-D40FCE107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BE36963-BA9E-47C1-B883-CDD9C2EF30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93BD888-979A-407A-AD83-66029635B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11BC5D23-09EF-40C8-9133-0909570260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9C338D61-1034-4FF5-AB21-E0FE888EDF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A84E0995-8F38-498E-B86E-6BB5AD93E7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276E11EB-05ED-4E64-91AF-D48AC647B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U6:AA6</xm:sqref>
        </x14:conditionalFormatting>
        <x14:conditionalFormatting xmlns:xm="http://schemas.microsoft.com/office/excel/2006/main">
          <x14:cfRule type="dataBar" id="{7F051433-0A4A-4209-BBA4-F7737695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339BEA98-803D-48A4-AB76-A1C0E3D3C4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B6465ED-591A-41C0-BF67-3FF16FA7F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</xm:sqref>
        </x14:conditionalFormatting>
        <x14:conditionalFormatting xmlns:xm="http://schemas.microsoft.com/office/excel/2006/main">
          <x14:cfRule type="dataBar" id="{29405CE9-B68F-40EB-9513-B41BF0CFB0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U10:Y10 AA10</xm:sqref>
        </x14:conditionalFormatting>
        <x14:conditionalFormatting xmlns:xm="http://schemas.microsoft.com/office/excel/2006/main">
          <x14:cfRule type="dataBar" id="{34415D8C-9B56-4474-86E7-CB361E9924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72B0CC1-ADC1-4219-B92F-EA4647D9AC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073E7A53-3C87-460D-8426-FB4FC0E693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7E2ED7C7-413E-4D21-91C2-353D01499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608B6C60-83F9-4CE6-9C3B-20BD570C1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B562C85-62BE-4FE4-9880-F79C54751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5DEA94BC-03ED-4E0C-B052-8CCEDDF34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U10:AA10</xm:sqref>
        </x14:conditionalFormatting>
        <x14:conditionalFormatting xmlns:xm="http://schemas.microsoft.com/office/excel/2006/main">
          <x14:cfRule type="dataBar" id="{D5E505CF-4B05-41F7-A77F-0D54614E4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509BF577-42C1-4769-9088-33FE80577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2961B765-6AF1-4E6B-875B-8C1F55A098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U9:Y9</xm:sqref>
        </x14:conditionalFormatting>
        <x14:conditionalFormatting xmlns:xm="http://schemas.microsoft.com/office/excel/2006/main">
          <x14:cfRule type="dataBar" id="{4D6C3205-145F-4CA2-A3CD-14DB8AF188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16BA53C5-7219-4EC7-AF2D-38E3790159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D898B66E-5E2E-4889-B255-7712DB9AB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324CD99A-C496-435B-9BDB-C9ED21ACC9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8B4A2B4-AED9-450A-9116-0A2E4AD830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F17786ED-F933-4708-9C6E-5B3F001F7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C443D17B-92C0-4437-BF1D-526F2A278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57C13AEF-50CD-45B2-A60A-4649F5C6BA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E8F40C1C-3893-47AA-B7CF-3B5C5BB330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U9:AA9</xm:sqref>
        </x14:conditionalFormatting>
        <x14:conditionalFormatting xmlns:xm="http://schemas.microsoft.com/office/excel/2006/main">
          <x14:cfRule type="dataBar" id="{1CF7C5E5-799F-48C4-B108-1074762A9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EA42DECE-D648-4731-89BE-673E9E6BD7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3E515731-C395-417D-8790-C5A621357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</xm:sqref>
        </x14:conditionalFormatting>
        <x14:conditionalFormatting xmlns:xm="http://schemas.microsoft.com/office/excel/2006/main">
          <x14:cfRule type="dataBar" id="{46AE4054-C61A-4A9F-AAF1-3ABF8F8722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U3:Y3 AA3</xm:sqref>
        </x14:conditionalFormatting>
        <x14:conditionalFormatting xmlns:xm="http://schemas.microsoft.com/office/excel/2006/main">
          <x14:cfRule type="dataBar" id="{A0E1F1F2-8321-4B87-B9EF-61F2A5F596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3D33BBBB-20D5-43C1-9473-398230E3D0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1ACC5218-465D-4FB2-89BC-15086A4E11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618B42D3-C6A9-48C3-82B1-23F5816915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</xm:sqref>
        </x14:conditionalFormatting>
        <x14:conditionalFormatting xmlns:xm="http://schemas.microsoft.com/office/excel/2006/main">
          <x14:cfRule type="dataBar" id="{C15D400C-A0E3-441E-8964-07FE6B0A4E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110317BB-2087-493D-8360-6F7AC39C0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1351285B-87F8-4228-ABB0-634CB36AD1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E09771D9-6743-4C3C-BF1C-4BBC256D56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3FA39788-5051-4C81-AB64-178572D4B9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529020A-B185-42E4-82E3-7D3DBA9DF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U3:AA3</xm:sqref>
        </x14:conditionalFormatting>
        <x14:conditionalFormatting xmlns:xm="http://schemas.microsoft.com/office/excel/2006/main">
          <x14:cfRule type="dataBar" id="{220F6962-3E8E-4D08-B57A-E827D41A43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L3:M3</xm:sqref>
        </x14:conditionalFormatting>
        <x14:conditionalFormatting xmlns:xm="http://schemas.microsoft.com/office/excel/2006/main">
          <x14:cfRule type="dataBar" id="{AFE40558-0C6F-40CF-B499-5A5BF5A8A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19E681A0-5A23-4F2E-B2DC-B5BB57398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7F814004-31DC-44AF-9CDD-F49001B7F8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D307B9F1-1F67-4C08-9E9F-88EF77D64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C80D9CBD-F1E0-41E2-90AC-AFCB0320A9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M14:M15 M10 M12</xm:sqref>
        </x14:conditionalFormatting>
        <x14:conditionalFormatting xmlns:xm="http://schemas.microsoft.com/office/excel/2006/main">
          <x14:cfRule type="dataBar" id="{8FEC55CB-C783-4EEA-B3AA-57D3F9CE48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 M12</xm:sqref>
        </x14:conditionalFormatting>
        <x14:conditionalFormatting xmlns:xm="http://schemas.microsoft.com/office/excel/2006/main">
          <x14:cfRule type="dataBar" id="{EA0875EE-D141-49D6-8445-677564AD50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76EE6847-3948-4A65-8418-BAB2E15AC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</xm:sqref>
        </x14:conditionalFormatting>
        <x14:conditionalFormatting xmlns:xm="http://schemas.microsoft.com/office/excel/2006/main">
          <x14:cfRule type="dataBar" id="{9C3ED2F4-2559-41AF-923F-4CD8B24D9C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U13:Y13 AA13</xm:sqref>
        </x14:conditionalFormatting>
        <x14:conditionalFormatting xmlns:xm="http://schemas.microsoft.com/office/excel/2006/main">
          <x14:cfRule type="dataBar" id="{0346793E-6610-4B39-926F-23D5AB36FE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DC5A516F-5C40-4A98-9D89-1C5B1BF398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F56E1B18-D548-4191-822B-786002216D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E9C521F-051B-4827-9FB8-038CADC10C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E99EF041-58B5-4A36-98CD-8F878F5D1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EC051684-DC53-4F7F-B262-0FFB523C6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61C01011-8354-40CD-87D2-28734C0E8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U13:AA13</xm:sqref>
        </x14:conditionalFormatting>
        <x14:conditionalFormatting xmlns:xm="http://schemas.microsoft.com/office/excel/2006/main">
          <x14:cfRule type="dataBar" id="{FD1BDAB1-C03E-4FBA-97C5-F6927E5F89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756FC92E-9628-48BF-B627-EFEB5AECD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F4F8B424-F17B-4C7F-803B-34B0EDED09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34637056-60FC-4F3A-A23F-B8E949C133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9274E38F-16A5-4491-A034-2F1336B9A0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</xm:sqref>
        </x14:conditionalFormatting>
        <x14:conditionalFormatting xmlns:xm="http://schemas.microsoft.com/office/excel/2006/main">
          <x14:cfRule type="dataBar" id="{7E67E3D5-FC10-422A-9986-43DEFB9C41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U4:Y4 AA4</xm:sqref>
        </x14:conditionalFormatting>
        <x14:conditionalFormatting xmlns:xm="http://schemas.microsoft.com/office/excel/2006/main">
          <x14:cfRule type="dataBar" id="{447C7C2E-D761-4E1E-90D7-9B729DE323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E2452FFC-1ABD-413E-9307-EE037D5EF9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389FE2DC-B106-41D7-AF6C-3E08393C8C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F50DB522-B4BA-47B4-B390-7E5A11769A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E9A644E1-F59F-49D3-9606-789490B760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CA1D53C-3512-4979-88CD-226CB74BC2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DE2BB8B3-366F-455E-85D7-5D24ABABFE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AC832E6D-54C7-4E8F-824B-23B2C996F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01349D7E-5F89-4BFD-86E4-75DC48298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U4:AA4</xm:sqref>
        </x14:conditionalFormatting>
        <x14:conditionalFormatting xmlns:xm="http://schemas.microsoft.com/office/excel/2006/main">
          <x14:cfRule type="dataBar" id="{30702D8D-F350-49BB-8658-245DECB415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64332044-9598-4482-8EE9-515CE609D8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484D4D18-9A85-437F-98DB-757BF1F0AD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</xm:sqref>
        </x14:conditionalFormatting>
        <x14:conditionalFormatting xmlns:xm="http://schemas.microsoft.com/office/excel/2006/main">
          <x14:cfRule type="dataBar" id="{125A9444-4159-411E-AA86-961D390436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U11:Y11 AA11</xm:sqref>
        </x14:conditionalFormatting>
        <x14:conditionalFormatting xmlns:xm="http://schemas.microsoft.com/office/excel/2006/main">
          <x14:cfRule type="dataBar" id="{3D4EA9AE-2D22-4E80-94A9-1F35650786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77512D35-E146-4E06-9698-97590781B6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477A9C9-C615-41B5-87E8-8F9FD34DC8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0A492736-885C-400D-8AE7-CEA402F73A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D7B7ED3E-E8D6-4ABC-B369-A7AC5D1164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DC8B2795-3E4D-4497-8011-9F3188D560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4FE8CDD6-D68A-4EF8-8410-CFEF993612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U11:AA11</xm:sqref>
        </x14:conditionalFormatting>
        <x14:conditionalFormatting xmlns:xm="http://schemas.microsoft.com/office/excel/2006/main">
          <x14:cfRule type="dataBar" id="{99906E5E-17F3-4132-9D99-B1E0D5F79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F2EBF71-2D21-4FD8-B543-1C67255196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2CCCD8A-676D-4C54-AC09-88685748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E981CC9-53AE-49EE-9C14-60B4098C8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E7134659-4CF8-4AE4-8112-26DEDB6D4C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763A488-CB82-445B-AFB0-67875DD616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698789D-5DF2-4FB8-853C-1CDE053C0E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8E0DB91F-4738-4E28-A0E3-C3EFF4484B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7C1C1C2-046C-4D4D-B7D2-88A5BF9ADE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BEEF2DE9-18D6-472D-84C5-0FCED818A2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60C50149-73B2-4D43-AEB8-7194AA247A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C350CB92-3E26-4AF1-984E-24D0C0F684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F9C6575-A541-4D9A-B7ED-DE6A193D1A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0DEECE9-63DA-48F0-862D-B0636595A8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665CD8-3312-4687-BDB6-AF84DDA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41B56C7-B9A2-4EDC-896E-FBEC619EE4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7686261-2E67-4923-B8DD-55B5F5B24D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C01684A-D3A9-43D8-84F2-EA8C9598E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0E379584-538C-469E-856B-DDC395373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666BEC55-FE85-4AB2-BECE-AF46107E8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529EB343-6EEE-42DD-B159-A1EDECE308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70C63230-0482-412C-B56E-825D20834B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6D011CB-085F-4ABC-BD7D-81E910518B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EA61A57-5B06-403D-A3DD-B80046EAB5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B0DDF90-0BF4-4DB0-951A-8C5A155B97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3A1598C-19BA-4D51-BD9D-021D6D29D0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E9C077F-3005-4ECD-A5C9-B88259F7B4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866D4B9A-EB5D-473B-AA4B-BE95A17C75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F907DA02-3A45-448D-88E9-87C3DEFC96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10855153-2967-49B7-802B-B8C6DBCED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0CECF7AF-2F37-4618-B361-EAC9E06F57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FF1CDF6-2BF0-412C-9C20-E4C6B776B0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0912FB0E-AC02-4652-B477-79EACEAED6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9302BE7E-0BC6-4B70-BB4A-7C7595DB9F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8EC3685-E665-4170-9B47-21AED70BCF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389084D-3F0B-45DD-B1E1-C82E36982B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8018358B-F88A-4921-94D3-493CD947E4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95BAA533-0DFD-4453-82D0-295223B660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683A568E-2D89-40C8-906A-FA6AC408B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6F5A6B2-9D20-413B-B4EB-3D4562782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EEFE3B59-3EAA-4DD8-916E-ECC66C98C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</xm:sqref>
        </x14:conditionalFormatting>
        <x14:conditionalFormatting xmlns:xm="http://schemas.microsoft.com/office/excel/2006/main">
          <x14:cfRule type="dataBar" id="{94E97688-AD84-42E4-B203-C04AD7275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U8:Y8 AA8</xm:sqref>
        </x14:conditionalFormatting>
        <x14:conditionalFormatting xmlns:xm="http://schemas.microsoft.com/office/excel/2006/main">
          <x14:cfRule type="dataBar" id="{C5535E3C-5751-4179-838F-A7AF3AB642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AA1A83B0-9F16-4E0A-8DD9-CB37D3E9FD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EAE5E913-543B-4964-BA4F-A294F107D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2A44DB0D-45C4-4F2F-A264-C60B46E131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21C6712F-3064-4D65-8E62-8B8230B20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7EBB2D1-F5C7-434D-BCA1-B8CCA204E9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BF82F958-23AC-4F1D-BDAB-D4CA341973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FE439B03-E1E6-4F65-B748-2C55C309D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C498BC8D-B556-4D81-A444-A7B037BCC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U8:AA8</xm:sqref>
        </x14:conditionalFormatting>
        <x14:conditionalFormatting xmlns:xm="http://schemas.microsoft.com/office/excel/2006/main">
          <x14:cfRule type="dataBar" id="{DCFC06D8-DE72-48F3-8619-5D60560562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8DF0207-DC52-4765-B9A6-7324B14AA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F7C4D65-2EA8-4883-BF99-75643CD9D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549622C-0971-4047-8489-48ABB9D7A5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F9DC4D45-525A-45EF-A896-5ECF6DA5A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71D3122C-3C3E-4D90-9B60-BE8AAF6D53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04F032F-851D-4116-B705-768894D4A1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U17:X17 AA17</xm:sqref>
        </x14:conditionalFormatting>
        <x14:conditionalFormatting xmlns:xm="http://schemas.microsoft.com/office/excel/2006/main">
          <x14:cfRule type="dataBar" id="{7931477D-3A51-4ABD-865D-51155E1B1F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6A2A1B49-E44A-4E23-BE35-A24D1B9B97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347FD919-9F4E-4D75-B94A-1CF10F654B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972EE59-A89C-4AC7-A6CE-F71AD1CF5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92E9E153-C2BD-4991-9C96-09DE38834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L17:M17</xm:sqref>
        </x14:conditionalFormatting>
        <x14:conditionalFormatting xmlns:xm="http://schemas.microsoft.com/office/excel/2006/main">
          <x14:cfRule type="dataBar" id="{0A5E6686-0E8B-4BA2-A594-E5F8A956B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56505A6B-1175-49AD-BE04-6C4063C0B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D908221F-E50E-42EF-A001-2B8EFE30DA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8550EE4F-7611-4E91-AFF6-54279E8634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7F4BAEBC-1998-443F-8FB6-2FD4D9930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4B47E0FB-B39E-4CE5-B67A-BAD3515CDF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5AB7869D-5E02-44A6-901C-05488A206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348AD8F2-D837-46D7-895D-11C235B370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9F9ABAA0-F82C-4272-B33A-6A5FF1C463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4CBBAE8-57E7-41EA-A720-841E95F315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121D3B36-B522-4766-8F96-461353E886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</xm:sqref>
        </x14:conditionalFormatting>
        <x14:conditionalFormatting xmlns:xm="http://schemas.microsoft.com/office/excel/2006/main">
          <x14:cfRule type="dataBar" id="{DAD0CB4F-97F0-4DAC-BEC6-297F46E08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6E653DD9-8F15-4F0C-B0A6-8FE25C2D5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7EC23A52-1493-4F1C-82FE-248DF68082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95EEAD28-BD3C-421F-9F14-D876282312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495163C7-D430-4920-BF10-5EBEBE9BEB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AC16</xm:sqref>
        </x14:conditionalFormatting>
        <x14:conditionalFormatting xmlns:xm="http://schemas.microsoft.com/office/excel/2006/main">
          <x14:cfRule type="dataBar" id="{7D76A906-CAAF-46EA-962B-FD7A7120E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U16:X16 AA16</xm:sqref>
        </x14:conditionalFormatting>
        <x14:conditionalFormatting xmlns:xm="http://schemas.microsoft.com/office/excel/2006/main">
          <x14:cfRule type="dataBar" id="{E6E072CD-69A2-4AD1-BF92-C2B665D19F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BB9DDF45-743A-4D0A-8A91-A3995E011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75C0100A-9744-41EB-94F9-3F9933581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90AC222D-414B-46D0-B3D5-0B874C774F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FB0EDA17-0CEB-438A-9FC4-597677876B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L16:M16</xm:sqref>
        </x14:conditionalFormatting>
        <x14:conditionalFormatting xmlns:xm="http://schemas.microsoft.com/office/excel/2006/main">
          <x14:cfRule type="dataBar" id="{D28AA7E6-5CA5-4D10-AAE0-31E8C8FDE5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38308265-92E5-4900-8828-A717AB9FD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D3DC3784-4F50-4AB1-ACB5-8D5D95238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32A394D1-358C-491E-9ACE-DA694E1378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6E6CBEC-97A1-4263-823A-8DB048D3AB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BE1D2298-EB7E-4098-9B18-DCA1C3DE1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6C9D9EA0-F527-40AD-9D01-15710C5D94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FEBD4142-16E8-4836-BDB7-427AB1A93F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826E8D0A-E9CE-4AF6-A41E-BA35330EF9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413EF3A-DD0E-4206-871A-A5C09F74E3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BF0EE622-14E1-4FF1-AFD3-08C44A2BF2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90B6C86-E45D-4E47-96D3-07B576A6C5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M16</xm:sqref>
        </x14:conditionalFormatting>
        <x14:conditionalFormatting xmlns:xm="http://schemas.microsoft.com/office/excel/2006/main">
          <x14:cfRule type="dataBar" id="{C883412F-6168-4160-8B31-AB62B79978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82F17BEC-5EC8-4305-8CE3-71EB9FD79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371ACDCE-DC33-47A4-B4C6-C8E384561C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99A0BE7E-4F5D-4324-9C7A-833F09DA6D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11651FF-4C4D-4C3A-877F-11C473CB9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25383125-0C05-4118-B575-38FEDC0C77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F55AC45E-D218-4B8A-98BB-8D20183AE9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D8576817-7FAD-4A27-A76B-77D7DB9F64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55C7662D-80A7-488A-AE53-DAA3B5D658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ECBFABFF-8E5B-48F6-B440-A6D09077A9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AE18CC27-DB45-428A-9D59-FF7B85773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T16:T17</xm:sqref>
        </x14:conditionalFormatting>
        <x14:conditionalFormatting xmlns:xm="http://schemas.microsoft.com/office/excel/2006/main">
          <x14:cfRule type="dataBar" id="{7CFE962B-A6D6-44FA-BA38-F0C4BE8FB5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E563EC-9F3D-406B-BF7D-362532970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0CF4E355-B4AC-48E5-9D66-A0A4BB2DD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</xm:sqref>
        </x14:conditionalFormatting>
        <x14:conditionalFormatting xmlns:xm="http://schemas.microsoft.com/office/excel/2006/main">
          <x14:cfRule type="dataBar" id="{23038CF9-C867-4E60-A051-E3275FB26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U5:Y5 AA5</xm:sqref>
        </x14:conditionalFormatting>
        <x14:conditionalFormatting xmlns:xm="http://schemas.microsoft.com/office/excel/2006/main">
          <x14:cfRule type="dataBar" id="{91C92466-699A-497B-B7C0-2E6053306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4D1A2FD6-6DFE-4DB0-8F22-68C50BCDD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9CBD5F2-7835-475E-BB14-91C0A1D360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3C3E1B0-5A7C-4432-B9EC-90BE5C8E35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0A6F0FE-5370-48E7-8C52-FD57D6ABAD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8D7136B-1B02-4783-A521-C29F59CEBE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CE5F26F-DB11-4904-8E70-EAF347B727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3205B72F-70DD-4237-81AC-54A7E1111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1A8687B-7791-43DE-B396-3C0DB11121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FEF9B61-8DE5-4280-8C9E-CA8E6B0006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4143CADD-A474-48B7-9A5F-E29700B497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B1D922A3-F4A1-4DDB-BE8C-D6293F4563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E012E3B0-DB5F-4B34-B9AD-A6E96CC89F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D65AEDB2-C32F-41B0-ACCF-34B4A67B3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7D55525-BA07-4EA4-AEE8-A49F9B5605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E38CAC51-6CEB-44B9-A0B1-0DB85F8399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5E30BBF-23A4-462A-8981-903A0312E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1A9182F-91E9-4B99-BD89-8D523F4304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A26EB940-DB14-40DE-A08B-D391A89E0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6E2D9BB-8980-47CE-8165-81F09D0455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C843048-41DB-41C7-ACF9-446D20FFF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03955BD-8554-45CB-8BE6-EC86ADB26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1AF45EE-5B3A-40FF-A22A-CBDCF9A466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F1B0C80B-1473-4488-8EAD-56FBCBBA9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46F1F13B-1986-4E5C-9C14-1F37B9DD3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24F028BB-5F86-4AE1-B57C-7196FBF79E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A65B52-8EAA-4A92-8A15-0844A04100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922F0684-B0CC-4511-88F6-AB3EF8E2A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7FB9171-8DBB-49BE-9CF1-7B335FEE42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79A23A1-8447-4477-BACB-7F86F9CB0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9045EED-3AB9-4C93-930C-4495C0D682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879C004-FD3F-4EB4-A83A-7EF5966080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B701A8E-DBFC-4E93-ACFD-8C49A3D888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</xm:sqref>
        </x14:conditionalFormatting>
        <x14:conditionalFormatting xmlns:xm="http://schemas.microsoft.com/office/excel/2006/main">
          <x14:cfRule type="dataBar" id="{B21D116C-E5EE-46C6-8AED-7D375ED4EA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59CD21ED-FE13-48CF-860D-98CB3E0F05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36036264-23AA-4909-8797-2465A759A8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CFBAF32F-28AE-468D-8BC9-FBF012627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AC5</xm:sqref>
        </x14:conditionalFormatting>
        <x14:conditionalFormatting xmlns:xm="http://schemas.microsoft.com/office/excel/2006/main">
          <x14:cfRule type="dataBar" id="{DCD520AF-88A3-420A-AAC0-B2BA9C8C97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U5:AA5</xm:sqref>
        </x14:conditionalFormatting>
        <x14:conditionalFormatting xmlns:xm="http://schemas.microsoft.com/office/excel/2006/main">
          <x14:cfRule type="dataBar" id="{35CA55E7-ACA5-4537-A03B-0C2C7E5EB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B3B81E4-3DAA-400E-A97A-B5AA201C0C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EBA2088C-DB45-4ECA-8C4F-798DDB8118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BB44CFE0-BC57-4311-9F00-39B937E308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A3349092-D68B-48B3-B0BD-5A10A6B34B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7D384D96-E699-434C-B189-833DA072BD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L9:M15 L3:M4 L6:M7</xm:sqref>
        </x14:conditionalFormatting>
        <x14:conditionalFormatting xmlns:xm="http://schemas.microsoft.com/office/excel/2006/main">
          <x14:cfRule type="dataBar" id="{F3DDB6E5-A83C-4351-BFDD-28ECAA1B8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C5AE1B09-A81D-4895-91CD-042A2F37E8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I3:I4 I6:I17</xm:sqref>
        </x14:conditionalFormatting>
        <x14:conditionalFormatting xmlns:xm="http://schemas.microsoft.com/office/excel/2006/main">
          <x14:cfRule type="dataBar" id="{9475B5B9-33CC-480B-A008-28C2BAF003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I3:I4 I6:I19</xm:sqref>
        </x14:conditionalFormatting>
        <x14:conditionalFormatting xmlns:xm="http://schemas.microsoft.com/office/excel/2006/main">
          <x14:cfRule type="dataBar" id="{D8874D9B-1143-49EF-8E8F-1E0C0E8F8D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L3:M4 L6:M19</xm:sqref>
        </x14:conditionalFormatting>
        <x14:conditionalFormatting xmlns:xm="http://schemas.microsoft.com/office/excel/2006/main">
          <x14:cfRule type="dataBar" id="{734EC607-25A0-4C71-A2FB-664D71178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00BABF8B-CC18-40C9-8E09-58EA4DD1B9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BF2E6BF-6804-41F2-A30A-AC80ACCC3D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T6:T15</xm:sqref>
        </x14:conditionalFormatting>
        <x14:conditionalFormatting xmlns:xm="http://schemas.microsoft.com/office/excel/2006/main">
          <x14:cfRule type="dataBar" id="{1386ABB0-DBA3-491B-9F23-B020434828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AB3:AB4 AB6:AB15</xm:sqref>
        </x14:conditionalFormatting>
        <x14:conditionalFormatting xmlns:xm="http://schemas.microsoft.com/office/excel/2006/main">
          <x14:cfRule type="dataBar" id="{46A545F9-D7EA-4A89-910A-2BD3895C3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AC3:AC4 AC6:AC15</xm:sqref>
        </x14:conditionalFormatting>
        <x14:conditionalFormatting xmlns:xm="http://schemas.microsoft.com/office/excel/2006/main">
          <x14:cfRule type="dataBar" id="{4148B9BE-A93C-4D94-B23C-95446824EA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U3:AA4 U6:AA17</xm:sqref>
        </x14:conditionalFormatting>
        <x14:conditionalFormatting xmlns:xm="http://schemas.microsoft.com/office/excel/2006/main">
          <x14:cfRule type="dataBar" id="{6EC10D5F-8CCB-4CE2-83F8-1C0D707CB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T3:T4 T6:T19</xm:sqref>
        </x14:conditionalFormatting>
        <x14:conditionalFormatting xmlns:xm="http://schemas.microsoft.com/office/excel/2006/main">
          <x14:cfRule type="dataBar" id="{ED2CFA86-4D92-44B0-BAB9-5402DECE2E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I3:I19</xm:sqref>
        </x14:conditionalFormatting>
        <x14:conditionalFormatting xmlns:xm="http://schemas.microsoft.com/office/excel/2006/main">
          <x14:cfRule type="dataBar" id="{D4E3C385-41B9-4B38-99DC-48A5FEFA3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L3:M19</xm:sqref>
        </x14:conditionalFormatting>
        <x14:conditionalFormatting xmlns:xm="http://schemas.microsoft.com/office/excel/2006/main">
          <x14:cfRule type="dataBar" id="{7EE7F8E3-B14B-4E9F-A19F-CE09875C8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T3:T19</xm:sqref>
        </x14:conditionalFormatting>
        <x14:conditionalFormatting xmlns:xm="http://schemas.microsoft.com/office/excel/2006/main">
          <x14:cfRule type="iconSet" priority="41" id="{773FB042-F34A-4AC1-8BD8-D3B9AC5CDA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4440" id="{7D18DE41-9B27-4BE1-8F1B-85910492311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J3:J4 J6:J17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A382"/>
  <sheetViews>
    <sheetView workbookViewId="0">
      <selection activeCell="Q27" sqref="Q27"/>
    </sheetView>
  </sheetViews>
  <sheetFormatPr defaultRowHeight="12.75" x14ac:dyDescent="0.2"/>
  <cols>
    <col min="1" max="1" width="5" style="32" customWidth="1"/>
    <col min="2" max="2" width="22.42578125" style="32" customWidth="1"/>
    <col min="3" max="3" width="18.28515625" style="32" customWidth="1"/>
    <col min="4" max="4" width="21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720</v>
      </c>
      <c r="B4" s="197" t="e">
        <f ca="1">_xll.BDP(C4,"SECURITY_NAME")</f>
        <v>#NAME?</v>
      </c>
      <c r="C4" s="196" t="str">
        <f>$C$35</f>
        <v>XS0808638612 Corp</v>
      </c>
      <c r="D4" s="198" t="e">
        <f ca="1">N4/$N$7</f>
        <v>#NAME?</v>
      </c>
      <c r="E4" s="123">
        <f>$F$36</f>
        <v>250000</v>
      </c>
      <c r="F4" s="263">
        <f>$H$36</f>
        <v>97.5</v>
      </c>
      <c r="G4" s="268" t="e">
        <f ca="1">_xll.BDP(C4,"PX LAST")</f>
        <v>#NAME?</v>
      </c>
      <c r="H4" s="199" t="e">
        <f ca="1">_xll.BDP($C4,"CRNCY")</f>
        <v>#NAME?</v>
      </c>
      <c r="I4" s="198" t="e">
        <f ca="1">M4/K4-1</f>
        <v>#NAME?</v>
      </c>
      <c r="J4" s="198" t="e">
        <f ca="1">N4/L4-1</f>
        <v>#NAME?</v>
      </c>
      <c r="K4" s="123" t="e">
        <f ca="1">$K$36</f>
        <v>#NAME?</v>
      </c>
      <c r="L4" s="123">
        <f>$J$36</f>
        <v>243750</v>
      </c>
      <c r="M4" s="123" t="e">
        <f ca="1">E4*G4/100*$I$1</f>
        <v>#NAME?</v>
      </c>
      <c r="N4" s="123" t="e">
        <f ca="1">E4*G4/100</f>
        <v>#NAME?</v>
      </c>
      <c r="O4" s="123" t="e">
        <f ca="1">M4-K4</f>
        <v>#NAME?</v>
      </c>
      <c r="P4" s="123" t="e">
        <f ca="1">N4-L4</f>
        <v>#NAME?</v>
      </c>
      <c r="Q4" s="123" t="e">
        <f ca="1">IF(H4="USD",P4,P4*$I$1)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/>
      <c r="Z4" s="196"/>
      <c r="AA4" s="196"/>
    </row>
    <row r="5" spans="1:27" s="266" customFormat="1" x14ac:dyDescent="0.2">
      <c r="A5" s="196" t="s">
        <v>720</v>
      </c>
      <c r="B5" s="197" t="e">
        <f ca="1">_xll.BDP(C5,"SECURITY_NAME")</f>
        <v>#NAME?</v>
      </c>
      <c r="C5" s="118" t="s">
        <v>697</v>
      </c>
      <c r="D5" s="198" t="e">
        <f ca="1">N5/$N$7</f>
        <v>#NAME?</v>
      </c>
      <c r="E5" s="123">
        <f>$F$42</f>
        <v>308000</v>
      </c>
      <c r="F5" s="263">
        <f>$H$42</f>
        <v>85</v>
      </c>
      <c r="G5" s="268" t="e">
        <f ca="1">_xll.BDP(C5,"PX LAST")</f>
        <v>#NAME?</v>
      </c>
      <c r="H5" s="199" t="e">
        <f ca="1">_xll.BDP($C5,"CRNCY")</f>
        <v>#NAME?</v>
      </c>
      <c r="I5" s="198" t="e">
        <f ca="1">M5/K5-1</f>
        <v>#NAME?</v>
      </c>
      <c r="J5" s="198" t="e">
        <f ca="1">N5/L5-1</f>
        <v>#NAME?</v>
      </c>
      <c r="K5" s="123" t="e">
        <f ca="1">$K$42</f>
        <v>#NAME?</v>
      </c>
      <c r="L5" s="123">
        <f>$J$42</f>
        <v>261800</v>
      </c>
      <c r="M5" s="123" t="e">
        <f ca="1">E5*G5/100*$I$1</f>
        <v>#NAME?</v>
      </c>
      <c r="N5" s="123" t="e">
        <f ca="1">E5*G5/100</f>
        <v>#NAME?</v>
      </c>
      <c r="O5" s="123" t="e">
        <f ca="1">M5-K5</f>
        <v>#NAME?</v>
      </c>
      <c r="P5" s="123" t="e">
        <f ca="1">N5-L5</f>
        <v>#NAME?</v>
      </c>
      <c r="Q5" s="123" t="e">
        <f ca="1">IF(H5="USD",P5,P5*$I$1)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/>
      <c r="Z5" s="196"/>
      <c r="AA5" s="196"/>
    </row>
    <row r="6" spans="1:27" x14ac:dyDescent="0.2">
      <c r="B6" s="68" t="s">
        <v>106</v>
      </c>
      <c r="C6" s="68" t="s">
        <v>106</v>
      </c>
      <c r="D6" s="262" t="e">
        <f ca="1">N6/$N$7</f>
        <v>#NAME?</v>
      </c>
      <c r="E6" s="262"/>
      <c r="F6" s="262"/>
      <c r="G6" s="66"/>
      <c r="H6" s="177"/>
      <c r="I6" s="179"/>
      <c r="J6" s="179"/>
      <c r="K6" s="64"/>
      <c r="L6" s="322"/>
      <c r="M6" s="64">
        <v>0</v>
      </c>
      <c r="N6" s="64" t="e">
        <f ca="1">M6/$I$1</f>
        <v>#NAME?</v>
      </c>
      <c r="O6" s="61"/>
      <c r="P6" s="61"/>
      <c r="Q6" s="61"/>
      <c r="R6" s="177"/>
      <c r="S6" s="177"/>
      <c r="T6" s="177"/>
      <c r="U6" s="177"/>
      <c r="V6" s="177"/>
      <c r="W6" s="177"/>
      <c r="X6" s="177"/>
      <c r="Y6" s="177"/>
      <c r="Z6" s="177"/>
    </row>
    <row r="7" spans="1:27" ht="13.5" customHeight="1" thickBot="1" x14ac:dyDescent="0.25">
      <c r="B7" s="175"/>
      <c r="C7" s="175"/>
      <c r="D7" s="59" t="e">
        <f ca="1">SUM(D4:D6)</f>
        <v>#NAME?</v>
      </c>
      <c r="E7" s="176"/>
      <c r="F7" s="176"/>
      <c r="G7" s="175"/>
      <c r="H7" s="55"/>
      <c r="I7" s="175"/>
      <c r="J7" s="175"/>
      <c r="K7" s="184" t="e">
        <f t="shared" ref="K7:Q7" ca="1" si="0">SUM(K4:K6)</f>
        <v>#NAME?</v>
      </c>
      <c r="L7" s="184">
        <f t="shared" si="0"/>
        <v>505550</v>
      </c>
      <c r="M7" s="184" t="e">
        <f t="shared" ca="1" si="0"/>
        <v>#NAME?</v>
      </c>
      <c r="N7" s="184" t="e">
        <f t="shared" ca="1" si="0"/>
        <v>#NAME?</v>
      </c>
      <c r="O7" s="184" t="e">
        <f t="shared" ca="1" si="0"/>
        <v>#NAME?</v>
      </c>
      <c r="P7" s="184" t="e">
        <f t="shared" ca="1" si="0"/>
        <v>#NAME?</v>
      </c>
      <c r="Q7" s="184" t="e">
        <f t="shared" ca="1" si="0"/>
        <v>#NAME?</v>
      </c>
      <c r="R7" s="55"/>
      <c r="S7" s="55"/>
      <c r="T7" s="55"/>
      <c r="U7" s="55"/>
      <c r="V7" s="55"/>
      <c r="W7" s="55"/>
      <c r="X7" s="55"/>
      <c r="Y7" s="55"/>
      <c r="Z7" s="55"/>
    </row>
    <row r="8" spans="1:27" ht="13.5" customHeight="1" x14ac:dyDescent="0.2">
      <c r="B8" s="35"/>
      <c r="C8" s="35"/>
      <c r="D8" s="54"/>
      <c r="E8" s="46"/>
      <c r="F8" s="46"/>
      <c r="G8" s="35"/>
      <c r="H8" s="35"/>
      <c r="I8" s="40"/>
      <c r="J8" s="40"/>
      <c r="K8" s="40"/>
      <c r="L8" s="130"/>
      <c r="M8" s="52"/>
      <c r="N8" s="53"/>
      <c r="O8" s="261" t="e">
        <f ca="1">$M$7/K7-1</f>
        <v>#NAME?</v>
      </c>
      <c r="P8" s="261" t="e">
        <f ca="1">$N$7/L7-1</f>
        <v>#NAME?</v>
      </c>
    </row>
    <row r="9" spans="1:27" x14ac:dyDescent="0.2">
      <c r="E9" s="155"/>
      <c r="K9" s="30"/>
      <c r="L9" s="148"/>
      <c r="M9" s="35"/>
      <c r="N9" s="34"/>
      <c r="O9" s="34"/>
      <c r="P9" s="30"/>
    </row>
    <row r="10" spans="1:27" x14ac:dyDescent="0.2">
      <c r="B10" s="32" t="s">
        <v>276</v>
      </c>
      <c r="E10" s="155"/>
      <c r="M10" s="35"/>
      <c r="N10" s="34"/>
      <c r="O10" s="34"/>
      <c r="P10" s="30"/>
    </row>
    <row r="11" spans="1:27" x14ac:dyDescent="0.2">
      <c r="B11" s="379">
        <v>2016</v>
      </c>
      <c r="M11" s="35"/>
      <c r="N11" s="34"/>
      <c r="O11" s="34"/>
      <c r="P11" s="30"/>
    </row>
    <row r="12" spans="1:27" ht="40.5" customHeight="1" x14ac:dyDescent="0.2">
      <c r="B12" s="51" t="s">
        <v>105</v>
      </c>
      <c r="C12" s="50" t="s">
        <v>104</v>
      </c>
      <c r="D12" s="50" t="s">
        <v>174</v>
      </c>
      <c r="E12" s="50" t="s">
        <v>173</v>
      </c>
      <c r="F12" s="50" t="s">
        <v>175</v>
      </c>
      <c r="G12" s="50" t="s">
        <v>172</v>
      </c>
      <c r="H12" s="50" t="s">
        <v>103</v>
      </c>
      <c r="I12" s="50" t="s">
        <v>102</v>
      </c>
      <c r="J12" s="50" t="s">
        <v>101</v>
      </c>
      <c r="K12" s="50" t="s">
        <v>100</v>
      </c>
      <c r="L12" s="50" t="s">
        <v>99</v>
      </c>
      <c r="M12" s="50" t="s">
        <v>98</v>
      </c>
      <c r="N12" s="50" t="s">
        <v>280</v>
      </c>
      <c r="O12" s="50" t="s">
        <v>97</v>
      </c>
      <c r="P12" s="50" t="s">
        <v>279</v>
      </c>
      <c r="Q12" s="50" t="s">
        <v>277</v>
      </c>
      <c r="R12" s="50" t="s">
        <v>278</v>
      </c>
    </row>
    <row r="13" spans="1:27" x14ac:dyDescent="0.2">
      <c r="B13" s="103" t="e">
        <f ca="1">_xll.BDP(C13,"SECURITY_NAME")</f>
        <v>#NAME?</v>
      </c>
      <c r="C13" s="118" t="s">
        <v>269</v>
      </c>
      <c r="D13" s="73" t="s">
        <v>51</v>
      </c>
      <c r="E13" s="43" t="e">
        <f ca="1">F13*_xll.BDP(C13,"PX_LAST")/100</f>
        <v>#NAME?</v>
      </c>
      <c r="F13" s="43">
        <v>8714000</v>
      </c>
      <c r="G13" s="43">
        <v>8714000</v>
      </c>
      <c r="H13" s="47">
        <f t="shared" ref="H13:H20" si="1">G13/F13</f>
        <v>1</v>
      </c>
      <c r="I13" s="43">
        <f t="shared" ref="I13:I18" si="2">G13*K13/100</f>
        <v>8478722</v>
      </c>
      <c r="J13" s="45">
        <f t="shared" ref="J13:J18" si="3">G13*L13/100</f>
        <v>8452580</v>
      </c>
      <c r="K13" s="38">
        <v>97.3</v>
      </c>
      <c r="L13" s="38">
        <v>97</v>
      </c>
      <c r="M13" s="44">
        <f t="shared" ref="M13:M20" si="4">L13/K13-1</f>
        <v>-3.0832476875641834E-3</v>
      </c>
      <c r="N13" s="43">
        <f>(J13-I13)</f>
        <v>-26142</v>
      </c>
      <c r="O13" s="106" t="e">
        <f ca="1">_xll.BDP($C13,"CRNCY")</f>
        <v>#NAME?</v>
      </c>
      <c r="P13" s="43" t="e">
        <f t="shared" ref="P13:P20" ca="1" si="5">N13/R13</f>
        <v>#NAME?</v>
      </c>
      <c r="Q13" s="14">
        <v>42475</v>
      </c>
      <c r="R13" s="75" t="e">
        <f ca="1">_xll.BDH("RUB curncy","PX_LAST",$Q13)</f>
        <v>#NAME?</v>
      </c>
    </row>
    <row r="14" spans="1:27" x14ac:dyDescent="0.2">
      <c r="B14" s="103" t="e">
        <f ca="1">_xll.BDP(C14,"SECURITY_NAME")</f>
        <v>#NAME?</v>
      </c>
      <c r="C14" s="196" t="s">
        <v>413</v>
      </c>
      <c r="D14" s="73" t="s">
        <v>51</v>
      </c>
      <c r="E14" s="43" t="e">
        <f ca="1">F14*_xll.BDP(C14,"PX_LAST")/100</f>
        <v>#NAME?</v>
      </c>
      <c r="F14" s="43">
        <v>284000</v>
      </c>
      <c r="G14" s="43">
        <v>284000</v>
      </c>
      <c r="H14" s="47">
        <f t="shared" si="1"/>
        <v>1</v>
      </c>
      <c r="I14" s="43">
        <f t="shared" si="2"/>
        <v>262700</v>
      </c>
      <c r="J14" s="45">
        <f t="shared" si="3"/>
        <v>300330</v>
      </c>
      <c r="K14" s="38">
        <v>92.5</v>
      </c>
      <c r="L14" s="38">
        <v>105.75</v>
      </c>
      <c r="M14" s="44">
        <f t="shared" si="4"/>
        <v>0.14324324324324333</v>
      </c>
      <c r="N14" s="43" t="e">
        <f t="shared" ref="N14:N20" ca="1" si="6">(J14-I14)*R14</f>
        <v>#NAME?</v>
      </c>
      <c r="O14" s="106" t="e">
        <f ca="1">_xll.BDP($C14,"CRNCY")</f>
        <v>#NAME?</v>
      </c>
      <c r="P14" s="43" t="e">
        <f t="shared" ca="1" si="5"/>
        <v>#NAME?</v>
      </c>
      <c r="Q14" s="14">
        <v>42509</v>
      </c>
      <c r="R14" s="75" t="e">
        <f ca="1">_xll.BDH("RUB curncy","PX_LAST",$Q14)</f>
        <v>#NAME?</v>
      </c>
    </row>
    <row r="15" spans="1:27" x14ac:dyDescent="0.2">
      <c r="B15" s="103" t="e">
        <f ca="1">_xll.BDP(C15,"SECURITY_NAME")</f>
        <v>#NAME?</v>
      </c>
      <c r="C15" s="196" t="s">
        <v>730</v>
      </c>
      <c r="D15" s="73" t="s">
        <v>51</v>
      </c>
      <c r="E15" s="43" t="e">
        <f ca="1">F15*_xll.BDP(C15,"PX_LAST")/100</f>
        <v>#NAME?</v>
      </c>
      <c r="F15" s="43">
        <v>112000</v>
      </c>
      <c r="G15" s="43">
        <v>112000</v>
      </c>
      <c r="H15" s="47">
        <f t="shared" si="1"/>
        <v>1</v>
      </c>
      <c r="I15" s="43">
        <f t="shared" si="2"/>
        <v>102536</v>
      </c>
      <c r="J15" s="45">
        <f t="shared" si="3"/>
        <v>112560</v>
      </c>
      <c r="K15" s="38">
        <v>91.55</v>
      </c>
      <c r="L15" s="38">
        <v>100.5</v>
      </c>
      <c r="M15" s="44">
        <f t="shared" si="4"/>
        <v>9.7760786455488802E-2</v>
      </c>
      <c r="N15" s="43" t="e">
        <f t="shared" ca="1" si="6"/>
        <v>#NAME?</v>
      </c>
      <c r="O15" s="106" t="e">
        <f ca="1">_xll.BDP($C15,"CRNCY")</f>
        <v>#NAME?</v>
      </c>
      <c r="P15" s="43" t="e">
        <f t="shared" ca="1" si="5"/>
        <v>#NAME?</v>
      </c>
      <c r="Q15" s="14">
        <v>42509</v>
      </c>
      <c r="R15" s="75" t="e">
        <f ca="1">_xll.BDH("RUB curncy","PX_LAST",$Q15)</f>
        <v>#NAME?</v>
      </c>
    </row>
    <row r="16" spans="1:27" x14ac:dyDescent="0.2">
      <c r="B16" s="103" t="e">
        <f ca="1">_xll.BDP(C16,"SECURITY_NAME")</f>
        <v>#NAME?</v>
      </c>
      <c r="C16" s="196" t="str">
        <f>$C$38</f>
        <v>XS1040726587 Corp</v>
      </c>
      <c r="D16" s="73" t="s">
        <v>51</v>
      </c>
      <c r="E16" s="43" t="e">
        <f ca="1">F16*_xll.BDP(C16,"PX_LAST")/100</f>
        <v>#NAME?</v>
      </c>
      <c r="F16" s="43">
        <v>270000</v>
      </c>
      <c r="G16" s="43">
        <v>270000</v>
      </c>
      <c r="H16" s="47">
        <f t="shared" si="1"/>
        <v>1</v>
      </c>
      <c r="I16" s="43">
        <f t="shared" si="2"/>
        <v>259200</v>
      </c>
      <c r="J16" s="45">
        <f t="shared" si="3"/>
        <v>274455</v>
      </c>
      <c r="K16" s="38">
        <v>96</v>
      </c>
      <c r="L16" s="38">
        <v>101.65</v>
      </c>
      <c r="M16" s="44">
        <f t="shared" si="4"/>
        <v>5.8854166666666652E-2</v>
      </c>
      <c r="N16" s="43" t="e">
        <f t="shared" ca="1" si="6"/>
        <v>#NAME?</v>
      </c>
      <c r="O16" s="106" t="e">
        <f ca="1">_xll.BDP($C16,"CRNCY")</f>
        <v>#NAME?</v>
      </c>
      <c r="P16" s="43" t="e">
        <f t="shared" ca="1" si="5"/>
        <v>#NAME?</v>
      </c>
      <c r="Q16" s="14">
        <v>42522</v>
      </c>
      <c r="R16" s="75" t="e">
        <f ca="1">_xll.BDH("RUB curncy","PX_LAST",$Q16)</f>
        <v>#NAME?</v>
      </c>
    </row>
    <row r="17" spans="2:18" x14ac:dyDescent="0.2">
      <c r="B17" s="103" t="e">
        <f ca="1">_xll.BDP(C17,"SECURITY_NAME")</f>
        <v>#NAME?</v>
      </c>
      <c r="C17" s="196" t="str">
        <f>$C$29</f>
        <v>XS0555493203 Corp</v>
      </c>
      <c r="D17" s="73" t="s">
        <v>51</v>
      </c>
      <c r="E17" s="43" t="e">
        <f ca="1">F17*_xll.BDP(C17,"PX_LAST")/100</f>
        <v>#NAME?</v>
      </c>
      <c r="F17" s="43">
        <v>250000</v>
      </c>
      <c r="G17" s="43">
        <v>250000</v>
      </c>
      <c r="H17" s="47">
        <f t="shared" si="1"/>
        <v>1</v>
      </c>
      <c r="I17" s="43">
        <f t="shared" si="2"/>
        <v>269375</v>
      </c>
      <c r="J17" s="45">
        <f t="shared" si="3"/>
        <v>282800</v>
      </c>
      <c r="K17" s="38">
        <v>107.75</v>
      </c>
      <c r="L17" s="38">
        <v>113.12</v>
      </c>
      <c r="M17" s="44">
        <f t="shared" si="4"/>
        <v>4.9837587006960504E-2</v>
      </c>
      <c r="N17" s="43" t="e">
        <f t="shared" ca="1" si="6"/>
        <v>#NAME?</v>
      </c>
      <c r="O17" s="106" t="e">
        <f ca="1">_xll.BDP($C17,"CRNCY")</f>
        <v>#NAME?</v>
      </c>
      <c r="P17" s="43" t="e">
        <f t="shared" ca="1" si="5"/>
        <v>#NAME?</v>
      </c>
      <c r="Q17" s="14">
        <v>42551</v>
      </c>
      <c r="R17" s="75" t="e">
        <f ca="1">_xll.BDH("RUB curncy","PX_LAST",$Q17)</f>
        <v>#NAME?</v>
      </c>
    </row>
    <row r="18" spans="2:18" x14ac:dyDescent="0.2">
      <c r="B18" s="103" t="e">
        <f ca="1">_xll.BDP(C18,"SECURITY_NAME")</f>
        <v>#NAME?</v>
      </c>
      <c r="C18" s="196" t="str">
        <f>$C$32</f>
        <v>XS0918604496 Corp</v>
      </c>
      <c r="D18" s="73" t="s">
        <v>51</v>
      </c>
      <c r="E18" s="43" t="e">
        <f ca="1">F18*_xll.BDP(C18,"PX_LAST")/100</f>
        <v>#NAME?</v>
      </c>
      <c r="F18" s="43">
        <v>251000</v>
      </c>
      <c r="G18" s="43">
        <v>251000</v>
      </c>
      <c r="H18" s="47">
        <f t="shared" si="1"/>
        <v>1</v>
      </c>
      <c r="I18" s="43">
        <f t="shared" si="2"/>
        <v>220880</v>
      </c>
      <c r="J18" s="45">
        <f t="shared" si="3"/>
        <v>252882.5</v>
      </c>
      <c r="K18" s="38">
        <v>88</v>
      </c>
      <c r="L18" s="38">
        <v>100.75</v>
      </c>
      <c r="M18" s="44">
        <f t="shared" si="4"/>
        <v>0.14488636363636354</v>
      </c>
      <c r="N18" s="43" t="e">
        <f t="shared" ca="1" si="6"/>
        <v>#NAME?</v>
      </c>
      <c r="O18" s="106" t="e">
        <f ca="1">_xll.BDP($C18,"CRNCY")</f>
        <v>#NAME?</v>
      </c>
      <c r="P18" s="43" t="e">
        <f t="shared" ca="1" si="5"/>
        <v>#NAME?</v>
      </c>
      <c r="Q18" s="14">
        <v>42551</v>
      </c>
      <c r="R18" s="75" t="e">
        <f ca="1">_xll.BDH("RUB curncy","PX_LAST",$Q18)</f>
        <v>#NAME?</v>
      </c>
    </row>
    <row r="19" spans="2:18" s="33" customFormat="1" x14ac:dyDescent="0.2">
      <c r="B19" s="103" t="e">
        <f ca="1">_xll.BDP(C19,"SECURITY_NAME")</f>
        <v>#NAME?</v>
      </c>
      <c r="C19" s="118" t="s">
        <v>217</v>
      </c>
      <c r="D19" s="73" t="s">
        <v>51</v>
      </c>
      <c r="E19" s="43" t="e">
        <f ca="1">F19*_xll.BDP(C19,"PX_LAST")/100</f>
        <v>#NAME?</v>
      </c>
      <c r="F19" s="43">
        <v>286000</v>
      </c>
      <c r="G19" s="43">
        <v>286000</v>
      </c>
      <c r="H19" s="47">
        <f t="shared" si="1"/>
        <v>1</v>
      </c>
      <c r="I19" s="43">
        <f>G19*K19/100</f>
        <v>282425</v>
      </c>
      <c r="J19" s="45">
        <f>G19*L19/100</f>
        <v>298155</v>
      </c>
      <c r="K19" s="38">
        <v>98.75</v>
      </c>
      <c r="L19" s="38">
        <v>104.25</v>
      </c>
      <c r="M19" s="44">
        <f t="shared" si="4"/>
        <v>5.5696202531645644E-2</v>
      </c>
      <c r="N19" s="43" t="e">
        <f t="shared" ca="1" si="6"/>
        <v>#NAME?</v>
      </c>
      <c r="O19" s="106" t="e">
        <f ca="1">_xll.BDP($C19,"CRNCY")</f>
        <v>#NAME?</v>
      </c>
      <c r="P19" s="43" t="e">
        <f t="shared" ca="1" si="5"/>
        <v>#NAME?</v>
      </c>
      <c r="Q19" s="14">
        <v>42607</v>
      </c>
      <c r="R19" s="22" t="e">
        <f ca="1">_xll.BDH("RUB curncy","PX_LAST",$Q19)</f>
        <v>#NAME?</v>
      </c>
    </row>
    <row r="20" spans="2:18" s="33" customFormat="1" x14ac:dyDescent="0.2">
      <c r="B20" s="103" t="e">
        <f ca="1">_xll.BDP(C20,"SECURITY_NAME")</f>
        <v>#NAME?</v>
      </c>
      <c r="C20" s="196" t="str">
        <f>$C$47</f>
        <v>XS0922301717 Corp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1"/>
        <v>1</v>
      </c>
      <c r="I20" s="43">
        <f>G20*K20/100</f>
        <v>242500</v>
      </c>
      <c r="J20" s="45">
        <f>G20*L20/100</f>
        <v>259500</v>
      </c>
      <c r="K20" s="38">
        <v>97</v>
      </c>
      <c r="L20" s="38">
        <v>103.8</v>
      </c>
      <c r="M20" s="44">
        <f t="shared" si="4"/>
        <v>7.0103092783505128E-2</v>
      </c>
      <c r="N20" s="43" t="e">
        <f t="shared" ca="1" si="6"/>
        <v>#NAME?</v>
      </c>
      <c r="O20" s="106" t="e">
        <f ca="1">_xll.BDP($C20,"CRNCY")</f>
        <v>#NAME?</v>
      </c>
      <c r="P20" s="43" t="e">
        <f t="shared" ca="1" si="5"/>
        <v>#NAME?</v>
      </c>
      <c r="Q20" s="14">
        <v>42607</v>
      </c>
      <c r="R20" s="22" t="e">
        <f ca="1">_xll.BDH("RUB curncy","PX_LAST",$Q20)</f>
        <v>#NAME?</v>
      </c>
    </row>
    <row r="21" spans="2:18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SUM(N13:N20)</f>
        <v>#NAME?</v>
      </c>
      <c r="O21" s="34" t="s">
        <v>75</v>
      </c>
      <c r="P21" s="40" t="e">
        <f ca="1">SUM(P13:P20)</f>
        <v>#NAME?</v>
      </c>
    </row>
    <row r="22" spans="2:18" x14ac:dyDescent="0.2">
      <c r="J22" s="105"/>
      <c r="K22" s="70"/>
      <c r="L22" s="155"/>
      <c r="M22" s="35"/>
      <c r="N22" s="30"/>
      <c r="O22" s="30"/>
      <c r="P22" s="34"/>
      <c r="R22" s="35"/>
    </row>
    <row r="23" spans="2:18" x14ac:dyDescent="0.2">
      <c r="H23" s="105"/>
      <c r="I23" s="70"/>
      <c r="J23" s="151"/>
      <c r="K23" s="35"/>
      <c r="L23" s="148"/>
      <c r="M23" s="34"/>
    </row>
    <row r="24" spans="2:18" x14ac:dyDescent="0.2">
      <c r="B24" s="32" t="s">
        <v>93</v>
      </c>
      <c r="C24" s="151"/>
      <c r="D24" s="105"/>
      <c r="H24" s="105"/>
      <c r="I24" s="151"/>
      <c r="J24" s="151"/>
      <c r="K24" s="30"/>
    </row>
    <row r="25" spans="2:18" ht="13.5" thickBot="1" x14ac:dyDescent="0.25">
      <c r="C25" s="30"/>
      <c r="D25" s="30"/>
      <c r="G25" s="30"/>
      <c r="H25" s="151"/>
      <c r="I25" s="30"/>
      <c r="J25" s="151"/>
      <c r="K25" s="30"/>
      <c r="P25" s="32">
        <v>2855</v>
      </c>
      <c r="Q25" s="32">
        <v>10170</v>
      </c>
      <c r="R25" s="32">
        <f>P25*Q25</f>
        <v>29035350</v>
      </c>
    </row>
    <row r="26" spans="2:18" ht="15" x14ac:dyDescent="0.35">
      <c r="B26" s="258"/>
      <c r="C26" s="258"/>
      <c r="D26" s="258"/>
      <c r="E26" s="258"/>
      <c r="F26" s="258"/>
      <c r="G26" s="258"/>
      <c r="H26" s="260" t="s">
        <v>92</v>
      </c>
      <c r="I26" s="259" t="s">
        <v>91</v>
      </c>
      <c r="J26" s="259" t="s">
        <v>90</v>
      </c>
      <c r="K26" s="259"/>
      <c r="L26" s="259"/>
      <c r="M26" s="258"/>
      <c r="N26" s="258"/>
      <c r="P26" s="32">
        <f>P27-P25</f>
        <v>371</v>
      </c>
      <c r="Q26" s="174">
        <f>R26/P26</f>
        <v>10083.045822102426</v>
      </c>
      <c r="R26" s="32">
        <f>R27-R25</f>
        <v>3740810</v>
      </c>
    </row>
    <row r="27" spans="2:18" ht="15" x14ac:dyDescent="0.35">
      <c r="B27" s="255" t="s">
        <v>89</v>
      </c>
      <c r="C27" s="255" t="s">
        <v>88</v>
      </c>
      <c r="D27" s="255" t="s">
        <v>87</v>
      </c>
      <c r="E27" s="255" t="s">
        <v>86</v>
      </c>
      <c r="F27" s="255" t="s">
        <v>85</v>
      </c>
      <c r="G27" s="255" t="s">
        <v>84</v>
      </c>
      <c r="H27" s="257" t="s">
        <v>83</v>
      </c>
      <c r="I27" s="256" t="s">
        <v>83</v>
      </c>
      <c r="J27" s="256" t="s">
        <v>75</v>
      </c>
      <c r="K27" s="256" t="s">
        <v>73</v>
      </c>
      <c r="L27" s="256" t="s">
        <v>82</v>
      </c>
      <c r="M27" s="255" t="s">
        <v>81</v>
      </c>
      <c r="N27" s="255" t="s">
        <v>80</v>
      </c>
      <c r="P27" s="32">
        <v>3226</v>
      </c>
      <c r="Q27" s="32">
        <v>10160</v>
      </c>
      <c r="R27" s="32">
        <f>P27*Q27</f>
        <v>32776160</v>
      </c>
    </row>
    <row r="29" spans="2:18" s="33" customFormat="1" ht="15" customHeight="1" x14ac:dyDescent="0.2">
      <c r="B29" s="254" t="s">
        <v>720</v>
      </c>
      <c r="C29" s="253" t="s">
        <v>60</v>
      </c>
      <c r="D29" s="251" t="e">
        <f ca="1">_xll.BDP(C29,"SECURITY_NAME")</f>
        <v>#NAME?</v>
      </c>
      <c r="E29" s="251" t="s">
        <v>50</v>
      </c>
      <c r="F29" s="252">
        <v>250000</v>
      </c>
      <c r="G29" s="251" t="e">
        <f ca="1">_xll.BDP(C29,"CRNCY")</f>
        <v>#NAME?</v>
      </c>
      <c r="H29" s="250">
        <v>107.75</v>
      </c>
      <c r="I29" s="248">
        <f>F29*H29/100</f>
        <v>269375</v>
      </c>
      <c r="J29" s="249">
        <f>I29</f>
        <v>269375</v>
      </c>
      <c r="K29" s="248" t="e">
        <f ca="1">J29*L29</f>
        <v>#NAME?</v>
      </c>
      <c r="L29" s="247" t="e">
        <f ca="1">_xll.BDH("RUB curncy","PX_LAST",$N29)</f>
        <v>#NAME?</v>
      </c>
      <c r="M29" s="246" t="e">
        <f ca="1">1/_xll.BDH("RUB curncy","PX_LAST",$N29)</f>
        <v>#NAME?</v>
      </c>
      <c r="N29" s="239">
        <v>42339</v>
      </c>
    </row>
    <row r="30" spans="2:18" ht="15" customHeight="1" x14ac:dyDescent="0.2">
      <c r="B30" s="226"/>
      <c r="C30" s="225"/>
      <c r="D30" s="223"/>
      <c r="E30" s="223"/>
      <c r="F30" s="213">
        <f>SUM(F29)</f>
        <v>250000</v>
      </c>
      <c r="G30" s="215"/>
      <c r="H30" s="214">
        <f>I30/F30*100</f>
        <v>107.74999999999999</v>
      </c>
      <c r="I30" s="213">
        <f>SUM(I29)</f>
        <v>269375</v>
      </c>
      <c r="J30" s="213">
        <f>SUM(J29)</f>
        <v>269375</v>
      </c>
      <c r="K30" s="213" t="e">
        <f ca="1">SUM(K29)</f>
        <v>#NAME?</v>
      </c>
      <c r="L30" s="212"/>
      <c r="M30" s="211"/>
      <c r="N30" s="210"/>
      <c r="O30" s="33"/>
    </row>
    <row r="31" spans="2:18" ht="15" customHeight="1" x14ac:dyDescent="0.2">
      <c r="B31" s="217"/>
      <c r="D31" s="215"/>
      <c r="E31" s="215"/>
      <c r="F31" s="213"/>
      <c r="G31" s="215"/>
      <c r="H31" s="214"/>
      <c r="I31" s="213"/>
      <c r="J31" s="213"/>
      <c r="K31" s="213"/>
      <c r="L31" s="212"/>
      <c r="M31" s="211"/>
      <c r="N31" s="210"/>
      <c r="O31" s="33"/>
    </row>
    <row r="32" spans="2:18" s="33" customFormat="1" ht="15" customHeight="1" x14ac:dyDescent="0.2">
      <c r="B32" s="254" t="s">
        <v>720</v>
      </c>
      <c r="C32" s="253" t="s">
        <v>321</v>
      </c>
      <c r="D32" s="251" t="e">
        <f ca="1">_xll.BDP(C32,"SECURITY_NAME")</f>
        <v>#NAME?</v>
      </c>
      <c r="E32" s="251" t="s">
        <v>50</v>
      </c>
      <c r="F32" s="252">
        <v>251000</v>
      </c>
      <c r="G32" s="251" t="e">
        <f ca="1">_xll.BDP(C32,"CRNCY")</f>
        <v>#NAME?</v>
      </c>
      <c r="H32" s="250">
        <v>88</v>
      </c>
      <c r="I32" s="248">
        <f>F32*H32/100</f>
        <v>220880</v>
      </c>
      <c r="J32" s="249">
        <f>I32</f>
        <v>220880</v>
      </c>
      <c r="K32" s="248" t="e">
        <f ca="1">J32*L32</f>
        <v>#NAME?</v>
      </c>
      <c r="L32" s="247" t="e">
        <f ca="1">_xll.BDH("RUB curncy","PX_LAST",$N32)</f>
        <v>#NAME?</v>
      </c>
      <c r="M32" s="246" t="e">
        <f ca="1">1/_xll.BDH("RUB curncy","PX_LAST",$N32)</f>
        <v>#NAME?</v>
      </c>
      <c r="N32" s="239">
        <v>42292</v>
      </c>
    </row>
    <row r="33" spans="2:15" ht="15" customHeight="1" x14ac:dyDescent="0.2">
      <c r="B33" s="226"/>
      <c r="C33" s="225"/>
      <c r="D33" s="223"/>
      <c r="E33" s="223"/>
      <c r="F33" s="213">
        <f>SUM(F32)</f>
        <v>251000</v>
      </c>
      <c r="G33" s="215"/>
      <c r="H33" s="214">
        <f>I33/F33*100</f>
        <v>88</v>
      </c>
      <c r="I33" s="213">
        <f>SUM(I32)</f>
        <v>220880</v>
      </c>
      <c r="J33" s="213">
        <f>SUM(J32)</f>
        <v>220880</v>
      </c>
      <c r="K33" s="213" t="e">
        <f ca="1">SUM(K32)</f>
        <v>#NAME?</v>
      </c>
      <c r="L33" s="212"/>
      <c r="M33" s="211"/>
      <c r="N33" s="210"/>
      <c r="O33" s="33"/>
    </row>
    <row r="34" spans="2:15" x14ac:dyDescent="0.2">
      <c r="B34" s="226"/>
      <c r="C34" s="225"/>
      <c r="D34" s="223"/>
      <c r="E34" s="223"/>
      <c r="F34" s="224"/>
      <c r="G34" s="223"/>
      <c r="H34" s="222"/>
      <c r="I34" s="220"/>
      <c r="J34" s="221"/>
      <c r="K34" s="220"/>
      <c r="L34" s="219"/>
      <c r="M34" s="218"/>
      <c r="N34" s="210"/>
    </row>
    <row r="35" spans="2:15" s="33" customFormat="1" ht="15" customHeight="1" x14ac:dyDescent="0.2">
      <c r="B35" s="254" t="s">
        <v>720</v>
      </c>
      <c r="C35" s="253" t="s">
        <v>453</v>
      </c>
      <c r="D35" s="251" t="e">
        <f ca="1">_xll.BDP(C35,"SECURITY_NAME")</f>
        <v>#NAME?</v>
      </c>
      <c r="E35" s="251" t="s">
        <v>50</v>
      </c>
      <c r="F35" s="252">
        <v>250000</v>
      </c>
      <c r="G35" s="251" t="e">
        <f ca="1">_xll.BDP(C35,"CRNCY")</f>
        <v>#NAME?</v>
      </c>
      <c r="H35" s="250">
        <v>97.5</v>
      </c>
      <c r="I35" s="248">
        <f>F35*H35/100</f>
        <v>243750</v>
      </c>
      <c r="J35" s="249">
        <f>I35</f>
        <v>243750</v>
      </c>
      <c r="K35" s="248" t="e">
        <f ca="1">J35*L35</f>
        <v>#NAME?</v>
      </c>
      <c r="L35" s="247" t="e">
        <f ca="1">_xll.BDH("RUB curncy","PX_LAST",$N35)</f>
        <v>#NAME?</v>
      </c>
      <c r="M35" s="246" t="e">
        <f ca="1">1/_xll.BDH("RUB curncy","PX_LAST",$N35)</f>
        <v>#NAME?</v>
      </c>
      <c r="N35" s="239">
        <v>42332</v>
      </c>
    </row>
    <row r="36" spans="2:15" ht="15" customHeight="1" x14ac:dyDescent="0.2">
      <c r="B36" s="226"/>
      <c r="C36" s="225"/>
      <c r="D36" s="223"/>
      <c r="E36" s="223"/>
      <c r="F36" s="213">
        <f>SUM(F35)</f>
        <v>250000</v>
      </c>
      <c r="G36" s="215"/>
      <c r="H36" s="214">
        <f>I36/F36*100</f>
        <v>97.5</v>
      </c>
      <c r="I36" s="213">
        <f>SUM(I35)</f>
        <v>243750</v>
      </c>
      <c r="J36" s="213">
        <f>SUM(J35)</f>
        <v>243750</v>
      </c>
      <c r="K36" s="213" t="e">
        <f ca="1">SUM(K35)</f>
        <v>#NAME?</v>
      </c>
      <c r="L36" s="212"/>
      <c r="M36" s="211"/>
      <c r="N36" s="210"/>
      <c r="O36" s="33"/>
    </row>
    <row r="37" spans="2:15" x14ac:dyDescent="0.2">
      <c r="B37" s="226"/>
      <c r="C37" s="225"/>
      <c r="D37" s="223"/>
      <c r="E37" s="223"/>
      <c r="F37" s="224"/>
      <c r="G37" s="223"/>
      <c r="H37" s="222"/>
      <c r="I37" s="220"/>
      <c r="J37" s="221"/>
      <c r="K37" s="220"/>
      <c r="L37" s="219"/>
      <c r="M37" s="218"/>
      <c r="N37" s="210"/>
    </row>
    <row r="38" spans="2:15" s="33" customFormat="1" ht="15" customHeight="1" x14ac:dyDescent="0.2">
      <c r="B38" s="254" t="s">
        <v>720</v>
      </c>
      <c r="C38" s="253" t="s">
        <v>429</v>
      </c>
      <c r="D38" s="251" t="e">
        <f ca="1">_xll.BDP(C38,"SECURITY_NAME")</f>
        <v>#NAME?</v>
      </c>
      <c r="E38" s="251" t="s">
        <v>50</v>
      </c>
      <c r="F38" s="252">
        <v>270000</v>
      </c>
      <c r="G38" s="251" t="e">
        <f ca="1">_xll.BDP(C38,"CRNCY")</f>
        <v>#NAME?</v>
      </c>
      <c r="H38" s="250">
        <v>96</v>
      </c>
      <c r="I38" s="248">
        <f>F38*H38/100</f>
        <v>259200</v>
      </c>
      <c r="J38" s="249">
        <f>I38</f>
        <v>259200</v>
      </c>
      <c r="K38" s="248" t="e">
        <f ca="1">J38*L38</f>
        <v>#NAME?</v>
      </c>
      <c r="L38" s="247" t="e">
        <f ca="1">_xll.BDH("RUB curncy","PX_LAST",$N38)</f>
        <v>#NAME?</v>
      </c>
      <c r="M38" s="246" t="e">
        <f ca="1">1/_xll.BDH("RUB curncy","PX_LAST",$N38)</f>
        <v>#NAME?</v>
      </c>
      <c r="N38" s="239">
        <v>42292</v>
      </c>
    </row>
    <row r="39" spans="2:15" ht="15" customHeight="1" x14ac:dyDescent="0.2">
      <c r="B39" s="226"/>
      <c r="C39" s="225"/>
      <c r="D39" s="223"/>
      <c r="E39" s="223"/>
      <c r="F39" s="213">
        <f>SUM(F38)</f>
        <v>270000</v>
      </c>
      <c r="G39" s="215"/>
      <c r="H39" s="214">
        <f>I39/F39*100</f>
        <v>96</v>
      </c>
      <c r="I39" s="213">
        <f>SUM(I38)</f>
        <v>259200</v>
      </c>
      <c r="J39" s="213">
        <f>SUM(J38)</f>
        <v>259200</v>
      </c>
      <c r="K39" s="213" t="e">
        <f ca="1">SUM(K38)</f>
        <v>#NAME?</v>
      </c>
      <c r="L39" s="212"/>
      <c r="M39" s="211"/>
      <c r="N39" s="210"/>
      <c r="O39" s="33"/>
    </row>
    <row r="40" spans="2:15" ht="13.5" customHeight="1" x14ac:dyDescent="0.2">
      <c r="B40" s="226"/>
      <c r="C40" s="225"/>
      <c r="D40" s="223"/>
      <c r="E40" s="223"/>
      <c r="F40" s="224"/>
      <c r="G40" s="223"/>
      <c r="H40" s="222"/>
      <c r="I40" s="220"/>
      <c r="J40" s="221"/>
      <c r="K40" s="220"/>
      <c r="L40" s="219"/>
      <c r="M40" s="218"/>
      <c r="N40" s="210"/>
    </row>
    <row r="41" spans="2:15" s="33" customFormat="1" ht="15" customHeight="1" x14ac:dyDescent="0.2">
      <c r="B41" s="254" t="s">
        <v>720</v>
      </c>
      <c r="C41" s="253" t="s">
        <v>414</v>
      </c>
      <c r="D41" s="251" t="e">
        <f ca="1">_xll.BDP(C41,"SECURITY_NAME")</f>
        <v>#NAME?</v>
      </c>
      <c r="E41" s="251" t="s">
        <v>50</v>
      </c>
      <c r="F41" s="252">
        <v>308000</v>
      </c>
      <c r="G41" s="251" t="e">
        <f ca="1">_xll.BDP(C41,"CRNCY")</f>
        <v>#NAME?</v>
      </c>
      <c r="H41" s="250">
        <v>85</v>
      </c>
      <c r="I41" s="248">
        <f>F41*H41/100</f>
        <v>261800</v>
      </c>
      <c r="J41" s="249">
        <f>I41</f>
        <v>261800</v>
      </c>
      <c r="K41" s="248" t="e">
        <f ca="1">J41*L41</f>
        <v>#NAME?</v>
      </c>
      <c r="L41" s="247" t="e">
        <f ca="1">_xll.BDH("RUB curncy","PX_LAST",$N41)</f>
        <v>#NAME?</v>
      </c>
      <c r="M41" s="246" t="e">
        <f ca="1">1/_xll.BDH("RUB curncy","PX_LAST",$N41)</f>
        <v>#NAME?</v>
      </c>
      <c r="N41" s="239">
        <v>42151</v>
      </c>
    </row>
    <row r="42" spans="2:15" ht="15" customHeight="1" x14ac:dyDescent="0.2">
      <c r="B42" s="226"/>
      <c r="C42" s="225"/>
      <c r="D42" s="223"/>
      <c r="E42" s="223"/>
      <c r="F42" s="213">
        <f>SUM(F41)</f>
        <v>308000</v>
      </c>
      <c r="G42" s="215"/>
      <c r="H42" s="214">
        <f>I42/F42*100</f>
        <v>85</v>
      </c>
      <c r="I42" s="213">
        <f>SUM(I41)</f>
        <v>261800</v>
      </c>
      <c r="J42" s="213">
        <f>SUM(J41)</f>
        <v>261800</v>
      </c>
      <c r="K42" s="213" t="e">
        <f ca="1">SUM(K41)</f>
        <v>#NAME?</v>
      </c>
      <c r="L42" s="212"/>
      <c r="M42" s="211"/>
      <c r="N42" s="210"/>
      <c r="O42" s="33"/>
    </row>
    <row r="43" spans="2:15" x14ac:dyDescent="0.2">
      <c r="B43" s="226"/>
      <c r="C43" s="225"/>
      <c r="D43" s="223"/>
      <c r="E43" s="223"/>
      <c r="F43" s="224"/>
      <c r="G43" s="223"/>
      <c r="H43" s="222"/>
      <c r="I43" s="220"/>
      <c r="J43" s="221"/>
      <c r="K43" s="220"/>
      <c r="L43" s="219"/>
      <c r="M43" s="218"/>
      <c r="N43" s="210"/>
    </row>
    <row r="44" spans="2:15" s="33" customFormat="1" ht="15" customHeight="1" x14ac:dyDescent="0.2">
      <c r="B44" s="254" t="s">
        <v>720</v>
      </c>
      <c r="C44" s="253" t="s">
        <v>217</v>
      </c>
      <c r="D44" s="251" t="e">
        <f ca="1">_xll.BDP(C44,"SECURITY_NAME")</f>
        <v>#NAME?</v>
      </c>
      <c r="E44" s="251" t="s">
        <v>50</v>
      </c>
      <c r="F44" s="252">
        <v>286000</v>
      </c>
      <c r="G44" s="251" t="e">
        <f ca="1">_xll.BDP(C44,"CRNCY")</f>
        <v>#NAME?</v>
      </c>
      <c r="H44" s="250">
        <v>98.75</v>
      </c>
      <c r="I44" s="248">
        <f>F44*H44/100</f>
        <v>282425</v>
      </c>
      <c r="J44" s="249">
        <f>I44</f>
        <v>282425</v>
      </c>
      <c r="K44" s="248" t="e">
        <f ca="1">J44*L44</f>
        <v>#NAME?</v>
      </c>
      <c r="L44" s="247" t="e">
        <f ca="1">_xll.BDH("RUB curncy","PX_LAST",$N44)</f>
        <v>#NAME?</v>
      </c>
      <c r="M44" s="246" t="e">
        <f ca="1">1/_xll.BDH("RUB curncy","PX_LAST",$N44)</f>
        <v>#NAME?</v>
      </c>
      <c r="N44" s="239">
        <v>42340</v>
      </c>
    </row>
    <row r="45" spans="2:15" ht="15" customHeight="1" x14ac:dyDescent="0.2">
      <c r="B45" s="226"/>
      <c r="C45" s="225"/>
      <c r="D45" s="223"/>
      <c r="E45" s="223"/>
      <c r="F45" s="213">
        <f>SUM(F44)</f>
        <v>286000</v>
      </c>
      <c r="G45" s="215"/>
      <c r="H45" s="214">
        <f>I45/F45*100</f>
        <v>98.75</v>
      </c>
      <c r="I45" s="213">
        <f>SUM(I44)</f>
        <v>282425</v>
      </c>
      <c r="J45" s="213">
        <f>SUM(J44)</f>
        <v>282425</v>
      </c>
      <c r="K45" s="213" t="e">
        <f ca="1">SUM(K44)</f>
        <v>#NAME?</v>
      </c>
      <c r="L45" s="212"/>
      <c r="M45" s="211"/>
      <c r="N45" s="210"/>
      <c r="O45" s="33"/>
    </row>
    <row r="46" spans="2:15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5" s="33" customFormat="1" ht="15" customHeight="1" x14ac:dyDescent="0.2">
      <c r="B47" s="254" t="s">
        <v>720</v>
      </c>
      <c r="C47" s="253" t="s">
        <v>166</v>
      </c>
      <c r="D47" s="251" t="e">
        <f ca="1">_xll.BDP(C47,"SECURITY_NAME")</f>
        <v>#NAME?</v>
      </c>
      <c r="E47" s="251" t="s">
        <v>50</v>
      </c>
      <c r="F47" s="252">
        <v>250000</v>
      </c>
      <c r="G47" s="251" t="e">
        <f ca="1">_xll.BDP(C47,"CRNCY")</f>
        <v>#NAME?</v>
      </c>
      <c r="H47" s="250">
        <v>97</v>
      </c>
      <c r="I47" s="248">
        <f>F47*H47/100</f>
        <v>242500</v>
      </c>
      <c r="J47" s="249">
        <f>I47</f>
        <v>242500</v>
      </c>
      <c r="K47" s="248" t="e">
        <f ca="1">J47*L47</f>
        <v>#NAME?</v>
      </c>
      <c r="L47" s="247" t="e">
        <f ca="1">_xll.BDH("RUB curncy","PX_LAST",$N47)</f>
        <v>#NAME?</v>
      </c>
      <c r="M47" s="246" t="e">
        <f ca="1">1/_xll.BDH("RUB curncy","PX_LAST",$N47)</f>
        <v>#NAME?</v>
      </c>
      <c r="N47" s="239">
        <v>42333</v>
      </c>
    </row>
    <row r="48" spans="2:15" ht="15" customHeight="1" x14ac:dyDescent="0.2">
      <c r="B48" s="226"/>
      <c r="C48" s="225"/>
      <c r="D48" s="223"/>
      <c r="E48" s="223"/>
      <c r="F48" s="213">
        <f>SUM(F47)</f>
        <v>250000</v>
      </c>
      <c r="G48" s="215"/>
      <c r="H48" s="214">
        <f>I48/F48*100</f>
        <v>97</v>
      </c>
      <c r="I48" s="213">
        <f>SUM(I47)</f>
        <v>242500</v>
      </c>
      <c r="J48" s="213">
        <f>SUM(J47)</f>
        <v>242500</v>
      </c>
      <c r="K48" s="213" t="e">
        <f ca="1">SUM(K47)</f>
        <v>#NAME?</v>
      </c>
      <c r="L48" s="212"/>
      <c r="M48" s="211"/>
      <c r="N48" s="210"/>
      <c r="O48" s="33"/>
    </row>
    <row r="49" spans="2:15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5" s="33" customFormat="1" ht="15" customHeight="1" x14ac:dyDescent="0.2">
      <c r="B50" s="254" t="s">
        <v>720</v>
      </c>
      <c r="C50" s="253" t="s">
        <v>413</v>
      </c>
      <c r="D50" s="251" t="e">
        <f ca="1">_xll.BDP(C50,"SECURITY_NAME")</f>
        <v>#NAME?</v>
      </c>
      <c r="E50" s="251" t="s">
        <v>50</v>
      </c>
      <c r="F50" s="252">
        <v>284000</v>
      </c>
      <c r="G50" s="251" t="e">
        <f ca="1">_xll.BDP(C50,"CRNCY")</f>
        <v>#NAME?</v>
      </c>
      <c r="H50" s="250">
        <v>92.5</v>
      </c>
      <c r="I50" s="248">
        <f>F50*H50/100</f>
        <v>262700</v>
      </c>
      <c r="J50" s="249">
        <f>I50</f>
        <v>262700</v>
      </c>
      <c r="K50" s="248" t="e">
        <f ca="1">J50*L50</f>
        <v>#NAME?</v>
      </c>
      <c r="L50" s="247" t="e">
        <f ca="1">_xll.BDH("RUB curncy","PX_LAST",$N50)</f>
        <v>#NAME?</v>
      </c>
      <c r="M50" s="246" t="e">
        <f ca="1">1/_xll.BDH("RUB curncy","PX_LAST",$N50)</f>
        <v>#NAME?</v>
      </c>
      <c r="N50" s="239">
        <v>42178</v>
      </c>
    </row>
    <row r="51" spans="2:15" ht="15" customHeight="1" x14ac:dyDescent="0.2">
      <c r="B51" s="226"/>
      <c r="C51" s="225"/>
      <c r="D51" s="223"/>
      <c r="E51" s="223"/>
      <c r="F51" s="213">
        <f>SUM(F50)</f>
        <v>284000</v>
      </c>
      <c r="G51" s="215"/>
      <c r="H51" s="214">
        <f>I51/F51*100</f>
        <v>92.5</v>
      </c>
      <c r="I51" s="213">
        <f>SUM(I50)</f>
        <v>262700</v>
      </c>
      <c r="J51" s="213">
        <f>SUM(J50)</f>
        <v>262700</v>
      </c>
      <c r="K51" s="213" t="e">
        <f ca="1">SUM(K50)</f>
        <v>#NAME?</v>
      </c>
      <c r="L51" s="212"/>
      <c r="M51" s="211"/>
      <c r="N51" s="210"/>
      <c r="O51" s="33"/>
    </row>
    <row r="52" spans="2:15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5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5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5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5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5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5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17"/>
      <c r="C64" s="216"/>
      <c r="D64" s="215"/>
      <c r="E64" s="215"/>
      <c r="F64" s="213"/>
      <c r="G64" s="215"/>
      <c r="H64" s="238"/>
      <c r="I64" s="213"/>
      <c r="J64" s="213"/>
      <c r="K64" s="213"/>
      <c r="L64" s="212"/>
      <c r="M64" s="211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6" spans="2:14" x14ac:dyDescent="0.2">
      <c r="B66" s="226"/>
      <c r="C66" s="225"/>
      <c r="D66" s="223"/>
      <c r="E66" s="223"/>
      <c r="F66" s="224"/>
      <c r="G66" s="223"/>
      <c r="H66" s="222"/>
      <c r="I66" s="220"/>
      <c r="J66" s="221"/>
      <c r="K66" s="220"/>
      <c r="L66" s="219"/>
      <c r="M66" s="218"/>
      <c r="N66" s="210"/>
    </row>
    <row r="67" spans="2:14" x14ac:dyDescent="0.2">
      <c r="B67" s="217"/>
      <c r="C67" s="216"/>
      <c r="D67" s="215"/>
      <c r="E67" s="215"/>
      <c r="F67" s="213"/>
      <c r="G67" s="215"/>
      <c r="H67" s="238"/>
      <c r="I67" s="213"/>
      <c r="J67" s="213"/>
      <c r="K67" s="213"/>
      <c r="L67" s="212"/>
      <c r="M67" s="211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B70" s="217"/>
      <c r="C70" s="216"/>
      <c r="D70" s="215"/>
      <c r="E70" s="215"/>
      <c r="F70" s="213"/>
      <c r="G70" s="215"/>
      <c r="H70" s="238"/>
      <c r="I70" s="213"/>
      <c r="J70" s="213"/>
      <c r="K70" s="213"/>
      <c r="L70" s="212"/>
      <c r="M70" s="211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17"/>
      <c r="C73" s="216"/>
      <c r="D73" s="215"/>
      <c r="E73" s="215"/>
      <c r="F73" s="213"/>
      <c r="G73" s="215"/>
      <c r="H73" s="238"/>
      <c r="I73" s="213"/>
      <c r="J73" s="213"/>
      <c r="K73" s="213"/>
      <c r="L73" s="212"/>
      <c r="M73" s="211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C76" s="216"/>
      <c r="D76" s="215"/>
      <c r="E76" s="215"/>
      <c r="F76" s="213"/>
      <c r="G76" s="215"/>
      <c r="H76" s="238"/>
      <c r="I76" s="213"/>
      <c r="J76" s="213"/>
      <c r="K76" s="213"/>
      <c r="L76" s="212"/>
      <c r="M76" s="211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8"/>
      <c r="I88" s="213"/>
      <c r="J88" s="213"/>
      <c r="K88" s="213"/>
      <c r="L88" s="212"/>
      <c r="M88" s="211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C91" s="216"/>
      <c r="D91" s="215"/>
      <c r="E91" s="215"/>
      <c r="F91" s="213"/>
      <c r="G91" s="215"/>
      <c r="H91" s="238"/>
      <c r="I91" s="213"/>
      <c r="J91" s="213"/>
      <c r="K91" s="213"/>
      <c r="L91" s="212"/>
      <c r="M91" s="211"/>
      <c r="N91" s="210"/>
    </row>
    <row r="92" spans="2:14" x14ac:dyDescent="0.2">
      <c r="B92" s="217"/>
      <c r="C92" s="216"/>
      <c r="D92" s="215"/>
      <c r="E92" s="215"/>
      <c r="F92" s="213"/>
      <c r="G92" s="215"/>
      <c r="H92" s="238"/>
      <c r="I92" s="213"/>
      <c r="J92" s="213"/>
      <c r="K92" s="213"/>
      <c r="L92" s="212"/>
      <c r="M92" s="211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17"/>
      <c r="C95" s="216"/>
      <c r="D95" s="215"/>
      <c r="E95" s="215"/>
      <c r="F95" s="213"/>
      <c r="G95" s="215"/>
      <c r="H95" s="238"/>
      <c r="I95" s="213"/>
      <c r="J95" s="213"/>
      <c r="K95" s="213"/>
      <c r="L95" s="212"/>
      <c r="M95" s="211"/>
      <c r="N95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17"/>
      <c r="C98" s="216"/>
      <c r="D98" s="215"/>
      <c r="E98" s="215"/>
      <c r="F98" s="213"/>
      <c r="G98" s="215"/>
      <c r="H98" s="238"/>
      <c r="I98" s="213"/>
      <c r="J98" s="213"/>
      <c r="K98" s="213"/>
      <c r="L98" s="212"/>
      <c r="M98" s="211"/>
      <c r="N98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17"/>
      <c r="C109" s="216"/>
      <c r="D109" s="215"/>
      <c r="E109" s="215"/>
      <c r="F109" s="213"/>
      <c r="G109" s="215"/>
      <c r="H109" s="238"/>
      <c r="I109" s="213"/>
      <c r="J109" s="213"/>
      <c r="K109" s="213"/>
      <c r="L109" s="212"/>
      <c r="M109" s="211"/>
      <c r="N109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17"/>
      <c r="C112" s="216"/>
      <c r="D112" s="215"/>
      <c r="E112" s="215"/>
      <c r="F112" s="213"/>
      <c r="G112" s="215"/>
      <c r="H112" s="238"/>
      <c r="I112" s="213"/>
      <c r="J112" s="213"/>
      <c r="K112" s="213"/>
      <c r="L112" s="212"/>
      <c r="M112" s="211"/>
      <c r="N112" s="210"/>
    </row>
    <row r="114" spans="2:14" x14ac:dyDescent="0.2">
      <c r="B114" s="226"/>
      <c r="C114" s="225"/>
      <c r="D114" s="223"/>
      <c r="E114" s="223"/>
      <c r="F114" s="224"/>
      <c r="G114" s="223"/>
      <c r="H114" s="222"/>
      <c r="I114" s="220"/>
      <c r="J114" s="221"/>
      <c r="K114" s="220"/>
      <c r="L114" s="219"/>
      <c r="M114" s="218"/>
      <c r="N114" s="210"/>
    </row>
    <row r="115" spans="2:14" x14ac:dyDescent="0.2">
      <c r="B115" s="217"/>
      <c r="C115" s="216"/>
      <c r="D115" s="215"/>
      <c r="E115" s="215"/>
      <c r="F115" s="213"/>
      <c r="G115" s="215"/>
      <c r="H115" s="238"/>
      <c r="I115" s="213"/>
      <c r="J115" s="213"/>
      <c r="K115" s="213"/>
      <c r="L115" s="212"/>
      <c r="M115" s="211"/>
      <c r="N115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37"/>
      <c r="I118" s="213"/>
      <c r="J118" s="213"/>
      <c r="K118" s="213"/>
      <c r="L118" s="212"/>
      <c r="M118" s="211"/>
      <c r="N118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17"/>
      <c r="D121" s="215"/>
      <c r="E121" s="215"/>
      <c r="F121" s="213"/>
      <c r="G121" s="215"/>
      <c r="H121" s="214"/>
      <c r="I121" s="213"/>
      <c r="J121" s="213"/>
      <c r="K121" s="213"/>
      <c r="L121" s="212"/>
      <c r="M121" s="211"/>
      <c r="N121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F129" s="213"/>
      <c r="H129" s="214"/>
      <c r="I129" s="213"/>
      <c r="J129" s="213"/>
      <c r="K129" s="213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3" spans="2:14" x14ac:dyDescent="0.2">
      <c r="B133" s="217"/>
      <c r="D133" s="215"/>
      <c r="E133" s="215"/>
      <c r="F133" s="213"/>
      <c r="G133" s="215"/>
      <c r="H133" s="214"/>
      <c r="I133" s="213"/>
      <c r="J133" s="213"/>
      <c r="K133" s="213"/>
      <c r="L133" s="212"/>
      <c r="M133" s="211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17"/>
      <c r="D136" s="215"/>
      <c r="E136" s="215"/>
      <c r="F136" s="213"/>
      <c r="G136" s="215"/>
      <c r="H136" s="214"/>
      <c r="I136" s="213"/>
      <c r="J136" s="213"/>
      <c r="K136" s="213"/>
      <c r="L136" s="212"/>
      <c r="M136" s="211"/>
      <c r="N136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F144" s="213"/>
      <c r="H144" s="214"/>
      <c r="I144" s="213"/>
      <c r="J144" s="213"/>
      <c r="K144" s="213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F148" s="213"/>
      <c r="G148" s="213"/>
      <c r="H148" s="214"/>
      <c r="I148" s="213"/>
      <c r="J148" s="213"/>
      <c r="K148" s="213"/>
    </row>
    <row r="149" spans="2:14" x14ac:dyDescent="0.2">
      <c r="G149" s="213"/>
      <c r="H149" s="214"/>
      <c r="I149" s="213"/>
      <c r="J149" s="213"/>
      <c r="K149" s="213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3"/>
      <c r="I153" s="213"/>
      <c r="J153" s="213"/>
      <c r="K153" s="213"/>
      <c r="L153" s="212"/>
      <c r="M153" s="211"/>
      <c r="N153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17"/>
      <c r="C162" s="216"/>
      <c r="D162" s="215"/>
      <c r="E162" s="215"/>
      <c r="F162" s="213"/>
      <c r="G162" s="215"/>
      <c r="H162" s="214"/>
      <c r="I162" s="213"/>
      <c r="J162" s="213"/>
      <c r="K162" s="213"/>
      <c r="L162" s="212"/>
      <c r="M162" s="211"/>
      <c r="N162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26"/>
      <c r="C166" s="225"/>
      <c r="D166" s="223"/>
      <c r="E166" s="223"/>
      <c r="F166" s="224"/>
      <c r="G166" s="223"/>
      <c r="H166" s="222"/>
      <c r="I166" s="220"/>
      <c r="J166" s="221"/>
      <c r="K166" s="220"/>
      <c r="L166" s="219"/>
      <c r="M166" s="218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11"/>
      <c r="N167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17"/>
      <c r="C172" s="216"/>
      <c r="D172" s="215"/>
      <c r="E172" s="215"/>
      <c r="F172" s="213"/>
      <c r="G172" s="215"/>
      <c r="H172" s="213"/>
      <c r="I172" s="213"/>
      <c r="J172" s="213"/>
      <c r="K172" s="213"/>
      <c r="L172" s="212"/>
      <c r="M172" s="211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11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4"/>
      <c r="I186" s="213"/>
      <c r="J186" s="213"/>
      <c r="K186" s="213"/>
      <c r="L186" s="212"/>
      <c r="M186" s="211"/>
      <c r="N186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17"/>
      <c r="C191" s="216"/>
      <c r="D191" s="215"/>
      <c r="E191" s="215"/>
      <c r="F191" s="213"/>
      <c r="G191" s="215"/>
      <c r="H191" s="214"/>
      <c r="I191" s="213"/>
      <c r="J191" s="213"/>
      <c r="K191" s="213"/>
      <c r="L191" s="212"/>
      <c r="M191" s="211"/>
      <c r="N191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14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14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22"/>
      <c r="I201" s="220"/>
      <c r="J201" s="221"/>
      <c r="K201" s="220"/>
      <c r="L201" s="219"/>
      <c r="M201" s="218"/>
      <c r="N201" s="210"/>
    </row>
    <row r="202" spans="2:14" x14ac:dyDescent="0.2">
      <c r="B202" s="226"/>
      <c r="C202" s="225"/>
      <c r="D202" s="223"/>
      <c r="E202" s="223"/>
      <c r="F202" s="224"/>
      <c r="G202" s="223"/>
      <c r="H202" s="222"/>
      <c r="I202" s="220"/>
      <c r="J202" s="221"/>
      <c r="K202" s="220"/>
      <c r="L202" s="219"/>
      <c r="M202" s="218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13"/>
      <c r="J203" s="213"/>
      <c r="K203" s="213"/>
      <c r="L203" s="212"/>
      <c r="M203" s="211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17"/>
      <c r="C206" s="216"/>
      <c r="D206" s="215"/>
      <c r="E206" s="215"/>
      <c r="F206" s="213"/>
      <c r="G206" s="215"/>
      <c r="H206" s="214"/>
      <c r="I206" s="213"/>
      <c r="J206" s="213"/>
      <c r="K206" s="213"/>
      <c r="L206" s="212"/>
      <c r="M206" s="211"/>
      <c r="N206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F209" s="213"/>
      <c r="H209" s="212"/>
      <c r="I209" s="213"/>
      <c r="J209" s="213"/>
      <c r="K209" s="213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17"/>
      <c r="C213" s="216"/>
      <c r="D213" s="215"/>
      <c r="E213" s="215"/>
      <c r="F213" s="213"/>
      <c r="G213" s="215"/>
      <c r="H213" s="214"/>
      <c r="I213" s="213"/>
      <c r="J213" s="213"/>
      <c r="K213" s="213"/>
      <c r="L213" s="212"/>
      <c r="M213" s="236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17"/>
      <c r="C216" s="216"/>
      <c r="D216" s="215"/>
      <c r="E216" s="215"/>
      <c r="F216" s="213"/>
      <c r="G216" s="215"/>
      <c r="H216" s="212"/>
      <c r="I216" s="213"/>
      <c r="J216" s="213"/>
      <c r="K216" s="213"/>
      <c r="L216" s="212"/>
      <c r="M216" s="236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36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11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27"/>
      <c r="J232" s="228"/>
      <c r="K232" s="227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22"/>
      <c r="I242" s="220"/>
      <c r="J242" s="221"/>
      <c r="K242" s="220"/>
      <c r="L242" s="219"/>
      <c r="M242" s="218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14"/>
      <c r="I244" s="213"/>
      <c r="J244" s="213"/>
      <c r="K244" s="213"/>
      <c r="L244" s="212"/>
      <c r="M244" s="236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36"/>
      <c r="N245" s="210"/>
    </row>
    <row r="246" spans="2:14" x14ac:dyDescent="0.2">
      <c r="B246" s="226"/>
      <c r="C246" s="225"/>
      <c r="D246" s="223"/>
      <c r="E246" s="223"/>
      <c r="F246" s="224"/>
      <c r="G246" s="223"/>
      <c r="H246" s="222"/>
      <c r="I246" s="220"/>
      <c r="J246" s="221"/>
      <c r="K246" s="220"/>
      <c r="L246" s="219"/>
      <c r="M246" s="218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14"/>
      <c r="I247" s="213"/>
      <c r="J247" s="213"/>
      <c r="K247" s="213"/>
      <c r="L247" s="212"/>
      <c r="M247" s="211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27"/>
      <c r="J248" s="228"/>
      <c r="K248" s="227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17"/>
      <c r="C253" s="216"/>
      <c r="D253" s="215"/>
      <c r="E253" s="215"/>
      <c r="F253" s="213"/>
      <c r="G253" s="215"/>
      <c r="H253" s="214"/>
      <c r="I253" s="213"/>
      <c r="J253" s="213"/>
      <c r="K253" s="213"/>
      <c r="L253" s="212"/>
      <c r="M253" s="236"/>
      <c r="N253" s="210"/>
    </row>
    <row r="254" spans="2:14" x14ac:dyDescent="0.2">
      <c r="B254" s="217"/>
      <c r="C254" s="216"/>
      <c r="D254" s="215"/>
      <c r="E254" s="215"/>
      <c r="F254" s="213"/>
      <c r="G254" s="215"/>
      <c r="H254" s="214"/>
      <c r="I254" s="213"/>
      <c r="J254" s="213"/>
      <c r="K254" s="213"/>
      <c r="L254" s="212"/>
      <c r="M254" s="236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13"/>
      <c r="J257" s="213"/>
      <c r="K257" s="213"/>
      <c r="L257" s="212"/>
      <c r="M257" s="236"/>
      <c r="N257" s="210"/>
    </row>
    <row r="258" spans="2:14" x14ac:dyDescent="0.2">
      <c r="B258" s="217"/>
      <c r="C258" s="216"/>
      <c r="D258" s="215"/>
      <c r="E258" s="215"/>
      <c r="F258" s="213"/>
      <c r="G258" s="215"/>
      <c r="H258" s="214"/>
      <c r="I258" s="213"/>
      <c r="J258" s="213"/>
      <c r="K258" s="213"/>
      <c r="L258" s="212"/>
      <c r="M258" s="236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17"/>
      <c r="C261" s="216"/>
      <c r="D261" s="215"/>
      <c r="E261" s="215"/>
      <c r="F261" s="213"/>
      <c r="G261" s="215"/>
      <c r="H261" s="214"/>
      <c r="I261" s="213"/>
      <c r="J261" s="213"/>
      <c r="K261" s="213"/>
      <c r="L261" s="212"/>
      <c r="M261" s="236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36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36"/>
      <c r="N266" s="210"/>
    </row>
    <row r="267" spans="2:14" x14ac:dyDescent="0.2">
      <c r="B267" s="217"/>
      <c r="C267" s="216"/>
      <c r="D267" s="215"/>
      <c r="E267" s="215"/>
      <c r="F267" s="213"/>
      <c r="G267" s="215"/>
      <c r="H267" s="235"/>
      <c r="I267" s="213"/>
      <c r="J267" s="213"/>
      <c r="K267" s="213"/>
      <c r="L267" s="212"/>
      <c r="M267" s="211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17"/>
      <c r="C270" s="216"/>
      <c r="D270" s="215"/>
      <c r="E270" s="215"/>
      <c r="F270" s="213"/>
      <c r="G270" s="215"/>
      <c r="H270" s="214"/>
      <c r="I270" s="213"/>
      <c r="J270" s="213"/>
      <c r="K270" s="213"/>
      <c r="L270" s="212"/>
      <c r="M270" s="211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5"/>
      <c r="I271" s="213"/>
      <c r="J271" s="213"/>
      <c r="K271" s="213"/>
      <c r="L271" s="212"/>
      <c r="M271" s="211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34"/>
      <c r="I272" s="220"/>
      <c r="J272" s="221"/>
      <c r="K272" s="220"/>
      <c r="L272" s="219"/>
      <c r="M272" s="218"/>
      <c r="N272" s="210"/>
    </row>
    <row r="273" spans="2:14" x14ac:dyDescent="0.2">
      <c r="B273" s="217"/>
      <c r="C273" s="216"/>
      <c r="D273" s="215"/>
      <c r="E273" s="215"/>
      <c r="F273" s="213"/>
      <c r="G273" s="215"/>
      <c r="H273" s="233"/>
      <c r="I273" s="213"/>
      <c r="J273" s="213"/>
      <c r="K273" s="213"/>
      <c r="L273" s="212"/>
      <c r="M273" s="211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3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31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31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30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30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29"/>
      <c r="I280" s="213"/>
      <c r="J280" s="213"/>
      <c r="K280" s="213"/>
      <c r="L280" s="212"/>
      <c r="M280" s="211"/>
      <c r="N280" s="210"/>
    </row>
    <row r="281" spans="2:14" x14ac:dyDescent="0.2">
      <c r="B281" s="217"/>
      <c r="C281" s="216"/>
      <c r="D281" s="215"/>
      <c r="E281" s="215"/>
      <c r="F281" s="213"/>
      <c r="G281" s="215"/>
      <c r="H281" s="214"/>
      <c r="I281" s="227"/>
      <c r="J281" s="228"/>
      <c r="K281" s="227"/>
      <c r="L281" s="212"/>
      <c r="M281" s="211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26"/>
      <c r="C285" s="225"/>
      <c r="D285" s="223"/>
      <c r="E285" s="223"/>
      <c r="F285" s="224"/>
      <c r="G285" s="223"/>
      <c r="H285" s="222"/>
      <c r="I285" s="220"/>
      <c r="J285" s="221"/>
      <c r="K285" s="220"/>
      <c r="L285" s="219"/>
      <c r="M285" s="218"/>
      <c r="N285" s="210"/>
    </row>
    <row r="286" spans="2:14" x14ac:dyDescent="0.2">
      <c r="B286" s="217"/>
      <c r="C286" s="216"/>
      <c r="D286" s="215"/>
      <c r="E286" s="215"/>
      <c r="F286" s="213"/>
      <c r="G286" s="215"/>
      <c r="H286" s="214"/>
      <c r="I286" s="213"/>
      <c r="J286" s="213"/>
      <c r="K286" s="213"/>
      <c r="L286" s="212"/>
      <c r="M286" s="211"/>
      <c r="N286" s="210"/>
    </row>
    <row r="287" spans="2:14" x14ac:dyDescent="0.2">
      <c r="B287" s="217"/>
      <c r="C287" s="216"/>
      <c r="D287" s="215"/>
      <c r="E287" s="215"/>
      <c r="F287" s="213"/>
      <c r="G287" s="215"/>
      <c r="H287" s="214"/>
      <c r="I287" s="227"/>
      <c r="J287" s="228"/>
      <c r="K287" s="227"/>
      <c r="L287" s="212"/>
      <c r="M287" s="211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4"/>
      <c r="J303" s="224"/>
      <c r="K303" s="224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4"/>
      <c r="J304" s="224"/>
      <c r="K304" s="224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17"/>
      <c r="C306" s="216"/>
      <c r="D306" s="215"/>
      <c r="E306" s="215"/>
      <c r="F306" s="213"/>
      <c r="G306" s="215"/>
      <c r="H306" s="214"/>
      <c r="I306" s="213"/>
      <c r="J306" s="213"/>
      <c r="K306" s="213"/>
      <c r="L306" s="212"/>
      <c r="M306" s="211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26"/>
      <c r="C313" s="225"/>
      <c r="D313" s="223"/>
      <c r="E313" s="223"/>
      <c r="F313" s="224"/>
      <c r="G313" s="223"/>
      <c r="H313" s="222"/>
      <c r="I313" s="220"/>
      <c r="J313" s="221"/>
      <c r="K313" s="220"/>
      <c r="L313" s="219"/>
      <c r="M313" s="218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13"/>
      <c r="J314" s="213"/>
      <c r="K314" s="213"/>
      <c r="L314" s="212"/>
      <c r="M314" s="211"/>
      <c r="N314" s="210"/>
    </row>
    <row r="315" spans="2:14" x14ac:dyDescent="0.2">
      <c r="B315" s="217"/>
      <c r="C315" s="216"/>
      <c r="D315" s="215"/>
      <c r="E315" s="215"/>
      <c r="F315" s="213"/>
      <c r="G315" s="215"/>
      <c r="H315" s="214"/>
      <c r="I315" s="213"/>
      <c r="J315" s="213"/>
      <c r="K315" s="213"/>
      <c r="L315" s="212"/>
      <c r="M315" s="211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17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26"/>
      <c r="C322" s="225"/>
      <c r="D322" s="223"/>
      <c r="E322" s="223"/>
      <c r="F322" s="224"/>
      <c r="G322" s="223"/>
      <c r="H322" s="222"/>
      <c r="I322" s="220"/>
      <c r="J322" s="221"/>
      <c r="K322" s="220"/>
      <c r="L322" s="219"/>
      <c r="M322" s="218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13"/>
      <c r="J323" s="213"/>
      <c r="K323" s="213"/>
      <c r="L323" s="212"/>
      <c r="M323" s="211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17"/>
      <c r="C326" s="216"/>
      <c r="D326" s="215"/>
      <c r="E326" s="215"/>
      <c r="F326" s="213"/>
      <c r="G326" s="215"/>
      <c r="H326" s="214"/>
      <c r="I326" s="213"/>
      <c r="J326" s="213"/>
      <c r="K326" s="213"/>
      <c r="L326" s="212"/>
      <c r="M326" s="211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26"/>
      <c r="C328" s="225"/>
      <c r="D328" s="223"/>
      <c r="E328" s="223"/>
      <c r="F328" s="224"/>
      <c r="G328" s="223"/>
      <c r="H328" s="222"/>
      <c r="I328" s="220"/>
      <c r="J328" s="221"/>
      <c r="K328" s="220"/>
      <c r="L328" s="219"/>
      <c r="M328" s="218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26"/>
      <c r="C335" s="225"/>
      <c r="D335" s="223"/>
      <c r="E335" s="223"/>
      <c r="F335" s="224"/>
      <c r="G335" s="223"/>
      <c r="H335" s="222"/>
      <c r="I335" s="220"/>
      <c r="J335" s="221"/>
      <c r="K335" s="220"/>
      <c r="L335" s="219"/>
      <c r="M335" s="218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17"/>
      <c r="C337" s="216"/>
      <c r="D337" s="215"/>
      <c r="E337" s="215"/>
      <c r="F337" s="213"/>
      <c r="G337" s="215"/>
      <c r="H337" s="214"/>
      <c r="I337" s="213"/>
      <c r="J337" s="213"/>
      <c r="K337" s="213"/>
      <c r="L337" s="212"/>
      <c r="M337" s="211"/>
      <c r="N337" s="210"/>
    </row>
    <row r="338" spans="2:14" x14ac:dyDescent="0.2">
      <c r="B338" s="226"/>
      <c r="C338" s="225"/>
      <c r="D338" s="223"/>
      <c r="E338" s="223"/>
      <c r="F338" s="224"/>
      <c r="G338" s="223"/>
      <c r="H338" s="222"/>
      <c r="I338" s="220"/>
      <c r="J338" s="221"/>
      <c r="K338" s="220"/>
      <c r="L338" s="219"/>
      <c r="M338" s="218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17"/>
      <c r="C340" s="216"/>
      <c r="D340" s="215"/>
      <c r="E340" s="215"/>
      <c r="F340" s="213"/>
      <c r="G340" s="215"/>
      <c r="H340" s="214"/>
      <c r="I340" s="213"/>
      <c r="J340" s="213"/>
      <c r="K340" s="213"/>
      <c r="L340" s="212"/>
      <c r="M340" s="211"/>
      <c r="N340" s="210"/>
    </row>
    <row r="341" spans="2:14" x14ac:dyDescent="0.2">
      <c r="B341" s="226"/>
      <c r="C341" s="225"/>
      <c r="D341" s="223"/>
      <c r="E341" s="223"/>
      <c r="F341" s="224"/>
      <c r="G341" s="223"/>
      <c r="H341" s="222"/>
      <c r="I341" s="220"/>
      <c r="J341" s="221"/>
      <c r="K341" s="220"/>
      <c r="L341" s="219"/>
      <c r="M341" s="218"/>
      <c r="N341" s="210"/>
    </row>
    <row r="342" spans="2:14" x14ac:dyDescent="0.2">
      <c r="B342" s="226"/>
      <c r="C342" s="225"/>
      <c r="D342" s="223"/>
      <c r="E342" s="223"/>
      <c r="F342" s="224"/>
      <c r="G342" s="223"/>
      <c r="H342" s="222"/>
      <c r="I342" s="220"/>
      <c r="J342" s="221"/>
      <c r="K342" s="220"/>
      <c r="L342" s="219"/>
      <c r="M342" s="218"/>
      <c r="N342" s="210"/>
    </row>
    <row r="343" spans="2:14" x14ac:dyDescent="0.2">
      <c r="B343" s="217"/>
      <c r="C343" s="216"/>
      <c r="D343" s="215"/>
      <c r="E343" s="215"/>
      <c r="F343" s="213"/>
      <c r="G343" s="215"/>
      <c r="H343" s="214"/>
      <c r="I343" s="213"/>
      <c r="J343" s="213"/>
      <c r="K343" s="213"/>
      <c r="L343" s="212"/>
      <c r="M343" s="211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27"/>
      <c r="J344" s="228"/>
      <c r="K344" s="227"/>
      <c r="L344" s="212"/>
      <c r="M344" s="211"/>
      <c r="N344" s="210"/>
    </row>
    <row r="345" spans="2:14" x14ac:dyDescent="0.2">
      <c r="B345" s="226"/>
      <c r="C345" s="225"/>
      <c r="D345" s="223"/>
      <c r="E345" s="223"/>
      <c r="F345" s="224"/>
      <c r="G345" s="223"/>
      <c r="H345" s="222"/>
      <c r="I345" s="220"/>
      <c r="J345" s="221"/>
      <c r="K345" s="220"/>
      <c r="L345" s="219"/>
      <c r="M345" s="218"/>
      <c r="N345" s="210"/>
    </row>
    <row r="346" spans="2:14" x14ac:dyDescent="0.2">
      <c r="B346" s="217"/>
      <c r="C346" s="216"/>
      <c r="D346" s="215"/>
      <c r="E346" s="215"/>
      <c r="F346" s="213"/>
      <c r="G346" s="215"/>
      <c r="H346" s="214"/>
      <c r="I346" s="213"/>
      <c r="J346" s="213"/>
      <c r="K346" s="213"/>
      <c r="L346" s="212"/>
      <c r="M346" s="211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27"/>
      <c r="J347" s="228"/>
      <c r="K347" s="227"/>
      <c r="L347" s="212"/>
      <c r="M347" s="211"/>
      <c r="N347" s="210"/>
    </row>
    <row r="348" spans="2:14" x14ac:dyDescent="0.2">
      <c r="B348" s="226"/>
      <c r="C348" s="225"/>
      <c r="D348" s="223"/>
      <c r="E348" s="223"/>
      <c r="F348" s="224"/>
      <c r="G348" s="223"/>
      <c r="H348" s="222"/>
      <c r="I348" s="220"/>
      <c r="J348" s="221"/>
      <c r="K348" s="220"/>
      <c r="L348" s="219"/>
      <c r="M348" s="218"/>
      <c r="N348" s="210"/>
    </row>
    <row r="349" spans="2:14" x14ac:dyDescent="0.2">
      <c r="B349" s="217"/>
      <c r="C349" s="216"/>
      <c r="D349" s="215"/>
      <c r="E349" s="215"/>
      <c r="F349" s="213"/>
      <c r="G349" s="215"/>
      <c r="H349" s="214"/>
      <c r="I349" s="213"/>
      <c r="J349" s="213"/>
      <c r="K349" s="213"/>
      <c r="L349" s="212"/>
      <c r="M349" s="211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26"/>
      <c r="C351" s="225"/>
      <c r="D351" s="223"/>
      <c r="E351" s="223"/>
      <c r="F351" s="224"/>
      <c r="G351" s="223"/>
      <c r="H351" s="222"/>
      <c r="I351" s="220"/>
      <c r="J351" s="221"/>
      <c r="K351" s="220"/>
      <c r="L351" s="219"/>
      <c r="M351" s="218"/>
      <c r="N351" s="210"/>
    </row>
    <row r="352" spans="2:14" x14ac:dyDescent="0.2">
      <c r="B352" s="217"/>
      <c r="C352" s="216"/>
      <c r="D352" s="215"/>
      <c r="E352" s="215"/>
      <c r="F352" s="213"/>
      <c r="G352" s="215"/>
      <c r="H352" s="214"/>
      <c r="I352" s="213"/>
      <c r="J352" s="213"/>
      <c r="K352" s="213"/>
      <c r="L352" s="212"/>
      <c r="M352" s="211"/>
      <c r="N352" s="210"/>
    </row>
    <row r="353" spans="2:14" x14ac:dyDescent="0.2">
      <c r="B353" s="217"/>
      <c r="C353" s="216"/>
      <c r="D353" s="215"/>
      <c r="E353" s="215"/>
      <c r="F353" s="213"/>
      <c r="G353" s="215"/>
      <c r="H353" s="214"/>
      <c r="I353" s="227"/>
      <c r="J353" s="228"/>
      <c r="K353" s="227"/>
      <c r="L353" s="212"/>
      <c r="M353" s="211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26"/>
      <c r="C355" s="225"/>
      <c r="D355" s="223"/>
      <c r="E355" s="223"/>
      <c r="F355" s="224"/>
      <c r="G355" s="223"/>
      <c r="H355" s="222"/>
      <c r="I355" s="220"/>
      <c r="J355" s="221"/>
      <c r="K355" s="220"/>
      <c r="L355" s="219"/>
      <c r="M355" s="218"/>
      <c r="N355" s="210"/>
    </row>
    <row r="356" spans="2:14" x14ac:dyDescent="0.2">
      <c r="B356" s="226"/>
      <c r="C356" s="225"/>
      <c r="D356" s="223"/>
      <c r="E356" s="223"/>
      <c r="F356" s="224"/>
      <c r="G356" s="223"/>
      <c r="H356" s="222"/>
      <c r="I356" s="220"/>
      <c r="J356" s="221"/>
      <c r="K356" s="220"/>
      <c r="L356" s="219"/>
      <c r="M356" s="218"/>
      <c r="N356" s="210"/>
    </row>
    <row r="357" spans="2:14" x14ac:dyDescent="0.2">
      <c r="B357" s="217"/>
      <c r="C357" s="216"/>
      <c r="D357" s="215"/>
      <c r="E357" s="215"/>
      <c r="F357" s="213"/>
      <c r="G357" s="215"/>
      <c r="H357" s="214"/>
      <c r="I357" s="213"/>
      <c r="J357" s="213"/>
      <c r="K357" s="213"/>
      <c r="L357" s="212"/>
      <c r="M357" s="211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27"/>
      <c r="J358" s="228"/>
      <c r="K358" s="227"/>
      <c r="L358" s="212"/>
      <c r="M358" s="211"/>
      <c r="N358" s="210"/>
    </row>
    <row r="359" spans="2:14" x14ac:dyDescent="0.2">
      <c r="B359" s="226"/>
      <c r="C359" s="225"/>
      <c r="D359" s="223"/>
      <c r="E359" s="223"/>
      <c r="F359" s="224"/>
      <c r="G359" s="223"/>
      <c r="H359" s="222"/>
      <c r="I359" s="220"/>
      <c r="J359" s="221"/>
      <c r="K359" s="220"/>
      <c r="L359" s="219"/>
      <c r="M359" s="218"/>
      <c r="N359" s="210"/>
    </row>
    <row r="360" spans="2:14" x14ac:dyDescent="0.2">
      <c r="B360" s="217"/>
      <c r="C360" s="216"/>
      <c r="D360" s="215"/>
      <c r="E360" s="215"/>
      <c r="F360" s="213"/>
      <c r="G360" s="215"/>
      <c r="H360" s="214"/>
      <c r="I360" s="213"/>
      <c r="J360" s="213"/>
      <c r="K360" s="213"/>
      <c r="L360" s="212"/>
      <c r="M360" s="211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27"/>
      <c r="J361" s="228"/>
      <c r="K361" s="227"/>
      <c r="L361" s="212"/>
      <c r="M361" s="211"/>
      <c r="N361" s="210"/>
    </row>
    <row r="362" spans="2:14" x14ac:dyDescent="0.2">
      <c r="B362" s="226"/>
      <c r="C362" s="225"/>
      <c r="D362" s="223"/>
      <c r="E362" s="223"/>
      <c r="F362" s="224"/>
      <c r="G362" s="223"/>
      <c r="H362" s="222"/>
      <c r="I362" s="220"/>
      <c r="J362" s="221"/>
      <c r="K362" s="220"/>
      <c r="L362" s="219"/>
      <c r="M362" s="218"/>
      <c r="N362" s="210"/>
    </row>
    <row r="363" spans="2:14" x14ac:dyDescent="0.2">
      <c r="B363" s="217"/>
      <c r="C363" s="216"/>
      <c r="D363" s="215"/>
      <c r="E363" s="215"/>
      <c r="F363" s="213"/>
      <c r="G363" s="215"/>
      <c r="H363" s="214"/>
      <c r="I363" s="213"/>
      <c r="J363" s="213"/>
      <c r="K363" s="213"/>
      <c r="L363" s="212"/>
      <c r="M363" s="211"/>
      <c r="N363" s="210"/>
    </row>
    <row r="364" spans="2:14" x14ac:dyDescent="0.2">
      <c r="B364" s="156"/>
      <c r="C364" s="156"/>
      <c r="D364" s="156"/>
      <c r="E364" s="102"/>
      <c r="F364" s="102"/>
      <c r="G364" s="156"/>
      <c r="H364" s="156"/>
      <c r="I364" s="156"/>
      <c r="J364" s="156"/>
      <c r="K364" s="156"/>
      <c r="L364" s="102"/>
      <c r="M364" s="156"/>
      <c r="N364" s="156"/>
    </row>
    <row r="365" spans="2:14" x14ac:dyDescent="0.2">
      <c r="H365" s="151"/>
    </row>
    <row r="366" spans="2:14" x14ac:dyDescent="0.2">
      <c r="H366" s="151"/>
    </row>
    <row r="368" spans="2:14" x14ac:dyDescent="0.2">
      <c r="H368" s="151"/>
    </row>
    <row r="369" spans="5:12" x14ac:dyDescent="0.2">
      <c r="H369" s="151"/>
    </row>
    <row r="370" spans="5:12" x14ac:dyDescent="0.2">
      <c r="E370" s="32"/>
      <c r="F370" s="32"/>
      <c r="L370" s="155"/>
    </row>
    <row r="371" spans="5:12" x14ac:dyDescent="0.2">
      <c r="E371" s="32"/>
      <c r="F371" s="32"/>
      <c r="L371" s="155"/>
    </row>
    <row r="372" spans="5:12" x14ac:dyDescent="0.2">
      <c r="E372" s="32"/>
      <c r="F372" s="32"/>
      <c r="L372" s="154"/>
    </row>
    <row r="374" spans="5:12" x14ac:dyDescent="0.2">
      <c r="E374" s="32"/>
      <c r="F374" s="32"/>
      <c r="L374" s="209"/>
    </row>
    <row r="378" spans="5:12" x14ac:dyDescent="0.2">
      <c r="E378" s="32"/>
      <c r="F378" s="32"/>
      <c r="G378" s="151"/>
      <c r="L378" s="32"/>
    </row>
    <row r="379" spans="5:12" x14ac:dyDescent="0.2">
      <c r="E379" s="32"/>
      <c r="F379" s="32"/>
      <c r="G379" s="152"/>
      <c r="L379" s="32"/>
    </row>
    <row r="382" spans="5:12" x14ac:dyDescent="0.2">
      <c r="E382" s="32"/>
      <c r="F382" s="32"/>
      <c r="G382" s="151"/>
      <c r="L382" s="32"/>
    </row>
  </sheetData>
  <conditionalFormatting sqref="E213:E214 E261:E262 E254 E244:E245 E216:E217 E257:E258 E92 E74 E265:E267">
    <cfRule type="containsText" dxfId="3690" priority="488" operator="containsText" text="Buy">
      <formula>NOT(ISERROR(SEARCH("Buy",E74)))</formula>
    </cfRule>
    <cfRule type="containsText" dxfId="3689" priority="489" operator="containsText" text="Sell">
      <formula>NOT(ISERROR(SEARCH("Sell",E74)))</formula>
    </cfRule>
  </conditionalFormatting>
  <conditionalFormatting sqref="E286:E287 E276:E277 E281">
    <cfRule type="containsText" dxfId="3688" priority="486" operator="containsText" text="Buy">
      <formula>NOT(ISERROR(SEARCH("Buy",E276)))</formula>
    </cfRule>
    <cfRule type="containsText" dxfId="3687" priority="487" operator="containsText" text="Sell">
      <formula>NOT(ISERROR(SEARCH("Sell",E276)))</formula>
    </cfRule>
  </conditionalFormatting>
  <conditionalFormatting sqref="E302:E304 E361 E358 E353 E347 E344 E341 E338 E331 E327 E321 E311">
    <cfRule type="containsText" dxfId="3686" priority="484" operator="containsText" text="Buy">
      <formula>NOT(ISERROR(SEARCH("Buy",E302)))</formula>
    </cfRule>
    <cfRule type="containsText" dxfId="3685" priority="485" operator="containsText" text="Sell">
      <formula>NOT(ISERROR(SEARCH("Sell",E302)))</formula>
    </cfRule>
  </conditionalFormatting>
  <conditionalFormatting sqref="E301">
    <cfRule type="containsText" dxfId="3684" priority="482" operator="containsText" text="Buy">
      <formula>NOT(ISERROR(SEARCH("Buy",E301)))</formula>
    </cfRule>
    <cfRule type="containsText" dxfId="3683" priority="483" operator="containsText" text="Sell">
      <formula>NOT(ISERROR(SEARCH("Sell",E301)))</formula>
    </cfRule>
  </conditionalFormatting>
  <conditionalFormatting sqref="E300">
    <cfRule type="containsText" dxfId="3682" priority="480" operator="containsText" text="Buy">
      <formula>NOT(ISERROR(SEARCH("Buy",E300)))</formula>
    </cfRule>
    <cfRule type="containsText" dxfId="3681" priority="481" operator="containsText" text="Sell">
      <formula>NOT(ISERROR(SEARCH("Sell",E300)))</formula>
    </cfRule>
  </conditionalFormatting>
  <conditionalFormatting sqref="E299">
    <cfRule type="containsText" dxfId="3680" priority="478" operator="containsText" text="Buy">
      <formula>NOT(ISERROR(SEARCH("Buy",E299)))</formula>
    </cfRule>
    <cfRule type="containsText" dxfId="3679" priority="479" operator="containsText" text="Sell">
      <formula>NOT(ISERROR(SEARCH("Sell",E299)))</formula>
    </cfRule>
  </conditionalFormatting>
  <conditionalFormatting sqref="E212">
    <cfRule type="containsText" dxfId="3678" priority="476" operator="containsText" text="Buy">
      <formula>NOT(ISERROR(SEARCH("Buy",E212)))</formula>
    </cfRule>
    <cfRule type="containsText" dxfId="3677" priority="477" operator="containsText" text="Sell">
      <formula>NOT(ISERROR(SEARCH("Sell",E212)))</formula>
    </cfRule>
  </conditionalFormatting>
  <conditionalFormatting sqref="E211">
    <cfRule type="containsText" dxfId="3676" priority="474" operator="containsText" text="Buy">
      <formula>NOT(ISERROR(SEARCH("Buy",E211)))</formula>
    </cfRule>
    <cfRule type="containsText" dxfId="3675" priority="475" operator="containsText" text="Sell">
      <formula>NOT(ISERROR(SEARCH("Sell",E211)))</formula>
    </cfRule>
  </conditionalFormatting>
  <conditionalFormatting sqref="E260">
    <cfRule type="containsText" dxfId="3674" priority="472" operator="containsText" text="Buy">
      <formula>NOT(ISERROR(SEARCH("Buy",E260)))</formula>
    </cfRule>
    <cfRule type="containsText" dxfId="3673" priority="473" operator="containsText" text="Sell">
      <formula>NOT(ISERROR(SEARCH("Sell",E260)))</formula>
    </cfRule>
  </conditionalFormatting>
  <conditionalFormatting sqref="E259">
    <cfRule type="containsText" dxfId="3672" priority="470" operator="containsText" text="Buy">
      <formula>NOT(ISERROR(SEARCH("Buy",E259)))</formula>
    </cfRule>
    <cfRule type="containsText" dxfId="3671" priority="471" operator="containsText" text="Sell">
      <formula>NOT(ISERROR(SEARCH("Sell",E259)))</formula>
    </cfRule>
  </conditionalFormatting>
  <conditionalFormatting sqref="E246:E248">
    <cfRule type="containsText" dxfId="3670" priority="468" operator="containsText" text="Buy">
      <formula>NOT(ISERROR(SEARCH("Buy",E246)))</formula>
    </cfRule>
    <cfRule type="containsText" dxfId="3669" priority="469" operator="containsText" text="Sell">
      <formula>NOT(ISERROR(SEARCH("Sell",E246)))</formula>
    </cfRule>
  </conditionalFormatting>
  <conditionalFormatting sqref="E243">
    <cfRule type="containsText" dxfId="3668" priority="466" operator="containsText" text="Buy">
      <formula>NOT(ISERROR(SEARCH("Buy",E243)))</formula>
    </cfRule>
    <cfRule type="containsText" dxfId="3667" priority="467" operator="containsText" text="Sell">
      <formula>NOT(ISERROR(SEARCH("Sell",E243)))</formula>
    </cfRule>
  </conditionalFormatting>
  <conditionalFormatting sqref="E242">
    <cfRule type="containsText" dxfId="3666" priority="464" operator="containsText" text="Buy">
      <formula>NOT(ISERROR(SEARCH("Buy",E242)))</formula>
    </cfRule>
    <cfRule type="containsText" dxfId="3665" priority="465" operator="containsText" text="Sell">
      <formula>NOT(ISERROR(SEARCH("Sell",E242)))</formula>
    </cfRule>
  </conditionalFormatting>
  <conditionalFormatting sqref="E241">
    <cfRule type="containsText" dxfId="3664" priority="462" operator="containsText" text="Buy">
      <formula>NOT(ISERROR(SEARCH("Buy",E241)))</formula>
    </cfRule>
    <cfRule type="containsText" dxfId="3663" priority="463" operator="containsText" text="Sell">
      <formula>NOT(ISERROR(SEARCH("Sell",E241)))</formula>
    </cfRule>
  </conditionalFormatting>
  <conditionalFormatting sqref="E240">
    <cfRule type="containsText" dxfId="3662" priority="460" operator="containsText" text="Buy">
      <formula>NOT(ISERROR(SEARCH("Buy",E240)))</formula>
    </cfRule>
    <cfRule type="containsText" dxfId="3661" priority="461" operator="containsText" text="Sell">
      <formula>NOT(ISERROR(SEARCH("Sell",E240)))</formula>
    </cfRule>
  </conditionalFormatting>
  <conditionalFormatting sqref="E239">
    <cfRule type="containsText" dxfId="3660" priority="458" operator="containsText" text="Buy">
      <formula>NOT(ISERROR(SEARCH("Buy",E239)))</formula>
    </cfRule>
    <cfRule type="containsText" dxfId="3659" priority="459" operator="containsText" text="Sell">
      <formula>NOT(ISERROR(SEARCH("Sell",E239)))</formula>
    </cfRule>
  </conditionalFormatting>
  <conditionalFormatting sqref="E238">
    <cfRule type="containsText" dxfId="3658" priority="456" operator="containsText" text="Buy">
      <formula>NOT(ISERROR(SEARCH("Buy",E238)))</formula>
    </cfRule>
    <cfRule type="containsText" dxfId="3657" priority="457" operator="containsText" text="Sell">
      <formula>NOT(ISERROR(SEARCH("Sell",E238)))</formula>
    </cfRule>
  </conditionalFormatting>
  <conditionalFormatting sqref="E237">
    <cfRule type="containsText" dxfId="3656" priority="454" operator="containsText" text="Buy">
      <formula>NOT(ISERROR(SEARCH("Buy",E237)))</formula>
    </cfRule>
    <cfRule type="containsText" dxfId="3655" priority="455" operator="containsText" text="Sell">
      <formula>NOT(ISERROR(SEARCH("Sell",E237)))</formula>
    </cfRule>
  </conditionalFormatting>
  <conditionalFormatting sqref="E230:E232">
    <cfRule type="containsText" dxfId="3654" priority="452" operator="containsText" text="Buy">
      <formula>NOT(ISERROR(SEARCH("Buy",E230)))</formula>
    </cfRule>
    <cfRule type="containsText" dxfId="3653" priority="453" operator="containsText" text="Sell">
      <formula>NOT(ISERROR(SEARCH("Sell",E230)))</formula>
    </cfRule>
  </conditionalFormatting>
  <conditionalFormatting sqref="E229">
    <cfRule type="containsText" dxfId="3652" priority="450" operator="containsText" text="Buy">
      <formula>NOT(ISERROR(SEARCH("Buy",E229)))</formula>
    </cfRule>
    <cfRule type="containsText" dxfId="3651" priority="451" operator="containsText" text="Sell">
      <formula>NOT(ISERROR(SEARCH("Sell",E229)))</formula>
    </cfRule>
  </conditionalFormatting>
  <conditionalFormatting sqref="E228">
    <cfRule type="containsText" dxfId="3650" priority="448" operator="containsText" text="Buy">
      <formula>NOT(ISERROR(SEARCH("Buy",E228)))</formula>
    </cfRule>
    <cfRule type="containsText" dxfId="3649" priority="449" operator="containsText" text="Sell">
      <formula>NOT(ISERROR(SEARCH("Sell",E228)))</formula>
    </cfRule>
  </conditionalFormatting>
  <conditionalFormatting sqref="E227">
    <cfRule type="containsText" dxfId="3648" priority="446" operator="containsText" text="Buy">
      <formula>NOT(ISERROR(SEARCH("Buy",E227)))</formula>
    </cfRule>
    <cfRule type="containsText" dxfId="3647" priority="447" operator="containsText" text="Sell">
      <formula>NOT(ISERROR(SEARCH("Sell",E227)))</formula>
    </cfRule>
  </conditionalFormatting>
  <conditionalFormatting sqref="E226">
    <cfRule type="containsText" dxfId="3646" priority="444" operator="containsText" text="Buy">
      <formula>NOT(ISERROR(SEARCH("Buy",E226)))</formula>
    </cfRule>
    <cfRule type="containsText" dxfId="3645" priority="445" operator="containsText" text="Sell">
      <formula>NOT(ISERROR(SEARCH("Sell",E226)))</formula>
    </cfRule>
  </conditionalFormatting>
  <conditionalFormatting sqref="E225">
    <cfRule type="containsText" dxfId="3644" priority="442" operator="containsText" text="Buy">
      <formula>NOT(ISERROR(SEARCH("Buy",E225)))</formula>
    </cfRule>
    <cfRule type="containsText" dxfId="3643" priority="443" operator="containsText" text="Sell">
      <formula>NOT(ISERROR(SEARCH("Sell",E225)))</formula>
    </cfRule>
  </conditionalFormatting>
  <conditionalFormatting sqref="E224">
    <cfRule type="containsText" dxfId="3642" priority="440" operator="containsText" text="Buy">
      <formula>NOT(ISERROR(SEARCH("Buy",E224)))</formula>
    </cfRule>
    <cfRule type="containsText" dxfId="3641" priority="441" operator="containsText" text="Sell">
      <formula>NOT(ISERROR(SEARCH("Sell",E224)))</formula>
    </cfRule>
  </conditionalFormatting>
  <conditionalFormatting sqref="E223">
    <cfRule type="containsText" dxfId="3640" priority="438" operator="containsText" text="Buy">
      <formula>NOT(ISERROR(SEARCH("Buy",E223)))</formula>
    </cfRule>
    <cfRule type="containsText" dxfId="3639" priority="439" operator="containsText" text="Sell">
      <formula>NOT(ISERROR(SEARCH("Sell",E223)))</formula>
    </cfRule>
  </conditionalFormatting>
  <conditionalFormatting sqref="E222">
    <cfRule type="containsText" dxfId="3638" priority="436" operator="containsText" text="Buy">
      <formula>NOT(ISERROR(SEARCH("Buy",E222)))</formula>
    </cfRule>
    <cfRule type="containsText" dxfId="3637" priority="437" operator="containsText" text="Sell">
      <formula>NOT(ISERROR(SEARCH("Sell",E222)))</formula>
    </cfRule>
  </conditionalFormatting>
  <conditionalFormatting sqref="E221">
    <cfRule type="containsText" dxfId="3636" priority="434" operator="containsText" text="Buy">
      <formula>NOT(ISERROR(SEARCH("Buy",E221)))</formula>
    </cfRule>
    <cfRule type="containsText" dxfId="3635" priority="435" operator="containsText" text="Sell">
      <formula>NOT(ISERROR(SEARCH("Sell",E221)))</formula>
    </cfRule>
  </conditionalFormatting>
  <conditionalFormatting sqref="E220">
    <cfRule type="containsText" dxfId="3634" priority="432" operator="containsText" text="Buy">
      <formula>NOT(ISERROR(SEARCH("Buy",E220)))</formula>
    </cfRule>
    <cfRule type="containsText" dxfId="3633" priority="433" operator="containsText" text="Sell">
      <formula>NOT(ISERROR(SEARCH("Sell",E220)))</formula>
    </cfRule>
  </conditionalFormatting>
  <conditionalFormatting sqref="E219">
    <cfRule type="containsText" dxfId="3632" priority="430" operator="containsText" text="Buy">
      <formula>NOT(ISERROR(SEARCH("Buy",E219)))</formula>
    </cfRule>
    <cfRule type="containsText" dxfId="3631" priority="431" operator="containsText" text="Sell">
      <formula>NOT(ISERROR(SEARCH("Sell",E219)))</formula>
    </cfRule>
  </conditionalFormatting>
  <conditionalFormatting sqref="E215">
    <cfRule type="containsText" dxfId="3630" priority="428" operator="containsText" text="Buy">
      <formula>NOT(ISERROR(SEARCH("Buy",E215)))</formula>
    </cfRule>
    <cfRule type="containsText" dxfId="3629" priority="429" operator="containsText" text="Sell">
      <formula>NOT(ISERROR(SEARCH("Sell",E215)))</formula>
    </cfRule>
  </conditionalFormatting>
  <conditionalFormatting sqref="E275">
    <cfRule type="containsText" dxfId="3628" priority="426" operator="containsText" text="Buy">
      <formula>NOT(ISERROR(SEARCH("Buy",E275)))</formula>
    </cfRule>
    <cfRule type="containsText" dxfId="3627" priority="427" operator="containsText" text="Sell">
      <formula>NOT(ISERROR(SEARCH("Sell",E275)))</formula>
    </cfRule>
  </conditionalFormatting>
  <conditionalFormatting sqref="E274 E271">
    <cfRule type="containsText" dxfId="3626" priority="424" operator="containsText" text="Buy">
      <formula>NOT(ISERROR(SEARCH("Buy",E271)))</formula>
    </cfRule>
    <cfRule type="containsText" dxfId="3625" priority="425" operator="containsText" text="Sell">
      <formula>NOT(ISERROR(SEARCH("Sell",E271)))</formula>
    </cfRule>
  </conditionalFormatting>
  <conditionalFormatting sqref="E280">
    <cfRule type="containsText" dxfId="3624" priority="422" operator="containsText" text="Buy">
      <formula>NOT(ISERROR(SEARCH("Buy",E280)))</formula>
    </cfRule>
    <cfRule type="containsText" dxfId="3623" priority="423" operator="containsText" text="Sell">
      <formula>NOT(ISERROR(SEARCH("Sell",E280)))</formula>
    </cfRule>
  </conditionalFormatting>
  <conditionalFormatting sqref="E362:E363">
    <cfRule type="containsText" dxfId="3622" priority="420" operator="containsText" text="Buy">
      <formula>NOT(ISERROR(SEARCH("Buy",E362)))</formula>
    </cfRule>
    <cfRule type="containsText" dxfId="3621" priority="421" operator="containsText" text="Sell">
      <formula>NOT(ISERROR(SEARCH("Sell",E362)))</formula>
    </cfRule>
  </conditionalFormatting>
  <conditionalFormatting sqref="E273">
    <cfRule type="containsText" dxfId="3620" priority="418" operator="containsText" text="Buy">
      <formula>NOT(ISERROR(SEARCH("Buy",E273)))</formula>
    </cfRule>
    <cfRule type="containsText" dxfId="3619" priority="419" operator="containsText" text="Sell">
      <formula>NOT(ISERROR(SEARCH("Sell",E273)))</formula>
    </cfRule>
  </conditionalFormatting>
  <conditionalFormatting sqref="E270">
    <cfRule type="containsText" dxfId="3618" priority="416" operator="containsText" text="Buy">
      <formula>NOT(ISERROR(SEARCH("Buy",E270)))</formula>
    </cfRule>
    <cfRule type="containsText" dxfId="3617" priority="417" operator="containsText" text="Sell">
      <formula>NOT(ISERROR(SEARCH("Sell",E270)))</formula>
    </cfRule>
  </conditionalFormatting>
  <conditionalFormatting sqref="E269">
    <cfRule type="containsText" dxfId="3616" priority="414" operator="containsText" text="Buy">
      <formula>NOT(ISERROR(SEARCH("Buy",E269)))</formula>
    </cfRule>
    <cfRule type="containsText" dxfId="3615" priority="415" operator="containsText" text="Sell">
      <formula>NOT(ISERROR(SEARCH("Sell",E269)))</formula>
    </cfRule>
  </conditionalFormatting>
  <conditionalFormatting sqref="E256">
    <cfRule type="containsText" dxfId="3614" priority="412" operator="containsText" text="Buy">
      <formula>NOT(ISERROR(SEARCH("Buy",E256)))</formula>
    </cfRule>
    <cfRule type="containsText" dxfId="3613" priority="413" operator="containsText" text="Sell">
      <formula>NOT(ISERROR(SEARCH("Sell",E256)))</formula>
    </cfRule>
  </conditionalFormatting>
  <conditionalFormatting sqref="E193:E196 E206 E203:E204">
    <cfRule type="containsText" dxfId="3612" priority="410" operator="containsText" text="Buy">
      <formula>NOT(ISERROR(SEARCH("Buy",E193)))</formula>
    </cfRule>
    <cfRule type="containsText" dxfId="3611" priority="411" operator="containsText" text="Sell">
      <formula>NOT(ISERROR(SEARCH("Sell",E193)))</formula>
    </cfRule>
  </conditionalFormatting>
  <conditionalFormatting sqref="E359:E360">
    <cfRule type="containsText" dxfId="3610" priority="408" operator="containsText" text="Buy">
      <formula>NOT(ISERROR(SEARCH("Buy",E359)))</formula>
    </cfRule>
    <cfRule type="containsText" dxfId="3609" priority="409" operator="containsText" text="Sell">
      <formula>NOT(ISERROR(SEARCH("Sell",E359)))</formula>
    </cfRule>
  </conditionalFormatting>
  <conditionalFormatting sqref="E356:E357">
    <cfRule type="containsText" dxfId="3608" priority="406" operator="containsText" text="Buy">
      <formula>NOT(ISERROR(SEARCH("Buy",E356)))</formula>
    </cfRule>
    <cfRule type="containsText" dxfId="3607" priority="407" operator="containsText" text="Sell">
      <formula>NOT(ISERROR(SEARCH("Sell",E356)))</formula>
    </cfRule>
  </conditionalFormatting>
  <conditionalFormatting sqref="E354:E355">
    <cfRule type="containsText" dxfId="3606" priority="404" operator="containsText" text="Buy">
      <formula>NOT(ISERROR(SEARCH("Buy",E354)))</formula>
    </cfRule>
    <cfRule type="containsText" dxfId="3605" priority="405" operator="containsText" text="Sell">
      <formula>NOT(ISERROR(SEARCH("Sell",E354)))</formula>
    </cfRule>
  </conditionalFormatting>
  <conditionalFormatting sqref="E351:E352">
    <cfRule type="containsText" dxfId="3604" priority="402" operator="containsText" text="Buy">
      <formula>NOT(ISERROR(SEARCH("Buy",E351)))</formula>
    </cfRule>
    <cfRule type="containsText" dxfId="3603" priority="403" operator="containsText" text="Sell">
      <formula>NOT(ISERROR(SEARCH("Sell",E351)))</formula>
    </cfRule>
  </conditionalFormatting>
  <conditionalFormatting sqref="E348:E350">
    <cfRule type="containsText" dxfId="3602" priority="400" operator="containsText" text="Buy">
      <formula>NOT(ISERROR(SEARCH("Buy",E348)))</formula>
    </cfRule>
    <cfRule type="containsText" dxfId="3601" priority="401" operator="containsText" text="Sell">
      <formula>NOT(ISERROR(SEARCH("Sell",E348)))</formula>
    </cfRule>
  </conditionalFormatting>
  <conditionalFormatting sqref="E345:E346">
    <cfRule type="containsText" dxfId="3600" priority="398" operator="containsText" text="Buy">
      <formula>NOT(ISERROR(SEARCH("Buy",E345)))</formula>
    </cfRule>
    <cfRule type="containsText" dxfId="3599" priority="399" operator="containsText" text="Sell">
      <formula>NOT(ISERROR(SEARCH("Sell",E345)))</formula>
    </cfRule>
  </conditionalFormatting>
  <conditionalFormatting sqref="E342:E343">
    <cfRule type="containsText" dxfId="3598" priority="396" operator="containsText" text="Buy">
      <formula>NOT(ISERROR(SEARCH("Buy",E342)))</formula>
    </cfRule>
    <cfRule type="containsText" dxfId="3597" priority="397" operator="containsText" text="Sell">
      <formula>NOT(ISERROR(SEARCH("Sell",E342)))</formula>
    </cfRule>
  </conditionalFormatting>
  <conditionalFormatting sqref="E339:E340">
    <cfRule type="containsText" dxfId="3596" priority="394" operator="containsText" text="Buy">
      <formula>NOT(ISERROR(SEARCH("Buy",E339)))</formula>
    </cfRule>
    <cfRule type="containsText" dxfId="3595" priority="395" operator="containsText" text="Sell">
      <formula>NOT(ISERROR(SEARCH("Sell",E339)))</formula>
    </cfRule>
  </conditionalFormatting>
  <conditionalFormatting sqref="E335">
    <cfRule type="containsText" dxfId="3594" priority="390" operator="containsText" text="Buy">
      <formula>NOT(ISERROR(SEARCH("Buy",E335)))</formula>
    </cfRule>
    <cfRule type="containsText" dxfId="3593" priority="391" operator="containsText" text="Sell">
      <formula>NOT(ISERROR(SEARCH("Sell",E335)))</formula>
    </cfRule>
  </conditionalFormatting>
  <conditionalFormatting sqref="E336:E337">
    <cfRule type="containsText" dxfId="3592" priority="392" operator="containsText" text="Buy">
      <formula>NOT(ISERROR(SEARCH("Buy",E336)))</formula>
    </cfRule>
    <cfRule type="containsText" dxfId="3591" priority="393" operator="containsText" text="Sell">
      <formula>NOT(ISERROR(SEARCH("Sell",E336)))</formula>
    </cfRule>
  </conditionalFormatting>
  <conditionalFormatting sqref="E329:E330">
    <cfRule type="containsText" dxfId="3590" priority="388" operator="containsText" text="Buy">
      <formula>NOT(ISERROR(SEARCH("Buy",E329)))</formula>
    </cfRule>
    <cfRule type="containsText" dxfId="3589" priority="389" operator="containsText" text="Sell">
      <formula>NOT(ISERROR(SEARCH("Sell",E329)))</formula>
    </cfRule>
  </conditionalFormatting>
  <conditionalFormatting sqref="E325:E326">
    <cfRule type="containsText" dxfId="3588" priority="386" operator="containsText" text="Buy">
      <formula>NOT(ISERROR(SEARCH("Buy",E325)))</formula>
    </cfRule>
    <cfRule type="containsText" dxfId="3587" priority="387" operator="containsText" text="Sell">
      <formula>NOT(ISERROR(SEARCH("Sell",E325)))</formula>
    </cfRule>
  </conditionalFormatting>
  <conditionalFormatting sqref="E190:E191">
    <cfRule type="containsText" dxfId="3586" priority="384" operator="containsText" text="Buy">
      <formula>NOT(ISERROR(SEARCH("Buy",E190)))</formula>
    </cfRule>
    <cfRule type="containsText" dxfId="3585" priority="385" operator="containsText" text="Sell">
      <formula>NOT(ISERROR(SEARCH("Sell",E190)))</formula>
    </cfRule>
  </conditionalFormatting>
  <conditionalFormatting sqref="E185:E186">
    <cfRule type="containsText" dxfId="3584" priority="382" operator="containsText" text="Buy">
      <formula>NOT(ISERROR(SEARCH("Buy",E185)))</formula>
    </cfRule>
    <cfRule type="containsText" dxfId="3583" priority="383" operator="containsText" text="Sell">
      <formula>NOT(ISERROR(SEARCH("Sell",E185)))</formula>
    </cfRule>
  </conditionalFormatting>
  <conditionalFormatting sqref="E202">
    <cfRule type="containsText" dxfId="3582" priority="380" operator="containsText" text="Buy">
      <formula>NOT(ISERROR(SEARCH("Buy",E202)))</formula>
    </cfRule>
    <cfRule type="containsText" dxfId="3581" priority="381" operator="containsText" text="Sell">
      <formula>NOT(ISERROR(SEARCH("Sell",E202)))</formula>
    </cfRule>
  </conditionalFormatting>
  <conditionalFormatting sqref="E201">
    <cfRule type="containsText" dxfId="3580" priority="378" operator="containsText" text="Buy">
      <formula>NOT(ISERROR(SEARCH("Buy",E201)))</formula>
    </cfRule>
    <cfRule type="containsText" dxfId="3579" priority="379" operator="containsText" text="Sell">
      <formula>NOT(ISERROR(SEARCH("Sell",E201)))</formula>
    </cfRule>
  </conditionalFormatting>
  <conditionalFormatting sqref="E197">
    <cfRule type="containsText" dxfId="3578" priority="376" operator="containsText" text="Buy">
      <formula>NOT(ISERROR(SEARCH("Buy",E197)))</formula>
    </cfRule>
    <cfRule type="containsText" dxfId="3577" priority="377" operator="containsText" text="Sell">
      <formula>NOT(ISERROR(SEARCH("Sell",E197)))</formula>
    </cfRule>
  </conditionalFormatting>
  <conditionalFormatting sqref="E322:E324">
    <cfRule type="containsText" dxfId="3576" priority="374" operator="containsText" text="Buy">
      <formula>NOT(ISERROR(SEARCH("Buy",E322)))</formula>
    </cfRule>
    <cfRule type="containsText" dxfId="3575" priority="375" operator="containsText" text="Sell">
      <formula>NOT(ISERROR(SEARCH("Sell",E322)))</formula>
    </cfRule>
  </conditionalFormatting>
  <conditionalFormatting sqref="E319:E320">
    <cfRule type="containsText" dxfId="3574" priority="372" operator="containsText" text="Buy">
      <formula>NOT(ISERROR(SEARCH("Buy",E319)))</formula>
    </cfRule>
    <cfRule type="containsText" dxfId="3573" priority="373" operator="containsText" text="Sell">
      <formula>NOT(ISERROR(SEARCH("Sell",E319)))</formula>
    </cfRule>
  </conditionalFormatting>
  <conditionalFormatting sqref="E313:E315">
    <cfRule type="containsText" dxfId="3572" priority="370" operator="containsText" text="Buy">
      <formula>NOT(ISERROR(SEARCH("Buy",E313)))</formula>
    </cfRule>
    <cfRule type="containsText" dxfId="3571" priority="371" operator="containsText" text="Sell">
      <formula>NOT(ISERROR(SEARCH("Sell",E313)))</formula>
    </cfRule>
  </conditionalFormatting>
  <conditionalFormatting sqref="E309:E310">
    <cfRule type="containsText" dxfId="3570" priority="368" operator="containsText" text="Buy">
      <formula>NOT(ISERROR(SEARCH("Buy",E309)))</formula>
    </cfRule>
    <cfRule type="containsText" dxfId="3569" priority="369" operator="containsText" text="Sell">
      <formula>NOT(ISERROR(SEARCH("Sell",E309)))</formula>
    </cfRule>
  </conditionalFormatting>
  <conditionalFormatting sqref="E318">
    <cfRule type="containsText" dxfId="3568" priority="366" operator="containsText" text="Buy">
      <formula>NOT(ISERROR(SEARCH("Buy",E318)))</formula>
    </cfRule>
    <cfRule type="containsText" dxfId="3567" priority="367" operator="containsText" text="Sell">
      <formula>NOT(ISERROR(SEARCH("Sell",E318)))</formula>
    </cfRule>
  </conditionalFormatting>
  <conditionalFormatting sqref="E298">
    <cfRule type="containsText" dxfId="3566" priority="364" operator="containsText" text="Buy">
      <formula>NOT(ISERROR(SEARCH("Buy",E298)))</formula>
    </cfRule>
    <cfRule type="containsText" dxfId="3565" priority="365" operator="containsText" text="Sell">
      <formula>NOT(ISERROR(SEARCH("Sell",E298)))</formula>
    </cfRule>
  </conditionalFormatting>
  <conditionalFormatting sqref="E297">
    <cfRule type="containsText" dxfId="3564" priority="362" operator="containsText" text="Buy">
      <formula>NOT(ISERROR(SEARCH("Buy",E297)))</formula>
    </cfRule>
    <cfRule type="containsText" dxfId="3563" priority="363" operator="containsText" text="Sell">
      <formula>NOT(ISERROR(SEARCH("Sell",E297)))</formula>
    </cfRule>
  </conditionalFormatting>
  <conditionalFormatting sqref="E296">
    <cfRule type="containsText" dxfId="3562" priority="360" operator="containsText" text="Buy">
      <formula>NOT(ISERROR(SEARCH("Buy",E296)))</formula>
    </cfRule>
    <cfRule type="containsText" dxfId="3561" priority="361" operator="containsText" text="Sell">
      <formula>NOT(ISERROR(SEARCH("Sell",E296)))</formula>
    </cfRule>
  </conditionalFormatting>
  <conditionalFormatting sqref="E253">
    <cfRule type="containsText" dxfId="3560" priority="358" operator="containsText" text="Buy">
      <formula>NOT(ISERROR(SEARCH("Buy",E253)))</formula>
    </cfRule>
    <cfRule type="containsText" dxfId="3559" priority="359" operator="containsText" text="Sell">
      <formula>NOT(ISERROR(SEARCH("Sell",E253)))</formula>
    </cfRule>
  </conditionalFormatting>
  <conditionalFormatting sqref="E272">
    <cfRule type="containsText" dxfId="3558" priority="356" operator="containsText" text="Buy">
      <formula>NOT(ISERROR(SEARCH("Buy",E272)))</formula>
    </cfRule>
    <cfRule type="containsText" dxfId="3557" priority="357" operator="containsText" text="Sell">
      <formula>NOT(ISERROR(SEARCH("Sell",E272)))</formula>
    </cfRule>
  </conditionalFormatting>
  <conditionalFormatting sqref="E166:E167">
    <cfRule type="containsText" dxfId="3556" priority="354" operator="containsText" text="Buy">
      <formula>NOT(ISERROR(SEARCH("Buy",E166)))</formula>
    </cfRule>
    <cfRule type="containsText" dxfId="3555" priority="355" operator="containsText" text="Sell">
      <formula>NOT(ISERROR(SEARCH("Sell",E166)))</formula>
    </cfRule>
  </conditionalFormatting>
  <conditionalFormatting sqref="E295">
    <cfRule type="containsText" dxfId="3554" priority="350" operator="containsText" text="Buy">
      <formula>NOT(ISERROR(SEARCH("Buy",E295)))</formula>
    </cfRule>
    <cfRule type="containsText" dxfId="3553" priority="351" operator="containsText" text="Sell">
      <formula>NOT(ISERROR(SEARCH("Sell",E295)))</formula>
    </cfRule>
  </conditionalFormatting>
  <conditionalFormatting sqref="E205">
    <cfRule type="containsText" dxfId="3552" priority="352" operator="containsText" text="Buy">
      <formula>NOT(ISERROR(SEARCH("Buy",E205)))</formula>
    </cfRule>
    <cfRule type="containsText" dxfId="3551" priority="353" operator="containsText" text="Sell">
      <formula>NOT(ISERROR(SEARCH("Sell",E205)))</formula>
    </cfRule>
  </conditionalFormatting>
  <conditionalFormatting sqref="E294">
    <cfRule type="containsText" dxfId="3550" priority="348" operator="containsText" text="Buy">
      <formula>NOT(ISERROR(SEARCH("Buy",E294)))</formula>
    </cfRule>
    <cfRule type="containsText" dxfId="3549" priority="349" operator="containsText" text="Sell">
      <formula>NOT(ISERROR(SEARCH("Sell",E294)))</formula>
    </cfRule>
  </conditionalFormatting>
  <conditionalFormatting sqref="E293">
    <cfRule type="containsText" dxfId="3548" priority="346" operator="containsText" text="Buy">
      <formula>NOT(ISERROR(SEARCH("Buy",E293)))</formula>
    </cfRule>
    <cfRule type="containsText" dxfId="3547" priority="347" operator="containsText" text="Sell">
      <formula>NOT(ISERROR(SEARCH("Sell",E293)))</formula>
    </cfRule>
  </conditionalFormatting>
  <conditionalFormatting sqref="E292">
    <cfRule type="containsText" dxfId="3546" priority="344" operator="containsText" text="Buy">
      <formula>NOT(ISERROR(SEARCH("Buy",E292)))</formula>
    </cfRule>
    <cfRule type="containsText" dxfId="3545" priority="345" operator="containsText" text="Sell">
      <formula>NOT(ISERROR(SEARCH("Sell",E292)))</formula>
    </cfRule>
  </conditionalFormatting>
  <conditionalFormatting sqref="E291">
    <cfRule type="containsText" dxfId="3544" priority="342" operator="containsText" text="Buy">
      <formula>NOT(ISERROR(SEARCH("Buy",E291)))</formula>
    </cfRule>
    <cfRule type="containsText" dxfId="3543" priority="343" operator="containsText" text="Sell">
      <formula>NOT(ISERROR(SEARCH("Sell",E291)))</formula>
    </cfRule>
  </conditionalFormatting>
  <conditionalFormatting sqref="E171:E173 E184">
    <cfRule type="containsText" dxfId="3542" priority="340" operator="containsText" text="Buy">
      <formula>NOT(ISERROR(SEARCH("Buy",E171)))</formula>
    </cfRule>
    <cfRule type="containsText" dxfId="3541" priority="341" operator="containsText" text="Sell">
      <formula>NOT(ISERROR(SEARCH("Sell",E171)))</formula>
    </cfRule>
  </conditionalFormatting>
  <conditionalFormatting sqref="E161:E162">
    <cfRule type="containsText" dxfId="3540" priority="338" operator="containsText" text="Buy">
      <formula>NOT(ISERROR(SEARCH("Buy",E161)))</formula>
    </cfRule>
    <cfRule type="containsText" dxfId="3539" priority="339" operator="containsText" text="Sell">
      <formula>NOT(ISERROR(SEARCH("Sell",E161)))</formula>
    </cfRule>
  </conditionalFormatting>
  <conditionalFormatting sqref="E155:E156">
    <cfRule type="containsText" dxfId="3538" priority="336" operator="containsText" text="Buy">
      <formula>NOT(ISERROR(SEARCH("Buy",E155)))</formula>
    </cfRule>
    <cfRule type="containsText" dxfId="3537" priority="337" operator="containsText" text="Sell">
      <formula>NOT(ISERROR(SEARCH("Sell",E155)))</formula>
    </cfRule>
  </conditionalFormatting>
  <conditionalFormatting sqref="E182:E183">
    <cfRule type="containsText" dxfId="3536" priority="334" operator="containsText" text="Buy">
      <formula>NOT(ISERROR(SEARCH("Buy",E182)))</formula>
    </cfRule>
    <cfRule type="containsText" dxfId="3535" priority="335" operator="containsText" text="Sell">
      <formula>NOT(ISERROR(SEARCH("Sell",E182)))</formula>
    </cfRule>
  </conditionalFormatting>
  <conditionalFormatting sqref="E181">
    <cfRule type="containsText" dxfId="3534" priority="332" operator="containsText" text="Buy">
      <formula>NOT(ISERROR(SEARCH("Buy",E181)))</formula>
    </cfRule>
    <cfRule type="containsText" dxfId="3533" priority="333" operator="containsText" text="Sell">
      <formula>NOT(ISERROR(SEARCH("Sell",E181)))</formula>
    </cfRule>
  </conditionalFormatting>
  <conditionalFormatting sqref="E264">
    <cfRule type="containsText" dxfId="3532" priority="330" operator="containsText" text="Buy">
      <formula>NOT(ISERROR(SEARCH("Buy",E264)))</formula>
    </cfRule>
    <cfRule type="containsText" dxfId="3531" priority="331" operator="containsText" text="Sell">
      <formula>NOT(ISERROR(SEARCH("Sell",E264)))</formula>
    </cfRule>
  </conditionalFormatting>
  <conditionalFormatting sqref="E263">
    <cfRule type="containsText" dxfId="3530" priority="328" operator="containsText" text="Buy">
      <formula>NOT(ISERROR(SEARCH("Buy",E263)))</formula>
    </cfRule>
    <cfRule type="containsText" dxfId="3529" priority="329" operator="containsText" text="Sell">
      <formula>NOT(ISERROR(SEARCH("Sell",E263)))</formula>
    </cfRule>
  </conditionalFormatting>
  <conditionalFormatting sqref="E152:E153">
    <cfRule type="containsText" dxfId="3528" priority="326" operator="containsText" text="Buy">
      <formula>NOT(ISERROR(SEARCH("Buy",E152)))</formula>
    </cfRule>
    <cfRule type="containsText" dxfId="3527" priority="327" operator="containsText" text="Sell">
      <formula>NOT(ISERROR(SEARCH("Sell",E152)))</formula>
    </cfRule>
  </conditionalFormatting>
  <conditionalFormatting sqref="E151">
    <cfRule type="containsText" dxfId="3526" priority="324" operator="containsText" text="Buy">
      <formula>NOT(ISERROR(SEARCH("Buy",E151)))</formula>
    </cfRule>
    <cfRule type="containsText" dxfId="3525" priority="325" operator="containsText" text="Sell">
      <formula>NOT(ISERROR(SEARCH("Sell",E151)))</formula>
    </cfRule>
  </conditionalFormatting>
  <conditionalFormatting sqref="E150">
    <cfRule type="containsText" dxfId="3524" priority="322" operator="containsText" text="Buy">
      <formula>NOT(ISERROR(SEARCH("Buy",E150)))</formula>
    </cfRule>
    <cfRule type="containsText" dxfId="3523" priority="323" operator="containsText" text="Sell">
      <formula>NOT(ISERROR(SEARCH("Sell",E150)))</formula>
    </cfRule>
  </conditionalFormatting>
  <conditionalFormatting sqref="E147">
    <cfRule type="containsText" dxfId="3522" priority="320" operator="containsText" text="Buy">
      <formula>NOT(ISERROR(SEARCH("Buy",E147)))</formula>
    </cfRule>
    <cfRule type="containsText" dxfId="3521" priority="321" operator="containsText" text="Sell">
      <formula>NOT(ISERROR(SEARCH("Sell",E147)))</formula>
    </cfRule>
  </conditionalFormatting>
  <conditionalFormatting sqref="E146">
    <cfRule type="containsText" dxfId="3520" priority="318" operator="containsText" text="Buy">
      <formula>NOT(ISERROR(SEARCH("Buy",E146)))</formula>
    </cfRule>
    <cfRule type="containsText" dxfId="3519" priority="319" operator="containsText" text="Sell">
      <formula>NOT(ISERROR(SEARCH("Sell",E146)))</formula>
    </cfRule>
  </conditionalFormatting>
  <conditionalFormatting sqref="E143">
    <cfRule type="containsText" dxfId="3518" priority="316" operator="containsText" text="Buy">
      <formula>NOT(ISERROR(SEARCH("Buy",E143)))</formula>
    </cfRule>
    <cfRule type="containsText" dxfId="3517" priority="317" operator="containsText" text="Sell">
      <formula>NOT(ISERROR(SEARCH("Sell",E143)))</formula>
    </cfRule>
  </conditionalFormatting>
  <conditionalFormatting sqref="E142">
    <cfRule type="containsText" dxfId="3516" priority="314" operator="containsText" text="Buy">
      <formula>NOT(ISERROR(SEARCH("Buy",E142)))</formula>
    </cfRule>
    <cfRule type="containsText" dxfId="3515" priority="315" operator="containsText" text="Sell">
      <formula>NOT(ISERROR(SEARCH("Sell",E142)))</formula>
    </cfRule>
  </conditionalFormatting>
  <conditionalFormatting sqref="E141">
    <cfRule type="containsText" dxfId="3514" priority="312" operator="containsText" text="Buy">
      <formula>NOT(ISERROR(SEARCH("Buy",E141)))</formula>
    </cfRule>
    <cfRule type="containsText" dxfId="3513" priority="313" operator="containsText" text="Sell">
      <formula>NOT(ISERROR(SEARCH("Sell",E141)))</formula>
    </cfRule>
  </conditionalFormatting>
  <conditionalFormatting sqref="E139:E140">
    <cfRule type="containsText" dxfId="3512" priority="310" operator="containsText" text="Buy">
      <formula>NOT(ISERROR(SEARCH("Buy",E139)))</formula>
    </cfRule>
    <cfRule type="containsText" dxfId="3511" priority="311" operator="containsText" text="Sell">
      <formula>NOT(ISERROR(SEARCH("Sell",E139)))</formula>
    </cfRule>
  </conditionalFormatting>
  <conditionalFormatting sqref="E136 E132:E133">
    <cfRule type="containsText" dxfId="3510" priority="308" operator="containsText" text="Buy">
      <formula>NOT(ISERROR(SEARCH("Buy",E132)))</formula>
    </cfRule>
    <cfRule type="containsText" dxfId="3509" priority="309" operator="containsText" text="Sell">
      <formula>NOT(ISERROR(SEARCH("Sell",E132)))</formula>
    </cfRule>
  </conditionalFormatting>
  <conditionalFormatting sqref="E128">
    <cfRule type="containsText" dxfId="3508" priority="306" operator="containsText" text="Buy">
      <formula>NOT(ISERROR(SEARCH("Buy",E128)))</formula>
    </cfRule>
    <cfRule type="containsText" dxfId="3507" priority="307" operator="containsText" text="Sell">
      <formula>NOT(ISERROR(SEARCH("Sell",E128)))</formula>
    </cfRule>
  </conditionalFormatting>
  <conditionalFormatting sqref="E127">
    <cfRule type="containsText" dxfId="3506" priority="304" operator="containsText" text="Buy">
      <formula>NOT(ISERROR(SEARCH("Buy",E127)))</formula>
    </cfRule>
    <cfRule type="containsText" dxfId="3505" priority="305" operator="containsText" text="Sell">
      <formula>NOT(ISERROR(SEARCH("Sell",E127)))</formula>
    </cfRule>
  </conditionalFormatting>
  <conditionalFormatting sqref="E135">
    <cfRule type="containsText" dxfId="3504" priority="302" operator="containsText" text="Buy">
      <formula>NOT(ISERROR(SEARCH("Buy",E135)))</formula>
    </cfRule>
    <cfRule type="containsText" dxfId="3503" priority="303" operator="containsText" text="Sell">
      <formula>NOT(ISERROR(SEARCH("Sell",E135)))</formula>
    </cfRule>
  </conditionalFormatting>
  <conditionalFormatting sqref="E134">
    <cfRule type="containsText" dxfId="3502" priority="300" operator="containsText" text="Buy">
      <formula>NOT(ISERROR(SEARCH("Buy",E134)))</formula>
    </cfRule>
    <cfRule type="containsText" dxfId="3501" priority="301" operator="containsText" text="Sell">
      <formula>NOT(ISERROR(SEARCH("Sell",E134)))</formula>
    </cfRule>
  </conditionalFormatting>
  <conditionalFormatting sqref="E268">
    <cfRule type="containsText" dxfId="3500" priority="298" operator="containsText" text="Buy">
      <formula>NOT(ISERROR(SEARCH("Buy",E268)))</formula>
    </cfRule>
    <cfRule type="containsText" dxfId="3499" priority="299" operator="containsText" text="Sell">
      <formula>NOT(ISERROR(SEARCH("Sell",E268)))</formula>
    </cfRule>
  </conditionalFormatting>
  <conditionalFormatting sqref="E189">
    <cfRule type="containsText" dxfId="3498" priority="296" operator="containsText" text="Buy">
      <formula>NOT(ISERROR(SEARCH("Buy",E189)))</formula>
    </cfRule>
    <cfRule type="containsText" dxfId="3497" priority="297" operator="containsText" text="Sell">
      <formula>NOT(ISERROR(SEARCH("Sell",E189)))</formula>
    </cfRule>
  </conditionalFormatting>
  <conditionalFormatting sqref="E236">
    <cfRule type="containsText" dxfId="3496" priority="294" operator="containsText" text="Buy">
      <formula>NOT(ISERROR(SEARCH("Buy",E236)))</formula>
    </cfRule>
    <cfRule type="containsText" dxfId="3495" priority="295" operator="containsText" text="Sell">
      <formula>NOT(ISERROR(SEARCH("Sell",E236)))</formula>
    </cfRule>
  </conditionalFormatting>
  <conditionalFormatting sqref="E131">
    <cfRule type="containsText" dxfId="3494" priority="292" operator="containsText" text="Buy">
      <formula>NOT(ISERROR(SEARCH("Buy",E131)))</formula>
    </cfRule>
    <cfRule type="containsText" dxfId="3493" priority="293" operator="containsText" text="Sell">
      <formula>NOT(ISERROR(SEARCH("Sell",E131)))</formula>
    </cfRule>
  </conditionalFormatting>
  <conditionalFormatting sqref="E121">
    <cfRule type="containsText" dxfId="3492" priority="290" operator="containsText" text="Buy">
      <formula>NOT(ISERROR(SEARCH("Buy",E121)))</formula>
    </cfRule>
    <cfRule type="containsText" dxfId="3491" priority="291" operator="containsText" text="Sell">
      <formula>NOT(ISERROR(SEARCH("Sell",E121)))</formula>
    </cfRule>
  </conditionalFormatting>
  <conditionalFormatting sqref="E235">
    <cfRule type="containsText" dxfId="3490" priority="288" operator="containsText" text="Buy">
      <formula>NOT(ISERROR(SEARCH("Buy",E235)))</formula>
    </cfRule>
    <cfRule type="containsText" dxfId="3489" priority="289" operator="containsText" text="Sell">
      <formula>NOT(ISERROR(SEARCH("Sell",E235)))</formula>
    </cfRule>
  </conditionalFormatting>
  <conditionalFormatting sqref="E234">
    <cfRule type="containsText" dxfId="3488" priority="286" operator="containsText" text="Buy">
      <formula>NOT(ISERROR(SEARCH("Buy",E234)))</formula>
    </cfRule>
    <cfRule type="containsText" dxfId="3487" priority="287" operator="containsText" text="Sell">
      <formula>NOT(ISERROR(SEARCH("Sell",E234)))</formula>
    </cfRule>
  </conditionalFormatting>
  <conditionalFormatting sqref="E305:E307">
    <cfRule type="containsText" dxfId="3486" priority="284" operator="containsText" text="Buy">
      <formula>NOT(ISERROR(SEARCH("Buy",E305)))</formula>
    </cfRule>
    <cfRule type="containsText" dxfId="3485" priority="285" operator="containsText" text="Sell">
      <formula>NOT(ISERROR(SEARCH("Sell",E305)))</formula>
    </cfRule>
  </conditionalFormatting>
  <conditionalFormatting sqref="E290">
    <cfRule type="containsText" dxfId="3484" priority="282" operator="containsText" text="Buy">
      <formula>NOT(ISERROR(SEARCH("Buy",E290)))</formula>
    </cfRule>
    <cfRule type="containsText" dxfId="3483" priority="283" operator="containsText" text="Sell">
      <formula>NOT(ISERROR(SEARCH("Sell",E290)))</formula>
    </cfRule>
  </conditionalFormatting>
  <conditionalFormatting sqref="E289">
    <cfRule type="containsText" dxfId="3482" priority="280" operator="containsText" text="Buy">
      <formula>NOT(ISERROR(SEARCH("Buy",E289)))</formula>
    </cfRule>
    <cfRule type="containsText" dxfId="3481" priority="281" operator="containsText" text="Sell">
      <formula>NOT(ISERROR(SEARCH("Sell",E289)))</formula>
    </cfRule>
  </conditionalFormatting>
  <conditionalFormatting sqref="E126">
    <cfRule type="containsText" dxfId="3480" priority="278" operator="containsText" text="Buy">
      <formula>NOT(ISERROR(SEARCH("Buy",E126)))</formula>
    </cfRule>
    <cfRule type="containsText" dxfId="3479" priority="279" operator="containsText" text="Sell">
      <formula>NOT(ISERROR(SEARCH("Sell",E126)))</formula>
    </cfRule>
  </conditionalFormatting>
  <conditionalFormatting sqref="E255">
    <cfRule type="containsText" dxfId="3478" priority="276" operator="containsText" text="Buy">
      <formula>NOT(ISERROR(SEARCH("Buy",E255)))</formula>
    </cfRule>
    <cfRule type="containsText" dxfId="3477" priority="277" operator="containsText" text="Sell">
      <formula>NOT(ISERROR(SEARCH("Sell",E255)))</formula>
    </cfRule>
  </conditionalFormatting>
  <conditionalFormatting sqref="E252">
    <cfRule type="containsText" dxfId="3476" priority="274" operator="containsText" text="Buy">
      <formula>NOT(ISERROR(SEARCH("Buy",E252)))</formula>
    </cfRule>
    <cfRule type="containsText" dxfId="3475" priority="275" operator="containsText" text="Sell">
      <formula>NOT(ISERROR(SEARCH("Sell",E252)))</formula>
    </cfRule>
  </conditionalFormatting>
  <conditionalFormatting sqref="E117:E118">
    <cfRule type="containsText" dxfId="3474" priority="272" operator="containsText" text="Buy">
      <formula>NOT(ISERROR(SEARCH("Buy",E117)))</formula>
    </cfRule>
    <cfRule type="containsText" dxfId="3473" priority="273" operator="containsText" text="Sell">
      <formula>NOT(ISERROR(SEARCH("Sell",E117)))</formula>
    </cfRule>
  </conditionalFormatting>
  <conditionalFormatting sqref="E114:E115">
    <cfRule type="containsText" dxfId="3472" priority="270" operator="containsText" text="Buy">
      <formula>NOT(ISERROR(SEARCH("Buy",E114)))</formula>
    </cfRule>
    <cfRule type="containsText" dxfId="3471" priority="271" operator="containsText" text="Sell">
      <formula>NOT(ISERROR(SEARCH("Sell",E114)))</formula>
    </cfRule>
  </conditionalFormatting>
  <conditionalFormatting sqref="E288">
    <cfRule type="containsText" dxfId="3470" priority="268" operator="containsText" text="Buy">
      <formula>NOT(ISERROR(SEARCH("Buy",E288)))</formula>
    </cfRule>
    <cfRule type="containsText" dxfId="3469" priority="269" operator="containsText" text="Sell">
      <formula>NOT(ISERROR(SEARCH("Sell",E288)))</formula>
    </cfRule>
  </conditionalFormatting>
  <conditionalFormatting sqref="E111:E112">
    <cfRule type="containsText" dxfId="3468" priority="266" operator="containsText" text="Buy">
      <formula>NOT(ISERROR(SEARCH("Buy",E111)))</formula>
    </cfRule>
    <cfRule type="containsText" dxfId="3467" priority="267" operator="containsText" text="Sell">
      <formula>NOT(ISERROR(SEARCH("Sell",E111)))</formula>
    </cfRule>
  </conditionalFormatting>
  <conditionalFormatting sqref="E108:E109">
    <cfRule type="containsText" dxfId="3466" priority="264" operator="containsText" text="Buy">
      <formula>NOT(ISERROR(SEARCH("Buy",E108)))</formula>
    </cfRule>
    <cfRule type="containsText" dxfId="3465" priority="265" operator="containsText" text="Sell">
      <formula>NOT(ISERROR(SEARCH("Sell",E108)))</formula>
    </cfRule>
  </conditionalFormatting>
  <conditionalFormatting sqref="E180">
    <cfRule type="containsText" dxfId="3464" priority="262" operator="containsText" text="Buy">
      <formula>NOT(ISERROR(SEARCH("Buy",E180)))</formula>
    </cfRule>
    <cfRule type="containsText" dxfId="3463" priority="263" operator="containsText" text="Sell">
      <formula>NOT(ISERROR(SEARCH("Sell",E180)))</formula>
    </cfRule>
  </conditionalFormatting>
  <conditionalFormatting sqref="E106">
    <cfRule type="containsText" dxfId="3462" priority="260" operator="containsText" text="Buy">
      <formula>NOT(ISERROR(SEARCH("Buy",E106)))</formula>
    </cfRule>
    <cfRule type="containsText" dxfId="3461" priority="261" operator="containsText" text="Sell">
      <formula>NOT(ISERROR(SEARCH("Sell",E106)))</formula>
    </cfRule>
  </conditionalFormatting>
  <conditionalFormatting sqref="E105">
    <cfRule type="containsText" dxfId="3460" priority="258" operator="containsText" text="Buy">
      <formula>NOT(ISERROR(SEARCH("Buy",E105)))</formula>
    </cfRule>
    <cfRule type="containsText" dxfId="3459" priority="259" operator="containsText" text="Sell">
      <formula>NOT(ISERROR(SEARCH("Sell",E105)))</formula>
    </cfRule>
  </conditionalFormatting>
  <conditionalFormatting sqref="E317">
    <cfRule type="containsText" dxfId="3458" priority="256" operator="containsText" text="Buy">
      <formula>NOT(ISERROR(SEARCH("Buy",E317)))</formula>
    </cfRule>
    <cfRule type="containsText" dxfId="3457" priority="257" operator="containsText" text="Sell">
      <formula>NOT(ISERROR(SEARCH("Sell",E317)))</formula>
    </cfRule>
  </conditionalFormatting>
  <conditionalFormatting sqref="E334">
    <cfRule type="containsText" dxfId="3456" priority="254" operator="containsText" text="Buy">
      <formula>NOT(ISERROR(SEARCH("Buy",E334)))</formula>
    </cfRule>
    <cfRule type="containsText" dxfId="3455" priority="255" operator="containsText" text="Sell">
      <formula>NOT(ISERROR(SEARCH("Sell",E334)))</formula>
    </cfRule>
  </conditionalFormatting>
  <conditionalFormatting sqref="E97:E98">
    <cfRule type="containsText" dxfId="3454" priority="252" operator="containsText" text="Buy">
      <formula>NOT(ISERROR(SEARCH("Buy",E97)))</formula>
    </cfRule>
    <cfRule type="containsText" dxfId="3453" priority="253" operator="containsText" text="Sell">
      <formula>NOT(ISERROR(SEARCH("Sell",E97)))</formula>
    </cfRule>
  </conditionalFormatting>
  <conditionalFormatting sqref="E312">
    <cfRule type="containsText" dxfId="3452" priority="250" operator="containsText" text="Buy">
      <formula>NOT(ISERROR(SEARCH("Buy",E312)))</formula>
    </cfRule>
    <cfRule type="containsText" dxfId="3451" priority="251" operator="containsText" text="Sell">
      <formula>NOT(ISERROR(SEARCH("Sell",E312)))</formula>
    </cfRule>
  </conditionalFormatting>
  <conditionalFormatting sqref="E308">
    <cfRule type="containsText" dxfId="3450" priority="248" operator="containsText" text="Buy">
      <formula>NOT(ISERROR(SEARCH("Buy",E308)))</formula>
    </cfRule>
    <cfRule type="containsText" dxfId="3449" priority="249" operator="containsText" text="Sell">
      <formula>NOT(ISERROR(SEARCH("Sell",E308)))</formula>
    </cfRule>
  </conditionalFormatting>
  <conditionalFormatting sqref="E46 E89 E86 E83 E80 E71 E65">
    <cfRule type="containsText" dxfId="3448" priority="246" operator="containsText" text="Buy">
      <formula>NOT(ISERROR(SEARCH("Buy",E46)))</formula>
    </cfRule>
    <cfRule type="containsText" dxfId="3447" priority="247" operator="containsText" text="Sell">
      <formula>NOT(ISERROR(SEARCH("Sell",E46)))</formula>
    </cfRule>
  </conditionalFormatting>
  <conditionalFormatting sqref="E179">
    <cfRule type="containsText" dxfId="3446" priority="244" operator="containsText" text="Buy">
      <formula>NOT(ISERROR(SEARCH("Buy",E179)))</formula>
    </cfRule>
    <cfRule type="containsText" dxfId="3445" priority="245" operator="containsText" text="Sell">
      <formula>NOT(ISERROR(SEARCH("Sell",E179)))</formula>
    </cfRule>
  </conditionalFormatting>
  <conditionalFormatting sqref="E233">
    <cfRule type="containsText" dxfId="3444" priority="242" operator="containsText" text="Buy">
      <formula>NOT(ISERROR(SEARCH("Buy",E233)))</formula>
    </cfRule>
    <cfRule type="containsText" dxfId="3443" priority="243" operator="containsText" text="Sell">
      <formula>NOT(ISERROR(SEARCH("Sell",E233)))</formula>
    </cfRule>
  </conditionalFormatting>
  <conditionalFormatting sqref="E188">
    <cfRule type="containsText" dxfId="3442" priority="240" operator="containsText" text="Buy">
      <formula>NOT(ISERROR(SEARCH("Buy",E188)))</formula>
    </cfRule>
    <cfRule type="containsText" dxfId="3441" priority="241" operator="containsText" text="Sell">
      <formula>NOT(ISERROR(SEARCH("Sell",E188)))</formula>
    </cfRule>
  </conditionalFormatting>
  <conditionalFormatting sqref="E123">
    <cfRule type="containsText" dxfId="3440" priority="238" operator="containsText" text="Buy">
      <formula>NOT(ISERROR(SEARCH("Buy",E123)))</formula>
    </cfRule>
    <cfRule type="containsText" dxfId="3439" priority="239" operator="containsText" text="Sell">
      <formula>NOT(ISERROR(SEARCH("Sell",E123)))</formula>
    </cfRule>
  </conditionalFormatting>
  <conditionalFormatting sqref="E279">
    <cfRule type="containsText" dxfId="3438" priority="236" operator="containsText" text="Buy">
      <formula>NOT(ISERROR(SEARCH("Buy",E279)))</formula>
    </cfRule>
    <cfRule type="containsText" dxfId="3437" priority="237" operator="containsText" text="Sell">
      <formula>NOT(ISERROR(SEARCH("Sell",E279)))</formula>
    </cfRule>
  </conditionalFormatting>
  <conditionalFormatting sqref="E333">
    <cfRule type="containsText" dxfId="3436" priority="234" operator="containsText" text="Buy">
      <formula>NOT(ISERROR(SEARCH("Buy",E333)))</formula>
    </cfRule>
    <cfRule type="containsText" dxfId="3435" priority="235" operator="containsText" text="Sell">
      <formula>NOT(ISERROR(SEARCH("Sell",E333)))</formula>
    </cfRule>
  </conditionalFormatting>
  <conditionalFormatting sqref="E84:E85">
    <cfRule type="containsText" dxfId="3434" priority="218" operator="containsText" text="Buy">
      <formula>NOT(ISERROR(SEARCH("Buy",E84)))</formula>
    </cfRule>
    <cfRule type="containsText" dxfId="3433" priority="219" operator="containsText" text="Sell">
      <formula>NOT(ISERROR(SEARCH("Sell",E84)))</formula>
    </cfRule>
  </conditionalFormatting>
  <conditionalFormatting sqref="E94:E95">
    <cfRule type="containsText" dxfId="3432" priority="232" operator="containsText" text="Buy">
      <formula>NOT(ISERROR(SEARCH("Buy",E94)))</formula>
    </cfRule>
    <cfRule type="containsText" dxfId="3431" priority="233" operator="containsText" text="Sell">
      <formula>NOT(ISERROR(SEARCH("Sell",E94)))</formula>
    </cfRule>
  </conditionalFormatting>
  <conditionalFormatting sqref="E178">
    <cfRule type="containsText" dxfId="3430" priority="230" operator="containsText" text="Buy">
      <formula>NOT(ISERROR(SEARCH("Buy",E178)))</formula>
    </cfRule>
    <cfRule type="containsText" dxfId="3429" priority="231" operator="containsText" text="Sell">
      <formula>NOT(ISERROR(SEARCH("Sell",E178)))</formula>
    </cfRule>
  </conditionalFormatting>
  <conditionalFormatting sqref="E43">
    <cfRule type="containsText" dxfId="3428" priority="228" operator="containsText" text="Buy">
      <formula>NOT(ISERROR(SEARCH("Buy",E43)))</formula>
    </cfRule>
    <cfRule type="containsText" dxfId="3427" priority="229" operator="containsText" text="Sell">
      <formula>NOT(ISERROR(SEARCH("Sell",E43)))</formula>
    </cfRule>
  </conditionalFormatting>
  <conditionalFormatting sqref="E251">
    <cfRule type="containsText" dxfId="3426" priority="226" operator="containsText" text="Buy">
      <formula>NOT(ISERROR(SEARCH("Buy",E251)))</formula>
    </cfRule>
    <cfRule type="containsText" dxfId="3425" priority="227" operator="containsText" text="Sell">
      <formula>NOT(ISERROR(SEARCH("Sell",E251)))</formula>
    </cfRule>
  </conditionalFormatting>
  <conditionalFormatting sqref="E90:E91">
    <cfRule type="containsText" dxfId="3424" priority="224" operator="containsText" text="Buy">
      <formula>NOT(ISERROR(SEARCH("Buy",E90)))</formula>
    </cfRule>
    <cfRule type="containsText" dxfId="3423" priority="225" operator="containsText" text="Sell">
      <formula>NOT(ISERROR(SEARCH("Sell",E90)))</formula>
    </cfRule>
  </conditionalFormatting>
  <conditionalFormatting sqref="E328">
    <cfRule type="containsText" dxfId="3422" priority="222" operator="containsText" text="Buy">
      <formula>NOT(ISERROR(SEARCH("Buy",E328)))</formula>
    </cfRule>
    <cfRule type="containsText" dxfId="3421" priority="223" operator="containsText" text="Sell">
      <formula>NOT(ISERROR(SEARCH("Sell",E328)))</formula>
    </cfRule>
  </conditionalFormatting>
  <conditionalFormatting sqref="E87:E88">
    <cfRule type="containsText" dxfId="3420" priority="220" operator="containsText" text="Buy">
      <formula>NOT(ISERROR(SEARCH("Buy",E87)))</formula>
    </cfRule>
    <cfRule type="containsText" dxfId="3419" priority="221" operator="containsText" text="Sell">
      <formula>NOT(ISERROR(SEARCH("Sell",E87)))</formula>
    </cfRule>
  </conditionalFormatting>
  <conditionalFormatting sqref="E278">
    <cfRule type="containsText" dxfId="3418" priority="202" operator="containsText" text="Buy">
      <formula>NOT(ISERROR(SEARCH("Buy",E278)))</formula>
    </cfRule>
    <cfRule type="containsText" dxfId="3417" priority="203" operator="containsText" text="Sell">
      <formula>NOT(ISERROR(SEARCH("Sell",E278)))</formula>
    </cfRule>
  </conditionalFormatting>
  <conditionalFormatting sqref="E218">
    <cfRule type="containsText" dxfId="3416" priority="216" operator="containsText" text="Buy">
      <formula>NOT(ISERROR(SEARCH("Buy",E218)))</formula>
    </cfRule>
    <cfRule type="containsText" dxfId="3415" priority="217" operator="containsText" text="Sell">
      <formula>NOT(ISERROR(SEARCH("Sell",E218)))</formula>
    </cfRule>
  </conditionalFormatting>
  <conditionalFormatting sqref="E332">
    <cfRule type="containsText" dxfId="3414" priority="214" operator="containsText" text="Buy">
      <formula>NOT(ISERROR(SEARCH("Buy",E332)))</formula>
    </cfRule>
    <cfRule type="containsText" dxfId="3413" priority="215" operator="containsText" text="Sell">
      <formula>NOT(ISERROR(SEARCH("Sell",E332)))</formula>
    </cfRule>
  </conditionalFormatting>
  <conditionalFormatting sqref="E316">
    <cfRule type="containsText" dxfId="3412" priority="212" operator="containsText" text="Buy">
      <formula>NOT(ISERROR(SEARCH("Buy",E316)))</formula>
    </cfRule>
    <cfRule type="containsText" dxfId="3411" priority="213" operator="containsText" text="Sell">
      <formula>NOT(ISERROR(SEARCH("Sell",E316)))</formula>
    </cfRule>
  </conditionalFormatting>
  <conditionalFormatting sqref="E93">
    <cfRule type="containsText" dxfId="3410" priority="210" operator="containsText" text="Buy">
      <formula>NOT(ISERROR(SEARCH("Buy",E93)))</formula>
    </cfRule>
    <cfRule type="containsText" dxfId="3409" priority="211" operator="containsText" text="Sell">
      <formula>NOT(ISERROR(SEARCH("Sell",E93)))</formula>
    </cfRule>
  </conditionalFormatting>
  <conditionalFormatting sqref="E81:E82">
    <cfRule type="containsText" dxfId="3408" priority="208" operator="containsText" text="Buy">
      <formula>NOT(ISERROR(SEARCH("Buy",E81)))</formula>
    </cfRule>
    <cfRule type="containsText" dxfId="3407" priority="209" operator="containsText" text="Sell">
      <formula>NOT(ISERROR(SEARCH("Sell",E81)))</formula>
    </cfRule>
  </conditionalFormatting>
  <conditionalFormatting sqref="E75:E77">
    <cfRule type="containsText" dxfId="3406" priority="206" operator="containsText" text="Buy">
      <formula>NOT(ISERROR(SEARCH("Buy",E75)))</formula>
    </cfRule>
    <cfRule type="containsText" dxfId="3405" priority="207" operator="containsText" text="Sell">
      <formula>NOT(ISERROR(SEARCH("Sell",E75)))</formula>
    </cfRule>
  </conditionalFormatting>
  <conditionalFormatting sqref="E100">
    <cfRule type="containsText" dxfId="3404" priority="204" operator="containsText" text="Buy">
      <formula>NOT(ISERROR(SEARCH("Buy",E100)))</formula>
    </cfRule>
    <cfRule type="containsText" dxfId="3403" priority="205" operator="containsText" text="Sell">
      <formula>NOT(ISERROR(SEARCH("Sell",E100)))</formula>
    </cfRule>
  </conditionalFormatting>
  <conditionalFormatting sqref="E249">
    <cfRule type="containsText" dxfId="3402" priority="198" operator="containsText" text="Buy">
      <formula>NOT(ISERROR(SEARCH("Buy",E249)))</formula>
    </cfRule>
    <cfRule type="containsText" dxfId="3401" priority="199" operator="containsText" text="Sell">
      <formula>NOT(ISERROR(SEARCH("Sell",E249)))</formula>
    </cfRule>
  </conditionalFormatting>
  <conditionalFormatting sqref="E208">
    <cfRule type="containsText" dxfId="3400" priority="196" operator="containsText" text="Buy">
      <formula>NOT(ISERROR(SEARCH("Buy",E208)))</formula>
    </cfRule>
    <cfRule type="containsText" dxfId="3399" priority="197" operator="containsText" text="Sell">
      <formula>NOT(ISERROR(SEARCH("Sell",E208)))</formula>
    </cfRule>
  </conditionalFormatting>
  <conditionalFormatting sqref="E250">
    <cfRule type="containsText" dxfId="3398" priority="200" operator="containsText" text="Buy">
      <formula>NOT(ISERROR(SEARCH("Buy",E250)))</formula>
    </cfRule>
    <cfRule type="containsText" dxfId="3397" priority="201" operator="containsText" text="Sell">
      <formula>NOT(ISERROR(SEARCH("Sell",E250)))</formula>
    </cfRule>
  </conditionalFormatting>
  <conditionalFormatting sqref="E138">
    <cfRule type="containsText" dxfId="3396" priority="194" operator="containsText" text="Buy">
      <formula>NOT(ISERROR(SEARCH("Buy",E138)))</formula>
    </cfRule>
    <cfRule type="containsText" dxfId="3395" priority="195" operator="containsText" text="Sell">
      <formula>NOT(ISERROR(SEARCH("Sell",E138)))</formula>
    </cfRule>
  </conditionalFormatting>
  <conditionalFormatting sqref="E49">
    <cfRule type="containsText" dxfId="3394" priority="190" operator="containsText" text="Buy">
      <formula>NOT(ISERROR(SEARCH("Buy",E49)))</formula>
    </cfRule>
    <cfRule type="containsText" dxfId="3393" priority="191" operator="containsText" text="Sell">
      <formula>NOT(ISERROR(SEARCH("Sell",E49)))</formula>
    </cfRule>
  </conditionalFormatting>
  <conditionalFormatting sqref="E66:E68">
    <cfRule type="containsText" dxfId="3392" priority="192" operator="containsText" text="Buy">
      <formula>NOT(ISERROR(SEARCH("Buy",E66)))</formula>
    </cfRule>
    <cfRule type="containsText" dxfId="3391" priority="193" operator="containsText" text="Sell">
      <formula>NOT(ISERROR(SEARCH("Sell",E66)))</formula>
    </cfRule>
  </conditionalFormatting>
  <conditionalFormatting sqref="E52:E53">
    <cfRule type="containsText" dxfId="3390" priority="188" operator="containsText" text="Buy">
      <formula>NOT(ISERROR(SEARCH("Buy",E52)))</formula>
    </cfRule>
    <cfRule type="containsText" dxfId="3389" priority="189" operator="containsText" text="Sell">
      <formula>NOT(ISERROR(SEARCH("Sell",E52)))</formula>
    </cfRule>
  </conditionalFormatting>
  <conditionalFormatting sqref="E54:E56">
    <cfRule type="containsText" dxfId="3388" priority="186" operator="containsText" text="Buy">
      <formula>NOT(ISERROR(SEARCH("Buy",E54)))</formula>
    </cfRule>
    <cfRule type="containsText" dxfId="3387" priority="187" operator="containsText" text="Sell">
      <formula>NOT(ISERROR(SEARCH("Sell",E54)))</formula>
    </cfRule>
  </conditionalFormatting>
  <conditionalFormatting sqref="E57:E59">
    <cfRule type="containsText" dxfId="3386" priority="184" operator="containsText" text="Buy">
      <formula>NOT(ISERROR(SEARCH("Buy",E57)))</formula>
    </cfRule>
    <cfRule type="containsText" dxfId="3385" priority="185" operator="containsText" text="Sell">
      <formula>NOT(ISERROR(SEARCH("Sell",E57)))</formula>
    </cfRule>
  </conditionalFormatting>
  <conditionalFormatting sqref="E60:E62">
    <cfRule type="containsText" dxfId="3384" priority="182" operator="containsText" text="Buy">
      <formula>NOT(ISERROR(SEARCH("Buy",E60)))</formula>
    </cfRule>
    <cfRule type="containsText" dxfId="3383" priority="183" operator="containsText" text="Sell">
      <formula>NOT(ISERROR(SEARCH("Sell",E60)))</formula>
    </cfRule>
  </conditionalFormatting>
  <conditionalFormatting sqref="E63:E64">
    <cfRule type="containsText" dxfId="3382" priority="180" operator="containsText" text="Buy">
      <formula>NOT(ISERROR(SEARCH("Buy",E63)))</formula>
    </cfRule>
    <cfRule type="containsText" dxfId="3381" priority="181" operator="containsText" text="Sell">
      <formula>NOT(ISERROR(SEARCH("Sell",E63)))</formula>
    </cfRule>
  </conditionalFormatting>
  <conditionalFormatting sqref="E78:E79">
    <cfRule type="containsText" dxfId="3380" priority="178" operator="containsText" text="Buy">
      <formula>NOT(ISERROR(SEARCH("Buy",E78)))</formula>
    </cfRule>
    <cfRule type="containsText" dxfId="3379" priority="179" operator="containsText" text="Sell">
      <formula>NOT(ISERROR(SEARCH("Sell",E78)))</formula>
    </cfRule>
  </conditionalFormatting>
  <conditionalFormatting sqref="E120">
    <cfRule type="containsText" dxfId="3378" priority="176" operator="containsText" text="Buy">
      <formula>NOT(ISERROR(SEARCH("Buy",E120)))</formula>
    </cfRule>
    <cfRule type="containsText" dxfId="3377" priority="177" operator="containsText" text="Sell">
      <formula>NOT(ISERROR(SEARCH("Sell",E120)))</formula>
    </cfRule>
  </conditionalFormatting>
  <conditionalFormatting sqref="E69:E70">
    <cfRule type="containsText" dxfId="3376" priority="172" operator="containsText" text="Buy">
      <formula>NOT(ISERROR(SEARCH("Buy",E69)))</formula>
    </cfRule>
    <cfRule type="containsText" dxfId="3375" priority="173" operator="containsText" text="Sell">
      <formula>NOT(ISERROR(SEARCH("Sell",E69)))</formula>
    </cfRule>
  </conditionalFormatting>
  <conditionalFormatting sqref="E34">
    <cfRule type="containsText" dxfId="3374" priority="174" operator="containsText" text="Buy">
      <formula>NOT(ISERROR(SEARCH("Buy",E34)))</formula>
    </cfRule>
    <cfRule type="containsText" dxfId="3373" priority="175" operator="containsText" text="Sell">
      <formula>NOT(ISERROR(SEARCH("Sell",E34)))</formula>
    </cfRule>
  </conditionalFormatting>
  <conditionalFormatting sqref="E198:E200">
    <cfRule type="containsText" dxfId="3372" priority="156" operator="containsText" text="Buy">
      <formula>NOT(ISERROR(SEARCH("Buy",E198)))</formula>
    </cfRule>
    <cfRule type="containsText" dxfId="3371" priority="157" operator="containsText" text="Sell">
      <formula>NOT(ISERROR(SEARCH("Sell",E198)))</formula>
    </cfRule>
  </conditionalFormatting>
  <conditionalFormatting sqref="E72:E73">
    <cfRule type="containsText" dxfId="3370" priority="170" operator="containsText" text="Buy">
      <formula>NOT(ISERROR(SEARCH("Buy",E72)))</formula>
    </cfRule>
    <cfRule type="containsText" dxfId="3369" priority="171" operator="containsText" text="Sell">
      <formula>NOT(ISERROR(SEARCH("Sell",E72)))</formula>
    </cfRule>
  </conditionalFormatting>
  <conditionalFormatting sqref="E285">
    <cfRule type="containsText" dxfId="3368" priority="168" operator="containsText" text="Buy">
      <formula>NOT(ISERROR(SEARCH("Buy",E285)))</formula>
    </cfRule>
    <cfRule type="containsText" dxfId="3367" priority="169" operator="containsText" text="Sell">
      <formula>NOT(ISERROR(SEARCH("Sell",E285)))</formula>
    </cfRule>
  </conditionalFormatting>
  <conditionalFormatting sqref="E104">
    <cfRule type="containsText" dxfId="3366" priority="166" operator="containsText" text="Buy">
      <formula>NOT(ISERROR(SEARCH("Buy",E104)))</formula>
    </cfRule>
    <cfRule type="containsText" dxfId="3365" priority="167" operator="containsText" text="Sell">
      <formula>NOT(ISERROR(SEARCH("Sell",E104)))</formula>
    </cfRule>
  </conditionalFormatting>
  <conditionalFormatting sqref="E103">
    <cfRule type="containsText" dxfId="3364" priority="164" operator="containsText" text="Buy">
      <formula>NOT(ISERROR(SEARCH("Buy",E103)))</formula>
    </cfRule>
    <cfRule type="containsText" dxfId="3363" priority="165" operator="containsText" text="Sell">
      <formula>NOT(ISERROR(SEARCH("Sell",E103)))</formula>
    </cfRule>
  </conditionalFormatting>
  <conditionalFormatting sqref="E102">
    <cfRule type="containsText" dxfId="3362" priority="162" operator="containsText" text="Buy">
      <formula>NOT(ISERROR(SEARCH("Buy",E102)))</formula>
    </cfRule>
    <cfRule type="containsText" dxfId="3361" priority="163" operator="containsText" text="Sell">
      <formula>NOT(ISERROR(SEARCH("Sell",E102)))</formula>
    </cfRule>
  </conditionalFormatting>
  <conditionalFormatting sqref="E101">
    <cfRule type="containsText" dxfId="3360" priority="160" operator="containsText" text="Buy">
      <formula>NOT(ISERROR(SEARCH("Buy",E101)))</formula>
    </cfRule>
    <cfRule type="containsText" dxfId="3359" priority="161" operator="containsText" text="Sell">
      <formula>NOT(ISERROR(SEARCH("Sell",E101)))</formula>
    </cfRule>
  </conditionalFormatting>
  <conditionalFormatting sqref="E124:E125">
    <cfRule type="containsText" dxfId="3358" priority="158" operator="containsText" text="Buy">
      <formula>NOT(ISERROR(SEARCH("Buy",E124)))</formula>
    </cfRule>
    <cfRule type="containsText" dxfId="3357" priority="159" operator="containsText" text="Sell">
      <formula>NOT(ISERROR(SEARCH("Sell",E124)))</formula>
    </cfRule>
  </conditionalFormatting>
  <conditionalFormatting sqref="E159:E160">
    <cfRule type="containsText" dxfId="3356" priority="142" operator="containsText" text="Buy">
      <formula>NOT(ISERROR(SEARCH("Buy",E159)))</formula>
    </cfRule>
    <cfRule type="containsText" dxfId="3355" priority="143" operator="containsText" text="Sell">
      <formula>NOT(ISERROR(SEARCH("Sell",E159)))</formula>
    </cfRule>
  </conditionalFormatting>
  <conditionalFormatting sqref="E177">
    <cfRule type="containsText" dxfId="3354" priority="154" operator="containsText" text="Buy">
      <formula>NOT(ISERROR(SEARCH("Buy",E177)))</formula>
    </cfRule>
    <cfRule type="containsText" dxfId="3353" priority="155" operator="containsText" text="Sell">
      <formula>NOT(ISERROR(SEARCH("Sell",E177)))</formula>
    </cfRule>
  </conditionalFormatting>
  <conditionalFormatting sqref="E176">
    <cfRule type="containsText" dxfId="3352" priority="152" operator="containsText" text="Buy">
      <formula>NOT(ISERROR(SEARCH("Buy",E176)))</formula>
    </cfRule>
    <cfRule type="containsText" dxfId="3351" priority="153" operator="containsText" text="Sell">
      <formula>NOT(ISERROR(SEARCH("Sell",E176)))</formula>
    </cfRule>
  </conditionalFormatting>
  <conditionalFormatting sqref="E170">
    <cfRule type="containsText" dxfId="3350" priority="150" operator="containsText" text="Buy">
      <formula>NOT(ISERROR(SEARCH("Buy",E170)))</formula>
    </cfRule>
    <cfRule type="containsText" dxfId="3349" priority="151" operator="containsText" text="Sell">
      <formula>NOT(ISERROR(SEARCH("Sell",E170)))</formula>
    </cfRule>
  </conditionalFormatting>
  <conditionalFormatting sqref="E282">
    <cfRule type="containsText" dxfId="3348" priority="136" operator="containsText" text="Buy">
      <formula>NOT(ISERROR(SEARCH("Buy",E282)))</formula>
    </cfRule>
    <cfRule type="containsText" dxfId="3347" priority="137" operator="containsText" text="Sell">
      <formula>NOT(ISERROR(SEARCH("Sell",E282)))</formula>
    </cfRule>
  </conditionalFormatting>
  <conditionalFormatting sqref="E175">
    <cfRule type="containsText" dxfId="3346" priority="148" operator="containsText" text="Buy">
      <formula>NOT(ISERROR(SEARCH("Buy",E175)))</formula>
    </cfRule>
    <cfRule type="containsText" dxfId="3345" priority="149" operator="containsText" text="Sell">
      <formula>NOT(ISERROR(SEARCH("Sell",E175)))</formula>
    </cfRule>
  </conditionalFormatting>
  <conditionalFormatting sqref="E174">
    <cfRule type="containsText" dxfId="3344" priority="146" operator="containsText" text="Buy">
      <formula>NOT(ISERROR(SEARCH("Buy",E174)))</formula>
    </cfRule>
    <cfRule type="containsText" dxfId="3343" priority="147" operator="containsText" text="Sell">
      <formula>NOT(ISERROR(SEARCH("Sell",E174)))</formula>
    </cfRule>
  </conditionalFormatting>
  <conditionalFormatting sqref="E284">
    <cfRule type="containsText" dxfId="3342" priority="144" operator="containsText" text="Buy">
      <formula>NOT(ISERROR(SEARCH("Buy",E284)))</formula>
    </cfRule>
    <cfRule type="containsText" dxfId="3341" priority="145" operator="containsText" text="Sell">
      <formula>NOT(ISERROR(SEARCH("Sell",E284)))</formula>
    </cfRule>
  </conditionalFormatting>
  <conditionalFormatting sqref="E283">
    <cfRule type="containsText" dxfId="3340" priority="140" operator="containsText" text="Buy">
      <formula>NOT(ISERROR(SEARCH("Buy",E283)))</formula>
    </cfRule>
    <cfRule type="containsText" dxfId="3339" priority="141" operator="containsText" text="Sell">
      <formula>NOT(ISERROR(SEARCH("Sell",E283)))</formula>
    </cfRule>
  </conditionalFormatting>
  <conditionalFormatting sqref="E158">
    <cfRule type="containsText" dxfId="3338" priority="138" operator="containsText" text="Buy">
      <formula>NOT(ISERROR(SEARCH("Buy",E158)))</formula>
    </cfRule>
    <cfRule type="containsText" dxfId="3337" priority="139" operator="containsText" text="Sell">
      <formula>NOT(ISERROR(SEARCH("Sell",E158)))</formula>
    </cfRule>
  </conditionalFormatting>
  <conditionalFormatting sqref="E164">
    <cfRule type="containsText" dxfId="3336" priority="130" operator="containsText" text="Buy">
      <formula>NOT(ISERROR(SEARCH("Buy",E164)))</formula>
    </cfRule>
    <cfRule type="containsText" dxfId="3335" priority="131" operator="containsText" text="Sell">
      <formula>NOT(ISERROR(SEARCH("Sell",E164)))</formula>
    </cfRule>
  </conditionalFormatting>
  <conditionalFormatting sqref="E169">
    <cfRule type="containsText" dxfId="3334" priority="132" operator="containsText" text="Buy">
      <formula>NOT(ISERROR(SEARCH("Buy",E169)))</formula>
    </cfRule>
    <cfRule type="containsText" dxfId="3333" priority="133" operator="containsText" text="Sell">
      <formula>NOT(ISERROR(SEARCH("Sell",E169)))</formula>
    </cfRule>
  </conditionalFormatting>
  <conditionalFormatting sqref="E165">
    <cfRule type="containsText" dxfId="3332" priority="134" operator="containsText" text="Buy">
      <formula>NOT(ISERROR(SEARCH("Buy",E165)))</formula>
    </cfRule>
    <cfRule type="containsText" dxfId="3331" priority="135" operator="containsText" text="Sell">
      <formula>NOT(ISERROR(SEARCH("Sell",E165)))</formula>
    </cfRule>
  </conditionalFormatting>
  <conditionalFormatting sqref="E37">
    <cfRule type="containsText" dxfId="3330" priority="126" operator="containsText" text="Buy">
      <formula>NOT(ISERROR(SEARCH("Buy",E37)))</formula>
    </cfRule>
    <cfRule type="containsText" dxfId="3329" priority="127" operator="containsText" text="Sell">
      <formula>NOT(ISERROR(SEARCH("Sell",E37)))</formula>
    </cfRule>
  </conditionalFormatting>
  <conditionalFormatting sqref="E40">
    <cfRule type="containsText" dxfId="3328" priority="128" operator="containsText" text="Buy">
      <formula>NOT(ISERROR(SEARCH("Buy",E40)))</formula>
    </cfRule>
    <cfRule type="containsText" dxfId="3327" priority="129" operator="containsText" text="Sell">
      <formula>NOT(ISERROR(SEARCH("Sell",E40)))</formula>
    </cfRule>
  </conditionalFormatting>
  <conditionalFormatting sqref="E29:E30">
    <cfRule type="containsText" dxfId="3326" priority="122" operator="containsText" text="Buy">
      <formula>NOT(ISERROR(SEARCH("Buy",E29)))</formula>
    </cfRule>
    <cfRule type="containsText" dxfId="3325" priority="123" operator="containsText" text="Sell">
      <formula>NOT(ISERROR(SEARCH("Sell",E29)))</formula>
    </cfRule>
  </conditionalFormatting>
  <conditionalFormatting sqref="E31">
    <cfRule type="containsText" dxfId="3324" priority="124" operator="containsText" text="Buy">
      <formula>NOT(ISERROR(SEARCH("Buy",E31)))</formula>
    </cfRule>
    <cfRule type="containsText" dxfId="3323" priority="125" operator="containsText" text="Sell">
      <formula>NOT(ISERROR(SEARCH("Sell",E31)))</formula>
    </cfRule>
  </conditionalFormatting>
  <conditionalFormatting sqref="E32:E33">
    <cfRule type="containsText" dxfId="3322" priority="115" operator="containsText" text="Buy">
      <formula>NOT(ISERROR(SEARCH("Buy",E32)))</formula>
    </cfRule>
    <cfRule type="containsText" dxfId="3321" priority="116" operator="containsText" text="Sell">
      <formula>NOT(ISERROR(SEARCH("Sell",E32)))</formula>
    </cfRule>
  </conditionalFormatting>
  <conditionalFormatting sqref="E35:E36">
    <cfRule type="containsText" dxfId="3320" priority="113" operator="containsText" text="Buy">
      <formula>NOT(ISERROR(SEARCH("Buy",E35)))</formula>
    </cfRule>
    <cfRule type="containsText" dxfId="3319" priority="114" operator="containsText" text="Sell">
      <formula>NOT(ISERROR(SEARCH("Sell",E35)))</formula>
    </cfRule>
  </conditionalFormatting>
  <conditionalFormatting sqref="E38:E39">
    <cfRule type="containsText" dxfId="3318" priority="111" operator="containsText" text="Buy">
      <formula>NOT(ISERROR(SEARCH("Buy",E38)))</formula>
    </cfRule>
    <cfRule type="containsText" dxfId="3317" priority="112" operator="containsText" text="Sell">
      <formula>NOT(ISERROR(SEARCH("Sell",E38)))</formula>
    </cfRule>
  </conditionalFormatting>
  <conditionalFormatting sqref="E41:E42">
    <cfRule type="containsText" dxfId="3316" priority="95" operator="containsText" text="Buy">
      <formula>NOT(ISERROR(SEARCH("Buy",E41)))</formula>
    </cfRule>
    <cfRule type="containsText" dxfId="3315" priority="96" operator="containsText" text="Sell">
      <formula>NOT(ISERROR(SEARCH("Sell",E41)))</formula>
    </cfRule>
  </conditionalFormatting>
  <conditionalFormatting sqref="Y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{AF261238-1B36-4199-8A29-02628BA1C556}</x14:id>
        </ext>
      </extLst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{0F80381A-CFDE-4420-B9BF-B05F6F8286DA}</x14:id>
        </ext>
      </extLst>
    </cfRule>
  </conditionalFormatting>
  <conditionalFormatting sqref="S5:W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{BA7BE983-2344-4153-ABEA-B11DD36C3A29}</x14:id>
        </ext>
      </extLst>
    </cfRule>
  </conditionalFormatting>
  <conditionalFormatting sqref="R5:W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{A8FCD951-2DE4-4FC5-BF1F-38A387315FDF}</x14:id>
        </ext>
      </extLst>
    </cfRule>
  </conditionalFormatting>
  <conditionalFormatting sqref="X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{905C7628-BFB7-4BEB-95EF-124B3CE9BCB0}</x14:id>
        </ext>
      </extLst>
    </cfRule>
  </conditionalFormatting>
  <conditionalFormatting sqref="S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{4C9794AC-7627-4DB9-B66E-8F5DF6035FFD}</x14:id>
        </ext>
      </extLst>
    </cfRule>
  </conditionalFormatting>
  <conditionalFormatting sqref="T5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{B0B2319F-12EF-406D-B48B-57F39E8085F3}</x14:id>
        </ext>
      </extLst>
    </cfRule>
  </conditionalFormatting>
  <conditionalFormatting sqref="U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{F5BEBFD7-A7B6-4989-BE11-3E935D1A0C45}</x14:id>
        </ext>
      </extLst>
    </cfRule>
  </conditionalFormatting>
  <conditionalFormatting sqref="V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{C9FCEBED-81C8-4B43-9F7D-E3EA57191392}</x14:id>
        </ext>
      </extLst>
    </cfRule>
  </conditionalFormatting>
  <conditionalFormatting sqref="W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{35718E35-EA6C-4832-A8C4-8C6D608A9C88}</x14:id>
        </ext>
      </extLst>
    </cfRule>
  </conditionalFormatting>
  <conditionalFormatting sqref="R5:X5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{DCA37946-57AB-404C-B00E-4EFF3AC83AB8}</x14:id>
        </ext>
      </extLst>
    </cfRule>
  </conditionalFormatting>
  <conditionalFormatting sqref="I5:J5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{0AA9F287-919A-4DC7-B879-466B239A54CA}</x14:id>
        </ext>
      </extLst>
    </cfRule>
  </conditionalFormatting>
  <conditionalFormatting sqref="I5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{77EEEDA9-38CC-4875-999A-8EE7357F46C7}</x14:id>
        </ext>
      </extLst>
    </cfRule>
  </conditionalFormatting>
  <conditionalFormatting sqref="J5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{3EC561F7-328A-48F0-8463-ACC81931A793}</x14:id>
        </ext>
      </extLst>
    </cfRule>
  </conditionalFormatting>
  <conditionalFormatting sqref="E44:E45">
    <cfRule type="containsText" dxfId="3314" priority="79" operator="containsText" text="Buy">
      <formula>NOT(ISERROR(SEARCH("Buy",E44)))</formula>
    </cfRule>
    <cfRule type="containsText" dxfId="3313" priority="80" operator="containsText" text="Sell">
      <formula>NOT(ISERROR(SEARCH("Sell",E44)))</formula>
    </cfRule>
  </conditionalFormatting>
  <conditionalFormatting sqref="E47:E48">
    <cfRule type="containsText" dxfId="3312" priority="63" operator="containsText" text="Buy">
      <formula>NOT(ISERROR(SEARCH("Buy",E47)))</formula>
    </cfRule>
    <cfRule type="containsText" dxfId="3311" priority="64" operator="containsText" text="Sell">
      <formula>NOT(ISERROR(SEARCH("Sell",E47)))</formula>
    </cfRule>
  </conditionalFormatting>
  <conditionalFormatting sqref="E50:E51">
    <cfRule type="containsText" dxfId="3310" priority="47" operator="containsText" text="Buy">
      <formula>NOT(ISERROR(SEARCH("Buy",E50)))</formula>
    </cfRule>
    <cfRule type="containsText" dxfId="3309" priority="48" operator="containsText" text="Sell">
      <formula>NOT(ISERROR(SEARCH("Sell",E50)))</formula>
    </cfRule>
  </conditionalFormatting>
  <conditionalFormatting sqref="D13">
    <cfRule type="containsText" dxfId="3308" priority="30" operator="containsText" text="Buy">
      <formula>NOT(ISERROR(SEARCH("Buy",D13)))</formula>
    </cfRule>
    <cfRule type="containsText" dxfId="3307" priority="31" operator="containsText" text="Sell">
      <formula>NOT(ISERROR(SEARCH("Sell",D13)))</formula>
    </cfRule>
  </conditionalFormatting>
  <conditionalFormatting sqref="H13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{CF0074C0-64FB-4457-942F-DD369C536804}</x14:id>
        </ext>
      </extLst>
    </cfRule>
    <cfRule type="cellIs" dxfId="3306" priority="32" operator="equal">
      <formula>1</formula>
    </cfRule>
  </conditionalFormatting>
  <conditionalFormatting sqref="D18">
    <cfRule type="containsText" dxfId="3305" priority="26" operator="containsText" text="Buy">
      <formula>NOT(ISERROR(SEARCH("Buy",D18)))</formula>
    </cfRule>
    <cfRule type="containsText" dxfId="3304" priority="27" operator="containsText" text="Sell">
      <formula>NOT(ISERROR(SEARCH("Sell",D18)))</formula>
    </cfRule>
  </conditionalFormatting>
  <conditionalFormatting sqref="H18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{F06D1950-C740-41F1-B840-3F233CB15232}</x14:id>
        </ext>
      </extLst>
    </cfRule>
    <cfRule type="cellIs" dxfId="3303" priority="28" operator="equal">
      <formula>1</formula>
    </cfRule>
  </conditionalFormatting>
  <conditionalFormatting sqref="D14">
    <cfRule type="containsText" dxfId="3302" priority="22" operator="containsText" text="Buy">
      <formula>NOT(ISERROR(SEARCH("Buy",D14)))</formula>
    </cfRule>
    <cfRule type="containsText" dxfId="3301" priority="23" operator="containsText" text="Sell">
      <formula>NOT(ISERROR(SEARCH("Sell",D14)))</formula>
    </cfRule>
  </conditionalFormatting>
  <conditionalFormatting sqref="H14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{F3CD30B0-D977-44B2-8256-DE61E3B5E4AE}</x14:id>
        </ext>
      </extLst>
    </cfRule>
    <cfRule type="cellIs" dxfId="3300" priority="24" operator="equal">
      <formula>1</formula>
    </cfRule>
  </conditionalFormatting>
  <conditionalFormatting sqref="D15">
    <cfRule type="containsText" dxfId="3299" priority="18" operator="containsText" text="Buy">
      <formula>NOT(ISERROR(SEARCH("Buy",D15)))</formula>
    </cfRule>
    <cfRule type="containsText" dxfId="3298" priority="19" operator="containsText" text="Sell">
      <formula>NOT(ISERROR(SEARCH("Sell",D15)))</formula>
    </cfRule>
  </conditionalFormatting>
  <conditionalFormatting sqref="H15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{E48D6E4A-1F94-473B-BA4D-146EE6DEF41C}</x14:id>
        </ext>
      </extLst>
    </cfRule>
    <cfRule type="cellIs" dxfId="3297" priority="20" operator="equal">
      <formula>1</formula>
    </cfRule>
  </conditionalFormatting>
  <conditionalFormatting sqref="D16">
    <cfRule type="containsText" dxfId="3296" priority="14" operator="containsText" text="Buy">
      <formula>NOT(ISERROR(SEARCH("Buy",D16)))</formula>
    </cfRule>
    <cfRule type="containsText" dxfId="3295" priority="15" operator="containsText" text="Sell">
      <formula>NOT(ISERROR(SEARCH("Sell",D16)))</formula>
    </cfRule>
  </conditionalFormatting>
  <conditionalFormatting sqref="H1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{C959612C-C501-4D99-9059-E13131A70832}</x14:id>
        </ext>
      </extLst>
    </cfRule>
    <cfRule type="cellIs" dxfId="3294" priority="16" operator="equal">
      <formula>1</formula>
    </cfRule>
  </conditionalFormatting>
  <conditionalFormatting sqref="D17">
    <cfRule type="containsText" dxfId="3293" priority="10" operator="containsText" text="Buy">
      <formula>NOT(ISERROR(SEARCH("Buy",D17)))</formula>
    </cfRule>
    <cfRule type="containsText" dxfId="3292" priority="11" operator="containsText" text="Sell">
      <formula>NOT(ISERROR(SEARCH("Sell",D17)))</formula>
    </cfRule>
  </conditionalFormatting>
  <conditionalFormatting sqref="H1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{676C08FF-F81C-4D6A-8BE4-1EE86EECAEAC}</x14:id>
        </ext>
      </extLst>
    </cfRule>
    <cfRule type="cellIs" dxfId="3291" priority="12" operator="equal">
      <formula>1</formula>
    </cfRule>
  </conditionalFormatting>
  <conditionalFormatting sqref="Y4">
    <cfRule type="dataBar" priority="17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{25CCC7B6-6C7B-4EC5-9442-748A68907AF4}</x14:id>
        </ext>
      </extLst>
    </cfRule>
  </conditionalFormatting>
  <conditionalFormatting sqref="R4">
    <cfRule type="dataBar" priority="178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{E66F2628-CDA0-4CE6-AEDE-3BDA8B6BB71F}</x14:id>
        </ext>
      </extLst>
    </cfRule>
  </conditionalFormatting>
  <conditionalFormatting sqref="S4:W4">
    <cfRule type="dataBar" priority="178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{D6AA2AB3-6E06-4FF3-8C41-EF55CEDC1D4E}</x14:id>
        </ext>
      </extLst>
    </cfRule>
  </conditionalFormatting>
  <conditionalFormatting sqref="R4:W4">
    <cfRule type="dataBar" priority="178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{D961A39E-91C8-4C48-8340-B7B0E32281A9}</x14:id>
        </ext>
      </extLst>
    </cfRule>
  </conditionalFormatting>
  <conditionalFormatting sqref="X4">
    <cfRule type="dataBar" priority="178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{FACE18B5-40CE-4A85-BAAE-EF6BA8BE7452}</x14:id>
        </ext>
      </extLst>
    </cfRule>
  </conditionalFormatting>
  <conditionalFormatting sqref="S4">
    <cfRule type="dataBar" priority="178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{60F14161-BE89-4A6E-8A79-610ABD0B0C9A}</x14:id>
        </ext>
      </extLst>
    </cfRule>
  </conditionalFormatting>
  <conditionalFormatting sqref="T4">
    <cfRule type="dataBar" priority="178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{0A0288D1-59DD-4126-A41C-159254FD1234}</x14:id>
        </ext>
      </extLst>
    </cfRule>
  </conditionalFormatting>
  <conditionalFormatting sqref="U4">
    <cfRule type="dataBar" priority="178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{3FF682C0-4C20-4C4C-B8C4-AFC34D2FDF12}</x14:id>
        </ext>
      </extLst>
    </cfRule>
  </conditionalFormatting>
  <conditionalFormatting sqref="V4">
    <cfRule type="dataBar" priority="178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{EA25ADE0-3535-4B73-9D08-2E8C13C8473B}</x14:id>
        </ext>
      </extLst>
    </cfRule>
  </conditionalFormatting>
  <conditionalFormatting sqref="W4">
    <cfRule type="dataBar" priority="178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{6374C219-896D-4093-9927-6FC9833B0498}</x14:id>
        </ext>
      </extLst>
    </cfRule>
  </conditionalFormatting>
  <conditionalFormatting sqref="R4:X4">
    <cfRule type="dataBar" priority="17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{62834A36-21A1-4719-A933-9FAE0DD2EC0E}</x14:id>
        </ext>
      </extLst>
    </cfRule>
  </conditionalFormatting>
  <conditionalFormatting sqref="I4:J4">
    <cfRule type="dataBar" priority="178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{F3DDE331-FFBB-4E42-BF35-9D3975EA5119}</x14:id>
        </ext>
      </extLst>
    </cfRule>
  </conditionalFormatting>
  <conditionalFormatting sqref="I4">
    <cfRule type="dataBar" priority="17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{8149A8F4-C3F9-43A8-811A-6FB54A9DD863}</x14:id>
        </ext>
      </extLst>
    </cfRule>
  </conditionalFormatting>
  <conditionalFormatting sqref="J4">
    <cfRule type="dataBar" priority="17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{C047A5AE-9424-46E2-B512-22C95C11D85C}</x14:id>
        </ext>
      </extLst>
    </cfRule>
  </conditionalFormatting>
  <conditionalFormatting sqref="H1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{32FD1093-7FED-4460-962E-39F02CD38F98}</x14:id>
        </ext>
      </extLst>
    </cfRule>
    <cfRule type="cellIs" dxfId="3290" priority="8" operator="equal">
      <formula>1</formula>
    </cfRule>
  </conditionalFormatting>
  <conditionalFormatting sqref="H2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{21F473F6-C7F2-46F9-8AD3-2844B3B30E35}</x14:id>
        </ext>
      </extLst>
    </cfRule>
    <cfRule type="cellIs" dxfId="3289" priority="4" operator="equal">
      <formula>1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261238-1B36-4199-8A29-02628BA1C5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0F80381A-CFDE-4420-B9BF-B05F6F8286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BA7BE983-2344-4153-ABEA-B11DD36C3A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A8FCD951-2DE4-4FC5-BF1F-38A387315F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905C7628-BFB7-4BEB-95EF-124B3CE9BC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C9794AC-7627-4DB9-B66E-8F5DF6035F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B0B2319F-12EF-406D-B48B-57F39E8085F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F5BEBFD7-A7B6-4989-BE11-3E935D1A0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C9FCEBED-81C8-4B43-9F7D-E3EA571913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5718E35-EA6C-4832-A8C4-8C6D608A9C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DCA37946-57AB-404C-B00E-4EFF3AC83A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0AA9F287-919A-4DC7-B879-466B239A54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7EEEDA9-38CC-4875-999A-8EE7357F4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EC561F7-328A-48F0-8463-ACC81931A7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CF0074C0-64FB-4457-942F-DD369C5368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H13</xm:sqref>
        </x14:conditionalFormatting>
        <x14:conditionalFormatting xmlns:xm="http://schemas.microsoft.com/office/excel/2006/main">
          <x14:cfRule type="dataBar" id="{F06D1950-C740-41F1-B840-3F233CB152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F3CD30B0-D977-44B2-8256-DE61E3B5E4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E48D6E4A-1F94-473B-BA4D-146EE6DEF4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C959612C-C501-4D99-9059-E13131A708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676C08FF-F81C-4D6A-8BE4-1EE86EECAE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25CCC7B6-6C7B-4EC5-9442-748A68907A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E66F2628-CDA0-4CE6-AEDE-3BDA8B6BB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D6AA2AB3-6E06-4FF3-8C41-EF55CEDC1D4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D961A39E-91C8-4C48-8340-B7B0E32281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FACE18B5-40CE-4A85-BAAE-EF6BA8BE7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0F14161-BE89-4A6E-8A79-610ABD0B0C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A0288D1-59DD-4126-A41C-159254FD1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F682C0-4C20-4C4C-B8C4-AFC34D2FD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EA25ADE0-3535-4B73-9D08-2E8C13C847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374C219-896D-4093-9927-6FC9833B04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62834A36-21A1-4719-A933-9FAE0DD2E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3DDE331-FFBB-4E42-BF35-9D3975EA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8149A8F4-C3F9-43A8-811A-6FB54A9DD8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047A5AE-9424-46E2-B512-22C95C11D8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32FD1093-7FED-4460-962E-39F02CD38F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21F473F6-C7F2-46F9-8AD3-2844B3B3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containsText" priority="6" operator="containsText" text="Buy" id="{CC24247A-A00D-48DC-AC41-76EDAC8CEE69}">
            <xm:f>NOT(ISERROR(SEARCH("Buy",XGAQF!D29)))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7" operator="containsText" text="Sell" id="{07C65CE4-AEDE-4462-8201-28A3A7E3FC26}">
            <xm:f>NOT(ISERROR(SEARCH("Sell",XGAQF!D29)))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D19:D20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C342"/>
  <sheetViews>
    <sheetView workbookViewId="0">
      <selection activeCell="J8" sqref="J8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3.5703125" style="32" customWidth="1"/>
    <col min="4" max="4" width="19.1406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hidden="1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28" width="13.28515625" style="32" customWidth="1"/>
    <col min="29" max="29" width="9.140625" style="32"/>
    <col min="30" max="30" width="15.5703125" style="32" bestFit="1" customWidth="1"/>
    <col min="31" max="16384" width="9.140625" style="32"/>
  </cols>
  <sheetData>
    <row r="1" spans="1:29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9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  <c r="AB3" s="83" t="s">
        <v>368</v>
      </c>
      <c r="AC3" s="83"/>
    </row>
    <row r="4" spans="1:29" s="41" customFormat="1" x14ac:dyDescent="0.2">
      <c r="A4" s="32" t="s">
        <v>673</v>
      </c>
      <c r="B4" s="116" t="e">
        <f ca="1">_xll.BDP(C4,"SECURITY_NAME")</f>
        <v>#NAME?</v>
      </c>
      <c r="C4" s="118" t="str">
        <f>$C$25</f>
        <v>XS0878855773 Corp</v>
      </c>
      <c r="D4" s="119" t="e">
        <f t="shared" ref="D4:D9" ca="1" si="0">N4/$N$10</f>
        <v>#NAME?</v>
      </c>
      <c r="E4" s="120">
        <f>$F$26</f>
        <v>200000</v>
      </c>
      <c r="F4" s="201">
        <f>$H$26</f>
        <v>98.75</v>
      </c>
      <c r="G4" s="181" t="e">
        <f ca="1">_xll.BDP(C4,"PX LAST")</f>
        <v>#NAME?</v>
      </c>
      <c r="H4" s="182" t="e">
        <f ca="1">_xll.BDP($C4,"CRNCY")</f>
        <v>#NAME?</v>
      </c>
      <c r="I4" s="119" t="e">
        <f ca="1">M4/K4-1</f>
        <v>#NAME?</v>
      </c>
      <c r="J4" s="119" t="e">
        <f ca="1">G4/F4-1</f>
        <v>#NAME?</v>
      </c>
      <c r="K4" s="120" t="e">
        <f ca="1">$K$26</f>
        <v>#NAME?</v>
      </c>
      <c r="L4" s="120">
        <f>E4*F4/100</f>
        <v>197500</v>
      </c>
      <c r="M4" s="120" t="e">
        <f ca="1">E4*G4/100*$I$1</f>
        <v>#NAME?</v>
      </c>
      <c r="N4" s="120" t="e">
        <f ca="1">E4*G4/100</f>
        <v>#NAME?</v>
      </c>
      <c r="O4" s="123" t="e">
        <f t="shared" ref="O4:P8" ca="1" si="1">M4-K4</f>
        <v>#NAME?</v>
      </c>
      <c r="P4" s="123" t="e">
        <f t="shared" ca="1" si="1"/>
        <v>#NAME?</v>
      </c>
      <c r="Q4" s="123" t="e">
        <f ca="1">IF(H4="USD",P4,P4*$I$1)</f>
        <v>#NAME?</v>
      </c>
      <c r="R4" s="125" t="e">
        <f ca="1">_xll.BDP($C4,"CHG_PCT_1D")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  <c r="AB4" s="118"/>
      <c r="AC4" s="118"/>
    </row>
    <row r="5" spans="1:29" s="41" customFormat="1" x14ac:dyDescent="0.2">
      <c r="A5" s="32" t="s">
        <v>673</v>
      </c>
      <c r="B5" s="116" t="e">
        <f ca="1">_xll.BDP(C5,"SECURITY_NAME")</f>
        <v>#NAME?</v>
      </c>
      <c r="C5" s="118" t="str">
        <f>$C$28</f>
        <v>XS0299183250 Corp</v>
      </c>
      <c r="D5" s="119" t="e">
        <f t="shared" ca="1" si="0"/>
        <v>#NAME?</v>
      </c>
      <c r="E5" s="120">
        <f>$F$29</f>
        <v>200000</v>
      </c>
      <c r="F5" s="201">
        <f>$H$29</f>
        <v>100</v>
      </c>
      <c r="G5" s="181" t="e">
        <f ca="1">_xll.BDP(C5,"PX LAST")</f>
        <v>#NAME?</v>
      </c>
      <c r="H5" s="182" t="e">
        <f ca="1">_xll.BDP($C5,"CRNCY")</f>
        <v>#NAME?</v>
      </c>
      <c r="I5" s="119" t="e">
        <f ca="1">M5/K5-1</f>
        <v>#NAME?</v>
      </c>
      <c r="J5" s="119" t="e">
        <f ca="1">G5/F5-1</f>
        <v>#NAME?</v>
      </c>
      <c r="K5" s="120" t="e">
        <f ca="1">$K$29</f>
        <v>#NAME?</v>
      </c>
      <c r="L5" s="120">
        <f>E5*F5/100</f>
        <v>200000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123" t="e">
        <f ca="1">IF(H5="USD",P5,P5*$I$1)</f>
        <v>#NAME?</v>
      </c>
      <c r="R5" s="125" t="e">
        <f ca="1">_xll.BDP($C5,"CHG_PCT_1D")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  <c r="AB5" s="118"/>
      <c r="AC5" s="118"/>
    </row>
    <row r="6" spans="1:29" s="41" customFormat="1" x14ac:dyDescent="0.2">
      <c r="A6" s="32" t="s">
        <v>673</v>
      </c>
      <c r="B6" s="116" t="e">
        <f ca="1">_xll.BDP(C6,"SECURITY_NAME")</f>
        <v>#NAME?</v>
      </c>
      <c r="C6" s="118" t="str">
        <f>$C$31</f>
        <v>XS0618905219 Corp</v>
      </c>
      <c r="D6" s="119" t="e">
        <f t="shared" ca="1" si="0"/>
        <v>#NAME?</v>
      </c>
      <c r="E6" s="120">
        <f>$F$32</f>
        <v>200000</v>
      </c>
      <c r="F6" s="201">
        <f>$H$32</f>
        <v>98.1</v>
      </c>
      <c r="G6" s="181" t="e">
        <f ca="1">_xll.BDP(C6,"PX LAST")</f>
        <v>#NAME?</v>
      </c>
      <c r="H6" s="182" t="e">
        <f ca="1">_xll.BDP($C6,"CRNCY")</f>
        <v>#NAME?</v>
      </c>
      <c r="I6" s="119" t="e">
        <f ca="1">M6/K6-1</f>
        <v>#NAME?</v>
      </c>
      <c r="J6" s="119" t="e">
        <f ca="1">G6/F6-1</f>
        <v>#NAME?</v>
      </c>
      <c r="K6" s="120" t="e">
        <f ca="1">$K$32</f>
        <v>#NAME?</v>
      </c>
      <c r="L6" s="120">
        <f>E6*F6/100</f>
        <v>196200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123" t="e">
        <f ca="1">IF(H6="USD",P6,P6*$I$1)</f>
        <v>#NAME?</v>
      </c>
      <c r="R6" s="125" t="e">
        <f ca="1">_xll.BDP($C6,"CHG_PCT_1D")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  <c r="AB6" s="118"/>
      <c r="AC6" s="118"/>
    </row>
    <row r="7" spans="1:29" s="41" customFormat="1" x14ac:dyDescent="0.2">
      <c r="A7" s="32" t="s">
        <v>673</v>
      </c>
      <c r="B7" s="116" t="e">
        <f ca="1">_xll.BDP(C7,"SECURITY_NAME")</f>
        <v>#NAME?</v>
      </c>
      <c r="C7" s="118" t="str">
        <f>$C$34</f>
        <v>XS0559800122 Corp</v>
      </c>
      <c r="D7" s="119" t="e">
        <f t="shared" ca="1" si="0"/>
        <v>#NAME?</v>
      </c>
      <c r="E7" s="120">
        <f>$F$35</f>
        <v>200000</v>
      </c>
      <c r="F7" s="201">
        <f>$H$35</f>
        <v>101.1</v>
      </c>
      <c r="G7" s="181" t="e">
        <f ca="1">_xll.BDP(C7,"PX LAST")</f>
        <v>#NAME?</v>
      </c>
      <c r="H7" s="182" t="e">
        <f ca="1">_xll.BDP($C7,"CRNCY")</f>
        <v>#NAME?</v>
      </c>
      <c r="I7" s="119" t="e">
        <f ca="1">M7/K7-1</f>
        <v>#NAME?</v>
      </c>
      <c r="J7" s="119" t="e">
        <f ca="1">G7/F7-1</f>
        <v>#NAME?</v>
      </c>
      <c r="K7" s="120" t="e">
        <f ca="1">$K$35</f>
        <v>#NAME?</v>
      </c>
      <c r="L7" s="120">
        <f>E7*F7/100</f>
        <v>202200</v>
      </c>
      <c r="M7" s="120" t="e">
        <f ca="1">E7*G7/100*$I$1</f>
        <v>#NAME?</v>
      </c>
      <c r="N7" s="120" t="e">
        <f ca="1">E7*G7/100</f>
        <v>#NAME?</v>
      </c>
      <c r="O7" s="123" t="e">
        <f t="shared" ca="1" si="1"/>
        <v>#NAME?</v>
      </c>
      <c r="P7" s="123" t="e">
        <f t="shared" ca="1" si="1"/>
        <v>#NAME?</v>
      </c>
      <c r="Q7" s="123" t="e">
        <f ca="1">IF(H7="USD",P7,P7*$I$1)</f>
        <v>#NAME?</v>
      </c>
      <c r="R7" s="125" t="e">
        <f ca="1">_xll.BDP($C7,"CHG_PCT_1D")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  <c r="AB7" s="118"/>
      <c r="AC7" s="118"/>
    </row>
    <row r="8" spans="1:29" s="41" customFormat="1" x14ac:dyDescent="0.2">
      <c r="A8" s="32" t="s">
        <v>673</v>
      </c>
      <c r="B8" s="116" t="e">
        <f ca="1">_xll.BDP(C8,"SECURITY_NAME")</f>
        <v>#NAME?</v>
      </c>
      <c r="C8" s="118" t="str">
        <f>$C$37</f>
        <v>XS0923472814 Corp</v>
      </c>
      <c r="D8" s="119" t="e">
        <f t="shared" ca="1" si="0"/>
        <v>#NAME?</v>
      </c>
      <c r="E8" s="120">
        <f>$F$38</f>
        <v>200000</v>
      </c>
      <c r="F8" s="201">
        <f>$H$38</f>
        <v>102.03</v>
      </c>
      <c r="G8" s="181" t="e">
        <f ca="1">_xll.BDP(C8,"PX LAST")</f>
        <v>#NAME?</v>
      </c>
      <c r="H8" s="182" t="e">
        <f ca="1">_xll.BDP($C8,"CRNCY")</f>
        <v>#NAME?</v>
      </c>
      <c r="I8" s="119" t="e">
        <f ca="1">M8/K8-1</f>
        <v>#NAME?</v>
      </c>
      <c r="J8" s="119" t="e">
        <f ca="1">G8/F8-1</f>
        <v>#NAME?</v>
      </c>
      <c r="K8" s="120" t="e">
        <f ca="1">$K$38</f>
        <v>#NAME?</v>
      </c>
      <c r="L8" s="120">
        <f>E8*F8/100</f>
        <v>204060</v>
      </c>
      <c r="M8" s="120" t="e">
        <f ca="1">E8*G8/100*$I$1</f>
        <v>#NAME?</v>
      </c>
      <c r="N8" s="120" t="e">
        <f ca="1">E8*G8/100</f>
        <v>#NAME?</v>
      </c>
      <c r="O8" s="123" t="e">
        <f t="shared" ca="1" si="1"/>
        <v>#NAME?</v>
      </c>
      <c r="P8" s="123" t="e">
        <f t="shared" ca="1" si="1"/>
        <v>#NAME?</v>
      </c>
      <c r="Q8" s="123" t="e">
        <f ca="1">IF(H8="USD",P8,P8*$I$1)</f>
        <v>#NAME?</v>
      </c>
      <c r="R8" s="125" t="e">
        <f ca="1">_xll.BDP($C8,"CHG_PCT_1D")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  <c r="AB8" s="118"/>
      <c r="AC8" s="118"/>
    </row>
    <row r="9" spans="1:29" x14ac:dyDescent="0.2">
      <c r="B9" s="68" t="s">
        <v>106</v>
      </c>
      <c r="C9" s="68" t="s">
        <v>106</v>
      </c>
      <c r="D9" s="101" t="e">
        <f t="shared" ca="1" si="0"/>
        <v>#NAME?</v>
      </c>
      <c r="E9" s="101"/>
      <c r="F9" s="101"/>
      <c r="G9" s="66"/>
      <c r="H9" s="177"/>
      <c r="I9" s="179"/>
      <c r="J9" s="179"/>
      <c r="K9" s="64"/>
      <c r="L9" s="187"/>
      <c r="M9" s="64"/>
      <c r="N9" s="64">
        <v>0</v>
      </c>
      <c r="O9" s="61"/>
      <c r="P9" s="61"/>
      <c r="Q9" s="62"/>
      <c r="R9" s="177"/>
      <c r="S9" s="177"/>
      <c r="T9" s="177"/>
      <c r="U9" s="177"/>
      <c r="V9" s="177"/>
      <c r="W9" s="177"/>
      <c r="X9" s="177"/>
      <c r="Y9" s="177"/>
      <c r="Z9" s="177"/>
    </row>
    <row r="10" spans="1:29" ht="13.5" customHeight="1" thickBot="1" x14ac:dyDescent="0.25">
      <c r="B10" s="175"/>
      <c r="C10" s="175"/>
      <c r="D10" s="59" t="e">
        <f ca="1">SUM(D4:D9)</f>
        <v>#NAME?</v>
      </c>
      <c r="E10" s="176"/>
      <c r="F10" s="176"/>
      <c r="G10" s="175"/>
      <c r="H10" s="55"/>
      <c r="I10" s="175"/>
      <c r="J10" s="175"/>
      <c r="K10" s="137" t="e">
        <f ca="1">SUM(K4:K9)</f>
        <v>#NAME?</v>
      </c>
      <c r="L10" s="137">
        <f>SUM(L4:L9)</f>
        <v>999960</v>
      </c>
      <c r="M10" s="137" t="e">
        <f ca="1">SUM(M4:M9)</f>
        <v>#NAME?</v>
      </c>
      <c r="N10" s="137" t="e">
        <f ca="1">SUM(N4:N9)</f>
        <v>#NAME?</v>
      </c>
      <c r="O10" s="137"/>
      <c r="P10" s="137" t="e">
        <f ca="1">SUM(P4:P9)</f>
        <v>#NAME?</v>
      </c>
      <c r="Q10" s="56"/>
      <c r="R10" s="55"/>
      <c r="S10" s="55"/>
      <c r="T10" s="55"/>
      <c r="U10" s="55"/>
      <c r="V10" s="55"/>
      <c r="W10" s="55"/>
      <c r="X10" s="55"/>
      <c r="Y10" s="55"/>
      <c r="Z10" s="55"/>
    </row>
    <row r="11" spans="1:29" ht="13.5" customHeight="1" x14ac:dyDescent="0.2">
      <c r="B11" s="35"/>
      <c r="C11" s="35"/>
      <c r="D11" s="54"/>
      <c r="E11" s="46"/>
      <c r="F11" s="46"/>
      <c r="G11" s="35"/>
      <c r="H11" s="35"/>
      <c r="I11" s="40"/>
      <c r="J11" s="40"/>
      <c r="K11" s="42"/>
      <c r="L11" s="43"/>
      <c r="M11" s="208"/>
      <c r="N11" s="69"/>
      <c r="O11" s="205"/>
      <c r="P11" s="113" t="e">
        <f ca="1">N10/L10-1</f>
        <v>#NAME?</v>
      </c>
    </row>
    <row r="12" spans="1:29" x14ac:dyDescent="0.2">
      <c r="E12" s="155"/>
      <c r="K12" s="30"/>
      <c r="L12" s="148"/>
      <c r="M12" s="35"/>
      <c r="N12" s="34"/>
      <c r="O12" s="34"/>
      <c r="P12" s="30"/>
    </row>
    <row r="13" spans="1:29" x14ac:dyDescent="0.2">
      <c r="B13" s="32" t="s">
        <v>276</v>
      </c>
      <c r="E13" s="155"/>
      <c r="M13" s="35"/>
      <c r="N13" s="34"/>
      <c r="O13" s="34"/>
      <c r="P13" s="30"/>
    </row>
    <row r="14" spans="1:29" x14ac:dyDescent="0.2">
      <c r="M14" s="35"/>
      <c r="N14" s="34"/>
      <c r="O14" s="34"/>
      <c r="P14" s="30"/>
    </row>
    <row r="15" spans="1:29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280</v>
      </c>
      <c r="O15" s="50" t="s">
        <v>97</v>
      </c>
      <c r="P15" s="50" t="s">
        <v>279</v>
      </c>
      <c r="Q15" s="50" t="s">
        <v>277</v>
      </c>
      <c r="R15" s="50" t="s">
        <v>278</v>
      </c>
    </row>
    <row r="16" spans="1:29" s="33" customFormat="1" x14ac:dyDescent="0.2">
      <c r="B16" s="103" t="s">
        <v>191</v>
      </c>
      <c r="C16" s="103" t="s">
        <v>49</v>
      </c>
      <c r="D16" s="73" t="s">
        <v>51</v>
      </c>
      <c r="E16" s="43" t="e">
        <f ca="1">F16*_xll.BDP(C16,"PX_LAST")</f>
        <v>#NAME?</v>
      </c>
      <c r="F16" s="43">
        <v>3125</v>
      </c>
      <c r="G16" s="43">
        <v>3125</v>
      </c>
      <c r="H16" s="47">
        <f>G16/F16</f>
        <v>1</v>
      </c>
      <c r="I16" s="43">
        <f>G16*K16</f>
        <v>37500</v>
      </c>
      <c r="J16" s="45">
        <f>G16*L16</f>
        <v>36718.75</v>
      </c>
      <c r="K16" s="38">
        <v>12</v>
      </c>
      <c r="L16" s="38">
        <v>11.75</v>
      </c>
      <c r="M16" s="44">
        <f>L16/K16-1</f>
        <v>-2.083333333333337E-2</v>
      </c>
      <c r="N16" s="43">
        <f>J16-I16</f>
        <v>-781.25</v>
      </c>
      <c r="O16" s="106" t="e">
        <f ca="1">_xll.BDP($C16,"CRNCY")</f>
        <v>#NAME?</v>
      </c>
      <c r="P16" s="43">
        <f>N16</f>
        <v>-781.25</v>
      </c>
      <c r="Q16" s="14">
        <v>42335</v>
      </c>
      <c r="R16" s="22" t="e">
        <f ca="1">_xll.BDH("GBP curncy","PX_LAST",$Q16)</f>
        <v>#NAME?</v>
      </c>
    </row>
    <row r="17" spans="2:19" x14ac:dyDescent="0.2">
      <c r="B17" s="35"/>
      <c r="C17" s="35"/>
      <c r="D17" s="40"/>
      <c r="G17" s="35"/>
      <c r="H17" s="35"/>
      <c r="I17" s="35"/>
      <c r="J17" s="35"/>
      <c r="K17" s="35"/>
      <c r="L17" s="46"/>
      <c r="N17" s="35" t="s">
        <v>94</v>
      </c>
      <c r="O17" s="34" t="s">
        <v>75</v>
      </c>
      <c r="P17" s="40">
        <f>SUM(P16:P16)</f>
        <v>-781.25</v>
      </c>
    </row>
    <row r="18" spans="2:19" x14ac:dyDescent="0.2">
      <c r="J18" s="105"/>
      <c r="K18" s="70"/>
      <c r="L18" s="155"/>
      <c r="M18" s="35"/>
      <c r="N18" s="30"/>
      <c r="O18" s="30"/>
      <c r="P18" s="34"/>
      <c r="R18" s="35"/>
    </row>
    <row r="19" spans="2:19" x14ac:dyDescent="0.2">
      <c r="H19" s="105"/>
      <c r="I19" s="70"/>
      <c r="J19" s="151"/>
      <c r="K19" s="35"/>
      <c r="L19" s="148"/>
      <c r="M19" s="34"/>
    </row>
    <row r="20" spans="2:19" x14ac:dyDescent="0.2">
      <c r="B20" s="32" t="s">
        <v>93</v>
      </c>
      <c r="C20" s="151"/>
      <c r="D20" s="105"/>
      <c r="H20" s="105"/>
      <c r="I20" s="151"/>
      <c r="J20" s="151"/>
      <c r="K20" s="30"/>
    </row>
    <row r="21" spans="2:19" ht="13.5" thickBot="1" x14ac:dyDescent="0.25">
      <c r="C21" s="30"/>
      <c r="D21" s="30"/>
      <c r="G21" s="30"/>
      <c r="H21" s="151"/>
      <c r="I21" s="30"/>
      <c r="J21" s="151"/>
      <c r="K21" s="30"/>
    </row>
    <row r="22" spans="2:19" ht="15" x14ac:dyDescent="0.35">
      <c r="B22" s="26"/>
      <c r="C22" s="26"/>
      <c r="D22" s="26"/>
      <c r="E22" s="26"/>
      <c r="F22" s="26"/>
      <c r="G22" s="26"/>
      <c r="H22" s="28" t="s">
        <v>92</v>
      </c>
      <c r="I22" s="27" t="s">
        <v>91</v>
      </c>
      <c r="J22" s="27" t="s">
        <v>90</v>
      </c>
      <c r="K22" s="27"/>
      <c r="L22" s="27"/>
      <c r="M22" s="26"/>
      <c r="N22" s="26"/>
      <c r="Q22" s="174"/>
      <c r="S22" s="174"/>
    </row>
    <row r="23" spans="2:19" ht="15" x14ac:dyDescent="0.35">
      <c r="B23" s="23" t="s">
        <v>89</v>
      </c>
      <c r="C23" s="23" t="s">
        <v>88</v>
      </c>
      <c r="D23" s="23" t="s">
        <v>87</v>
      </c>
      <c r="E23" s="23" t="s">
        <v>86</v>
      </c>
      <c r="F23" s="23" t="s">
        <v>85</v>
      </c>
      <c r="G23" s="23" t="s">
        <v>84</v>
      </c>
      <c r="H23" s="25" t="s">
        <v>83</v>
      </c>
      <c r="I23" s="24" t="s">
        <v>83</v>
      </c>
      <c r="J23" s="24" t="s">
        <v>75</v>
      </c>
      <c r="K23" s="24" t="s">
        <v>73</v>
      </c>
      <c r="L23" s="24" t="s">
        <v>82</v>
      </c>
      <c r="M23" s="23" t="s">
        <v>81</v>
      </c>
      <c r="N23" s="23" t="s">
        <v>80</v>
      </c>
      <c r="R23" s="264"/>
    </row>
    <row r="24" spans="2:19" x14ac:dyDescent="0.2">
      <c r="B24" s="160"/>
      <c r="D24" s="87"/>
      <c r="E24" s="87"/>
      <c r="F24" s="79"/>
      <c r="G24" s="87"/>
      <c r="H24" s="80"/>
      <c r="I24" s="79"/>
      <c r="J24" s="79"/>
      <c r="K24" s="79"/>
      <c r="L24" s="88"/>
      <c r="M24" s="158"/>
      <c r="N24" s="157"/>
    </row>
    <row r="25" spans="2:19" x14ac:dyDescent="0.2">
      <c r="B25" s="21" t="s">
        <v>418</v>
      </c>
      <c r="C25" s="118" t="s">
        <v>221</v>
      </c>
      <c r="D25" s="18" t="e">
        <f ca="1">_xll.BDP(C25,"SECURITY_NAME")</f>
        <v>#NAME?</v>
      </c>
      <c r="E25" s="18" t="s">
        <v>50</v>
      </c>
      <c r="F25" s="19">
        <v>200000</v>
      </c>
      <c r="G25" s="18" t="e">
        <f ca="1">_xll.BDP(C25,"CRNCY")</f>
        <v>#NAME?</v>
      </c>
      <c r="H25" s="22">
        <v>98.75</v>
      </c>
      <c r="I25" s="15">
        <f>F25*H25/100</f>
        <v>197500</v>
      </c>
      <c r="J25" s="16">
        <f>I25</f>
        <v>197500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42425</v>
      </c>
    </row>
    <row r="26" spans="2:19" x14ac:dyDescent="0.2">
      <c r="B26" s="160"/>
      <c r="D26" s="87"/>
      <c r="E26" s="87"/>
      <c r="F26" s="79">
        <f>SUM(F25)</f>
        <v>200000</v>
      </c>
      <c r="G26" s="87"/>
      <c r="H26" s="80">
        <f>I26/F26*100</f>
        <v>98.75</v>
      </c>
      <c r="I26" s="79">
        <f>SUM(I25)</f>
        <v>197500</v>
      </c>
      <c r="J26" s="79">
        <f>SUM(J25)</f>
        <v>197500</v>
      </c>
      <c r="K26" s="79" t="e">
        <f ca="1">SUM(K25)</f>
        <v>#NAME?</v>
      </c>
      <c r="L26" s="88"/>
      <c r="M26" s="158"/>
      <c r="N26" s="157"/>
    </row>
    <row r="28" spans="2:19" x14ac:dyDescent="0.2">
      <c r="B28" s="21" t="s">
        <v>418</v>
      </c>
      <c r="C28" s="118" t="s">
        <v>680</v>
      </c>
      <c r="D28" s="18" t="e">
        <f ca="1">_xll.BDP(C28,"SECURITY_NAME")</f>
        <v>#NAME?</v>
      </c>
      <c r="E28" s="18" t="s">
        <v>50</v>
      </c>
      <c r="F28" s="19">
        <v>200000</v>
      </c>
      <c r="G28" s="18" t="e">
        <f ca="1">_xll.BDP(C28,"CRNCY")</f>
        <v>#NAME?</v>
      </c>
      <c r="H28" s="22">
        <v>100</v>
      </c>
      <c r="I28" s="15">
        <f>F28*H28/100</f>
        <v>200000</v>
      </c>
      <c r="J28" s="16">
        <f>I28</f>
        <v>200000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42419</v>
      </c>
    </row>
    <row r="29" spans="2:19" x14ac:dyDescent="0.2">
      <c r="B29" s="160"/>
      <c r="D29" s="87"/>
      <c r="E29" s="87"/>
      <c r="F29" s="79">
        <f>SUM(F28)</f>
        <v>200000</v>
      </c>
      <c r="G29" s="87"/>
      <c r="H29" s="80">
        <f>I29/F29*100</f>
        <v>100</v>
      </c>
      <c r="I29" s="79">
        <f>SUM(I28)</f>
        <v>200000</v>
      </c>
      <c r="J29" s="79">
        <f>SUM(J28)</f>
        <v>200000</v>
      </c>
      <c r="K29" s="79" t="e">
        <f ca="1">SUM(K28)</f>
        <v>#NAME?</v>
      </c>
      <c r="L29" s="88"/>
      <c r="M29" s="158"/>
      <c r="N29" s="157"/>
    </row>
    <row r="30" spans="2:19" x14ac:dyDescent="0.2">
      <c r="B30" s="160"/>
      <c r="C30" s="159"/>
      <c r="D30" s="87"/>
      <c r="E30" s="87"/>
      <c r="F30" s="79"/>
      <c r="G30" s="87"/>
      <c r="H30" s="99"/>
      <c r="I30" s="79"/>
      <c r="J30" s="79"/>
      <c r="K30" s="79"/>
      <c r="L30" s="88"/>
      <c r="M30" s="158"/>
      <c r="N30" s="157"/>
    </row>
    <row r="31" spans="2:19" x14ac:dyDescent="0.2">
      <c r="B31" s="21" t="s">
        <v>418</v>
      </c>
      <c r="C31" s="118" t="s">
        <v>61</v>
      </c>
      <c r="D31" s="18" t="e">
        <f ca="1">_xll.BDP(C31,"SECURITY_NAME")</f>
        <v>#NAME?</v>
      </c>
      <c r="E31" s="18" t="s">
        <v>50</v>
      </c>
      <c r="F31" s="19">
        <v>200000</v>
      </c>
      <c r="G31" s="18" t="e">
        <f ca="1">_xll.BDP(C31,"CRNCY")</f>
        <v>#NAME?</v>
      </c>
      <c r="H31" s="22">
        <v>98.1</v>
      </c>
      <c r="I31" s="15">
        <f>F31*H31/100</f>
        <v>196200</v>
      </c>
      <c r="J31" s="16">
        <f>I31</f>
        <v>196200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42419</v>
      </c>
    </row>
    <row r="32" spans="2:19" x14ac:dyDescent="0.2">
      <c r="B32" s="160"/>
      <c r="D32" s="87"/>
      <c r="E32" s="87"/>
      <c r="F32" s="79">
        <f>SUM(F31)</f>
        <v>200000</v>
      </c>
      <c r="G32" s="87"/>
      <c r="H32" s="80">
        <f>I32/F32*100</f>
        <v>98.1</v>
      </c>
      <c r="I32" s="79">
        <f>SUM(I31)</f>
        <v>196200</v>
      </c>
      <c r="J32" s="79">
        <f>SUM(J31)</f>
        <v>196200</v>
      </c>
      <c r="K32" s="79" t="e">
        <f ca="1">SUM(K31)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21" t="s">
        <v>418</v>
      </c>
      <c r="C34" s="118" t="s">
        <v>679</v>
      </c>
      <c r="D34" s="18" t="e">
        <f ca="1">_xll.BDP(C34,"SECURITY_NAME")</f>
        <v>#NAME?</v>
      </c>
      <c r="E34" s="18" t="s">
        <v>50</v>
      </c>
      <c r="F34" s="19">
        <v>200000</v>
      </c>
      <c r="G34" s="18" t="e">
        <f ca="1">_xll.BDP(C34,"CRNCY")</f>
        <v>#NAME?</v>
      </c>
      <c r="H34" s="22">
        <v>101.1</v>
      </c>
      <c r="I34" s="15">
        <f>F34*H34/100</f>
        <v>202200</v>
      </c>
      <c r="J34" s="16">
        <f>I34</f>
        <v>202200</v>
      </c>
      <c r="K34" s="15" t="e">
        <f ca="1">J34*L34</f>
        <v>#NAME?</v>
      </c>
      <c r="L34" s="140" t="e">
        <f ca="1">_xll.BDH("RUB curncy","PX_LAST",$N34)</f>
        <v>#NAME?</v>
      </c>
      <c r="M34" s="85" t="e">
        <f ca="1">1/_xll.BDH("RUB curncy","PX_LAST",$N34)</f>
        <v>#NAME?</v>
      </c>
      <c r="N34" s="14">
        <v>42419</v>
      </c>
    </row>
    <row r="35" spans="2:14" x14ac:dyDescent="0.2">
      <c r="B35" s="160"/>
      <c r="D35" s="87"/>
      <c r="E35" s="87"/>
      <c r="F35" s="79">
        <f>SUM(F34)</f>
        <v>200000</v>
      </c>
      <c r="G35" s="87"/>
      <c r="H35" s="80">
        <f>I35/F35*100</f>
        <v>101.1</v>
      </c>
      <c r="I35" s="79">
        <f>SUM(I34)</f>
        <v>202200</v>
      </c>
      <c r="J35" s="79">
        <f>SUM(J34)</f>
        <v>202200</v>
      </c>
      <c r="K35" s="79" t="e">
        <f ca="1">SUM(K34)</f>
        <v>#NAME?</v>
      </c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21" t="s">
        <v>418</v>
      </c>
      <c r="C37" s="118" t="s">
        <v>678</v>
      </c>
      <c r="D37" s="18" t="e">
        <f ca="1">_xll.BDP(C37,"SECURITY_NAME")</f>
        <v>#NAME?</v>
      </c>
      <c r="E37" s="18" t="s">
        <v>50</v>
      </c>
      <c r="F37" s="19">
        <v>200000</v>
      </c>
      <c r="G37" s="18" t="e">
        <f ca="1">_xll.BDP(C37,"CRNCY")</f>
        <v>#NAME?</v>
      </c>
      <c r="H37" s="22">
        <v>102.03</v>
      </c>
      <c r="I37" s="15">
        <f>F37*H37/100</f>
        <v>204060</v>
      </c>
      <c r="J37" s="16">
        <f>I37</f>
        <v>204060</v>
      </c>
      <c r="K37" s="15" t="e">
        <f ca="1">J37*L37</f>
        <v>#NAME?</v>
      </c>
      <c r="L37" s="140" t="e">
        <f ca="1">_xll.BDH("RUB curncy","PX_LAST",$N37)</f>
        <v>#NAME?</v>
      </c>
      <c r="M37" s="85" t="e">
        <f ca="1">1/_xll.BDH("RUB curncy","PX_LAST",$N37)</f>
        <v>#NAME?</v>
      </c>
      <c r="N37" s="14">
        <v>42419</v>
      </c>
    </row>
    <row r="38" spans="2:14" x14ac:dyDescent="0.2">
      <c r="B38" s="160"/>
      <c r="D38" s="87"/>
      <c r="E38" s="87"/>
      <c r="F38" s="79">
        <f>SUM(F37)</f>
        <v>200000</v>
      </c>
      <c r="G38" s="87"/>
      <c r="H38" s="80">
        <f>I38/F38*100</f>
        <v>102.03</v>
      </c>
      <c r="I38" s="79">
        <f>SUM(I37)</f>
        <v>204060</v>
      </c>
      <c r="J38" s="79">
        <f>SUM(J37)</f>
        <v>204060</v>
      </c>
      <c r="K38" s="79" t="e">
        <f ca="1">SUM(K37)</f>
        <v>#NAME?</v>
      </c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0"/>
      <c r="C40" s="159"/>
      <c r="D40" s="87"/>
      <c r="E40" s="87"/>
      <c r="F40" s="79"/>
      <c r="G40" s="87"/>
      <c r="H40" s="99"/>
      <c r="I40" s="79"/>
      <c r="J40" s="79"/>
      <c r="K40" s="79"/>
      <c r="L40" s="88"/>
      <c r="M40" s="158"/>
      <c r="N40" s="157"/>
    </row>
    <row r="41" spans="2:14" x14ac:dyDescent="0.2">
      <c r="B41" s="167"/>
      <c r="C41" s="166"/>
      <c r="D41" s="165"/>
      <c r="E41" s="165"/>
      <c r="F41" s="96"/>
      <c r="G41" s="165"/>
      <c r="H41" s="97"/>
      <c r="I41" s="163"/>
      <c r="J41" s="164"/>
      <c r="K41" s="163"/>
      <c r="L41" s="162"/>
      <c r="M41" s="161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0"/>
      <c r="C43" s="159"/>
      <c r="D43" s="87"/>
      <c r="E43" s="87"/>
      <c r="F43" s="79"/>
      <c r="G43" s="87"/>
      <c r="H43" s="99"/>
      <c r="I43" s="79"/>
      <c r="J43" s="79"/>
      <c r="K43" s="79"/>
      <c r="L43" s="88"/>
      <c r="M43" s="158"/>
      <c r="N43" s="157"/>
    </row>
    <row r="44" spans="2:14" x14ac:dyDescent="0.2">
      <c r="B44" s="167"/>
      <c r="C44" s="166"/>
      <c r="D44" s="165"/>
      <c r="E44" s="165"/>
      <c r="F44" s="96"/>
      <c r="G44" s="165"/>
      <c r="H44" s="97"/>
      <c r="I44" s="163"/>
      <c r="J44" s="164"/>
      <c r="K44" s="163"/>
      <c r="L44" s="162"/>
      <c r="M44" s="161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0"/>
      <c r="C46" s="159"/>
      <c r="D46" s="87"/>
      <c r="E46" s="87"/>
      <c r="F46" s="79"/>
      <c r="G46" s="87"/>
      <c r="H46" s="99"/>
      <c r="I46" s="79"/>
      <c r="J46" s="79"/>
      <c r="K46" s="79"/>
      <c r="L46" s="88"/>
      <c r="M46" s="158"/>
      <c r="N46" s="157"/>
    </row>
    <row r="47" spans="2:14" x14ac:dyDescent="0.2">
      <c r="B47" s="167"/>
      <c r="C47" s="166"/>
      <c r="D47" s="165"/>
      <c r="E47" s="165"/>
      <c r="F47" s="96"/>
      <c r="G47" s="165"/>
      <c r="H47" s="97"/>
      <c r="I47" s="163"/>
      <c r="J47" s="164"/>
      <c r="K47" s="163"/>
      <c r="L47" s="162"/>
      <c r="M47" s="161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0"/>
      <c r="C49" s="159"/>
      <c r="D49" s="87"/>
      <c r="E49" s="87"/>
      <c r="F49" s="79"/>
      <c r="G49" s="87"/>
      <c r="H49" s="99"/>
      <c r="I49" s="79"/>
      <c r="J49" s="79"/>
      <c r="K49" s="79"/>
      <c r="L49" s="88"/>
      <c r="M49" s="158"/>
      <c r="N49" s="157"/>
    </row>
    <row r="50" spans="2:14" x14ac:dyDescent="0.2">
      <c r="B50" s="167"/>
      <c r="C50" s="166"/>
      <c r="D50" s="165"/>
      <c r="E50" s="165"/>
      <c r="F50" s="96"/>
      <c r="G50" s="165"/>
      <c r="H50" s="97"/>
      <c r="I50" s="163"/>
      <c r="J50" s="164"/>
      <c r="K50" s="163"/>
      <c r="L50" s="162"/>
      <c r="M50" s="161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0"/>
      <c r="C52" s="159"/>
      <c r="D52" s="87"/>
      <c r="E52" s="87"/>
      <c r="F52" s="79"/>
      <c r="G52" s="87"/>
      <c r="H52" s="99"/>
      <c r="I52" s="79"/>
      <c r="J52" s="79"/>
      <c r="K52" s="79"/>
      <c r="L52" s="88"/>
      <c r="M52" s="158"/>
      <c r="N52" s="157"/>
    </row>
    <row r="53" spans="2:14" x14ac:dyDescent="0.2">
      <c r="B53" s="167"/>
      <c r="C53" s="166"/>
      <c r="D53" s="165"/>
      <c r="E53" s="165"/>
      <c r="F53" s="96"/>
      <c r="G53" s="165"/>
      <c r="H53" s="97"/>
      <c r="I53" s="163"/>
      <c r="J53" s="164"/>
      <c r="K53" s="163"/>
      <c r="L53" s="162"/>
      <c r="M53" s="161"/>
      <c r="N53" s="157"/>
    </row>
    <row r="54" spans="2:14" x14ac:dyDescent="0.2">
      <c r="B54" s="167"/>
      <c r="C54" s="166"/>
      <c r="D54" s="165"/>
      <c r="E54" s="165"/>
      <c r="F54" s="96"/>
      <c r="G54" s="165"/>
      <c r="H54" s="97"/>
      <c r="I54" s="163"/>
      <c r="J54" s="164"/>
      <c r="K54" s="163"/>
      <c r="L54" s="162"/>
      <c r="M54" s="161"/>
      <c r="N54" s="157"/>
    </row>
    <row r="55" spans="2:14" x14ac:dyDescent="0.2">
      <c r="B55" s="160"/>
      <c r="C55" s="159"/>
      <c r="D55" s="87"/>
      <c r="E55" s="87"/>
      <c r="F55" s="79"/>
      <c r="G55" s="87"/>
      <c r="H55" s="99"/>
      <c r="I55" s="79"/>
      <c r="J55" s="79"/>
      <c r="K55" s="79"/>
      <c r="L55" s="88"/>
      <c r="M55" s="158"/>
      <c r="N55" s="157"/>
    </row>
    <row r="57" spans="2:14" x14ac:dyDescent="0.2">
      <c r="B57" s="167"/>
      <c r="C57" s="166"/>
      <c r="D57" s="165"/>
      <c r="E57" s="165"/>
      <c r="F57" s="96"/>
      <c r="G57" s="165"/>
      <c r="H57" s="97"/>
      <c r="I57" s="163"/>
      <c r="J57" s="164"/>
      <c r="K57" s="163"/>
      <c r="L57" s="162"/>
      <c r="M57" s="161"/>
      <c r="N57" s="157"/>
    </row>
    <row r="58" spans="2:14" x14ac:dyDescent="0.2">
      <c r="B58" s="160"/>
      <c r="C58" s="159"/>
      <c r="D58" s="87"/>
      <c r="E58" s="87"/>
      <c r="F58" s="79"/>
      <c r="G58" s="87"/>
      <c r="H58" s="99"/>
      <c r="I58" s="79"/>
      <c r="J58" s="79"/>
      <c r="K58" s="79"/>
      <c r="L58" s="88"/>
      <c r="M58" s="158"/>
      <c r="N58" s="157"/>
    </row>
    <row r="60" spans="2:14" x14ac:dyDescent="0.2">
      <c r="B60" s="167"/>
      <c r="C60" s="166"/>
      <c r="D60" s="165"/>
      <c r="E60" s="165"/>
      <c r="F60" s="96"/>
      <c r="G60" s="165"/>
      <c r="H60" s="97"/>
      <c r="I60" s="163"/>
      <c r="J60" s="164"/>
      <c r="K60" s="163"/>
      <c r="L60" s="162"/>
      <c r="M60" s="161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7"/>
      <c r="C62" s="166"/>
      <c r="D62" s="165"/>
      <c r="E62" s="165"/>
      <c r="F62" s="96"/>
      <c r="G62" s="165"/>
      <c r="H62" s="97"/>
      <c r="I62" s="163"/>
      <c r="J62" s="164"/>
      <c r="K62" s="163"/>
      <c r="L62" s="162"/>
      <c r="M62" s="161"/>
      <c r="N62" s="157"/>
    </row>
    <row r="63" spans="2:14" x14ac:dyDescent="0.2">
      <c r="B63" s="167"/>
      <c r="C63" s="166"/>
      <c r="D63" s="165"/>
      <c r="E63" s="165"/>
      <c r="F63" s="96"/>
      <c r="G63" s="165"/>
      <c r="H63" s="97"/>
      <c r="I63" s="163"/>
      <c r="J63" s="164"/>
      <c r="K63" s="163"/>
      <c r="L63" s="162"/>
      <c r="M63" s="161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D66" s="87"/>
      <c r="E66" s="87"/>
      <c r="F66" s="79"/>
      <c r="G66" s="87"/>
      <c r="H66" s="80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0"/>
      <c r="C75" s="159"/>
      <c r="D75" s="87"/>
      <c r="E75" s="87"/>
      <c r="F75" s="79"/>
      <c r="G75" s="87"/>
      <c r="H75" s="99"/>
      <c r="I75" s="79"/>
      <c r="J75" s="79"/>
      <c r="K75" s="79"/>
      <c r="L75" s="88"/>
      <c r="M75" s="158"/>
      <c r="N75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0"/>
      <c r="C78" s="159"/>
      <c r="D78" s="87"/>
      <c r="E78" s="87"/>
      <c r="F78" s="79"/>
      <c r="G78" s="87"/>
      <c r="H78" s="100"/>
      <c r="I78" s="79"/>
      <c r="J78" s="79"/>
      <c r="K78" s="79"/>
      <c r="L78" s="88"/>
      <c r="M78" s="158"/>
      <c r="N78" s="157"/>
    </row>
    <row r="80" spans="2:14" x14ac:dyDescent="0.2">
      <c r="B80" s="167"/>
      <c r="C80" s="166"/>
      <c r="D80" s="165"/>
      <c r="E80" s="165"/>
      <c r="F80" s="96"/>
      <c r="G80" s="165"/>
      <c r="H80" s="97"/>
      <c r="I80" s="163"/>
      <c r="J80" s="164"/>
      <c r="K80" s="163"/>
      <c r="L80" s="162"/>
      <c r="M80" s="161"/>
      <c r="N80" s="157"/>
    </row>
    <row r="81" spans="2:14" x14ac:dyDescent="0.2">
      <c r="B81" s="160"/>
      <c r="D81" s="87"/>
      <c r="E81" s="87"/>
      <c r="F81" s="79"/>
      <c r="G81" s="87"/>
      <c r="H81" s="80"/>
      <c r="I81" s="79"/>
      <c r="J81" s="79"/>
      <c r="K81" s="79"/>
      <c r="L81" s="88"/>
      <c r="M81" s="158"/>
      <c r="N81" s="157"/>
    </row>
    <row r="83" spans="2:14" x14ac:dyDescent="0.2">
      <c r="B83" s="167"/>
      <c r="C83" s="166"/>
      <c r="D83" s="165"/>
      <c r="E83" s="165"/>
      <c r="F83" s="96"/>
      <c r="G83" s="165"/>
      <c r="H83" s="97"/>
      <c r="I83" s="163"/>
      <c r="J83" s="164"/>
      <c r="K83" s="163"/>
      <c r="L83" s="162"/>
      <c r="M83" s="161"/>
      <c r="N83" s="157"/>
    </row>
    <row r="84" spans="2:14" x14ac:dyDescent="0.2">
      <c r="B84" s="167"/>
      <c r="C84" s="166"/>
      <c r="D84" s="165"/>
      <c r="E84" s="165"/>
      <c r="F84" s="96"/>
      <c r="G84" s="165"/>
      <c r="H84" s="97"/>
      <c r="I84" s="163"/>
      <c r="J84" s="164"/>
      <c r="K84" s="163"/>
      <c r="L84" s="162"/>
      <c r="M84" s="161"/>
      <c r="N84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7"/>
      <c r="C86" s="166"/>
      <c r="D86" s="165"/>
      <c r="E86" s="165"/>
      <c r="F86" s="96"/>
      <c r="G86" s="165"/>
      <c r="H86" s="97"/>
      <c r="I86" s="163"/>
      <c r="J86" s="164"/>
      <c r="K86" s="163"/>
      <c r="L86" s="162"/>
      <c r="M86" s="161"/>
      <c r="N86" s="157"/>
    </row>
    <row r="87" spans="2:14" x14ac:dyDescent="0.2">
      <c r="B87" s="167"/>
      <c r="C87" s="166"/>
      <c r="D87" s="165"/>
      <c r="E87" s="165"/>
      <c r="F87" s="96"/>
      <c r="G87" s="165"/>
      <c r="H87" s="97"/>
      <c r="I87" s="163"/>
      <c r="J87" s="164"/>
      <c r="K87" s="163"/>
      <c r="L87" s="162"/>
      <c r="M87" s="161"/>
      <c r="N87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F89" s="79"/>
      <c r="H89" s="80"/>
      <c r="I89" s="79"/>
      <c r="J89" s="79"/>
      <c r="K89" s="79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3" spans="2:14" x14ac:dyDescent="0.2">
      <c r="B93" s="160"/>
      <c r="D93" s="87"/>
      <c r="E93" s="87"/>
      <c r="F93" s="79"/>
      <c r="G93" s="87"/>
      <c r="H93" s="80"/>
      <c r="I93" s="79"/>
      <c r="J93" s="79"/>
      <c r="K93" s="79"/>
      <c r="L93" s="88"/>
      <c r="M93" s="158"/>
      <c r="N93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0"/>
      <c r="D96" s="87"/>
      <c r="E96" s="87"/>
      <c r="F96" s="79"/>
      <c r="G96" s="87"/>
      <c r="H96" s="80"/>
      <c r="I96" s="79"/>
      <c r="J96" s="79"/>
      <c r="K96" s="79"/>
      <c r="L96" s="88"/>
      <c r="M96" s="158"/>
      <c r="N96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7"/>
      <c r="C103" s="166"/>
      <c r="D103" s="165"/>
      <c r="E103" s="165"/>
      <c r="F103" s="96"/>
      <c r="G103" s="165"/>
      <c r="H103" s="97"/>
      <c r="I103" s="163"/>
      <c r="J103" s="164"/>
      <c r="K103" s="163"/>
      <c r="L103" s="162"/>
      <c r="M103" s="161"/>
      <c r="N103" s="157"/>
    </row>
    <row r="104" spans="2:14" x14ac:dyDescent="0.2">
      <c r="F104" s="79"/>
      <c r="H104" s="80"/>
      <c r="I104" s="79"/>
      <c r="J104" s="79"/>
      <c r="K104" s="79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7"/>
      <c r="C107" s="166"/>
      <c r="D107" s="165"/>
      <c r="E107" s="165"/>
      <c r="F107" s="96"/>
      <c r="G107" s="165"/>
      <c r="H107" s="97"/>
      <c r="I107" s="163"/>
      <c r="J107" s="164"/>
      <c r="K107" s="163"/>
      <c r="L107" s="162"/>
      <c r="M107" s="161"/>
      <c r="N107" s="157"/>
    </row>
    <row r="108" spans="2:14" x14ac:dyDescent="0.2">
      <c r="F108" s="79"/>
      <c r="G108" s="79"/>
      <c r="H108" s="80"/>
      <c r="I108" s="79"/>
      <c r="J108" s="79"/>
      <c r="K108" s="79"/>
    </row>
    <row r="109" spans="2:14" x14ac:dyDescent="0.2">
      <c r="G109" s="79"/>
      <c r="H109" s="80"/>
      <c r="I109" s="79"/>
      <c r="J109" s="79"/>
      <c r="K109" s="79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0"/>
      <c r="C113" s="159"/>
      <c r="D113" s="87"/>
      <c r="E113" s="87"/>
      <c r="F113" s="79"/>
      <c r="G113" s="87"/>
      <c r="H113" s="79"/>
      <c r="I113" s="79"/>
      <c r="J113" s="79"/>
      <c r="K113" s="79"/>
      <c r="L113" s="88"/>
      <c r="M113" s="158"/>
      <c r="N113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0"/>
      <c r="C116" s="159"/>
      <c r="D116" s="87"/>
      <c r="E116" s="87"/>
      <c r="F116" s="79"/>
      <c r="G116" s="87"/>
      <c r="H116" s="80"/>
      <c r="I116" s="79"/>
      <c r="J116" s="79"/>
      <c r="K116" s="79"/>
      <c r="L116" s="88"/>
      <c r="M116" s="158"/>
      <c r="N116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B119" s="167"/>
      <c r="C119" s="166"/>
      <c r="D119" s="165"/>
      <c r="E119" s="165"/>
      <c r="F119" s="96"/>
      <c r="G119" s="165"/>
      <c r="H119" s="97"/>
      <c r="I119" s="163"/>
      <c r="J119" s="164"/>
      <c r="K119" s="163"/>
      <c r="L119" s="162"/>
      <c r="M119" s="161"/>
      <c r="N119" s="157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80"/>
      <c r="I122" s="79"/>
      <c r="J122" s="79"/>
      <c r="K122" s="79"/>
      <c r="L122" s="88"/>
      <c r="M122" s="158"/>
      <c r="N122" s="157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0"/>
      <c r="C132" s="159"/>
      <c r="D132" s="87"/>
      <c r="E132" s="87"/>
      <c r="F132" s="79"/>
      <c r="G132" s="87"/>
      <c r="H132" s="79"/>
      <c r="I132" s="79"/>
      <c r="J132" s="79"/>
      <c r="K132" s="79"/>
      <c r="L132" s="88"/>
      <c r="M132" s="158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80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80"/>
      <c r="I146" s="79"/>
      <c r="J146" s="79"/>
      <c r="K146" s="79"/>
      <c r="L146" s="88"/>
      <c r="M146" s="158"/>
      <c r="N146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80"/>
      <c r="I151" s="79"/>
      <c r="J151" s="79"/>
      <c r="K151" s="79"/>
      <c r="L151" s="88"/>
      <c r="M151" s="158"/>
      <c r="N151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80"/>
      <c r="I156" s="79"/>
      <c r="J156" s="79"/>
      <c r="K156" s="79"/>
      <c r="L156" s="88"/>
      <c r="M156" s="158"/>
      <c r="N156" s="157"/>
    </row>
    <row r="157" spans="2:14" x14ac:dyDescent="0.2">
      <c r="B157" s="167"/>
      <c r="C157" s="166"/>
      <c r="D157" s="165"/>
      <c r="E157" s="165"/>
      <c r="F157" s="96"/>
      <c r="G157" s="165"/>
      <c r="H157" s="97"/>
      <c r="I157" s="163"/>
      <c r="J157" s="164"/>
      <c r="K157" s="163"/>
      <c r="L157" s="162"/>
      <c r="M157" s="161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80"/>
      <c r="I163" s="79"/>
      <c r="J163" s="79"/>
      <c r="K163" s="79"/>
      <c r="L163" s="88"/>
      <c r="M163" s="158"/>
      <c r="N163" s="157"/>
    </row>
    <row r="164" spans="2:14" x14ac:dyDescent="0.2">
      <c r="B164" s="160"/>
      <c r="C164" s="159"/>
      <c r="D164" s="87"/>
      <c r="E164" s="87"/>
      <c r="F164" s="79"/>
      <c r="G164" s="87"/>
      <c r="H164" s="80"/>
      <c r="I164" s="79"/>
      <c r="J164" s="79"/>
      <c r="K164" s="79"/>
      <c r="L164" s="88"/>
      <c r="M164" s="158"/>
      <c r="N164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F169" s="79"/>
      <c r="H169" s="88"/>
      <c r="I169" s="79"/>
      <c r="J169" s="79"/>
      <c r="K169" s="79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0"/>
      <c r="C173" s="159"/>
      <c r="D173" s="87"/>
      <c r="E173" s="87"/>
      <c r="F173" s="79"/>
      <c r="G173" s="87"/>
      <c r="H173" s="80"/>
      <c r="I173" s="79"/>
      <c r="J173" s="79"/>
      <c r="K173" s="79"/>
      <c r="L173" s="88"/>
      <c r="M173" s="173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73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0"/>
      <c r="C176" s="159"/>
      <c r="D176" s="87"/>
      <c r="E176" s="87"/>
      <c r="F176" s="79"/>
      <c r="G176" s="87"/>
      <c r="H176" s="88"/>
      <c r="I176" s="79"/>
      <c r="J176" s="79"/>
      <c r="K176" s="79"/>
      <c r="L176" s="88"/>
      <c r="M176" s="173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73"/>
      <c r="N177" s="157"/>
    </row>
    <row r="178" spans="2:14" x14ac:dyDescent="0.2">
      <c r="B178" s="167"/>
      <c r="C178" s="166"/>
      <c r="D178" s="165"/>
      <c r="E178" s="165"/>
      <c r="F178" s="96"/>
      <c r="G178" s="165"/>
      <c r="H178" s="97"/>
      <c r="I178" s="163"/>
      <c r="J178" s="164"/>
      <c r="K178" s="163"/>
      <c r="L178" s="162"/>
      <c r="M178" s="161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7"/>
      <c r="C180" s="166"/>
      <c r="D180" s="165"/>
      <c r="E180" s="165"/>
      <c r="F180" s="96"/>
      <c r="G180" s="165"/>
      <c r="H180" s="97"/>
      <c r="I180" s="163"/>
      <c r="J180" s="164"/>
      <c r="K180" s="163"/>
      <c r="L180" s="162"/>
      <c r="M180" s="161"/>
      <c r="N180" s="157"/>
    </row>
    <row r="181" spans="2:14" x14ac:dyDescent="0.2">
      <c r="B181" s="167"/>
      <c r="C181" s="166"/>
      <c r="D181" s="165"/>
      <c r="E181" s="165"/>
      <c r="F181" s="96"/>
      <c r="G181" s="165"/>
      <c r="H181" s="97"/>
      <c r="I181" s="163"/>
      <c r="J181" s="164"/>
      <c r="K181" s="163"/>
      <c r="L181" s="162"/>
      <c r="M181" s="161"/>
      <c r="N181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7"/>
      <c r="C184" s="166"/>
      <c r="D184" s="165"/>
      <c r="E184" s="165"/>
      <c r="F184" s="96"/>
      <c r="G184" s="165"/>
      <c r="H184" s="97"/>
      <c r="I184" s="163"/>
      <c r="J184" s="164"/>
      <c r="K184" s="163"/>
      <c r="L184" s="162"/>
      <c r="M184" s="161"/>
      <c r="N184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7"/>
      <c r="C187" s="166"/>
      <c r="D187" s="165"/>
      <c r="E187" s="165"/>
      <c r="F187" s="96"/>
      <c r="G187" s="165"/>
      <c r="H187" s="97"/>
      <c r="I187" s="163"/>
      <c r="J187" s="164"/>
      <c r="K187" s="163"/>
      <c r="L187" s="162"/>
      <c r="M187" s="161"/>
      <c r="N187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58"/>
      <c r="N191" s="157"/>
    </row>
    <row r="192" spans="2:14" x14ac:dyDescent="0.2">
      <c r="B192" s="160"/>
      <c r="C192" s="159"/>
      <c r="D192" s="87"/>
      <c r="E192" s="87"/>
      <c r="F192" s="79"/>
      <c r="G192" s="87"/>
      <c r="H192" s="80"/>
      <c r="I192" s="168"/>
      <c r="J192" s="169"/>
      <c r="K192" s="168"/>
      <c r="L192" s="88"/>
      <c r="M192" s="158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C204" s="159"/>
      <c r="D204" s="87"/>
      <c r="E204" s="87"/>
      <c r="F204" s="79"/>
      <c r="G204" s="87"/>
      <c r="H204" s="80"/>
      <c r="I204" s="79"/>
      <c r="J204" s="79"/>
      <c r="K204" s="79"/>
      <c r="L204" s="88"/>
      <c r="M204" s="173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73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0"/>
      <c r="C207" s="159"/>
      <c r="D207" s="87"/>
      <c r="E207" s="87"/>
      <c r="F207" s="79"/>
      <c r="G207" s="87"/>
      <c r="H207" s="80"/>
      <c r="I207" s="79"/>
      <c r="J207" s="79"/>
      <c r="K207" s="79"/>
      <c r="L207" s="88"/>
      <c r="M207" s="158"/>
      <c r="N207" s="157"/>
    </row>
    <row r="208" spans="2:14" x14ac:dyDescent="0.2">
      <c r="B208" s="160"/>
      <c r="C208" s="159"/>
      <c r="D208" s="87"/>
      <c r="E208" s="87"/>
      <c r="F208" s="79"/>
      <c r="G208" s="87"/>
      <c r="H208" s="80"/>
      <c r="I208" s="168"/>
      <c r="J208" s="169"/>
      <c r="K208" s="168"/>
      <c r="L208" s="88"/>
      <c r="M208" s="158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0"/>
      <c r="C213" s="159"/>
      <c r="D213" s="87"/>
      <c r="E213" s="87"/>
      <c r="F213" s="79"/>
      <c r="G213" s="87"/>
      <c r="H213" s="80"/>
      <c r="I213" s="79"/>
      <c r="J213" s="79"/>
      <c r="K213" s="79"/>
      <c r="L213" s="88"/>
      <c r="M213" s="173"/>
      <c r="N213" s="157"/>
    </row>
    <row r="214" spans="2:14" x14ac:dyDescent="0.2">
      <c r="B214" s="160"/>
      <c r="C214" s="159"/>
      <c r="D214" s="87"/>
      <c r="E214" s="87"/>
      <c r="F214" s="79"/>
      <c r="G214" s="87"/>
      <c r="H214" s="80"/>
      <c r="I214" s="79"/>
      <c r="J214" s="79"/>
      <c r="K214" s="79"/>
      <c r="L214" s="88"/>
      <c r="M214" s="173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0"/>
      <c r="C217" s="159"/>
      <c r="D217" s="87"/>
      <c r="E217" s="87"/>
      <c r="F217" s="79"/>
      <c r="G217" s="87"/>
      <c r="H217" s="80"/>
      <c r="I217" s="79"/>
      <c r="J217" s="79"/>
      <c r="K217" s="79"/>
      <c r="L217" s="88"/>
      <c r="M217" s="173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73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79"/>
      <c r="J222" s="79"/>
      <c r="K222" s="79"/>
      <c r="L222" s="88"/>
      <c r="M222" s="173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58"/>
      <c r="N225" s="157"/>
    </row>
    <row r="226" spans="2:14" x14ac:dyDescent="0.2">
      <c r="B226" s="160"/>
      <c r="C226" s="159"/>
      <c r="D226" s="87"/>
      <c r="E226" s="87"/>
      <c r="F226" s="79"/>
      <c r="G226" s="87"/>
      <c r="H226" s="80"/>
      <c r="I226" s="168"/>
      <c r="J226" s="169"/>
      <c r="K226" s="168"/>
      <c r="L226" s="88"/>
      <c r="M226" s="173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91"/>
      <c r="I227" s="79"/>
      <c r="J227" s="79"/>
      <c r="K227" s="79"/>
      <c r="L227" s="88"/>
      <c r="M227" s="158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91"/>
      <c r="I231" s="79"/>
      <c r="J231" s="79"/>
      <c r="K231" s="79"/>
      <c r="L231" s="88"/>
      <c r="M231" s="158"/>
      <c r="N231" s="157"/>
    </row>
    <row r="232" spans="2:14" x14ac:dyDescent="0.2">
      <c r="B232" s="167"/>
      <c r="C232" s="166"/>
      <c r="D232" s="165"/>
      <c r="E232" s="165"/>
      <c r="F232" s="96"/>
      <c r="G232" s="165"/>
      <c r="H232" s="172"/>
      <c r="I232" s="163"/>
      <c r="J232" s="164"/>
      <c r="K232" s="163"/>
      <c r="L232" s="162"/>
      <c r="M232" s="161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93"/>
      <c r="I233" s="79"/>
      <c r="J233" s="79"/>
      <c r="K233" s="79"/>
      <c r="L233" s="88"/>
      <c r="M233" s="158"/>
      <c r="N233" s="157"/>
    </row>
    <row r="234" spans="2:14" x14ac:dyDescent="0.2">
      <c r="B234" s="160"/>
      <c r="C234" s="159"/>
      <c r="D234" s="87"/>
      <c r="E234" s="87"/>
      <c r="F234" s="79"/>
      <c r="G234" s="87"/>
      <c r="H234" s="92"/>
      <c r="I234" s="79"/>
      <c r="J234" s="79"/>
      <c r="K234" s="79"/>
      <c r="L234" s="88"/>
      <c r="M234" s="158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171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92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92"/>
      <c r="I237" s="79"/>
      <c r="J237" s="79"/>
      <c r="K237" s="79"/>
      <c r="L237" s="88"/>
      <c r="M237" s="158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170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170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95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168"/>
      <c r="J241" s="169"/>
      <c r="K241" s="168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0"/>
      <c r="C246" s="159"/>
      <c r="D246" s="87"/>
      <c r="E246" s="87"/>
      <c r="F246" s="79"/>
      <c r="G246" s="87"/>
      <c r="H246" s="80"/>
      <c r="I246" s="79"/>
      <c r="J246" s="79"/>
      <c r="K246" s="79"/>
      <c r="L246" s="88"/>
      <c r="M246" s="158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80"/>
      <c r="I247" s="168"/>
      <c r="J247" s="169"/>
      <c r="K247" s="168"/>
      <c r="L247" s="88"/>
      <c r="M247" s="158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7"/>
      <c r="C251" s="166"/>
      <c r="D251" s="165"/>
      <c r="E251" s="165"/>
      <c r="F251" s="96"/>
      <c r="G251" s="165"/>
      <c r="H251" s="97"/>
      <c r="I251" s="163"/>
      <c r="J251" s="164"/>
      <c r="K251" s="163"/>
      <c r="L251" s="162"/>
      <c r="M251" s="161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97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96"/>
      <c r="J263" s="96"/>
      <c r="K263" s="96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96"/>
      <c r="J264" s="96"/>
      <c r="K264" s="96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0"/>
      <c r="C266" s="159"/>
      <c r="D266" s="87"/>
      <c r="E266" s="87"/>
      <c r="F266" s="79"/>
      <c r="G266" s="87"/>
      <c r="H266" s="80"/>
      <c r="I266" s="79"/>
      <c r="J266" s="79"/>
      <c r="K266" s="79"/>
      <c r="L266" s="88"/>
      <c r="M266" s="158"/>
      <c r="N266" s="157"/>
    </row>
    <row r="267" spans="2:14" x14ac:dyDescent="0.2">
      <c r="B267" s="160"/>
      <c r="C267" s="159"/>
      <c r="D267" s="87"/>
      <c r="E267" s="87"/>
      <c r="F267" s="79"/>
      <c r="G267" s="87"/>
      <c r="H267" s="80"/>
      <c r="I267" s="79"/>
      <c r="J267" s="79"/>
      <c r="K267" s="79"/>
      <c r="L267" s="88"/>
      <c r="M267" s="158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0"/>
      <c r="C270" s="159"/>
      <c r="D270" s="87"/>
      <c r="E270" s="87"/>
      <c r="F270" s="79"/>
      <c r="G270" s="87"/>
      <c r="H270" s="80"/>
      <c r="I270" s="79"/>
      <c r="J270" s="79"/>
      <c r="K270" s="79"/>
      <c r="L270" s="88"/>
      <c r="M270" s="158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5" spans="2:14" x14ac:dyDescent="0.2">
      <c r="B275" s="160"/>
      <c r="C275" s="159"/>
      <c r="D275" s="87"/>
      <c r="E275" s="87"/>
      <c r="F275" s="79"/>
      <c r="G275" s="87"/>
      <c r="H275" s="80"/>
      <c r="I275" s="79"/>
      <c r="J275" s="79"/>
      <c r="K275" s="79"/>
      <c r="L275" s="88"/>
      <c r="M275" s="158"/>
      <c r="N275" s="157"/>
    </row>
    <row r="276" spans="2:14" x14ac:dyDescent="0.2">
      <c r="B276" s="160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66"/>
      <c r="D277" s="165"/>
      <c r="E277" s="165"/>
      <c r="F277" s="96"/>
      <c r="G277" s="165"/>
      <c r="H277" s="97"/>
      <c r="I277" s="163"/>
      <c r="J277" s="164"/>
      <c r="K277" s="163"/>
      <c r="L277" s="162"/>
      <c r="M277" s="161"/>
      <c r="N277" s="157"/>
    </row>
    <row r="278" spans="2:14" x14ac:dyDescent="0.2">
      <c r="B278" s="160"/>
      <c r="C278" s="166"/>
      <c r="D278" s="165"/>
      <c r="E278" s="165"/>
      <c r="F278" s="96"/>
      <c r="G278" s="165"/>
      <c r="H278" s="97"/>
      <c r="I278" s="163"/>
      <c r="J278" s="164"/>
      <c r="K278" s="163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7"/>
      <c r="C281" s="166"/>
      <c r="D281" s="165"/>
      <c r="E281" s="165"/>
      <c r="F281" s="96"/>
      <c r="G281" s="165"/>
      <c r="H281" s="97"/>
      <c r="I281" s="163"/>
      <c r="J281" s="164"/>
      <c r="K281" s="163"/>
      <c r="L281" s="162"/>
      <c r="M281" s="161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0"/>
      <c r="C283" s="159"/>
      <c r="D283" s="87"/>
      <c r="E283" s="87"/>
      <c r="F283" s="79"/>
      <c r="G283" s="87"/>
      <c r="H283" s="80"/>
      <c r="I283" s="79"/>
      <c r="J283" s="79"/>
      <c r="K283" s="79"/>
      <c r="L283" s="88"/>
      <c r="M283" s="158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0"/>
      <c r="C290" s="159"/>
      <c r="D290" s="87"/>
      <c r="E290" s="87"/>
      <c r="F290" s="79"/>
      <c r="G290" s="87"/>
      <c r="H290" s="80"/>
      <c r="I290" s="79"/>
      <c r="J290" s="79"/>
      <c r="K290" s="79"/>
      <c r="L290" s="88"/>
      <c r="M290" s="158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0"/>
      <c r="C303" s="159"/>
      <c r="D303" s="87"/>
      <c r="E303" s="87"/>
      <c r="F303" s="79"/>
      <c r="G303" s="87"/>
      <c r="H303" s="80"/>
      <c r="I303" s="79"/>
      <c r="J303" s="79"/>
      <c r="K303" s="79"/>
      <c r="L303" s="88"/>
      <c r="M303" s="158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168"/>
      <c r="J304" s="169"/>
      <c r="K304" s="168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0"/>
      <c r="C306" s="159"/>
      <c r="D306" s="87"/>
      <c r="E306" s="87"/>
      <c r="F306" s="79"/>
      <c r="G306" s="87"/>
      <c r="H306" s="80"/>
      <c r="I306" s="79"/>
      <c r="J306" s="79"/>
      <c r="K306" s="79"/>
      <c r="L306" s="88"/>
      <c r="M306" s="158"/>
      <c r="N306" s="157"/>
    </row>
    <row r="307" spans="2:14" x14ac:dyDescent="0.2">
      <c r="B307" s="160"/>
      <c r="C307" s="159"/>
      <c r="D307" s="87"/>
      <c r="E307" s="87"/>
      <c r="F307" s="79"/>
      <c r="G307" s="87"/>
      <c r="H307" s="80"/>
      <c r="I307" s="168"/>
      <c r="J307" s="169"/>
      <c r="K307" s="168"/>
      <c r="L307" s="88"/>
      <c r="M307" s="158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0"/>
      <c r="C309" s="159"/>
      <c r="D309" s="87"/>
      <c r="E309" s="87"/>
      <c r="F309" s="79"/>
      <c r="G309" s="87"/>
      <c r="H309" s="80"/>
      <c r="I309" s="79"/>
      <c r="J309" s="79"/>
      <c r="K309" s="79"/>
      <c r="L309" s="88"/>
      <c r="M309" s="158"/>
      <c r="N309" s="157"/>
    </row>
    <row r="310" spans="2:14" x14ac:dyDescent="0.2">
      <c r="B310" s="160"/>
      <c r="C310" s="159"/>
      <c r="D310" s="87"/>
      <c r="E310" s="87"/>
      <c r="F310" s="79"/>
      <c r="G310" s="87"/>
      <c r="H310" s="80"/>
      <c r="I310" s="79"/>
      <c r="J310" s="79"/>
      <c r="K310" s="79"/>
      <c r="L310" s="88"/>
      <c r="M310" s="158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58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168"/>
      <c r="J313" s="169"/>
      <c r="K313" s="168"/>
      <c r="L313" s="88"/>
      <c r="M313" s="158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56"/>
      <c r="C324" s="156"/>
      <c r="D324" s="156"/>
      <c r="E324" s="102"/>
      <c r="F324" s="102"/>
      <c r="G324" s="156"/>
      <c r="H324" s="156"/>
      <c r="I324" s="156"/>
      <c r="J324" s="156"/>
      <c r="K324" s="156"/>
      <c r="L324" s="102"/>
      <c r="M324" s="156"/>
      <c r="N324" s="156"/>
    </row>
    <row r="325" spans="2:14" x14ac:dyDescent="0.2">
      <c r="H325" s="151"/>
    </row>
    <row r="326" spans="2:14" x14ac:dyDescent="0.2">
      <c r="E326" s="32"/>
      <c r="F326" s="32"/>
      <c r="H326" s="151"/>
    </row>
    <row r="328" spans="2:14" x14ac:dyDescent="0.2">
      <c r="E328" s="32"/>
      <c r="F328" s="32"/>
      <c r="H328" s="151"/>
    </row>
    <row r="329" spans="2:14" x14ac:dyDescent="0.2">
      <c r="E329" s="32"/>
      <c r="F329" s="32"/>
      <c r="H329" s="151"/>
    </row>
    <row r="330" spans="2:14" x14ac:dyDescent="0.2">
      <c r="E330" s="32"/>
      <c r="F330" s="32"/>
      <c r="L330" s="155"/>
    </row>
    <row r="331" spans="2:14" x14ac:dyDescent="0.2">
      <c r="E331" s="32"/>
      <c r="F331" s="32"/>
      <c r="L331" s="155"/>
    </row>
    <row r="332" spans="2:14" x14ac:dyDescent="0.2">
      <c r="E332" s="32"/>
      <c r="F332" s="32"/>
      <c r="L332" s="154"/>
    </row>
    <row r="334" spans="2:14" x14ac:dyDescent="0.2">
      <c r="E334" s="32"/>
      <c r="F334" s="32"/>
      <c r="L334" s="153"/>
    </row>
    <row r="338" spans="5:12" x14ac:dyDescent="0.2">
      <c r="E338" s="32"/>
      <c r="F338" s="32"/>
      <c r="G338" s="151"/>
    </row>
    <row r="339" spans="5:12" x14ac:dyDescent="0.2">
      <c r="E339" s="32"/>
      <c r="F339" s="32"/>
      <c r="G339" s="152"/>
    </row>
    <row r="342" spans="5:12" x14ac:dyDescent="0.2">
      <c r="E342" s="32"/>
      <c r="F342" s="32"/>
      <c r="G342" s="151"/>
      <c r="L342" s="32"/>
    </row>
  </sheetData>
  <conditionalFormatting sqref="E173:E174 E221:E222 E214 E204:E205 E176:E177 E217:E218 E52 E225:E227 E24">
    <cfRule type="containsText" dxfId="3286" priority="379" operator="containsText" text="Buy">
      <formula>NOT(ISERROR(SEARCH("Buy",E24)))</formula>
    </cfRule>
    <cfRule type="containsText" dxfId="3285" priority="380" operator="containsText" text="Sell">
      <formula>NOT(ISERROR(SEARCH("Sell",E24)))</formula>
    </cfRule>
  </conditionalFormatting>
  <conditionalFormatting sqref="E246:E247 E236:E237 E241">
    <cfRule type="containsText" dxfId="3284" priority="377" operator="containsText" text="Buy">
      <formula>NOT(ISERROR(SEARCH("Buy",E236)))</formula>
    </cfRule>
    <cfRule type="containsText" dxfId="3283" priority="378" operator="containsText" text="Sell">
      <formula>NOT(ISERROR(SEARCH("Sell",E236)))</formula>
    </cfRule>
  </conditionalFormatting>
  <conditionalFormatting sqref="E262:E264 E321 E318 E313 E307 E304 E301 E298 E291 E287 E281 E271">
    <cfRule type="containsText" dxfId="3282" priority="375" operator="containsText" text="Buy">
      <formula>NOT(ISERROR(SEARCH("Buy",E262)))</formula>
    </cfRule>
    <cfRule type="containsText" dxfId="3281" priority="376" operator="containsText" text="Sell">
      <formula>NOT(ISERROR(SEARCH("Sell",E262)))</formula>
    </cfRule>
  </conditionalFormatting>
  <conditionalFormatting sqref="E261">
    <cfRule type="containsText" dxfId="3280" priority="373" operator="containsText" text="Buy">
      <formula>NOT(ISERROR(SEARCH("Buy",E261)))</formula>
    </cfRule>
    <cfRule type="containsText" dxfId="3279" priority="374" operator="containsText" text="Sell">
      <formula>NOT(ISERROR(SEARCH("Sell",E261)))</formula>
    </cfRule>
  </conditionalFormatting>
  <conditionalFormatting sqref="E260">
    <cfRule type="containsText" dxfId="3278" priority="371" operator="containsText" text="Buy">
      <formula>NOT(ISERROR(SEARCH("Buy",E260)))</formula>
    </cfRule>
    <cfRule type="containsText" dxfId="3277" priority="372" operator="containsText" text="Sell">
      <formula>NOT(ISERROR(SEARCH("Sell",E260)))</formula>
    </cfRule>
  </conditionalFormatting>
  <conditionalFormatting sqref="E259">
    <cfRule type="containsText" dxfId="3276" priority="369" operator="containsText" text="Buy">
      <formula>NOT(ISERROR(SEARCH("Buy",E259)))</formula>
    </cfRule>
    <cfRule type="containsText" dxfId="3275" priority="370" operator="containsText" text="Sell">
      <formula>NOT(ISERROR(SEARCH("Sell",E259)))</formula>
    </cfRule>
  </conditionalFormatting>
  <conditionalFormatting sqref="E172">
    <cfRule type="containsText" dxfId="3274" priority="367" operator="containsText" text="Buy">
      <formula>NOT(ISERROR(SEARCH("Buy",E172)))</formula>
    </cfRule>
    <cfRule type="containsText" dxfId="3273" priority="368" operator="containsText" text="Sell">
      <formula>NOT(ISERROR(SEARCH("Sell",E172)))</formula>
    </cfRule>
  </conditionalFormatting>
  <conditionalFormatting sqref="E171">
    <cfRule type="containsText" dxfId="3272" priority="365" operator="containsText" text="Buy">
      <formula>NOT(ISERROR(SEARCH("Buy",E171)))</formula>
    </cfRule>
    <cfRule type="containsText" dxfId="3271" priority="366" operator="containsText" text="Sell">
      <formula>NOT(ISERROR(SEARCH("Sell",E171)))</formula>
    </cfRule>
  </conditionalFormatting>
  <conditionalFormatting sqref="E220">
    <cfRule type="containsText" dxfId="3270" priority="363" operator="containsText" text="Buy">
      <formula>NOT(ISERROR(SEARCH("Buy",E220)))</formula>
    </cfRule>
    <cfRule type="containsText" dxfId="3269" priority="364" operator="containsText" text="Sell">
      <formula>NOT(ISERROR(SEARCH("Sell",E220)))</formula>
    </cfRule>
  </conditionalFormatting>
  <conditionalFormatting sqref="E219">
    <cfRule type="containsText" dxfId="3268" priority="361" operator="containsText" text="Buy">
      <formula>NOT(ISERROR(SEARCH("Buy",E219)))</formula>
    </cfRule>
    <cfRule type="containsText" dxfId="3267" priority="362" operator="containsText" text="Sell">
      <formula>NOT(ISERROR(SEARCH("Sell",E219)))</formula>
    </cfRule>
  </conditionalFormatting>
  <conditionalFormatting sqref="E206:E208">
    <cfRule type="containsText" dxfId="3266" priority="359" operator="containsText" text="Buy">
      <formula>NOT(ISERROR(SEARCH("Buy",E206)))</formula>
    </cfRule>
    <cfRule type="containsText" dxfId="3265" priority="360" operator="containsText" text="Sell">
      <formula>NOT(ISERROR(SEARCH("Sell",E206)))</formula>
    </cfRule>
  </conditionalFormatting>
  <conditionalFormatting sqref="E203">
    <cfRule type="containsText" dxfId="3264" priority="357" operator="containsText" text="Buy">
      <formula>NOT(ISERROR(SEARCH("Buy",E203)))</formula>
    </cfRule>
    <cfRule type="containsText" dxfId="3263" priority="358" operator="containsText" text="Sell">
      <formula>NOT(ISERROR(SEARCH("Sell",E203)))</formula>
    </cfRule>
  </conditionalFormatting>
  <conditionalFormatting sqref="E202">
    <cfRule type="containsText" dxfId="3262" priority="355" operator="containsText" text="Buy">
      <formula>NOT(ISERROR(SEARCH("Buy",E202)))</formula>
    </cfRule>
    <cfRule type="containsText" dxfId="3261" priority="356" operator="containsText" text="Sell">
      <formula>NOT(ISERROR(SEARCH("Sell",E202)))</formula>
    </cfRule>
  </conditionalFormatting>
  <conditionalFormatting sqref="E201">
    <cfRule type="containsText" dxfId="3260" priority="353" operator="containsText" text="Buy">
      <formula>NOT(ISERROR(SEARCH("Buy",E201)))</formula>
    </cfRule>
    <cfRule type="containsText" dxfId="3259" priority="354" operator="containsText" text="Sell">
      <formula>NOT(ISERROR(SEARCH("Sell",E201)))</formula>
    </cfRule>
  </conditionalFormatting>
  <conditionalFormatting sqref="E200">
    <cfRule type="containsText" dxfId="3258" priority="351" operator="containsText" text="Buy">
      <formula>NOT(ISERROR(SEARCH("Buy",E200)))</formula>
    </cfRule>
    <cfRule type="containsText" dxfId="3257" priority="352" operator="containsText" text="Sell">
      <formula>NOT(ISERROR(SEARCH("Sell",E200)))</formula>
    </cfRule>
  </conditionalFormatting>
  <conditionalFormatting sqref="E199">
    <cfRule type="containsText" dxfId="3256" priority="349" operator="containsText" text="Buy">
      <formula>NOT(ISERROR(SEARCH("Buy",E199)))</formula>
    </cfRule>
    <cfRule type="containsText" dxfId="3255" priority="350" operator="containsText" text="Sell">
      <formula>NOT(ISERROR(SEARCH("Sell",E199)))</formula>
    </cfRule>
  </conditionalFormatting>
  <conditionalFormatting sqref="E198">
    <cfRule type="containsText" dxfId="3254" priority="347" operator="containsText" text="Buy">
      <formula>NOT(ISERROR(SEARCH("Buy",E198)))</formula>
    </cfRule>
    <cfRule type="containsText" dxfId="3253" priority="348" operator="containsText" text="Sell">
      <formula>NOT(ISERROR(SEARCH("Sell",E198)))</formula>
    </cfRule>
  </conditionalFormatting>
  <conditionalFormatting sqref="E197">
    <cfRule type="containsText" dxfId="3252" priority="345" operator="containsText" text="Buy">
      <formula>NOT(ISERROR(SEARCH("Buy",E197)))</formula>
    </cfRule>
    <cfRule type="containsText" dxfId="3251" priority="346" operator="containsText" text="Sell">
      <formula>NOT(ISERROR(SEARCH("Sell",E197)))</formula>
    </cfRule>
  </conditionalFormatting>
  <conditionalFormatting sqref="E190:E192">
    <cfRule type="containsText" dxfId="3250" priority="343" operator="containsText" text="Buy">
      <formula>NOT(ISERROR(SEARCH("Buy",E190)))</formula>
    </cfRule>
    <cfRule type="containsText" dxfId="3249" priority="344" operator="containsText" text="Sell">
      <formula>NOT(ISERROR(SEARCH("Sell",E190)))</formula>
    </cfRule>
  </conditionalFormatting>
  <conditionalFormatting sqref="E189">
    <cfRule type="containsText" dxfId="3248" priority="341" operator="containsText" text="Buy">
      <formula>NOT(ISERROR(SEARCH("Buy",E189)))</formula>
    </cfRule>
    <cfRule type="containsText" dxfId="3247" priority="342" operator="containsText" text="Sell">
      <formula>NOT(ISERROR(SEARCH("Sell",E189)))</formula>
    </cfRule>
  </conditionalFormatting>
  <conditionalFormatting sqref="E188">
    <cfRule type="containsText" dxfId="3246" priority="339" operator="containsText" text="Buy">
      <formula>NOT(ISERROR(SEARCH("Buy",E188)))</formula>
    </cfRule>
    <cfRule type="containsText" dxfId="3245" priority="340" operator="containsText" text="Sell">
      <formula>NOT(ISERROR(SEARCH("Sell",E188)))</formula>
    </cfRule>
  </conditionalFormatting>
  <conditionalFormatting sqref="E187">
    <cfRule type="containsText" dxfId="3244" priority="337" operator="containsText" text="Buy">
      <formula>NOT(ISERROR(SEARCH("Buy",E187)))</formula>
    </cfRule>
    <cfRule type="containsText" dxfId="3243" priority="338" operator="containsText" text="Sell">
      <formula>NOT(ISERROR(SEARCH("Sell",E187)))</formula>
    </cfRule>
  </conditionalFormatting>
  <conditionalFormatting sqref="E186">
    <cfRule type="containsText" dxfId="3242" priority="335" operator="containsText" text="Buy">
      <formula>NOT(ISERROR(SEARCH("Buy",E186)))</formula>
    </cfRule>
    <cfRule type="containsText" dxfId="3241" priority="336" operator="containsText" text="Sell">
      <formula>NOT(ISERROR(SEARCH("Sell",E186)))</formula>
    </cfRule>
  </conditionalFormatting>
  <conditionalFormatting sqref="E185">
    <cfRule type="containsText" dxfId="3240" priority="333" operator="containsText" text="Buy">
      <formula>NOT(ISERROR(SEARCH("Buy",E185)))</formula>
    </cfRule>
    <cfRule type="containsText" dxfId="3239" priority="334" operator="containsText" text="Sell">
      <formula>NOT(ISERROR(SEARCH("Sell",E185)))</formula>
    </cfRule>
  </conditionalFormatting>
  <conditionalFormatting sqref="E184">
    <cfRule type="containsText" dxfId="3238" priority="331" operator="containsText" text="Buy">
      <formula>NOT(ISERROR(SEARCH("Buy",E184)))</formula>
    </cfRule>
    <cfRule type="containsText" dxfId="3237" priority="332" operator="containsText" text="Sell">
      <formula>NOT(ISERROR(SEARCH("Sell",E184)))</formula>
    </cfRule>
  </conditionalFormatting>
  <conditionalFormatting sqref="E183">
    <cfRule type="containsText" dxfId="3236" priority="329" operator="containsText" text="Buy">
      <formula>NOT(ISERROR(SEARCH("Buy",E183)))</formula>
    </cfRule>
    <cfRule type="containsText" dxfId="3235" priority="330" operator="containsText" text="Sell">
      <formula>NOT(ISERROR(SEARCH("Sell",E183)))</formula>
    </cfRule>
  </conditionalFormatting>
  <conditionalFormatting sqref="E182">
    <cfRule type="containsText" dxfId="3234" priority="327" operator="containsText" text="Buy">
      <formula>NOT(ISERROR(SEARCH("Buy",E182)))</formula>
    </cfRule>
    <cfRule type="containsText" dxfId="3233" priority="328" operator="containsText" text="Sell">
      <formula>NOT(ISERROR(SEARCH("Sell",E182)))</formula>
    </cfRule>
  </conditionalFormatting>
  <conditionalFormatting sqref="E181">
    <cfRule type="containsText" dxfId="3232" priority="325" operator="containsText" text="Buy">
      <formula>NOT(ISERROR(SEARCH("Buy",E181)))</formula>
    </cfRule>
    <cfRule type="containsText" dxfId="3231" priority="326" operator="containsText" text="Sell">
      <formula>NOT(ISERROR(SEARCH("Sell",E181)))</formula>
    </cfRule>
  </conditionalFormatting>
  <conditionalFormatting sqref="E180">
    <cfRule type="containsText" dxfId="3230" priority="323" operator="containsText" text="Buy">
      <formula>NOT(ISERROR(SEARCH("Buy",E180)))</formula>
    </cfRule>
    <cfRule type="containsText" dxfId="3229" priority="324" operator="containsText" text="Sell">
      <formula>NOT(ISERROR(SEARCH("Sell",E180)))</formula>
    </cfRule>
  </conditionalFormatting>
  <conditionalFormatting sqref="E179">
    <cfRule type="containsText" dxfId="3228" priority="321" operator="containsText" text="Buy">
      <formula>NOT(ISERROR(SEARCH("Buy",E179)))</formula>
    </cfRule>
    <cfRule type="containsText" dxfId="3227" priority="322" operator="containsText" text="Sell">
      <formula>NOT(ISERROR(SEARCH("Sell",E179)))</formula>
    </cfRule>
  </conditionalFormatting>
  <conditionalFormatting sqref="E175">
    <cfRule type="containsText" dxfId="3226" priority="319" operator="containsText" text="Buy">
      <formula>NOT(ISERROR(SEARCH("Buy",E175)))</formula>
    </cfRule>
    <cfRule type="containsText" dxfId="3225" priority="320" operator="containsText" text="Sell">
      <formula>NOT(ISERROR(SEARCH("Sell",E175)))</formula>
    </cfRule>
  </conditionalFormatting>
  <conditionalFormatting sqref="E235">
    <cfRule type="containsText" dxfId="3224" priority="317" operator="containsText" text="Buy">
      <formula>NOT(ISERROR(SEARCH("Buy",E235)))</formula>
    </cfRule>
    <cfRule type="containsText" dxfId="3223" priority="318" operator="containsText" text="Sell">
      <formula>NOT(ISERROR(SEARCH("Sell",E235)))</formula>
    </cfRule>
  </conditionalFormatting>
  <conditionalFormatting sqref="E234 E231">
    <cfRule type="containsText" dxfId="3222" priority="315" operator="containsText" text="Buy">
      <formula>NOT(ISERROR(SEARCH("Buy",E231)))</formula>
    </cfRule>
    <cfRule type="containsText" dxfId="3221" priority="316" operator="containsText" text="Sell">
      <formula>NOT(ISERROR(SEARCH("Sell",E231)))</formula>
    </cfRule>
  </conditionalFormatting>
  <conditionalFormatting sqref="E240">
    <cfRule type="containsText" dxfId="3220" priority="313" operator="containsText" text="Buy">
      <formula>NOT(ISERROR(SEARCH("Buy",E240)))</formula>
    </cfRule>
    <cfRule type="containsText" dxfId="3219" priority="314" operator="containsText" text="Sell">
      <formula>NOT(ISERROR(SEARCH("Sell",E240)))</formula>
    </cfRule>
  </conditionalFormatting>
  <conditionalFormatting sqref="E322:E323">
    <cfRule type="containsText" dxfId="3218" priority="311" operator="containsText" text="Buy">
      <formula>NOT(ISERROR(SEARCH("Buy",E322)))</formula>
    </cfRule>
    <cfRule type="containsText" dxfId="3217" priority="312" operator="containsText" text="Sell">
      <formula>NOT(ISERROR(SEARCH("Sell",E322)))</formula>
    </cfRule>
  </conditionalFormatting>
  <conditionalFormatting sqref="E233">
    <cfRule type="containsText" dxfId="3216" priority="309" operator="containsText" text="Buy">
      <formula>NOT(ISERROR(SEARCH("Buy",E233)))</formula>
    </cfRule>
    <cfRule type="containsText" dxfId="3215" priority="310" operator="containsText" text="Sell">
      <formula>NOT(ISERROR(SEARCH("Sell",E233)))</formula>
    </cfRule>
  </conditionalFormatting>
  <conditionalFormatting sqref="E230">
    <cfRule type="containsText" dxfId="3214" priority="307" operator="containsText" text="Buy">
      <formula>NOT(ISERROR(SEARCH("Buy",E230)))</formula>
    </cfRule>
    <cfRule type="containsText" dxfId="3213" priority="308" operator="containsText" text="Sell">
      <formula>NOT(ISERROR(SEARCH("Sell",E230)))</formula>
    </cfRule>
  </conditionalFormatting>
  <conditionalFormatting sqref="E229">
    <cfRule type="containsText" dxfId="3212" priority="305" operator="containsText" text="Buy">
      <formula>NOT(ISERROR(SEARCH("Buy",E229)))</formula>
    </cfRule>
    <cfRule type="containsText" dxfId="3211" priority="306" operator="containsText" text="Sell">
      <formula>NOT(ISERROR(SEARCH("Sell",E229)))</formula>
    </cfRule>
  </conditionalFormatting>
  <conditionalFormatting sqref="E216">
    <cfRule type="containsText" dxfId="3210" priority="303" operator="containsText" text="Buy">
      <formula>NOT(ISERROR(SEARCH("Buy",E216)))</formula>
    </cfRule>
    <cfRule type="containsText" dxfId="3209" priority="304" operator="containsText" text="Sell">
      <formula>NOT(ISERROR(SEARCH("Sell",E216)))</formula>
    </cfRule>
  </conditionalFormatting>
  <conditionalFormatting sqref="E153:E156 E166 E163:E164">
    <cfRule type="containsText" dxfId="3208" priority="301" operator="containsText" text="Buy">
      <formula>NOT(ISERROR(SEARCH("Buy",E153)))</formula>
    </cfRule>
    <cfRule type="containsText" dxfId="3207" priority="302" operator="containsText" text="Sell">
      <formula>NOT(ISERROR(SEARCH("Sell",E153)))</formula>
    </cfRule>
  </conditionalFormatting>
  <conditionalFormatting sqref="E319:E320">
    <cfRule type="containsText" dxfId="3206" priority="299" operator="containsText" text="Buy">
      <formula>NOT(ISERROR(SEARCH("Buy",E319)))</formula>
    </cfRule>
    <cfRule type="containsText" dxfId="3205" priority="300" operator="containsText" text="Sell">
      <formula>NOT(ISERROR(SEARCH("Sell",E319)))</formula>
    </cfRule>
  </conditionalFormatting>
  <conditionalFormatting sqref="E316:E317">
    <cfRule type="containsText" dxfId="3204" priority="297" operator="containsText" text="Buy">
      <formula>NOT(ISERROR(SEARCH("Buy",E316)))</formula>
    </cfRule>
    <cfRule type="containsText" dxfId="3203" priority="298" operator="containsText" text="Sell">
      <formula>NOT(ISERROR(SEARCH("Sell",E316)))</formula>
    </cfRule>
  </conditionalFormatting>
  <conditionalFormatting sqref="E314:E315">
    <cfRule type="containsText" dxfId="3202" priority="295" operator="containsText" text="Buy">
      <formula>NOT(ISERROR(SEARCH("Buy",E314)))</formula>
    </cfRule>
    <cfRule type="containsText" dxfId="3201" priority="296" operator="containsText" text="Sell">
      <formula>NOT(ISERROR(SEARCH("Sell",E314)))</formula>
    </cfRule>
  </conditionalFormatting>
  <conditionalFormatting sqref="E311:E312">
    <cfRule type="containsText" dxfId="3200" priority="293" operator="containsText" text="Buy">
      <formula>NOT(ISERROR(SEARCH("Buy",E311)))</formula>
    </cfRule>
    <cfRule type="containsText" dxfId="3199" priority="294" operator="containsText" text="Sell">
      <formula>NOT(ISERROR(SEARCH("Sell",E311)))</formula>
    </cfRule>
  </conditionalFormatting>
  <conditionalFormatting sqref="E308:E310">
    <cfRule type="containsText" dxfId="3198" priority="291" operator="containsText" text="Buy">
      <formula>NOT(ISERROR(SEARCH("Buy",E308)))</formula>
    </cfRule>
    <cfRule type="containsText" dxfId="3197" priority="292" operator="containsText" text="Sell">
      <formula>NOT(ISERROR(SEARCH("Sell",E308)))</formula>
    </cfRule>
  </conditionalFormatting>
  <conditionalFormatting sqref="E305:E306">
    <cfRule type="containsText" dxfId="3196" priority="289" operator="containsText" text="Buy">
      <formula>NOT(ISERROR(SEARCH("Buy",E305)))</formula>
    </cfRule>
    <cfRule type="containsText" dxfId="3195" priority="290" operator="containsText" text="Sell">
      <formula>NOT(ISERROR(SEARCH("Sell",E305)))</formula>
    </cfRule>
  </conditionalFormatting>
  <conditionalFormatting sqref="E302:E303">
    <cfRule type="containsText" dxfId="3194" priority="287" operator="containsText" text="Buy">
      <formula>NOT(ISERROR(SEARCH("Buy",E302)))</formula>
    </cfRule>
    <cfRule type="containsText" dxfId="3193" priority="288" operator="containsText" text="Sell">
      <formula>NOT(ISERROR(SEARCH("Sell",E302)))</formula>
    </cfRule>
  </conditionalFormatting>
  <conditionalFormatting sqref="E299:E300">
    <cfRule type="containsText" dxfId="3192" priority="285" operator="containsText" text="Buy">
      <formula>NOT(ISERROR(SEARCH("Buy",E299)))</formula>
    </cfRule>
    <cfRule type="containsText" dxfId="3191" priority="286" operator="containsText" text="Sell">
      <formula>NOT(ISERROR(SEARCH("Sell",E299)))</formula>
    </cfRule>
  </conditionalFormatting>
  <conditionalFormatting sqref="E295">
    <cfRule type="containsText" dxfId="3190" priority="281" operator="containsText" text="Buy">
      <formula>NOT(ISERROR(SEARCH("Buy",E295)))</formula>
    </cfRule>
    <cfRule type="containsText" dxfId="3189" priority="282" operator="containsText" text="Sell">
      <formula>NOT(ISERROR(SEARCH("Sell",E295)))</formula>
    </cfRule>
  </conditionalFormatting>
  <conditionalFormatting sqref="E296:E297">
    <cfRule type="containsText" dxfId="3188" priority="283" operator="containsText" text="Buy">
      <formula>NOT(ISERROR(SEARCH("Buy",E296)))</formula>
    </cfRule>
    <cfRule type="containsText" dxfId="3187" priority="284" operator="containsText" text="Sell">
      <formula>NOT(ISERROR(SEARCH("Sell",E296)))</formula>
    </cfRule>
  </conditionalFormatting>
  <conditionalFormatting sqref="E289:E290">
    <cfRule type="containsText" dxfId="3186" priority="279" operator="containsText" text="Buy">
      <formula>NOT(ISERROR(SEARCH("Buy",E289)))</formula>
    </cfRule>
    <cfRule type="containsText" dxfId="3185" priority="280" operator="containsText" text="Sell">
      <formula>NOT(ISERROR(SEARCH("Sell",E289)))</formula>
    </cfRule>
  </conditionalFormatting>
  <conditionalFormatting sqref="E285:E286">
    <cfRule type="containsText" dxfId="3184" priority="277" operator="containsText" text="Buy">
      <formula>NOT(ISERROR(SEARCH("Buy",E285)))</formula>
    </cfRule>
    <cfRule type="containsText" dxfId="3183" priority="278" operator="containsText" text="Sell">
      <formula>NOT(ISERROR(SEARCH("Sell",E285)))</formula>
    </cfRule>
  </conditionalFormatting>
  <conditionalFormatting sqref="E150:E151">
    <cfRule type="containsText" dxfId="3182" priority="275" operator="containsText" text="Buy">
      <formula>NOT(ISERROR(SEARCH("Buy",E150)))</formula>
    </cfRule>
    <cfRule type="containsText" dxfId="3181" priority="276" operator="containsText" text="Sell">
      <formula>NOT(ISERROR(SEARCH("Sell",E150)))</formula>
    </cfRule>
  </conditionalFormatting>
  <conditionalFormatting sqref="E145:E146">
    <cfRule type="containsText" dxfId="3180" priority="273" operator="containsText" text="Buy">
      <formula>NOT(ISERROR(SEARCH("Buy",E145)))</formula>
    </cfRule>
    <cfRule type="containsText" dxfId="3179" priority="274" operator="containsText" text="Sell">
      <formula>NOT(ISERROR(SEARCH("Sell",E145)))</formula>
    </cfRule>
  </conditionalFormatting>
  <conditionalFormatting sqref="E162">
    <cfRule type="containsText" dxfId="3178" priority="271" operator="containsText" text="Buy">
      <formula>NOT(ISERROR(SEARCH("Buy",E162)))</formula>
    </cfRule>
    <cfRule type="containsText" dxfId="3177" priority="272" operator="containsText" text="Sell">
      <formula>NOT(ISERROR(SEARCH("Sell",E162)))</formula>
    </cfRule>
  </conditionalFormatting>
  <conditionalFormatting sqref="E161">
    <cfRule type="containsText" dxfId="3176" priority="269" operator="containsText" text="Buy">
      <formula>NOT(ISERROR(SEARCH("Buy",E161)))</formula>
    </cfRule>
    <cfRule type="containsText" dxfId="3175" priority="270" operator="containsText" text="Sell">
      <formula>NOT(ISERROR(SEARCH("Sell",E161)))</formula>
    </cfRule>
  </conditionalFormatting>
  <conditionalFormatting sqref="E157">
    <cfRule type="containsText" dxfId="3174" priority="267" operator="containsText" text="Buy">
      <formula>NOT(ISERROR(SEARCH("Buy",E157)))</formula>
    </cfRule>
    <cfRule type="containsText" dxfId="3173" priority="268" operator="containsText" text="Sell">
      <formula>NOT(ISERROR(SEARCH("Sell",E157)))</formula>
    </cfRule>
  </conditionalFormatting>
  <conditionalFormatting sqref="E282:E284">
    <cfRule type="containsText" dxfId="3172" priority="265" operator="containsText" text="Buy">
      <formula>NOT(ISERROR(SEARCH("Buy",E282)))</formula>
    </cfRule>
    <cfRule type="containsText" dxfId="3171" priority="266" operator="containsText" text="Sell">
      <formula>NOT(ISERROR(SEARCH("Sell",E282)))</formula>
    </cfRule>
  </conditionalFormatting>
  <conditionalFormatting sqref="E279:E280">
    <cfRule type="containsText" dxfId="3170" priority="263" operator="containsText" text="Buy">
      <formula>NOT(ISERROR(SEARCH("Buy",E279)))</formula>
    </cfRule>
    <cfRule type="containsText" dxfId="3169" priority="264" operator="containsText" text="Sell">
      <formula>NOT(ISERROR(SEARCH("Sell",E279)))</formula>
    </cfRule>
  </conditionalFormatting>
  <conditionalFormatting sqref="E273:E275">
    <cfRule type="containsText" dxfId="3168" priority="261" operator="containsText" text="Buy">
      <formula>NOT(ISERROR(SEARCH("Buy",E273)))</formula>
    </cfRule>
    <cfRule type="containsText" dxfId="3167" priority="262" operator="containsText" text="Sell">
      <formula>NOT(ISERROR(SEARCH("Sell",E273)))</formula>
    </cfRule>
  </conditionalFormatting>
  <conditionalFormatting sqref="E269:E270">
    <cfRule type="containsText" dxfId="3166" priority="259" operator="containsText" text="Buy">
      <formula>NOT(ISERROR(SEARCH("Buy",E269)))</formula>
    </cfRule>
    <cfRule type="containsText" dxfId="3165" priority="260" operator="containsText" text="Sell">
      <formula>NOT(ISERROR(SEARCH("Sell",E269)))</formula>
    </cfRule>
  </conditionalFormatting>
  <conditionalFormatting sqref="E278">
    <cfRule type="containsText" dxfId="3164" priority="257" operator="containsText" text="Buy">
      <formula>NOT(ISERROR(SEARCH("Buy",E278)))</formula>
    </cfRule>
    <cfRule type="containsText" dxfId="3163" priority="258" operator="containsText" text="Sell">
      <formula>NOT(ISERROR(SEARCH("Sell",E278)))</formula>
    </cfRule>
  </conditionalFormatting>
  <conditionalFormatting sqref="E258">
    <cfRule type="containsText" dxfId="3162" priority="255" operator="containsText" text="Buy">
      <formula>NOT(ISERROR(SEARCH("Buy",E258)))</formula>
    </cfRule>
    <cfRule type="containsText" dxfId="3161" priority="256" operator="containsText" text="Sell">
      <formula>NOT(ISERROR(SEARCH("Sell",E258)))</formula>
    </cfRule>
  </conditionalFormatting>
  <conditionalFormatting sqref="E257">
    <cfRule type="containsText" dxfId="3160" priority="253" operator="containsText" text="Buy">
      <formula>NOT(ISERROR(SEARCH("Buy",E257)))</formula>
    </cfRule>
    <cfRule type="containsText" dxfId="3159" priority="254" operator="containsText" text="Sell">
      <formula>NOT(ISERROR(SEARCH("Sell",E257)))</formula>
    </cfRule>
  </conditionalFormatting>
  <conditionalFormatting sqref="E256">
    <cfRule type="containsText" dxfId="3158" priority="251" operator="containsText" text="Buy">
      <formula>NOT(ISERROR(SEARCH("Buy",E256)))</formula>
    </cfRule>
    <cfRule type="containsText" dxfId="3157" priority="252" operator="containsText" text="Sell">
      <formula>NOT(ISERROR(SEARCH("Sell",E256)))</formula>
    </cfRule>
  </conditionalFormatting>
  <conditionalFormatting sqref="E213">
    <cfRule type="containsText" dxfId="3156" priority="249" operator="containsText" text="Buy">
      <formula>NOT(ISERROR(SEARCH("Buy",E213)))</formula>
    </cfRule>
    <cfRule type="containsText" dxfId="3155" priority="250" operator="containsText" text="Sell">
      <formula>NOT(ISERROR(SEARCH("Sell",E213)))</formula>
    </cfRule>
  </conditionalFormatting>
  <conditionalFormatting sqref="E232">
    <cfRule type="containsText" dxfId="3154" priority="247" operator="containsText" text="Buy">
      <formula>NOT(ISERROR(SEARCH("Buy",E232)))</formula>
    </cfRule>
    <cfRule type="containsText" dxfId="3153" priority="248" operator="containsText" text="Sell">
      <formula>NOT(ISERROR(SEARCH("Sell",E232)))</formula>
    </cfRule>
  </conditionalFormatting>
  <conditionalFormatting sqref="E126:E127">
    <cfRule type="containsText" dxfId="3152" priority="245" operator="containsText" text="Buy">
      <formula>NOT(ISERROR(SEARCH("Buy",E126)))</formula>
    </cfRule>
    <cfRule type="containsText" dxfId="3151" priority="246" operator="containsText" text="Sell">
      <formula>NOT(ISERROR(SEARCH("Sell",E126)))</formula>
    </cfRule>
  </conditionalFormatting>
  <conditionalFormatting sqref="E255">
    <cfRule type="containsText" dxfId="3150" priority="241" operator="containsText" text="Buy">
      <formula>NOT(ISERROR(SEARCH("Buy",E255)))</formula>
    </cfRule>
    <cfRule type="containsText" dxfId="3149" priority="242" operator="containsText" text="Sell">
      <formula>NOT(ISERROR(SEARCH("Sell",E255)))</formula>
    </cfRule>
  </conditionalFormatting>
  <conditionalFormatting sqref="E165">
    <cfRule type="containsText" dxfId="3148" priority="243" operator="containsText" text="Buy">
      <formula>NOT(ISERROR(SEARCH("Buy",E165)))</formula>
    </cfRule>
    <cfRule type="containsText" dxfId="3147" priority="244" operator="containsText" text="Sell">
      <formula>NOT(ISERROR(SEARCH("Sell",E165)))</formula>
    </cfRule>
  </conditionalFormatting>
  <conditionalFormatting sqref="E254">
    <cfRule type="containsText" dxfId="3146" priority="239" operator="containsText" text="Buy">
      <formula>NOT(ISERROR(SEARCH("Buy",E254)))</formula>
    </cfRule>
    <cfRule type="containsText" dxfId="3145" priority="240" operator="containsText" text="Sell">
      <formula>NOT(ISERROR(SEARCH("Sell",E254)))</formula>
    </cfRule>
  </conditionalFormatting>
  <conditionalFormatting sqref="E253">
    <cfRule type="containsText" dxfId="3144" priority="237" operator="containsText" text="Buy">
      <formula>NOT(ISERROR(SEARCH("Buy",E253)))</formula>
    </cfRule>
    <cfRule type="containsText" dxfId="3143" priority="238" operator="containsText" text="Sell">
      <formula>NOT(ISERROR(SEARCH("Sell",E253)))</formula>
    </cfRule>
  </conditionalFormatting>
  <conditionalFormatting sqref="E252">
    <cfRule type="containsText" dxfId="3142" priority="235" operator="containsText" text="Buy">
      <formula>NOT(ISERROR(SEARCH("Buy",E252)))</formula>
    </cfRule>
    <cfRule type="containsText" dxfId="3141" priority="236" operator="containsText" text="Sell">
      <formula>NOT(ISERROR(SEARCH("Sell",E252)))</formula>
    </cfRule>
  </conditionalFormatting>
  <conditionalFormatting sqref="E251">
    <cfRule type="containsText" dxfId="3140" priority="233" operator="containsText" text="Buy">
      <formula>NOT(ISERROR(SEARCH("Buy",E251)))</formula>
    </cfRule>
    <cfRule type="containsText" dxfId="3139" priority="234" operator="containsText" text="Sell">
      <formula>NOT(ISERROR(SEARCH("Sell",E251)))</formula>
    </cfRule>
  </conditionalFormatting>
  <conditionalFormatting sqref="E131:E133 E144">
    <cfRule type="containsText" dxfId="3138" priority="231" operator="containsText" text="Buy">
      <formula>NOT(ISERROR(SEARCH("Buy",E131)))</formula>
    </cfRule>
    <cfRule type="containsText" dxfId="3137" priority="232" operator="containsText" text="Sell">
      <formula>NOT(ISERROR(SEARCH("Sell",E131)))</formula>
    </cfRule>
  </conditionalFormatting>
  <conditionalFormatting sqref="H1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{EA54E258-FF97-4E89-9301-0F5102CE7F14}</x14:id>
        </ext>
      </extLst>
    </cfRule>
    <cfRule type="cellIs" dxfId="3136" priority="230" operator="equal">
      <formula>1</formula>
    </cfRule>
  </conditionalFormatting>
  <conditionalFormatting sqref="D16">
    <cfRule type="containsText" dxfId="3135" priority="228" operator="containsText" text="Buy">
      <formula>NOT(ISERROR(SEARCH("Buy",D16)))</formula>
    </cfRule>
    <cfRule type="containsText" dxfId="3134" priority="229" operator="containsText" text="Sell">
      <formula>NOT(ISERROR(SEARCH("Sell",D16)))</formula>
    </cfRule>
  </conditionalFormatting>
  <conditionalFormatting sqref="E121:E122">
    <cfRule type="containsText" dxfId="3133" priority="225" operator="containsText" text="Buy">
      <formula>NOT(ISERROR(SEARCH("Buy",E121)))</formula>
    </cfRule>
    <cfRule type="containsText" dxfId="3132" priority="226" operator="containsText" text="Sell">
      <formula>NOT(ISERROR(SEARCH("Sell",E121)))</formula>
    </cfRule>
  </conditionalFormatting>
  <conditionalFormatting sqref="E115:E116">
    <cfRule type="containsText" dxfId="3131" priority="223" operator="containsText" text="Buy">
      <formula>NOT(ISERROR(SEARCH("Buy",E115)))</formula>
    </cfRule>
    <cfRule type="containsText" dxfId="3130" priority="224" operator="containsText" text="Sell">
      <formula>NOT(ISERROR(SEARCH("Sell",E115)))</formula>
    </cfRule>
  </conditionalFormatting>
  <conditionalFormatting sqref="E142:E143">
    <cfRule type="containsText" dxfId="3129" priority="221" operator="containsText" text="Buy">
      <formula>NOT(ISERROR(SEARCH("Buy",E142)))</formula>
    </cfRule>
    <cfRule type="containsText" dxfId="3128" priority="222" operator="containsText" text="Sell">
      <formula>NOT(ISERROR(SEARCH("Sell",E142)))</formula>
    </cfRule>
  </conditionalFormatting>
  <conditionalFormatting sqref="E141">
    <cfRule type="containsText" dxfId="3127" priority="219" operator="containsText" text="Buy">
      <formula>NOT(ISERROR(SEARCH("Buy",E141)))</formula>
    </cfRule>
    <cfRule type="containsText" dxfId="3126" priority="220" operator="containsText" text="Sell">
      <formula>NOT(ISERROR(SEARCH("Sell",E141)))</formula>
    </cfRule>
  </conditionalFormatting>
  <conditionalFormatting sqref="E224">
    <cfRule type="containsText" dxfId="3125" priority="217" operator="containsText" text="Buy">
      <formula>NOT(ISERROR(SEARCH("Buy",E224)))</formula>
    </cfRule>
    <cfRule type="containsText" dxfId="3124" priority="218" operator="containsText" text="Sell">
      <formula>NOT(ISERROR(SEARCH("Sell",E224)))</formula>
    </cfRule>
  </conditionalFormatting>
  <conditionalFormatting sqref="E223">
    <cfRule type="containsText" dxfId="3123" priority="215" operator="containsText" text="Buy">
      <formula>NOT(ISERROR(SEARCH("Buy",E223)))</formula>
    </cfRule>
    <cfRule type="containsText" dxfId="3122" priority="216" operator="containsText" text="Sell">
      <formula>NOT(ISERROR(SEARCH("Sell",E223)))</formula>
    </cfRule>
  </conditionalFormatting>
  <conditionalFormatting sqref="E112:E113">
    <cfRule type="containsText" dxfId="3121" priority="213" operator="containsText" text="Buy">
      <formula>NOT(ISERROR(SEARCH("Buy",E112)))</formula>
    </cfRule>
    <cfRule type="containsText" dxfId="3120" priority="214" operator="containsText" text="Sell">
      <formula>NOT(ISERROR(SEARCH("Sell",E112)))</formula>
    </cfRule>
  </conditionalFormatting>
  <conditionalFormatting sqref="E111">
    <cfRule type="containsText" dxfId="3119" priority="211" operator="containsText" text="Buy">
      <formula>NOT(ISERROR(SEARCH("Buy",E111)))</formula>
    </cfRule>
    <cfRule type="containsText" dxfId="3118" priority="212" operator="containsText" text="Sell">
      <formula>NOT(ISERROR(SEARCH("Sell",E111)))</formula>
    </cfRule>
  </conditionalFormatting>
  <conditionalFormatting sqref="E110">
    <cfRule type="containsText" dxfId="3117" priority="209" operator="containsText" text="Buy">
      <formula>NOT(ISERROR(SEARCH("Buy",E110)))</formula>
    </cfRule>
    <cfRule type="containsText" dxfId="3116" priority="210" operator="containsText" text="Sell">
      <formula>NOT(ISERROR(SEARCH("Sell",E110)))</formula>
    </cfRule>
  </conditionalFormatting>
  <conditionalFormatting sqref="E107">
    <cfRule type="containsText" dxfId="3115" priority="207" operator="containsText" text="Buy">
      <formula>NOT(ISERROR(SEARCH("Buy",E107)))</formula>
    </cfRule>
    <cfRule type="containsText" dxfId="3114" priority="208" operator="containsText" text="Sell">
      <formula>NOT(ISERROR(SEARCH("Sell",E107)))</formula>
    </cfRule>
  </conditionalFormatting>
  <conditionalFormatting sqref="E106">
    <cfRule type="containsText" dxfId="3113" priority="205" operator="containsText" text="Buy">
      <formula>NOT(ISERROR(SEARCH("Buy",E106)))</formula>
    </cfRule>
    <cfRule type="containsText" dxfId="3112" priority="206" operator="containsText" text="Sell">
      <formula>NOT(ISERROR(SEARCH("Sell",E106)))</formula>
    </cfRule>
  </conditionalFormatting>
  <conditionalFormatting sqref="E103">
    <cfRule type="containsText" dxfId="3111" priority="203" operator="containsText" text="Buy">
      <formula>NOT(ISERROR(SEARCH("Buy",E103)))</formula>
    </cfRule>
    <cfRule type="containsText" dxfId="3110" priority="204" operator="containsText" text="Sell">
      <formula>NOT(ISERROR(SEARCH("Sell",E103)))</formula>
    </cfRule>
  </conditionalFormatting>
  <conditionalFormatting sqref="E102">
    <cfRule type="containsText" dxfId="3109" priority="201" operator="containsText" text="Buy">
      <formula>NOT(ISERROR(SEARCH("Buy",E102)))</formula>
    </cfRule>
    <cfRule type="containsText" dxfId="3108" priority="202" operator="containsText" text="Sell">
      <formula>NOT(ISERROR(SEARCH("Sell",E102)))</formula>
    </cfRule>
  </conditionalFormatting>
  <conditionalFormatting sqref="E101">
    <cfRule type="containsText" dxfId="3107" priority="199" operator="containsText" text="Buy">
      <formula>NOT(ISERROR(SEARCH("Buy",E101)))</formula>
    </cfRule>
    <cfRule type="containsText" dxfId="3106" priority="200" operator="containsText" text="Sell">
      <formula>NOT(ISERROR(SEARCH("Sell",E101)))</formula>
    </cfRule>
  </conditionalFormatting>
  <conditionalFormatting sqref="E99:E100">
    <cfRule type="containsText" dxfId="3105" priority="197" operator="containsText" text="Buy">
      <formula>NOT(ISERROR(SEARCH("Buy",E99)))</formula>
    </cfRule>
    <cfRule type="containsText" dxfId="3104" priority="198" operator="containsText" text="Sell">
      <formula>NOT(ISERROR(SEARCH("Sell",E99)))</formula>
    </cfRule>
  </conditionalFormatting>
  <conditionalFormatting sqref="E96 E92:E93">
    <cfRule type="containsText" dxfId="3103" priority="195" operator="containsText" text="Buy">
      <formula>NOT(ISERROR(SEARCH("Buy",E92)))</formula>
    </cfRule>
    <cfRule type="containsText" dxfId="3102" priority="196" operator="containsText" text="Sell">
      <formula>NOT(ISERROR(SEARCH("Sell",E92)))</formula>
    </cfRule>
  </conditionalFormatting>
  <conditionalFormatting sqref="E88">
    <cfRule type="containsText" dxfId="3101" priority="193" operator="containsText" text="Buy">
      <formula>NOT(ISERROR(SEARCH("Buy",E88)))</formula>
    </cfRule>
    <cfRule type="containsText" dxfId="3100" priority="194" operator="containsText" text="Sell">
      <formula>NOT(ISERROR(SEARCH("Sell",E88)))</formula>
    </cfRule>
  </conditionalFormatting>
  <conditionalFormatting sqref="E87">
    <cfRule type="containsText" dxfId="3099" priority="191" operator="containsText" text="Buy">
      <formula>NOT(ISERROR(SEARCH("Buy",E87)))</formula>
    </cfRule>
    <cfRule type="containsText" dxfId="3098" priority="192" operator="containsText" text="Sell">
      <formula>NOT(ISERROR(SEARCH("Sell",E87)))</formula>
    </cfRule>
  </conditionalFormatting>
  <conditionalFormatting sqref="E95">
    <cfRule type="containsText" dxfId="3097" priority="189" operator="containsText" text="Buy">
      <formula>NOT(ISERROR(SEARCH("Buy",E95)))</formula>
    </cfRule>
    <cfRule type="containsText" dxfId="3096" priority="190" operator="containsText" text="Sell">
      <formula>NOT(ISERROR(SEARCH("Sell",E95)))</formula>
    </cfRule>
  </conditionalFormatting>
  <conditionalFormatting sqref="E94">
    <cfRule type="containsText" dxfId="3095" priority="187" operator="containsText" text="Buy">
      <formula>NOT(ISERROR(SEARCH("Buy",E94)))</formula>
    </cfRule>
    <cfRule type="containsText" dxfId="3094" priority="188" operator="containsText" text="Sell">
      <formula>NOT(ISERROR(SEARCH("Sell",E94)))</formula>
    </cfRule>
  </conditionalFormatting>
  <conditionalFormatting sqref="E228">
    <cfRule type="containsText" dxfId="3093" priority="185" operator="containsText" text="Buy">
      <formula>NOT(ISERROR(SEARCH("Buy",E228)))</formula>
    </cfRule>
    <cfRule type="containsText" dxfId="3092" priority="186" operator="containsText" text="Sell">
      <formula>NOT(ISERROR(SEARCH("Sell",E228)))</formula>
    </cfRule>
  </conditionalFormatting>
  <conditionalFormatting sqref="E149">
    <cfRule type="containsText" dxfId="3091" priority="183" operator="containsText" text="Buy">
      <formula>NOT(ISERROR(SEARCH("Buy",E149)))</formula>
    </cfRule>
    <cfRule type="containsText" dxfId="3090" priority="184" operator="containsText" text="Sell">
      <formula>NOT(ISERROR(SEARCH("Sell",E149)))</formula>
    </cfRule>
  </conditionalFormatting>
  <conditionalFormatting sqref="E196">
    <cfRule type="containsText" dxfId="3089" priority="181" operator="containsText" text="Buy">
      <formula>NOT(ISERROR(SEARCH("Buy",E196)))</formula>
    </cfRule>
    <cfRule type="containsText" dxfId="3088" priority="182" operator="containsText" text="Sell">
      <formula>NOT(ISERROR(SEARCH("Sell",E196)))</formula>
    </cfRule>
  </conditionalFormatting>
  <conditionalFormatting sqref="E91">
    <cfRule type="containsText" dxfId="3087" priority="179" operator="containsText" text="Buy">
      <formula>NOT(ISERROR(SEARCH("Buy",E91)))</formula>
    </cfRule>
    <cfRule type="containsText" dxfId="3086" priority="180" operator="containsText" text="Sell">
      <formula>NOT(ISERROR(SEARCH("Sell",E91)))</formula>
    </cfRule>
  </conditionalFormatting>
  <conditionalFormatting sqref="E81">
    <cfRule type="containsText" dxfId="3085" priority="177" operator="containsText" text="Buy">
      <formula>NOT(ISERROR(SEARCH("Buy",E81)))</formula>
    </cfRule>
    <cfRule type="containsText" dxfId="3084" priority="178" operator="containsText" text="Sell">
      <formula>NOT(ISERROR(SEARCH("Sell",E81)))</formula>
    </cfRule>
  </conditionalFormatting>
  <conditionalFormatting sqref="E195">
    <cfRule type="containsText" dxfId="3083" priority="175" operator="containsText" text="Buy">
      <formula>NOT(ISERROR(SEARCH("Buy",E195)))</formula>
    </cfRule>
    <cfRule type="containsText" dxfId="3082" priority="176" operator="containsText" text="Sell">
      <formula>NOT(ISERROR(SEARCH("Sell",E195)))</formula>
    </cfRule>
  </conditionalFormatting>
  <conditionalFormatting sqref="E194">
    <cfRule type="containsText" dxfId="3081" priority="173" operator="containsText" text="Buy">
      <formula>NOT(ISERROR(SEARCH("Buy",E194)))</formula>
    </cfRule>
    <cfRule type="containsText" dxfId="3080" priority="174" operator="containsText" text="Sell">
      <formula>NOT(ISERROR(SEARCH("Sell",E194)))</formula>
    </cfRule>
  </conditionalFormatting>
  <conditionalFormatting sqref="E265:E267">
    <cfRule type="containsText" dxfId="3079" priority="171" operator="containsText" text="Buy">
      <formula>NOT(ISERROR(SEARCH("Buy",E265)))</formula>
    </cfRule>
    <cfRule type="containsText" dxfId="3078" priority="172" operator="containsText" text="Sell">
      <formula>NOT(ISERROR(SEARCH("Sell",E265)))</formula>
    </cfRule>
  </conditionalFormatting>
  <conditionalFormatting sqref="E250">
    <cfRule type="containsText" dxfId="3077" priority="169" operator="containsText" text="Buy">
      <formula>NOT(ISERROR(SEARCH("Buy",E250)))</formula>
    </cfRule>
    <cfRule type="containsText" dxfId="3076" priority="170" operator="containsText" text="Sell">
      <formula>NOT(ISERROR(SEARCH("Sell",E250)))</formula>
    </cfRule>
  </conditionalFormatting>
  <conditionalFormatting sqref="E249">
    <cfRule type="containsText" dxfId="3075" priority="167" operator="containsText" text="Buy">
      <formula>NOT(ISERROR(SEARCH("Buy",E249)))</formula>
    </cfRule>
    <cfRule type="containsText" dxfId="3074" priority="168" operator="containsText" text="Sell">
      <formula>NOT(ISERROR(SEARCH("Sell",E249)))</formula>
    </cfRule>
  </conditionalFormatting>
  <conditionalFormatting sqref="E86">
    <cfRule type="containsText" dxfId="3073" priority="165" operator="containsText" text="Buy">
      <formula>NOT(ISERROR(SEARCH("Buy",E86)))</formula>
    </cfRule>
    <cfRule type="containsText" dxfId="3072" priority="166" operator="containsText" text="Sell">
      <formula>NOT(ISERROR(SEARCH("Sell",E86)))</formula>
    </cfRule>
  </conditionalFormatting>
  <conditionalFormatting sqref="E215">
    <cfRule type="containsText" dxfId="3071" priority="163" operator="containsText" text="Buy">
      <formula>NOT(ISERROR(SEARCH("Buy",E215)))</formula>
    </cfRule>
    <cfRule type="containsText" dxfId="3070" priority="164" operator="containsText" text="Sell">
      <formula>NOT(ISERROR(SEARCH("Sell",E215)))</formula>
    </cfRule>
  </conditionalFormatting>
  <conditionalFormatting sqref="E212">
    <cfRule type="containsText" dxfId="3069" priority="161" operator="containsText" text="Buy">
      <formula>NOT(ISERROR(SEARCH("Buy",E212)))</formula>
    </cfRule>
    <cfRule type="containsText" dxfId="3068" priority="162" operator="containsText" text="Sell">
      <formula>NOT(ISERROR(SEARCH("Sell",E212)))</formula>
    </cfRule>
  </conditionalFormatting>
  <conditionalFormatting sqref="E77:E78">
    <cfRule type="containsText" dxfId="3067" priority="159" operator="containsText" text="Buy">
      <formula>NOT(ISERROR(SEARCH("Buy",E77)))</formula>
    </cfRule>
    <cfRule type="containsText" dxfId="3066" priority="160" operator="containsText" text="Sell">
      <formula>NOT(ISERROR(SEARCH("Sell",E77)))</formula>
    </cfRule>
  </conditionalFormatting>
  <conditionalFormatting sqref="E74:E75">
    <cfRule type="containsText" dxfId="3065" priority="157" operator="containsText" text="Buy">
      <formula>NOT(ISERROR(SEARCH("Buy",E74)))</formula>
    </cfRule>
    <cfRule type="containsText" dxfId="3064" priority="158" operator="containsText" text="Sell">
      <formula>NOT(ISERROR(SEARCH("Sell",E74)))</formula>
    </cfRule>
  </conditionalFormatting>
  <conditionalFormatting sqref="E248">
    <cfRule type="containsText" dxfId="3063" priority="155" operator="containsText" text="Buy">
      <formula>NOT(ISERROR(SEARCH("Buy",E248)))</formula>
    </cfRule>
    <cfRule type="containsText" dxfId="3062" priority="156" operator="containsText" text="Sell">
      <formula>NOT(ISERROR(SEARCH("Sell",E248)))</formula>
    </cfRule>
  </conditionalFormatting>
  <conditionalFormatting sqref="E71:E72">
    <cfRule type="containsText" dxfId="3061" priority="153" operator="containsText" text="Buy">
      <formula>NOT(ISERROR(SEARCH("Buy",E71)))</formula>
    </cfRule>
    <cfRule type="containsText" dxfId="3060" priority="154" operator="containsText" text="Sell">
      <formula>NOT(ISERROR(SEARCH("Sell",E71)))</formula>
    </cfRule>
  </conditionalFormatting>
  <conditionalFormatting sqref="E68:E69">
    <cfRule type="containsText" dxfId="3059" priority="151" operator="containsText" text="Buy">
      <formula>NOT(ISERROR(SEARCH("Buy",E68)))</formula>
    </cfRule>
    <cfRule type="containsText" dxfId="3058" priority="152" operator="containsText" text="Sell">
      <formula>NOT(ISERROR(SEARCH("Sell",E68)))</formula>
    </cfRule>
  </conditionalFormatting>
  <conditionalFormatting sqref="E140">
    <cfRule type="containsText" dxfId="3057" priority="149" operator="containsText" text="Buy">
      <formula>NOT(ISERROR(SEARCH("Buy",E140)))</formula>
    </cfRule>
    <cfRule type="containsText" dxfId="3056" priority="150" operator="containsText" text="Sell">
      <formula>NOT(ISERROR(SEARCH("Sell",E140)))</formula>
    </cfRule>
  </conditionalFormatting>
  <conditionalFormatting sqref="E66">
    <cfRule type="containsText" dxfId="3055" priority="147" operator="containsText" text="Buy">
      <formula>NOT(ISERROR(SEARCH("Buy",E66)))</formula>
    </cfRule>
    <cfRule type="containsText" dxfId="3054" priority="148" operator="containsText" text="Sell">
      <formula>NOT(ISERROR(SEARCH("Sell",E66)))</formula>
    </cfRule>
  </conditionalFormatting>
  <conditionalFormatting sqref="E65">
    <cfRule type="containsText" dxfId="3053" priority="145" operator="containsText" text="Buy">
      <formula>NOT(ISERROR(SEARCH("Buy",E65)))</formula>
    </cfRule>
    <cfRule type="containsText" dxfId="3052" priority="146" operator="containsText" text="Sell">
      <formula>NOT(ISERROR(SEARCH("Sell",E65)))</formula>
    </cfRule>
  </conditionalFormatting>
  <conditionalFormatting sqref="E277">
    <cfRule type="containsText" dxfId="3051" priority="143" operator="containsText" text="Buy">
      <formula>NOT(ISERROR(SEARCH("Buy",E277)))</formula>
    </cfRule>
    <cfRule type="containsText" dxfId="3050" priority="144" operator="containsText" text="Sell">
      <formula>NOT(ISERROR(SEARCH("Sell",E277)))</formula>
    </cfRule>
  </conditionalFormatting>
  <conditionalFormatting sqref="E294">
    <cfRule type="containsText" dxfId="3049" priority="141" operator="containsText" text="Buy">
      <formula>NOT(ISERROR(SEARCH("Buy",E294)))</formula>
    </cfRule>
    <cfRule type="containsText" dxfId="3048" priority="142" operator="containsText" text="Sell">
      <formula>NOT(ISERROR(SEARCH("Sell",E294)))</formula>
    </cfRule>
  </conditionalFormatting>
  <conditionalFormatting sqref="E57:E58">
    <cfRule type="containsText" dxfId="3047" priority="139" operator="containsText" text="Buy">
      <formula>NOT(ISERROR(SEARCH("Buy",E57)))</formula>
    </cfRule>
    <cfRule type="containsText" dxfId="3046" priority="140" operator="containsText" text="Sell">
      <formula>NOT(ISERROR(SEARCH("Sell",E57)))</formula>
    </cfRule>
  </conditionalFormatting>
  <conditionalFormatting sqref="E272">
    <cfRule type="containsText" dxfId="3045" priority="137" operator="containsText" text="Buy">
      <formula>NOT(ISERROR(SEARCH("Buy",E272)))</formula>
    </cfRule>
    <cfRule type="containsText" dxfId="3044" priority="138" operator="containsText" text="Sell">
      <formula>NOT(ISERROR(SEARCH("Sell",E272)))</formula>
    </cfRule>
  </conditionalFormatting>
  <conditionalFormatting sqref="E268">
    <cfRule type="containsText" dxfId="3043" priority="135" operator="containsText" text="Buy">
      <formula>NOT(ISERROR(SEARCH("Buy",E268)))</formula>
    </cfRule>
    <cfRule type="containsText" dxfId="3042" priority="136" operator="containsText" text="Sell">
      <formula>NOT(ISERROR(SEARCH("Sell",E268)))</formula>
    </cfRule>
  </conditionalFormatting>
  <conditionalFormatting sqref="E49 E46 E43 E40">
    <cfRule type="containsText" dxfId="3041" priority="133" operator="containsText" text="Buy">
      <formula>NOT(ISERROR(SEARCH("Buy",E40)))</formula>
    </cfRule>
    <cfRule type="containsText" dxfId="3040" priority="134" operator="containsText" text="Sell">
      <formula>NOT(ISERROR(SEARCH("Sell",E40)))</formula>
    </cfRule>
  </conditionalFormatting>
  <conditionalFormatting sqref="E139">
    <cfRule type="containsText" dxfId="3039" priority="131" operator="containsText" text="Buy">
      <formula>NOT(ISERROR(SEARCH("Buy",E139)))</formula>
    </cfRule>
    <cfRule type="containsText" dxfId="3038" priority="132" operator="containsText" text="Sell">
      <formula>NOT(ISERROR(SEARCH("Sell",E139)))</formula>
    </cfRule>
  </conditionalFormatting>
  <conditionalFormatting sqref="E193">
    <cfRule type="containsText" dxfId="3037" priority="129" operator="containsText" text="Buy">
      <formula>NOT(ISERROR(SEARCH("Buy",E193)))</formula>
    </cfRule>
    <cfRule type="containsText" dxfId="3036" priority="130" operator="containsText" text="Sell">
      <formula>NOT(ISERROR(SEARCH("Sell",E193)))</formula>
    </cfRule>
  </conditionalFormatting>
  <conditionalFormatting sqref="E148">
    <cfRule type="containsText" dxfId="3035" priority="127" operator="containsText" text="Buy">
      <formula>NOT(ISERROR(SEARCH("Buy",E148)))</formula>
    </cfRule>
    <cfRule type="containsText" dxfId="3034" priority="128" operator="containsText" text="Sell">
      <formula>NOT(ISERROR(SEARCH("Sell",E148)))</formula>
    </cfRule>
  </conditionalFormatting>
  <conditionalFormatting sqref="E83">
    <cfRule type="containsText" dxfId="3033" priority="125" operator="containsText" text="Buy">
      <formula>NOT(ISERROR(SEARCH("Buy",E83)))</formula>
    </cfRule>
    <cfRule type="containsText" dxfId="3032" priority="126" operator="containsText" text="Sell">
      <formula>NOT(ISERROR(SEARCH("Sell",E83)))</formula>
    </cfRule>
  </conditionalFormatting>
  <conditionalFormatting sqref="E239">
    <cfRule type="containsText" dxfId="3031" priority="123" operator="containsText" text="Buy">
      <formula>NOT(ISERROR(SEARCH("Buy",E239)))</formula>
    </cfRule>
    <cfRule type="containsText" dxfId="3030" priority="124" operator="containsText" text="Sell">
      <formula>NOT(ISERROR(SEARCH("Sell",E239)))</formula>
    </cfRule>
  </conditionalFormatting>
  <conditionalFormatting sqref="E54:E55">
    <cfRule type="containsText" dxfId="3029" priority="119" operator="containsText" text="Buy">
      <formula>NOT(ISERROR(SEARCH("Buy",E54)))</formula>
    </cfRule>
    <cfRule type="containsText" dxfId="3028" priority="120" operator="containsText" text="Sell">
      <formula>NOT(ISERROR(SEARCH("Sell",E54)))</formula>
    </cfRule>
  </conditionalFormatting>
  <conditionalFormatting sqref="E293">
    <cfRule type="containsText" dxfId="3027" priority="121" operator="containsText" text="Buy">
      <formula>NOT(ISERROR(SEARCH("Buy",E293)))</formula>
    </cfRule>
    <cfRule type="containsText" dxfId="3026" priority="122" operator="containsText" text="Sell">
      <formula>NOT(ISERROR(SEARCH("Sell",E293)))</formula>
    </cfRule>
  </conditionalFormatting>
  <conditionalFormatting sqref="E138">
    <cfRule type="containsText" dxfId="3025" priority="117" operator="containsText" text="Buy">
      <formula>NOT(ISERROR(SEARCH("Buy",E138)))</formula>
    </cfRule>
    <cfRule type="containsText" dxfId="3024" priority="118" operator="containsText" text="Sell">
      <formula>NOT(ISERROR(SEARCH("Sell",E138)))</formula>
    </cfRule>
  </conditionalFormatting>
  <conditionalFormatting sqref="E50:E51">
    <cfRule type="containsText" dxfId="3023" priority="113" operator="containsText" text="Buy">
      <formula>NOT(ISERROR(SEARCH("Buy",E50)))</formula>
    </cfRule>
    <cfRule type="containsText" dxfId="3022" priority="114" operator="containsText" text="Sell">
      <formula>NOT(ISERROR(SEARCH("Sell",E50)))</formula>
    </cfRule>
  </conditionalFormatting>
  <conditionalFormatting sqref="E211">
    <cfRule type="containsText" dxfId="3021" priority="115" operator="containsText" text="Buy">
      <formula>NOT(ISERROR(SEARCH("Buy",E211)))</formula>
    </cfRule>
    <cfRule type="containsText" dxfId="3020" priority="116" operator="containsText" text="Sell">
      <formula>NOT(ISERROR(SEARCH("Sell",E211)))</formula>
    </cfRule>
  </conditionalFormatting>
  <conditionalFormatting sqref="E288">
    <cfRule type="containsText" dxfId="3019" priority="111" operator="containsText" text="Buy">
      <formula>NOT(ISERROR(SEARCH("Buy",E288)))</formula>
    </cfRule>
    <cfRule type="containsText" dxfId="3018" priority="112" operator="containsText" text="Sell">
      <formula>NOT(ISERROR(SEARCH("Sell",E288)))</formula>
    </cfRule>
  </conditionalFormatting>
  <conditionalFormatting sqref="E47:E48">
    <cfRule type="containsText" dxfId="3017" priority="109" operator="containsText" text="Buy">
      <formula>NOT(ISERROR(SEARCH("Buy",E47)))</formula>
    </cfRule>
    <cfRule type="containsText" dxfId="3016" priority="110" operator="containsText" text="Sell">
      <formula>NOT(ISERROR(SEARCH("Sell",E47)))</formula>
    </cfRule>
  </conditionalFormatting>
  <conditionalFormatting sqref="E44:E45">
    <cfRule type="containsText" dxfId="3015" priority="107" operator="containsText" text="Buy">
      <formula>NOT(ISERROR(SEARCH("Buy",E44)))</formula>
    </cfRule>
    <cfRule type="containsText" dxfId="3014" priority="108" operator="containsText" text="Sell">
      <formula>NOT(ISERROR(SEARCH("Sell",E44)))</formula>
    </cfRule>
  </conditionalFormatting>
  <conditionalFormatting sqref="E178">
    <cfRule type="containsText" dxfId="3013" priority="105" operator="containsText" text="Buy">
      <formula>NOT(ISERROR(SEARCH("Buy",E178)))</formula>
    </cfRule>
    <cfRule type="containsText" dxfId="3012" priority="106" operator="containsText" text="Sell">
      <formula>NOT(ISERROR(SEARCH("Sell",E178)))</formula>
    </cfRule>
  </conditionalFormatting>
  <conditionalFormatting sqref="E292">
    <cfRule type="containsText" dxfId="3011" priority="103" operator="containsText" text="Buy">
      <formula>NOT(ISERROR(SEARCH("Buy",E292)))</formula>
    </cfRule>
    <cfRule type="containsText" dxfId="3010" priority="104" operator="containsText" text="Sell">
      <formula>NOT(ISERROR(SEARCH("Sell",E292)))</formula>
    </cfRule>
  </conditionalFormatting>
  <conditionalFormatting sqref="E276">
    <cfRule type="containsText" dxfId="3009" priority="101" operator="containsText" text="Buy">
      <formula>NOT(ISERROR(SEARCH("Buy",E276)))</formula>
    </cfRule>
    <cfRule type="containsText" dxfId="3008" priority="102" operator="containsText" text="Sell">
      <formula>NOT(ISERROR(SEARCH("Sell",E276)))</formula>
    </cfRule>
  </conditionalFormatting>
  <conditionalFormatting sqref="E53">
    <cfRule type="containsText" dxfId="3007" priority="99" operator="containsText" text="Buy">
      <formula>NOT(ISERROR(SEARCH("Buy",E53)))</formula>
    </cfRule>
    <cfRule type="containsText" dxfId="3006" priority="100" operator="containsText" text="Sell">
      <formula>NOT(ISERROR(SEARCH("Sell",E53)))</formula>
    </cfRule>
  </conditionalFormatting>
  <conditionalFormatting sqref="E41:E42">
    <cfRule type="containsText" dxfId="3005" priority="97" operator="containsText" text="Buy">
      <formula>NOT(ISERROR(SEARCH("Buy",E41)))</formula>
    </cfRule>
    <cfRule type="containsText" dxfId="3004" priority="98" operator="containsText" text="Sell">
      <formula>NOT(ISERROR(SEARCH("Sell",E41)))</formula>
    </cfRule>
  </conditionalFormatting>
  <conditionalFormatting sqref="E60">
    <cfRule type="containsText" dxfId="3003" priority="95" operator="containsText" text="Buy">
      <formula>NOT(ISERROR(SEARCH("Buy",E60)))</formula>
    </cfRule>
    <cfRule type="containsText" dxfId="3002" priority="96" operator="containsText" text="Sell">
      <formula>NOT(ISERROR(SEARCH("Sell",E60)))</formula>
    </cfRule>
  </conditionalFormatting>
  <conditionalFormatting sqref="E238">
    <cfRule type="containsText" dxfId="3001" priority="93" operator="containsText" text="Buy">
      <formula>NOT(ISERROR(SEARCH("Buy",E238)))</formula>
    </cfRule>
    <cfRule type="containsText" dxfId="3000" priority="94" operator="containsText" text="Sell">
      <formula>NOT(ISERROR(SEARCH("Sell",E238)))</formula>
    </cfRule>
  </conditionalFormatting>
  <conditionalFormatting sqref="E209">
    <cfRule type="containsText" dxfId="2999" priority="89" operator="containsText" text="Buy">
      <formula>NOT(ISERROR(SEARCH("Buy",E209)))</formula>
    </cfRule>
    <cfRule type="containsText" dxfId="2998" priority="90" operator="containsText" text="Sell">
      <formula>NOT(ISERROR(SEARCH("Sell",E209)))</formula>
    </cfRule>
  </conditionalFormatting>
  <conditionalFormatting sqref="E168">
    <cfRule type="containsText" dxfId="2997" priority="87" operator="containsText" text="Buy">
      <formula>NOT(ISERROR(SEARCH("Buy",E168)))</formula>
    </cfRule>
    <cfRule type="containsText" dxfId="2996" priority="88" operator="containsText" text="Sell">
      <formula>NOT(ISERROR(SEARCH("Sell",E168)))</formula>
    </cfRule>
  </conditionalFormatting>
  <conditionalFormatting sqref="E210">
    <cfRule type="containsText" dxfId="2995" priority="91" operator="containsText" text="Buy">
      <formula>NOT(ISERROR(SEARCH("Buy",E210)))</formula>
    </cfRule>
    <cfRule type="containsText" dxfId="2994" priority="92" operator="containsText" text="Sell">
      <formula>NOT(ISERROR(SEARCH("Sell",E210)))</formula>
    </cfRule>
  </conditionalFormatting>
  <conditionalFormatting sqref="E98">
    <cfRule type="containsText" dxfId="2993" priority="85" operator="containsText" text="Buy">
      <formula>NOT(ISERROR(SEARCH("Buy",E98)))</formula>
    </cfRule>
    <cfRule type="containsText" dxfId="2992" priority="86" operator="containsText" text="Sell">
      <formula>NOT(ISERROR(SEARCH("Sell",E98)))</formula>
    </cfRule>
  </conditionalFormatting>
  <conditionalFormatting sqref="E33">
    <cfRule type="containsText" dxfId="2991" priority="83" operator="containsText" text="Buy">
      <formula>NOT(ISERROR(SEARCH("Buy",E33)))</formula>
    </cfRule>
    <cfRule type="containsText" dxfId="2990" priority="84" operator="containsText" text="Sell">
      <formula>NOT(ISERROR(SEARCH("Sell",E33)))</formula>
    </cfRule>
  </conditionalFormatting>
  <conditionalFormatting sqref="E30">
    <cfRule type="containsText" dxfId="2989" priority="81" operator="containsText" text="Buy">
      <formula>NOT(ISERROR(SEARCH("Buy",E30)))</formula>
    </cfRule>
    <cfRule type="containsText" dxfId="2988" priority="82" operator="containsText" text="Sell">
      <formula>NOT(ISERROR(SEARCH("Sell",E30)))</formula>
    </cfRule>
  </conditionalFormatting>
  <conditionalFormatting sqref="E80">
    <cfRule type="containsText" dxfId="2987" priority="79" operator="containsText" text="Buy">
      <formula>NOT(ISERROR(SEARCH("Buy",E80)))</formula>
    </cfRule>
    <cfRule type="containsText" dxfId="2986" priority="80" operator="containsText" text="Sell">
      <formula>NOT(ISERROR(SEARCH("Sell",E80)))</formula>
    </cfRule>
  </conditionalFormatting>
  <conditionalFormatting sqref="E36">
    <cfRule type="containsText" dxfId="2985" priority="77" operator="containsText" text="Buy">
      <formula>NOT(ISERROR(SEARCH("Buy",E36)))</formula>
    </cfRule>
    <cfRule type="containsText" dxfId="2984" priority="78" operator="containsText" text="Sell">
      <formula>NOT(ISERROR(SEARCH("Sell",E36)))</formula>
    </cfRule>
  </conditionalFormatting>
  <conditionalFormatting sqref="E39">
    <cfRule type="containsText" dxfId="2983" priority="75" operator="containsText" text="Buy">
      <formula>NOT(ISERROR(SEARCH("Buy",E39)))</formula>
    </cfRule>
    <cfRule type="containsText" dxfId="2982" priority="76" operator="containsText" text="Sell">
      <formula>NOT(ISERROR(SEARCH("Sell",E39)))</formula>
    </cfRule>
  </conditionalFormatting>
  <conditionalFormatting sqref="E245">
    <cfRule type="containsText" dxfId="2981" priority="73" operator="containsText" text="Buy">
      <formula>NOT(ISERROR(SEARCH("Buy",E245)))</formula>
    </cfRule>
    <cfRule type="containsText" dxfId="2980" priority="74" operator="containsText" text="Sell">
      <formula>NOT(ISERROR(SEARCH("Sell",E245)))</formula>
    </cfRule>
  </conditionalFormatting>
  <conditionalFormatting sqref="E64">
    <cfRule type="containsText" dxfId="2979" priority="71" operator="containsText" text="Buy">
      <formula>NOT(ISERROR(SEARCH("Buy",E64)))</formula>
    </cfRule>
    <cfRule type="containsText" dxfId="2978" priority="72" operator="containsText" text="Sell">
      <formula>NOT(ISERROR(SEARCH("Sell",E64)))</formula>
    </cfRule>
  </conditionalFormatting>
  <conditionalFormatting sqref="E63">
    <cfRule type="containsText" dxfId="2977" priority="69" operator="containsText" text="Buy">
      <formula>NOT(ISERROR(SEARCH("Buy",E63)))</formula>
    </cfRule>
    <cfRule type="containsText" dxfId="2976" priority="70" operator="containsText" text="Sell">
      <formula>NOT(ISERROR(SEARCH("Sell",E63)))</formula>
    </cfRule>
  </conditionalFormatting>
  <conditionalFormatting sqref="E62">
    <cfRule type="containsText" dxfId="2975" priority="67" operator="containsText" text="Buy">
      <formula>NOT(ISERROR(SEARCH("Buy",E62)))</formula>
    </cfRule>
    <cfRule type="containsText" dxfId="2974" priority="68" operator="containsText" text="Sell">
      <formula>NOT(ISERROR(SEARCH("Sell",E62)))</formula>
    </cfRule>
  </conditionalFormatting>
  <conditionalFormatting sqref="E61">
    <cfRule type="containsText" dxfId="2973" priority="65" operator="containsText" text="Buy">
      <formula>NOT(ISERROR(SEARCH("Buy",E61)))</formula>
    </cfRule>
    <cfRule type="containsText" dxfId="2972" priority="66" operator="containsText" text="Sell">
      <formula>NOT(ISERROR(SEARCH("Sell",E61)))</formula>
    </cfRule>
  </conditionalFormatting>
  <conditionalFormatting sqref="E84:E85">
    <cfRule type="containsText" dxfId="2971" priority="63" operator="containsText" text="Buy">
      <formula>NOT(ISERROR(SEARCH("Buy",E84)))</formula>
    </cfRule>
    <cfRule type="containsText" dxfId="2970" priority="64" operator="containsText" text="Sell">
      <formula>NOT(ISERROR(SEARCH("Sell",E84)))</formula>
    </cfRule>
  </conditionalFormatting>
  <conditionalFormatting sqref="E158:E160">
    <cfRule type="containsText" dxfId="2969" priority="61" operator="containsText" text="Buy">
      <formula>NOT(ISERROR(SEARCH("Buy",E158)))</formula>
    </cfRule>
    <cfRule type="containsText" dxfId="2968" priority="62" operator="containsText" text="Sell">
      <formula>NOT(ISERROR(SEARCH("Sell",E158)))</formula>
    </cfRule>
  </conditionalFormatting>
  <conditionalFormatting sqref="E137">
    <cfRule type="containsText" dxfId="2967" priority="59" operator="containsText" text="Buy">
      <formula>NOT(ISERROR(SEARCH("Buy",E137)))</formula>
    </cfRule>
    <cfRule type="containsText" dxfId="2966" priority="60" operator="containsText" text="Sell">
      <formula>NOT(ISERROR(SEARCH("Sell",E137)))</formula>
    </cfRule>
  </conditionalFormatting>
  <conditionalFormatting sqref="E136">
    <cfRule type="containsText" dxfId="2965" priority="57" operator="containsText" text="Buy">
      <formula>NOT(ISERROR(SEARCH("Buy",E136)))</formula>
    </cfRule>
    <cfRule type="containsText" dxfId="2964" priority="58" operator="containsText" text="Sell">
      <formula>NOT(ISERROR(SEARCH("Sell",E136)))</formula>
    </cfRule>
  </conditionalFormatting>
  <conditionalFormatting sqref="E130">
    <cfRule type="containsText" dxfId="2963" priority="55" operator="containsText" text="Buy">
      <formula>NOT(ISERROR(SEARCH("Buy",E130)))</formula>
    </cfRule>
    <cfRule type="containsText" dxfId="2962" priority="56" operator="containsText" text="Sell">
      <formula>NOT(ISERROR(SEARCH("Sell",E130)))</formula>
    </cfRule>
  </conditionalFormatting>
  <conditionalFormatting sqref="E135">
    <cfRule type="containsText" dxfId="2961" priority="53" operator="containsText" text="Buy">
      <formula>NOT(ISERROR(SEARCH("Buy",E135)))</formula>
    </cfRule>
    <cfRule type="containsText" dxfId="2960" priority="54" operator="containsText" text="Sell">
      <formula>NOT(ISERROR(SEARCH("Sell",E135)))</formula>
    </cfRule>
  </conditionalFormatting>
  <conditionalFormatting sqref="E134">
    <cfRule type="containsText" dxfId="2959" priority="51" operator="containsText" text="Buy">
      <formula>NOT(ISERROR(SEARCH("Buy",E134)))</formula>
    </cfRule>
    <cfRule type="containsText" dxfId="2958" priority="52" operator="containsText" text="Sell">
      <formula>NOT(ISERROR(SEARCH("Sell",E134)))</formula>
    </cfRule>
  </conditionalFormatting>
  <conditionalFormatting sqref="E244">
    <cfRule type="containsText" dxfId="2957" priority="49" operator="containsText" text="Buy">
      <formula>NOT(ISERROR(SEARCH("Buy",E244)))</formula>
    </cfRule>
    <cfRule type="containsText" dxfId="2956" priority="50" operator="containsText" text="Sell">
      <formula>NOT(ISERROR(SEARCH("Sell",E244)))</formula>
    </cfRule>
  </conditionalFormatting>
  <conditionalFormatting sqref="E119:E120">
    <cfRule type="containsText" dxfId="2955" priority="47" operator="containsText" text="Buy">
      <formula>NOT(ISERROR(SEARCH("Buy",E119)))</formula>
    </cfRule>
    <cfRule type="containsText" dxfId="2954" priority="48" operator="containsText" text="Sell">
      <formula>NOT(ISERROR(SEARCH("Sell",E119)))</formula>
    </cfRule>
  </conditionalFormatting>
  <conditionalFormatting sqref="E243">
    <cfRule type="containsText" dxfId="2953" priority="45" operator="containsText" text="Buy">
      <formula>NOT(ISERROR(SEARCH("Buy",E243)))</formula>
    </cfRule>
    <cfRule type="containsText" dxfId="2952" priority="46" operator="containsText" text="Sell">
      <formula>NOT(ISERROR(SEARCH("Sell",E243)))</formula>
    </cfRule>
  </conditionalFormatting>
  <conditionalFormatting sqref="E118">
    <cfRule type="containsText" dxfId="2951" priority="43" operator="containsText" text="Buy">
      <formula>NOT(ISERROR(SEARCH("Buy",E118)))</formula>
    </cfRule>
    <cfRule type="containsText" dxfId="2950" priority="44" operator="containsText" text="Sell">
      <formula>NOT(ISERROR(SEARCH("Sell",E118)))</formula>
    </cfRule>
  </conditionalFormatting>
  <conditionalFormatting sqref="E242">
    <cfRule type="containsText" dxfId="2949" priority="41" operator="containsText" text="Buy">
      <formula>NOT(ISERROR(SEARCH("Buy",E242)))</formula>
    </cfRule>
    <cfRule type="containsText" dxfId="2948" priority="42" operator="containsText" text="Sell">
      <formula>NOT(ISERROR(SEARCH("Sell",E242)))</formula>
    </cfRule>
  </conditionalFormatting>
  <conditionalFormatting sqref="E125">
    <cfRule type="containsText" dxfId="2947" priority="39" operator="containsText" text="Buy">
      <formula>NOT(ISERROR(SEARCH("Buy",E125)))</formula>
    </cfRule>
    <cfRule type="containsText" dxfId="2946" priority="40" operator="containsText" text="Sell">
      <formula>NOT(ISERROR(SEARCH("Sell",E125)))</formula>
    </cfRule>
  </conditionalFormatting>
  <conditionalFormatting sqref="E129">
    <cfRule type="containsText" dxfId="2945" priority="37" operator="containsText" text="Buy">
      <formula>NOT(ISERROR(SEARCH("Buy",E129)))</formula>
    </cfRule>
    <cfRule type="containsText" dxfId="2944" priority="38" operator="containsText" text="Sell">
      <formula>NOT(ISERROR(SEARCH("Sell",E129)))</formula>
    </cfRule>
  </conditionalFormatting>
  <conditionalFormatting sqref="E124">
    <cfRule type="containsText" dxfId="2943" priority="35" operator="containsText" text="Buy">
      <formula>NOT(ISERROR(SEARCH("Buy",E124)))</formula>
    </cfRule>
    <cfRule type="containsText" dxfId="2942" priority="36" operator="containsText" text="Sell">
      <formula>NOT(ISERROR(SEARCH("Sell",E124)))</formula>
    </cfRule>
  </conditionalFormatting>
  <conditionalFormatting sqref="R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{77F1E13C-5CDD-4345-8169-2E35942CB66D}</x14:id>
        </ext>
      </extLst>
    </cfRule>
  </conditionalFormatting>
  <conditionalFormatting sqref="S6:W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{0C05ACEC-B804-42BE-A32C-5B0FCB2973E6}</x14:id>
        </ext>
      </extLst>
    </cfRule>
  </conditionalFormatting>
  <conditionalFormatting sqref="R6:W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{C1C6D592-2015-4FA6-A9B8-8DEDB7B9AB01}</x14:id>
        </ext>
      </extLst>
    </cfRule>
  </conditionalFormatting>
  <conditionalFormatting sqref="X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{184F199D-AB5D-41BA-B717-69B9BC5ADB23}</x14:id>
        </ext>
      </extLst>
    </cfRule>
  </conditionalFormatting>
  <conditionalFormatting sqref="S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{3BDC8D6D-6183-4C19-972B-38C6C66ECBD8}</x14:id>
        </ext>
      </extLst>
    </cfRule>
  </conditionalFormatting>
  <conditionalFormatting sqref="T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{72F3BB70-78A9-4972-B732-CAC0FD0BA50F}</x14:id>
        </ext>
      </extLst>
    </cfRule>
  </conditionalFormatting>
  <conditionalFormatting sqref="U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{47DE4AC1-DC80-45DB-A7A8-A68D24640DB9}</x14:id>
        </ext>
      </extLst>
    </cfRule>
  </conditionalFormatting>
  <conditionalFormatting sqref="V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{2EFD2BC2-C9D5-450E-882F-12377F50A164}</x14:id>
        </ext>
      </extLst>
    </cfRule>
  </conditionalFormatting>
  <conditionalFormatting sqref="W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{52D05581-73E4-48B6-8209-679D035C856A}</x14:id>
        </ext>
      </extLst>
    </cfRule>
  </conditionalFormatting>
  <conditionalFormatting sqref="Y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{79B9062B-A1EF-4E0A-AA2F-20514B51059B}</x14:id>
        </ext>
      </extLst>
    </cfRule>
  </conditionalFormatting>
  <conditionalFormatting sqref="R6:X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{A63B45D0-140C-4E0C-8B5F-27D38E924541}</x14:id>
        </ext>
      </extLst>
    </cfRule>
  </conditionalFormatting>
  <conditionalFormatting sqref="I6:J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{EE18AC5E-4BD4-4EF0-9879-06339A663D35}</x14:id>
        </ext>
      </extLst>
    </cfRule>
  </conditionalFormatting>
  <conditionalFormatting sqref="I6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{5050445E-37FD-4A77-9B9B-3BE4B98E8EE8}</x14:id>
        </ext>
      </extLst>
    </cfRule>
  </conditionalFormatting>
  <conditionalFormatting sqref="J6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{111B8F8D-69CD-4838-B590-7BDBB292309F}</x14:id>
        </ext>
      </extLst>
    </cfRule>
  </conditionalFormatting>
  <conditionalFormatting sqref="E25">
    <cfRule type="containsText" dxfId="2941" priority="17" operator="containsText" text="Buy">
      <formula>NOT(ISERROR(SEARCH("Buy",E25)))</formula>
    </cfRule>
    <cfRule type="containsText" dxfId="2940" priority="18" operator="containsText" text="Sell">
      <formula>NOT(ISERROR(SEARCH("Sell",E25)))</formula>
    </cfRule>
  </conditionalFormatting>
  <conditionalFormatting sqref="E26">
    <cfRule type="containsText" dxfId="2939" priority="19" operator="containsText" text="Buy">
      <formula>NOT(ISERROR(SEARCH("Buy",E26)))</formula>
    </cfRule>
    <cfRule type="containsText" dxfId="2938" priority="20" operator="containsText" text="Sell">
      <formula>NOT(ISERROR(SEARCH("Sell",E26)))</formula>
    </cfRule>
  </conditionalFormatting>
  <conditionalFormatting sqref="E28">
    <cfRule type="containsText" dxfId="2937" priority="13" operator="containsText" text="Buy">
      <formula>NOT(ISERROR(SEARCH("Buy",E28)))</formula>
    </cfRule>
    <cfRule type="containsText" dxfId="2936" priority="14" operator="containsText" text="Sell">
      <formula>NOT(ISERROR(SEARCH("Sell",E28)))</formula>
    </cfRule>
  </conditionalFormatting>
  <conditionalFormatting sqref="E29">
    <cfRule type="containsText" dxfId="2935" priority="15" operator="containsText" text="Buy">
      <formula>NOT(ISERROR(SEARCH("Buy",E29)))</formula>
    </cfRule>
    <cfRule type="containsText" dxfId="2934" priority="16" operator="containsText" text="Sell">
      <formula>NOT(ISERROR(SEARCH("Sell",E29)))</formula>
    </cfRule>
  </conditionalFormatting>
  <conditionalFormatting sqref="E31">
    <cfRule type="containsText" dxfId="2933" priority="9" operator="containsText" text="Buy">
      <formula>NOT(ISERROR(SEARCH("Buy",E31)))</formula>
    </cfRule>
    <cfRule type="containsText" dxfId="2932" priority="10" operator="containsText" text="Sell">
      <formula>NOT(ISERROR(SEARCH("Sell",E31)))</formula>
    </cfRule>
  </conditionalFormatting>
  <conditionalFormatting sqref="E32">
    <cfRule type="containsText" dxfId="2931" priority="11" operator="containsText" text="Buy">
      <formula>NOT(ISERROR(SEARCH("Buy",E32)))</formula>
    </cfRule>
    <cfRule type="containsText" dxfId="2930" priority="12" operator="containsText" text="Sell">
      <formula>NOT(ISERROR(SEARCH("Sell",E32)))</formula>
    </cfRule>
  </conditionalFormatting>
  <conditionalFormatting sqref="E34">
    <cfRule type="containsText" dxfId="2929" priority="5" operator="containsText" text="Buy">
      <formula>NOT(ISERROR(SEARCH("Buy",E34)))</formula>
    </cfRule>
    <cfRule type="containsText" dxfId="2928" priority="6" operator="containsText" text="Sell">
      <formula>NOT(ISERROR(SEARCH("Sell",E34)))</formula>
    </cfRule>
  </conditionalFormatting>
  <conditionalFormatting sqref="E35">
    <cfRule type="containsText" dxfId="2927" priority="7" operator="containsText" text="Buy">
      <formula>NOT(ISERROR(SEARCH("Buy",E35)))</formula>
    </cfRule>
    <cfRule type="containsText" dxfId="2926" priority="8" operator="containsText" text="Sell">
      <formula>NOT(ISERROR(SEARCH("Sell",E35)))</formula>
    </cfRule>
  </conditionalFormatting>
  <conditionalFormatting sqref="E37">
    <cfRule type="containsText" dxfId="2925" priority="1" operator="containsText" text="Buy">
      <formula>NOT(ISERROR(SEARCH("Buy",E37)))</formula>
    </cfRule>
    <cfRule type="containsText" dxfId="2924" priority="2" operator="containsText" text="Sell">
      <formula>NOT(ISERROR(SEARCH("Sell",E37)))</formula>
    </cfRule>
  </conditionalFormatting>
  <conditionalFormatting sqref="E38">
    <cfRule type="containsText" dxfId="2923" priority="3" operator="containsText" text="Buy">
      <formula>NOT(ISERROR(SEARCH("Buy",E38)))</formula>
    </cfRule>
    <cfRule type="containsText" dxfId="2922" priority="4" operator="containsText" text="Sell">
      <formula>NOT(ISERROR(SEARCH("Sell",E38)))</formula>
    </cfRule>
  </conditionalFormatting>
  <conditionalFormatting sqref="R4:R5 R7:R8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{0452D06F-3419-4C16-BEE9-1FB81F76E864}</x14:id>
        </ext>
      </extLst>
    </cfRule>
  </conditionalFormatting>
  <conditionalFormatting sqref="S4:W5 S7:W8">
    <cfRule type="dataBar" priority="3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{B32E0CD9-20DD-4F44-8BFC-6F3AF6B1A53A}</x14:id>
        </ext>
      </extLst>
    </cfRule>
  </conditionalFormatting>
  <conditionalFormatting sqref="R4:W5 R7:W8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{4117EC5B-A673-43F4-BB86-79265EE29A09}</x14:id>
        </ext>
      </extLst>
    </cfRule>
  </conditionalFormatting>
  <conditionalFormatting sqref="X4:X5 X7:X8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{93113A79-4CC5-4F62-826B-2FCED2E9EB94}</x14:id>
        </ext>
      </extLst>
    </cfRule>
  </conditionalFormatting>
  <conditionalFormatting sqref="S4:S5 S7:S8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{7FABF2E8-CE58-4CD9-943A-B8DF5048D319}</x14:id>
        </ext>
      </extLst>
    </cfRule>
  </conditionalFormatting>
  <conditionalFormatting sqref="T4:T5 T7:T8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{F228C366-B0F0-4E96-A8D9-747FE02E9074}</x14:id>
        </ext>
      </extLst>
    </cfRule>
  </conditionalFormatting>
  <conditionalFormatting sqref="U4:U5 U7:U8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{7C3DAED7-2521-47B4-9A76-480975EA2C93}</x14:id>
        </ext>
      </extLst>
    </cfRule>
  </conditionalFormatting>
  <conditionalFormatting sqref="V4:V5 V7:V8">
    <cfRule type="dataBar" priority="3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{B2123BDA-9CF3-48C0-9BA3-5A25B1CBBACD}</x14:id>
        </ext>
      </extLst>
    </cfRule>
  </conditionalFormatting>
  <conditionalFormatting sqref="W4:W5 W7:W8">
    <cfRule type="dataBar" priority="3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{EEC2BFC2-3B3B-4A52-BA55-ECE1E3D3FECF}</x14:id>
        </ext>
      </extLst>
    </cfRule>
  </conditionalFormatting>
  <conditionalFormatting sqref="Y4:Y5 Y7:Y8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{AD1F15A5-905C-4657-AD6E-ADF04E7EDF1C}</x14:id>
        </ext>
      </extLst>
    </cfRule>
  </conditionalFormatting>
  <conditionalFormatting sqref="R4:X5 R7:X8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{ED30F036-70DE-40F4-BB57-C0E4B6118177}</x14:id>
        </ext>
      </extLst>
    </cfRule>
  </conditionalFormatting>
  <conditionalFormatting sqref="I4:J5 I7:J8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{AADDBB43-0704-4779-917E-570DDF6999A4}</x14:id>
        </ext>
      </extLst>
    </cfRule>
  </conditionalFormatting>
  <conditionalFormatting sqref="I4:I5 I7:I8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{3D69ADB0-C479-4E1B-97E8-2D25AACD0405}</x14:id>
        </ext>
      </extLst>
    </cfRule>
  </conditionalFormatting>
  <conditionalFormatting sqref="J4:J5 J7:J8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{58320745-F701-4796-8202-392F0B486205}</x14:id>
        </ext>
      </extLst>
    </cfRule>
  </conditionalFormatting>
  <pageMargins left="0.25" right="0.25" top="0.75" bottom="0.75" header="0.3" footer="0.3"/>
  <pageSetup paperSize="9" scale="12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54E258-FF97-4E89-9301-0F5102CE7F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7F1E13C-5CDD-4345-8169-2E35942CB6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0C05ACEC-B804-42BE-A32C-5B0FCB297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1C6D592-2015-4FA6-A9B8-8DEDB7B9AB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184F199D-AB5D-41BA-B717-69B9BC5AD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BDC8D6D-6183-4C19-972B-38C6C66ECB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2F3BB70-78A9-4972-B732-CAC0FD0BA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47DE4AC1-DC80-45DB-A7A8-A68D24640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2EFD2BC2-C9D5-450E-882F-12377F50A1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2D05581-73E4-48B6-8209-679D035C85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9B9062B-A1EF-4E0A-AA2F-20514B5105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63B45D0-140C-4E0C-8B5F-27D38E9245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EE18AC5E-4BD4-4EF0-9879-06339A66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5050445E-37FD-4A77-9B9B-3BE4B98E8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11B8F8D-69CD-4838-B590-7BDBB29230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0452D06F-3419-4C16-BEE9-1FB81F76E8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R4:R5 R7:R8</xm:sqref>
        </x14:conditionalFormatting>
        <x14:conditionalFormatting xmlns:xm="http://schemas.microsoft.com/office/excel/2006/main">
          <x14:cfRule type="dataBar" id="{B32E0CD9-20DD-4F44-8BFC-6F3AF6B1A5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S4:W5 S7:W8</xm:sqref>
        </x14:conditionalFormatting>
        <x14:conditionalFormatting xmlns:xm="http://schemas.microsoft.com/office/excel/2006/main">
          <x14:cfRule type="dataBar" id="{4117EC5B-A673-43F4-BB86-79265EE29A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R4:W5 R7:W8</xm:sqref>
        </x14:conditionalFormatting>
        <x14:conditionalFormatting xmlns:xm="http://schemas.microsoft.com/office/excel/2006/main">
          <x14:cfRule type="dataBar" id="{93113A79-4CC5-4F62-826B-2FCED2E9EB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X7:X8</xm:sqref>
        </x14:conditionalFormatting>
        <x14:conditionalFormatting xmlns:xm="http://schemas.microsoft.com/office/excel/2006/main">
          <x14:cfRule type="dataBar" id="{7FABF2E8-CE58-4CD9-943A-B8DF5048D3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S4:S5 S7:S8</xm:sqref>
        </x14:conditionalFormatting>
        <x14:conditionalFormatting xmlns:xm="http://schemas.microsoft.com/office/excel/2006/main">
          <x14:cfRule type="dataBar" id="{F228C366-B0F0-4E96-A8D9-747FE02E90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T4:T5 T7:T8</xm:sqref>
        </x14:conditionalFormatting>
        <x14:conditionalFormatting xmlns:xm="http://schemas.microsoft.com/office/excel/2006/main">
          <x14:cfRule type="dataBar" id="{7C3DAED7-2521-47B4-9A76-480975EA2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U4:U5 U7:U8</xm:sqref>
        </x14:conditionalFormatting>
        <x14:conditionalFormatting xmlns:xm="http://schemas.microsoft.com/office/excel/2006/main">
          <x14:cfRule type="dataBar" id="{B2123BDA-9CF3-48C0-9BA3-5A25B1CBBA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V4:V5 V7:V8</xm:sqref>
        </x14:conditionalFormatting>
        <x14:conditionalFormatting xmlns:xm="http://schemas.microsoft.com/office/excel/2006/main">
          <x14:cfRule type="dataBar" id="{EEC2BFC2-3B3B-4A52-BA55-ECE1E3D3F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W4:W5 W7:W8</xm:sqref>
        </x14:conditionalFormatting>
        <x14:conditionalFormatting xmlns:xm="http://schemas.microsoft.com/office/excel/2006/main">
          <x14:cfRule type="dataBar" id="{AD1F15A5-905C-4657-AD6E-ADF04E7EDF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Y4:Y5 Y7:Y8</xm:sqref>
        </x14:conditionalFormatting>
        <x14:conditionalFormatting xmlns:xm="http://schemas.microsoft.com/office/excel/2006/main">
          <x14:cfRule type="dataBar" id="{ED30F036-70DE-40F4-BB57-C0E4B6118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R4:X5 R7:X8</xm:sqref>
        </x14:conditionalFormatting>
        <x14:conditionalFormatting xmlns:xm="http://schemas.microsoft.com/office/excel/2006/main">
          <x14:cfRule type="dataBar" id="{AADDBB43-0704-4779-917E-570DDF699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 I7:J8</xm:sqref>
        </x14:conditionalFormatting>
        <x14:conditionalFormatting xmlns:xm="http://schemas.microsoft.com/office/excel/2006/main">
          <x14:cfRule type="dataBar" id="{3D69ADB0-C479-4E1B-97E8-2D25AACD04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 I7:I8</xm:sqref>
        </x14:conditionalFormatting>
        <x14:conditionalFormatting xmlns:xm="http://schemas.microsoft.com/office/excel/2006/main">
          <x14:cfRule type="dataBar" id="{58320745-F701-4796-8202-392F0B486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 J7:J8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S356"/>
  <sheetViews>
    <sheetView workbookViewId="0">
      <pane xSplit="2" topLeftCell="C1" activePane="topRight" state="frozen"/>
      <selection pane="topRight" activeCell="H40" sqref="H4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7.85546875" style="32" customWidth="1"/>
    <col min="4" max="4" width="9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1.42578125" style="32" customWidth="1"/>
    <col min="20" max="20" width="15.5703125" style="32" bestFit="1" customWidth="1"/>
    <col min="21" max="16384" width="9.140625" style="32"/>
  </cols>
  <sheetData>
    <row r="1" spans="1:19" x14ac:dyDescent="0.2">
      <c r="B1" s="146" t="s">
        <v>718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19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19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137</v>
      </c>
      <c r="J3" s="50" t="s">
        <v>138</v>
      </c>
      <c r="K3" s="50" t="s">
        <v>117</v>
      </c>
      <c r="L3" s="50" t="s">
        <v>127</v>
      </c>
      <c r="M3" s="50" t="s">
        <v>116</v>
      </c>
      <c r="N3" s="50" t="s">
        <v>114</v>
      </c>
      <c r="O3" s="50" t="s">
        <v>113</v>
      </c>
      <c r="P3" s="50" t="s">
        <v>112</v>
      </c>
      <c r="Q3" s="50" t="s">
        <v>746</v>
      </c>
      <c r="R3" s="83" t="s">
        <v>128</v>
      </c>
      <c r="S3" s="83" t="s">
        <v>129</v>
      </c>
    </row>
    <row r="4" spans="1:19" s="41" customFormat="1" x14ac:dyDescent="0.2">
      <c r="A4" s="32" t="s">
        <v>418</v>
      </c>
      <c r="B4" s="116" t="e">
        <f ca="1">_xll.BDP(C4,"SECURITY_NAME")</f>
        <v>#NAME?</v>
      </c>
      <c r="C4" s="118" t="s">
        <v>60</v>
      </c>
      <c r="D4" s="119" t="e">
        <f ca="1">N4/$N$8</f>
        <v>#NAME?</v>
      </c>
      <c r="E4" s="120">
        <f>$F$23</f>
        <v>250000</v>
      </c>
      <c r="F4" s="201">
        <f>$H$23</f>
        <v>104</v>
      </c>
      <c r="G4" s="181" t="e">
        <f ca="1">_xll.BDP(C4,"PX LAST")</f>
        <v>#NAME?</v>
      </c>
      <c r="H4" s="182" t="e">
        <f ca="1">_xll.BDP($C4,"CRNCY")</f>
        <v>#NAME?</v>
      </c>
      <c r="I4" s="119" t="e">
        <f t="shared" ref="I4:J6" ca="1" si="0">M4/K4-1</f>
        <v>#NAME?</v>
      </c>
      <c r="J4" s="119" t="e">
        <f t="shared" ca="1" si="0"/>
        <v>#NAME?</v>
      </c>
      <c r="K4" s="120" t="e">
        <f ca="1">$K$23</f>
        <v>#NAME?</v>
      </c>
      <c r="L4" s="120">
        <f>E4*F4/100</f>
        <v>260000</v>
      </c>
      <c r="M4" s="120" t="e">
        <f ca="1">E4*G4/100*$I$1</f>
        <v>#NAME?</v>
      </c>
      <c r="N4" s="120" t="e">
        <f ca="1">E4*G4/100</f>
        <v>#NAME?</v>
      </c>
      <c r="O4" s="123" t="e">
        <f t="shared" ref="O4:P6" ca="1" si="1">M4-K4</f>
        <v>#NAME?</v>
      </c>
      <c r="P4" s="123" t="e">
        <f t="shared" ca="1" si="1"/>
        <v>#NAME?</v>
      </c>
      <c r="Q4" s="392" t="e">
        <f ca="1">_xll.BDP(C4,"YLD_YTM_MID")</f>
        <v>#NAME?</v>
      </c>
      <c r="R4" s="125" t="e">
        <f ca="1">_xll.BDP($C4,"CHG_PCT_YTD")</f>
        <v>#NAME?</v>
      </c>
      <c r="S4" s="125" t="e">
        <f ca="1">_xll.BDP($C4,"CHG_PCT_1YR")</f>
        <v>#NAME?</v>
      </c>
    </row>
    <row r="5" spans="1:19" s="41" customFormat="1" x14ac:dyDescent="0.2">
      <c r="A5" s="32" t="s">
        <v>418</v>
      </c>
      <c r="B5" s="116" t="e">
        <f ca="1">_xll.BDP(C5,"SECURITY_NAME")</f>
        <v>#NAME?</v>
      </c>
      <c r="C5" s="118" t="s">
        <v>166</v>
      </c>
      <c r="D5" s="119" t="e">
        <f ca="1">N5/$N$8</f>
        <v>#NAME?</v>
      </c>
      <c r="E5" s="120">
        <f>$F$29</f>
        <v>250000</v>
      </c>
      <c r="F5" s="201">
        <f>$H$29</f>
        <v>96</v>
      </c>
      <c r="G5" s="181" t="e">
        <f ca="1">_xll.BDP(C5,"PX LAST")</f>
        <v>#NAME?</v>
      </c>
      <c r="H5" s="182" t="e">
        <f ca="1">_xll.BDP($C5,"CRNCY")</f>
        <v>#NAME?</v>
      </c>
      <c r="I5" s="119" t="e">
        <f t="shared" ca="1" si="0"/>
        <v>#NAME?</v>
      </c>
      <c r="J5" s="119" t="e">
        <f t="shared" ca="1" si="0"/>
        <v>#NAME?</v>
      </c>
      <c r="K5" s="120" t="e">
        <f ca="1">$K$29</f>
        <v>#NAME?</v>
      </c>
      <c r="L5" s="120">
        <f>E5*F5/100</f>
        <v>240000</v>
      </c>
      <c r="M5" s="120" t="e">
        <f ca="1">E5*G5/100*$I$1</f>
        <v>#NAME?</v>
      </c>
      <c r="N5" s="120" t="e">
        <f ca="1">E5*G5/100</f>
        <v>#NAME?</v>
      </c>
      <c r="O5" s="123" t="e">
        <f t="shared" ca="1" si="1"/>
        <v>#NAME?</v>
      </c>
      <c r="P5" s="123" t="e">
        <f t="shared" ca="1" si="1"/>
        <v>#NAME?</v>
      </c>
      <c r="Q5" s="392" t="e">
        <f ca="1">_xll.BDP(C5,"YLD_YTM_MID")</f>
        <v>#NAME?</v>
      </c>
      <c r="R5" s="125" t="e">
        <f ca="1">_xll.BDP($C5,"CHG_PCT_YTD")</f>
        <v>#NAME?</v>
      </c>
      <c r="S5" s="125" t="e">
        <f ca="1">_xll.BDP($C5,"CHG_PCT_1YR")</f>
        <v>#NAME?</v>
      </c>
    </row>
    <row r="6" spans="1:19" s="41" customFormat="1" x14ac:dyDescent="0.2">
      <c r="A6" s="32" t="s">
        <v>418</v>
      </c>
      <c r="B6" s="116" t="e">
        <f ca="1">_xll.BDP(C6,"SECURITY_NAME")</f>
        <v>#NAME?</v>
      </c>
      <c r="C6" s="118" t="s">
        <v>373</v>
      </c>
      <c r="D6" s="119" t="e">
        <f ca="1">N6/$N$8</f>
        <v>#NAME?</v>
      </c>
      <c r="E6" s="120">
        <f>$F$32</f>
        <v>250000</v>
      </c>
      <c r="F6" s="201">
        <f>$H$32</f>
        <v>97.5</v>
      </c>
      <c r="G6" s="181" t="e">
        <f ca="1">_xll.BDP(C6,"PX LAST")</f>
        <v>#NAME?</v>
      </c>
      <c r="H6" s="182" t="e">
        <f ca="1">_xll.BDP($C6,"CRNCY")</f>
        <v>#NAME?</v>
      </c>
      <c r="I6" s="119" t="e">
        <f t="shared" ca="1" si="0"/>
        <v>#NAME?</v>
      </c>
      <c r="J6" s="119" t="e">
        <f t="shared" ca="1" si="0"/>
        <v>#NAME?</v>
      </c>
      <c r="K6" s="120" t="e">
        <f ca="1">$K$32</f>
        <v>#NAME?</v>
      </c>
      <c r="L6" s="120">
        <f>E6*F6/100</f>
        <v>243750</v>
      </c>
      <c r="M6" s="120" t="e">
        <f ca="1">E6*G6/100*$I$1</f>
        <v>#NAME?</v>
      </c>
      <c r="N6" s="120" t="e">
        <f ca="1">E6*G6/100</f>
        <v>#NAME?</v>
      </c>
      <c r="O6" s="123" t="e">
        <f t="shared" ca="1" si="1"/>
        <v>#NAME?</v>
      </c>
      <c r="P6" s="123" t="e">
        <f t="shared" ca="1" si="1"/>
        <v>#NAME?</v>
      </c>
      <c r="Q6" s="392" t="e">
        <f ca="1">_xll.BDP(C6,"YLD_YTM_MID")</f>
        <v>#NAME?</v>
      </c>
      <c r="R6" s="125" t="e">
        <f ca="1">_xll.BDP($C6,"CHG_PCT_YTD")</f>
        <v>#NAME?</v>
      </c>
      <c r="S6" s="125" t="e">
        <f ca="1">_xll.BDP($C6,"CHG_PCT_1YR")</f>
        <v>#NAME?</v>
      </c>
    </row>
    <row r="7" spans="1:19" x14ac:dyDescent="0.2">
      <c r="B7" s="68" t="s">
        <v>106</v>
      </c>
      <c r="C7" s="68" t="s">
        <v>106</v>
      </c>
      <c r="D7" s="101" t="e">
        <f ca="1">N7/$N$8</f>
        <v>#NAME?</v>
      </c>
      <c r="E7" s="101"/>
      <c r="F7" s="101"/>
      <c r="G7" s="66"/>
      <c r="H7" s="177"/>
      <c r="I7" s="179"/>
      <c r="J7" s="179"/>
      <c r="K7" s="64"/>
      <c r="L7" s="187"/>
      <c r="M7" s="64"/>
      <c r="N7" s="64">
        <v>0</v>
      </c>
      <c r="O7" s="61"/>
      <c r="P7" s="61"/>
      <c r="Q7" s="617"/>
      <c r="R7" s="177"/>
      <c r="S7" s="177"/>
    </row>
    <row r="8" spans="1:19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37" t="e">
        <f t="shared" ref="K8:P8" ca="1" si="2">SUM(K4:K7)</f>
        <v>#NAME?</v>
      </c>
      <c r="L8" s="137">
        <f t="shared" si="2"/>
        <v>743750</v>
      </c>
      <c r="M8" s="137" t="e">
        <f t="shared" ca="1" si="2"/>
        <v>#NAME?</v>
      </c>
      <c r="N8" s="137" t="e">
        <f t="shared" ca="1" si="2"/>
        <v>#NAME?</v>
      </c>
      <c r="O8" s="138" t="e">
        <f t="shared" ca="1" si="2"/>
        <v>#NAME?</v>
      </c>
      <c r="P8" s="138" t="e">
        <f t="shared" ca="1" si="2"/>
        <v>#NAME?</v>
      </c>
      <c r="Q8" s="472" t="e">
        <f ca="1">SUMPRODUCT(D4:D6,Q4:Q6)</f>
        <v>#NAME?</v>
      </c>
      <c r="R8" s="55"/>
      <c r="S8" s="55"/>
    </row>
    <row r="9" spans="1:19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2"/>
      <c r="L9" s="43"/>
      <c r="M9" s="208"/>
      <c r="N9" s="69"/>
      <c r="O9" s="113" t="e">
        <f ca="1">M8/K8-1</f>
        <v>#NAME?</v>
      </c>
      <c r="P9" s="113" t="e">
        <f ca="1">N8/L8-1</f>
        <v>#NAME?</v>
      </c>
      <c r="Q9" s="33" t="s">
        <v>810</v>
      </c>
    </row>
    <row r="10" spans="1:19" x14ac:dyDescent="0.2">
      <c r="E10" s="155"/>
      <c r="K10" s="30"/>
      <c r="L10" s="148"/>
      <c r="M10" s="35"/>
      <c r="N10" s="34"/>
      <c r="O10" s="34"/>
      <c r="P10" s="30"/>
    </row>
    <row r="11" spans="1:19" x14ac:dyDescent="0.2">
      <c r="B11" s="32" t="s">
        <v>276</v>
      </c>
      <c r="E11" s="155"/>
      <c r="M11" s="35"/>
      <c r="N11" s="34"/>
      <c r="O11" s="34"/>
      <c r="P11" s="30"/>
    </row>
    <row r="12" spans="1:19" x14ac:dyDescent="0.2">
      <c r="M12" s="35"/>
      <c r="N12" s="34"/>
      <c r="O12" s="34"/>
      <c r="P12" s="30"/>
    </row>
    <row r="13" spans="1:19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</row>
    <row r="14" spans="1:19" s="33" customFormat="1" x14ac:dyDescent="0.2">
      <c r="B14" s="103" t="s">
        <v>208</v>
      </c>
      <c r="C14" s="103" t="s">
        <v>72</v>
      </c>
      <c r="D14" s="73" t="s">
        <v>51</v>
      </c>
      <c r="E14" s="43" t="e">
        <f ca="1">F14*_xll.BDP(C14,"PX_LAST")</f>
        <v>#NAME?</v>
      </c>
      <c r="F14" s="43">
        <v>21900</v>
      </c>
      <c r="G14" s="43">
        <v>21900</v>
      </c>
      <c r="H14" s="47">
        <f>G14/F14</f>
        <v>1</v>
      </c>
      <c r="I14" s="43">
        <f>G14*K14</f>
        <v>1248300</v>
      </c>
      <c r="J14" s="45">
        <f>G14*L14</f>
        <v>1559280</v>
      </c>
      <c r="K14" s="38">
        <v>57</v>
      </c>
      <c r="L14" s="38">
        <v>71.2</v>
      </c>
      <c r="M14" s="44">
        <f>L14/K14-1</f>
        <v>0.24912280701754397</v>
      </c>
      <c r="N14" s="43">
        <f>J14-I14</f>
        <v>310980</v>
      </c>
      <c r="O14" s="106" t="e">
        <f ca="1">_xll.BDP($C14,"CRNCY")</f>
        <v>#NAME?</v>
      </c>
      <c r="P14" s="43" t="e">
        <f>N14/#REF!</f>
        <v>#REF!</v>
      </c>
      <c r="Q14" s="14">
        <v>42452</v>
      </c>
    </row>
    <row r="15" spans="1:19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310980</v>
      </c>
      <c r="O15" s="34" t="s">
        <v>75</v>
      </c>
      <c r="P15" s="40" t="e">
        <f>SUM(P14:P14)</f>
        <v>#REF!</v>
      </c>
    </row>
    <row r="16" spans="1:19" x14ac:dyDescent="0.2">
      <c r="J16" s="105"/>
      <c r="K16" s="70"/>
      <c r="L16" s="155"/>
      <c r="M16" s="35"/>
      <c r="N16" s="30"/>
      <c r="O16" s="30"/>
      <c r="P16" s="34"/>
    </row>
    <row r="17" spans="2:18" x14ac:dyDescent="0.2">
      <c r="H17" s="105"/>
      <c r="I17" s="70"/>
      <c r="J17" s="151"/>
      <c r="K17" s="35"/>
      <c r="L17" s="148"/>
      <c r="M17" s="34"/>
    </row>
    <row r="18" spans="2:18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8" ht="13.5" thickBot="1" x14ac:dyDescent="0.25">
      <c r="C19" s="30"/>
      <c r="D19" s="30"/>
      <c r="G19" s="30"/>
      <c r="H19" s="151"/>
      <c r="I19" s="30"/>
      <c r="J19" s="151"/>
      <c r="K19" s="30"/>
    </row>
    <row r="20" spans="2:18" ht="15" x14ac:dyDescent="0.35">
      <c r="B20" s="26"/>
      <c r="C20" s="26"/>
      <c r="D20" s="26"/>
      <c r="E20" s="26"/>
      <c r="F20" s="26"/>
      <c r="G20" s="26"/>
      <c r="H20" s="28" t="s">
        <v>92</v>
      </c>
      <c r="I20" s="27" t="s">
        <v>91</v>
      </c>
      <c r="J20" s="27" t="s">
        <v>90</v>
      </c>
      <c r="K20" s="27"/>
      <c r="L20" s="27"/>
      <c r="M20" s="26"/>
      <c r="N20" s="26"/>
      <c r="Q20" s="174"/>
      <c r="R20" s="174"/>
    </row>
    <row r="21" spans="2:18" ht="15" x14ac:dyDescent="0.35">
      <c r="B21" s="23" t="s">
        <v>89</v>
      </c>
      <c r="C21" s="23" t="s">
        <v>88</v>
      </c>
      <c r="D21" s="23" t="s">
        <v>87</v>
      </c>
      <c r="E21" s="23" t="s">
        <v>86</v>
      </c>
      <c r="F21" s="23" t="s">
        <v>85</v>
      </c>
      <c r="G21" s="23" t="s">
        <v>84</v>
      </c>
      <c r="H21" s="25" t="s">
        <v>83</v>
      </c>
      <c r="I21" s="24" t="s">
        <v>83</v>
      </c>
      <c r="J21" s="24" t="s">
        <v>75</v>
      </c>
      <c r="K21" s="24" t="s">
        <v>73</v>
      </c>
      <c r="L21" s="24" t="s">
        <v>82</v>
      </c>
      <c r="M21" s="23" t="s">
        <v>81</v>
      </c>
      <c r="N21" s="23" t="s">
        <v>80</v>
      </c>
    </row>
    <row r="22" spans="2:18" x14ac:dyDescent="0.2">
      <c r="B22" s="21" t="s">
        <v>418</v>
      </c>
      <c r="C22" s="20" t="s">
        <v>60</v>
      </c>
      <c r="D22" s="18" t="e">
        <f ca="1">_xll.BDP(C22,"SECURITY_NAME")</f>
        <v>#NAME?</v>
      </c>
      <c r="E22" s="18" t="s">
        <v>50</v>
      </c>
      <c r="F22" s="19">
        <v>250000</v>
      </c>
      <c r="G22" s="18" t="e">
        <f ca="1">_xll.BDP(C22,"CRNCY")</f>
        <v>#NAME?</v>
      </c>
      <c r="H22" s="22">
        <v>104</v>
      </c>
      <c r="I22" s="15">
        <f>F22*H22/100</f>
        <v>260000</v>
      </c>
      <c r="J22" s="16">
        <f>I22</f>
        <v>260000</v>
      </c>
      <c r="K22" s="15" t="e">
        <f ca="1">J22*L22</f>
        <v>#NAME?</v>
      </c>
      <c r="L22" s="140" t="e">
        <f ca="1">_xll.BDH("RUB curncy","PX_LAST",$N22)</f>
        <v>#NAME?</v>
      </c>
      <c r="M22" s="85" t="e">
        <f ca="1">1/_xll.BDH("RUB curncy","PX_LAST",$N22)</f>
        <v>#NAME?</v>
      </c>
      <c r="N22" s="14">
        <v>42388</v>
      </c>
    </row>
    <row r="23" spans="2:18" x14ac:dyDescent="0.2">
      <c r="B23" s="160"/>
      <c r="D23" s="87"/>
      <c r="E23" s="87"/>
      <c r="F23" s="79">
        <f>SUM(F22)</f>
        <v>250000</v>
      </c>
      <c r="G23" s="87"/>
      <c r="H23" s="80">
        <f>I23/F23*100</f>
        <v>104</v>
      </c>
      <c r="I23" s="79">
        <f>SUM(I22)</f>
        <v>260000</v>
      </c>
      <c r="J23" s="79">
        <f>SUM(J22)</f>
        <v>260000</v>
      </c>
      <c r="K23" s="79" t="e">
        <f ca="1">SUM(K22)</f>
        <v>#NAME?</v>
      </c>
      <c r="L23" s="88"/>
      <c r="M23" s="158"/>
      <c r="N23" s="157"/>
    </row>
    <row r="24" spans="2:18" x14ac:dyDescent="0.2">
      <c r="B24" s="71"/>
      <c r="C24" s="33"/>
      <c r="D24" s="73"/>
      <c r="E24" s="73"/>
      <c r="F24" s="74"/>
      <c r="G24" s="73"/>
      <c r="H24" s="75"/>
      <c r="I24" s="74"/>
      <c r="J24" s="74"/>
      <c r="K24" s="74"/>
      <c r="L24" s="139"/>
      <c r="M24" s="86"/>
      <c r="N24" s="14"/>
    </row>
    <row r="25" spans="2:18" x14ac:dyDescent="0.2">
      <c r="B25" s="21" t="s">
        <v>418</v>
      </c>
      <c r="C25" s="20" t="s">
        <v>653</v>
      </c>
      <c r="D25" s="18" t="e">
        <f ca="1">_xll.BDP(C25,"SECURITY_NAME")</f>
        <v>#NAME?</v>
      </c>
      <c r="E25" s="18" t="s">
        <v>50</v>
      </c>
      <c r="F25" s="19">
        <v>250000</v>
      </c>
      <c r="G25" s="18" t="e">
        <f ca="1">_xll.BDP(C25,"CRNCY")</f>
        <v>#NAME?</v>
      </c>
      <c r="H25" s="22">
        <v>91.5</v>
      </c>
      <c r="I25" s="15">
        <f>F25*H25/100</f>
        <v>228750</v>
      </c>
      <c r="J25" s="16">
        <f>I25</f>
        <v>228750</v>
      </c>
      <c r="K25" s="15" t="e">
        <f ca="1">J25*L25</f>
        <v>#NAME?</v>
      </c>
      <c r="L25" s="140" t="e">
        <f ca="1">_xll.BDH("RUB curncy","PX_LAST",$N25)</f>
        <v>#NAME?</v>
      </c>
      <c r="M25" s="85" t="e">
        <f ca="1">1/_xll.BDH("RUB curncy","PX_LAST",$N25)</f>
        <v>#NAME?</v>
      </c>
      <c r="N25" s="14">
        <v>42388</v>
      </c>
    </row>
    <row r="26" spans="2:18" x14ac:dyDescent="0.2">
      <c r="B26" s="160"/>
      <c r="D26" s="87"/>
      <c r="E26" s="87"/>
      <c r="F26" s="79">
        <f>SUM(F24:F25)</f>
        <v>250000</v>
      </c>
      <c r="G26" s="87"/>
      <c r="H26" s="80">
        <f>I26/F26*100</f>
        <v>91.5</v>
      </c>
      <c r="I26" s="79">
        <f>SUM(I24:I25)</f>
        <v>228750</v>
      </c>
      <c r="J26" s="79">
        <f>SUM(J24:J25)</f>
        <v>228750</v>
      </c>
      <c r="K26" s="79" t="e">
        <f ca="1">SUM(K24:K25)</f>
        <v>#NAME?</v>
      </c>
      <c r="L26" s="88"/>
      <c r="M26" s="158"/>
      <c r="N26" s="157"/>
    </row>
    <row r="27" spans="2:18" x14ac:dyDescent="0.2">
      <c r="B27" s="160"/>
      <c r="D27" s="87"/>
      <c r="E27" s="87"/>
      <c r="F27" s="79"/>
      <c r="G27" s="87"/>
      <c r="H27" s="80"/>
      <c r="I27" s="79"/>
      <c r="J27" s="79"/>
      <c r="K27" s="79"/>
      <c r="L27" s="88"/>
      <c r="M27" s="158"/>
      <c r="N27" s="157"/>
    </row>
    <row r="28" spans="2:18" x14ac:dyDescent="0.2">
      <c r="B28" s="21" t="s">
        <v>418</v>
      </c>
      <c r="C28" s="20" t="s">
        <v>166</v>
      </c>
      <c r="D28" s="18" t="e">
        <f ca="1">_xll.BDP(C28,"SECURITY_NAME")</f>
        <v>#NAME?</v>
      </c>
      <c r="E28" s="18" t="s">
        <v>50</v>
      </c>
      <c r="F28" s="19">
        <v>250000</v>
      </c>
      <c r="G28" s="18" t="e">
        <f ca="1">_xll.BDP(C28,"CRNCY")</f>
        <v>#NAME?</v>
      </c>
      <c r="H28" s="22">
        <v>96</v>
      </c>
      <c r="I28" s="15">
        <f>F28*H28/100</f>
        <v>240000</v>
      </c>
      <c r="J28" s="16">
        <f>I28</f>
        <v>240000</v>
      </c>
      <c r="K28" s="15" t="e">
        <f ca="1">J28*L28</f>
        <v>#NAME?</v>
      </c>
      <c r="L28" s="140" t="e">
        <f ca="1">_xll.BDH("RUB curncy","PX_LAST",$N28)</f>
        <v>#NAME?</v>
      </c>
      <c r="M28" s="85" t="e">
        <f ca="1">1/_xll.BDH("RUB curncy","PX_LAST",$N28)</f>
        <v>#NAME?</v>
      </c>
      <c r="N28" s="14">
        <v>42388</v>
      </c>
    </row>
    <row r="29" spans="2:18" x14ac:dyDescent="0.2">
      <c r="B29" s="160"/>
      <c r="D29" s="87"/>
      <c r="E29" s="87"/>
      <c r="F29" s="79">
        <f>SUM(F28:F28)</f>
        <v>250000</v>
      </c>
      <c r="G29" s="87"/>
      <c r="H29" s="80">
        <f>I29/F29*100</f>
        <v>96</v>
      </c>
      <c r="I29" s="79">
        <f>SUM(I28:I28)</f>
        <v>240000</v>
      </c>
      <c r="J29" s="79">
        <f>SUM(J28:J28)</f>
        <v>240000</v>
      </c>
      <c r="K29" s="79" t="e">
        <f ca="1">SUM(K28:K28)</f>
        <v>#NAME?</v>
      </c>
      <c r="L29" s="88"/>
      <c r="M29" s="158"/>
      <c r="N29" s="157"/>
    </row>
    <row r="30" spans="2:18" x14ac:dyDescent="0.2">
      <c r="B30" s="21"/>
      <c r="C30" s="20"/>
      <c r="D30" s="18"/>
      <c r="E30" s="18"/>
      <c r="F30" s="19"/>
      <c r="G30" s="18"/>
      <c r="H30" s="22"/>
      <c r="I30" s="15"/>
      <c r="J30" s="16"/>
      <c r="K30" s="15"/>
      <c r="L30" s="140"/>
      <c r="M30" s="85"/>
      <c r="N30" s="14"/>
    </row>
    <row r="31" spans="2:18" x14ac:dyDescent="0.2">
      <c r="B31" s="21" t="s">
        <v>418</v>
      </c>
      <c r="C31" s="20" t="s">
        <v>373</v>
      </c>
      <c r="D31" s="18" t="e">
        <f ca="1">_xll.BDP(C31,"SECURITY_NAME")</f>
        <v>#NAME?</v>
      </c>
      <c r="E31" s="18" t="s">
        <v>50</v>
      </c>
      <c r="F31" s="19">
        <v>250000</v>
      </c>
      <c r="G31" s="18" t="e">
        <f ca="1">_xll.BDP(C31,"CRNCY")</f>
        <v>#NAME?</v>
      </c>
      <c r="H31" s="22">
        <v>97.5</v>
      </c>
      <c r="I31" s="15">
        <f>F31*H31/100</f>
        <v>243750</v>
      </c>
      <c r="J31" s="16">
        <f>I31</f>
        <v>243750</v>
      </c>
      <c r="K31" s="15" t="e">
        <f ca="1">J31*L31</f>
        <v>#NAME?</v>
      </c>
      <c r="L31" s="140" t="e">
        <f ca="1">_xll.BDH("RUB curncy","PX_LAST",$N31)</f>
        <v>#NAME?</v>
      </c>
      <c r="M31" s="85" t="e">
        <f ca="1">1/_xll.BDH("RUB curncy","PX_LAST",$N31)</f>
        <v>#NAME?</v>
      </c>
      <c r="N31" s="14">
        <v>42388</v>
      </c>
    </row>
    <row r="32" spans="2:18" x14ac:dyDescent="0.2">
      <c r="B32" s="160"/>
      <c r="D32" s="87"/>
      <c r="E32" s="87"/>
      <c r="F32" s="79">
        <f>SUM(F31:F31)</f>
        <v>250000</v>
      </c>
      <c r="G32" s="87"/>
      <c r="H32" s="80">
        <f>I32/F32*100</f>
        <v>97.5</v>
      </c>
      <c r="I32" s="79">
        <f>SUM(I31:I31)</f>
        <v>243750</v>
      </c>
      <c r="J32" s="79">
        <f>SUM(J31:J31)</f>
        <v>243750</v>
      </c>
      <c r="K32" s="79" t="e">
        <f ca="1">SUM(K31:K31)</f>
        <v>#NAME?</v>
      </c>
      <c r="L32" s="88"/>
      <c r="M32" s="158"/>
      <c r="N32" s="157"/>
    </row>
    <row r="33" spans="2:14" x14ac:dyDescent="0.2">
      <c r="B33" s="160"/>
      <c r="C33" s="159"/>
      <c r="D33" s="87"/>
      <c r="E33" s="87"/>
      <c r="F33" s="79"/>
      <c r="G33" s="87"/>
      <c r="H33" s="99"/>
      <c r="I33" s="79"/>
      <c r="J33" s="79"/>
      <c r="K33" s="79"/>
      <c r="L33" s="88"/>
      <c r="M33" s="158"/>
      <c r="N33" s="157"/>
    </row>
    <row r="34" spans="2:14" x14ac:dyDescent="0.2">
      <c r="B34" s="167"/>
      <c r="C34" s="166"/>
      <c r="D34" s="165"/>
      <c r="E34" s="165"/>
      <c r="F34" s="96"/>
      <c r="G34" s="165"/>
      <c r="H34" s="97"/>
      <c r="I34" s="163"/>
      <c r="J34" s="164"/>
      <c r="K34" s="163"/>
      <c r="L34" s="162"/>
      <c r="M34" s="161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160"/>
      <c r="C36" s="159"/>
      <c r="D36" s="87"/>
      <c r="E36" s="87"/>
      <c r="F36" s="79"/>
      <c r="G36" s="87"/>
      <c r="H36" s="99"/>
      <c r="I36" s="79"/>
      <c r="J36" s="79"/>
      <c r="K36" s="79"/>
      <c r="L36" s="88"/>
      <c r="M36" s="158"/>
      <c r="N36" s="157"/>
    </row>
    <row r="37" spans="2:14" x14ac:dyDescent="0.2">
      <c r="B37" s="167"/>
      <c r="C37" s="166"/>
      <c r="D37" s="165"/>
      <c r="E37" s="165"/>
      <c r="F37" s="96"/>
      <c r="G37" s="165"/>
      <c r="H37" s="97"/>
      <c r="I37" s="163"/>
      <c r="J37" s="164"/>
      <c r="K37" s="163"/>
      <c r="L37" s="162"/>
      <c r="M37" s="161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160"/>
      <c r="C39" s="159"/>
      <c r="D39" s="87"/>
      <c r="E39" s="87"/>
      <c r="F39" s="79"/>
      <c r="G39" s="87"/>
      <c r="H39" s="99"/>
      <c r="I39" s="79"/>
      <c r="J39" s="79"/>
      <c r="K39" s="79"/>
      <c r="L39" s="88"/>
      <c r="M39" s="158"/>
      <c r="N39" s="157"/>
    </row>
    <row r="40" spans="2:14" x14ac:dyDescent="0.2">
      <c r="B40" s="167"/>
      <c r="C40" s="166"/>
      <c r="D40" s="165"/>
      <c r="E40" s="165"/>
      <c r="F40" s="96"/>
      <c r="G40" s="165"/>
      <c r="H40" s="97"/>
      <c r="I40" s="163"/>
      <c r="J40" s="164"/>
      <c r="K40" s="163"/>
      <c r="L40" s="162"/>
      <c r="M40" s="161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160"/>
      <c r="C42" s="159"/>
      <c r="D42" s="87"/>
      <c r="E42" s="87"/>
      <c r="F42" s="79"/>
      <c r="G42" s="87"/>
      <c r="H42" s="99"/>
      <c r="I42" s="79"/>
      <c r="J42" s="79"/>
      <c r="K42" s="79"/>
      <c r="L42" s="88"/>
      <c r="M42" s="158"/>
      <c r="N42" s="157"/>
    </row>
    <row r="43" spans="2:14" x14ac:dyDescent="0.2">
      <c r="B43" s="167"/>
      <c r="C43" s="166"/>
      <c r="D43" s="165"/>
      <c r="E43" s="165"/>
      <c r="F43" s="96"/>
      <c r="G43" s="165"/>
      <c r="H43" s="97"/>
      <c r="I43" s="163"/>
      <c r="J43" s="164"/>
      <c r="K43" s="163"/>
      <c r="L43" s="162"/>
      <c r="M43" s="161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160"/>
      <c r="C45" s="159"/>
      <c r="D45" s="87"/>
      <c r="E45" s="87"/>
      <c r="F45" s="79"/>
      <c r="G45" s="87"/>
      <c r="H45" s="99"/>
      <c r="I45" s="79"/>
      <c r="J45" s="79"/>
      <c r="K45" s="79"/>
      <c r="L45" s="88"/>
      <c r="M45" s="158"/>
      <c r="N45" s="157"/>
    </row>
    <row r="46" spans="2:14" x14ac:dyDescent="0.2">
      <c r="B46" s="167"/>
      <c r="C46" s="166"/>
      <c r="D46" s="165"/>
      <c r="E46" s="165"/>
      <c r="F46" s="96"/>
      <c r="G46" s="165"/>
      <c r="H46" s="97"/>
      <c r="I46" s="163"/>
      <c r="J46" s="164"/>
      <c r="K46" s="163"/>
      <c r="L46" s="162"/>
      <c r="M46" s="161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160"/>
      <c r="C48" s="159"/>
      <c r="D48" s="87"/>
      <c r="E48" s="87"/>
      <c r="F48" s="79"/>
      <c r="G48" s="87"/>
      <c r="H48" s="99"/>
      <c r="I48" s="79"/>
      <c r="J48" s="79"/>
      <c r="K48" s="79"/>
      <c r="L48" s="88"/>
      <c r="M48" s="158"/>
      <c r="N48" s="157"/>
    </row>
    <row r="49" spans="2:14" x14ac:dyDescent="0.2">
      <c r="B49" s="167"/>
      <c r="C49" s="166"/>
      <c r="D49" s="165"/>
      <c r="E49" s="165"/>
      <c r="F49" s="96"/>
      <c r="G49" s="165"/>
      <c r="H49" s="97"/>
      <c r="I49" s="163"/>
      <c r="J49" s="164"/>
      <c r="K49" s="163"/>
      <c r="L49" s="162"/>
      <c r="M49" s="161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160"/>
      <c r="C51" s="159"/>
      <c r="D51" s="87"/>
      <c r="E51" s="87"/>
      <c r="F51" s="79"/>
      <c r="G51" s="87"/>
      <c r="H51" s="99"/>
      <c r="I51" s="79"/>
      <c r="J51" s="79"/>
      <c r="K51" s="79"/>
      <c r="L51" s="88"/>
      <c r="M51" s="158"/>
      <c r="N51" s="157"/>
    </row>
    <row r="52" spans="2:14" x14ac:dyDescent="0.2">
      <c r="B52" s="167"/>
      <c r="C52" s="166"/>
      <c r="D52" s="165"/>
      <c r="E52" s="165"/>
      <c r="F52" s="96"/>
      <c r="G52" s="165"/>
      <c r="H52" s="97"/>
      <c r="I52" s="163"/>
      <c r="J52" s="164"/>
      <c r="K52" s="163"/>
      <c r="L52" s="162"/>
      <c r="M52" s="161"/>
      <c r="N52" s="157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160"/>
      <c r="C54" s="159"/>
      <c r="D54" s="87"/>
      <c r="E54" s="87"/>
      <c r="F54" s="79"/>
      <c r="G54" s="87"/>
      <c r="H54" s="99"/>
      <c r="I54" s="79"/>
      <c r="J54" s="79"/>
      <c r="K54" s="79"/>
      <c r="L54" s="88"/>
      <c r="M54" s="158"/>
      <c r="N54" s="157"/>
    </row>
    <row r="55" spans="2:14" x14ac:dyDescent="0.2">
      <c r="B55" s="167"/>
      <c r="C55" s="166"/>
      <c r="D55" s="165"/>
      <c r="E55" s="165"/>
      <c r="F55" s="96"/>
      <c r="G55" s="165"/>
      <c r="H55" s="97"/>
      <c r="I55" s="163"/>
      <c r="J55" s="164"/>
      <c r="K55" s="163"/>
      <c r="L55" s="162"/>
      <c r="M55" s="161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160"/>
      <c r="C57" s="159"/>
      <c r="D57" s="87"/>
      <c r="E57" s="87"/>
      <c r="F57" s="79"/>
      <c r="G57" s="87"/>
      <c r="H57" s="99"/>
      <c r="I57" s="79"/>
      <c r="J57" s="79"/>
      <c r="K57" s="79"/>
      <c r="L57" s="88"/>
      <c r="M57" s="158"/>
      <c r="N57" s="157"/>
    </row>
    <row r="58" spans="2:14" x14ac:dyDescent="0.2">
      <c r="B58" s="167"/>
      <c r="C58" s="166"/>
      <c r="D58" s="165"/>
      <c r="E58" s="165"/>
      <c r="F58" s="96"/>
      <c r="G58" s="165"/>
      <c r="H58" s="97"/>
      <c r="I58" s="163"/>
      <c r="J58" s="164"/>
      <c r="K58" s="163"/>
      <c r="L58" s="162"/>
      <c r="M58" s="161"/>
      <c r="N58" s="157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160"/>
      <c r="C60" s="159"/>
      <c r="D60" s="87"/>
      <c r="E60" s="87"/>
      <c r="F60" s="79"/>
      <c r="G60" s="87"/>
      <c r="H60" s="99"/>
      <c r="I60" s="79"/>
      <c r="J60" s="79"/>
      <c r="K60" s="79"/>
      <c r="L60" s="88"/>
      <c r="M60" s="158"/>
      <c r="N60" s="157"/>
    </row>
    <row r="61" spans="2:14" x14ac:dyDescent="0.2">
      <c r="B61" s="167"/>
      <c r="C61" s="166"/>
      <c r="D61" s="165"/>
      <c r="E61" s="165"/>
      <c r="F61" s="96"/>
      <c r="G61" s="165"/>
      <c r="H61" s="97"/>
      <c r="I61" s="163"/>
      <c r="J61" s="164"/>
      <c r="K61" s="163"/>
      <c r="L61" s="162"/>
      <c r="M61" s="161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0"/>
      <c r="C65" s="159"/>
      <c r="D65" s="87"/>
      <c r="E65" s="87"/>
      <c r="F65" s="79"/>
      <c r="G65" s="87"/>
      <c r="H65" s="99"/>
      <c r="I65" s="79"/>
      <c r="J65" s="79"/>
      <c r="K65" s="79"/>
      <c r="L65" s="88"/>
      <c r="M65" s="158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7" spans="2:14" x14ac:dyDescent="0.2">
      <c r="B67" s="167"/>
      <c r="C67" s="166"/>
      <c r="D67" s="165"/>
      <c r="E67" s="165"/>
      <c r="F67" s="96"/>
      <c r="G67" s="165"/>
      <c r="H67" s="97"/>
      <c r="I67" s="163"/>
      <c r="J67" s="164"/>
      <c r="K67" s="163"/>
      <c r="L67" s="162"/>
      <c r="M67" s="161"/>
      <c r="N67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0"/>
      <c r="C72" s="159"/>
      <c r="D72" s="87"/>
      <c r="E72" s="87"/>
      <c r="F72" s="79"/>
      <c r="G72" s="87"/>
      <c r="H72" s="99"/>
      <c r="I72" s="79"/>
      <c r="J72" s="79"/>
      <c r="K72" s="79"/>
      <c r="L72" s="88"/>
      <c r="M72" s="158"/>
      <c r="N72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7"/>
      <c r="C77" s="166"/>
      <c r="D77" s="165"/>
      <c r="E77" s="165"/>
      <c r="F77" s="96"/>
      <c r="G77" s="165"/>
      <c r="H77" s="97"/>
      <c r="I77" s="163"/>
      <c r="J77" s="164"/>
      <c r="K77" s="163"/>
      <c r="L77" s="162"/>
      <c r="M77" s="161"/>
      <c r="N77" s="157"/>
    </row>
    <row r="78" spans="2:14" x14ac:dyDescent="0.2">
      <c r="B78" s="167"/>
      <c r="C78" s="166"/>
      <c r="D78" s="165"/>
      <c r="E78" s="165"/>
      <c r="F78" s="96"/>
      <c r="G78" s="165"/>
      <c r="H78" s="97"/>
      <c r="I78" s="163"/>
      <c r="J78" s="164"/>
      <c r="K78" s="163"/>
      <c r="L78" s="162"/>
      <c r="M78" s="161"/>
      <c r="N78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D80" s="87"/>
      <c r="E80" s="87"/>
      <c r="F80" s="79"/>
      <c r="G80" s="87"/>
      <c r="H80" s="80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99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C92" s="159"/>
      <c r="D92" s="87"/>
      <c r="E92" s="87"/>
      <c r="F92" s="79"/>
      <c r="G92" s="87"/>
      <c r="H92" s="10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0"/>
      <c r="D95" s="87"/>
      <c r="E95" s="87"/>
      <c r="F95" s="79"/>
      <c r="G95" s="87"/>
      <c r="H95" s="80"/>
      <c r="I95" s="79"/>
      <c r="J95" s="79"/>
      <c r="K95" s="79"/>
      <c r="L95" s="88"/>
      <c r="M95" s="158"/>
      <c r="N95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B100" s="167"/>
      <c r="C100" s="166"/>
      <c r="D100" s="165"/>
      <c r="E100" s="165"/>
      <c r="F100" s="96"/>
      <c r="G100" s="165"/>
      <c r="H100" s="97"/>
      <c r="I100" s="163"/>
      <c r="J100" s="164"/>
      <c r="K100" s="163"/>
      <c r="L100" s="162"/>
      <c r="M100" s="161"/>
      <c r="N100" s="157"/>
    </row>
    <row r="101" spans="2:14" x14ac:dyDescent="0.2">
      <c r="B101" s="167"/>
      <c r="C101" s="166"/>
      <c r="D101" s="165"/>
      <c r="E101" s="165"/>
      <c r="F101" s="96"/>
      <c r="G101" s="165"/>
      <c r="H101" s="97"/>
      <c r="I101" s="163"/>
      <c r="J101" s="164"/>
      <c r="K101" s="163"/>
      <c r="L101" s="162"/>
      <c r="M101" s="161"/>
      <c r="N101" s="157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F103" s="79"/>
      <c r="H103" s="80"/>
      <c r="I103" s="79"/>
      <c r="J103" s="79"/>
      <c r="K103" s="79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0"/>
      <c r="D106" s="87"/>
      <c r="E106" s="87"/>
      <c r="F106" s="79"/>
      <c r="G106" s="87"/>
      <c r="H106" s="80"/>
      <c r="I106" s="79"/>
      <c r="J106" s="79"/>
      <c r="K106" s="79"/>
      <c r="L106" s="88"/>
      <c r="M106" s="158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8" spans="2:14" x14ac:dyDescent="0.2">
      <c r="B108" s="167"/>
      <c r="C108" s="166"/>
      <c r="D108" s="165"/>
      <c r="E108" s="165"/>
      <c r="F108" s="96"/>
      <c r="G108" s="165"/>
      <c r="H108" s="97"/>
      <c r="I108" s="163"/>
      <c r="J108" s="164"/>
      <c r="K108" s="163"/>
      <c r="L108" s="162"/>
      <c r="M108" s="161"/>
      <c r="N108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0"/>
      <c r="D110" s="87"/>
      <c r="E110" s="87"/>
      <c r="F110" s="79"/>
      <c r="G110" s="87"/>
      <c r="H110" s="80"/>
      <c r="I110" s="79"/>
      <c r="J110" s="79"/>
      <c r="K110" s="79"/>
      <c r="L110" s="88"/>
      <c r="M110" s="158"/>
      <c r="N110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167"/>
      <c r="C116" s="166"/>
      <c r="D116" s="165"/>
      <c r="E116" s="165"/>
      <c r="F116" s="96"/>
      <c r="G116" s="165"/>
      <c r="H116" s="97"/>
      <c r="I116" s="163"/>
      <c r="J116" s="164"/>
      <c r="K116" s="163"/>
      <c r="L116" s="162"/>
      <c r="M116" s="161"/>
      <c r="N116" s="157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F118" s="79"/>
      <c r="H118" s="80"/>
      <c r="I118" s="79"/>
      <c r="J118" s="79"/>
      <c r="K118" s="79"/>
    </row>
    <row r="120" spans="2:14" x14ac:dyDescent="0.2">
      <c r="B120" s="167"/>
      <c r="C120" s="166"/>
      <c r="D120" s="165"/>
      <c r="E120" s="165"/>
      <c r="F120" s="96"/>
      <c r="G120" s="165"/>
      <c r="H120" s="97"/>
      <c r="I120" s="163"/>
      <c r="J120" s="164"/>
      <c r="K120" s="163"/>
      <c r="L120" s="162"/>
      <c r="M120" s="161"/>
      <c r="N120" s="157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F122" s="79"/>
      <c r="G122" s="79"/>
      <c r="H122" s="80"/>
      <c r="I122" s="79"/>
      <c r="J122" s="79"/>
      <c r="K122" s="79"/>
    </row>
    <row r="123" spans="2:14" x14ac:dyDescent="0.2">
      <c r="G123" s="79"/>
      <c r="H123" s="80"/>
      <c r="I123" s="79"/>
      <c r="J123" s="79"/>
      <c r="K123" s="79"/>
    </row>
    <row r="124" spans="2:14" x14ac:dyDescent="0.2">
      <c r="B124" s="167"/>
      <c r="C124" s="166"/>
      <c r="D124" s="165"/>
      <c r="E124" s="165"/>
      <c r="F124" s="96"/>
      <c r="G124" s="165"/>
      <c r="H124" s="97"/>
      <c r="I124" s="163"/>
      <c r="J124" s="164"/>
      <c r="K124" s="163"/>
      <c r="L124" s="162"/>
      <c r="M124" s="161"/>
      <c r="N124" s="157"/>
    </row>
    <row r="125" spans="2:14" x14ac:dyDescent="0.2">
      <c r="B125" s="167"/>
      <c r="C125" s="166"/>
      <c r="D125" s="165"/>
      <c r="E125" s="165"/>
      <c r="F125" s="96"/>
      <c r="G125" s="165"/>
      <c r="H125" s="97"/>
      <c r="I125" s="163"/>
      <c r="J125" s="164"/>
      <c r="K125" s="163"/>
      <c r="L125" s="162"/>
      <c r="M125" s="161"/>
      <c r="N125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79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0"/>
      <c r="C130" s="159"/>
      <c r="D130" s="87"/>
      <c r="E130" s="87"/>
      <c r="F130" s="79"/>
      <c r="G130" s="87"/>
      <c r="H130" s="80"/>
      <c r="I130" s="79"/>
      <c r="J130" s="79"/>
      <c r="K130" s="79"/>
      <c r="L130" s="88"/>
      <c r="M130" s="158"/>
      <c r="N130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7"/>
      <c r="C133" s="166"/>
      <c r="D133" s="165"/>
      <c r="E133" s="165"/>
      <c r="F133" s="96"/>
      <c r="G133" s="165"/>
      <c r="H133" s="97"/>
      <c r="I133" s="163"/>
      <c r="J133" s="164"/>
      <c r="K133" s="163"/>
      <c r="L133" s="162"/>
      <c r="M133" s="161"/>
      <c r="N133" s="157"/>
    </row>
    <row r="134" spans="2:14" x14ac:dyDescent="0.2">
      <c r="B134" s="167"/>
      <c r="C134" s="166"/>
      <c r="D134" s="165"/>
      <c r="E134" s="165"/>
      <c r="F134" s="96"/>
      <c r="G134" s="165"/>
      <c r="H134" s="97"/>
      <c r="I134" s="163"/>
      <c r="J134" s="164"/>
      <c r="K134" s="163"/>
      <c r="L134" s="162"/>
      <c r="M134" s="161"/>
      <c r="N134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0"/>
      <c r="C136" s="159"/>
      <c r="D136" s="87"/>
      <c r="E136" s="87"/>
      <c r="F136" s="79"/>
      <c r="G136" s="87"/>
      <c r="H136" s="80"/>
      <c r="I136" s="79"/>
      <c r="J136" s="79"/>
      <c r="K136" s="79"/>
      <c r="L136" s="88"/>
      <c r="M136" s="158"/>
      <c r="N136" s="157"/>
    </row>
    <row r="138" spans="2:14" x14ac:dyDescent="0.2">
      <c r="B138" s="167"/>
      <c r="C138" s="166"/>
      <c r="D138" s="165"/>
      <c r="E138" s="165"/>
      <c r="F138" s="96"/>
      <c r="G138" s="165"/>
      <c r="H138" s="97"/>
      <c r="I138" s="163"/>
      <c r="J138" s="164"/>
      <c r="K138" s="163"/>
      <c r="L138" s="162"/>
      <c r="M138" s="161"/>
      <c r="N138" s="157"/>
    </row>
    <row r="139" spans="2:14" x14ac:dyDescent="0.2">
      <c r="B139" s="167"/>
      <c r="C139" s="166"/>
      <c r="D139" s="165"/>
      <c r="E139" s="165"/>
      <c r="F139" s="96"/>
      <c r="G139" s="165"/>
      <c r="H139" s="97"/>
      <c r="I139" s="163"/>
      <c r="J139" s="164"/>
      <c r="K139" s="163"/>
      <c r="L139" s="162"/>
      <c r="M139" s="161"/>
      <c r="N139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80"/>
      <c r="I141" s="79"/>
      <c r="J141" s="79"/>
      <c r="K141" s="79"/>
      <c r="L141" s="88"/>
      <c r="M141" s="158"/>
      <c r="N141" s="157"/>
    </row>
    <row r="143" spans="2:14" x14ac:dyDescent="0.2">
      <c r="B143" s="167"/>
      <c r="C143" s="166"/>
      <c r="D143" s="165"/>
      <c r="E143" s="165"/>
      <c r="F143" s="96"/>
      <c r="G143" s="165"/>
      <c r="H143" s="97"/>
      <c r="I143" s="163"/>
      <c r="J143" s="164"/>
      <c r="K143" s="163"/>
      <c r="L143" s="162"/>
      <c r="M143" s="161"/>
      <c r="N143" s="157"/>
    </row>
    <row r="144" spans="2:14" x14ac:dyDescent="0.2">
      <c r="B144" s="167"/>
      <c r="C144" s="166"/>
      <c r="D144" s="165"/>
      <c r="E144" s="165"/>
      <c r="F144" s="96"/>
      <c r="G144" s="165"/>
      <c r="H144" s="97"/>
      <c r="I144" s="163"/>
      <c r="J144" s="164"/>
      <c r="K144" s="163"/>
      <c r="L144" s="162"/>
      <c r="M144" s="161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0"/>
      <c r="C146" s="159"/>
      <c r="D146" s="87"/>
      <c r="E146" s="87"/>
      <c r="F146" s="79"/>
      <c r="G146" s="87"/>
      <c r="H146" s="79"/>
      <c r="I146" s="79"/>
      <c r="J146" s="79"/>
      <c r="K146" s="79"/>
      <c r="L146" s="88"/>
      <c r="M146" s="158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80"/>
      <c r="I147" s="79"/>
      <c r="J147" s="79"/>
      <c r="K147" s="79"/>
      <c r="L147" s="88"/>
      <c r="M147" s="158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7"/>
      <c r="C154" s="166"/>
      <c r="D154" s="165"/>
      <c r="E154" s="165"/>
      <c r="F154" s="96"/>
      <c r="G154" s="165"/>
      <c r="H154" s="97"/>
      <c r="I154" s="163"/>
      <c r="J154" s="164"/>
      <c r="K154" s="163"/>
      <c r="L154" s="162"/>
      <c r="M154" s="161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8" spans="2:14" x14ac:dyDescent="0.2">
      <c r="B158" s="160"/>
      <c r="C158" s="159"/>
      <c r="D158" s="87"/>
      <c r="E158" s="87"/>
      <c r="F158" s="79"/>
      <c r="G158" s="87"/>
      <c r="H158" s="80"/>
      <c r="I158" s="79"/>
      <c r="J158" s="79"/>
      <c r="K158" s="79"/>
      <c r="L158" s="88"/>
      <c r="M158" s="158"/>
      <c r="N158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80"/>
      <c r="I160" s="79"/>
      <c r="J160" s="79"/>
      <c r="K160" s="79"/>
      <c r="L160" s="88"/>
      <c r="M160" s="158"/>
      <c r="N160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7"/>
      <c r="C163" s="166"/>
      <c r="D163" s="165"/>
      <c r="E163" s="165"/>
      <c r="F163" s="96"/>
      <c r="G163" s="165"/>
      <c r="H163" s="97"/>
      <c r="I163" s="163"/>
      <c r="J163" s="164"/>
      <c r="K163" s="163"/>
      <c r="L163" s="162"/>
      <c r="M163" s="161"/>
      <c r="N163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7" spans="2:14" x14ac:dyDescent="0.2">
      <c r="B167" s="167"/>
      <c r="C167" s="166"/>
      <c r="D167" s="165"/>
      <c r="E167" s="165"/>
      <c r="F167" s="96"/>
      <c r="G167" s="165"/>
      <c r="H167" s="97"/>
      <c r="I167" s="163"/>
      <c r="J167" s="164"/>
      <c r="K167" s="163"/>
      <c r="L167" s="162"/>
      <c r="M167" s="161"/>
      <c r="N167" s="157"/>
    </row>
    <row r="168" spans="2:14" x14ac:dyDescent="0.2">
      <c r="B168" s="160"/>
      <c r="C168" s="159"/>
      <c r="D168" s="87"/>
      <c r="E168" s="87"/>
      <c r="F168" s="79"/>
      <c r="G168" s="87"/>
      <c r="H168" s="80"/>
      <c r="I168" s="79"/>
      <c r="J168" s="79"/>
      <c r="K168" s="79"/>
      <c r="L168" s="88"/>
      <c r="M168" s="158"/>
      <c r="N168" s="157"/>
    </row>
    <row r="169" spans="2:14" x14ac:dyDescent="0.2">
      <c r="B169" s="160"/>
      <c r="C169" s="159"/>
      <c r="D169" s="87"/>
      <c r="E169" s="87"/>
      <c r="F169" s="79"/>
      <c r="G169" s="87"/>
      <c r="H169" s="80"/>
      <c r="I169" s="79"/>
      <c r="J169" s="79"/>
      <c r="K169" s="79"/>
      <c r="L169" s="88"/>
      <c r="M169" s="158"/>
      <c r="N169" s="157"/>
    </row>
    <row r="170" spans="2:14" x14ac:dyDescent="0.2">
      <c r="B170" s="160"/>
      <c r="C170" s="159"/>
      <c r="D170" s="87"/>
      <c r="E170" s="87"/>
      <c r="F170" s="79"/>
      <c r="G170" s="87"/>
      <c r="H170" s="80"/>
      <c r="I170" s="79"/>
      <c r="J170" s="79"/>
      <c r="K170" s="79"/>
      <c r="L170" s="88"/>
      <c r="M170" s="158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7"/>
      <c r="C174" s="166"/>
      <c r="D174" s="165"/>
      <c r="E174" s="165"/>
      <c r="F174" s="96"/>
      <c r="G174" s="165"/>
      <c r="H174" s="97"/>
      <c r="I174" s="163"/>
      <c r="J174" s="164"/>
      <c r="K174" s="163"/>
      <c r="L174" s="162"/>
      <c r="M174" s="161"/>
      <c r="N174" s="157"/>
    </row>
    <row r="175" spans="2:14" x14ac:dyDescent="0.2">
      <c r="B175" s="167"/>
      <c r="C175" s="166"/>
      <c r="D175" s="165"/>
      <c r="E175" s="165"/>
      <c r="F175" s="96"/>
      <c r="G175" s="165"/>
      <c r="H175" s="97"/>
      <c r="I175" s="163"/>
      <c r="J175" s="164"/>
      <c r="K175" s="163"/>
      <c r="L175" s="162"/>
      <c r="M175" s="161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8" spans="2:14" x14ac:dyDescent="0.2">
      <c r="B178" s="160"/>
      <c r="C178" s="159"/>
      <c r="D178" s="87"/>
      <c r="E178" s="87"/>
      <c r="F178" s="79"/>
      <c r="G178" s="87"/>
      <c r="H178" s="80"/>
      <c r="I178" s="79"/>
      <c r="J178" s="79"/>
      <c r="K178" s="79"/>
      <c r="L178" s="88"/>
      <c r="M178" s="158"/>
      <c r="N178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80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F183" s="79"/>
      <c r="H183" s="88"/>
      <c r="I183" s="79"/>
      <c r="J183" s="79"/>
      <c r="K183" s="79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0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0"/>
      <c r="C190" s="159"/>
      <c r="D190" s="87"/>
      <c r="E190" s="87"/>
      <c r="F190" s="79"/>
      <c r="G190" s="87"/>
      <c r="H190" s="88"/>
      <c r="I190" s="79"/>
      <c r="J190" s="79"/>
      <c r="K190" s="79"/>
      <c r="L190" s="88"/>
      <c r="M190" s="173"/>
      <c r="N190" s="157"/>
    </row>
    <row r="191" spans="2:14" x14ac:dyDescent="0.2">
      <c r="B191" s="160"/>
      <c r="C191" s="159"/>
      <c r="D191" s="87"/>
      <c r="E191" s="87"/>
      <c r="F191" s="79"/>
      <c r="G191" s="87"/>
      <c r="H191" s="80"/>
      <c r="I191" s="79"/>
      <c r="J191" s="79"/>
      <c r="K191" s="79"/>
      <c r="L191" s="88"/>
      <c r="M191" s="173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0"/>
      <c r="C205" s="159"/>
      <c r="D205" s="87"/>
      <c r="E205" s="87"/>
      <c r="F205" s="79"/>
      <c r="G205" s="87"/>
      <c r="H205" s="80"/>
      <c r="I205" s="79"/>
      <c r="J205" s="79"/>
      <c r="K205" s="79"/>
      <c r="L205" s="88"/>
      <c r="M205" s="158"/>
      <c r="N205" s="157"/>
    </row>
    <row r="206" spans="2:14" x14ac:dyDescent="0.2">
      <c r="B206" s="160"/>
      <c r="C206" s="159"/>
      <c r="D206" s="87"/>
      <c r="E206" s="87"/>
      <c r="F206" s="79"/>
      <c r="G206" s="87"/>
      <c r="H206" s="80"/>
      <c r="I206" s="168"/>
      <c r="J206" s="169"/>
      <c r="K206" s="168"/>
      <c r="L206" s="88"/>
      <c r="M206" s="158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B216" s="167"/>
      <c r="C216" s="166"/>
      <c r="D216" s="165"/>
      <c r="E216" s="165"/>
      <c r="F216" s="96"/>
      <c r="G216" s="165"/>
      <c r="H216" s="97"/>
      <c r="I216" s="163"/>
      <c r="J216" s="164"/>
      <c r="K216" s="163"/>
      <c r="L216" s="162"/>
      <c r="M216" s="161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73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79"/>
      <c r="J219" s="79"/>
      <c r="K219" s="79"/>
      <c r="L219" s="88"/>
      <c r="M219" s="173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80"/>
      <c r="I221" s="79"/>
      <c r="J221" s="79"/>
      <c r="K221" s="79"/>
      <c r="L221" s="88"/>
      <c r="M221" s="158"/>
      <c r="N221" s="157"/>
    </row>
    <row r="222" spans="2:14" x14ac:dyDescent="0.2">
      <c r="B222" s="160"/>
      <c r="C222" s="159"/>
      <c r="D222" s="87"/>
      <c r="E222" s="87"/>
      <c r="F222" s="79"/>
      <c r="G222" s="87"/>
      <c r="H222" s="80"/>
      <c r="I222" s="168"/>
      <c r="J222" s="169"/>
      <c r="K222" s="168"/>
      <c r="L222" s="88"/>
      <c r="M222" s="158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7"/>
      <c r="C224" s="166"/>
      <c r="D224" s="165"/>
      <c r="E224" s="165"/>
      <c r="F224" s="96"/>
      <c r="G224" s="165"/>
      <c r="H224" s="97"/>
      <c r="I224" s="163"/>
      <c r="J224" s="164"/>
      <c r="K224" s="163"/>
      <c r="L224" s="162"/>
      <c r="M224" s="161"/>
      <c r="N224" s="157"/>
    </row>
    <row r="225" spans="2:14" x14ac:dyDescent="0.2">
      <c r="B225" s="167"/>
      <c r="C225" s="166"/>
      <c r="D225" s="165"/>
      <c r="E225" s="165"/>
      <c r="F225" s="96"/>
      <c r="G225" s="165"/>
      <c r="H225" s="97"/>
      <c r="I225" s="163"/>
      <c r="J225" s="164"/>
      <c r="K225" s="163"/>
      <c r="L225" s="162"/>
      <c r="M225" s="161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0"/>
      <c r="C227" s="159"/>
      <c r="D227" s="87"/>
      <c r="E227" s="87"/>
      <c r="F227" s="79"/>
      <c r="G227" s="87"/>
      <c r="H227" s="80"/>
      <c r="I227" s="79"/>
      <c r="J227" s="79"/>
      <c r="K227" s="79"/>
      <c r="L227" s="88"/>
      <c r="M227" s="173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0"/>
      <c r="C231" s="159"/>
      <c r="D231" s="87"/>
      <c r="E231" s="87"/>
      <c r="F231" s="79"/>
      <c r="G231" s="87"/>
      <c r="H231" s="80"/>
      <c r="I231" s="79"/>
      <c r="J231" s="79"/>
      <c r="K231" s="79"/>
      <c r="L231" s="88"/>
      <c r="M231" s="173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73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73"/>
      <c r="N236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0"/>
      <c r="C239" s="159"/>
      <c r="D239" s="87"/>
      <c r="E239" s="87"/>
      <c r="F239" s="79"/>
      <c r="G239" s="87"/>
      <c r="H239" s="80"/>
      <c r="I239" s="79"/>
      <c r="J239" s="79"/>
      <c r="K239" s="79"/>
      <c r="L239" s="88"/>
      <c r="M239" s="158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80"/>
      <c r="I240" s="168"/>
      <c r="J240" s="169"/>
      <c r="K240" s="168"/>
      <c r="L240" s="88"/>
      <c r="M240" s="173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91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80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1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2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3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1"/>
      <c r="I249" s="163"/>
      <c r="J249" s="164"/>
      <c r="K249" s="163"/>
      <c r="L249" s="162"/>
      <c r="M249" s="161"/>
      <c r="N249" s="157"/>
    </row>
    <row r="250" spans="2:14" x14ac:dyDescent="0.2">
      <c r="B250" s="160"/>
      <c r="C250" s="159"/>
      <c r="D250" s="87"/>
      <c r="E250" s="87"/>
      <c r="F250" s="79"/>
      <c r="G250" s="87"/>
      <c r="H250" s="92"/>
      <c r="I250" s="79"/>
      <c r="J250" s="79"/>
      <c r="K250" s="79"/>
      <c r="L250" s="88"/>
      <c r="M250" s="158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2"/>
      <c r="I251" s="79"/>
      <c r="J251" s="79"/>
      <c r="K251" s="79"/>
      <c r="L251" s="88"/>
      <c r="M251" s="158"/>
      <c r="N251" s="157"/>
    </row>
    <row r="252" spans="2:14" x14ac:dyDescent="0.2">
      <c r="B252" s="167"/>
      <c r="C252" s="166"/>
      <c r="D252" s="165"/>
      <c r="E252" s="165"/>
      <c r="F252" s="96"/>
      <c r="G252" s="165"/>
      <c r="H252" s="170"/>
      <c r="I252" s="163"/>
      <c r="J252" s="164"/>
      <c r="K252" s="163"/>
      <c r="L252" s="162"/>
      <c r="M252" s="161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170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95"/>
      <c r="I254" s="79"/>
      <c r="J254" s="79"/>
      <c r="K254" s="79"/>
      <c r="L254" s="88"/>
      <c r="M254" s="158"/>
      <c r="N254" s="157"/>
    </row>
    <row r="255" spans="2:14" x14ac:dyDescent="0.2">
      <c r="B255" s="160"/>
      <c r="C255" s="159"/>
      <c r="D255" s="87"/>
      <c r="E255" s="87"/>
      <c r="F255" s="79"/>
      <c r="G255" s="87"/>
      <c r="H255" s="80"/>
      <c r="I255" s="168"/>
      <c r="J255" s="169"/>
      <c r="K255" s="168"/>
      <c r="L255" s="88"/>
      <c r="M255" s="158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0"/>
      <c r="C260" s="159"/>
      <c r="D260" s="87"/>
      <c r="E260" s="87"/>
      <c r="F260" s="79"/>
      <c r="G260" s="87"/>
      <c r="H260" s="80"/>
      <c r="I260" s="79"/>
      <c r="J260" s="79"/>
      <c r="K260" s="79"/>
      <c r="L260" s="88"/>
      <c r="M260" s="158"/>
      <c r="N260" s="157"/>
    </row>
    <row r="261" spans="2:14" x14ac:dyDescent="0.2">
      <c r="B261" s="160"/>
      <c r="C261" s="159"/>
      <c r="D261" s="87"/>
      <c r="E261" s="87"/>
      <c r="F261" s="79"/>
      <c r="G261" s="87"/>
      <c r="H261" s="80"/>
      <c r="I261" s="168"/>
      <c r="J261" s="169"/>
      <c r="K261" s="168"/>
      <c r="L261" s="88"/>
      <c r="M261" s="158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163"/>
      <c r="J274" s="164"/>
      <c r="K274" s="163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163"/>
      <c r="J275" s="164"/>
      <c r="K275" s="163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7"/>
      <c r="C277" s="166"/>
      <c r="D277" s="165"/>
      <c r="E277" s="165"/>
      <c r="F277" s="96"/>
      <c r="G277" s="165"/>
      <c r="H277" s="97"/>
      <c r="I277" s="96"/>
      <c r="J277" s="96"/>
      <c r="K277" s="96"/>
      <c r="L277" s="162"/>
      <c r="M277" s="161"/>
      <c r="N277" s="157"/>
    </row>
    <row r="278" spans="2:14" x14ac:dyDescent="0.2">
      <c r="B278" s="167"/>
      <c r="C278" s="166"/>
      <c r="D278" s="165"/>
      <c r="E278" s="165"/>
      <c r="F278" s="96"/>
      <c r="G278" s="165"/>
      <c r="H278" s="97"/>
      <c r="I278" s="96"/>
      <c r="J278" s="96"/>
      <c r="K278" s="96"/>
      <c r="L278" s="162"/>
      <c r="M278" s="161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0"/>
      <c r="C280" s="159"/>
      <c r="D280" s="87"/>
      <c r="E280" s="87"/>
      <c r="F280" s="79"/>
      <c r="G280" s="87"/>
      <c r="H280" s="80"/>
      <c r="I280" s="79"/>
      <c r="J280" s="79"/>
      <c r="K280" s="79"/>
      <c r="L280" s="88"/>
      <c r="M280" s="158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0"/>
      <c r="I284" s="79"/>
      <c r="J284" s="79"/>
      <c r="K284" s="79"/>
      <c r="L284" s="88"/>
      <c r="M284" s="158"/>
      <c r="N284" s="157"/>
    </row>
    <row r="285" spans="2:14" x14ac:dyDescent="0.2">
      <c r="B285" s="167"/>
      <c r="C285" s="166"/>
      <c r="D285" s="165"/>
      <c r="E285" s="165"/>
      <c r="F285" s="96"/>
      <c r="G285" s="165"/>
      <c r="H285" s="97"/>
      <c r="I285" s="163"/>
      <c r="J285" s="164"/>
      <c r="K285" s="163"/>
      <c r="L285" s="162"/>
      <c r="M285" s="161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59"/>
      <c r="D288" s="87"/>
      <c r="E288" s="87"/>
      <c r="F288" s="79"/>
      <c r="G288" s="87"/>
      <c r="H288" s="80"/>
      <c r="I288" s="79"/>
      <c r="J288" s="79"/>
      <c r="K288" s="79"/>
      <c r="L288" s="88"/>
      <c r="M288" s="158"/>
      <c r="N288" s="157"/>
    </row>
    <row r="289" spans="2:14" x14ac:dyDescent="0.2">
      <c r="B289" s="160"/>
      <c r="C289" s="159"/>
      <c r="D289" s="87"/>
      <c r="E289" s="87"/>
      <c r="F289" s="79"/>
      <c r="G289" s="87"/>
      <c r="H289" s="80"/>
      <c r="I289" s="79"/>
      <c r="J289" s="79"/>
      <c r="K289" s="79"/>
      <c r="L289" s="88"/>
      <c r="M289" s="158"/>
      <c r="N289" s="157"/>
    </row>
    <row r="290" spans="2:14" x14ac:dyDescent="0.2">
      <c r="B290" s="160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0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0"/>
      <c r="C298" s="159"/>
      <c r="D298" s="87"/>
      <c r="E298" s="87"/>
      <c r="F298" s="79"/>
      <c r="G298" s="87"/>
      <c r="H298" s="80"/>
      <c r="I298" s="79"/>
      <c r="J298" s="79"/>
      <c r="K298" s="79"/>
      <c r="L298" s="88"/>
      <c r="M298" s="158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79"/>
      <c r="J300" s="79"/>
      <c r="K300" s="79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0"/>
      <c r="C304" s="159"/>
      <c r="D304" s="87"/>
      <c r="E304" s="87"/>
      <c r="F304" s="79"/>
      <c r="G304" s="87"/>
      <c r="H304" s="80"/>
      <c r="I304" s="79"/>
      <c r="J304" s="79"/>
      <c r="K304" s="79"/>
      <c r="L304" s="88"/>
      <c r="M304" s="158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7"/>
      <c r="C315" s="166"/>
      <c r="D315" s="165"/>
      <c r="E315" s="165"/>
      <c r="F315" s="96"/>
      <c r="G315" s="165"/>
      <c r="H315" s="97"/>
      <c r="I315" s="163"/>
      <c r="J315" s="164"/>
      <c r="K315" s="163"/>
      <c r="L315" s="162"/>
      <c r="M315" s="161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168"/>
      <c r="J321" s="169"/>
      <c r="K321" s="168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79"/>
      <c r="J324" s="79"/>
      <c r="K324" s="79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58"/>
      <c r="N326" s="157"/>
    </row>
    <row r="327" spans="2:14" x14ac:dyDescent="0.2">
      <c r="B327" s="160"/>
      <c r="C327" s="159"/>
      <c r="D327" s="87"/>
      <c r="E327" s="87"/>
      <c r="F327" s="79"/>
      <c r="G327" s="87"/>
      <c r="H327" s="80"/>
      <c r="I327" s="168"/>
      <c r="J327" s="169"/>
      <c r="K327" s="168"/>
      <c r="L327" s="88"/>
      <c r="M327" s="158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7"/>
      <c r="C329" s="166"/>
      <c r="D329" s="165"/>
      <c r="E329" s="165"/>
      <c r="F329" s="96"/>
      <c r="G329" s="165"/>
      <c r="H329" s="97"/>
      <c r="I329" s="163"/>
      <c r="J329" s="164"/>
      <c r="K329" s="163"/>
      <c r="L329" s="162"/>
      <c r="M329" s="161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80"/>
      <c r="I335" s="168"/>
      <c r="J335" s="169"/>
      <c r="K335" s="168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0"/>
      <c r="C337" s="159"/>
      <c r="D337" s="87"/>
      <c r="E337" s="87"/>
      <c r="F337" s="79"/>
      <c r="G337" s="87"/>
      <c r="H337" s="80"/>
      <c r="I337" s="79"/>
      <c r="J337" s="79"/>
      <c r="K337" s="79"/>
      <c r="L337" s="88"/>
      <c r="M337" s="158"/>
      <c r="N337" s="157"/>
    </row>
    <row r="338" spans="2:14" x14ac:dyDescent="0.2">
      <c r="B338" s="156"/>
      <c r="C338" s="156"/>
      <c r="D338" s="156"/>
      <c r="E338" s="102"/>
      <c r="F338" s="102"/>
      <c r="G338" s="156"/>
      <c r="H338" s="156"/>
      <c r="I338" s="156"/>
      <c r="J338" s="156"/>
      <c r="K338" s="156"/>
      <c r="L338" s="102"/>
      <c r="M338" s="156"/>
      <c r="N338" s="156"/>
    </row>
    <row r="339" spans="2:14" x14ac:dyDescent="0.2">
      <c r="H339" s="151"/>
    </row>
    <row r="340" spans="2:14" x14ac:dyDescent="0.2">
      <c r="H340" s="151"/>
    </row>
    <row r="342" spans="2:14" x14ac:dyDescent="0.2">
      <c r="H342" s="151"/>
    </row>
    <row r="343" spans="2:14" x14ac:dyDescent="0.2">
      <c r="H343" s="151"/>
    </row>
    <row r="344" spans="2:14" x14ac:dyDescent="0.2">
      <c r="L344" s="155"/>
    </row>
    <row r="345" spans="2:14" x14ac:dyDescent="0.2">
      <c r="L345" s="155"/>
    </row>
    <row r="346" spans="2:14" x14ac:dyDescent="0.2">
      <c r="L346" s="154"/>
    </row>
    <row r="348" spans="2:14" x14ac:dyDescent="0.2">
      <c r="L348" s="153"/>
    </row>
    <row r="352" spans="2:14" x14ac:dyDescent="0.2">
      <c r="G352" s="151"/>
    </row>
    <row r="353" spans="7:7" x14ac:dyDescent="0.2">
      <c r="G353" s="152"/>
    </row>
    <row r="356" spans="7:7" x14ac:dyDescent="0.2">
      <c r="G356" s="151"/>
    </row>
  </sheetData>
  <conditionalFormatting sqref="E187:E188 E235:E236 E228 E218:E219 E190:E191 E231:E232 E66 E48 E239:E241">
    <cfRule type="containsText" dxfId="2921" priority="425" operator="containsText" text="Buy">
      <formula>NOT(ISERROR(SEARCH("Buy",E48)))</formula>
    </cfRule>
    <cfRule type="containsText" dxfId="2920" priority="426" operator="containsText" text="Sell">
      <formula>NOT(ISERROR(SEARCH("Sell",E48)))</formula>
    </cfRule>
  </conditionalFormatting>
  <conditionalFormatting sqref="E260:E261 E250:E251 E255">
    <cfRule type="containsText" dxfId="2919" priority="423" operator="containsText" text="Buy">
      <formula>NOT(ISERROR(SEARCH("Buy",E250)))</formula>
    </cfRule>
    <cfRule type="containsText" dxfId="2918" priority="424" operator="containsText" text="Sell">
      <formula>NOT(ISERROR(SEARCH("Sell",E250)))</formula>
    </cfRule>
  </conditionalFormatting>
  <conditionalFormatting sqref="E276:E278 E335 E332 E327 E321 E318 E315 E312 E305 E301 E295 E285">
    <cfRule type="containsText" dxfId="2917" priority="421" operator="containsText" text="Buy">
      <formula>NOT(ISERROR(SEARCH("Buy",E276)))</formula>
    </cfRule>
    <cfRule type="containsText" dxfId="2916" priority="422" operator="containsText" text="Sell">
      <formula>NOT(ISERROR(SEARCH("Sell",E276)))</formula>
    </cfRule>
  </conditionalFormatting>
  <conditionalFormatting sqref="E275">
    <cfRule type="containsText" dxfId="2915" priority="419" operator="containsText" text="Buy">
      <formula>NOT(ISERROR(SEARCH("Buy",E275)))</formula>
    </cfRule>
    <cfRule type="containsText" dxfId="2914" priority="420" operator="containsText" text="Sell">
      <formula>NOT(ISERROR(SEARCH("Sell",E275)))</formula>
    </cfRule>
  </conditionalFormatting>
  <conditionalFormatting sqref="E274">
    <cfRule type="containsText" dxfId="2913" priority="417" operator="containsText" text="Buy">
      <formula>NOT(ISERROR(SEARCH("Buy",E274)))</formula>
    </cfRule>
    <cfRule type="containsText" dxfId="2912" priority="418" operator="containsText" text="Sell">
      <formula>NOT(ISERROR(SEARCH("Sell",E274)))</formula>
    </cfRule>
  </conditionalFormatting>
  <conditionalFormatting sqref="E273">
    <cfRule type="containsText" dxfId="2911" priority="415" operator="containsText" text="Buy">
      <formula>NOT(ISERROR(SEARCH("Buy",E273)))</formula>
    </cfRule>
    <cfRule type="containsText" dxfId="2910" priority="416" operator="containsText" text="Sell">
      <formula>NOT(ISERROR(SEARCH("Sell",E273)))</formula>
    </cfRule>
  </conditionalFormatting>
  <conditionalFormatting sqref="E186">
    <cfRule type="containsText" dxfId="2909" priority="413" operator="containsText" text="Buy">
      <formula>NOT(ISERROR(SEARCH("Buy",E186)))</formula>
    </cfRule>
    <cfRule type="containsText" dxfId="2908" priority="414" operator="containsText" text="Sell">
      <formula>NOT(ISERROR(SEARCH("Sell",E186)))</formula>
    </cfRule>
  </conditionalFormatting>
  <conditionalFormatting sqref="E185">
    <cfRule type="containsText" dxfId="2907" priority="411" operator="containsText" text="Buy">
      <formula>NOT(ISERROR(SEARCH("Buy",E185)))</formula>
    </cfRule>
    <cfRule type="containsText" dxfId="2906" priority="412" operator="containsText" text="Sell">
      <formula>NOT(ISERROR(SEARCH("Sell",E185)))</formula>
    </cfRule>
  </conditionalFormatting>
  <conditionalFormatting sqref="E234">
    <cfRule type="containsText" dxfId="2905" priority="409" operator="containsText" text="Buy">
      <formula>NOT(ISERROR(SEARCH("Buy",E234)))</formula>
    </cfRule>
    <cfRule type="containsText" dxfId="2904" priority="410" operator="containsText" text="Sell">
      <formula>NOT(ISERROR(SEARCH("Sell",E234)))</formula>
    </cfRule>
  </conditionalFormatting>
  <conditionalFormatting sqref="E233">
    <cfRule type="containsText" dxfId="2903" priority="407" operator="containsText" text="Buy">
      <formula>NOT(ISERROR(SEARCH("Buy",E233)))</formula>
    </cfRule>
    <cfRule type="containsText" dxfId="2902" priority="408" operator="containsText" text="Sell">
      <formula>NOT(ISERROR(SEARCH("Sell",E233)))</formula>
    </cfRule>
  </conditionalFormatting>
  <conditionalFormatting sqref="E220:E222">
    <cfRule type="containsText" dxfId="2901" priority="405" operator="containsText" text="Buy">
      <formula>NOT(ISERROR(SEARCH("Buy",E220)))</formula>
    </cfRule>
    <cfRule type="containsText" dxfId="2900" priority="406" operator="containsText" text="Sell">
      <formula>NOT(ISERROR(SEARCH("Sell",E220)))</formula>
    </cfRule>
  </conditionalFormatting>
  <conditionalFormatting sqref="E217">
    <cfRule type="containsText" dxfId="2899" priority="403" operator="containsText" text="Buy">
      <formula>NOT(ISERROR(SEARCH("Buy",E217)))</formula>
    </cfRule>
    <cfRule type="containsText" dxfId="2898" priority="404" operator="containsText" text="Sell">
      <formula>NOT(ISERROR(SEARCH("Sell",E217)))</formula>
    </cfRule>
  </conditionalFormatting>
  <conditionalFormatting sqref="E216">
    <cfRule type="containsText" dxfId="2897" priority="401" operator="containsText" text="Buy">
      <formula>NOT(ISERROR(SEARCH("Buy",E216)))</formula>
    </cfRule>
    <cfRule type="containsText" dxfId="2896" priority="402" operator="containsText" text="Sell">
      <formula>NOT(ISERROR(SEARCH("Sell",E216)))</formula>
    </cfRule>
  </conditionalFormatting>
  <conditionalFormatting sqref="E215">
    <cfRule type="containsText" dxfId="2895" priority="399" operator="containsText" text="Buy">
      <formula>NOT(ISERROR(SEARCH("Buy",E215)))</formula>
    </cfRule>
    <cfRule type="containsText" dxfId="2894" priority="400" operator="containsText" text="Sell">
      <formula>NOT(ISERROR(SEARCH("Sell",E215)))</formula>
    </cfRule>
  </conditionalFormatting>
  <conditionalFormatting sqref="E214">
    <cfRule type="containsText" dxfId="2893" priority="397" operator="containsText" text="Buy">
      <formula>NOT(ISERROR(SEARCH("Buy",E214)))</formula>
    </cfRule>
    <cfRule type="containsText" dxfId="2892" priority="398" operator="containsText" text="Sell">
      <formula>NOT(ISERROR(SEARCH("Sell",E214)))</formula>
    </cfRule>
  </conditionalFormatting>
  <conditionalFormatting sqref="E213">
    <cfRule type="containsText" dxfId="2891" priority="395" operator="containsText" text="Buy">
      <formula>NOT(ISERROR(SEARCH("Buy",E213)))</formula>
    </cfRule>
    <cfRule type="containsText" dxfId="2890" priority="396" operator="containsText" text="Sell">
      <formula>NOT(ISERROR(SEARCH("Sell",E213)))</formula>
    </cfRule>
  </conditionalFormatting>
  <conditionalFormatting sqref="E212">
    <cfRule type="containsText" dxfId="2889" priority="393" operator="containsText" text="Buy">
      <formula>NOT(ISERROR(SEARCH("Buy",E212)))</formula>
    </cfRule>
    <cfRule type="containsText" dxfId="2888" priority="394" operator="containsText" text="Sell">
      <formula>NOT(ISERROR(SEARCH("Sell",E212)))</formula>
    </cfRule>
  </conditionalFormatting>
  <conditionalFormatting sqref="E211">
    <cfRule type="containsText" dxfId="2887" priority="391" operator="containsText" text="Buy">
      <formula>NOT(ISERROR(SEARCH("Buy",E211)))</formula>
    </cfRule>
    <cfRule type="containsText" dxfId="2886" priority="392" operator="containsText" text="Sell">
      <formula>NOT(ISERROR(SEARCH("Sell",E211)))</formula>
    </cfRule>
  </conditionalFormatting>
  <conditionalFormatting sqref="E204:E206">
    <cfRule type="containsText" dxfId="2885" priority="389" operator="containsText" text="Buy">
      <formula>NOT(ISERROR(SEARCH("Buy",E204)))</formula>
    </cfRule>
    <cfRule type="containsText" dxfId="2884" priority="390" operator="containsText" text="Sell">
      <formula>NOT(ISERROR(SEARCH("Sell",E204)))</formula>
    </cfRule>
  </conditionalFormatting>
  <conditionalFormatting sqref="E203">
    <cfRule type="containsText" dxfId="2883" priority="387" operator="containsText" text="Buy">
      <formula>NOT(ISERROR(SEARCH("Buy",E203)))</formula>
    </cfRule>
    <cfRule type="containsText" dxfId="2882" priority="388" operator="containsText" text="Sell">
      <formula>NOT(ISERROR(SEARCH("Sell",E203)))</formula>
    </cfRule>
  </conditionalFormatting>
  <conditionalFormatting sqref="E202">
    <cfRule type="containsText" dxfId="2881" priority="385" operator="containsText" text="Buy">
      <formula>NOT(ISERROR(SEARCH("Buy",E202)))</formula>
    </cfRule>
    <cfRule type="containsText" dxfId="2880" priority="386" operator="containsText" text="Sell">
      <formula>NOT(ISERROR(SEARCH("Sell",E202)))</formula>
    </cfRule>
  </conditionalFormatting>
  <conditionalFormatting sqref="E201">
    <cfRule type="containsText" dxfId="2879" priority="383" operator="containsText" text="Buy">
      <formula>NOT(ISERROR(SEARCH("Buy",E201)))</formula>
    </cfRule>
    <cfRule type="containsText" dxfId="2878" priority="384" operator="containsText" text="Sell">
      <formula>NOT(ISERROR(SEARCH("Sell",E201)))</formula>
    </cfRule>
  </conditionalFormatting>
  <conditionalFormatting sqref="E200">
    <cfRule type="containsText" dxfId="2877" priority="381" operator="containsText" text="Buy">
      <formula>NOT(ISERROR(SEARCH("Buy",E200)))</formula>
    </cfRule>
    <cfRule type="containsText" dxfId="2876" priority="382" operator="containsText" text="Sell">
      <formula>NOT(ISERROR(SEARCH("Sell",E200)))</formula>
    </cfRule>
  </conditionalFormatting>
  <conditionalFormatting sqref="E199">
    <cfRule type="containsText" dxfId="2875" priority="379" operator="containsText" text="Buy">
      <formula>NOT(ISERROR(SEARCH("Buy",E199)))</formula>
    </cfRule>
    <cfRule type="containsText" dxfId="2874" priority="380" operator="containsText" text="Sell">
      <formula>NOT(ISERROR(SEARCH("Sell",E199)))</formula>
    </cfRule>
  </conditionalFormatting>
  <conditionalFormatting sqref="E198">
    <cfRule type="containsText" dxfId="2873" priority="377" operator="containsText" text="Buy">
      <formula>NOT(ISERROR(SEARCH("Buy",E198)))</formula>
    </cfRule>
    <cfRule type="containsText" dxfId="2872" priority="378" operator="containsText" text="Sell">
      <formula>NOT(ISERROR(SEARCH("Sell",E198)))</formula>
    </cfRule>
  </conditionalFormatting>
  <conditionalFormatting sqref="E197">
    <cfRule type="containsText" dxfId="2871" priority="375" operator="containsText" text="Buy">
      <formula>NOT(ISERROR(SEARCH("Buy",E197)))</formula>
    </cfRule>
    <cfRule type="containsText" dxfId="2870" priority="376" operator="containsText" text="Sell">
      <formula>NOT(ISERROR(SEARCH("Sell",E197)))</formula>
    </cfRule>
  </conditionalFormatting>
  <conditionalFormatting sqref="E196">
    <cfRule type="containsText" dxfId="2869" priority="373" operator="containsText" text="Buy">
      <formula>NOT(ISERROR(SEARCH("Buy",E196)))</formula>
    </cfRule>
    <cfRule type="containsText" dxfId="2868" priority="374" operator="containsText" text="Sell">
      <formula>NOT(ISERROR(SEARCH("Sell",E196)))</formula>
    </cfRule>
  </conditionalFormatting>
  <conditionalFormatting sqref="E195">
    <cfRule type="containsText" dxfId="2867" priority="371" operator="containsText" text="Buy">
      <formula>NOT(ISERROR(SEARCH("Buy",E195)))</formula>
    </cfRule>
    <cfRule type="containsText" dxfId="2866" priority="372" operator="containsText" text="Sell">
      <formula>NOT(ISERROR(SEARCH("Sell",E195)))</formula>
    </cfRule>
  </conditionalFormatting>
  <conditionalFormatting sqref="E194">
    <cfRule type="containsText" dxfId="2865" priority="369" operator="containsText" text="Buy">
      <formula>NOT(ISERROR(SEARCH("Buy",E194)))</formula>
    </cfRule>
    <cfRule type="containsText" dxfId="2864" priority="370" operator="containsText" text="Sell">
      <formula>NOT(ISERROR(SEARCH("Sell",E194)))</formula>
    </cfRule>
  </conditionalFormatting>
  <conditionalFormatting sqref="E193">
    <cfRule type="containsText" dxfId="2863" priority="367" operator="containsText" text="Buy">
      <formula>NOT(ISERROR(SEARCH("Buy",E193)))</formula>
    </cfRule>
    <cfRule type="containsText" dxfId="2862" priority="368" operator="containsText" text="Sell">
      <formula>NOT(ISERROR(SEARCH("Sell",E193)))</formula>
    </cfRule>
  </conditionalFormatting>
  <conditionalFormatting sqref="E189">
    <cfRule type="containsText" dxfId="2861" priority="365" operator="containsText" text="Buy">
      <formula>NOT(ISERROR(SEARCH("Buy",E189)))</formula>
    </cfRule>
    <cfRule type="containsText" dxfId="2860" priority="366" operator="containsText" text="Sell">
      <formula>NOT(ISERROR(SEARCH("Sell",E189)))</formula>
    </cfRule>
  </conditionalFormatting>
  <conditionalFormatting sqref="E249">
    <cfRule type="containsText" dxfId="2859" priority="363" operator="containsText" text="Buy">
      <formula>NOT(ISERROR(SEARCH("Buy",E249)))</formula>
    </cfRule>
    <cfRule type="containsText" dxfId="2858" priority="364" operator="containsText" text="Sell">
      <formula>NOT(ISERROR(SEARCH("Sell",E249)))</formula>
    </cfRule>
  </conditionalFormatting>
  <conditionalFormatting sqref="E248 E245">
    <cfRule type="containsText" dxfId="2857" priority="361" operator="containsText" text="Buy">
      <formula>NOT(ISERROR(SEARCH("Buy",E245)))</formula>
    </cfRule>
    <cfRule type="containsText" dxfId="2856" priority="362" operator="containsText" text="Sell">
      <formula>NOT(ISERROR(SEARCH("Sell",E245)))</formula>
    </cfRule>
  </conditionalFormatting>
  <conditionalFormatting sqref="E254">
    <cfRule type="containsText" dxfId="2855" priority="359" operator="containsText" text="Buy">
      <formula>NOT(ISERROR(SEARCH("Buy",E254)))</formula>
    </cfRule>
    <cfRule type="containsText" dxfId="2854" priority="360" operator="containsText" text="Sell">
      <formula>NOT(ISERROR(SEARCH("Sell",E254)))</formula>
    </cfRule>
  </conditionalFormatting>
  <conditionalFormatting sqref="E336:E337">
    <cfRule type="containsText" dxfId="2853" priority="357" operator="containsText" text="Buy">
      <formula>NOT(ISERROR(SEARCH("Buy",E336)))</formula>
    </cfRule>
    <cfRule type="containsText" dxfId="2852" priority="358" operator="containsText" text="Sell">
      <formula>NOT(ISERROR(SEARCH("Sell",E336)))</formula>
    </cfRule>
  </conditionalFormatting>
  <conditionalFormatting sqref="E247">
    <cfRule type="containsText" dxfId="2851" priority="355" operator="containsText" text="Buy">
      <formula>NOT(ISERROR(SEARCH("Buy",E247)))</formula>
    </cfRule>
    <cfRule type="containsText" dxfId="2850" priority="356" operator="containsText" text="Sell">
      <formula>NOT(ISERROR(SEARCH("Sell",E247)))</formula>
    </cfRule>
  </conditionalFormatting>
  <conditionalFormatting sqref="E244">
    <cfRule type="containsText" dxfId="2849" priority="353" operator="containsText" text="Buy">
      <formula>NOT(ISERROR(SEARCH("Buy",E244)))</formula>
    </cfRule>
    <cfRule type="containsText" dxfId="2848" priority="354" operator="containsText" text="Sell">
      <formula>NOT(ISERROR(SEARCH("Sell",E244)))</formula>
    </cfRule>
  </conditionalFormatting>
  <conditionalFormatting sqref="E243">
    <cfRule type="containsText" dxfId="2847" priority="351" operator="containsText" text="Buy">
      <formula>NOT(ISERROR(SEARCH("Buy",E243)))</formula>
    </cfRule>
    <cfRule type="containsText" dxfId="2846" priority="352" operator="containsText" text="Sell">
      <formula>NOT(ISERROR(SEARCH("Sell",E243)))</formula>
    </cfRule>
  </conditionalFormatting>
  <conditionalFormatting sqref="E230">
    <cfRule type="containsText" dxfId="2845" priority="349" operator="containsText" text="Buy">
      <formula>NOT(ISERROR(SEARCH("Buy",E230)))</formula>
    </cfRule>
    <cfRule type="containsText" dxfId="2844" priority="350" operator="containsText" text="Sell">
      <formula>NOT(ISERROR(SEARCH("Sell",E230)))</formula>
    </cfRule>
  </conditionalFormatting>
  <conditionalFormatting sqref="E167:E170 E180 E177:E178">
    <cfRule type="containsText" dxfId="2843" priority="347" operator="containsText" text="Buy">
      <formula>NOT(ISERROR(SEARCH("Buy",E167)))</formula>
    </cfRule>
    <cfRule type="containsText" dxfId="2842" priority="348" operator="containsText" text="Sell">
      <formula>NOT(ISERROR(SEARCH("Sell",E167)))</formula>
    </cfRule>
  </conditionalFormatting>
  <conditionalFormatting sqref="E333:E334">
    <cfRule type="containsText" dxfId="2841" priority="345" operator="containsText" text="Buy">
      <formula>NOT(ISERROR(SEARCH("Buy",E333)))</formula>
    </cfRule>
    <cfRule type="containsText" dxfId="2840" priority="346" operator="containsText" text="Sell">
      <formula>NOT(ISERROR(SEARCH("Sell",E333)))</formula>
    </cfRule>
  </conditionalFormatting>
  <conditionalFormatting sqref="E330:E331">
    <cfRule type="containsText" dxfId="2839" priority="343" operator="containsText" text="Buy">
      <formula>NOT(ISERROR(SEARCH("Buy",E330)))</formula>
    </cfRule>
    <cfRule type="containsText" dxfId="2838" priority="344" operator="containsText" text="Sell">
      <formula>NOT(ISERROR(SEARCH("Sell",E330)))</formula>
    </cfRule>
  </conditionalFormatting>
  <conditionalFormatting sqref="E328:E329">
    <cfRule type="containsText" dxfId="2837" priority="341" operator="containsText" text="Buy">
      <formula>NOT(ISERROR(SEARCH("Buy",E328)))</formula>
    </cfRule>
    <cfRule type="containsText" dxfId="2836" priority="342" operator="containsText" text="Sell">
      <formula>NOT(ISERROR(SEARCH("Sell",E328)))</formula>
    </cfRule>
  </conditionalFormatting>
  <conditionalFormatting sqref="E325:E326">
    <cfRule type="containsText" dxfId="2835" priority="339" operator="containsText" text="Buy">
      <formula>NOT(ISERROR(SEARCH("Buy",E325)))</formula>
    </cfRule>
    <cfRule type="containsText" dxfId="2834" priority="340" operator="containsText" text="Sell">
      <formula>NOT(ISERROR(SEARCH("Sell",E325)))</formula>
    </cfRule>
  </conditionalFormatting>
  <conditionalFormatting sqref="E322:E324">
    <cfRule type="containsText" dxfId="2833" priority="337" operator="containsText" text="Buy">
      <formula>NOT(ISERROR(SEARCH("Buy",E322)))</formula>
    </cfRule>
    <cfRule type="containsText" dxfId="2832" priority="338" operator="containsText" text="Sell">
      <formula>NOT(ISERROR(SEARCH("Sell",E322)))</formula>
    </cfRule>
  </conditionalFormatting>
  <conditionalFormatting sqref="E319:E320">
    <cfRule type="containsText" dxfId="2831" priority="335" operator="containsText" text="Buy">
      <formula>NOT(ISERROR(SEARCH("Buy",E319)))</formula>
    </cfRule>
    <cfRule type="containsText" dxfId="2830" priority="336" operator="containsText" text="Sell">
      <formula>NOT(ISERROR(SEARCH("Sell",E319)))</formula>
    </cfRule>
  </conditionalFormatting>
  <conditionalFormatting sqref="E316:E317">
    <cfRule type="containsText" dxfId="2829" priority="333" operator="containsText" text="Buy">
      <formula>NOT(ISERROR(SEARCH("Buy",E316)))</formula>
    </cfRule>
    <cfRule type="containsText" dxfId="2828" priority="334" operator="containsText" text="Sell">
      <formula>NOT(ISERROR(SEARCH("Sell",E316)))</formula>
    </cfRule>
  </conditionalFormatting>
  <conditionalFormatting sqref="E313:E314">
    <cfRule type="containsText" dxfId="2827" priority="331" operator="containsText" text="Buy">
      <formula>NOT(ISERROR(SEARCH("Buy",E313)))</formula>
    </cfRule>
    <cfRule type="containsText" dxfId="2826" priority="332" operator="containsText" text="Sell">
      <formula>NOT(ISERROR(SEARCH("Sell",E313)))</formula>
    </cfRule>
  </conditionalFormatting>
  <conditionalFormatting sqref="E309">
    <cfRule type="containsText" dxfId="2825" priority="327" operator="containsText" text="Buy">
      <formula>NOT(ISERROR(SEARCH("Buy",E309)))</formula>
    </cfRule>
    <cfRule type="containsText" dxfId="2824" priority="328" operator="containsText" text="Sell">
      <formula>NOT(ISERROR(SEARCH("Sell",E309)))</formula>
    </cfRule>
  </conditionalFormatting>
  <conditionalFormatting sqref="E310:E311">
    <cfRule type="containsText" dxfId="2823" priority="329" operator="containsText" text="Buy">
      <formula>NOT(ISERROR(SEARCH("Buy",E310)))</formula>
    </cfRule>
    <cfRule type="containsText" dxfId="2822" priority="330" operator="containsText" text="Sell">
      <formula>NOT(ISERROR(SEARCH("Sell",E310)))</formula>
    </cfRule>
  </conditionalFormatting>
  <conditionalFormatting sqref="E303:E304">
    <cfRule type="containsText" dxfId="2821" priority="325" operator="containsText" text="Buy">
      <formula>NOT(ISERROR(SEARCH("Buy",E303)))</formula>
    </cfRule>
    <cfRule type="containsText" dxfId="2820" priority="326" operator="containsText" text="Sell">
      <formula>NOT(ISERROR(SEARCH("Sell",E303)))</formula>
    </cfRule>
  </conditionalFormatting>
  <conditionalFormatting sqref="E299:E300">
    <cfRule type="containsText" dxfId="2819" priority="323" operator="containsText" text="Buy">
      <formula>NOT(ISERROR(SEARCH("Buy",E299)))</formula>
    </cfRule>
    <cfRule type="containsText" dxfId="2818" priority="324" operator="containsText" text="Sell">
      <formula>NOT(ISERROR(SEARCH("Sell",E299)))</formula>
    </cfRule>
  </conditionalFormatting>
  <conditionalFormatting sqref="E164:E165">
    <cfRule type="containsText" dxfId="2817" priority="321" operator="containsText" text="Buy">
      <formula>NOT(ISERROR(SEARCH("Buy",E164)))</formula>
    </cfRule>
    <cfRule type="containsText" dxfId="2816" priority="322" operator="containsText" text="Sell">
      <formula>NOT(ISERROR(SEARCH("Sell",E164)))</formula>
    </cfRule>
  </conditionalFormatting>
  <conditionalFormatting sqref="E159:E160">
    <cfRule type="containsText" dxfId="2815" priority="319" operator="containsText" text="Buy">
      <formula>NOT(ISERROR(SEARCH("Buy",E159)))</formula>
    </cfRule>
    <cfRule type="containsText" dxfId="2814" priority="320" operator="containsText" text="Sell">
      <formula>NOT(ISERROR(SEARCH("Sell",E159)))</formula>
    </cfRule>
  </conditionalFormatting>
  <conditionalFormatting sqref="E176">
    <cfRule type="containsText" dxfId="2813" priority="317" operator="containsText" text="Buy">
      <formula>NOT(ISERROR(SEARCH("Buy",E176)))</formula>
    </cfRule>
    <cfRule type="containsText" dxfId="2812" priority="318" operator="containsText" text="Sell">
      <formula>NOT(ISERROR(SEARCH("Sell",E176)))</formula>
    </cfRule>
  </conditionalFormatting>
  <conditionalFormatting sqref="E175">
    <cfRule type="containsText" dxfId="2811" priority="315" operator="containsText" text="Buy">
      <formula>NOT(ISERROR(SEARCH("Buy",E175)))</formula>
    </cfRule>
    <cfRule type="containsText" dxfId="2810" priority="316" operator="containsText" text="Sell">
      <formula>NOT(ISERROR(SEARCH("Sell",E175)))</formula>
    </cfRule>
  </conditionalFormatting>
  <conditionalFormatting sqref="E171">
    <cfRule type="containsText" dxfId="2809" priority="313" operator="containsText" text="Buy">
      <formula>NOT(ISERROR(SEARCH("Buy",E171)))</formula>
    </cfRule>
    <cfRule type="containsText" dxfId="2808" priority="314" operator="containsText" text="Sell">
      <formula>NOT(ISERROR(SEARCH("Sell",E171)))</formula>
    </cfRule>
  </conditionalFormatting>
  <conditionalFormatting sqref="E296:E298">
    <cfRule type="containsText" dxfId="2807" priority="311" operator="containsText" text="Buy">
      <formula>NOT(ISERROR(SEARCH("Buy",E296)))</formula>
    </cfRule>
    <cfRule type="containsText" dxfId="2806" priority="312" operator="containsText" text="Sell">
      <formula>NOT(ISERROR(SEARCH("Sell",E296)))</formula>
    </cfRule>
  </conditionalFormatting>
  <conditionalFormatting sqref="E293:E294">
    <cfRule type="containsText" dxfId="2805" priority="309" operator="containsText" text="Buy">
      <formula>NOT(ISERROR(SEARCH("Buy",E293)))</formula>
    </cfRule>
    <cfRule type="containsText" dxfId="2804" priority="310" operator="containsText" text="Sell">
      <formula>NOT(ISERROR(SEARCH("Sell",E293)))</formula>
    </cfRule>
  </conditionalFormatting>
  <conditionalFormatting sqref="E287:E289">
    <cfRule type="containsText" dxfId="2803" priority="307" operator="containsText" text="Buy">
      <formula>NOT(ISERROR(SEARCH("Buy",E287)))</formula>
    </cfRule>
    <cfRule type="containsText" dxfId="2802" priority="308" operator="containsText" text="Sell">
      <formula>NOT(ISERROR(SEARCH("Sell",E287)))</formula>
    </cfRule>
  </conditionalFormatting>
  <conditionalFormatting sqref="E283:E284">
    <cfRule type="containsText" dxfId="2801" priority="305" operator="containsText" text="Buy">
      <formula>NOT(ISERROR(SEARCH("Buy",E283)))</formula>
    </cfRule>
    <cfRule type="containsText" dxfId="2800" priority="306" operator="containsText" text="Sell">
      <formula>NOT(ISERROR(SEARCH("Sell",E283)))</formula>
    </cfRule>
  </conditionalFormatting>
  <conditionalFormatting sqref="E292">
    <cfRule type="containsText" dxfId="2799" priority="303" operator="containsText" text="Buy">
      <formula>NOT(ISERROR(SEARCH("Buy",E292)))</formula>
    </cfRule>
    <cfRule type="containsText" dxfId="2798" priority="304" operator="containsText" text="Sell">
      <formula>NOT(ISERROR(SEARCH("Sell",E292)))</formula>
    </cfRule>
  </conditionalFormatting>
  <conditionalFormatting sqref="E272">
    <cfRule type="containsText" dxfId="2797" priority="301" operator="containsText" text="Buy">
      <formula>NOT(ISERROR(SEARCH("Buy",E272)))</formula>
    </cfRule>
    <cfRule type="containsText" dxfId="2796" priority="302" operator="containsText" text="Sell">
      <formula>NOT(ISERROR(SEARCH("Sell",E272)))</formula>
    </cfRule>
  </conditionalFormatting>
  <conditionalFormatting sqref="E271">
    <cfRule type="containsText" dxfId="2795" priority="299" operator="containsText" text="Buy">
      <formula>NOT(ISERROR(SEARCH("Buy",E271)))</formula>
    </cfRule>
    <cfRule type="containsText" dxfId="2794" priority="300" operator="containsText" text="Sell">
      <formula>NOT(ISERROR(SEARCH("Sell",E271)))</formula>
    </cfRule>
  </conditionalFormatting>
  <conditionalFormatting sqref="E270">
    <cfRule type="containsText" dxfId="2793" priority="297" operator="containsText" text="Buy">
      <formula>NOT(ISERROR(SEARCH("Buy",E270)))</formula>
    </cfRule>
    <cfRule type="containsText" dxfId="2792" priority="298" operator="containsText" text="Sell">
      <formula>NOT(ISERROR(SEARCH("Sell",E270)))</formula>
    </cfRule>
  </conditionalFormatting>
  <conditionalFormatting sqref="E227">
    <cfRule type="containsText" dxfId="2791" priority="295" operator="containsText" text="Buy">
      <formula>NOT(ISERROR(SEARCH("Buy",E227)))</formula>
    </cfRule>
    <cfRule type="containsText" dxfId="2790" priority="296" operator="containsText" text="Sell">
      <formula>NOT(ISERROR(SEARCH("Sell",E227)))</formula>
    </cfRule>
  </conditionalFormatting>
  <conditionalFormatting sqref="E246">
    <cfRule type="containsText" dxfId="2789" priority="293" operator="containsText" text="Buy">
      <formula>NOT(ISERROR(SEARCH("Buy",E246)))</formula>
    </cfRule>
    <cfRule type="containsText" dxfId="2788" priority="294" operator="containsText" text="Sell">
      <formula>NOT(ISERROR(SEARCH("Sell",E246)))</formula>
    </cfRule>
  </conditionalFormatting>
  <conditionalFormatting sqref="E140:E141">
    <cfRule type="containsText" dxfId="2787" priority="291" operator="containsText" text="Buy">
      <formula>NOT(ISERROR(SEARCH("Buy",E140)))</formula>
    </cfRule>
    <cfRule type="containsText" dxfId="2786" priority="292" operator="containsText" text="Sell">
      <formula>NOT(ISERROR(SEARCH("Sell",E140)))</formula>
    </cfRule>
  </conditionalFormatting>
  <conditionalFormatting sqref="E269">
    <cfRule type="containsText" dxfId="2785" priority="287" operator="containsText" text="Buy">
      <formula>NOT(ISERROR(SEARCH("Buy",E269)))</formula>
    </cfRule>
    <cfRule type="containsText" dxfId="2784" priority="288" operator="containsText" text="Sell">
      <formula>NOT(ISERROR(SEARCH("Sell",E269)))</formula>
    </cfRule>
  </conditionalFormatting>
  <conditionalFormatting sqref="E179">
    <cfRule type="containsText" dxfId="2783" priority="289" operator="containsText" text="Buy">
      <formula>NOT(ISERROR(SEARCH("Buy",E179)))</formula>
    </cfRule>
    <cfRule type="containsText" dxfId="2782" priority="290" operator="containsText" text="Sell">
      <formula>NOT(ISERROR(SEARCH("Sell",E179)))</formula>
    </cfRule>
  </conditionalFormatting>
  <conditionalFormatting sqref="E268">
    <cfRule type="containsText" dxfId="2781" priority="285" operator="containsText" text="Buy">
      <formula>NOT(ISERROR(SEARCH("Buy",E268)))</formula>
    </cfRule>
    <cfRule type="containsText" dxfId="2780" priority="286" operator="containsText" text="Sell">
      <formula>NOT(ISERROR(SEARCH("Sell",E268)))</formula>
    </cfRule>
  </conditionalFormatting>
  <conditionalFormatting sqref="E267">
    <cfRule type="containsText" dxfId="2779" priority="283" operator="containsText" text="Buy">
      <formula>NOT(ISERROR(SEARCH("Buy",E267)))</formula>
    </cfRule>
    <cfRule type="containsText" dxfId="2778" priority="284" operator="containsText" text="Sell">
      <formula>NOT(ISERROR(SEARCH("Sell",E267)))</formula>
    </cfRule>
  </conditionalFormatting>
  <conditionalFormatting sqref="E266">
    <cfRule type="containsText" dxfId="2777" priority="281" operator="containsText" text="Buy">
      <formula>NOT(ISERROR(SEARCH("Buy",E266)))</formula>
    </cfRule>
    <cfRule type="containsText" dxfId="2776" priority="282" operator="containsText" text="Sell">
      <formula>NOT(ISERROR(SEARCH("Sell",E266)))</formula>
    </cfRule>
  </conditionalFormatting>
  <conditionalFormatting sqref="E265">
    <cfRule type="containsText" dxfId="2775" priority="279" operator="containsText" text="Buy">
      <formula>NOT(ISERROR(SEARCH("Buy",E265)))</formula>
    </cfRule>
    <cfRule type="containsText" dxfId="2774" priority="280" operator="containsText" text="Sell">
      <formula>NOT(ISERROR(SEARCH("Sell",E265)))</formula>
    </cfRule>
  </conditionalFormatting>
  <conditionalFormatting sqref="E145:E147 E158">
    <cfRule type="containsText" dxfId="2773" priority="277" operator="containsText" text="Buy">
      <formula>NOT(ISERROR(SEARCH("Buy",E145)))</formula>
    </cfRule>
    <cfRule type="containsText" dxfId="2772" priority="278" operator="containsText" text="Sell">
      <formula>NOT(ISERROR(SEARCH("Sell",E145)))</formula>
    </cfRule>
  </conditionalFormatting>
  <conditionalFormatting sqref="H14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{43EE2463-734F-48CF-9214-F48EA1837330}</x14:id>
        </ext>
      </extLst>
    </cfRule>
    <cfRule type="cellIs" dxfId="2771" priority="276" operator="equal">
      <formula>1</formula>
    </cfRule>
  </conditionalFormatting>
  <conditionalFormatting sqref="D14">
    <cfRule type="containsText" dxfId="2770" priority="274" operator="containsText" text="Buy">
      <formula>NOT(ISERROR(SEARCH("Buy",D14)))</formula>
    </cfRule>
    <cfRule type="containsText" dxfId="2769" priority="275" operator="containsText" text="Sell">
      <formula>NOT(ISERROR(SEARCH("Sell",D14)))</formula>
    </cfRule>
  </conditionalFormatting>
  <conditionalFormatting sqref="E135:E136">
    <cfRule type="containsText" dxfId="2768" priority="271" operator="containsText" text="Buy">
      <formula>NOT(ISERROR(SEARCH("Buy",E135)))</formula>
    </cfRule>
    <cfRule type="containsText" dxfId="2767" priority="272" operator="containsText" text="Sell">
      <formula>NOT(ISERROR(SEARCH("Sell",E135)))</formula>
    </cfRule>
  </conditionalFormatting>
  <conditionalFormatting sqref="E129:E130">
    <cfRule type="containsText" dxfId="2766" priority="269" operator="containsText" text="Buy">
      <formula>NOT(ISERROR(SEARCH("Buy",E129)))</formula>
    </cfRule>
    <cfRule type="containsText" dxfId="2765" priority="270" operator="containsText" text="Sell">
      <formula>NOT(ISERROR(SEARCH("Sell",E129)))</formula>
    </cfRule>
  </conditionalFormatting>
  <conditionalFormatting sqref="E156:E157">
    <cfRule type="containsText" dxfId="2764" priority="267" operator="containsText" text="Buy">
      <formula>NOT(ISERROR(SEARCH("Buy",E156)))</formula>
    </cfRule>
    <cfRule type="containsText" dxfId="2763" priority="268" operator="containsText" text="Sell">
      <formula>NOT(ISERROR(SEARCH("Sell",E156)))</formula>
    </cfRule>
  </conditionalFormatting>
  <conditionalFormatting sqref="E155">
    <cfRule type="containsText" dxfId="2762" priority="265" operator="containsText" text="Buy">
      <formula>NOT(ISERROR(SEARCH("Buy",E155)))</formula>
    </cfRule>
    <cfRule type="containsText" dxfId="2761" priority="266" operator="containsText" text="Sell">
      <formula>NOT(ISERROR(SEARCH("Sell",E155)))</formula>
    </cfRule>
  </conditionalFormatting>
  <conditionalFormatting sqref="E238">
    <cfRule type="containsText" dxfId="2760" priority="263" operator="containsText" text="Buy">
      <formula>NOT(ISERROR(SEARCH("Buy",E238)))</formula>
    </cfRule>
    <cfRule type="containsText" dxfId="2759" priority="264" operator="containsText" text="Sell">
      <formula>NOT(ISERROR(SEARCH("Sell",E238)))</formula>
    </cfRule>
  </conditionalFormatting>
  <conditionalFormatting sqref="E237">
    <cfRule type="containsText" dxfId="2758" priority="261" operator="containsText" text="Buy">
      <formula>NOT(ISERROR(SEARCH("Buy",E237)))</formula>
    </cfRule>
    <cfRule type="containsText" dxfId="2757" priority="262" operator="containsText" text="Sell">
      <formula>NOT(ISERROR(SEARCH("Sell",E237)))</formula>
    </cfRule>
  </conditionalFormatting>
  <conditionalFormatting sqref="E126:E127">
    <cfRule type="containsText" dxfId="2756" priority="259" operator="containsText" text="Buy">
      <formula>NOT(ISERROR(SEARCH("Buy",E126)))</formula>
    </cfRule>
    <cfRule type="containsText" dxfId="2755" priority="260" operator="containsText" text="Sell">
      <formula>NOT(ISERROR(SEARCH("Sell",E126)))</formula>
    </cfRule>
  </conditionalFormatting>
  <conditionalFormatting sqref="E125">
    <cfRule type="containsText" dxfId="2754" priority="257" operator="containsText" text="Buy">
      <formula>NOT(ISERROR(SEARCH("Buy",E125)))</formula>
    </cfRule>
    <cfRule type="containsText" dxfId="2753" priority="258" operator="containsText" text="Sell">
      <formula>NOT(ISERROR(SEARCH("Sell",E125)))</formula>
    </cfRule>
  </conditionalFormatting>
  <conditionalFormatting sqref="E124">
    <cfRule type="containsText" dxfId="2752" priority="255" operator="containsText" text="Buy">
      <formula>NOT(ISERROR(SEARCH("Buy",E124)))</formula>
    </cfRule>
    <cfRule type="containsText" dxfId="2751" priority="256" operator="containsText" text="Sell">
      <formula>NOT(ISERROR(SEARCH("Sell",E124)))</formula>
    </cfRule>
  </conditionalFormatting>
  <conditionalFormatting sqref="E121">
    <cfRule type="containsText" dxfId="2750" priority="253" operator="containsText" text="Buy">
      <formula>NOT(ISERROR(SEARCH("Buy",E121)))</formula>
    </cfRule>
    <cfRule type="containsText" dxfId="2749" priority="254" operator="containsText" text="Sell">
      <formula>NOT(ISERROR(SEARCH("Sell",E121)))</formula>
    </cfRule>
  </conditionalFormatting>
  <conditionalFormatting sqref="E120">
    <cfRule type="containsText" dxfId="2748" priority="251" operator="containsText" text="Buy">
      <formula>NOT(ISERROR(SEARCH("Buy",E120)))</formula>
    </cfRule>
    <cfRule type="containsText" dxfId="2747" priority="252" operator="containsText" text="Sell">
      <formula>NOT(ISERROR(SEARCH("Sell",E120)))</formula>
    </cfRule>
  </conditionalFormatting>
  <conditionalFormatting sqref="E117">
    <cfRule type="containsText" dxfId="2746" priority="249" operator="containsText" text="Buy">
      <formula>NOT(ISERROR(SEARCH("Buy",E117)))</formula>
    </cfRule>
    <cfRule type="containsText" dxfId="2745" priority="250" operator="containsText" text="Sell">
      <formula>NOT(ISERROR(SEARCH("Sell",E117)))</formula>
    </cfRule>
  </conditionalFormatting>
  <conditionalFormatting sqref="E116">
    <cfRule type="containsText" dxfId="2744" priority="247" operator="containsText" text="Buy">
      <formula>NOT(ISERROR(SEARCH("Buy",E116)))</formula>
    </cfRule>
    <cfRule type="containsText" dxfId="2743" priority="248" operator="containsText" text="Sell">
      <formula>NOT(ISERROR(SEARCH("Sell",E116)))</formula>
    </cfRule>
  </conditionalFormatting>
  <conditionalFormatting sqref="E115">
    <cfRule type="containsText" dxfId="2742" priority="245" operator="containsText" text="Buy">
      <formula>NOT(ISERROR(SEARCH("Buy",E115)))</formula>
    </cfRule>
    <cfRule type="containsText" dxfId="2741" priority="246" operator="containsText" text="Sell">
      <formula>NOT(ISERROR(SEARCH("Sell",E115)))</formula>
    </cfRule>
  </conditionalFormatting>
  <conditionalFormatting sqref="E113:E114">
    <cfRule type="containsText" dxfId="2740" priority="243" operator="containsText" text="Buy">
      <formula>NOT(ISERROR(SEARCH("Buy",E113)))</formula>
    </cfRule>
    <cfRule type="containsText" dxfId="2739" priority="244" operator="containsText" text="Sell">
      <formula>NOT(ISERROR(SEARCH("Sell",E113)))</formula>
    </cfRule>
  </conditionalFormatting>
  <conditionalFormatting sqref="E110 E106:E107">
    <cfRule type="containsText" dxfId="2738" priority="241" operator="containsText" text="Buy">
      <formula>NOT(ISERROR(SEARCH("Buy",E106)))</formula>
    </cfRule>
    <cfRule type="containsText" dxfId="2737" priority="242" operator="containsText" text="Sell">
      <formula>NOT(ISERROR(SEARCH("Sell",E106)))</formula>
    </cfRule>
  </conditionalFormatting>
  <conditionalFormatting sqref="E102">
    <cfRule type="containsText" dxfId="2736" priority="239" operator="containsText" text="Buy">
      <formula>NOT(ISERROR(SEARCH("Buy",E102)))</formula>
    </cfRule>
    <cfRule type="containsText" dxfId="2735" priority="240" operator="containsText" text="Sell">
      <formula>NOT(ISERROR(SEARCH("Sell",E102)))</formula>
    </cfRule>
  </conditionalFormatting>
  <conditionalFormatting sqref="E101">
    <cfRule type="containsText" dxfId="2734" priority="237" operator="containsText" text="Buy">
      <formula>NOT(ISERROR(SEARCH("Buy",E101)))</formula>
    </cfRule>
    <cfRule type="containsText" dxfId="2733" priority="238" operator="containsText" text="Sell">
      <formula>NOT(ISERROR(SEARCH("Sell",E101)))</formula>
    </cfRule>
  </conditionalFormatting>
  <conditionalFormatting sqref="E109">
    <cfRule type="containsText" dxfId="2732" priority="235" operator="containsText" text="Buy">
      <formula>NOT(ISERROR(SEARCH("Buy",E109)))</formula>
    </cfRule>
    <cfRule type="containsText" dxfId="2731" priority="236" operator="containsText" text="Sell">
      <formula>NOT(ISERROR(SEARCH("Sell",E109)))</formula>
    </cfRule>
  </conditionalFormatting>
  <conditionalFormatting sqref="E108">
    <cfRule type="containsText" dxfId="2730" priority="233" operator="containsText" text="Buy">
      <formula>NOT(ISERROR(SEARCH("Buy",E108)))</formula>
    </cfRule>
    <cfRule type="containsText" dxfId="2729" priority="234" operator="containsText" text="Sell">
      <formula>NOT(ISERROR(SEARCH("Sell",E108)))</formula>
    </cfRule>
  </conditionalFormatting>
  <conditionalFormatting sqref="E242">
    <cfRule type="containsText" dxfId="2728" priority="231" operator="containsText" text="Buy">
      <formula>NOT(ISERROR(SEARCH("Buy",E242)))</formula>
    </cfRule>
    <cfRule type="containsText" dxfId="2727" priority="232" operator="containsText" text="Sell">
      <formula>NOT(ISERROR(SEARCH("Sell",E242)))</formula>
    </cfRule>
  </conditionalFormatting>
  <conditionalFormatting sqref="E163">
    <cfRule type="containsText" dxfId="2726" priority="229" operator="containsText" text="Buy">
      <formula>NOT(ISERROR(SEARCH("Buy",E163)))</formula>
    </cfRule>
    <cfRule type="containsText" dxfId="2725" priority="230" operator="containsText" text="Sell">
      <formula>NOT(ISERROR(SEARCH("Sell",E163)))</formula>
    </cfRule>
  </conditionalFormatting>
  <conditionalFormatting sqref="E210">
    <cfRule type="containsText" dxfId="2724" priority="227" operator="containsText" text="Buy">
      <formula>NOT(ISERROR(SEARCH("Buy",E210)))</formula>
    </cfRule>
    <cfRule type="containsText" dxfId="2723" priority="228" operator="containsText" text="Sell">
      <formula>NOT(ISERROR(SEARCH("Sell",E210)))</formula>
    </cfRule>
  </conditionalFormatting>
  <conditionalFormatting sqref="E105">
    <cfRule type="containsText" dxfId="2722" priority="225" operator="containsText" text="Buy">
      <formula>NOT(ISERROR(SEARCH("Buy",E105)))</formula>
    </cfRule>
    <cfRule type="containsText" dxfId="2721" priority="226" operator="containsText" text="Sell">
      <formula>NOT(ISERROR(SEARCH("Sell",E105)))</formula>
    </cfRule>
  </conditionalFormatting>
  <conditionalFormatting sqref="E95">
    <cfRule type="containsText" dxfId="2720" priority="223" operator="containsText" text="Buy">
      <formula>NOT(ISERROR(SEARCH("Buy",E95)))</formula>
    </cfRule>
    <cfRule type="containsText" dxfId="2719" priority="224" operator="containsText" text="Sell">
      <formula>NOT(ISERROR(SEARCH("Sell",E95)))</formula>
    </cfRule>
  </conditionalFormatting>
  <conditionalFormatting sqref="E209">
    <cfRule type="containsText" dxfId="2718" priority="221" operator="containsText" text="Buy">
      <formula>NOT(ISERROR(SEARCH("Buy",E209)))</formula>
    </cfRule>
    <cfRule type="containsText" dxfId="2717" priority="222" operator="containsText" text="Sell">
      <formula>NOT(ISERROR(SEARCH("Sell",E209)))</formula>
    </cfRule>
  </conditionalFormatting>
  <conditionalFormatting sqref="E208">
    <cfRule type="containsText" dxfId="2716" priority="219" operator="containsText" text="Buy">
      <formula>NOT(ISERROR(SEARCH("Buy",E208)))</formula>
    </cfRule>
    <cfRule type="containsText" dxfId="2715" priority="220" operator="containsText" text="Sell">
      <formula>NOT(ISERROR(SEARCH("Sell",E208)))</formula>
    </cfRule>
  </conditionalFormatting>
  <conditionalFormatting sqref="E279:E281">
    <cfRule type="containsText" dxfId="2714" priority="217" operator="containsText" text="Buy">
      <formula>NOT(ISERROR(SEARCH("Buy",E279)))</formula>
    </cfRule>
    <cfRule type="containsText" dxfId="2713" priority="218" operator="containsText" text="Sell">
      <formula>NOT(ISERROR(SEARCH("Sell",E279)))</formula>
    </cfRule>
  </conditionalFormatting>
  <conditionalFormatting sqref="E264">
    <cfRule type="containsText" dxfId="2712" priority="215" operator="containsText" text="Buy">
      <formula>NOT(ISERROR(SEARCH("Buy",E264)))</formula>
    </cfRule>
    <cfRule type="containsText" dxfId="2711" priority="216" operator="containsText" text="Sell">
      <formula>NOT(ISERROR(SEARCH("Sell",E264)))</formula>
    </cfRule>
  </conditionalFormatting>
  <conditionalFormatting sqref="E263">
    <cfRule type="containsText" dxfId="2710" priority="213" operator="containsText" text="Buy">
      <formula>NOT(ISERROR(SEARCH("Buy",E263)))</formula>
    </cfRule>
    <cfRule type="containsText" dxfId="2709" priority="214" operator="containsText" text="Sell">
      <formula>NOT(ISERROR(SEARCH("Sell",E263)))</formula>
    </cfRule>
  </conditionalFormatting>
  <conditionalFormatting sqref="E100">
    <cfRule type="containsText" dxfId="2708" priority="211" operator="containsText" text="Buy">
      <formula>NOT(ISERROR(SEARCH("Buy",E100)))</formula>
    </cfRule>
    <cfRule type="containsText" dxfId="2707" priority="212" operator="containsText" text="Sell">
      <formula>NOT(ISERROR(SEARCH("Sell",E100)))</formula>
    </cfRule>
  </conditionalFormatting>
  <conditionalFormatting sqref="E229">
    <cfRule type="containsText" dxfId="2706" priority="209" operator="containsText" text="Buy">
      <formula>NOT(ISERROR(SEARCH("Buy",E229)))</formula>
    </cfRule>
    <cfRule type="containsText" dxfId="2705" priority="210" operator="containsText" text="Sell">
      <formula>NOT(ISERROR(SEARCH("Sell",E229)))</formula>
    </cfRule>
  </conditionalFormatting>
  <conditionalFormatting sqref="E226">
    <cfRule type="containsText" dxfId="2704" priority="207" operator="containsText" text="Buy">
      <formula>NOT(ISERROR(SEARCH("Buy",E226)))</formula>
    </cfRule>
    <cfRule type="containsText" dxfId="2703" priority="208" operator="containsText" text="Sell">
      <formula>NOT(ISERROR(SEARCH("Sell",E226)))</formula>
    </cfRule>
  </conditionalFormatting>
  <conditionalFormatting sqref="E91:E92">
    <cfRule type="containsText" dxfId="2702" priority="205" operator="containsText" text="Buy">
      <formula>NOT(ISERROR(SEARCH("Buy",E91)))</formula>
    </cfRule>
    <cfRule type="containsText" dxfId="2701" priority="206" operator="containsText" text="Sell">
      <formula>NOT(ISERROR(SEARCH("Sell",E91)))</formula>
    </cfRule>
  </conditionalFormatting>
  <conditionalFormatting sqref="E88:E89">
    <cfRule type="containsText" dxfId="2700" priority="203" operator="containsText" text="Buy">
      <formula>NOT(ISERROR(SEARCH("Buy",E88)))</formula>
    </cfRule>
    <cfRule type="containsText" dxfId="2699" priority="204" operator="containsText" text="Sell">
      <formula>NOT(ISERROR(SEARCH("Sell",E88)))</formula>
    </cfRule>
  </conditionalFormatting>
  <conditionalFormatting sqref="E262">
    <cfRule type="containsText" dxfId="2698" priority="201" operator="containsText" text="Buy">
      <formula>NOT(ISERROR(SEARCH("Buy",E262)))</formula>
    </cfRule>
    <cfRule type="containsText" dxfId="2697" priority="202" operator="containsText" text="Sell">
      <formula>NOT(ISERROR(SEARCH("Sell",E262)))</formula>
    </cfRule>
  </conditionalFormatting>
  <conditionalFormatting sqref="E85:E86">
    <cfRule type="containsText" dxfId="2696" priority="199" operator="containsText" text="Buy">
      <formula>NOT(ISERROR(SEARCH("Buy",E85)))</formula>
    </cfRule>
    <cfRule type="containsText" dxfId="2695" priority="200" operator="containsText" text="Sell">
      <formula>NOT(ISERROR(SEARCH("Sell",E85)))</formula>
    </cfRule>
  </conditionalFormatting>
  <conditionalFormatting sqref="E82:E83">
    <cfRule type="containsText" dxfId="2694" priority="197" operator="containsText" text="Buy">
      <formula>NOT(ISERROR(SEARCH("Buy",E82)))</formula>
    </cfRule>
    <cfRule type="containsText" dxfId="2693" priority="198" operator="containsText" text="Sell">
      <formula>NOT(ISERROR(SEARCH("Sell",E82)))</formula>
    </cfRule>
  </conditionalFormatting>
  <conditionalFormatting sqref="E154">
    <cfRule type="containsText" dxfId="2692" priority="195" operator="containsText" text="Buy">
      <formula>NOT(ISERROR(SEARCH("Buy",E154)))</formula>
    </cfRule>
    <cfRule type="containsText" dxfId="2691" priority="196" operator="containsText" text="Sell">
      <formula>NOT(ISERROR(SEARCH("Sell",E154)))</formula>
    </cfRule>
  </conditionalFormatting>
  <conditionalFormatting sqref="E80">
    <cfRule type="containsText" dxfId="2690" priority="193" operator="containsText" text="Buy">
      <formula>NOT(ISERROR(SEARCH("Buy",E80)))</formula>
    </cfRule>
    <cfRule type="containsText" dxfId="2689" priority="194" operator="containsText" text="Sell">
      <formula>NOT(ISERROR(SEARCH("Sell",E80)))</formula>
    </cfRule>
  </conditionalFormatting>
  <conditionalFormatting sqref="E79">
    <cfRule type="containsText" dxfId="2688" priority="191" operator="containsText" text="Buy">
      <formula>NOT(ISERROR(SEARCH("Buy",E79)))</formula>
    </cfRule>
    <cfRule type="containsText" dxfId="2687" priority="192" operator="containsText" text="Sell">
      <formula>NOT(ISERROR(SEARCH("Sell",E79)))</formula>
    </cfRule>
  </conditionalFormatting>
  <conditionalFormatting sqref="E291">
    <cfRule type="containsText" dxfId="2686" priority="189" operator="containsText" text="Buy">
      <formula>NOT(ISERROR(SEARCH("Buy",E291)))</formula>
    </cfRule>
    <cfRule type="containsText" dxfId="2685" priority="190" operator="containsText" text="Sell">
      <formula>NOT(ISERROR(SEARCH("Sell",E291)))</formula>
    </cfRule>
  </conditionalFormatting>
  <conditionalFormatting sqref="E308">
    <cfRule type="containsText" dxfId="2684" priority="187" operator="containsText" text="Buy">
      <formula>NOT(ISERROR(SEARCH("Buy",E308)))</formula>
    </cfRule>
    <cfRule type="containsText" dxfId="2683" priority="188" operator="containsText" text="Sell">
      <formula>NOT(ISERROR(SEARCH("Sell",E308)))</formula>
    </cfRule>
  </conditionalFormatting>
  <conditionalFormatting sqref="E71:E72">
    <cfRule type="containsText" dxfId="2682" priority="185" operator="containsText" text="Buy">
      <formula>NOT(ISERROR(SEARCH("Buy",E71)))</formula>
    </cfRule>
    <cfRule type="containsText" dxfId="2681" priority="186" operator="containsText" text="Sell">
      <formula>NOT(ISERROR(SEARCH("Sell",E71)))</formula>
    </cfRule>
  </conditionalFormatting>
  <conditionalFormatting sqref="E286">
    <cfRule type="containsText" dxfId="2680" priority="183" operator="containsText" text="Buy">
      <formula>NOT(ISERROR(SEARCH("Buy",E286)))</formula>
    </cfRule>
    <cfRule type="containsText" dxfId="2679" priority="184" operator="containsText" text="Sell">
      <formula>NOT(ISERROR(SEARCH("Sell",E286)))</formula>
    </cfRule>
  </conditionalFormatting>
  <conditionalFormatting sqref="E282">
    <cfRule type="containsText" dxfId="2678" priority="181" operator="containsText" text="Buy">
      <formula>NOT(ISERROR(SEARCH("Buy",E282)))</formula>
    </cfRule>
    <cfRule type="containsText" dxfId="2677" priority="182" operator="containsText" text="Sell">
      <formula>NOT(ISERROR(SEARCH("Sell",E282)))</formula>
    </cfRule>
  </conditionalFormatting>
  <conditionalFormatting sqref="E63 E60 E57 E54 E45 E39">
    <cfRule type="containsText" dxfId="2676" priority="179" operator="containsText" text="Buy">
      <formula>NOT(ISERROR(SEARCH("Buy",E39)))</formula>
    </cfRule>
    <cfRule type="containsText" dxfId="2675" priority="180" operator="containsText" text="Sell">
      <formula>NOT(ISERROR(SEARCH("Sell",E39)))</formula>
    </cfRule>
  </conditionalFormatting>
  <conditionalFormatting sqref="E153">
    <cfRule type="containsText" dxfId="2674" priority="177" operator="containsText" text="Buy">
      <formula>NOT(ISERROR(SEARCH("Buy",E153)))</formula>
    </cfRule>
    <cfRule type="containsText" dxfId="2673" priority="178" operator="containsText" text="Sell">
      <formula>NOT(ISERROR(SEARCH("Sell",E153)))</formula>
    </cfRule>
  </conditionalFormatting>
  <conditionalFormatting sqref="E207">
    <cfRule type="containsText" dxfId="2672" priority="175" operator="containsText" text="Buy">
      <formula>NOT(ISERROR(SEARCH("Buy",E207)))</formula>
    </cfRule>
    <cfRule type="containsText" dxfId="2671" priority="176" operator="containsText" text="Sell">
      <formula>NOT(ISERROR(SEARCH("Sell",E207)))</formula>
    </cfRule>
  </conditionalFormatting>
  <conditionalFormatting sqref="E162">
    <cfRule type="containsText" dxfId="2670" priority="173" operator="containsText" text="Buy">
      <formula>NOT(ISERROR(SEARCH("Buy",E162)))</formula>
    </cfRule>
    <cfRule type="containsText" dxfId="2669" priority="174" operator="containsText" text="Sell">
      <formula>NOT(ISERROR(SEARCH("Sell",E162)))</formula>
    </cfRule>
  </conditionalFormatting>
  <conditionalFormatting sqref="E97">
    <cfRule type="containsText" dxfId="2668" priority="171" operator="containsText" text="Buy">
      <formula>NOT(ISERROR(SEARCH("Buy",E97)))</formula>
    </cfRule>
    <cfRule type="containsText" dxfId="2667" priority="172" operator="containsText" text="Sell">
      <formula>NOT(ISERROR(SEARCH("Sell",E97)))</formula>
    </cfRule>
  </conditionalFormatting>
  <conditionalFormatting sqref="E30">
    <cfRule type="containsText" dxfId="2666" priority="169" operator="containsText" text="Buy">
      <formula>NOT(ISERROR(SEARCH("Buy",E30)))</formula>
    </cfRule>
    <cfRule type="containsText" dxfId="2665" priority="170" operator="containsText" text="Sell">
      <formula>NOT(ISERROR(SEARCH("Sell",E30)))</formula>
    </cfRule>
  </conditionalFormatting>
  <conditionalFormatting sqref="E253">
    <cfRule type="containsText" dxfId="2664" priority="167" operator="containsText" text="Buy">
      <formula>NOT(ISERROR(SEARCH("Buy",E253)))</formula>
    </cfRule>
    <cfRule type="containsText" dxfId="2663" priority="168" operator="containsText" text="Sell">
      <formula>NOT(ISERROR(SEARCH("Sell",E253)))</formula>
    </cfRule>
  </conditionalFormatting>
  <conditionalFormatting sqref="E68:E69">
    <cfRule type="containsText" dxfId="2662" priority="163" operator="containsText" text="Buy">
      <formula>NOT(ISERROR(SEARCH("Buy",E68)))</formula>
    </cfRule>
    <cfRule type="containsText" dxfId="2661" priority="164" operator="containsText" text="Sell">
      <formula>NOT(ISERROR(SEARCH("Sell",E68)))</formula>
    </cfRule>
  </conditionalFormatting>
  <conditionalFormatting sqref="E307">
    <cfRule type="containsText" dxfId="2660" priority="165" operator="containsText" text="Buy">
      <formula>NOT(ISERROR(SEARCH("Buy",E307)))</formula>
    </cfRule>
    <cfRule type="containsText" dxfId="2659" priority="166" operator="containsText" text="Sell">
      <formula>NOT(ISERROR(SEARCH("Sell",E307)))</formula>
    </cfRule>
  </conditionalFormatting>
  <conditionalFormatting sqref="E152">
    <cfRule type="containsText" dxfId="2658" priority="161" operator="containsText" text="Buy">
      <formula>NOT(ISERROR(SEARCH("Buy",E152)))</formula>
    </cfRule>
    <cfRule type="containsText" dxfId="2657" priority="162" operator="containsText" text="Sell">
      <formula>NOT(ISERROR(SEARCH("Sell",E152)))</formula>
    </cfRule>
  </conditionalFormatting>
  <conditionalFormatting sqref="E64:E65">
    <cfRule type="containsText" dxfId="2656" priority="157" operator="containsText" text="Buy">
      <formula>NOT(ISERROR(SEARCH("Buy",E64)))</formula>
    </cfRule>
    <cfRule type="containsText" dxfId="2655" priority="158" operator="containsText" text="Sell">
      <formula>NOT(ISERROR(SEARCH("Sell",E64)))</formula>
    </cfRule>
  </conditionalFormatting>
  <conditionalFormatting sqref="E225">
    <cfRule type="containsText" dxfId="2654" priority="159" operator="containsText" text="Buy">
      <formula>NOT(ISERROR(SEARCH("Buy",E225)))</formula>
    </cfRule>
    <cfRule type="containsText" dxfId="2653" priority="160" operator="containsText" text="Sell">
      <formula>NOT(ISERROR(SEARCH("Sell",E225)))</formula>
    </cfRule>
  </conditionalFormatting>
  <conditionalFormatting sqref="E302">
    <cfRule type="containsText" dxfId="2652" priority="155" operator="containsText" text="Buy">
      <formula>NOT(ISERROR(SEARCH("Buy",E302)))</formula>
    </cfRule>
    <cfRule type="containsText" dxfId="2651" priority="156" operator="containsText" text="Sell">
      <formula>NOT(ISERROR(SEARCH("Sell",E302)))</formula>
    </cfRule>
  </conditionalFormatting>
  <conditionalFormatting sqref="E61:E62">
    <cfRule type="containsText" dxfId="2650" priority="153" operator="containsText" text="Buy">
      <formula>NOT(ISERROR(SEARCH("Buy",E61)))</formula>
    </cfRule>
    <cfRule type="containsText" dxfId="2649" priority="154" operator="containsText" text="Sell">
      <formula>NOT(ISERROR(SEARCH("Sell",E61)))</formula>
    </cfRule>
  </conditionalFormatting>
  <conditionalFormatting sqref="E58:E59">
    <cfRule type="containsText" dxfId="2648" priority="151" operator="containsText" text="Buy">
      <formula>NOT(ISERROR(SEARCH("Buy",E58)))</formula>
    </cfRule>
    <cfRule type="containsText" dxfId="2647" priority="152" operator="containsText" text="Sell">
      <formula>NOT(ISERROR(SEARCH("Sell",E58)))</formula>
    </cfRule>
  </conditionalFormatting>
  <conditionalFormatting sqref="E192">
    <cfRule type="containsText" dxfId="2646" priority="149" operator="containsText" text="Buy">
      <formula>NOT(ISERROR(SEARCH("Buy",E192)))</formula>
    </cfRule>
    <cfRule type="containsText" dxfId="2645" priority="150" operator="containsText" text="Sell">
      <formula>NOT(ISERROR(SEARCH("Sell",E192)))</formula>
    </cfRule>
  </conditionalFormatting>
  <conditionalFormatting sqref="E306">
    <cfRule type="containsText" dxfId="2644" priority="147" operator="containsText" text="Buy">
      <formula>NOT(ISERROR(SEARCH("Buy",E306)))</formula>
    </cfRule>
    <cfRule type="containsText" dxfId="2643" priority="148" operator="containsText" text="Sell">
      <formula>NOT(ISERROR(SEARCH("Sell",E306)))</formula>
    </cfRule>
  </conditionalFormatting>
  <conditionalFormatting sqref="E290">
    <cfRule type="containsText" dxfId="2642" priority="145" operator="containsText" text="Buy">
      <formula>NOT(ISERROR(SEARCH("Buy",E290)))</formula>
    </cfRule>
    <cfRule type="containsText" dxfId="2641" priority="146" operator="containsText" text="Sell">
      <formula>NOT(ISERROR(SEARCH("Sell",E290)))</formula>
    </cfRule>
  </conditionalFormatting>
  <conditionalFormatting sqref="E67">
    <cfRule type="containsText" dxfId="2640" priority="143" operator="containsText" text="Buy">
      <formula>NOT(ISERROR(SEARCH("Buy",E67)))</formula>
    </cfRule>
    <cfRule type="containsText" dxfId="2639" priority="144" operator="containsText" text="Sell">
      <formula>NOT(ISERROR(SEARCH("Sell",E67)))</formula>
    </cfRule>
  </conditionalFormatting>
  <conditionalFormatting sqref="E55:E56">
    <cfRule type="containsText" dxfId="2638" priority="141" operator="containsText" text="Buy">
      <formula>NOT(ISERROR(SEARCH("Buy",E55)))</formula>
    </cfRule>
    <cfRule type="containsText" dxfId="2637" priority="142" operator="containsText" text="Sell">
      <formula>NOT(ISERROR(SEARCH("Sell",E55)))</formula>
    </cfRule>
  </conditionalFormatting>
  <conditionalFormatting sqref="E49:E51">
    <cfRule type="containsText" dxfId="2636" priority="139" operator="containsText" text="Buy">
      <formula>NOT(ISERROR(SEARCH("Buy",E49)))</formula>
    </cfRule>
    <cfRule type="containsText" dxfId="2635" priority="140" operator="containsText" text="Sell">
      <formula>NOT(ISERROR(SEARCH("Sell",E49)))</formula>
    </cfRule>
  </conditionalFormatting>
  <conditionalFormatting sqref="E74">
    <cfRule type="containsText" dxfId="2634" priority="137" operator="containsText" text="Buy">
      <formula>NOT(ISERROR(SEARCH("Buy",E74)))</formula>
    </cfRule>
    <cfRule type="containsText" dxfId="2633" priority="138" operator="containsText" text="Sell">
      <formula>NOT(ISERROR(SEARCH("Sell",E74)))</formula>
    </cfRule>
  </conditionalFormatting>
  <conditionalFormatting sqref="E252">
    <cfRule type="containsText" dxfId="2632" priority="135" operator="containsText" text="Buy">
      <formula>NOT(ISERROR(SEARCH("Buy",E252)))</formula>
    </cfRule>
    <cfRule type="containsText" dxfId="2631" priority="136" operator="containsText" text="Sell">
      <formula>NOT(ISERROR(SEARCH("Sell",E252)))</formula>
    </cfRule>
  </conditionalFormatting>
  <conditionalFormatting sqref="E223">
    <cfRule type="containsText" dxfId="2630" priority="131" operator="containsText" text="Buy">
      <formula>NOT(ISERROR(SEARCH("Buy",E223)))</formula>
    </cfRule>
    <cfRule type="containsText" dxfId="2629" priority="132" operator="containsText" text="Sell">
      <formula>NOT(ISERROR(SEARCH("Sell",E223)))</formula>
    </cfRule>
  </conditionalFormatting>
  <conditionalFormatting sqref="E182">
    <cfRule type="containsText" dxfId="2628" priority="129" operator="containsText" text="Buy">
      <formula>NOT(ISERROR(SEARCH("Buy",E182)))</formula>
    </cfRule>
    <cfRule type="containsText" dxfId="2627" priority="130" operator="containsText" text="Sell">
      <formula>NOT(ISERROR(SEARCH("Sell",E182)))</formula>
    </cfRule>
  </conditionalFormatting>
  <conditionalFormatting sqref="E224">
    <cfRule type="containsText" dxfId="2626" priority="133" operator="containsText" text="Buy">
      <formula>NOT(ISERROR(SEARCH("Buy",E224)))</formula>
    </cfRule>
    <cfRule type="containsText" dxfId="2625" priority="134" operator="containsText" text="Sell">
      <formula>NOT(ISERROR(SEARCH("Sell",E224)))</formula>
    </cfRule>
  </conditionalFormatting>
  <conditionalFormatting sqref="E23:E24">
    <cfRule type="containsText" dxfId="2624" priority="125" operator="containsText" text="Buy">
      <formula>NOT(ISERROR(SEARCH("Buy",E23)))</formula>
    </cfRule>
    <cfRule type="containsText" dxfId="2623" priority="126" operator="containsText" text="Sell">
      <formula>NOT(ISERROR(SEARCH("Sell",E23)))</formula>
    </cfRule>
  </conditionalFormatting>
  <conditionalFormatting sqref="E112">
    <cfRule type="containsText" dxfId="2622" priority="127" operator="containsText" text="Buy">
      <formula>NOT(ISERROR(SEARCH("Buy",E112)))</formula>
    </cfRule>
    <cfRule type="containsText" dxfId="2621" priority="128" operator="containsText" text="Sell">
      <formula>NOT(ISERROR(SEARCH("Sell",E112)))</formula>
    </cfRule>
  </conditionalFormatting>
  <conditionalFormatting sqref="E22">
    <cfRule type="containsText" dxfId="2620" priority="123" operator="containsText" text="Buy">
      <formula>NOT(ISERROR(SEARCH("Buy",E22)))</formula>
    </cfRule>
    <cfRule type="containsText" dxfId="2619" priority="124" operator="containsText" text="Sell">
      <formula>NOT(ISERROR(SEARCH("Sell",E22)))</formula>
    </cfRule>
  </conditionalFormatting>
  <conditionalFormatting sqref="E40:E42">
    <cfRule type="containsText" dxfId="2618" priority="121" operator="containsText" text="Buy">
      <formula>NOT(ISERROR(SEARCH("Buy",E40)))</formula>
    </cfRule>
    <cfRule type="containsText" dxfId="2617" priority="122" operator="containsText" text="Sell">
      <formula>NOT(ISERROR(SEARCH("Sell",E40)))</formula>
    </cfRule>
  </conditionalFormatting>
  <conditionalFormatting sqref="E33">
    <cfRule type="containsText" dxfId="2616" priority="119" operator="containsText" text="Buy">
      <formula>NOT(ISERROR(SEARCH("Buy",E33)))</formula>
    </cfRule>
    <cfRule type="containsText" dxfId="2615" priority="120" operator="containsText" text="Sell">
      <formula>NOT(ISERROR(SEARCH("Sell",E33)))</formula>
    </cfRule>
  </conditionalFormatting>
  <conditionalFormatting sqref="E34:E36">
    <cfRule type="containsText" dxfId="2614" priority="117" operator="containsText" text="Buy">
      <formula>NOT(ISERROR(SEARCH("Buy",E34)))</formula>
    </cfRule>
    <cfRule type="containsText" dxfId="2613" priority="118" operator="containsText" text="Sell">
      <formula>NOT(ISERROR(SEARCH("Sell",E34)))</formula>
    </cfRule>
  </conditionalFormatting>
  <conditionalFormatting sqref="E37:E38">
    <cfRule type="containsText" dxfId="2612" priority="115" operator="containsText" text="Buy">
      <formula>NOT(ISERROR(SEARCH("Buy",E37)))</formula>
    </cfRule>
    <cfRule type="containsText" dxfId="2611" priority="116" operator="containsText" text="Sell">
      <formula>NOT(ISERROR(SEARCH("Sell",E37)))</formula>
    </cfRule>
  </conditionalFormatting>
  <conditionalFormatting sqref="E52:E53">
    <cfRule type="containsText" dxfId="2610" priority="113" operator="containsText" text="Buy">
      <formula>NOT(ISERROR(SEARCH("Buy",E52)))</formula>
    </cfRule>
    <cfRule type="containsText" dxfId="2609" priority="114" operator="containsText" text="Sell">
      <formula>NOT(ISERROR(SEARCH("Sell",E52)))</formula>
    </cfRule>
  </conditionalFormatting>
  <conditionalFormatting sqref="E94">
    <cfRule type="containsText" dxfId="2608" priority="111" operator="containsText" text="Buy">
      <formula>NOT(ISERROR(SEARCH("Buy",E94)))</formula>
    </cfRule>
    <cfRule type="containsText" dxfId="2607" priority="112" operator="containsText" text="Sell">
      <formula>NOT(ISERROR(SEARCH("Sell",E94)))</formula>
    </cfRule>
  </conditionalFormatting>
  <conditionalFormatting sqref="E46:E47">
    <cfRule type="containsText" dxfId="2606" priority="107" operator="containsText" text="Buy">
      <formula>NOT(ISERROR(SEARCH("Buy",E46)))</formula>
    </cfRule>
    <cfRule type="containsText" dxfId="2605" priority="108" operator="containsText" text="Sell">
      <formula>NOT(ISERROR(SEARCH("Sell",E46)))</formula>
    </cfRule>
  </conditionalFormatting>
  <conditionalFormatting sqref="E43:E44">
    <cfRule type="containsText" dxfId="2604" priority="109" operator="containsText" text="Buy">
      <formula>NOT(ISERROR(SEARCH("Buy",E43)))</formula>
    </cfRule>
    <cfRule type="containsText" dxfId="2603" priority="110" operator="containsText" text="Sell">
      <formula>NOT(ISERROR(SEARCH("Sell",E43)))</formula>
    </cfRule>
  </conditionalFormatting>
  <conditionalFormatting sqref="E259">
    <cfRule type="containsText" dxfId="2602" priority="105" operator="containsText" text="Buy">
      <formula>NOT(ISERROR(SEARCH("Buy",E259)))</formula>
    </cfRule>
    <cfRule type="containsText" dxfId="2601" priority="106" operator="containsText" text="Sell">
      <formula>NOT(ISERROR(SEARCH("Sell",E259)))</formula>
    </cfRule>
  </conditionalFormatting>
  <conditionalFormatting sqref="E78">
    <cfRule type="containsText" dxfId="2600" priority="103" operator="containsText" text="Buy">
      <formula>NOT(ISERROR(SEARCH("Buy",E78)))</formula>
    </cfRule>
    <cfRule type="containsText" dxfId="2599" priority="104" operator="containsText" text="Sell">
      <formula>NOT(ISERROR(SEARCH("Sell",E78)))</formula>
    </cfRule>
  </conditionalFormatting>
  <conditionalFormatting sqref="E77">
    <cfRule type="containsText" dxfId="2598" priority="101" operator="containsText" text="Buy">
      <formula>NOT(ISERROR(SEARCH("Buy",E77)))</formula>
    </cfRule>
    <cfRule type="containsText" dxfId="2597" priority="102" operator="containsText" text="Sell">
      <formula>NOT(ISERROR(SEARCH("Sell",E77)))</formula>
    </cfRule>
  </conditionalFormatting>
  <conditionalFormatting sqref="E76">
    <cfRule type="containsText" dxfId="2596" priority="99" operator="containsText" text="Buy">
      <formula>NOT(ISERROR(SEARCH("Buy",E76)))</formula>
    </cfRule>
    <cfRule type="containsText" dxfId="2595" priority="100" operator="containsText" text="Sell">
      <formula>NOT(ISERROR(SEARCH("Sell",E76)))</formula>
    </cfRule>
  </conditionalFormatting>
  <conditionalFormatting sqref="E75">
    <cfRule type="containsText" dxfId="2594" priority="97" operator="containsText" text="Buy">
      <formula>NOT(ISERROR(SEARCH("Buy",E75)))</formula>
    </cfRule>
    <cfRule type="containsText" dxfId="2593" priority="98" operator="containsText" text="Sell">
      <formula>NOT(ISERROR(SEARCH("Sell",E75)))</formula>
    </cfRule>
  </conditionalFormatting>
  <conditionalFormatting sqref="E98:E99">
    <cfRule type="containsText" dxfId="2592" priority="95" operator="containsText" text="Buy">
      <formula>NOT(ISERROR(SEARCH("Buy",E98)))</formula>
    </cfRule>
    <cfRule type="containsText" dxfId="2591" priority="96" operator="containsText" text="Sell">
      <formula>NOT(ISERROR(SEARCH("Sell",E98)))</formula>
    </cfRule>
  </conditionalFormatting>
  <conditionalFormatting sqref="E172:E174">
    <cfRule type="containsText" dxfId="2590" priority="93" operator="containsText" text="Buy">
      <formula>NOT(ISERROR(SEARCH("Buy",E172)))</formula>
    </cfRule>
    <cfRule type="containsText" dxfId="2589" priority="94" operator="containsText" text="Sell">
      <formula>NOT(ISERROR(SEARCH("Sell",E172)))</formula>
    </cfRule>
  </conditionalFormatting>
  <conditionalFormatting sqref="E151">
    <cfRule type="containsText" dxfId="2588" priority="91" operator="containsText" text="Buy">
      <formula>NOT(ISERROR(SEARCH("Buy",E151)))</formula>
    </cfRule>
    <cfRule type="containsText" dxfId="2587" priority="92" operator="containsText" text="Sell">
      <formula>NOT(ISERROR(SEARCH("Sell",E151)))</formula>
    </cfRule>
  </conditionalFormatting>
  <conditionalFormatting sqref="E150">
    <cfRule type="containsText" dxfId="2586" priority="89" operator="containsText" text="Buy">
      <formula>NOT(ISERROR(SEARCH("Buy",E150)))</formula>
    </cfRule>
    <cfRule type="containsText" dxfId="2585" priority="90" operator="containsText" text="Sell">
      <formula>NOT(ISERROR(SEARCH("Sell",E150)))</formula>
    </cfRule>
  </conditionalFormatting>
  <conditionalFormatting sqref="E149">
    <cfRule type="containsText" dxfId="2584" priority="85" operator="containsText" text="Buy">
      <formula>NOT(ISERROR(SEARCH("Buy",E149)))</formula>
    </cfRule>
    <cfRule type="containsText" dxfId="2583" priority="86" operator="containsText" text="Sell">
      <formula>NOT(ISERROR(SEARCH("Sell",E149)))</formula>
    </cfRule>
  </conditionalFormatting>
  <conditionalFormatting sqref="E144">
    <cfRule type="containsText" dxfId="2582" priority="87" operator="containsText" text="Buy">
      <formula>NOT(ISERROR(SEARCH("Buy",E144)))</formula>
    </cfRule>
    <cfRule type="containsText" dxfId="2581" priority="88" operator="containsText" text="Sell">
      <formula>NOT(ISERROR(SEARCH("Sell",E144)))</formula>
    </cfRule>
  </conditionalFormatting>
  <conditionalFormatting sqref="E148">
    <cfRule type="containsText" dxfId="2580" priority="83" operator="containsText" text="Buy">
      <formula>NOT(ISERROR(SEARCH("Buy",E148)))</formula>
    </cfRule>
    <cfRule type="containsText" dxfId="2579" priority="84" operator="containsText" text="Sell">
      <formula>NOT(ISERROR(SEARCH("Sell",E148)))</formula>
    </cfRule>
  </conditionalFormatting>
  <conditionalFormatting sqref="E258">
    <cfRule type="containsText" dxfId="2578" priority="81" operator="containsText" text="Buy">
      <formula>NOT(ISERROR(SEARCH("Buy",E258)))</formula>
    </cfRule>
    <cfRule type="containsText" dxfId="2577" priority="82" operator="containsText" text="Sell">
      <formula>NOT(ISERROR(SEARCH("Sell",E258)))</formula>
    </cfRule>
  </conditionalFormatting>
  <conditionalFormatting sqref="E133:E134">
    <cfRule type="containsText" dxfId="2576" priority="79" operator="containsText" text="Buy">
      <formula>NOT(ISERROR(SEARCH("Buy",E133)))</formula>
    </cfRule>
    <cfRule type="containsText" dxfId="2575" priority="80" operator="containsText" text="Sell">
      <formula>NOT(ISERROR(SEARCH("Sell",E133)))</formula>
    </cfRule>
  </conditionalFormatting>
  <conditionalFormatting sqref="E257">
    <cfRule type="containsText" dxfId="2574" priority="77" operator="containsText" text="Buy">
      <formula>NOT(ISERROR(SEARCH("Buy",E257)))</formula>
    </cfRule>
    <cfRule type="containsText" dxfId="2573" priority="78" operator="containsText" text="Sell">
      <formula>NOT(ISERROR(SEARCH("Sell",E257)))</formula>
    </cfRule>
  </conditionalFormatting>
  <conditionalFormatting sqref="E132">
    <cfRule type="containsText" dxfId="2572" priority="75" operator="containsText" text="Buy">
      <formula>NOT(ISERROR(SEARCH("Buy",E132)))</formula>
    </cfRule>
    <cfRule type="containsText" dxfId="2571" priority="76" operator="containsText" text="Sell">
      <formula>NOT(ISERROR(SEARCH("Sell",E132)))</formula>
    </cfRule>
  </conditionalFormatting>
  <conditionalFormatting sqref="E256">
    <cfRule type="containsText" dxfId="2570" priority="73" operator="containsText" text="Buy">
      <formula>NOT(ISERROR(SEARCH("Buy",E256)))</formula>
    </cfRule>
    <cfRule type="containsText" dxfId="2569" priority="74" operator="containsText" text="Sell">
      <formula>NOT(ISERROR(SEARCH("Sell",E256)))</formula>
    </cfRule>
  </conditionalFormatting>
  <conditionalFormatting sqref="E139">
    <cfRule type="containsText" dxfId="2568" priority="71" operator="containsText" text="Buy">
      <formula>NOT(ISERROR(SEARCH("Buy",E139)))</formula>
    </cfRule>
    <cfRule type="containsText" dxfId="2567" priority="72" operator="containsText" text="Sell">
      <formula>NOT(ISERROR(SEARCH("Sell",E139)))</formula>
    </cfRule>
  </conditionalFormatting>
  <conditionalFormatting sqref="E143">
    <cfRule type="containsText" dxfId="2566" priority="69" operator="containsText" text="Buy">
      <formula>NOT(ISERROR(SEARCH("Buy",E143)))</formula>
    </cfRule>
    <cfRule type="containsText" dxfId="2565" priority="70" operator="containsText" text="Sell">
      <formula>NOT(ISERROR(SEARCH("Sell",E143)))</formula>
    </cfRule>
  </conditionalFormatting>
  <conditionalFormatting sqref="E25">
    <cfRule type="containsText" dxfId="2564" priority="63" operator="containsText" text="Buy">
      <formula>NOT(ISERROR(SEARCH("Buy",E25)))</formula>
    </cfRule>
    <cfRule type="containsText" dxfId="2563" priority="64" operator="containsText" text="Sell">
      <formula>NOT(ISERROR(SEARCH("Sell",E25)))</formula>
    </cfRule>
  </conditionalFormatting>
  <conditionalFormatting sqref="E138">
    <cfRule type="containsText" dxfId="2562" priority="67" operator="containsText" text="Buy">
      <formula>NOT(ISERROR(SEARCH("Buy",E138)))</formula>
    </cfRule>
    <cfRule type="containsText" dxfId="2561" priority="68" operator="containsText" text="Sell">
      <formula>NOT(ISERROR(SEARCH("Sell",E138)))</formula>
    </cfRule>
  </conditionalFormatting>
  <conditionalFormatting sqref="E26:E27">
    <cfRule type="containsText" dxfId="2560" priority="65" operator="containsText" text="Buy">
      <formula>NOT(ISERROR(SEARCH("Buy",E26)))</formula>
    </cfRule>
    <cfRule type="containsText" dxfId="2559" priority="66" operator="containsText" text="Sell">
      <formula>NOT(ISERROR(SEARCH("Sell",E26)))</formula>
    </cfRule>
  </conditionalFormatting>
  <conditionalFormatting sqref="E29">
    <cfRule type="containsText" dxfId="2558" priority="61" operator="containsText" text="Buy">
      <formula>NOT(ISERROR(SEARCH("Buy",E29)))</formula>
    </cfRule>
    <cfRule type="containsText" dxfId="2557" priority="62" operator="containsText" text="Sell">
      <formula>NOT(ISERROR(SEARCH("Sell",E29)))</formula>
    </cfRule>
  </conditionalFormatting>
  <conditionalFormatting sqref="E28">
    <cfRule type="containsText" dxfId="2556" priority="59" operator="containsText" text="Buy">
      <formula>NOT(ISERROR(SEARCH("Buy",E28)))</formula>
    </cfRule>
    <cfRule type="containsText" dxfId="2555" priority="60" operator="containsText" text="Sell">
      <formula>NOT(ISERROR(SEARCH("Sell",E28)))</formula>
    </cfRule>
  </conditionalFormatting>
  <conditionalFormatting sqref="E31">
    <cfRule type="containsText" dxfId="2554" priority="55" operator="containsText" text="Buy">
      <formula>NOT(ISERROR(SEARCH("Buy",E31)))</formula>
    </cfRule>
    <cfRule type="containsText" dxfId="2553" priority="56" operator="containsText" text="Sell">
      <formula>NOT(ISERROR(SEARCH("Sell",E31)))</formula>
    </cfRule>
  </conditionalFormatting>
  <conditionalFormatting sqref="E32">
    <cfRule type="containsText" dxfId="2552" priority="57" operator="containsText" text="Buy">
      <formula>NOT(ISERROR(SEARCH("Buy",E32)))</formula>
    </cfRule>
    <cfRule type="containsText" dxfId="2551" priority="58" operator="containsText" text="Sell">
      <formula>NOT(ISERROR(SEARCH("Sell",E32)))</formula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{5EE26DD1-0FD1-4A79-85D3-E160E3419385}</x14:id>
        </ext>
      </extLst>
    </cfRule>
  </conditionalFormatting>
  <conditionalFormatting sqref="S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{762D0DD3-FFF0-4649-9717-3F0B4F449611}</x14:id>
        </ext>
      </extLst>
    </cfRule>
  </conditionalFormatting>
  <conditionalFormatting sqref="I5:J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{FA368BA2-2587-4FB7-9269-B4394BDC43CD}</x14:id>
        </ext>
      </extLst>
    </cfRule>
  </conditionalFormatting>
  <conditionalFormatting sqref="I5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{D937A87D-286D-4A5F-BBB3-086C061F54D7}</x14:id>
        </ext>
      </extLst>
    </cfRule>
  </conditionalFormatting>
  <conditionalFormatting sqref="J5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{B564568B-EF3E-4F36-BA91-C79F1E554BAF}</x14:id>
        </ext>
      </extLst>
    </cfRule>
  </conditionalFormatting>
  <conditionalFormatting sqref="J5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{2007D341-F254-49B1-8A84-19586B0FEC26}</x14:id>
        </ext>
      </extLst>
    </cfRule>
  </conditionalFormatting>
  <conditionalFormatting sqref="I5:J5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{4C6CB8A5-A137-4570-B286-6D4AFB52EA6A}</x14:id>
        </ext>
      </extLst>
    </cfRule>
  </conditionalFormatting>
  <conditionalFormatting sqref="I5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{5336567D-97ED-4816-9774-AA792CF875A7}</x14:id>
        </ext>
      </extLst>
    </cfRule>
  </conditionalFormatting>
  <conditionalFormatting sqref="R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{9149AB9A-49CE-4FD0-8065-D2E83BBA1714}</x14:id>
        </ext>
      </extLst>
    </cfRule>
  </conditionalFormatting>
  <conditionalFormatting sqref="S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{FD6B85FB-477A-43EC-BB29-15618D00C5DE}</x14:id>
        </ext>
      </extLst>
    </cfRule>
  </conditionalFormatting>
  <conditionalFormatting sqref="I6:J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{4C61B377-B501-4511-981F-93B438F4E8BD}</x14:id>
        </ext>
      </extLst>
    </cfRule>
  </conditionalFormatting>
  <conditionalFormatting sqref="I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{0A87829B-6E2D-4B53-9FDF-30D001AE1235}</x14:id>
        </ext>
      </extLst>
    </cfRule>
  </conditionalFormatting>
  <conditionalFormatting sqref="J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{4AF22671-648A-4042-9BB6-A6D332CB8D3C}</x14:id>
        </ext>
      </extLst>
    </cfRule>
  </conditionalFormatting>
  <conditionalFormatting sqref="J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{47CB9678-93C9-412C-8093-45A475EAE726}</x14:id>
        </ext>
      </extLst>
    </cfRule>
  </conditionalFormatting>
  <conditionalFormatting sqref="I6:J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{71881AB1-F583-42EE-A98C-C4527C9C9944}</x14:id>
        </ext>
      </extLst>
    </cfRule>
  </conditionalFormatting>
  <conditionalFormatting sqref="I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{3AF81F3A-3150-4013-9931-45265EF4B9C6}</x14:id>
        </ext>
      </extLst>
    </cfRule>
  </conditionalFormatting>
  <conditionalFormatting sqref="R4">
    <cfRule type="dataBar" priority="4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{FFCF1C8E-4C87-47C2-927D-FA65CD0CC4BE}</x14:id>
        </ext>
      </extLst>
    </cfRule>
  </conditionalFormatting>
  <conditionalFormatting sqref="S4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{2B2882DC-FF17-4CC8-9F21-030B856D9FA3}</x14:id>
        </ext>
      </extLst>
    </cfRule>
  </conditionalFormatting>
  <conditionalFormatting sqref="I4:J4">
    <cfRule type="dataBar" priority="4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{0F28A5B0-447D-4D40-BD66-CD29C790E336}</x14:id>
        </ext>
      </extLst>
    </cfRule>
  </conditionalFormatting>
  <conditionalFormatting sqref="I4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{6D20C908-96BB-4AE5-A948-EAE8F3ACA010}</x14:id>
        </ext>
      </extLst>
    </cfRule>
  </conditionalFormatting>
  <conditionalFormatting sqref="J4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{EA62389E-4269-4672-84FB-8F93D17A8104}</x14:id>
        </ext>
      </extLst>
    </cfRule>
  </conditionalFormatting>
  <conditionalFormatting sqref="J4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{F0048E2D-4647-40EE-8C6F-B5A68596540B}</x14:id>
        </ext>
      </extLst>
    </cfRule>
  </conditionalFormatting>
  <conditionalFormatting sqref="I4:J4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{A9BAE765-226D-43C8-8167-CAC4ACCDF425}</x14:id>
        </ext>
      </extLst>
    </cfRule>
  </conditionalFormatting>
  <conditionalFormatting sqref="I4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{DD73DE41-0DE5-4EAF-A0F6-9159FF06B58D}</x14:id>
        </ext>
      </extLst>
    </cfRule>
  </conditionalFormatting>
  <conditionalFormatting sqref="R5:S5">
    <cfRule type="dataBar" priority="31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{BE91936E-187F-4194-A9C5-F7B2171CBD5A}</x14:id>
        </ext>
      </extLst>
    </cfRule>
  </conditionalFormatting>
  <conditionalFormatting sqref="R6:S6">
    <cfRule type="dataBar" priority="31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{77469040-2BFD-4BCB-8CB0-30C8ADAF5B21}</x14:id>
        </ext>
      </extLst>
    </cfRule>
  </conditionalFormatting>
  <conditionalFormatting sqref="R4:S4">
    <cfRule type="dataBar" priority="313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{D0CD54C3-039F-430B-94DA-D79D44E6B0B8}</x14:id>
        </ext>
      </extLst>
    </cfRule>
  </conditionalFormatting>
  <conditionalFormatting sqref="R5:S5">
    <cfRule type="dataBar" priority="3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{747EACC9-0DB6-4807-8CB5-1EA9F5792786}</x14:id>
        </ext>
      </extLst>
    </cfRule>
  </conditionalFormatting>
  <conditionalFormatting sqref="R6:S6">
    <cfRule type="dataBar" priority="3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{7D0314AE-DEF2-4E42-9EA2-C23A904430FE}</x14:id>
        </ext>
      </extLst>
    </cfRule>
  </conditionalFormatting>
  <conditionalFormatting sqref="R4:S4">
    <cfRule type="dataBar" priority="3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{A5FC26A8-1E6D-4DEE-A6FD-A414C5163DA6}</x14:id>
        </ext>
      </extLst>
    </cfRule>
  </conditionalFormatting>
  <conditionalFormatting sqref="I4:J6">
    <cfRule type="dataBar" priority="315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{AFA79FF6-44EF-4340-BEF8-81697FF314EF}</x14:id>
        </ext>
      </extLst>
    </cfRule>
  </conditionalFormatting>
  <conditionalFormatting sqref="R4:S6">
    <cfRule type="dataBar" priority="315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{F4053097-9EED-4E76-AA7D-E2AE5A3F5A20}</x14:id>
        </ext>
      </extLst>
    </cfRule>
  </conditionalFormatting>
  <conditionalFormatting sqref="Q4:Q8">
    <cfRule type="dataBar" priority="315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{27046F74-6175-41CA-8017-2CAA58218FE6}</x14:id>
        </ext>
      </extLst>
    </cfRule>
  </conditionalFormatting>
  <pageMargins left="0.25" right="0.25" top="0.75" bottom="0.75" header="0.3" footer="0.3"/>
  <pageSetup paperSize="9" scale="1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EE2463-734F-48CF-9214-F48EA18373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5EE26DD1-0FD1-4A79-85D3-E160E34193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762D0DD3-FFF0-4649-9717-3F0B4F4496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FA368BA2-2587-4FB7-9269-B4394BDC43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D937A87D-286D-4A5F-BBB3-086C061F54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64568B-EF3E-4F36-BA91-C79F1E554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2007D341-F254-49B1-8A84-19586B0FEC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C6CB8A5-A137-4570-B286-6D4AFB52EA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5336567D-97ED-4816-9774-AA792CF875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149AB9A-49CE-4FD0-8065-D2E83BBA17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FD6B85FB-477A-43EC-BB29-15618D00C5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4C61B377-B501-4511-981F-93B438F4E8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0A87829B-6E2D-4B53-9FDF-30D001AE1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4AF22671-648A-4042-9BB6-A6D332CB8D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7CB9678-93C9-412C-8093-45A475EAE7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881AB1-F583-42EE-A98C-C4527C9C9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3AF81F3A-3150-4013-9931-45265EF4B9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FCF1C8E-4C87-47C2-927D-FA65CD0CC4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2B2882DC-FF17-4CC8-9F21-030B856D9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0F28A5B0-447D-4D40-BD66-CD29C790E3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6D20C908-96BB-4AE5-A948-EAE8F3ACA0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A62389E-4269-4672-84FB-8F93D17A81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0048E2D-4647-40EE-8C6F-B5A685965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A9BAE765-226D-43C8-8167-CAC4ACCDF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DD73DE41-0DE5-4EAF-A0F6-9159FF06B5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E91936E-187F-4194-A9C5-F7B2171CBD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7469040-2BFD-4BCB-8CB0-30C8ADAF5B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D0CD54C3-039F-430B-94DA-D79D44E6B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747EACC9-0DB6-4807-8CB5-1EA9F5792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R5:S5</xm:sqref>
        </x14:conditionalFormatting>
        <x14:conditionalFormatting xmlns:xm="http://schemas.microsoft.com/office/excel/2006/main">
          <x14:cfRule type="dataBar" id="{7D0314AE-DEF2-4E42-9EA2-C23A904430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R6:S6</xm:sqref>
        </x14:conditionalFormatting>
        <x14:conditionalFormatting xmlns:xm="http://schemas.microsoft.com/office/excel/2006/main">
          <x14:cfRule type="dataBar" id="{A5FC26A8-1E6D-4DEE-A6FD-A414C5163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R4:S4</xm:sqref>
        </x14:conditionalFormatting>
        <x14:conditionalFormatting xmlns:xm="http://schemas.microsoft.com/office/excel/2006/main">
          <x14:cfRule type="dataBar" id="{AFA79FF6-44EF-4340-BEF8-81697FF31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F4053097-9EED-4E76-AA7D-E2AE5A3F5A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R4:S6</xm:sqref>
        </x14:conditionalFormatting>
        <x14:conditionalFormatting xmlns:xm="http://schemas.microsoft.com/office/excel/2006/main">
          <x14:cfRule type="dataBar" id="{27046F74-6175-41CA-8017-2CAA58218F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A352"/>
  <sheetViews>
    <sheetView workbookViewId="0">
      <selection activeCell="J4" sqref="J4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B1" s="146" t="s">
        <v>677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A3" s="32" t="s">
        <v>416</v>
      </c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676</v>
      </c>
      <c r="B4" s="197" t="s">
        <v>183</v>
      </c>
      <c r="C4" s="196" t="str">
        <f>$C$22</f>
        <v>SNGSP RX Equity</v>
      </c>
      <c r="D4" s="198" t="e">
        <f ca="1">M4/$M$8</f>
        <v>#NAME?</v>
      </c>
      <c r="E4" s="123">
        <f>$F$23</f>
        <v>51600</v>
      </c>
      <c r="F4" s="268">
        <f>$H$23</f>
        <v>39.06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2015496.0000000002</v>
      </c>
      <c r="L4" s="123" t="e">
        <f ca="1">$J$23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676</v>
      </c>
      <c r="B5" s="197" t="s">
        <v>333</v>
      </c>
      <c r="C5" s="196" t="str">
        <f>$C$25</f>
        <v>RUALR RX Equity</v>
      </c>
      <c r="D5" s="198" t="e">
        <f ca="1">M5/$M$8</f>
        <v>#NAME?</v>
      </c>
      <c r="E5" s="123">
        <f>$F$26</f>
        <v>6550</v>
      </c>
      <c r="F5" s="268">
        <f>$H$26</f>
        <v>229.31908400000003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>
        <f>E5*F5</f>
        <v>1502040.0002000001</v>
      </c>
      <c r="L5" s="123" t="e">
        <f ca="1">$J$26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650</v>
      </c>
      <c r="B6" s="197" t="s">
        <v>205</v>
      </c>
      <c r="C6" s="196" t="str">
        <f>$C$28</f>
        <v>VIP US Equity</v>
      </c>
      <c r="D6" s="198" t="e">
        <f ca="1">M6/$M$8</f>
        <v>#NAME?</v>
      </c>
      <c r="E6" s="123">
        <f>$F$29</f>
        <v>5500</v>
      </c>
      <c r="F6" s="268">
        <f>$H$29</f>
        <v>3.6</v>
      </c>
      <c r="G6" s="268" t="e">
        <f ca="1">_xll.BDP($C6,"PX_LAST")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$K$29</f>
        <v>#NAME?</v>
      </c>
      <c r="L6" s="123">
        <f>F6*E6</f>
        <v>19800</v>
      </c>
      <c r="M6" s="123" t="e">
        <f ca="1">E6*G6*$I$1</f>
        <v>#NAME?</v>
      </c>
      <c r="N6" s="123" t="e">
        <f ca="1">M6/$I$1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P6*$I$1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 t="e">
        <f ca="1">_xll.BDP($C6,"EXPECTED_REPORT_DT")</f>
        <v>#NAME?</v>
      </c>
      <c r="Z6" s="263" t="e">
        <f ca="1">_xll.BDP($C6,"DVD_EX_DT")</f>
        <v>#NAME?</v>
      </c>
      <c r="AA6" s="267">
        <f ca="1">IF(ISERROR(_xll.BDP($C6,"DVD_SH_LAST")*$E6),0,_xll.BDP($C6,"DVD_SH_LAST")*$E6)</f>
        <v>0</v>
      </c>
    </row>
    <row r="7" spans="1:27" x14ac:dyDescent="0.2">
      <c r="B7" s="68" t="s">
        <v>106</v>
      </c>
      <c r="C7" s="68" t="s">
        <v>106</v>
      </c>
      <c r="D7" s="262" t="e">
        <f ca="1">M7/$M$8</f>
        <v>#NAME?</v>
      </c>
      <c r="E7" s="262"/>
      <c r="F7" s="262"/>
      <c r="G7" s="66"/>
      <c r="H7" s="177"/>
      <c r="I7" s="179"/>
      <c r="J7" s="179"/>
      <c r="K7" s="64"/>
      <c r="L7" s="322"/>
      <c r="M7" s="64">
        <v>0</v>
      </c>
      <c r="N7" s="64" t="e">
        <f ca="1">M7/$I$1</f>
        <v>#NAME?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>
        <v>4457905</v>
      </c>
      <c r="L8" s="184"/>
      <c r="M8" s="184" t="e">
        <f ca="1">SUM(M4:M7)</f>
        <v>#NAME?</v>
      </c>
      <c r="N8" s="184" t="e">
        <f ca="1">SUM(N4:N7)</f>
        <v>#NAME?</v>
      </c>
      <c r="O8" s="184" t="e">
        <f ca="1">SUM(O4:O7)</f>
        <v>#NAME?</v>
      </c>
      <c r="P8" s="184" t="e">
        <f ca="1">SUM(P4:P7)</f>
        <v>#NAME?</v>
      </c>
      <c r="Q8" s="184" t="e">
        <f ca="1">SUM(Q4:Q7)</f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/>
    </row>
    <row r="10" spans="1:27" x14ac:dyDescent="0.2">
      <c r="E10" s="155"/>
      <c r="K10" s="30"/>
      <c r="L10" s="380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317</v>
      </c>
      <c r="C14" s="103" t="s">
        <v>253</v>
      </c>
      <c r="D14" s="244" t="s">
        <v>51</v>
      </c>
      <c r="E14" s="43" t="e">
        <f ca="1">F14*_xll.BDP(C14,"PX_LAST")</f>
        <v>#NAME?</v>
      </c>
      <c r="F14" s="43">
        <v>9400</v>
      </c>
      <c r="G14" s="43">
        <v>9400</v>
      </c>
      <c r="H14" s="47">
        <f>G14/F14</f>
        <v>1</v>
      </c>
      <c r="I14" s="43">
        <f>G14*K14</f>
        <v>1504000</v>
      </c>
      <c r="J14" s="45">
        <f>G14*L14</f>
        <v>1814200</v>
      </c>
      <c r="K14" s="38">
        <v>160</v>
      </c>
      <c r="L14" s="38">
        <v>193</v>
      </c>
      <c r="M14" s="44">
        <f>L14/K14-1</f>
        <v>0.20625000000000004</v>
      </c>
      <c r="N14" s="43">
        <f>J14-I14</f>
        <v>310200</v>
      </c>
      <c r="O14" s="106" t="e">
        <f ca="1">_xll.BDP($C14,"CRNCY")</f>
        <v>#NAME?</v>
      </c>
      <c r="P14" s="43" t="e">
        <f ca="1">N14/R14</f>
        <v>#NAME?</v>
      </c>
      <c r="Q14" s="239">
        <v>42541</v>
      </c>
      <c r="R14" s="250" t="e">
        <f ca="1">_xll.BDH("RUB curncy","PX_LAST",$Q14)</f>
        <v>#NAME?</v>
      </c>
    </row>
    <row r="15" spans="1:27" x14ac:dyDescent="0.2">
      <c r="B15" s="35"/>
      <c r="C15" s="35"/>
      <c r="D15" s="40"/>
      <c r="G15" s="35"/>
      <c r="H15" s="35"/>
      <c r="I15" s="35"/>
      <c r="J15" s="35"/>
      <c r="K15" s="35"/>
      <c r="L15" s="46"/>
      <c r="M15" s="35" t="s">
        <v>94</v>
      </c>
      <c r="N15" s="40">
        <f>SUM(N14:N14)</f>
        <v>310200</v>
      </c>
      <c r="O15" s="34" t="s">
        <v>75</v>
      </c>
      <c r="P15" s="40" t="e">
        <f ca="1">SUM(P14:P14)</f>
        <v>#NAME?</v>
      </c>
    </row>
    <row r="16" spans="1:27" x14ac:dyDescent="0.2">
      <c r="J16" s="105"/>
      <c r="K16" s="70"/>
      <c r="L16" s="155"/>
      <c r="M16" s="35"/>
      <c r="N16" s="30"/>
      <c r="O16" s="30"/>
      <c r="P16" s="34"/>
      <c r="R16" s="35"/>
    </row>
    <row r="17" spans="2:17" x14ac:dyDescent="0.2">
      <c r="H17" s="105"/>
      <c r="I17" s="70"/>
      <c r="J17" s="151"/>
      <c r="K17" s="35"/>
      <c r="L17" s="148"/>
      <c r="M17" s="34"/>
    </row>
    <row r="18" spans="2:17" x14ac:dyDescent="0.2">
      <c r="B18" s="32" t="s">
        <v>93</v>
      </c>
      <c r="C18" s="151"/>
      <c r="D18" s="105"/>
      <c r="H18" s="105"/>
      <c r="I18" s="151"/>
      <c r="J18" s="151"/>
      <c r="K18" s="30"/>
    </row>
    <row r="19" spans="2:17" ht="13.5" thickBot="1" x14ac:dyDescent="0.25">
      <c r="C19" s="30"/>
      <c r="D19" s="30"/>
      <c r="G19" s="30"/>
      <c r="H19" s="151"/>
      <c r="I19" s="30"/>
      <c r="J19" s="151"/>
      <c r="K19" s="30"/>
    </row>
    <row r="20" spans="2:17" ht="15" x14ac:dyDescent="0.35">
      <c r="B20" s="258"/>
      <c r="C20" s="258"/>
      <c r="D20" s="258"/>
      <c r="E20" s="258"/>
      <c r="F20" s="258"/>
      <c r="G20" s="258"/>
      <c r="H20" s="260" t="s">
        <v>92</v>
      </c>
      <c r="I20" s="259" t="s">
        <v>91</v>
      </c>
      <c r="J20" s="259" t="s">
        <v>90</v>
      </c>
      <c r="K20" s="259"/>
      <c r="L20" s="259"/>
      <c r="M20" s="258"/>
      <c r="N20" s="258"/>
      <c r="Q20" s="174"/>
    </row>
    <row r="21" spans="2:17" ht="15" x14ac:dyDescent="0.35">
      <c r="B21" s="255" t="s">
        <v>89</v>
      </c>
      <c r="C21" s="255" t="s">
        <v>88</v>
      </c>
      <c r="D21" s="255" t="s">
        <v>87</v>
      </c>
      <c r="E21" s="255" t="s">
        <v>86</v>
      </c>
      <c r="F21" s="255" t="s">
        <v>85</v>
      </c>
      <c r="G21" s="255" t="s">
        <v>84</v>
      </c>
      <c r="H21" s="257" t="s">
        <v>83</v>
      </c>
      <c r="I21" s="256" t="s">
        <v>83</v>
      </c>
      <c r="J21" s="256" t="s">
        <v>75</v>
      </c>
      <c r="K21" s="256" t="s">
        <v>73</v>
      </c>
      <c r="L21" s="256" t="s">
        <v>82</v>
      </c>
      <c r="M21" s="255" t="s">
        <v>81</v>
      </c>
      <c r="N21" s="255" t="s">
        <v>80</v>
      </c>
    </row>
    <row r="22" spans="2:17" x14ac:dyDescent="0.2">
      <c r="B22" s="197" t="s">
        <v>676</v>
      </c>
      <c r="C22" s="253" t="s">
        <v>182</v>
      </c>
      <c r="D22" s="251" t="e">
        <f ca="1">_xll.BDP(C22,"SECURITY_NAME")</f>
        <v>#NAME?</v>
      </c>
      <c r="E22" s="251" t="s">
        <v>50</v>
      </c>
      <c r="F22" s="252">
        <v>51600</v>
      </c>
      <c r="G22" s="251" t="e">
        <f ca="1">_xll.BDP(C22,"CRNCY")</f>
        <v>#NAME?</v>
      </c>
      <c r="H22" s="250">
        <v>39.06</v>
      </c>
      <c r="I22" s="248">
        <f>F22*H22</f>
        <v>2015496.0000000002</v>
      </c>
      <c r="J22" s="249" t="e">
        <f ca="1">I22/L22</f>
        <v>#NAME?</v>
      </c>
      <c r="K22" s="248" t="e">
        <f ca="1">J22*L22</f>
        <v>#NAME?</v>
      </c>
      <c r="L22" s="247" t="e">
        <f ca="1">_xll.BDH("RUB curncy","PX_LAST",$N22)</f>
        <v>#NAME?</v>
      </c>
      <c r="M22" s="246" t="e">
        <f ca="1">1/_xll.BDH("RUB curncy","PX_LAST",$N22)</f>
        <v>#NAME?</v>
      </c>
      <c r="N22" s="239">
        <v>42541</v>
      </c>
    </row>
    <row r="23" spans="2:17" x14ac:dyDescent="0.2">
      <c r="B23" s="217"/>
      <c r="D23" s="215"/>
      <c r="E23" s="215"/>
      <c r="F23" s="213">
        <f>SUM(F22)</f>
        <v>51600</v>
      </c>
      <c r="G23" s="215"/>
      <c r="H23" s="214">
        <f>I23/F23</f>
        <v>39.06</v>
      </c>
      <c r="I23" s="213">
        <f>SUM(I22)</f>
        <v>2015496.0000000002</v>
      </c>
      <c r="J23" s="213" t="e">
        <f ca="1">SUM(J22)</f>
        <v>#NAME?</v>
      </c>
      <c r="K23" s="213" t="e">
        <f ca="1">SUM(K22)</f>
        <v>#NAME?</v>
      </c>
      <c r="L23" s="212"/>
      <c r="M23" s="211"/>
      <c r="N23" s="210"/>
    </row>
    <row r="25" spans="2:17" x14ac:dyDescent="0.2">
      <c r="B25" s="197" t="s">
        <v>676</v>
      </c>
      <c r="C25" s="253" t="s">
        <v>332</v>
      </c>
      <c r="D25" s="251" t="e">
        <f ca="1">_xll.BDP(C25,"SECURITY_NAME")</f>
        <v>#NAME?</v>
      </c>
      <c r="E25" s="251" t="s">
        <v>50</v>
      </c>
      <c r="F25" s="252">
        <v>6550</v>
      </c>
      <c r="G25" s="251" t="e">
        <f ca="1">_xll.BDP(C25,"CRNCY")</f>
        <v>#NAME?</v>
      </c>
      <c r="H25" s="250">
        <v>229.319084</v>
      </c>
      <c r="I25" s="248">
        <f>F25*H25</f>
        <v>1502040.0002000001</v>
      </c>
      <c r="J25" s="249" t="e">
        <f ca="1">I25/$L$25</f>
        <v>#NAME?</v>
      </c>
      <c r="K25" s="248" t="e">
        <f ca="1">J25*L25</f>
        <v>#NAME?</v>
      </c>
      <c r="L25" s="247" t="e">
        <f ca="1">_xll.BDH("RUB curncy","PX_LAST",$N25)</f>
        <v>#NAME?</v>
      </c>
      <c r="M25" s="246" t="e">
        <f ca="1">1/_xll.BDH("RUB curncy","PX_LAST",$N25)</f>
        <v>#NAME?</v>
      </c>
      <c r="N25" s="239">
        <v>42419</v>
      </c>
    </row>
    <row r="26" spans="2:17" x14ac:dyDescent="0.2">
      <c r="B26" s="217"/>
      <c r="D26" s="215"/>
      <c r="E26" s="215"/>
      <c r="F26" s="213">
        <f>SUM(F25)</f>
        <v>6550</v>
      </c>
      <c r="G26" s="215"/>
      <c r="H26" s="214">
        <f>I26/F26</f>
        <v>229.31908400000003</v>
      </c>
      <c r="I26" s="213">
        <f>SUM(I25)</f>
        <v>1502040.0002000001</v>
      </c>
      <c r="J26" s="213" t="e">
        <f ca="1">SUM(J25)</f>
        <v>#NAME?</v>
      </c>
      <c r="K26" s="213" t="e">
        <f ca="1">SUM(K25)</f>
        <v>#NAME?</v>
      </c>
      <c r="L26" s="212"/>
      <c r="M26" s="211"/>
      <c r="N26" s="210"/>
    </row>
    <row r="27" spans="2:17" x14ac:dyDescent="0.2">
      <c r="B27" s="217"/>
      <c r="C27" s="216"/>
      <c r="D27" s="215"/>
      <c r="E27" s="215"/>
      <c r="F27" s="213"/>
      <c r="G27" s="215"/>
      <c r="H27" s="238"/>
      <c r="I27" s="213"/>
      <c r="J27" s="213"/>
      <c r="K27" s="213"/>
      <c r="L27" s="212"/>
      <c r="M27" s="211"/>
      <c r="N27" s="210"/>
    </row>
    <row r="28" spans="2:17" x14ac:dyDescent="0.2">
      <c r="B28" s="197" t="s">
        <v>676</v>
      </c>
      <c r="C28" s="253" t="s">
        <v>204</v>
      </c>
      <c r="D28" s="251" t="e">
        <f ca="1">_xll.BDP(C28,"SECURITY_NAME")</f>
        <v>#NAME?</v>
      </c>
      <c r="E28" s="251" t="s">
        <v>50</v>
      </c>
      <c r="F28" s="252">
        <v>5500</v>
      </c>
      <c r="G28" s="251" t="e">
        <f ca="1">_xll.BDP(C28,"CRNCY")</f>
        <v>#NAME?</v>
      </c>
      <c r="H28" s="250">
        <v>3.6</v>
      </c>
      <c r="I28" s="248">
        <f>F28*H28</f>
        <v>19800</v>
      </c>
      <c r="J28" s="249">
        <f>I28</f>
        <v>19800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42430</v>
      </c>
    </row>
    <row r="29" spans="2:17" x14ac:dyDescent="0.2">
      <c r="B29" s="217"/>
      <c r="D29" s="215"/>
      <c r="E29" s="215"/>
      <c r="F29" s="213">
        <f>SUM(F28)</f>
        <v>5500</v>
      </c>
      <c r="G29" s="215"/>
      <c r="H29" s="214">
        <f>I29/F29</f>
        <v>3.6</v>
      </c>
      <c r="I29" s="213">
        <f>SUM(I28)</f>
        <v>19800</v>
      </c>
      <c r="J29" s="213">
        <f>SUM(J28)</f>
        <v>19800</v>
      </c>
      <c r="K29" s="213" t="e">
        <f ca="1">SUM(K28)</f>
        <v>#NAME?</v>
      </c>
      <c r="L29" s="212"/>
      <c r="M29" s="211"/>
      <c r="N29" s="210"/>
    </row>
    <row r="30" spans="2:17" x14ac:dyDescent="0.2">
      <c r="B30" s="226"/>
      <c r="C30" s="225"/>
      <c r="D30" s="223"/>
      <c r="E30" s="223"/>
      <c r="F30" s="224"/>
      <c r="G30" s="223"/>
      <c r="H30" s="222"/>
      <c r="I30" s="220"/>
      <c r="J30" s="221"/>
      <c r="K30" s="220"/>
      <c r="L30" s="219"/>
      <c r="M30" s="218"/>
      <c r="N30" s="210"/>
    </row>
    <row r="31" spans="2:17" x14ac:dyDescent="0.2">
      <c r="B31" s="217"/>
      <c r="C31" s="216"/>
      <c r="D31" s="215"/>
      <c r="E31" s="215"/>
      <c r="F31" s="213"/>
      <c r="G31" s="215"/>
      <c r="H31" s="238"/>
      <c r="I31" s="213"/>
      <c r="J31" s="213"/>
      <c r="K31" s="213"/>
      <c r="L31" s="212"/>
      <c r="M31" s="211"/>
      <c r="N31" s="210"/>
    </row>
    <row r="32" spans="2:17" x14ac:dyDescent="0.2">
      <c r="B32" s="217"/>
      <c r="C32" s="216"/>
      <c r="D32" s="215"/>
      <c r="E32" s="215"/>
      <c r="F32" s="213"/>
      <c r="G32" s="215"/>
      <c r="H32" s="238"/>
      <c r="I32" s="213"/>
      <c r="J32" s="213"/>
      <c r="K32" s="213"/>
      <c r="L32" s="212"/>
      <c r="M32" s="211"/>
      <c r="N32" s="210"/>
    </row>
    <row r="33" spans="2:14" x14ac:dyDescent="0.2">
      <c r="B33" s="226"/>
      <c r="C33" s="225"/>
      <c r="D33" s="223"/>
      <c r="E33" s="223"/>
      <c r="F33" s="224"/>
      <c r="G33" s="223"/>
      <c r="H33" s="222"/>
      <c r="I33" s="220"/>
      <c r="J33" s="221"/>
      <c r="K33" s="220"/>
      <c r="L33" s="219"/>
      <c r="M33" s="218"/>
      <c r="N33" s="210"/>
    </row>
    <row r="34" spans="2:14" x14ac:dyDescent="0.2">
      <c r="B34" s="217"/>
      <c r="C34" s="216"/>
      <c r="D34" s="215"/>
      <c r="E34" s="215"/>
      <c r="F34" s="213"/>
      <c r="G34" s="215"/>
      <c r="H34" s="238"/>
      <c r="I34" s="213"/>
      <c r="J34" s="213"/>
      <c r="K34" s="213"/>
      <c r="L34" s="212"/>
      <c r="M34" s="211"/>
      <c r="N34" s="210"/>
    </row>
    <row r="35" spans="2:14" x14ac:dyDescent="0.2">
      <c r="B35" s="217"/>
      <c r="C35" s="216"/>
      <c r="D35" s="215"/>
      <c r="E35" s="215"/>
      <c r="F35" s="213"/>
      <c r="G35" s="215"/>
      <c r="H35" s="238"/>
      <c r="I35" s="213"/>
      <c r="J35" s="213"/>
      <c r="K35" s="213"/>
      <c r="L35" s="212"/>
      <c r="M35" s="211"/>
      <c r="N35" s="210"/>
    </row>
    <row r="36" spans="2:14" x14ac:dyDescent="0.2">
      <c r="B36" s="226"/>
      <c r="C36" s="225"/>
      <c r="D36" s="223"/>
      <c r="E36" s="223"/>
      <c r="F36" s="224"/>
      <c r="G36" s="223"/>
      <c r="H36" s="222"/>
      <c r="I36" s="220"/>
      <c r="J36" s="221"/>
      <c r="K36" s="220"/>
      <c r="L36" s="219"/>
      <c r="M36" s="218"/>
      <c r="N36" s="210"/>
    </row>
    <row r="37" spans="2:14" x14ac:dyDescent="0.2">
      <c r="B37" s="217"/>
      <c r="C37" s="216"/>
      <c r="D37" s="215"/>
      <c r="E37" s="215"/>
      <c r="F37" s="213"/>
      <c r="G37" s="215"/>
      <c r="H37" s="238"/>
      <c r="I37" s="213"/>
      <c r="J37" s="213"/>
      <c r="K37" s="213"/>
      <c r="L37" s="212"/>
      <c r="M37" s="211"/>
      <c r="N37" s="210"/>
    </row>
    <row r="38" spans="2:14" x14ac:dyDescent="0.2">
      <c r="B38" s="217"/>
      <c r="C38" s="216"/>
      <c r="D38" s="215"/>
      <c r="E38" s="215"/>
      <c r="F38" s="213"/>
      <c r="G38" s="215"/>
      <c r="H38" s="238"/>
      <c r="I38" s="213"/>
      <c r="J38" s="213"/>
      <c r="K38" s="213"/>
      <c r="L38" s="212"/>
      <c r="M38" s="211"/>
      <c r="N38" s="210"/>
    </row>
    <row r="39" spans="2:14" x14ac:dyDescent="0.2">
      <c r="B39" s="226"/>
      <c r="C39" s="225"/>
      <c r="D39" s="223"/>
      <c r="E39" s="223"/>
      <c r="F39" s="224"/>
      <c r="G39" s="223"/>
      <c r="H39" s="222"/>
      <c r="I39" s="220"/>
      <c r="J39" s="221"/>
      <c r="K39" s="220"/>
      <c r="L39" s="219"/>
      <c r="M39" s="218"/>
      <c r="N39" s="210"/>
    </row>
    <row r="40" spans="2:14" x14ac:dyDescent="0.2">
      <c r="B40" s="217"/>
      <c r="C40" s="216"/>
      <c r="D40" s="215"/>
      <c r="E40" s="215"/>
      <c r="F40" s="213"/>
      <c r="G40" s="215"/>
      <c r="H40" s="238"/>
      <c r="I40" s="213"/>
      <c r="J40" s="213"/>
      <c r="K40" s="213"/>
      <c r="L40" s="212"/>
      <c r="M40" s="211"/>
      <c r="N40" s="210"/>
    </row>
    <row r="41" spans="2:14" x14ac:dyDescent="0.2">
      <c r="B41" s="217"/>
      <c r="C41" s="216"/>
      <c r="D41" s="215"/>
      <c r="E41" s="215"/>
      <c r="F41" s="213"/>
      <c r="G41" s="215"/>
      <c r="H41" s="238"/>
      <c r="I41" s="213"/>
      <c r="J41" s="213"/>
      <c r="K41" s="213"/>
      <c r="L41" s="212"/>
      <c r="M41" s="211"/>
      <c r="N41" s="210"/>
    </row>
    <row r="42" spans="2:14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4" x14ac:dyDescent="0.2">
      <c r="B43" s="217"/>
      <c r="C43" s="216"/>
      <c r="D43" s="215"/>
      <c r="E43" s="215"/>
      <c r="F43" s="213"/>
      <c r="G43" s="215"/>
      <c r="H43" s="238"/>
      <c r="I43" s="213"/>
      <c r="J43" s="213"/>
      <c r="K43" s="213"/>
      <c r="L43" s="212"/>
      <c r="M43" s="211"/>
      <c r="N43" s="210"/>
    </row>
    <row r="44" spans="2:14" x14ac:dyDescent="0.2">
      <c r="B44" s="217"/>
      <c r="C44" s="216"/>
      <c r="D44" s="215"/>
      <c r="E44" s="215"/>
      <c r="F44" s="213"/>
      <c r="G44" s="215"/>
      <c r="H44" s="238"/>
      <c r="I44" s="213"/>
      <c r="J44" s="213"/>
      <c r="K44" s="213"/>
      <c r="L44" s="212"/>
      <c r="M44" s="211"/>
      <c r="N44" s="210"/>
    </row>
    <row r="45" spans="2:14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4" x14ac:dyDescent="0.2">
      <c r="B46" s="217"/>
      <c r="C46" s="216"/>
      <c r="D46" s="215"/>
      <c r="E46" s="215"/>
      <c r="F46" s="213"/>
      <c r="G46" s="215"/>
      <c r="H46" s="238"/>
      <c r="I46" s="213"/>
      <c r="J46" s="213"/>
      <c r="K46" s="213"/>
      <c r="L46" s="212"/>
      <c r="M46" s="211"/>
      <c r="N46" s="210"/>
    </row>
    <row r="47" spans="2:14" x14ac:dyDescent="0.2">
      <c r="B47" s="217"/>
      <c r="C47" s="216"/>
      <c r="D47" s="215"/>
      <c r="E47" s="215"/>
      <c r="F47" s="213"/>
      <c r="G47" s="215"/>
      <c r="H47" s="238"/>
      <c r="I47" s="213"/>
      <c r="J47" s="213"/>
      <c r="K47" s="213"/>
      <c r="L47" s="212"/>
      <c r="M47" s="211"/>
      <c r="N47" s="210"/>
    </row>
    <row r="48" spans="2:14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4" x14ac:dyDescent="0.2">
      <c r="B49" s="217"/>
      <c r="C49" s="216"/>
      <c r="D49" s="215"/>
      <c r="E49" s="215"/>
      <c r="F49" s="213"/>
      <c r="G49" s="215"/>
      <c r="H49" s="238"/>
      <c r="I49" s="213"/>
      <c r="J49" s="213"/>
      <c r="K49" s="213"/>
      <c r="L49" s="212"/>
      <c r="M49" s="211"/>
      <c r="N49" s="210"/>
    </row>
    <row r="50" spans="2:14" x14ac:dyDescent="0.2">
      <c r="B50" s="217"/>
      <c r="C50" s="216"/>
      <c r="D50" s="215"/>
      <c r="E50" s="215"/>
      <c r="F50" s="213"/>
      <c r="G50" s="215"/>
      <c r="H50" s="238"/>
      <c r="I50" s="213"/>
      <c r="J50" s="213"/>
      <c r="K50" s="213"/>
      <c r="L50" s="212"/>
      <c r="M50" s="211"/>
      <c r="N50" s="210"/>
    </row>
    <row r="51" spans="2:14" x14ac:dyDescent="0.2">
      <c r="B51" s="226"/>
      <c r="C51" s="225"/>
      <c r="D51" s="223"/>
      <c r="E51" s="223"/>
      <c r="F51" s="224"/>
      <c r="G51" s="223"/>
      <c r="H51" s="222"/>
      <c r="I51" s="220"/>
      <c r="J51" s="221"/>
      <c r="K51" s="220"/>
      <c r="L51" s="219"/>
      <c r="M51" s="218"/>
      <c r="N51" s="210"/>
    </row>
    <row r="52" spans="2:14" x14ac:dyDescent="0.2">
      <c r="B52" s="217"/>
      <c r="C52" s="216"/>
      <c r="D52" s="215"/>
      <c r="E52" s="215"/>
      <c r="F52" s="213"/>
      <c r="G52" s="215"/>
      <c r="H52" s="238"/>
      <c r="I52" s="213"/>
      <c r="J52" s="213"/>
      <c r="K52" s="213"/>
      <c r="L52" s="212"/>
      <c r="M52" s="211"/>
      <c r="N52" s="210"/>
    </row>
    <row r="53" spans="2:14" x14ac:dyDescent="0.2">
      <c r="B53" s="217"/>
      <c r="C53" s="216"/>
      <c r="D53" s="215"/>
      <c r="E53" s="215"/>
      <c r="F53" s="213"/>
      <c r="G53" s="215"/>
      <c r="H53" s="238"/>
      <c r="I53" s="213"/>
      <c r="J53" s="213"/>
      <c r="K53" s="213"/>
      <c r="L53" s="212"/>
      <c r="M53" s="211"/>
      <c r="N53" s="210"/>
    </row>
    <row r="54" spans="2:14" x14ac:dyDescent="0.2">
      <c r="B54" s="226"/>
      <c r="C54" s="225"/>
      <c r="D54" s="223"/>
      <c r="E54" s="223"/>
      <c r="F54" s="224"/>
      <c r="G54" s="223"/>
      <c r="H54" s="222"/>
      <c r="I54" s="220"/>
      <c r="J54" s="221"/>
      <c r="K54" s="220"/>
      <c r="L54" s="219"/>
      <c r="M54" s="218"/>
      <c r="N54" s="210"/>
    </row>
    <row r="55" spans="2:14" x14ac:dyDescent="0.2">
      <c r="B55" s="217"/>
      <c r="C55" s="216"/>
      <c r="D55" s="215"/>
      <c r="E55" s="215"/>
      <c r="F55" s="213"/>
      <c r="G55" s="215"/>
      <c r="H55" s="238"/>
      <c r="I55" s="213"/>
      <c r="J55" s="213"/>
      <c r="K55" s="213"/>
      <c r="L55" s="212"/>
      <c r="M55" s="211"/>
      <c r="N55" s="210"/>
    </row>
    <row r="56" spans="2:14" x14ac:dyDescent="0.2">
      <c r="B56" s="217"/>
      <c r="C56" s="216"/>
      <c r="D56" s="215"/>
      <c r="E56" s="215"/>
      <c r="F56" s="213"/>
      <c r="G56" s="215"/>
      <c r="H56" s="238"/>
      <c r="I56" s="213"/>
      <c r="J56" s="213"/>
      <c r="K56" s="213"/>
      <c r="L56" s="212"/>
      <c r="M56" s="211"/>
      <c r="N56" s="210"/>
    </row>
    <row r="57" spans="2:14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4" x14ac:dyDescent="0.2">
      <c r="B58" s="217"/>
      <c r="C58" s="216"/>
      <c r="D58" s="215"/>
      <c r="E58" s="215"/>
      <c r="F58" s="213"/>
      <c r="G58" s="215"/>
      <c r="H58" s="238"/>
      <c r="I58" s="213"/>
      <c r="J58" s="213"/>
      <c r="K58" s="213"/>
      <c r="L58" s="212"/>
      <c r="M58" s="211"/>
      <c r="N58" s="210"/>
    </row>
    <row r="59" spans="2:14" x14ac:dyDescent="0.2">
      <c r="B59" s="217"/>
      <c r="C59" s="216"/>
      <c r="D59" s="215"/>
      <c r="E59" s="215"/>
      <c r="F59" s="213"/>
      <c r="G59" s="215"/>
      <c r="H59" s="238"/>
      <c r="I59" s="213"/>
      <c r="J59" s="213"/>
      <c r="K59" s="213"/>
      <c r="L59" s="212"/>
      <c r="M59" s="211"/>
      <c r="N59" s="210"/>
    </row>
    <row r="60" spans="2:14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4" x14ac:dyDescent="0.2">
      <c r="B61" s="217"/>
      <c r="C61" s="216"/>
      <c r="D61" s="215"/>
      <c r="E61" s="215"/>
      <c r="F61" s="213"/>
      <c r="G61" s="215"/>
      <c r="H61" s="238"/>
      <c r="I61" s="213"/>
      <c r="J61" s="213"/>
      <c r="K61" s="213"/>
      <c r="L61" s="212"/>
      <c r="M61" s="211"/>
      <c r="N61" s="210"/>
    </row>
    <row r="62" spans="2:14" x14ac:dyDescent="0.2">
      <c r="B62" s="217"/>
      <c r="C62" s="216"/>
      <c r="D62" s="215"/>
      <c r="E62" s="215"/>
      <c r="F62" s="213"/>
      <c r="G62" s="215"/>
      <c r="H62" s="238"/>
      <c r="I62" s="213"/>
      <c r="J62" s="213"/>
      <c r="K62" s="213"/>
      <c r="L62" s="212"/>
      <c r="M62" s="211"/>
      <c r="N62" s="210"/>
    </row>
    <row r="63" spans="2:14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4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17"/>
      <c r="C65" s="216"/>
      <c r="D65" s="215"/>
      <c r="E65" s="215"/>
      <c r="F65" s="213"/>
      <c r="G65" s="215"/>
      <c r="H65" s="238"/>
      <c r="I65" s="213"/>
      <c r="J65" s="213"/>
      <c r="K65" s="213"/>
      <c r="L65" s="212"/>
      <c r="M65" s="211"/>
      <c r="N65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26"/>
      <c r="C71" s="225"/>
      <c r="D71" s="223"/>
      <c r="E71" s="223"/>
      <c r="F71" s="224"/>
      <c r="G71" s="223"/>
      <c r="H71" s="222"/>
      <c r="I71" s="220"/>
      <c r="J71" s="221"/>
      <c r="K71" s="220"/>
      <c r="L71" s="219"/>
      <c r="M71" s="218"/>
      <c r="N71" s="210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26"/>
      <c r="C75" s="225"/>
      <c r="D75" s="223"/>
      <c r="E75" s="223"/>
      <c r="F75" s="224"/>
      <c r="G75" s="223"/>
      <c r="H75" s="222"/>
      <c r="I75" s="220"/>
      <c r="J75" s="221"/>
      <c r="K75" s="220"/>
      <c r="L75" s="219"/>
      <c r="M75" s="218"/>
      <c r="N75" s="210"/>
    </row>
    <row r="76" spans="2:14" x14ac:dyDescent="0.2">
      <c r="B76" s="217"/>
      <c r="D76" s="215"/>
      <c r="E76" s="215"/>
      <c r="F76" s="213"/>
      <c r="G76" s="215"/>
      <c r="H76" s="214"/>
      <c r="I76" s="213"/>
      <c r="J76" s="213"/>
      <c r="K76" s="213"/>
      <c r="L76" s="212"/>
      <c r="M76" s="211"/>
      <c r="N76" s="210"/>
    </row>
    <row r="78" spans="2:14" x14ac:dyDescent="0.2">
      <c r="B78" s="226"/>
      <c r="C78" s="225"/>
      <c r="D78" s="223"/>
      <c r="E78" s="223"/>
      <c r="F78" s="224"/>
      <c r="G78" s="223"/>
      <c r="H78" s="222"/>
      <c r="I78" s="220"/>
      <c r="J78" s="221"/>
      <c r="K78" s="220"/>
      <c r="L78" s="219"/>
      <c r="M78" s="218"/>
      <c r="N78" s="210"/>
    </row>
    <row r="79" spans="2:14" x14ac:dyDescent="0.2">
      <c r="B79" s="217"/>
      <c r="C79" s="216"/>
      <c r="D79" s="215"/>
      <c r="E79" s="215"/>
      <c r="F79" s="213"/>
      <c r="G79" s="215"/>
      <c r="H79" s="238"/>
      <c r="I79" s="213"/>
      <c r="J79" s="213"/>
      <c r="K79" s="213"/>
      <c r="L79" s="212"/>
      <c r="M79" s="211"/>
      <c r="N79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17"/>
      <c r="C82" s="216"/>
      <c r="D82" s="215"/>
      <c r="E82" s="215"/>
      <c r="F82" s="213"/>
      <c r="G82" s="215"/>
      <c r="H82" s="238"/>
      <c r="I82" s="213"/>
      <c r="J82" s="213"/>
      <c r="K82" s="213"/>
      <c r="L82" s="212"/>
      <c r="M82" s="211"/>
      <c r="N82" s="210"/>
    </row>
    <row r="84" spans="2:14" x14ac:dyDescent="0.2">
      <c r="B84" s="226"/>
      <c r="C84" s="225"/>
      <c r="D84" s="223"/>
      <c r="E84" s="223"/>
      <c r="F84" s="224"/>
      <c r="G84" s="223"/>
      <c r="H84" s="222"/>
      <c r="I84" s="220"/>
      <c r="J84" s="221"/>
      <c r="K84" s="220"/>
      <c r="L84" s="219"/>
      <c r="M84" s="218"/>
      <c r="N84" s="210"/>
    </row>
    <row r="85" spans="2:14" x14ac:dyDescent="0.2">
      <c r="B85" s="217"/>
      <c r="C85" s="216"/>
      <c r="D85" s="215"/>
      <c r="E85" s="215"/>
      <c r="F85" s="213"/>
      <c r="G85" s="215"/>
      <c r="H85" s="238"/>
      <c r="I85" s="213"/>
      <c r="J85" s="213"/>
      <c r="K85" s="213"/>
      <c r="L85" s="212"/>
      <c r="M85" s="211"/>
      <c r="N85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17"/>
      <c r="C88" s="216"/>
      <c r="D88" s="215"/>
      <c r="E88" s="215"/>
      <c r="F88" s="213"/>
      <c r="G88" s="215"/>
      <c r="H88" s="237"/>
      <c r="I88" s="213"/>
      <c r="J88" s="213"/>
      <c r="K88" s="213"/>
      <c r="L88" s="212"/>
      <c r="M88" s="211"/>
      <c r="N88" s="210"/>
    </row>
    <row r="90" spans="2:14" x14ac:dyDescent="0.2">
      <c r="B90" s="226"/>
      <c r="C90" s="225"/>
      <c r="D90" s="223"/>
      <c r="E90" s="223"/>
      <c r="F90" s="224"/>
      <c r="G90" s="223"/>
      <c r="H90" s="222"/>
      <c r="I90" s="220"/>
      <c r="J90" s="221"/>
      <c r="K90" s="220"/>
      <c r="L90" s="219"/>
      <c r="M90" s="218"/>
      <c r="N90" s="210"/>
    </row>
    <row r="91" spans="2:14" x14ac:dyDescent="0.2">
      <c r="B91" s="217"/>
      <c r="D91" s="215"/>
      <c r="E91" s="215"/>
      <c r="F91" s="213"/>
      <c r="G91" s="215"/>
      <c r="H91" s="214"/>
      <c r="I91" s="213"/>
      <c r="J91" s="213"/>
      <c r="K91" s="213"/>
      <c r="L91" s="212"/>
      <c r="M91" s="211"/>
      <c r="N91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26"/>
      <c r="C94" s="225"/>
      <c r="D94" s="223"/>
      <c r="E94" s="223"/>
      <c r="F94" s="224"/>
      <c r="G94" s="223"/>
      <c r="H94" s="222"/>
      <c r="I94" s="220"/>
      <c r="J94" s="221"/>
      <c r="K94" s="220"/>
      <c r="L94" s="219"/>
      <c r="M94" s="218"/>
      <c r="N94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F99" s="213"/>
      <c r="H99" s="214"/>
      <c r="I99" s="213"/>
      <c r="J99" s="213"/>
      <c r="K99" s="213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17"/>
      <c r="D102" s="215"/>
      <c r="E102" s="215"/>
      <c r="F102" s="213"/>
      <c r="G102" s="215"/>
      <c r="H102" s="214"/>
      <c r="I102" s="213"/>
      <c r="J102" s="213"/>
      <c r="K102" s="213"/>
      <c r="L102" s="212"/>
      <c r="M102" s="211"/>
      <c r="N102" s="210"/>
    </row>
    <row r="103" spans="2:14" x14ac:dyDescent="0.2">
      <c r="B103" s="217"/>
      <c r="D103" s="215"/>
      <c r="E103" s="215"/>
      <c r="F103" s="213"/>
      <c r="G103" s="215"/>
      <c r="H103" s="214"/>
      <c r="I103" s="213"/>
      <c r="J103" s="213"/>
      <c r="K103" s="213"/>
      <c r="L103" s="212"/>
      <c r="M103" s="211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26"/>
      <c r="C105" s="225"/>
      <c r="D105" s="223"/>
      <c r="E105" s="223"/>
      <c r="F105" s="224"/>
      <c r="G105" s="223"/>
      <c r="H105" s="222"/>
      <c r="I105" s="220"/>
      <c r="J105" s="221"/>
      <c r="K105" s="220"/>
      <c r="L105" s="219"/>
      <c r="M105" s="218"/>
      <c r="N105" s="210"/>
    </row>
    <row r="106" spans="2:14" x14ac:dyDescent="0.2">
      <c r="B106" s="217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8" spans="2:14" x14ac:dyDescent="0.2">
      <c r="B108" s="226"/>
      <c r="C108" s="225"/>
      <c r="D108" s="223"/>
      <c r="E108" s="223"/>
      <c r="F108" s="224"/>
      <c r="G108" s="223"/>
      <c r="H108" s="222"/>
      <c r="I108" s="220"/>
      <c r="J108" s="221"/>
      <c r="K108" s="220"/>
      <c r="L108" s="219"/>
      <c r="M108" s="218"/>
      <c r="N108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26"/>
      <c r="C113" s="225"/>
      <c r="D113" s="223"/>
      <c r="E113" s="223"/>
      <c r="F113" s="224"/>
      <c r="G113" s="223"/>
      <c r="H113" s="222"/>
      <c r="I113" s="220"/>
      <c r="J113" s="221"/>
      <c r="K113" s="220"/>
      <c r="L113" s="219"/>
      <c r="M113" s="218"/>
      <c r="N113" s="210"/>
    </row>
    <row r="114" spans="2:14" x14ac:dyDescent="0.2">
      <c r="F114" s="213"/>
      <c r="H114" s="214"/>
      <c r="I114" s="213"/>
      <c r="J114" s="213"/>
      <c r="K114" s="213"/>
    </row>
    <row r="116" spans="2:14" x14ac:dyDescent="0.2">
      <c r="B116" s="226"/>
      <c r="C116" s="225"/>
      <c r="D116" s="223"/>
      <c r="E116" s="223"/>
      <c r="F116" s="224"/>
      <c r="G116" s="223"/>
      <c r="H116" s="222"/>
      <c r="I116" s="220"/>
      <c r="J116" s="221"/>
      <c r="K116" s="220"/>
      <c r="L116" s="219"/>
      <c r="M116" s="218"/>
      <c r="N116" s="210"/>
    </row>
    <row r="117" spans="2:14" x14ac:dyDescent="0.2">
      <c r="B117" s="226"/>
      <c r="C117" s="225"/>
      <c r="D117" s="223"/>
      <c r="E117" s="223"/>
      <c r="F117" s="224"/>
      <c r="G117" s="223"/>
      <c r="H117" s="222"/>
      <c r="I117" s="220"/>
      <c r="J117" s="221"/>
      <c r="K117" s="220"/>
      <c r="L117" s="219"/>
      <c r="M117" s="218"/>
      <c r="N117" s="210"/>
    </row>
    <row r="118" spans="2:14" x14ac:dyDescent="0.2">
      <c r="F118" s="213"/>
      <c r="G118" s="213"/>
      <c r="H118" s="214"/>
      <c r="I118" s="213"/>
      <c r="J118" s="213"/>
      <c r="K118" s="213"/>
    </row>
    <row r="119" spans="2:14" x14ac:dyDescent="0.2">
      <c r="G119" s="213"/>
      <c r="H119" s="214"/>
      <c r="I119" s="213"/>
      <c r="J119" s="213"/>
      <c r="K119" s="213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17"/>
      <c r="C123" s="216"/>
      <c r="D123" s="215"/>
      <c r="E123" s="215"/>
      <c r="F123" s="213"/>
      <c r="G123" s="215"/>
      <c r="H123" s="213"/>
      <c r="I123" s="213"/>
      <c r="J123" s="213"/>
      <c r="K123" s="213"/>
      <c r="L123" s="212"/>
      <c r="M123" s="211"/>
      <c r="N123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8" spans="2:14" x14ac:dyDescent="0.2">
      <c r="B128" s="226"/>
      <c r="C128" s="225"/>
      <c r="D128" s="223"/>
      <c r="E128" s="223"/>
      <c r="F128" s="224"/>
      <c r="G128" s="223"/>
      <c r="H128" s="222"/>
      <c r="I128" s="220"/>
      <c r="J128" s="221"/>
      <c r="K128" s="220"/>
      <c r="L128" s="219"/>
      <c r="M128" s="218"/>
      <c r="N128" s="210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B131" s="226"/>
      <c r="C131" s="225"/>
      <c r="D131" s="223"/>
      <c r="E131" s="223"/>
      <c r="F131" s="224"/>
      <c r="G131" s="223"/>
      <c r="H131" s="222"/>
      <c r="I131" s="220"/>
      <c r="J131" s="221"/>
      <c r="K131" s="220"/>
      <c r="L131" s="219"/>
      <c r="M131" s="218"/>
      <c r="N131" s="210"/>
    </row>
    <row r="132" spans="2:14" x14ac:dyDescent="0.2">
      <c r="B132" s="217"/>
      <c r="C132" s="216"/>
      <c r="D132" s="215"/>
      <c r="E132" s="215"/>
      <c r="F132" s="213"/>
      <c r="G132" s="215"/>
      <c r="H132" s="214"/>
      <c r="I132" s="213"/>
      <c r="J132" s="213"/>
      <c r="K132" s="213"/>
      <c r="L132" s="212"/>
      <c r="M132" s="211"/>
      <c r="N132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26"/>
      <c r="C135" s="225"/>
      <c r="D135" s="223"/>
      <c r="E135" s="223"/>
      <c r="F135" s="224"/>
      <c r="G135" s="223"/>
      <c r="H135" s="222"/>
      <c r="I135" s="220"/>
      <c r="J135" s="221"/>
      <c r="K135" s="220"/>
      <c r="L135" s="219"/>
      <c r="M135" s="218"/>
      <c r="N135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17"/>
      <c r="C137" s="216"/>
      <c r="D137" s="215"/>
      <c r="E137" s="215"/>
      <c r="F137" s="213"/>
      <c r="G137" s="215"/>
      <c r="H137" s="214"/>
      <c r="I137" s="213"/>
      <c r="J137" s="213"/>
      <c r="K137" s="213"/>
      <c r="L137" s="212"/>
      <c r="M137" s="211"/>
      <c r="N137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17"/>
      <c r="C142" s="216"/>
      <c r="D142" s="215"/>
      <c r="E142" s="215"/>
      <c r="F142" s="213"/>
      <c r="G142" s="215"/>
      <c r="H142" s="213"/>
      <c r="I142" s="213"/>
      <c r="J142" s="213"/>
      <c r="K142" s="213"/>
      <c r="L142" s="212"/>
      <c r="M142" s="211"/>
      <c r="N142" s="210"/>
    </row>
    <row r="143" spans="2:14" x14ac:dyDescent="0.2">
      <c r="B143" s="217"/>
      <c r="C143" s="216"/>
      <c r="D143" s="215"/>
      <c r="E143" s="215"/>
      <c r="F143" s="213"/>
      <c r="G143" s="215"/>
      <c r="H143" s="214"/>
      <c r="I143" s="213"/>
      <c r="J143" s="213"/>
      <c r="K143" s="213"/>
      <c r="L143" s="212"/>
      <c r="M143" s="211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17"/>
      <c r="C156" s="216"/>
      <c r="D156" s="215"/>
      <c r="E156" s="215"/>
      <c r="F156" s="213"/>
      <c r="G156" s="215"/>
      <c r="H156" s="214"/>
      <c r="I156" s="213"/>
      <c r="J156" s="213"/>
      <c r="K156" s="213"/>
      <c r="L156" s="212"/>
      <c r="M156" s="211"/>
      <c r="N156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17"/>
      <c r="C161" s="216"/>
      <c r="D161" s="215"/>
      <c r="E161" s="215"/>
      <c r="F161" s="213"/>
      <c r="G161" s="215"/>
      <c r="H161" s="214"/>
      <c r="I161" s="213"/>
      <c r="J161" s="213"/>
      <c r="K161" s="213"/>
      <c r="L161" s="212"/>
      <c r="M161" s="211"/>
      <c r="N161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17"/>
      <c r="C164" s="216"/>
      <c r="D164" s="215"/>
      <c r="E164" s="215"/>
      <c r="F164" s="213"/>
      <c r="G164" s="215"/>
      <c r="H164" s="214"/>
      <c r="I164" s="213"/>
      <c r="J164" s="213"/>
      <c r="K164" s="213"/>
      <c r="L164" s="212"/>
      <c r="M164" s="211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11"/>
      <c r="N166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26"/>
      <c r="C170" s="225"/>
      <c r="D170" s="223"/>
      <c r="E170" s="223"/>
      <c r="F170" s="224"/>
      <c r="G170" s="223"/>
      <c r="H170" s="222"/>
      <c r="I170" s="220"/>
      <c r="J170" s="221"/>
      <c r="K170" s="220"/>
      <c r="L170" s="219"/>
      <c r="M170" s="218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17"/>
      <c r="C173" s="216"/>
      <c r="D173" s="215"/>
      <c r="E173" s="215"/>
      <c r="F173" s="213"/>
      <c r="G173" s="215"/>
      <c r="H173" s="214"/>
      <c r="I173" s="213"/>
      <c r="J173" s="213"/>
      <c r="K173" s="213"/>
      <c r="L173" s="212"/>
      <c r="M173" s="211"/>
      <c r="N173" s="210"/>
    </row>
    <row r="174" spans="2:14" x14ac:dyDescent="0.2">
      <c r="B174" s="217"/>
      <c r="C174" s="216"/>
      <c r="D174" s="215"/>
      <c r="E174" s="215"/>
      <c r="F174" s="213"/>
      <c r="G174" s="215"/>
      <c r="H174" s="214"/>
      <c r="I174" s="213"/>
      <c r="J174" s="213"/>
      <c r="K174" s="213"/>
      <c r="L174" s="212"/>
      <c r="M174" s="211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11"/>
      <c r="N176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F179" s="213"/>
      <c r="H179" s="212"/>
      <c r="I179" s="213"/>
      <c r="J179" s="213"/>
      <c r="K179" s="213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17"/>
      <c r="C186" s="216"/>
      <c r="D186" s="215"/>
      <c r="E186" s="215"/>
      <c r="F186" s="213"/>
      <c r="G186" s="215"/>
      <c r="H186" s="212"/>
      <c r="I186" s="213"/>
      <c r="J186" s="213"/>
      <c r="K186" s="213"/>
      <c r="L186" s="212"/>
      <c r="M186" s="236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36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26"/>
      <c r="C189" s="225"/>
      <c r="D189" s="223"/>
      <c r="E189" s="223"/>
      <c r="F189" s="224"/>
      <c r="G189" s="223"/>
      <c r="H189" s="222"/>
      <c r="I189" s="220"/>
      <c r="J189" s="221"/>
      <c r="K189" s="220"/>
      <c r="L189" s="219"/>
      <c r="M189" s="218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26"/>
      <c r="C192" s="225"/>
      <c r="D192" s="223"/>
      <c r="E192" s="223"/>
      <c r="F192" s="224"/>
      <c r="G192" s="223"/>
      <c r="H192" s="222"/>
      <c r="I192" s="220"/>
      <c r="J192" s="221"/>
      <c r="K192" s="220"/>
      <c r="L192" s="219"/>
      <c r="M192" s="218"/>
      <c r="N192" s="210"/>
    </row>
    <row r="193" spans="2:14" x14ac:dyDescent="0.2">
      <c r="B193" s="226"/>
      <c r="C193" s="225"/>
      <c r="D193" s="223"/>
      <c r="E193" s="223"/>
      <c r="F193" s="224"/>
      <c r="G193" s="223"/>
      <c r="H193" s="222"/>
      <c r="I193" s="220"/>
      <c r="J193" s="221"/>
      <c r="K193" s="220"/>
      <c r="L193" s="219"/>
      <c r="M193" s="218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22"/>
      <c r="I194" s="220"/>
      <c r="J194" s="221"/>
      <c r="K194" s="220"/>
      <c r="L194" s="219"/>
      <c r="M194" s="218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27"/>
      <c r="J202" s="228"/>
      <c r="K202" s="227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26"/>
      <c r="C208" s="225"/>
      <c r="D208" s="223"/>
      <c r="E208" s="223"/>
      <c r="F208" s="224"/>
      <c r="G208" s="223"/>
      <c r="H208" s="222"/>
      <c r="I208" s="220"/>
      <c r="J208" s="221"/>
      <c r="K208" s="220"/>
      <c r="L208" s="219"/>
      <c r="M208" s="218"/>
      <c r="N208" s="210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4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17"/>
      <c r="C217" s="216"/>
      <c r="D217" s="215"/>
      <c r="E217" s="215"/>
      <c r="F217" s="213"/>
      <c r="G217" s="215"/>
      <c r="H217" s="214"/>
      <c r="I217" s="213"/>
      <c r="J217" s="213"/>
      <c r="K217" s="213"/>
      <c r="L217" s="212"/>
      <c r="M217" s="211"/>
      <c r="N217" s="210"/>
    </row>
    <row r="218" spans="2:14" x14ac:dyDescent="0.2">
      <c r="B218" s="217"/>
      <c r="C218" s="216"/>
      <c r="D218" s="215"/>
      <c r="E218" s="215"/>
      <c r="F218" s="213"/>
      <c r="G218" s="215"/>
      <c r="H218" s="214"/>
      <c r="I218" s="227"/>
      <c r="J218" s="228"/>
      <c r="K218" s="227"/>
      <c r="L218" s="212"/>
      <c r="M218" s="211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17"/>
      <c r="C223" s="216"/>
      <c r="D223" s="215"/>
      <c r="E223" s="215"/>
      <c r="F223" s="213"/>
      <c r="G223" s="215"/>
      <c r="H223" s="214"/>
      <c r="I223" s="213"/>
      <c r="J223" s="213"/>
      <c r="K223" s="213"/>
      <c r="L223" s="212"/>
      <c r="M223" s="236"/>
      <c r="N223" s="210"/>
    </row>
    <row r="224" spans="2:14" x14ac:dyDescent="0.2">
      <c r="B224" s="217"/>
      <c r="C224" s="216"/>
      <c r="D224" s="215"/>
      <c r="E224" s="215"/>
      <c r="F224" s="213"/>
      <c r="G224" s="215"/>
      <c r="H224" s="214"/>
      <c r="I224" s="213"/>
      <c r="J224" s="213"/>
      <c r="K224" s="213"/>
      <c r="L224" s="212"/>
      <c r="M224" s="236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17"/>
      <c r="C227" s="216"/>
      <c r="D227" s="215"/>
      <c r="E227" s="215"/>
      <c r="F227" s="213"/>
      <c r="G227" s="215"/>
      <c r="H227" s="214"/>
      <c r="I227" s="213"/>
      <c r="J227" s="213"/>
      <c r="K227" s="213"/>
      <c r="L227" s="212"/>
      <c r="M227" s="236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36"/>
      <c r="N228" s="210"/>
    </row>
    <row r="229" spans="2:14" x14ac:dyDescent="0.2">
      <c r="B229" s="226"/>
      <c r="C229" s="225"/>
      <c r="D229" s="223"/>
      <c r="E229" s="223"/>
      <c r="F229" s="224"/>
      <c r="G229" s="223"/>
      <c r="H229" s="222"/>
      <c r="I229" s="220"/>
      <c r="J229" s="221"/>
      <c r="K229" s="220"/>
      <c r="L229" s="219"/>
      <c r="M229" s="218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17"/>
      <c r="C231" s="216"/>
      <c r="D231" s="215"/>
      <c r="E231" s="215"/>
      <c r="F231" s="213"/>
      <c r="G231" s="215"/>
      <c r="H231" s="214"/>
      <c r="I231" s="213"/>
      <c r="J231" s="213"/>
      <c r="K231" s="213"/>
      <c r="L231" s="212"/>
      <c r="M231" s="236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36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17"/>
      <c r="C235" s="216"/>
      <c r="D235" s="215"/>
      <c r="E235" s="215"/>
      <c r="F235" s="213"/>
      <c r="G235" s="215"/>
      <c r="H235" s="214"/>
      <c r="I235" s="213"/>
      <c r="J235" s="213"/>
      <c r="K235" s="213"/>
      <c r="L235" s="212"/>
      <c r="M235" s="211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27"/>
      <c r="J236" s="228"/>
      <c r="K236" s="227"/>
      <c r="L236" s="212"/>
      <c r="M236" s="236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35"/>
      <c r="I237" s="213"/>
      <c r="J237" s="213"/>
      <c r="K237" s="213"/>
      <c r="L237" s="212"/>
      <c r="M237" s="211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16"/>
      <c r="D240" s="215"/>
      <c r="E240" s="215"/>
      <c r="F240" s="213"/>
      <c r="G240" s="215"/>
      <c r="H240" s="214"/>
      <c r="I240" s="213"/>
      <c r="J240" s="213"/>
      <c r="K240" s="213"/>
      <c r="L240" s="212"/>
      <c r="M240" s="211"/>
      <c r="N240" s="210"/>
    </row>
    <row r="241" spans="2:14" x14ac:dyDescent="0.2">
      <c r="B241" s="217"/>
      <c r="C241" s="216"/>
      <c r="D241" s="215"/>
      <c r="E241" s="215"/>
      <c r="F241" s="213"/>
      <c r="G241" s="215"/>
      <c r="H241" s="235"/>
      <c r="I241" s="213"/>
      <c r="J241" s="213"/>
      <c r="K241" s="213"/>
      <c r="L241" s="212"/>
      <c r="M241" s="211"/>
      <c r="N241" s="210"/>
    </row>
    <row r="242" spans="2:14" x14ac:dyDescent="0.2">
      <c r="B242" s="226"/>
      <c r="C242" s="225"/>
      <c r="D242" s="223"/>
      <c r="E242" s="223"/>
      <c r="F242" s="224"/>
      <c r="G242" s="223"/>
      <c r="H242" s="234"/>
      <c r="I242" s="220"/>
      <c r="J242" s="221"/>
      <c r="K242" s="220"/>
      <c r="L242" s="219"/>
      <c r="M242" s="218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33"/>
      <c r="I243" s="213"/>
      <c r="J243" s="213"/>
      <c r="K243" s="213"/>
      <c r="L243" s="212"/>
      <c r="M243" s="211"/>
      <c r="N243" s="210"/>
    </row>
    <row r="244" spans="2:14" x14ac:dyDescent="0.2">
      <c r="B244" s="217"/>
      <c r="C244" s="216"/>
      <c r="D244" s="215"/>
      <c r="E244" s="215"/>
      <c r="F244" s="213"/>
      <c r="G244" s="215"/>
      <c r="H244" s="231"/>
      <c r="I244" s="213"/>
      <c r="J244" s="213"/>
      <c r="K244" s="213"/>
      <c r="L244" s="212"/>
      <c r="M244" s="211"/>
      <c r="N244" s="210"/>
    </row>
    <row r="245" spans="2:14" x14ac:dyDescent="0.2">
      <c r="B245" s="226"/>
      <c r="C245" s="225"/>
      <c r="D245" s="223"/>
      <c r="E245" s="223"/>
      <c r="F245" s="224"/>
      <c r="G245" s="223"/>
      <c r="H245" s="232"/>
      <c r="I245" s="220"/>
      <c r="J245" s="221"/>
      <c r="K245" s="220"/>
      <c r="L245" s="219"/>
      <c r="M245" s="218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31"/>
      <c r="I246" s="213"/>
      <c r="J246" s="213"/>
      <c r="K246" s="213"/>
      <c r="L246" s="212"/>
      <c r="M246" s="211"/>
      <c r="N246" s="210"/>
    </row>
    <row r="247" spans="2:14" x14ac:dyDescent="0.2">
      <c r="B247" s="217"/>
      <c r="C247" s="216"/>
      <c r="D247" s="215"/>
      <c r="E247" s="215"/>
      <c r="F247" s="213"/>
      <c r="G247" s="215"/>
      <c r="H247" s="231"/>
      <c r="I247" s="213"/>
      <c r="J247" s="213"/>
      <c r="K247" s="213"/>
      <c r="L247" s="212"/>
      <c r="M247" s="211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30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30"/>
      <c r="I249" s="220"/>
      <c r="J249" s="221"/>
      <c r="K249" s="220"/>
      <c r="L249" s="219"/>
      <c r="M249" s="218"/>
      <c r="N249" s="210"/>
    </row>
    <row r="250" spans="2:14" x14ac:dyDescent="0.2">
      <c r="B250" s="217"/>
      <c r="C250" s="216"/>
      <c r="D250" s="215"/>
      <c r="E250" s="215"/>
      <c r="F250" s="213"/>
      <c r="G250" s="215"/>
      <c r="H250" s="229"/>
      <c r="I250" s="213"/>
      <c r="J250" s="213"/>
      <c r="K250" s="213"/>
      <c r="L250" s="212"/>
      <c r="M250" s="211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27"/>
      <c r="J251" s="228"/>
      <c r="K251" s="227"/>
      <c r="L251" s="212"/>
      <c r="M251" s="211"/>
      <c r="N251" s="210"/>
    </row>
    <row r="252" spans="2:14" x14ac:dyDescent="0.2">
      <c r="B252" s="226"/>
      <c r="C252" s="225"/>
      <c r="D252" s="223"/>
      <c r="E252" s="223"/>
      <c r="F252" s="224"/>
      <c r="G252" s="223"/>
      <c r="H252" s="222"/>
      <c r="I252" s="220"/>
      <c r="J252" s="221"/>
      <c r="K252" s="220"/>
      <c r="L252" s="219"/>
      <c r="M252" s="218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11"/>
      <c r="N256" s="210"/>
    </row>
    <row r="257" spans="2:14" x14ac:dyDescent="0.2">
      <c r="B257" s="217"/>
      <c r="C257" s="216"/>
      <c r="D257" s="215"/>
      <c r="E257" s="215"/>
      <c r="F257" s="213"/>
      <c r="G257" s="215"/>
      <c r="H257" s="214"/>
      <c r="I257" s="227"/>
      <c r="J257" s="228"/>
      <c r="K257" s="227"/>
      <c r="L257" s="212"/>
      <c r="M257" s="211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26"/>
      <c r="C259" s="225"/>
      <c r="D259" s="223"/>
      <c r="E259" s="223"/>
      <c r="F259" s="224"/>
      <c r="G259" s="223"/>
      <c r="H259" s="222"/>
      <c r="I259" s="220"/>
      <c r="J259" s="221"/>
      <c r="K259" s="220"/>
      <c r="L259" s="219"/>
      <c r="M259" s="218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26"/>
      <c r="C265" s="225"/>
      <c r="D265" s="223"/>
      <c r="E265" s="223"/>
      <c r="F265" s="224"/>
      <c r="G265" s="223"/>
      <c r="H265" s="222"/>
      <c r="I265" s="220"/>
      <c r="J265" s="221"/>
      <c r="K265" s="220"/>
      <c r="L265" s="219"/>
      <c r="M265" s="218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26"/>
      <c r="C268" s="225"/>
      <c r="D268" s="223"/>
      <c r="E268" s="223"/>
      <c r="F268" s="224"/>
      <c r="G268" s="223"/>
      <c r="H268" s="222"/>
      <c r="I268" s="220"/>
      <c r="J268" s="221"/>
      <c r="K268" s="220"/>
      <c r="L268" s="219"/>
      <c r="M268" s="218"/>
      <c r="N268" s="210"/>
    </row>
    <row r="269" spans="2:14" x14ac:dyDescent="0.2">
      <c r="B269" s="226"/>
      <c r="C269" s="225"/>
      <c r="D269" s="223"/>
      <c r="E269" s="223"/>
      <c r="F269" s="224"/>
      <c r="G269" s="223"/>
      <c r="H269" s="222"/>
      <c r="I269" s="220"/>
      <c r="J269" s="221"/>
      <c r="K269" s="220"/>
      <c r="L269" s="219"/>
      <c r="M269" s="218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26"/>
      <c r="C271" s="225"/>
      <c r="D271" s="223"/>
      <c r="E271" s="223"/>
      <c r="F271" s="224"/>
      <c r="G271" s="223"/>
      <c r="H271" s="222"/>
      <c r="I271" s="220"/>
      <c r="J271" s="221"/>
      <c r="K271" s="220"/>
      <c r="L271" s="219"/>
      <c r="M271" s="218"/>
      <c r="N271" s="210"/>
    </row>
    <row r="272" spans="2:14" x14ac:dyDescent="0.2">
      <c r="B272" s="226"/>
      <c r="C272" s="225"/>
      <c r="D272" s="223"/>
      <c r="E272" s="223"/>
      <c r="F272" s="224"/>
      <c r="G272" s="223"/>
      <c r="H272" s="222"/>
      <c r="I272" s="220"/>
      <c r="J272" s="221"/>
      <c r="K272" s="220"/>
      <c r="L272" s="219"/>
      <c r="M272" s="218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4"/>
      <c r="J273" s="224"/>
      <c r="K273" s="224"/>
      <c r="L273" s="219"/>
      <c r="M273" s="218"/>
      <c r="N273" s="210"/>
    </row>
    <row r="274" spans="2:14" x14ac:dyDescent="0.2">
      <c r="B274" s="226"/>
      <c r="C274" s="225"/>
      <c r="D274" s="223"/>
      <c r="E274" s="223"/>
      <c r="F274" s="224"/>
      <c r="G274" s="223"/>
      <c r="H274" s="222"/>
      <c r="I274" s="224"/>
      <c r="J274" s="224"/>
      <c r="K274" s="224"/>
      <c r="L274" s="219"/>
      <c r="M274" s="218"/>
      <c r="N274" s="210"/>
    </row>
    <row r="275" spans="2:14" x14ac:dyDescent="0.2">
      <c r="B275" s="226"/>
      <c r="C275" s="225"/>
      <c r="D275" s="223"/>
      <c r="E275" s="223"/>
      <c r="F275" s="224"/>
      <c r="G275" s="223"/>
      <c r="H275" s="222"/>
      <c r="I275" s="220"/>
      <c r="J275" s="221"/>
      <c r="K275" s="220"/>
      <c r="L275" s="219"/>
      <c r="M275" s="218"/>
      <c r="N275" s="210"/>
    </row>
    <row r="276" spans="2:14" x14ac:dyDescent="0.2">
      <c r="B276" s="217"/>
      <c r="C276" s="216"/>
      <c r="D276" s="215"/>
      <c r="E276" s="215"/>
      <c r="F276" s="213"/>
      <c r="G276" s="215"/>
      <c r="H276" s="214"/>
      <c r="I276" s="213"/>
      <c r="J276" s="213"/>
      <c r="K276" s="213"/>
      <c r="L276" s="212"/>
      <c r="M276" s="211"/>
      <c r="N276" s="210"/>
    </row>
    <row r="277" spans="2:14" x14ac:dyDescent="0.2">
      <c r="B277" s="217"/>
      <c r="C277" s="216"/>
      <c r="D277" s="215"/>
      <c r="E277" s="215"/>
      <c r="F277" s="213"/>
      <c r="G277" s="215"/>
      <c r="H277" s="214"/>
      <c r="I277" s="213"/>
      <c r="J277" s="213"/>
      <c r="K277" s="213"/>
      <c r="L277" s="212"/>
      <c r="M277" s="211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26"/>
      <c r="C279" s="225"/>
      <c r="D279" s="223"/>
      <c r="E279" s="223"/>
      <c r="F279" s="224"/>
      <c r="G279" s="223"/>
      <c r="H279" s="222"/>
      <c r="I279" s="220"/>
      <c r="J279" s="221"/>
      <c r="K279" s="220"/>
      <c r="L279" s="219"/>
      <c r="M279" s="218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13"/>
      <c r="J280" s="213"/>
      <c r="K280" s="213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217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17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17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17"/>
      <c r="C290" s="216"/>
      <c r="D290" s="215"/>
      <c r="E290" s="215"/>
      <c r="F290" s="213"/>
      <c r="G290" s="215"/>
      <c r="H290" s="214"/>
      <c r="I290" s="213"/>
      <c r="J290" s="213"/>
      <c r="K290" s="213"/>
      <c r="L290" s="212"/>
      <c r="M290" s="211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17"/>
      <c r="C293" s="216"/>
      <c r="D293" s="215"/>
      <c r="E293" s="215"/>
      <c r="F293" s="213"/>
      <c r="G293" s="215"/>
      <c r="H293" s="214"/>
      <c r="I293" s="213"/>
      <c r="J293" s="213"/>
      <c r="K293" s="213"/>
      <c r="L293" s="212"/>
      <c r="M293" s="211"/>
      <c r="N293" s="210"/>
    </row>
    <row r="294" spans="2:14" x14ac:dyDescent="0.2">
      <c r="B294" s="217"/>
      <c r="C294" s="216"/>
      <c r="D294" s="215"/>
      <c r="E294" s="215"/>
      <c r="F294" s="213"/>
      <c r="G294" s="215"/>
      <c r="H294" s="214"/>
      <c r="I294" s="213"/>
      <c r="J294" s="213"/>
      <c r="K294" s="213"/>
      <c r="L294" s="212"/>
      <c r="M294" s="211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17"/>
      <c r="C296" s="216"/>
      <c r="D296" s="215"/>
      <c r="E296" s="215"/>
      <c r="F296" s="213"/>
      <c r="G296" s="215"/>
      <c r="H296" s="214"/>
      <c r="I296" s="213"/>
      <c r="J296" s="213"/>
      <c r="K296" s="213"/>
      <c r="L296" s="212"/>
      <c r="M296" s="211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17"/>
      <c r="C300" s="216"/>
      <c r="D300" s="215"/>
      <c r="E300" s="215"/>
      <c r="F300" s="213"/>
      <c r="G300" s="215"/>
      <c r="H300" s="214"/>
      <c r="I300" s="213"/>
      <c r="J300" s="213"/>
      <c r="K300" s="213"/>
      <c r="L300" s="212"/>
      <c r="M300" s="211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0"/>
      <c r="J301" s="221"/>
      <c r="K301" s="220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0"/>
      <c r="J302" s="221"/>
      <c r="K302" s="220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26"/>
      <c r="C304" s="225"/>
      <c r="D304" s="223"/>
      <c r="E304" s="223"/>
      <c r="F304" s="224"/>
      <c r="G304" s="223"/>
      <c r="H304" s="222"/>
      <c r="I304" s="220"/>
      <c r="J304" s="221"/>
      <c r="K304" s="220"/>
      <c r="L304" s="219"/>
      <c r="M304" s="218"/>
      <c r="N304" s="210"/>
    </row>
    <row r="305" spans="2:14" x14ac:dyDescent="0.2">
      <c r="B305" s="226"/>
      <c r="C305" s="225"/>
      <c r="D305" s="223"/>
      <c r="E305" s="223"/>
      <c r="F305" s="224"/>
      <c r="G305" s="223"/>
      <c r="H305" s="222"/>
      <c r="I305" s="220"/>
      <c r="J305" s="221"/>
      <c r="K305" s="220"/>
      <c r="L305" s="219"/>
      <c r="M305" s="218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17"/>
      <c r="C307" s="216"/>
      <c r="D307" s="215"/>
      <c r="E307" s="215"/>
      <c r="F307" s="213"/>
      <c r="G307" s="215"/>
      <c r="H307" s="214"/>
      <c r="I307" s="213"/>
      <c r="J307" s="213"/>
      <c r="K307" s="213"/>
      <c r="L307" s="212"/>
      <c r="M307" s="211"/>
      <c r="N307" s="210"/>
    </row>
    <row r="308" spans="2:14" x14ac:dyDescent="0.2">
      <c r="B308" s="226"/>
      <c r="C308" s="225"/>
      <c r="D308" s="223"/>
      <c r="E308" s="223"/>
      <c r="F308" s="224"/>
      <c r="G308" s="223"/>
      <c r="H308" s="222"/>
      <c r="I308" s="220"/>
      <c r="J308" s="221"/>
      <c r="K308" s="220"/>
      <c r="L308" s="219"/>
      <c r="M308" s="218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17"/>
      <c r="C310" s="216"/>
      <c r="D310" s="215"/>
      <c r="E310" s="215"/>
      <c r="F310" s="213"/>
      <c r="G310" s="215"/>
      <c r="H310" s="214"/>
      <c r="I310" s="213"/>
      <c r="J310" s="213"/>
      <c r="K310" s="213"/>
      <c r="L310" s="212"/>
      <c r="M310" s="211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26"/>
      <c r="C312" s="225"/>
      <c r="D312" s="223"/>
      <c r="E312" s="223"/>
      <c r="F312" s="224"/>
      <c r="G312" s="223"/>
      <c r="H312" s="222"/>
      <c r="I312" s="220"/>
      <c r="J312" s="221"/>
      <c r="K312" s="220"/>
      <c r="L312" s="219"/>
      <c r="M312" s="218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16"/>
      <c r="D314" s="215"/>
      <c r="E314" s="215"/>
      <c r="F314" s="213"/>
      <c r="G314" s="215"/>
      <c r="H314" s="214"/>
      <c r="I314" s="227"/>
      <c r="J314" s="228"/>
      <c r="K314" s="227"/>
      <c r="L314" s="212"/>
      <c r="M314" s="211"/>
      <c r="N314" s="210"/>
    </row>
    <row r="315" spans="2:14" x14ac:dyDescent="0.2">
      <c r="B315" s="226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16"/>
      <c r="D316" s="215"/>
      <c r="E316" s="215"/>
      <c r="F316" s="213"/>
      <c r="G316" s="215"/>
      <c r="H316" s="214"/>
      <c r="I316" s="213"/>
      <c r="J316" s="213"/>
      <c r="K316" s="213"/>
      <c r="L316" s="212"/>
      <c r="M316" s="211"/>
      <c r="N316" s="210"/>
    </row>
    <row r="317" spans="2:14" x14ac:dyDescent="0.2">
      <c r="B317" s="217"/>
      <c r="C317" s="216"/>
      <c r="D317" s="215"/>
      <c r="E317" s="215"/>
      <c r="F317" s="213"/>
      <c r="G317" s="215"/>
      <c r="H317" s="214"/>
      <c r="I317" s="227"/>
      <c r="J317" s="228"/>
      <c r="K317" s="227"/>
      <c r="L317" s="212"/>
      <c r="M317" s="211"/>
      <c r="N317" s="210"/>
    </row>
    <row r="318" spans="2:14" x14ac:dyDescent="0.2">
      <c r="B318" s="226"/>
      <c r="C318" s="225"/>
      <c r="D318" s="223"/>
      <c r="E318" s="223"/>
      <c r="F318" s="224"/>
      <c r="G318" s="223"/>
      <c r="H318" s="222"/>
      <c r="I318" s="220"/>
      <c r="J318" s="221"/>
      <c r="K318" s="220"/>
      <c r="L318" s="219"/>
      <c r="M318" s="218"/>
      <c r="N318" s="210"/>
    </row>
    <row r="319" spans="2:14" x14ac:dyDescent="0.2">
      <c r="B319" s="217"/>
      <c r="C319" s="216"/>
      <c r="D319" s="215"/>
      <c r="E319" s="215"/>
      <c r="F319" s="213"/>
      <c r="G319" s="215"/>
      <c r="H319" s="214"/>
      <c r="I319" s="213"/>
      <c r="J319" s="213"/>
      <c r="K319" s="213"/>
      <c r="L319" s="212"/>
      <c r="M319" s="211"/>
      <c r="N319" s="210"/>
    </row>
    <row r="320" spans="2:14" x14ac:dyDescent="0.2">
      <c r="B320" s="217"/>
      <c r="C320" s="216"/>
      <c r="D320" s="215"/>
      <c r="E320" s="215"/>
      <c r="F320" s="213"/>
      <c r="G320" s="215"/>
      <c r="H320" s="214"/>
      <c r="I320" s="213"/>
      <c r="J320" s="213"/>
      <c r="K320" s="213"/>
      <c r="L320" s="212"/>
      <c r="M320" s="211"/>
      <c r="N320" s="210"/>
    </row>
    <row r="321" spans="2:14" x14ac:dyDescent="0.2">
      <c r="B321" s="226"/>
      <c r="C321" s="225"/>
      <c r="D321" s="223"/>
      <c r="E321" s="223"/>
      <c r="F321" s="224"/>
      <c r="G321" s="223"/>
      <c r="H321" s="222"/>
      <c r="I321" s="220"/>
      <c r="J321" s="221"/>
      <c r="K321" s="220"/>
      <c r="L321" s="219"/>
      <c r="M321" s="218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17"/>
      <c r="C323" s="216"/>
      <c r="D323" s="215"/>
      <c r="E323" s="215"/>
      <c r="F323" s="213"/>
      <c r="G323" s="215"/>
      <c r="H323" s="214"/>
      <c r="I323" s="227"/>
      <c r="J323" s="228"/>
      <c r="K323" s="227"/>
      <c r="L323" s="212"/>
      <c r="M323" s="211"/>
      <c r="N323" s="210"/>
    </row>
    <row r="324" spans="2:14" x14ac:dyDescent="0.2">
      <c r="B324" s="226"/>
      <c r="C324" s="225"/>
      <c r="D324" s="223"/>
      <c r="E324" s="223"/>
      <c r="F324" s="224"/>
      <c r="G324" s="223"/>
      <c r="H324" s="222"/>
      <c r="I324" s="220"/>
      <c r="J324" s="221"/>
      <c r="K324" s="220"/>
      <c r="L324" s="219"/>
      <c r="M324" s="218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17"/>
      <c r="C327" s="216"/>
      <c r="D327" s="215"/>
      <c r="E327" s="215"/>
      <c r="F327" s="213"/>
      <c r="G327" s="215"/>
      <c r="H327" s="214"/>
      <c r="I327" s="213"/>
      <c r="J327" s="213"/>
      <c r="K327" s="213"/>
      <c r="L327" s="212"/>
      <c r="M327" s="211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27"/>
      <c r="J328" s="228"/>
      <c r="K328" s="227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17"/>
      <c r="C330" s="216"/>
      <c r="D330" s="215"/>
      <c r="E330" s="215"/>
      <c r="F330" s="213"/>
      <c r="G330" s="215"/>
      <c r="H330" s="214"/>
      <c r="I330" s="213"/>
      <c r="J330" s="213"/>
      <c r="K330" s="213"/>
      <c r="L330" s="212"/>
      <c r="M330" s="211"/>
      <c r="N330" s="210"/>
    </row>
    <row r="331" spans="2:14" x14ac:dyDescent="0.2">
      <c r="B331" s="217"/>
      <c r="C331" s="216"/>
      <c r="D331" s="215"/>
      <c r="E331" s="215"/>
      <c r="F331" s="213"/>
      <c r="G331" s="215"/>
      <c r="H331" s="214"/>
      <c r="I331" s="227"/>
      <c r="J331" s="228"/>
      <c r="K331" s="227"/>
      <c r="L331" s="212"/>
      <c r="M331" s="211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17"/>
      <c r="C333" s="216"/>
      <c r="D333" s="215"/>
      <c r="E333" s="215"/>
      <c r="F333" s="213"/>
      <c r="G333" s="215"/>
      <c r="H333" s="214"/>
      <c r="I333" s="213"/>
      <c r="J333" s="213"/>
      <c r="K333" s="213"/>
      <c r="L333" s="212"/>
      <c r="M333" s="211"/>
      <c r="N333" s="210"/>
    </row>
    <row r="334" spans="2:14" x14ac:dyDescent="0.2">
      <c r="B334" s="156"/>
      <c r="C334" s="156"/>
      <c r="D334" s="156"/>
      <c r="E334" s="102"/>
      <c r="F334" s="102"/>
      <c r="G334" s="156"/>
      <c r="H334" s="156"/>
      <c r="I334" s="156"/>
      <c r="J334" s="156"/>
      <c r="K334" s="156"/>
      <c r="L334" s="102"/>
      <c r="M334" s="156"/>
      <c r="N334" s="156"/>
    </row>
    <row r="335" spans="2:14" x14ac:dyDescent="0.2">
      <c r="H335" s="151"/>
    </row>
    <row r="336" spans="2:14" x14ac:dyDescent="0.2">
      <c r="H336" s="151"/>
    </row>
    <row r="338" spans="5:12" x14ac:dyDescent="0.2">
      <c r="H338" s="151"/>
    </row>
    <row r="339" spans="5:12" x14ac:dyDescent="0.2">
      <c r="H339" s="151"/>
    </row>
    <row r="340" spans="5:12" x14ac:dyDescent="0.2">
      <c r="E340" s="32"/>
      <c r="F340" s="32"/>
      <c r="L340" s="155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4"/>
    </row>
    <row r="344" spans="5:12" x14ac:dyDescent="0.2">
      <c r="E344" s="32"/>
      <c r="F344" s="32"/>
      <c r="L344" s="209"/>
    </row>
    <row r="348" spans="5:12" x14ac:dyDescent="0.2">
      <c r="E348" s="32"/>
      <c r="F348" s="32"/>
      <c r="G348" s="151"/>
    </row>
    <row r="349" spans="5:12" x14ac:dyDescent="0.2">
      <c r="E349" s="32"/>
      <c r="F349" s="32"/>
      <c r="G349" s="152"/>
    </row>
    <row r="352" spans="5:12" x14ac:dyDescent="0.2">
      <c r="E352" s="32"/>
      <c r="F352" s="32"/>
      <c r="G352" s="151"/>
      <c r="L352" s="32"/>
    </row>
  </sheetData>
  <conditionalFormatting sqref="E183:E184 E231:E232 E224 E214:E215 E186:E187 E227:E228 E62 E44 E235:E237 E31:E32">
    <cfRule type="containsText" dxfId="2550" priority="393" operator="containsText" text="Buy">
      <formula>NOT(ISERROR(SEARCH("Buy",E31)))</formula>
    </cfRule>
    <cfRule type="containsText" dxfId="2549" priority="394" operator="containsText" text="Sell">
      <formula>NOT(ISERROR(SEARCH("Sell",E31)))</formula>
    </cfRule>
  </conditionalFormatting>
  <conditionalFormatting sqref="E256:E257 E246:E247 E251">
    <cfRule type="containsText" dxfId="2548" priority="391" operator="containsText" text="Buy">
      <formula>NOT(ISERROR(SEARCH("Buy",E246)))</formula>
    </cfRule>
    <cfRule type="containsText" dxfId="2547" priority="392" operator="containsText" text="Sell">
      <formula>NOT(ISERROR(SEARCH("Sell",E246)))</formula>
    </cfRule>
  </conditionalFormatting>
  <conditionalFormatting sqref="E272:E274 E331 E328 E323 E317 E314 E311 E308 E301 E297 E291 E281">
    <cfRule type="containsText" dxfId="2546" priority="389" operator="containsText" text="Buy">
      <formula>NOT(ISERROR(SEARCH("Buy",E272)))</formula>
    </cfRule>
    <cfRule type="containsText" dxfId="2545" priority="390" operator="containsText" text="Sell">
      <formula>NOT(ISERROR(SEARCH("Sell",E272)))</formula>
    </cfRule>
  </conditionalFormatting>
  <conditionalFormatting sqref="E271">
    <cfRule type="containsText" dxfId="2544" priority="387" operator="containsText" text="Buy">
      <formula>NOT(ISERROR(SEARCH("Buy",E271)))</formula>
    </cfRule>
    <cfRule type="containsText" dxfId="2543" priority="388" operator="containsText" text="Sell">
      <formula>NOT(ISERROR(SEARCH("Sell",E271)))</formula>
    </cfRule>
  </conditionalFormatting>
  <conditionalFormatting sqref="E270">
    <cfRule type="containsText" dxfId="2542" priority="385" operator="containsText" text="Buy">
      <formula>NOT(ISERROR(SEARCH("Buy",E270)))</formula>
    </cfRule>
    <cfRule type="containsText" dxfId="2541" priority="386" operator="containsText" text="Sell">
      <formula>NOT(ISERROR(SEARCH("Sell",E270)))</formula>
    </cfRule>
  </conditionalFormatting>
  <conditionalFormatting sqref="E269">
    <cfRule type="containsText" dxfId="2540" priority="383" operator="containsText" text="Buy">
      <formula>NOT(ISERROR(SEARCH("Buy",E269)))</formula>
    </cfRule>
    <cfRule type="containsText" dxfId="2539" priority="384" operator="containsText" text="Sell">
      <formula>NOT(ISERROR(SEARCH("Sell",E269)))</formula>
    </cfRule>
  </conditionalFormatting>
  <conditionalFormatting sqref="E182">
    <cfRule type="containsText" dxfId="2538" priority="381" operator="containsText" text="Buy">
      <formula>NOT(ISERROR(SEARCH("Buy",E182)))</formula>
    </cfRule>
    <cfRule type="containsText" dxfId="2537" priority="382" operator="containsText" text="Sell">
      <formula>NOT(ISERROR(SEARCH("Sell",E182)))</formula>
    </cfRule>
  </conditionalFormatting>
  <conditionalFormatting sqref="E181">
    <cfRule type="containsText" dxfId="2536" priority="379" operator="containsText" text="Buy">
      <formula>NOT(ISERROR(SEARCH("Buy",E181)))</formula>
    </cfRule>
    <cfRule type="containsText" dxfId="2535" priority="380" operator="containsText" text="Sell">
      <formula>NOT(ISERROR(SEARCH("Sell",E181)))</formula>
    </cfRule>
  </conditionalFormatting>
  <conditionalFormatting sqref="E230">
    <cfRule type="containsText" dxfId="2534" priority="377" operator="containsText" text="Buy">
      <formula>NOT(ISERROR(SEARCH("Buy",E230)))</formula>
    </cfRule>
    <cfRule type="containsText" dxfId="2533" priority="378" operator="containsText" text="Sell">
      <formula>NOT(ISERROR(SEARCH("Sell",E230)))</formula>
    </cfRule>
  </conditionalFormatting>
  <conditionalFormatting sqref="E229">
    <cfRule type="containsText" dxfId="2532" priority="375" operator="containsText" text="Buy">
      <formula>NOT(ISERROR(SEARCH("Buy",E229)))</formula>
    </cfRule>
    <cfRule type="containsText" dxfId="2531" priority="376" operator="containsText" text="Sell">
      <formula>NOT(ISERROR(SEARCH("Sell",E229)))</formula>
    </cfRule>
  </conditionalFormatting>
  <conditionalFormatting sqref="E216:E218">
    <cfRule type="containsText" dxfId="2530" priority="373" operator="containsText" text="Buy">
      <formula>NOT(ISERROR(SEARCH("Buy",E216)))</formula>
    </cfRule>
    <cfRule type="containsText" dxfId="2529" priority="374" operator="containsText" text="Sell">
      <formula>NOT(ISERROR(SEARCH("Sell",E216)))</formula>
    </cfRule>
  </conditionalFormatting>
  <conditionalFormatting sqref="E213">
    <cfRule type="containsText" dxfId="2528" priority="371" operator="containsText" text="Buy">
      <formula>NOT(ISERROR(SEARCH("Buy",E213)))</formula>
    </cfRule>
    <cfRule type="containsText" dxfId="2527" priority="372" operator="containsText" text="Sell">
      <formula>NOT(ISERROR(SEARCH("Sell",E213)))</formula>
    </cfRule>
  </conditionalFormatting>
  <conditionalFormatting sqref="E212">
    <cfRule type="containsText" dxfId="2526" priority="369" operator="containsText" text="Buy">
      <formula>NOT(ISERROR(SEARCH("Buy",E212)))</formula>
    </cfRule>
    <cfRule type="containsText" dxfId="2525" priority="370" operator="containsText" text="Sell">
      <formula>NOT(ISERROR(SEARCH("Sell",E212)))</formula>
    </cfRule>
  </conditionalFormatting>
  <conditionalFormatting sqref="E211">
    <cfRule type="containsText" dxfId="2524" priority="367" operator="containsText" text="Buy">
      <formula>NOT(ISERROR(SEARCH("Buy",E211)))</formula>
    </cfRule>
    <cfRule type="containsText" dxfId="2523" priority="368" operator="containsText" text="Sell">
      <formula>NOT(ISERROR(SEARCH("Sell",E211)))</formula>
    </cfRule>
  </conditionalFormatting>
  <conditionalFormatting sqref="E210">
    <cfRule type="containsText" dxfId="2522" priority="365" operator="containsText" text="Buy">
      <formula>NOT(ISERROR(SEARCH("Buy",E210)))</formula>
    </cfRule>
    <cfRule type="containsText" dxfId="2521" priority="366" operator="containsText" text="Sell">
      <formula>NOT(ISERROR(SEARCH("Sell",E210)))</formula>
    </cfRule>
  </conditionalFormatting>
  <conditionalFormatting sqref="E209">
    <cfRule type="containsText" dxfId="2520" priority="363" operator="containsText" text="Buy">
      <formula>NOT(ISERROR(SEARCH("Buy",E209)))</formula>
    </cfRule>
    <cfRule type="containsText" dxfId="2519" priority="364" operator="containsText" text="Sell">
      <formula>NOT(ISERROR(SEARCH("Sell",E209)))</formula>
    </cfRule>
  </conditionalFormatting>
  <conditionalFormatting sqref="E208">
    <cfRule type="containsText" dxfId="2518" priority="361" operator="containsText" text="Buy">
      <formula>NOT(ISERROR(SEARCH("Buy",E208)))</formula>
    </cfRule>
    <cfRule type="containsText" dxfId="2517" priority="362" operator="containsText" text="Sell">
      <formula>NOT(ISERROR(SEARCH("Sell",E208)))</formula>
    </cfRule>
  </conditionalFormatting>
  <conditionalFormatting sqref="E207">
    <cfRule type="containsText" dxfId="2516" priority="359" operator="containsText" text="Buy">
      <formula>NOT(ISERROR(SEARCH("Buy",E207)))</formula>
    </cfRule>
    <cfRule type="containsText" dxfId="2515" priority="360" operator="containsText" text="Sell">
      <formula>NOT(ISERROR(SEARCH("Sell",E207)))</formula>
    </cfRule>
  </conditionalFormatting>
  <conditionalFormatting sqref="E200:E202">
    <cfRule type="containsText" dxfId="2514" priority="357" operator="containsText" text="Buy">
      <formula>NOT(ISERROR(SEARCH("Buy",E200)))</formula>
    </cfRule>
    <cfRule type="containsText" dxfId="2513" priority="358" operator="containsText" text="Sell">
      <formula>NOT(ISERROR(SEARCH("Sell",E200)))</formula>
    </cfRule>
  </conditionalFormatting>
  <conditionalFormatting sqref="E199">
    <cfRule type="containsText" dxfId="2512" priority="355" operator="containsText" text="Buy">
      <formula>NOT(ISERROR(SEARCH("Buy",E199)))</formula>
    </cfRule>
    <cfRule type="containsText" dxfId="2511" priority="356" operator="containsText" text="Sell">
      <formula>NOT(ISERROR(SEARCH("Sell",E199)))</formula>
    </cfRule>
  </conditionalFormatting>
  <conditionalFormatting sqref="E198">
    <cfRule type="containsText" dxfId="2510" priority="353" operator="containsText" text="Buy">
      <formula>NOT(ISERROR(SEARCH("Buy",E198)))</formula>
    </cfRule>
    <cfRule type="containsText" dxfId="2509" priority="354" operator="containsText" text="Sell">
      <formula>NOT(ISERROR(SEARCH("Sell",E198)))</formula>
    </cfRule>
  </conditionalFormatting>
  <conditionalFormatting sqref="E197">
    <cfRule type="containsText" dxfId="2508" priority="351" operator="containsText" text="Buy">
      <formula>NOT(ISERROR(SEARCH("Buy",E197)))</formula>
    </cfRule>
    <cfRule type="containsText" dxfId="2507" priority="352" operator="containsText" text="Sell">
      <formula>NOT(ISERROR(SEARCH("Sell",E197)))</formula>
    </cfRule>
  </conditionalFormatting>
  <conditionalFormatting sqref="E196">
    <cfRule type="containsText" dxfId="2506" priority="349" operator="containsText" text="Buy">
      <formula>NOT(ISERROR(SEARCH("Buy",E196)))</formula>
    </cfRule>
    <cfRule type="containsText" dxfId="2505" priority="350" operator="containsText" text="Sell">
      <formula>NOT(ISERROR(SEARCH("Sell",E196)))</formula>
    </cfRule>
  </conditionalFormatting>
  <conditionalFormatting sqref="E195">
    <cfRule type="containsText" dxfId="2504" priority="347" operator="containsText" text="Buy">
      <formula>NOT(ISERROR(SEARCH("Buy",E195)))</formula>
    </cfRule>
    <cfRule type="containsText" dxfId="2503" priority="348" operator="containsText" text="Sell">
      <formula>NOT(ISERROR(SEARCH("Sell",E195)))</formula>
    </cfRule>
  </conditionalFormatting>
  <conditionalFormatting sqref="E194">
    <cfRule type="containsText" dxfId="2502" priority="345" operator="containsText" text="Buy">
      <formula>NOT(ISERROR(SEARCH("Buy",E194)))</formula>
    </cfRule>
    <cfRule type="containsText" dxfId="2501" priority="346" operator="containsText" text="Sell">
      <formula>NOT(ISERROR(SEARCH("Sell",E194)))</formula>
    </cfRule>
  </conditionalFormatting>
  <conditionalFormatting sqref="E193">
    <cfRule type="containsText" dxfId="2500" priority="343" operator="containsText" text="Buy">
      <formula>NOT(ISERROR(SEARCH("Buy",E193)))</formula>
    </cfRule>
    <cfRule type="containsText" dxfId="2499" priority="344" operator="containsText" text="Sell">
      <formula>NOT(ISERROR(SEARCH("Sell",E193)))</formula>
    </cfRule>
  </conditionalFormatting>
  <conditionalFormatting sqref="E192">
    <cfRule type="containsText" dxfId="2498" priority="341" operator="containsText" text="Buy">
      <formula>NOT(ISERROR(SEARCH("Buy",E192)))</formula>
    </cfRule>
    <cfRule type="containsText" dxfId="2497" priority="342" operator="containsText" text="Sell">
      <formula>NOT(ISERROR(SEARCH("Sell",E192)))</formula>
    </cfRule>
  </conditionalFormatting>
  <conditionalFormatting sqref="E191">
    <cfRule type="containsText" dxfId="2496" priority="339" operator="containsText" text="Buy">
      <formula>NOT(ISERROR(SEARCH("Buy",E191)))</formula>
    </cfRule>
    <cfRule type="containsText" dxfId="2495" priority="340" operator="containsText" text="Sell">
      <formula>NOT(ISERROR(SEARCH("Sell",E191)))</formula>
    </cfRule>
  </conditionalFormatting>
  <conditionalFormatting sqref="E190">
    <cfRule type="containsText" dxfId="2494" priority="337" operator="containsText" text="Buy">
      <formula>NOT(ISERROR(SEARCH("Buy",E190)))</formula>
    </cfRule>
    <cfRule type="containsText" dxfId="2493" priority="338" operator="containsText" text="Sell">
      <formula>NOT(ISERROR(SEARCH("Sell",E190)))</formula>
    </cfRule>
  </conditionalFormatting>
  <conditionalFormatting sqref="E189">
    <cfRule type="containsText" dxfId="2492" priority="335" operator="containsText" text="Buy">
      <formula>NOT(ISERROR(SEARCH("Buy",E189)))</formula>
    </cfRule>
    <cfRule type="containsText" dxfId="2491" priority="336" operator="containsText" text="Sell">
      <formula>NOT(ISERROR(SEARCH("Sell",E189)))</formula>
    </cfRule>
  </conditionalFormatting>
  <conditionalFormatting sqref="E185">
    <cfRule type="containsText" dxfId="2490" priority="333" operator="containsText" text="Buy">
      <formula>NOT(ISERROR(SEARCH("Buy",E185)))</formula>
    </cfRule>
    <cfRule type="containsText" dxfId="2489" priority="334" operator="containsText" text="Sell">
      <formula>NOT(ISERROR(SEARCH("Sell",E185)))</formula>
    </cfRule>
  </conditionalFormatting>
  <conditionalFormatting sqref="E245">
    <cfRule type="containsText" dxfId="2488" priority="331" operator="containsText" text="Buy">
      <formula>NOT(ISERROR(SEARCH("Buy",E245)))</formula>
    </cfRule>
    <cfRule type="containsText" dxfId="2487" priority="332" operator="containsText" text="Sell">
      <formula>NOT(ISERROR(SEARCH("Sell",E245)))</formula>
    </cfRule>
  </conditionalFormatting>
  <conditionalFormatting sqref="E244 E241">
    <cfRule type="containsText" dxfId="2486" priority="329" operator="containsText" text="Buy">
      <formula>NOT(ISERROR(SEARCH("Buy",E241)))</formula>
    </cfRule>
    <cfRule type="containsText" dxfId="2485" priority="330" operator="containsText" text="Sell">
      <formula>NOT(ISERROR(SEARCH("Sell",E241)))</formula>
    </cfRule>
  </conditionalFormatting>
  <conditionalFormatting sqref="E250">
    <cfRule type="containsText" dxfId="2484" priority="327" operator="containsText" text="Buy">
      <formula>NOT(ISERROR(SEARCH("Buy",E250)))</formula>
    </cfRule>
    <cfRule type="containsText" dxfId="2483" priority="328" operator="containsText" text="Sell">
      <formula>NOT(ISERROR(SEARCH("Sell",E250)))</formula>
    </cfRule>
  </conditionalFormatting>
  <conditionalFormatting sqref="E332:E333">
    <cfRule type="containsText" dxfId="2482" priority="325" operator="containsText" text="Buy">
      <formula>NOT(ISERROR(SEARCH("Buy",E332)))</formula>
    </cfRule>
    <cfRule type="containsText" dxfId="2481" priority="326" operator="containsText" text="Sell">
      <formula>NOT(ISERROR(SEARCH("Sell",E332)))</formula>
    </cfRule>
  </conditionalFormatting>
  <conditionalFormatting sqref="E243">
    <cfRule type="containsText" dxfId="2480" priority="323" operator="containsText" text="Buy">
      <formula>NOT(ISERROR(SEARCH("Buy",E243)))</formula>
    </cfRule>
    <cfRule type="containsText" dxfId="2479" priority="324" operator="containsText" text="Sell">
      <formula>NOT(ISERROR(SEARCH("Sell",E243)))</formula>
    </cfRule>
  </conditionalFormatting>
  <conditionalFormatting sqref="E240">
    <cfRule type="containsText" dxfId="2478" priority="321" operator="containsText" text="Buy">
      <formula>NOT(ISERROR(SEARCH("Buy",E240)))</formula>
    </cfRule>
    <cfRule type="containsText" dxfId="2477" priority="322" operator="containsText" text="Sell">
      <formula>NOT(ISERROR(SEARCH("Sell",E240)))</formula>
    </cfRule>
  </conditionalFormatting>
  <conditionalFormatting sqref="E239">
    <cfRule type="containsText" dxfId="2476" priority="319" operator="containsText" text="Buy">
      <formula>NOT(ISERROR(SEARCH("Buy",E239)))</formula>
    </cfRule>
    <cfRule type="containsText" dxfId="2475" priority="320" operator="containsText" text="Sell">
      <formula>NOT(ISERROR(SEARCH("Sell",E239)))</formula>
    </cfRule>
  </conditionalFormatting>
  <conditionalFormatting sqref="E226">
    <cfRule type="containsText" dxfId="2474" priority="317" operator="containsText" text="Buy">
      <formula>NOT(ISERROR(SEARCH("Buy",E226)))</formula>
    </cfRule>
    <cfRule type="containsText" dxfId="2473" priority="318" operator="containsText" text="Sell">
      <formula>NOT(ISERROR(SEARCH("Sell",E226)))</formula>
    </cfRule>
  </conditionalFormatting>
  <conditionalFormatting sqref="E163:E166 E176 E173:E174">
    <cfRule type="containsText" dxfId="2472" priority="315" operator="containsText" text="Buy">
      <formula>NOT(ISERROR(SEARCH("Buy",E163)))</formula>
    </cfRule>
    <cfRule type="containsText" dxfId="2471" priority="316" operator="containsText" text="Sell">
      <formula>NOT(ISERROR(SEARCH("Sell",E163)))</formula>
    </cfRule>
  </conditionalFormatting>
  <conditionalFormatting sqref="E329:E330">
    <cfRule type="containsText" dxfId="2470" priority="313" operator="containsText" text="Buy">
      <formula>NOT(ISERROR(SEARCH("Buy",E329)))</formula>
    </cfRule>
    <cfRule type="containsText" dxfId="2469" priority="314" operator="containsText" text="Sell">
      <formula>NOT(ISERROR(SEARCH("Sell",E329)))</formula>
    </cfRule>
  </conditionalFormatting>
  <conditionalFormatting sqref="E326:E327">
    <cfRule type="containsText" dxfId="2468" priority="311" operator="containsText" text="Buy">
      <formula>NOT(ISERROR(SEARCH("Buy",E326)))</formula>
    </cfRule>
    <cfRule type="containsText" dxfId="2467" priority="312" operator="containsText" text="Sell">
      <formula>NOT(ISERROR(SEARCH("Sell",E326)))</formula>
    </cfRule>
  </conditionalFormatting>
  <conditionalFormatting sqref="E324:E325">
    <cfRule type="containsText" dxfId="2466" priority="309" operator="containsText" text="Buy">
      <formula>NOT(ISERROR(SEARCH("Buy",E324)))</formula>
    </cfRule>
    <cfRule type="containsText" dxfId="2465" priority="310" operator="containsText" text="Sell">
      <formula>NOT(ISERROR(SEARCH("Sell",E324)))</formula>
    </cfRule>
  </conditionalFormatting>
  <conditionalFormatting sqref="E321:E322">
    <cfRule type="containsText" dxfId="2464" priority="307" operator="containsText" text="Buy">
      <formula>NOT(ISERROR(SEARCH("Buy",E321)))</formula>
    </cfRule>
    <cfRule type="containsText" dxfId="2463" priority="308" operator="containsText" text="Sell">
      <formula>NOT(ISERROR(SEARCH("Sell",E321)))</formula>
    </cfRule>
  </conditionalFormatting>
  <conditionalFormatting sqref="E318:E320">
    <cfRule type="containsText" dxfId="2462" priority="305" operator="containsText" text="Buy">
      <formula>NOT(ISERROR(SEARCH("Buy",E318)))</formula>
    </cfRule>
    <cfRule type="containsText" dxfId="2461" priority="306" operator="containsText" text="Sell">
      <formula>NOT(ISERROR(SEARCH("Sell",E318)))</formula>
    </cfRule>
  </conditionalFormatting>
  <conditionalFormatting sqref="E315:E316">
    <cfRule type="containsText" dxfId="2460" priority="303" operator="containsText" text="Buy">
      <formula>NOT(ISERROR(SEARCH("Buy",E315)))</formula>
    </cfRule>
    <cfRule type="containsText" dxfId="2459" priority="304" operator="containsText" text="Sell">
      <formula>NOT(ISERROR(SEARCH("Sell",E315)))</formula>
    </cfRule>
  </conditionalFormatting>
  <conditionalFormatting sqref="E312:E313">
    <cfRule type="containsText" dxfId="2458" priority="301" operator="containsText" text="Buy">
      <formula>NOT(ISERROR(SEARCH("Buy",E312)))</formula>
    </cfRule>
    <cfRule type="containsText" dxfId="2457" priority="302" operator="containsText" text="Sell">
      <formula>NOT(ISERROR(SEARCH("Sell",E312)))</formula>
    </cfRule>
  </conditionalFormatting>
  <conditionalFormatting sqref="E309:E310">
    <cfRule type="containsText" dxfId="2456" priority="299" operator="containsText" text="Buy">
      <formula>NOT(ISERROR(SEARCH("Buy",E309)))</formula>
    </cfRule>
    <cfRule type="containsText" dxfId="2455" priority="300" operator="containsText" text="Sell">
      <formula>NOT(ISERROR(SEARCH("Sell",E309)))</formula>
    </cfRule>
  </conditionalFormatting>
  <conditionalFormatting sqref="E305">
    <cfRule type="containsText" dxfId="2454" priority="295" operator="containsText" text="Buy">
      <formula>NOT(ISERROR(SEARCH("Buy",E305)))</formula>
    </cfRule>
    <cfRule type="containsText" dxfId="2453" priority="296" operator="containsText" text="Sell">
      <formula>NOT(ISERROR(SEARCH("Sell",E305)))</formula>
    </cfRule>
  </conditionalFormatting>
  <conditionalFormatting sqref="E306:E307">
    <cfRule type="containsText" dxfId="2452" priority="297" operator="containsText" text="Buy">
      <formula>NOT(ISERROR(SEARCH("Buy",E306)))</formula>
    </cfRule>
    <cfRule type="containsText" dxfId="2451" priority="298" operator="containsText" text="Sell">
      <formula>NOT(ISERROR(SEARCH("Sell",E306)))</formula>
    </cfRule>
  </conditionalFormatting>
  <conditionalFormatting sqref="E299:E300">
    <cfRule type="containsText" dxfId="2450" priority="293" operator="containsText" text="Buy">
      <formula>NOT(ISERROR(SEARCH("Buy",E299)))</formula>
    </cfRule>
    <cfRule type="containsText" dxfId="2449" priority="294" operator="containsText" text="Sell">
      <formula>NOT(ISERROR(SEARCH("Sell",E299)))</formula>
    </cfRule>
  </conditionalFormatting>
  <conditionalFormatting sqref="E295:E296">
    <cfRule type="containsText" dxfId="2448" priority="291" operator="containsText" text="Buy">
      <formula>NOT(ISERROR(SEARCH("Buy",E295)))</formula>
    </cfRule>
    <cfRule type="containsText" dxfId="2447" priority="292" operator="containsText" text="Sell">
      <formula>NOT(ISERROR(SEARCH("Sell",E295)))</formula>
    </cfRule>
  </conditionalFormatting>
  <conditionalFormatting sqref="E160:E161">
    <cfRule type="containsText" dxfId="2446" priority="289" operator="containsText" text="Buy">
      <formula>NOT(ISERROR(SEARCH("Buy",E160)))</formula>
    </cfRule>
    <cfRule type="containsText" dxfId="2445" priority="290" operator="containsText" text="Sell">
      <formula>NOT(ISERROR(SEARCH("Sell",E160)))</formula>
    </cfRule>
  </conditionalFormatting>
  <conditionalFormatting sqref="E155:E156">
    <cfRule type="containsText" dxfId="2444" priority="287" operator="containsText" text="Buy">
      <formula>NOT(ISERROR(SEARCH("Buy",E155)))</formula>
    </cfRule>
    <cfRule type="containsText" dxfId="2443" priority="288" operator="containsText" text="Sell">
      <formula>NOT(ISERROR(SEARCH("Sell",E155)))</formula>
    </cfRule>
  </conditionalFormatting>
  <conditionalFormatting sqref="E172">
    <cfRule type="containsText" dxfId="2442" priority="285" operator="containsText" text="Buy">
      <formula>NOT(ISERROR(SEARCH("Buy",E172)))</formula>
    </cfRule>
    <cfRule type="containsText" dxfId="2441" priority="286" operator="containsText" text="Sell">
      <formula>NOT(ISERROR(SEARCH("Sell",E172)))</formula>
    </cfRule>
  </conditionalFormatting>
  <conditionalFormatting sqref="E171">
    <cfRule type="containsText" dxfId="2440" priority="283" operator="containsText" text="Buy">
      <formula>NOT(ISERROR(SEARCH("Buy",E171)))</formula>
    </cfRule>
    <cfRule type="containsText" dxfId="2439" priority="284" operator="containsText" text="Sell">
      <formula>NOT(ISERROR(SEARCH("Sell",E171)))</formula>
    </cfRule>
  </conditionalFormatting>
  <conditionalFormatting sqref="E167">
    <cfRule type="containsText" dxfId="2438" priority="281" operator="containsText" text="Buy">
      <formula>NOT(ISERROR(SEARCH("Buy",E167)))</formula>
    </cfRule>
    <cfRule type="containsText" dxfId="2437" priority="282" operator="containsText" text="Sell">
      <formula>NOT(ISERROR(SEARCH("Sell",E167)))</formula>
    </cfRule>
  </conditionalFormatting>
  <conditionalFormatting sqref="E292:E294">
    <cfRule type="containsText" dxfId="2436" priority="279" operator="containsText" text="Buy">
      <formula>NOT(ISERROR(SEARCH("Buy",E292)))</formula>
    </cfRule>
    <cfRule type="containsText" dxfId="2435" priority="280" operator="containsText" text="Sell">
      <formula>NOT(ISERROR(SEARCH("Sell",E292)))</formula>
    </cfRule>
  </conditionalFormatting>
  <conditionalFormatting sqref="E289:E290">
    <cfRule type="containsText" dxfId="2434" priority="277" operator="containsText" text="Buy">
      <formula>NOT(ISERROR(SEARCH("Buy",E289)))</formula>
    </cfRule>
    <cfRule type="containsText" dxfId="2433" priority="278" operator="containsText" text="Sell">
      <formula>NOT(ISERROR(SEARCH("Sell",E289)))</formula>
    </cfRule>
  </conditionalFormatting>
  <conditionalFormatting sqref="E283:E285">
    <cfRule type="containsText" dxfId="2432" priority="275" operator="containsText" text="Buy">
      <formula>NOT(ISERROR(SEARCH("Buy",E283)))</formula>
    </cfRule>
    <cfRule type="containsText" dxfId="2431" priority="276" operator="containsText" text="Sell">
      <formula>NOT(ISERROR(SEARCH("Sell",E283)))</formula>
    </cfRule>
  </conditionalFormatting>
  <conditionalFormatting sqref="E279:E280">
    <cfRule type="containsText" dxfId="2430" priority="273" operator="containsText" text="Buy">
      <formula>NOT(ISERROR(SEARCH("Buy",E279)))</formula>
    </cfRule>
    <cfRule type="containsText" dxfId="2429" priority="274" operator="containsText" text="Sell">
      <formula>NOT(ISERROR(SEARCH("Sell",E279)))</formula>
    </cfRule>
  </conditionalFormatting>
  <conditionalFormatting sqref="E288">
    <cfRule type="containsText" dxfId="2428" priority="271" operator="containsText" text="Buy">
      <formula>NOT(ISERROR(SEARCH("Buy",E288)))</formula>
    </cfRule>
    <cfRule type="containsText" dxfId="2427" priority="272" operator="containsText" text="Sell">
      <formula>NOT(ISERROR(SEARCH("Sell",E288)))</formula>
    </cfRule>
  </conditionalFormatting>
  <conditionalFormatting sqref="E268">
    <cfRule type="containsText" dxfId="2426" priority="269" operator="containsText" text="Buy">
      <formula>NOT(ISERROR(SEARCH("Buy",E268)))</formula>
    </cfRule>
    <cfRule type="containsText" dxfId="2425" priority="270" operator="containsText" text="Sell">
      <formula>NOT(ISERROR(SEARCH("Sell",E268)))</formula>
    </cfRule>
  </conditionalFormatting>
  <conditionalFormatting sqref="E267">
    <cfRule type="containsText" dxfId="2424" priority="267" operator="containsText" text="Buy">
      <formula>NOT(ISERROR(SEARCH("Buy",E267)))</formula>
    </cfRule>
    <cfRule type="containsText" dxfId="2423" priority="268" operator="containsText" text="Sell">
      <formula>NOT(ISERROR(SEARCH("Sell",E267)))</formula>
    </cfRule>
  </conditionalFormatting>
  <conditionalFormatting sqref="E266">
    <cfRule type="containsText" dxfId="2422" priority="265" operator="containsText" text="Buy">
      <formula>NOT(ISERROR(SEARCH("Buy",E266)))</formula>
    </cfRule>
    <cfRule type="containsText" dxfId="2421" priority="266" operator="containsText" text="Sell">
      <formula>NOT(ISERROR(SEARCH("Sell",E266)))</formula>
    </cfRule>
  </conditionalFormatting>
  <conditionalFormatting sqref="E223">
    <cfRule type="containsText" dxfId="2420" priority="263" operator="containsText" text="Buy">
      <formula>NOT(ISERROR(SEARCH("Buy",E223)))</formula>
    </cfRule>
    <cfRule type="containsText" dxfId="2419" priority="264" operator="containsText" text="Sell">
      <formula>NOT(ISERROR(SEARCH("Sell",E223)))</formula>
    </cfRule>
  </conditionalFormatting>
  <conditionalFormatting sqref="E242">
    <cfRule type="containsText" dxfId="2418" priority="261" operator="containsText" text="Buy">
      <formula>NOT(ISERROR(SEARCH("Buy",E242)))</formula>
    </cfRule>
    <cfRule type="containsText" dxfId="2417" priority="262" operator="containsText" text="Sell">
      <formula>NOT(ISERROR(SEARCH("Sell",E242)))</formula>
    </cfRule>
  </conditionalFormatting>
  <conditionalFormatting sqref="E136:E137">
    <cfRule type="containsText" dxfId="2416" priority="259" operator="containsText" text="Buy">
      <formula>NOT(ISERROR(SEARCH("Buy",E136)))</formula>
    </cfRule>
    <cfRule type="containsText" dxfId="2415" priority="260" operator="containsText" text="Sell">
      <formula>NOT(ISERROR(SEARCH("Sell",E136)))</formula>
    </cfRule>
  </conditionalFormatting>
  <conditionalFormatting sqref="E265">
    <cfRule type="containsText" dxfId="2414" priority="255" operator="containsText" text="Buy">
      <formula>NOT(ISERROR(SEARCH("Buy",E265)))</formula>
    </cfRule>
    <cfRule type="containsText" dxfId="2413" priority="256" operator="containsText" text="Sell">
      <formula>NOT(ISERROR(SEARCH("Sell",E265)))</formula>
    </cfRule>
  </conditionalFormatting>
  <conditionalFormatting sqref="E175">
    <cfRule type="containsText" dxfId="2412" priority="257" operator="containsText" text="Buy">
      <formula>NOT(ISERROR(SEARCH("Buy",E175)))</formula>
    </cfRule>
    <cfRule type="containsText" dxfId="2411" priority="258" operator="containsText" text="Sell">
      <formula>NOT(ISERROR(SEARCH("Sell",E175)))</formula>
    </cfRule>
  </conditionalFormatting>
  <conditionalFormatting sqref="E264">
    <cfRule type="containsText" dxfId="2410" priority="253" operator="containsText" text="Buy">
      <formula>NOT(ISERROR(SEARCH("Buy",E264)))</formula>
    </cfRule>
    <cfRule type="containsText" dxfId="2409" priority="254" operator="containsText" text="Sell">
      <formula>NOT(ISERROR(SEARCH("Sell",E264)))</formula>
    </cfRule>
  </conditionalFormatting>
  <conditionalFormatting sqref="E263">
    <cfRule type="containsText" dxfId="2408" priority="251" operator="containsText" text="Buy">
      <formula>NOT(ISERROR(SEARCH("Buy",E263)))</formula>
    </cfRule>
    <cfRule type="containsText" dxfId="2407" priority="252" operator="containsText" text="Sell">
      <formula>NOT(ISERROR(SEARCH("Sell",E263)))</formula>
    </cfRule>
  </conditionalFormatting>
  <conditionalFormatting sqref="E262">
    <cfRule type="containsText" dxfId="2406" priority="249" operator="containsText" text="Buy">
      <formula>NOT(ISERROR(SEARCH("Buy",E262)))</formula>
    </cfRule>
    <cfRule type="containsText" dxfId="2405" priority="250" operator="containsText" text="Sell">
      <formula>NOT(ISERROR(SEARCH("Sell",E262)))</formula>
    </cfRule>
  </conditionalFormatting>
  <conditionalFormatting sqref="E261">
    <cfRule type="containsText" dxfId="2404" priority="247" operator="containsText" text="Buy">
      <formula>NOT(ISERROR(SEARCH("Buy",E261)))</formula>
    </cfRule>
    <cfRule type="containsText" dxfId="2403" priority="248" operator="containsText" text="Sell">
      <formula>NOT(ISERROR(SEARCH("Sell",E261)))</formula>
    </cfRule>
  </conditionalFormatting>
  <conditionalFormatting sqref="E141:E143 E154">
    <cfRule type="containsText" dxfId="2402" priority="245" operator="containsText" text="Buy">
      <formula>NOT(ISERROR(SEARCH("Buy",E141)))</formula>
    </cfRule>
    <cfRule type="containsText" dxfId="2401" priority="246" operator="containsText" text="Sell">
      <formula>NOT(ISERROR(SEARCH("Sell",E141)))</formula>
    </cfRule>
  </conditionalFormatting>
  <conditionalFormatting sqref="E131:E132">
    <cfRule type="containsText" dxfId="2400" priority="243" operator="containsText" text="Buy">
      <formula>NOT(ISERROR(SEARCH("Buy",E131)))</formula>
    </cfRule>
    <cfRule type="containsText" dxfId="2399" priority="244" operator="containsText" text="Sell">
      <formula>NOT(ISERROR(SEARCH("Sell",E131)))</formula>
    </cfRule>
  </conditionalFormatting>
  <conditionalFormatting sqref="E125:E126">
    <cfRule type="containsText" dxfId="2398" priority="241" operator="containsText" text="Buy">
      <formula>NOT(ISERROR(SEARCH("Buy",E125)))</formula>
    </cfRule>
    <cfRule type="containsText" dxfId="2397" priority="242" operator="containsText" text="Sell">
      <formula>NOT(ISERROR(SEARCH("Sell",E125)))</formula>
    </cfRule>
  </conditionalFormatting>
  <conditionalFormatting sqref="E152:E153">
    <cfRule type="containsText" dxfId="2396" priority="239" operator="containsText" text="Buy">
      <formula>NOT(ISERROR(SEARCH("Buy",E152)))</formula>
    </cfRule>
    <cfRule type="containsText" dxfId="2395" priority="240" operator="containsText" text="Sell">
      <formula>NOT(ISERROR(SEARCH("Sell",E152)))</formula>
    </cfRule>
  </conditionalFormatting>
  <conditionalFormatting sqref="E151">
    <cfRule type="containsText" dxfId="2394" priority="237" operator="containsText" text="Buy">
      <formula>NOT(ISERROR(SEARCH("Buy",E151)))</formula>
    </cfRule>
    <cfRule type="containsText" dxfId="2393" priority="238" operator="containsText" text="Sell">
      <formula>NOT(ISERROR(SEARCH("Sell",E151)))</formula>
    </cfRule>
  </conditionalFormatting>
  <conditionalFormatting sqref="E234">
    <cfRule type="containsText" dxfId="2392" priority="235" operator="containsText" text="Buy">
      <formula>NOT(ISERROR(SEARCH("Buy",E234)))</formula>
    </cfRule>
    <cfRule type="containsText" dxfId="2391" priority="236" operator="containsText" text="Sell">
      <formula>NOT(ISERROR(SEARCH("Sell",E234)))</formula>
    </cfRule>
  </conditionalFormatting>
  <conditionalFormatting sqref="E233">
    <cfRule type="containsText" dxfId="2390" priority="233" operator="containsText" text="Buy">
      <formula>NOT(ISERROR(SEARCH("Buy",E233)))</formula>
    </cfRule>
    <cfRule type="containsText" dxfId="2389" priority="234" operator="containsText" text="Sell">
      <formula>NOT(ISERROR(SEARCH("Sell",E233)))</formula>
    </cfRule>
  </conditionalFormatting>
  <conditionalFormatting sqref="E122:E123">
    <cfRule type="containsText" dxfId="2388" priority="231" operator="containsText" text="Buy">
      <formula>NOT(ISERROR(SEARCH("Buy",E122)))</formula>
    </cfRule>
    <cfRule type="containsText" dxfId="2387" priority="232" operator="containsText" text="Sell">
      <formula>NOT(ISERROR(SEARCH("Sell",E122)))</formula>
    </cfRule>
  </conditionalFormatting>
  <conditionalFormatting sqref="E121">
    <cfRule type="containsText" dxfId="2386" priority="229" operator="containsText" text="Buy">
      <formula>NOT(ISERROR(SEARCH("Buy",E121)))</formula>
    </cfRule>
    <cfRule type="containsText" dxfId="2385" priority="230" operator="containsText" text="Sell">
      <formula>NOT(ISERROR(SEARCH("Sell",E121)))</formula>
    </cfRule>
  </conditionalFormatting>
  <conditionalFormatting sqref="E120">
    <cfRule type="containsText" dxfId="2384" priority="227" operator="containsText" text="Buy">
      <formula>NOT(ISERROR(SEARCH("Buy",E120)))</formula>
    </cfRule>
    <cfRule type="containsText" dxfId="2383" priority="228" operator="containsText" text="Sell">
      <formula>NOT(ISERROR(SEARCH("Sell",E120)))</formula>
    </cfRule>
  </conditionalFormatting>
  <conditionalFormatting sqref="E117">
    <cfRule type="containsText" dxfId="2382" priority="225" operator="containsText" text="Buy">
      <formula>NOT(ISERROR(SEARCH("Buy",E117)))</formula>
    </cfRule>
    <cfRule type="containsText" dxfId="2381" priority="226" operator="containsText" text="Sell">
      <formula>NOT(ISERROR(SEARCH("Sell",E117)))</formula>
    </cfRule>
  </conditionalFormatting>
  <conditionalFormatting sqref="E116">
    <cfRule type="containsText" dxfId="2380" priority="223" operator="containsText" text="Buy">
      <formula>NOT(ISERROR(SEARCH("Buy",E116)))</formula>
    </cfRule>
    <cfRule type="containsText" dxfId="2379" priority="224" operator="containsText" text="Sell">
      <formula>NOT(ISERROR(SEARCH("Sell",E116)))</formula>
    </cfRule>
  </conditionalFormatting>
  <conditionalFormatting sqref="E113">
    <cfRule type="containsText" dxfId="2378" priority="221" operator="containsText" text="Buy">
      <formula>NOT(ISERROR(SEARCH("Buy",E113)))</formula>
    </cfRule>
    <cfRule type="containsText" dxfId="2377" priority="222" operator="containsText" text="Sell">
      <formula>NOT(ISERROR(SEARCH("Sell",E113)))</formula>
    </cfRule>
  </conditionalFormatting>
  <conditionalFormatting sqref="E112">
    <cfRule type="containsText" dxfId="2376" priority="219" operator="containsText" text="Buy">
      <formula>NOT(ISERROR(SEARCH("Buy",E112)))</formula>
    </cfRule>
    <cfRule type="containsText" dxfId="2375" priority="220" operator="containsText" text="Sell">
      <formula>NOT(ISERROR(SEARCH("Sell",E112)))</formula>
    </cfRule>
  </conditionalFormatting>
  <conditionalFormatting sqref="E111">
    <cfRule type="containsText" dxfId="2374" priority="217" operator="containsText" text="Buy">
      <formula>NOT(ISERROR(SEARCH("Buy",E111)))</formula>
    </cfRule>
    <cfRule type="containsText" dxfId="2373" priority="218" operator="containsText" text="Sell">
      <formula>NOT(ISERROR(SEARCH("Sell",E111)))</formula>
    </cfRule>
  </conditionalFormatting>
  <conditionalFormatting sqref="E109:E110">
    <cfRule type="containsText" dxfId="2372" priority="215" operator="containsText" text="Buy">
      <formula>NOT(ISERROR(SEARCH("Buy",E109)))</formula>
    </cfRule>
    <cfRule type="containsText" dxfId="2371" priority="216" operator="containsText" text="Sell">
      <formula>NOT(ISERROR(SEARCH("Sell",E109)))</formula>
    </cfRule>
  </conditionalFormatting>
  <conditionalFormatting sqref="E106 E102:E103">
    <cfRule type="containsText" dxfId="2370" priority="213" operator="containsText" text="Buy">
      <formula>NOT(ISERROR(SEARCH("Buy",E102)))</formula>
    </cfRule>
    <cfRule type="containsText" dxfId="2369" priority="214" operator="containsText" text="Sell">
      <formula>NOT(ISERROR(SEARCH("Sell",E102)))</formula>
    </cfRule>
  </conditionalFormatting>
  <conditionalFormatting sqref="E98">
    <cfRule type="containsText" dxfId="2368" priority="211" operator="containsText" text="Buy">
      <formula>NOT(ISERROR(SEARCH("Buy",E98)))</formula>
    </cfRule>
    <cfRule type="containsText" dxfId="2367" priority="212" operator="containsText" text="Sell">
      <formula>NOT(ISERROR(SEARCH("Sell",E98)))</formula>
    </cfRule>
  </conditionalFormatting>
  <conditionalFormatting sqref="E97">
    <cfRule type="containsText" dxfId="2366" priority="209" operator="containsText" text="Buy">
      <formula>NOT(ISERROR(SEARCH("Buy",E97)))</formula>
    </cfRule>
    <cfRule type="containsText" dxfId="2365" priority="210" operator="containsText" text="Sell">
      <formula>NOT(ISERROR(SEARCH("Sell",E97)))</formula>
    </cfRule>
  </conditionalFormatting>
  <conditionalFormatting sqref="E105">
    <cfRule type="containsText" dxfId="2364" priority="207" operator="containsText" text="Buy">
      <formula>NOT(ISERROR(SEARCH("Buy",E105)))</formula>
    </cfRule>
    <cfRule type="containsText" dxfId="2363" priority="208" operator="containsText" text="Sell">
      <formula>NOT(ISERROR(SEARCH("Sell",E105)))</formula>
    </cfRule>
  </conditionalFormatting>
  <conditionalFormatting sqref="E104">
    <cfRule type="containsText" dxfId="2362" priority="205" operator="containsText" text="Buy">
      <formula>NOT(ISERROR(SEARCH("Buy",E104)))</formula>
    </cfRule>
    <cfRule type="containsText" dxfId="2361" priority="206" operator="containsText" text="Sell">
      <formula>NOT(ISERROR(SEARCH("Sell",E104)))</formula>
    </cfRule>
  </conditionalFormatting>
  <conditionalFormatting sqref="E238">
    <cfRule type="containsText" dxfId="2360" priority="203" operator="containsText" text="Buy">
      <formula>NOT(ISERROR(SEARCH("Buy",E238)))</formula>
    </cfRule>
    <cfRule type="containsText" dxfId="2359" priority="204" operator="containsText" text="Sell">
      <formula>NOT(ISERROR(SEARCH("Sell",E238)))</formula>
    </cfRule>
  </conditionalFormatting>
  <conditionalFormatting sqref="E159">
    <cfRule type="containsText" dxfId="2358" priority="201" operator="containsText" text="Buy">
      <formula>NOT(ISERROR(SEARCH("Buy",E159)))</formula>
    </cfRule>
    <cfRule type="containsText" dxfId="2357" priority="202" operator="containsText" text="Sell">
      <formula>NOT(ISERROR(SEARCH("Sell",E159)))</formula>
    </cfRule>
  </conditionalFormatting>
  <conditionalFormatting sqref="E206">
    <cfRule type="containsText" dxfId="2356" priority="199" operator="containsText" text="Buy">
      <formula>NOT(ISERROR(SEARCH("Buy",E206)))</formula>
    </cfRule>
    <cfRule type="containsText" dxfId="2355" priority="200" operator="containsText" text="Sell">
      <formula>NOT(ISERROR(SEARCH("Sell",E206)))</formula>
    </cfRule>
  </conditionalFormatting>
  <conditionalFormatting sqref="E101">
    <cfRule type="containsText" dxfId="2354" priority="197" operator="containsText" text="Buy">
      <formula>NOT(ISERROR(SEARCH("Buy",E101)))</formula>
    </cfRule>
    <cfRule type="containsText" dxfId="2353" priority="198" operator="containsText" text="Sell">
      <formula>NOT(ISERROR(SEARCH("Sell",E101)))</formula>
    </cfRule>
  </conditionalFormatting>
  <conditionalFormatting sqref="E91">
    <cfRule type="containsText" dxfId="2352" priority="195" operator="containsText" text="Buy">
      <formula>NOT(ISERROR(SEARCH("Buy",E91)))</formula>
    </cfRule>
    <cfRule type="containsText" dxfId="2351" priority="196" operator="containsText" text="Sell">
      <formula>NOT(ISERROR(SEARCH("Sell",E91)))</formula>
    </cfRule>
  </conditionalFormatting>
  <conditionalFormatting sqref="E205">
    <cfRule type="containsText" dxfId="2350" priority="193" operator="containsText" text="Buy">
      <formula>NOT(ISERROR(SEARCH("Buy",E205)))</formula>
    </cfRule>
    <cfRule type="containsText" dxfId="2349" priority="194" operator="containsText" text="Sell">
      <formula>NOT(ISERROR(SEARCH("Sell",E205)))</formula>
    </cfRule>
  </conditionalFormatting>
  <conditionalFormatting sqref="E204">
    <cfRule type="containsText" dxfId="2348" priority="191" operator="containsText" text="Buy">
      <formula>NOT(ISERROR(SEARCH("Buy",E204)))</formula>
    </cfRule>
    <cfRule type="containsText" dxfId="2347" priority="192" operator="containsText" text="Sell">
      <formula>NOT(ISERROR(SEARCH("Sell",E204)))</formula>
    </cfRule>
  </conditionalFormatting>
  <conditionalFormatting sqref="E275:E277">
    <cfRule type="containsText" dxfId="2346" priority="189" operator="containsText" text="Buy">
      <formula>NOT(ISERROR(SEARCH("Buy",E275)))</formula>
    </cfRule>
    <cfRule type="containsText" dxfId="2345" priority="190" operator="containsText" text="Sell">
      <formula>NOT(ISERROR(SEARCH("Sell",E275)))</formula>
    </cfRule>
  </conditionalFormatting>
  <conditionalFormatting sqref="E260">
    <cfRule type="containsText" dxfId="2344" priority="187" operator="containsText" text="Buy">
      <formula>NOT(ISERROR(SEARCH("Buy",E260)))</formula>
    </cfRule>
    <cfRule type="containsText" dxfId="2343" priority="188" operator="containsText" text="Sell">
      <formula>NOT(ISERROR(SEARCH("Sell",E260)))</formula>
    </cfRule>
  </conditionalFormatting>
  <conditionalFormatting sqref="E259">
    <cfRule type="containsText" dxfId="2342" priority="185" operator="containsText" text="Buy">
      <formula>NOT(ISERROR(SEARCH("Buy",E259)))</formula>
    </cfRule>
    <cfRule type="containsText" dxfId="2341" priority="186" operator="containsText" text="Sell">
      <formula>NOT(ISERROR(SEARCH("Sell",E259)))</formula>
    </cfRule>
  </conditionalFormatting>
  <conditionalFormatting sqref="E96">
    <cfRule type="containsText" dxfId="2340" priority="183" operator="containsText" text="Buy">
      <formula>NOT(ISERROR(SEARCH("Buy",E96)))</formula>
    </cfRule>
    <cfRule type="containsText" dxfId="2339" priority="184" operator="containsText" text="Sell">
      <formula>NOT(ISERROR(SEARCH("Sell",E96)))</formula>
    </cfRule>
  </conditionalFormatting>
  <conditionalFormatting sqref="E225">
    <cfRule type="containsText" dxfId="2338" priority="181" operator="containsText" text="Buy">
      <formula>NOT(ISERROR(SEARCH("Buy",E225)))</formula>
    </cfRule>
    <cfRule type="containsText" dxfId="2337" priority="182" operator="containsText" text="Sell">
      <formula>NOT(ISERROR(SEARCH("Sell",E225)))</formula>
    </cfRule>
  </conditionalFormatting>
  <conditionalFormatting sqref="E222">
    <cfRule type="containsText" dxfId="2336" priority="179" operator="containsText" text="Buy">
      <formula>NOT(ISERROR(SEARCH("Buy",E222)))</formula>
    </cfRule>
    <cfRule type="containsText" dxfId="2335" priority="180" operator="containsText" text="Sell">
      <formula>NOT(ISERROR(SEARCH("Sell",E222)))</formula>
    </cfRule>
  </conditionalFormatting>
  <conditionalFormatting sqref="E87:E88">
    <cfRule type="containsText" dxfId="2334" priority="177" operator="containsText" text="Buy">
      <formula>NOT(ISERROR(SEARCH("Buy",E87)))</formula>
    </cfRule>
    <cfRule type="containsText" dxfId="2333" priority="178" operator="containsText" text="Sell">
      <formula>NOT(ISERROR(SEARCH("Sell",E87)))</formula>
    </cfRule>
  </conditionalFormatting>
  <conditionalFormatting sqref="E84:E85">
    <cfRule type="containsText" dxfId="2332" priority="175" operator="containsText" text="Buy">
      <formula>NOT(ISERROR(SEARCH("Buy",E84)))</formula>
    </cfRule>
    <cfRule type="containsText" dxfId="2331" priority="176" operator="containsText" text="Sell">
      <formula>NOT(ISERROR(SEARCH("Sell",E84)))</formula>
    </cfRule>
  </conditionalFormatting>
  <conditionalFormatting sqref="E258">
    <cfRule type="containsText" dxfId="2330" priority="173" operator="containsText" text="Buy">
      <formula>NOT(ISERROR(SEARCH("Buy",E258)))</formula>
    </cfRule>
    <cfRule type="containsText" dxfId="2329" priority="174" operator="containsText" text="Sell">
      <formula>NOT(ISERROR(SEARCH("Sell",E258)))</formula>
    </cfRule>
  </conditionalFormatting>
  <conditionalFormatting sqref="E81:E82">
    <cfRule type="containsText" dxfId="2328" priority="171" operator="containsText" text="Buy">
      <formula>NOT(ISERROR(SEARCH("Buy",E81)))</formula>
    </cfRule>
    <cfRule type="containsText" dxfId="2327" priority="172" operator="containsText" text="Sell">
      <formula>NOT(ISERROR(SEARCH("Sell",E81)))</formula>
    </cfRule>
  </conditionalFormatting>
  <conditionalFormatting sqref="E78:E79">
    <cfRule type="containsText" dxfId="2326" priority="169" operator="containsText" text="Buy">
      <formula>NOT(ISERROR(SEARCH("Buy",E78)))</formula>
    </cfRule>
    <cfRule type="containsText" dxfId="2325" priority="170" operator="containsText" text="Sell">
      <formula>NOT(ISERROR(SEARCH("Sell",E78)))</formula>
    </cfRule>
  </conditionalFormatting>
  <conditionalFormatting sqref="E150">
    <cfRule type="containsText" dxfId="2324" priority="167" operator="containsText" text="Buy">
      <formula>NOT(ISERROR(SEARCH("Buy",E150)))</formula>
    </cfRule>
    <cfRule type="containsText" dxfId="2323" priority="168" operator="containsText" text="Sell">
      <formula>NOT(ISERROR(SEARCH("Sell",E150)))</formula>
    </cfRule>
  </conditionalFormatting>
  <conditionalFormatting sqref="E76">
    <cfRule type="containsText" dxfId="2322" priority="165" operator="containsText" text="Buy">
      <formula>NOT(ISERROR(SEARCH("Buy",E76)))</formula>
    </cfRule>
    <cfRule type="containsText" dxfId="2321" priority="166" operator="containsText" text="Sell">
      <formula>NOT(ISERROR(SEARCH("Sell",E76)))</formula>
    </cfRule>
  </conditionalFormatting>
  <conditionalFormatting sqref="E75">
    <cfRule type="containsText" dxfId="2320" priority="163" operator="containsText" text="Buy">
      <formula>NOT(ISERROR(SEARCH("Buy",E75)))</formula>
    </cfRule>
    <cfRule type="containsText" dxfId="2319" priority="164" operator="containsText" text="Sell">
      <formula>NOT(ISERROR(SEARCH("Sell",E75)))</formula>
    </cfRule>
  </conditionalFormatting>
  <conditionalFormatting sqref="E287">
    <cfRule type="containsText" dxfId="2318" priority="161" operator="containsText" text="Buy">
      <formula>NOT(ISERROR(SEARCH("Buy",E287)))</formula>
    </cfRule>
    <cfRule type="containsText" dxfId="2317" priority="162" operator="containsText" text="Sell">
      <formula>NOT(ISERROR(SEARCH("Sell",E287)))</formula>
    </cfRule>
  </conditionalFormatting>
  <conditionalFormatting sqref="E304">
    <cfRule type="containsText" dxfId="2316" priority="159" operator="containsText" text="Buy">
      <formula>NOT(ISERROR(SEARCH("Buy",E304)))</formula>
    </cfRule>
    <cfRule type="containsText" dxfId="2315" priority="160" operator="containsText" text="Sell">
      <formula>NOT(ISERROR(SEARCH("Sell",E304)))</formula>
    </cfRule>
  </conditionalFormatting>
  <conditionalFormatting sqref="E67:E68">
    <cfRule type="containsText" dxfId="2314" priority="157" operator="containsText" text="Buy">
      <formula>NOT(ISERROR(SEARCH("Buy",E67)))</formula>
    </cfRule>
    <cfRule type="containsText" dxfId="2313" priority="158" operator="containsText" text="Sell">
      <formula>NOT(ISERROR(SEARCH("Sell",E67)))</formula>
    </cfRule>
  </conditionalFormatting>
  <conditionalFormatting sqref="E282">
    <cfRule type="containsText" dxfId="2312" priority="155" operator="containsText" text="Buy">
      <formula>NOT(ISERROR(SEARCH("Buy",E282)))</formula>
    </cfRule>
    <cfRule type="containsText" dxfId="2311" priority="156" operator="containsText" text="Sell">
      <formula>NOT(ISERROR(SEARCH("Sell",E282)))</formula>
    </cfRule>
  </conditionalFormatting>
  <conditionalFormatting sqref="E278">
    <cfRule type="containsText" dxfId="2310" priority="153" operator="containsText" text="Buy">
      <formula>NOT(ISERROR(SEARCH("Buy",E278)))</formula>
    </cfRule>
    <cfRule type="containsText" dxfId="2309" priority="154" operator="containsText" text="Sell">
      <formula>NOT(ISERROR(SEARCH("Sell",E278)))</formula>
    </cfRule>
  </conditionalFormatting>
  <conditionalFormatting sqref="E59 E56 E53 E50 E41 E35">
    <cfRule type="containsText" dxfId="2308" priority="151" operator="containsText" text="Buy">
      <formula>NOT(ISERROR(SEARCH("Buy",E35)))</formula>
    </cfRule>
    <cfRule type="containsText" dxfId="2307" priority="152" operator="containsText" text="Sell">
      <formula>NOT(ISERROR(SEARCH("Sell",E35)))</formula>
    </cfRule>
  </conditionalFormatting>
  <conditionalFormatting sqref="E149">
    <cfRule type="containsText" dxfId="2306" priority="149" operator="containsText" text="Buy">
      <formula>NOT(ISERROR(SEARCH("Buy",E149)))</formula>
    </cfRule>
    <cfRule type="containsText" dxfId="2305" priority="150" operator="containsText" text="Sell">
      <formula>NOT(ISERROR(SEARCH("Sell",E149)))</formula>
    </cfRule>
  </conditionalFormatting>
  <conditionalFormatting sqref="E203">
    <cfRule type="containsText" dxfId="2304" priority="147" operator="containsText" text="Buy">
      <formula>NOT(ISERROR(SEARCH("Buy",E203)))</formula>
    </cfRule>
    <cfRule type="containsText" dxfId="2303" priority="148" operator="containsText" text="Sell">
      <formula>NOT(ISERROR(SEARCH("Sell",E203)))</formula>
    </cfRule>
  </conditionalFormatting>
  <conditionalFormatting sqref="E158">
    <cfRule type="containsText" dxfId="2302" priority="145" operator="containsText" text="Buy">
      <formula>NOT(ISERROR(SEARCH("Buy",E158)))</formula>
    </cfRule>
    <cfRule type="containsText" dxfId="2301" priority="146" operator="containsText" text="Sell">
      <formula>NOT(ISERROR(SEARCH("Sell",E158)))</formula>
    </cfRule>
  </conditionalFormatting>
  <conditionalFormatting sqref="E93">
    <cfRule type="containsText" dxfId="2300" priority="143" operator="containsText" text="Buy">
      <formula>NOT(ISERROR(SEARCH("Buy",E93)))</formula>
    </cfRule>
    <cfRule type="containsText" dxfId="2299" priority="144" operator="containsText" text="Sell">
      <formula>NOT(ISERROR(SEARCH("Sell",E93)))</formula>
    </cfRule>
  </conditionalFormatting>
  <conditionalFormatting sqref="E249">
    <cfRule type="containsText" dxfId="2298" priority="141" operator="containsText" text="Buy">
      <formula>NOT(ISERROR(SEARCH("Buy",E249)))</formula>
    </cfRule>
    <cfRule type="containsText" dxfId="2297" priority="142" operator="containsText" text="Sell">
      <formula>NOT(ISERROR(SEARCH("Sell",E249)))</formula>
    </cfRule>
  </conditionalFormatting>
  <conditionalFormatting sqref="E303">
    <cfRule type="containsText" dxfId="2296" priority="139" operator="containsText" text="Buy">
      <formula>NOT(ISERROR(SEARCH("Buy",E303)))</formula>
    </cfRule>
    <cfRule type="containsText" dxfId="2295" priority="140" operator="containsText" text="Sell">
      <formula>NOT(ISERROR(SEARCH("Sell",E303)))</formula>
    </cfRule>
  </conditionalFormatting>
  <conditionalFormatting sqref="E64:E65">
    <cfRule type="containsText" dxfId="2294" priority="137" operator="containsText" text="Buy">
      <formula>NOT(ISERROR(SEARCH("Buy",E64)))</formula>
    </cfRule>
    <cfRule type="containsText" dxfId="2293" priority="138" operator="containsText" text="Sell">
      <formula>NOT(ISERROR(SEARCH("Sell",E64)))</formula>
    </cfRule>
  </conditionalFormatting>
  <conditionalFormatting sqref="E148">
    <cfRule type="containsText" dxfId="2292" priority="135" operator="containsText" text="Buy">
      <formula>NOT(ISERROR(SEARCH("Buy",E148)))</formula>
    </cfRule>
    <cfRule type="containsText" dxfId="2291" priority="136" operator="containsText" text="Sell">
      <formula>NOT(ISERROR(SEARCH("Sell",E148)))</formula>
    </cfRule>
  </conditionalFormatting>
  <conditionalFormatting sqref="E221">
    <cfRule type="containsText" dxfId="2290" priority="133" operator="containsText" text="Buy">
      <formula>NOT(ISERROR(SEARCH("Buy",E221)))</formula>
    </cfRule>
    <cfRule type="containsText" dxfId="2289" priority="134" operator="containsText" text="Sell">
      <formula>NOT(ISERROR(SEARCH("Sell",E221)))</formula>
    </cfRule>
  </conditionalFormatting>
  <conditionalFormatting sqref="E60:E61">
    <cfRule type="containsText" dxfId="2288" priority="131" operator="containsText" text="Buy">
      <formula>NOT(ISERROR(SEARCH("Buy",E60)))</formula>
    </cfRule>
    <cfRule type="containsText" dxfId="2287" priority="132" operator="containsText" text="Sell">
      <formula>NOT(ISERROR(SEARCH("Sell",E60)))</formula>
    </cfRule>
  </conditionalFormatting>
  <conditionalFormatting sqref="E298">
    <cfRule type="containsText" dxfId="2286" priority="129" operator="containsText" text="Buy">
      <formula>NOT(ISERROR(SEARCH("Buy",E298)))</formula>
    </cfRule>
    <cfRule type="containsText" dxfId="2285" priority="130" operator="containsText" text="Sell">
      <formula>NOT(ISERROR(SEARCH("Sell",E298)))</formula>
    </cfRule>
  </conditionalFormatting>
  <conditionalFormatting sqref="E57:E58">
    <cfRule type="containsText" dxfId="2284" priority="127" operator="containsText" text="Buy">
      <formula>NOT(ISERROR(SEARCH("Buy",E57)))</formula>
    </cfRule>
    <cfRule type="containsText" dxfId="2283" priority="128" operator="containsText" text="Sell">
      <formula>NOT(ISERROR(SEARCH("Sell",E57)))</formula>
    </cfRule>
  </conditionalFormatting>
  <conditionalFormatting sqref="E54:E55">
    <cfRule type="containsText" dxfId="2282" priority="125" operator="containsText" text="Buy">
      <formula>NOT(ISERROR(SEARCH("Buy",E54)))</formula>
    </cfRule>
    <cfRule type="containsText" dxfId="2281" priority="126" operator="containsText" text="Sell">
      <formula>NOT(ISERROR(SEARCH("Sell",E54)))</formula>
    </cfRule>
  </conditionalFormatting>
  <conditionalFormatting sqref="E188">
    <cfRule type="containsText" dxfId="2280" priority="123" operator="containsText" text="Buy">
      <formula>NOT(ISERROR(SEARCH("Buy",E188)))</formula>
    </cfRule>
    <cfRule type="containsText" dxfId="2279" priority="124" operator="containsText" text="Sell">
      <formula>NOT(ISERROR(SEARCH("Sell",E188)))</formula>
    </cfRule>
  </conditionalFormatting>
  <conditionalFormatting sqref="E302">
    <cfRule type="containsText" dxfId="2278" priority="121" operator="containsText" text="Buy">
      <formula>NOT(ISERROR(SEARCH("Buy",E302)))</formula>
    </cfRule>
    <cfRule type="containsText" dxfId="2277" priority="122" operator="containsText" text="Sell">
      <formula>NOT(ISERROR(SEARCH("Sell",E302)))</formula>
    </cfRule>
  </conditionalFormatting>
  <conditionalFormatting sqref="E286">
    <cfRule type="containsText" dxfId="2276" priority="119" operator="containsText" text="Buy">
      <formula>NOT(ISERROR(SEARCH("Buy",E286)))</formula>
    </cfRule>
    <cfRule type="containsText" dxfId="2275" priority="120" operator="containsText" text="Sell">
      <formula>NOT(ISERROR(SEARCH("Sell",E286)))</formula>
    </cfRule>
  </conditionalFormatting>
  <conditionalFormatting sqref="E63">
    <cfRule type="containsText" dxfId="2274" priority="117" operator="containsText" text="Buy">
      <formula>NOT(ISERROR(SEARCH("Buy",E63)))</formula>
    </cfRule>
    <cfRule type="containsText" dxfId="2273" priority="118" operator="containsText" text="Sell">
      <formula>NOT(ISERROR(SEARCH("Sell",E63)))</formula>
    </cfRule>
  </conditionalFormatting>
  <conditionalFormatting sqref="E51:E52">
    <cfRule type="containsText" dxfId="2272" priority="115" operator="containsText" text="Buy">
      <formula>NOT(ISERROR(SEARCH("Buy",E51)))</formula>
    </cfRule>
    <cfRule type="containsText" dxfId="2271" priority="116" operator="containsText" text="Sell">
      <formula>NOT(ISERROR(SEARCH("Sell",E51)))</formula>
    </cfRule>
  </conditionalFormatting>
  <conditionalFormatting sqref="E45:E47">
    <cfRule type="containsText" dxfId="2270" priority="113" operator="containsText" text="Buy">
      <formula>NOT(ISERROR(SEARCH("Buy",E45)))</formula>
    </cfRule>
    <cfRule type="containsText" dxfId="2269" priority="114" operator="containsText" text="Sell">
      <formula>NOT(ISERROR(SEARCH("Sell",E45)))</formula>
    </cfRule>
  </conditionalFormatting>
  <conditionalFormatting sqref="E70">
    <cfRule type="containsText" dxfId="2268" priority="111" operator="containsText" text="Buy">
      <formula>NOT(ISERROR(SEARCH("Buy",E70)))</formula>
    </cfRule>
    <cfRule type="containsText" dxfId="2267" priority="112" operator="containsText" text="Sell">
      <formula>NOT(ISERROR(SEARCH("Sell",E70)))</formula>
    </cfRule>
  </conditionalFormatting>
  <conditionalFormatting sqref="E248">
    <cfRule type="containsText" dxfId="2266" priority="109" operator="containsText" text="Buy">
      <formula>NOT(ISERROR(SEARCH("Buy",E248)))</formula>
    </cfRule>
    <cfRule type="containsText" dxfId="2265" priority="110" operator="containsText" text="Sell">
      <formula>NOT(ISERROR(SEARCH("Sell",E248)))</formula>
    </cfRule>
  </conditionalFormatting>
  <conditionalFormatting sqref="E219">
    <cfRule type="containsText" dxfId="2264" priority="105" operator="containsText" text="Buy">
      <formula>NOT(ISERROR(SEARCH("Buy",E219)))</formula>
    </cfRule>
    <cfRule type="containsText" dxfId="2263" priority="106" operator="containsText" text="Sell">
      <formula>NOT(ISERROR(SEARCH("Sell",E219)))</formula>
    </cfRule>
  </conditionalFormatting>
  <conditionalFormatting sqref="E178">
    <cfRule type="containsText" dxfId="2262" priority="103" operator="containsText" text="Buy">
      <formula>NOT(ISERROR(SEARCH("Buy",E178)))</formula>
    </cfRule>
    <cfRule type="containsText" dxfId="2261" priority="104" operator="containsText" text="Sell">
      <formula>NOT(ISERROR(SEARCH("Sell",E178)))</formula>
    </cfRule>
  </conditionalFormatting>
  <conditionalFormatting sqref="E220">
    <cfRule type="containsText" dxfId="2260" priority="107" operator="containsText" text="Buy">
      <formula>NOT(ISERROR(SEARCH("Buy",E220)))</formula>
    </cfRule>
    <cfRule type="containsText" dxfId="2259" priority="108" operator="containsText" text="Sell">
      <formula>NOT(ISERROR(SEARCH("Sell",E220)))</formula>
    </cfRule>
  </conditionalFormatting>
  <conditionalFormatting sqref="E36:E38">
    <cfRule type="containsText" dxfId="2258" priority="99" operator="containsText" text="Buy">
      <formula>NOT(ISERROR(SEARCH("Buy",E36)))</formula>
    </cfRule>
    <cfRule type="containsText" dxfId="2257" priority="100" operator="containsText" text="Sell">
      <formula>NOT(ISERROR(SEARCH("Sell",E36)))</formula>
    </cfRule>
  </conditionalFormatting>
  <conditionalFormatting sqref="E108">
    <cfRule type="containsText" dxfId="2256" priority="101" operator="containsText" text="Buy">
      <formula>NOT(ISERROR(SEARCH("Buy",E108)))</formula>
    </cfRule>
    <cfRule type="containsText" dxfId="2255" priority="102" operator="containsText" text="Sell">
      <formula>NOT(ISERROR(SEARCH("Sell",E108)))</formula>
    </cfRule>
  </conditionalFormatting>
  <conditionalFormatting sqref="E33:E34">
    <cfRule type="containsText" dxfId="2254" priority="97" operator="containsText" text="Buy">
      <formula>NOT(ISERROR(SEARCH("Buy",E33)))</formula>
    </cfRule>
    <cfRule type="containsText" dxfId="2253" priority="98" operator="containsText" text="Sell">
      <formula>NOT(ISERROR(SEARCH("Sell",E33)))</formula>
    </cfRule>
  </conditionalFormatting>
  <conditionalFormatting sqref="E48:E49">
    <cfRule type="containsText" dxfId="2252" priority="95" operator="containsText" text="Buy">
      <formula>NOT(ISERROR(SEARCH("Buy",E48)))</formula>
    </cfRule>
    <cfRule type="containsText" dxfId="2251" priority="96" operator="containsText" text="Sell">
      <formula>NOT(ISERROR(SEARCH("Sell",E48)))</formula>
    </cfRule>
  </conditionalFormatting>
  <conditionalFormatting sqref="E90">
    <cfRule type="containsText" dxfId="2250" priority="93" operator="containsText" text="Buy">
      <formula>NOT(ISERROR(SEARCH("Buy",E90)))</formula>
    </cfRule>
    <cfRule type="containsText" dxfId="2249" priority="94" operator="containsText" text="Sell">
      <formula>NOT(ISERROR(SEARCH("Sell",E90)))</formula>
    </cfRule>
  </conditionalFormatting>
  <conditionalFormatting sqref="E39:E40">
    <cfRule type="containsText" dxfId="2248" priority="91" operator="containsText" text="Buy">
      <formula>NOT(ISERROR(SEARCH("Buy",E39)))</formula>
    </cfRule>
    <cfRule type="containsText" dxfId="2247" priority="92" operator="containsText" text="Sell">
      <formula>NOT(ISERROR(SEARCH("Sell",E39)))</formula>
    </cfRule>
  </conditionalFormatting>
  <conditionalFormatting sqref="E42:E43">
    <cfRule type="containsText" dxfId="2246" priority="89" operator="containsText" text="Buy">
      <formula>NOT(ISERROR(SEARCH("Buy",E42)))</formula>
    </cfRule>
    <cfRule type="containsText" dxfId="2245" priority="90" operator="containsText" text="Sell">
      <formula>NOT(ISERROR(SEARCH("Sell",E42)))</formula>
    </cfRule>
  </conditionalFormatting>
  <conditionalFormatting sqref="E255">
    <cfRule type="containsText" dxfId="2244" priority="87" operator="containsText" text="Buy">
      <formula>NOT(ISERROR(SEARCH("Buy",E255)))</formula>
    </cfRule>
    <cfRule type="containsText" dxfId="2243" priority="88" operator="containsText" text="Sell">
      <formula>NOT(ISERROR(SEARCH("Sell",E255)))</formula>
    </cfRule>
  </conditionalFormatting>
  <conditionalFormatting sqref="E74">
    <cfRule type="containsText" dxfId="2242" priority="85" operator="containsText" text="Buy">
      <formula>NOT(ISERROR(SEARCH("Buy",E74)))</formula>
    </cfRule>
    <cfRule type="containsText" dxfId="2241" priority="86" operator="containsText" text="Sell">
      <formula>NOT(ISERROR(SEARCH("Sell",E74)))</formula>
    </cfRule>
  </conditionalFormatting>
  <conditionalFormatting sqref="E73">
    <cfRule type="containsText" dxfId="2240" priority="83" operator="containsText" text="Buy">
      <formula>NOT(ISERROR(SEARCH("Buy",E73)))</formula>
    </cfRule>
    <cfRule type="containsText" dxfId="2239" priority="84" operator="containsText" text="Sell">
      <formula>NOT(ISERROR(SEARCH("Sell",E73)))</formula>
    </cfRule>
  </conditionalFormatting>
  <conditionalFormatting sqref="E72">
    <cfRule type="containsText" dxfId="2238" priority="81" operator="containsText" text="Buy">
      <formula>NOT(ISERROR(SEARCH("Buy",E72)))</formula>
    </cfRule>
    <cfRule type="containsText" dxfId="2237" priority="82" operator="containsText" text="Sell">
      <formula>NOT(ISERROR(SEARCH("Sell",E72)))</formula>
    </cfRule>
  </conditionalFormatting>
  <conditionalFormatting sqref="E71">
    <cfRule type="containsText" dxfId="2236" priority="79" operator="containsText" text="Buy">
      <formula>NOT(ISERROR(SEARCH("Buy",E71)))</formula>
    </cfRule>
    <cfRule type="containsText" dxfId="2235" priority="80" operator="containsText" text="Sell">
      <formula>NOT(ISERROR(SEARCH("Sell",E71)))</formula>
    </cfRule>
  </conditionalFormatting>
  <conditionalFormatting sqref="E94:E95">
    <cfRule type="containsText" dxfId="2234" priority="77" operator="containsText" text="Buy">
      <formula>NOT(ISERROR(SEARCH("Buy",E94)))</formula>
    </cfRule>
    <cfRule type="containsText" dxfId="2233" priority="78" operator="containsText" text="Sell">
      <formula>NOT(ISERROR(SEARCH("Sell",E94)))</formula>
    </cfRule>
  </conditionalFormatting>
  <conditionalFormatting sqref="E168:E170">
    <cfRule type="containsText" dxfId="2232" priority="75" operator="containsText" text="Buy">
      <formula>NOT(ISERROR(SEARCH("Buy",E168)))</formula>
    </cfRule>
    <cfRule type="containsText" dxfId="2231" priority="76" operator="containsText" text="Sell">
      <formula>NOT(ISERROR(SEARCH("Sell",E168)))</formula>
    </cfRule>
  </conditionalFormatting>
  <conditionalFormatting sqref="E147">
    <cfRule type="containsText" dxfId="2230" priority="73" operator="containsText" text="Buy">
      <formula>NOT(ISERROR(SEARCH("Buy",E147)))</formula>
    </cfRule>
    <cfRule type="containsText" dxfId="2229" priority="74" operator="containsText" text="Sell">
      <formula>NOT(ISERROR(SEARCH("Sell",E147)))</formula>
    </cfRule>
  </conditionalFormatting>
  <conditionalFormatting sqref="E146">
    <cfRule type="containsText" dxfId="2228" priority="71" operator="containsText" text="Buy">
      <formula>NOT(ISERROR(SEARCH("Buy",E146)))</formula>
    </cfRule>
    <cfRule type="containsText" dxfId="2227" priority="72" operator="containsText" text="Sell">
      <formula>NOT(ISERROR(SEARCH("Sell",E146)))</formula>
    </cfRule>
  </conditionalFormatting>
  <conditionalFormatting sqref="E140">
    <cfRule type="containsText" dxfId="2226" priority="69" operator="containsText" text="Buy">
      <formula>NOT(ISERROR(SEARCH("Buy",E140)))</formula>
    </cfRule>
    <cfRule type="containsText" dxfId="2225" priority="70" operator="containsText" text="Sell">
      <formula>NOT(ISERROR(SEARCH("Sell",E140)))</formula>
    </cfRule>
  </conditionalFormatting>
  <conditionalFormatting sqref="E145">
    <cfRule type="containsText" dxfId="2224" priority="67" operator="containsText" text="Buy">
      <formula>NOT(ISERROR(SEARCH("Buy",E145)))</formula>
    </cfRule>
    <cfRule type="containsText" dxfId="2223" priority="68" operator="containsText" text="Sell">
      <formula>NOT(ISERROR(SEARCH("Sell",E145)))</formula>
    </cfRule>
  </conditionalFormatting>
  <conditionalFormatting sqref="E144">
    <cfRule type="containsText" dxfId="2222" priority="65" operator="containsText" text="Buy">
      <formula>NOT(ISERROR(SEARCH("Buy",E144)))</formula>
    </cfRule>
    <cfRule type="containsText" dxfId="2221" priority="66" operator="containsText" text="Sell">
      <formula>NOT(ISERROR(SEARCH("Sell",E144)))</formula>
    </cfRule>
  </conditionalFormatting>
  <conditionalFormatting sqref="E254">
    <cfRule type="containsText" dxfId="2220" priority="63" operator="containsText" text="Buy">
      <formula>NOT(ISERROR(SEARCH("Buy",E254)))</formula>
    </cfRule>
    <cfRule type="containsText" dxfId="2219" priority="64" operator="containsText" text="Sell">
      <formula>NOT(ISERROR(SEARCH("Sell",E254)))</formula>
    </cfRule>
  </conditionalFormatting>
  <conditionalFormatting sqref="E129:E130">
    <cfRule type="containsText" dxfId="2218" priority="61" operator="containsText" text="Buy">
      <formula>NOT(ISERROR(SEARCH("Buy",E129)))</formula>
    </cfRule>
    <cfRule type="containsText" dxfId="2217" priority="62" operator="containsText" text="Sell">
      <formula>NOT(ISERROR(SEARCH("Sell",E129)))</formula>
    </cfRule>
  </conditionalFormatting>
  <conditionalFormatting sqref="E253">
    <cfRule type="containsText" dxfId="2216" priority="59" operator="containsText" text="Buy">
      <formula>NOT(ISERROR(SEARCH("Buy",E253)))</formula>
    </cfRule>
    <cfRule type="containsText" dxfId="2215" priority="60" operator="containsText" text="Sell">
      <formula>NOT(ISERROR(SEARCH("Sell",E253)))</formula>
    </cfRule>
  </conditionalFormatting>
  <conditionalFormatting sqref="E128">
    <cfRule type="containsText" dxfId="2214" priority="57" operator="containsText" text="Buy">
      <formula>NOT(ISERROR(SEARCH("Buy",E128)))</formula>
    </cfRule>
    <cfRule type="containsText" dxfId="2213" priority="58" operator="containsText" text="Sell">
      <formula>NOT(ISERROR(SEARCH("Sell",E128)))</formula>
    </cfRule>
  </conditionalFormatting>
  <conditionalFormatting sqref="E252">
    <cfRule type="containsText" dxfId="2212" priority="53" operator="containsText" text="Buy">
      <formula>NOT(ISERROR(SEARCH("Buy",E252)))</formula>
    </cfRule>
    <cfRule type="containsText" dxfId="2211" priority="54" operator="containsText" text="Sell">
      <formula>NOT(ISERROR(SEARCH("Sell",E252)))</formula>
    </cfRule>
  </conditionalFormatting>
  <conditionalFormatting sqref="E30">
    <cfRule type="containsText" dxfId="2210" priority="55" operator="containsText" text="Buy">
      <formula>NOT(ISERROR(SEARCH("Buy",E30)))</formula>
    </cfRule>
    <cfRule type="containsText" dxfId="2209" priority="56" operator="containsText" text="Sell">
      <formula>NOT(ISERROR(SEARCH("Sell",E30)))</formula>
    </cfRule>
  </conditionalFormatting>
  <conditionalFormatting sqref="E139">
    <cfRule type="containsText" dxfId="2208" priority="49" operator="containsText" text="Buy">
      <formula>NOT(ISERROR(SEARCH("Buy",E139)))</formula>
    </cfRule>
    <cfRule type="containsText" dxfId="2207" priority="50" operator="containsText" text="Sell">
      <formula>NOT(ISERROR(SEARCH("Sell",E139)))</formula>
    </cfRule>
  </conditionalFormatting>
  <conditionalFormatting sqref="E135">
    <cfRule type="containsText" dxfId="2206" priority="51" operator="containsText" text="Buy">
      <formula>NOT(ISERROR(SEARCH("Buy",E135)))</formula>
    </cfRule>
    <cfRule type="containsText" dxfId="2205" priority="52" operator="containsText" text="Sell">
      <formula>NOT(ISERROR(SEARCH("Sell",E135)))</formula>
    </cfRule>
  </conditionalFormatting>
  <conditionalFormatting sqref="E134">
    <cfRule type="containsText" dxfId="2204" priority="47" operator="containsText" text="Buy">
      <formula>NOT(ISERROR(SEARCH("Buy",E134)))</formula>
    </cfRule>
    <cfRule type="containsText" dxfId="2203" priority="48" operator="containsText" text="Sell">
      <formula>NOT(ISERROR(SEARCH("Sell",E134)))</formula>
    </cfRule>
  </conditionalFormatting>
  <conditionalFormatting sqref="E27">
    <cfRule type="containsText" dxfId="2202" priority="45" operator="containsText" text="Buy">
      <formula>NOT(ISERROR(SEARCH("Buy",E27)))</formula>
    </cfRule>
    <cfRule type="containsText" dxfId="2201" priority="46" operator="containsText" text="Sell">
      <formula>NOT(ISERROR(SEARCH("Sell",E27)))</formula>
    </cfRule>
  </conditionalFormatting>
  <conditionalFormatting sqref="E22">
    <cfRule type="containsText" dxfId="2200" priority="41" operator="containsText" text="Buy">
      <formula>NOT(ISERROR(SEARCH("Buy",E22)))</formula>
    </cfRule>
    <cfRule type="containsText" dxfId="2199" priority="42" operator="containsText" text="Sell">
      <formula>NOT(ISERROR(SEARCH("Sell",E22)))</formula>
    </cfRule>
  </conditionalFormatting>
  <conditionalFormatting sqref="E23">
    <cfRule type="containsText" dxfId="2198" priority="43" operator="containsText" text="Buy">
      <formula>NOT(ISERROR(SEARCH("Buy",E23)))</formula>
    </cfRule>
    <cfRule type="containsText" dxfId="2197" priority="44" operator="containsText" text="Sell">
      <formula>NOT(ISERROR(SEARCH("Sell",E23)))</formula>
    </cfRule>
  </conditionalFormatting>
  <conditionalFormatting sqref="H14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{E782BA65-48DD-4273-8643-BA71E3BF479C}</x14:id>
        </ext>
      </extLst>
    </cfRule>
    <cfRule type="cellIs" dxfId="2196" priority="40" operator="equal">
      <formula>1</formula>
    </cfRule>
  </conditionalFormatting>
  <conditionalFormatting sqref="D14">
    <cfRule type="containsText" dxfId="2195" priority="38" operator="containsText" text="Buy">
      <formula>NOT(ISERROR(SEARCH("Buy",D14)))</formula>
    </cfRule>
    <cfRule type="containsText" dxfId="2194" priority="39" operator="containsText" text="Sell">
      <formula>NOT(ISERROR(SEARCH("Sell",D14)))</formula>
    </cfRule>
  </conditionalFormatting>
  <conditionalFormatting sqref="R4">
    <cfRule type="dataBar" priority="3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{98798C0E-6979-46E3-8074-189C6FBAA8D4}</x14:id>
        </ext>
      </extLst>
    </cfRule>
  </conditionalFormatting>
  <conditionalFormatting sqref="S4:W4">
    <cfRule type="dataBar" priority="3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{5A78608D-4CFE-4887-BA12-24C484592785}</x14:id>
        </ext>
      </extLst>
    </cfRule>
  </conditionalFormatting>
  <conditionalFormatting sqref="R4:W4">
    <cfRule type="dataBar" priority="3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{8E5620B6-9B0B-4D5B-918A-FB387ED80F72}</x14:id>
        </ext>
      </extLst>
    </cfRule>
  </conditionalFormatting>
  <conditionalFormatting sqref="X4">
    <cfRule type="dataBar" priority="3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{E429F9F9-4DD2-450C-8187-57AF70624361}</x14:id>
        </ext>
      </extLst>
    </cfRule>
  </conditionalFormatting>
  <conditionalFormatting sqref="S4">
    <cfRule type="dataBar" priority="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{6C4B5C7A-D856-447E-9170-87F5D9F72E09}</x14:id>
        </ext>
      </extLst>
    </cfRule>
  </conditionalFormatting>
  <conditionalFormatting sqref="T4">
    <cfRule type="dataBar" priority="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{EE8D0077-2911-415C-97D1-E501E0FDE10B}</x14:id>
        </ext>
      </extLst>
    </cfRule>
  </conditionalFormatting>
  <conditionalFormatting sqref="U4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{828F2178-A35B-4AFF-8BC6-3D58216DFD50}</x14:id>
        </ext>
      </extLst>
    </cfRule>
  </conditionalFormatting>
  <conditionalFormatting sqref="V4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{6DF23DE2-8109-4CED-9EF8-F117B2D442D8}</x14:id>
        </ext>
      </extLst>
    </cfRule>
  </conditionalFormatting>
  <conditionalFormatting sqref="W4">
    <cfRule type="dataBar" priority="4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{B4FE94C7-9C02-4304-9BD7-33195F4C2EF2}</x14:id>
        </ext>
      </extLst>
    </cfRule>
  </conditionalFormatting>
  <conditionalFormatting sqref="Y4">
    <cfRule type="dataBar" priority="4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{ED66D143-CEF5-414D-AAE1-D1F54DFACBAA}</x14:id>
        </ext>
      </extLst>
    </cfRule>
  </conditionalFormatting>
  <conditionalFormatting sqref="R4:X4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{719BB212-3A8B-4122-B66D-E4B5F4C484DD}</x14:id>
        </ext>
      </extLst>
    </cfRule>
  </conditionalFormatting>
  <conditionalFormatting sqref="Z4">
    <cfRule type="dataBar" priority="4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{5CAB393C-6C07-4414-9B25-29A400AB25C2}</x14:id>
        </ext>
      </extLst>
    </cfRule>
  </conditionalFormatting>
  <conditionalFormatting sqref="R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{7654A5AB-421A-462C-B40A-23D5238F9DB6}</x14:id>
        </ext>
      </extLst>
    </cfRule>
  </conditionalFormatting>
  <conditionalFormatting sqref="S5:W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{384D2109-52B2-4F60-A9A7-1DE3F68670F5}</x14:id>
        </ext>
      </extLst>
    </cfRule>
  </conditionalFormatting>
  <conditionalFormatting sqref="R5:W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{B17F2B05-7AD0-4AEB-A9AA-DF1299FCBA1A}</x14:id>
        </ext>
      </extLst>
    </cfRule>
  </conditionalFormatting>
  <conditionalFormatting sqref="X5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{EAE042A8-FAD1-4E51-BF95-DA73151F5BA1}</x14:id>
        </ext>
      </extLst>
    </cfRule>
  </conditionalFormatting>
  <conditionalFormatting sqref="S5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{10DF2E8A-F458-4C30-931B-0A200E5C4911}</x14:id>
        </ext>
      </extLst>
    </cfRule>
  </conditionalFormatting>
  <conditionalFormatting sqref="T5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{51382ED1-244B-400B-9BCF-891F180F082B}</x14:id>
        </ext>
      </extLst>
    </cfRule>
  </conditionalFormatting>
  <conditionalFormatting sqref="U5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{148CE317-510B-4EB5-BDC0-5417B888B530}</x14:id>
        </ext>
      </extLst>
    </cfRule>
  </conditionalFormatting>
  <conditionalFormatting sqref="V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{9F230E61-B445-4D71-9931-BE9BAE74ABFF}</x14:id>
        </ext>
      </extLst>
    </cfRule>
  </conditionalFormatting>
  <conditionalFormatting sqref="W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{1A7C1854-D130-4158-951C-D857E6CBECC9}</x14:id>
        </ext>
      </extLst>
    </cfRule>
  </conditionalFormatting>
  <conditionalFormatting sqref="Y5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{8348C267-3233-4184-B0D8-DCB974A517B8}</x14:id>
        </ext>
      </extLst>
    </cfRule>
  </conditionalFormatting>
  <conditionalFormatting sqref="R5:X5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{FCF8B8A7-41C2-4F52-BD9D-D5A0DCB5CF5C}</x14:id>
        </ext>
      </extLst>
    </cfRule>
  </conditionalFormatting>
  <conditionalFormatting sqref="Z5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{E746AD08-3820-477F-9212-FFED6638D509}</x14:id>
        </ext>
      </extLst>
    </cfRule>
  </conditionalFormatting>
  <conditionalFormatting sqref="E25">
    <cfRule type="containsText" dxfId="2193" priority="21" operator="containsText" text="Buy">
      <formula>NOT(ISERROR(SEARCH("Buy",E25)))</formula>
    </cfRule>
    <cfRule type="containsText" dxfId="2192" priority="22" operator="containsText" text="Sell">
      <formula>NOT(ISERROR(SEARCH("Sell",E25)))</formula>
    </cfRule>
  </conditionalFormatting>
  <conditionalFormatting sqref="E26">
    <cfRule type="containsText" dxfId="2191" priority="23" operator="containsText" text="Buy">
      <formula>NOT(ISERROR(SEARCH("Buy",E26)))</formula>
    </cfRule>
    <cfRule type="containsText" dxfId="2190" priority="24" operator="containsText" text="Sell">
      <formula>NOT(ISERROR(SEARCH("Sell",E26)))</formula>
    </cfRule>
  </conditionalFormatting>
  <conditionalFormatting sqref="E28">
    <cfRule type="containsText" dxfId="2189" priority="17" operator="containsText" text="Buy">
      <formula>NOT(ISERROR(SEARCH("Buy",E28)))</formula>
    </cfRule>
    <cfRule type="containsText" dxfId="2188" priority="18" operator="containsText" text="Sell">
      <formula>NOT(ISERROR(SEARCH("Sell",E28)))</formula>
    </cfRule>
  </conditionalFormatting>
  <conditionalFormatting sqref="E29">
    <cfRule type="containsText" dxfId="2187" priority="19" operator="containsText" text="Buy">
      <formula>NOT(ISERROR(SEARCH("Buy",E29)))</formula>
    </cfRule>
    <cfRule type="containsText" dxfId="2186" priority="20" operator="containsText" text="Sell">
      <formula>NOT(ISERROR(SEARCH("Sell",E29)))</formula>
    </cfRule>
  </conditionalFormatting>
  <conditionalFormatting sqref="R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{0B2EADA6-8B0C-487C-A9CB-53110826AA46}</x14:id>
        </ext>
      </extLst>
    </cfRule>
  </conditionalFormatting>
  <conditionalFormatting sqref="S6:W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{A2FC25D3-8873-4D29-8623-296FD40DE14A}</x14:id>
        </ext>
      </extLst>
    </cfRule>
  </conditionalFormatting>
  <conditionalFormatting sqref="R6:W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{6F41B967-724A-49A2-8674-A73CEE1A5E35}</x14:id>
        </ext>
      </extLst>
    </cfRule>
  </conditionalFormatting>
  <conditionalFormatting sqref="X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{854275DD-DD02-4021-841F-8D68A756BD6D}</x14:id>
        </ext>
      </extLst>
    </cfRule>
  </conditionalFormatting>
  <conditionalFormatting sqref="S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{98B4D522-12BD-4BE1-BF91-0EB44CB42F9D}</x14:id>
        </ext>
      </extLst>
    </cfRule>
  </conditionalFormatting>
  <conditionalFormatting sqref="T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{D9686FB1-F5E1-491F-AC7D-01013D9AC8A0}</x14:id>
        </ext>
      </extLst>
    </cfRule>
  </conditionalFormatting>
  <conditionalFormatting sqref="U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{2D7442BE-93B0-42DD-94C0-2BBD2E1ADD22}</x14:id>
        </ext>
      </extLst>
    </cfRule>
  </conditionalFormatting>
  <conditionalFormatting sqref="V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{56C12A8C-1DF0-4B09-8110-D6C01C71382E}</x14:id>
        </ext>
      </extLst>
    </cfRule>
  </conditionalFormatting>
  <conditionalFormatting sqref="W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{41214487-8A0E-49A9-87C1-40AFB4725185}</x14:id>
        </ext>
      </extLst>
    </cfRule>
  </conditionalFormatting>
  <conditionalFormatting sqref="Y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{4C1F0839-7408-4031-A64F-091D02CE78A7}</x14:id>
        </ext>
      </extLst>
    </cfRule>
  </conditionalFormatting>
  <conditionalFormatting sqref="R6:X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{1EFBD1B0-DD91-4370-ADFF-6D4FB40820CC}</x14:id>
        </ext>
      </extLst>
    </cfRule>
  </conditionalFormatting>
  <conditionalFormatting sqref="Z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{DFA9CD59-DFA5-432E-841B-4C5BDD292364}</x14:id>
        </ext>
      </extLst>
    </cfRule>
  </conditionalFormatting>
  <conditionalFormatting sqref="I6:J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{A91BA40E-AFD3-44A6-875B-648C30DA3E2B}</x14:id>
        </ext>
      </extLst>
    </cfRule>
  </conditionalFormatting>
  <conditionalFormatting sqref="I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{41CA8435-5BB4-48E7-A5CA-EEE320E72457}</x14:id>
        </ext>
      </extLst>
    </cfRule>
  </conditionalFormatting>
  <conditionalFormatting sqref="J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{A06E3EC2-09C9-4BF7-8701-F4C6334CDC94}</x14:id>
        </ext>
      </extLst>
    </cfRule>
  </conditionalFormatting>
  <conditionalFormatting sqref="I6:J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{71998EBF-2F1F-4C49-BE66-FA47AF14BAE1}</x14:id>
        </ext>
      </extLst>
    </cfRule>
  </conditionalFormatting>
  <conditionalFormatting sqref="I4:J5">
    <cfRule type="dataBar" priority="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{28F210E8-1B71-4A03-B236-173AB060BFA4}</x14:id>
        </ext>
      </extLst>
    </cfRule>
  </conditionalFormatting>
  <conditionalFormatting sqref="I4:I5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{826766E2-D828-41DE-8820-C4F6A61198FF}</x14:id>
        </ext>
      </extLst>
    </cfRule>
  </conditionalFormatting>
  <conditionalFormatting sqref="J4:J5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{70BCC75F-F29D-4E1E-B98A-17EA3543E9C5}</x14:id>
        </ext>
      </extLst>
    </cfRule>
  </conditionalFormatting>
  <conditionalFormatting sqref="I4:J5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{E1F7DD02-891C-4EF7-B428-1BDC1C38DAE6}</x14:id>
        </ext>
      </extLst>
    </cfRule>
  </conditionalFormatting>
  <conditionalFormatting sqref="I4:J6">
    <cfRule type="dataBar" priority="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{DF4EA27B-2E76-454F-AC99-35B0112AD5C2}</x14:id>
        </ext>
      </extLst>
    </cfRule>
  </conditionalFormatting>
  <conditionalFormatting sqref="I4:I6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{D74F5CD6-5FEB-4AA2-991A-36A7AA18D886}</x14:id>
        </ext>
      </extLst>
    </cfRule>
  </conditionalFormatting>
  <conditionalFormatting sqref="I4:I6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{D44AA4FF-A18F-45B2-93AC-C11CE446789E}</x14:id>
        </ext>
      </extLst>
    </cfRule>
  </conditionalFormatting>
  <conditionalFormatting sqref="J4:J6">
    <cfRule type="dataBar" priority="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{E23F8863-3213-45EC-BC3D-DF524F0A46F2}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2BA65-48DD-4273-8643-BA71E3BF47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98798C0E-6979-46E3-8074-189C6FBAA8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5A78608D-4CFE-4887-BA12-24C484592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8E5620B6-9B0B-4D5B-918A-FB387ED8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E429F9F9-4DD2-450C-8187-57AF706243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6C4B5C7A-D856-447E-9170-87F5D9F72E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E8D0077-2911-415C-97D1-E501E0FDE1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28F2178-A35B-4AFF-8BC6-3D58216DFD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6DF23DE2-8109-4CED-9EF8-F117B2D442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B4FE94C7-9C02-4304-9BD7-33195F4C2E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D66D143-CEF5-414D-AAE1-D1F54DFACB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19BB212-3A8B-4122-B66D-E4B5F4C484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5CAB393C-6C07-4414-9B25-29A400AB2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7654A5AB-421A-462C-B40A-23D5238F9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84D2109-52B2-4F60-A9A7-1DE3F68670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B17F2B05-7AD0-4AEB-A9AA-DF1299FCBA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EAE042A8-FAD1-4E51-BF95-DA73151F5B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10DF2E8A-F458-4C30-931B-0A200E5C49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1382ED1-244B-400B-9BCF-891F180F08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148CE317-510B-4EB5-BDC0-5417B888B5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F230E61-B445-4D71-9931-BE9BAE74AB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1A7C1854-D130-4158-951C-D857E6CBEC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348C267-3233-4184-B0D8-DCB974A517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FCF8B8A7-41C2-4F52-BD9D-D5A0DCB5CF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E746AD08-3820-477F-9212-FFED6638D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B2EADA6-8B0C-487C-A9CB-53110826A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A2FC25D3-8873-4D29-8623-296FD40DE1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6F41B967-724A-49A2-8674-A73CEE1A5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854275DD-DD02-4021-841F-8D68A756BD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8B4D522-12BD-4BE1-BF91-0EB44CB42F9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D9686FB1-F5E1-491F-AC7D-01013D9AC8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2D7442BE-93B0-42DD-94C0-2BBD2E1AD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56C12A8C-1DF0-4B09-8110-D6C01C7138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41214487-8A0E-49A9-87C1-40AFB47251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4C1F0839-7408-4031-A64F-091D02CE78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1EFBD1B0-DD91-4370-ADFF-6D4FB4082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DFA9CD59-DFA5-432E-841B-4C5BDD2923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Z6</xm:sqref>
        </x14:conditionalFormatting>
        <x14:conditionalFormatting xmlns:xm="http://schemas.microsoft.com/office/excel/2006/main">
          <x14:cfRule type="dataBar" id="{A91BA40E-AFD3-44A6-875B-648C30DA3E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41CA8435-5BB4-48E7-A5CA-EEE320E72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06E3EC2-09C9-4BF7-8701-F4C6334CDC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71998EBF-2F1F-4C49-BE66-FA47AF14BA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28F210E8-1B71-4A03-B236-173AB060B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826766E2-D828-41DE-8820-C4F6A61198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I4:I5</xm:sqref>
        </x14:conditionalFormatting>
        <x14:conditionalFormatting xmlns:xm="http://schemas.microsoft.com/office/excel/2006/main">
          <x14:cfRule type="dataBar" id="{70BCC75F-F29D-4E1E-B98A-17EA3543E9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J4:J5</xm:sqref>
        </x14:conditionalFormatting>
        <x14:conditionalFormatting xmlns:xm="http://schemas.microsoft.com/office/excel/2006/main">
          <x14:cfRule type="dataBar" id="{E1F7DD02-891C-4EF7-B428-1BDC1C38D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I4:J5</xm:sqref>
        </x14:conditionalFormatting>
        <x14:conditionalFormatting xmlns:xm="http://schemas.microsoft.com/office/excel/2006/main">
          <x14:cfRule type="dataBar" id="{DF4EA27B-2E76-454F-AC99-35B0112AD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D74F5CD6-5FEB-4AA2-991A-36A7AA18D8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D44AA4FF-A18F-45B2-93AC-C11CE4467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I4:I6</xm:sqref>
        </x14:conditionalFormatting>
        <x14:conditionalFormatting xmlns:xm="http://schemas.microsoft.com/office/excel/2006/main">
          <x14:cfRule type="dataBar" id="{E23F8863-3213-45EC-BC3D-DF524F0A4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00B050"/>
    <pageSetUpPr fitToPage="1"/>
  </sheetPr>
  <dimension ref="A1:X103"/>
  <sheetViews>
    <sheetView showGridLines="0" topLeftCell="A61" zoomScaleNormal="100" workbookViewId="0">
      <pane xSplit="2" topLeftCell="C1" activePane="topRight" state="frozen"/>
      <selection pane="topRight" activeCell="B3" sqref="B3:U19"/>
    </sheetView>
  </sheetViews>
  <sheetFormatPr defaultRowHeight="12.75" x14ac:dyDescent="0.2"/>
  <cols>
    <col min="1" max="1" width="3.5703125" style="9" customWidth="1"/>
    <col min="2" max="2" width="17.8554687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85546875" style="9" customWidth="1"/>
    <col min="9" max="9" width="12.5703125" style="9" customWidth="1"/>
    <col min="10" max="10" width="11.5703125" style="9" customWidth="1"/>
    <col min="11" max="11" width="13.28515625" style="9" customWidth="1"/>
    <col min="12" max="12" width="10.710937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14062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2.42578125" style="9" customWidth="1"/>
    <col min="21" max="22" width="11.28515625" style="9" customWidth="1"/>
    <col min="23" max="24" width="11.4257812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137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111</v>
      </c>
      <c r="S3" s="394" t="s">
        <v>112</v>
      </c>
      <c r="T3" s="619" t="s">
        <v>825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9" t="s">
        <v>347</v>
      </c>
      <c r="B4" s="116" t="s">
        <v>349</v>
      </c>
      <c r="C4" s="118" t="s">
        <v>331</v>
      </c>
      <c r="D4" s="119" t="e">
        <f t="shared" ref="D4:D15" ca="1" si="0">Q4/$Q$17</f>
        <v>#NAME?</v>
      </c>
      <c r="E4" s="120">
        <f>$F$82</f>
        <v>2600</v>
      </c>
      <c r="F4" s="121">
        <f>$H$82</f>
        <v>11.1</v>
      </c>
      <c r="G4" s="121" t="e">
        <f ca="1">_xll.BDP($C4,"PX_LAST")</f>
        <v>#NAME?</v>
      </c>
      <c r="H4" s="686" t="e">
        <f ca="1">_xll.BDP($C4,"BEST_TARGET_PRICE")</f>
        <v>#NAME?</v>
      </c>
      <c r="I4" s="119" t="e">
        <f t="shared" ref="I4:I15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$K$82</f>
        <v>#NAME?</v>
      </c>
      <c r="O4" s="120">
        <f>$E4*$F4</f>
        <v>28860</v>
      </c>
      <c r="P4" s="120" t="e">
        <f ca="1">$E4*$G4*$I$1</f>
        <v>#NAME?</v>
      </c>
      <c r="Q4" s="120" t="e">
        <f t="shared" ref="Q4:Q15" ca="1" si="2">P4/$I$1</f>
        <v>#NAME?</v>
      </c>
      <c r="R4" s="123" t="e">
        <f t="shared" ref="R4:R15" ca="1" si="3">P4-N4</f>
        <v>#NAME?</v>
      </c>
      <c r="S4" s="123" t="e">
        <f t="shared" ref="S4:S15" ca="1" si="4">Q4-O4</f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x14ac:dyDescent="0.2">
      <c r="A5" s="9" t="s">
        <v>347</v>
      </c>
      <c r="B5" s="116" t="s">
        <v>205</v>
      </c>
      <c r="C5" s="118" t="s">
        <v>204</v>
      </c>
      <c r="D5" s="119" t="e">
        <f t="shared" ca="1" si="0"/>
        <v>#NAME?</v>
      </c>
      <c r="E5" s="120">
        <f>$F$85</f>
        <v>7240</v>
      </c>
      <c r="F5" s="121">
        <f>$H$85</f>
        <v>3.4986999999999999</v>
      </c>
      <c r="G5" s="121" t="e">
        <f ca="1">_xll.BDP($C5,"PX_LAST")</f>
        <v>#NAME?</v>
      </c>
      <c r="H5" s="686" t="e">
        <f ca="1">_xll.BDP($C5,"BEST_TARGET_PRICE")</f>
        <v>#NAME?</v>
      </c>
      <c r="I5" s="11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$K$85</f>
        <v>#NAME?</v>
      </c>
      <c r="O5" s="120">
        <f>$E5*$F5</f>
        <v>25330.588</v>
      </c>
      <c r="P5" s="120" t="e">
        <f ca="1">$E5*$G5*$I$1</f>
        <v>#NAME?</v>
      </c>
      <c r="Q5" s="120" t="e">
        <f t="shared" ca="1" si="2"/>
        <v>#NAME?</v>
      </c>
      <c r="R5" s="123" t="e">
        <f t="shared" ca="1" si="3"/>
        <v>#NAME?</v>
      </c>
      <c r="S5" s="123" t="e">
        <f t="shared" ca="1" si="4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x14ac:dyDescent="0.2">
      <c r="A6" s="9" t="s">
        <v>347</v>
      </c>
      <c r="B6" s="116" t="s">
        <v>96</v>
      </c>
      <c r="C6" s="118" t="s">
        <v>184</v>
      </c>
      <c r="D6" s="119" t="e">
        <f t="shared" ca="1" si="0"/>
        <v>#NAME?</v>
      </c>
      <c r="E6" s="120">
        <f>$F$91</f>
        <v>2000</v>
      </c>
      <c r="F6" s="121">
        <f>$H$91</f>
        <v>845</v>
      </c>
      <c r="G6" s="121" t="e">
        <f ca="1">_xll.BDP($C6,"PX_LAST")</f>
        <v>#NAME?</v>
      </c>
      <c r="H6" s="686" t="e">
        <f ca="1">_xll.BDP($C6,"BEST_TARGET_PRICE")</f>
        <v>#NAME?</v>
      </c>
      <c r="I6" s="11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ca="1">Q6/O6-1</f>
        <v>#NAME?</v>
      </c>
      <c r="N6" s="120">
        <f>$E6*$F6</f>
        <v>1690000</v>
      </c>
      <c r="O6" s="120" t="e">
        <f ca="1">$J$91</f>
        <v>#NAME?</v>
      </c>
      <c r="P6" s="120" t="e">
        <f ca="1">$E6*$G6</f>
        <v>#NAME?</v>
      </c>
      <c r="Q6" s="120" t="e">
        <f t="shared" ca="1" si="2"/>
        <v>#NAME?</v>
      </c>
      <c r="R6" s="123" t="e">
        <f t="shared" ca="1" si="3"/>
        <v>#NAME?</v>
      </c>
      <c r="S6" s="123" t="e">
        <f t="shared" ca="1" si="4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x14ac:dyDescent="0.2">
      <c r="A7" s="9" t="s">
        <v>347</v>
      </c>
      <c r="B7" s="116" t="s">
        <v>147</v>
      </c>
      <c r="C7" s="118" t="s">
        <v>135</v>
      </c>
      <c r="D7" s="119" t="e">
        <f t="shared" ca="1" si="0"/>
        <v>#NAME?</v>
      </c>
      <c r="E7" s="120">
        <f>$F$98</f>
        <v>1550</v>
      </c>
      <c r="F7" s="121">
        <f>$H$98</f>
        <v>34</v>
      </c>
      <c r="G7" s="121" t="e">
        <f ca="1">_xll.BDP($C7,"PX_LAST")</f>
        <v>#NAME?</v>
      </c>
      <c r="H7" s="686" t="e">
        <f ca="1">_xll.BDP($C7,"BEST_TARGET_PRICE")</f>
        <v>#NAME?</v>
      </c>
      <c r="I7" s="11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$K$98</f>
        <v>#NAME?</v>
      </c>
      <c r="O7" s="120">
        <f>$E7*$F7</f>
        <v>52700</v>
      </c>
      <c r="P7" s="120" t="e">
        <f ca="1">$E7*$G7*$I$1</f>
        <v>#NAME?</v>
      </c>
      <c r="Q7" s="120" t="e">
        <f t="shared" ca="1" si="2"/>
        <v>#NAME?</v>
      </c>
      <c r="R7" s="123" t="e">
        <f t="shared" ca="1" si="3"/>
        <v>#NAME?</v>
      </c>
      <c r="S7" s="123" t="e">
        <f t="shared" ca="1" si="4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x14ac:dyDescent="0.2">
      <c r="A8" s="9" t="s">
        <v>347</v>
      </c>
      <c r="B8" s="116" t="s">
        <v>293</v>
      </c>
      <c r="C8" s="118" t="s">
        <v>341</v>
      </c>
      <c r="D8" s="119" t="e">
        <f t="shared" ca="1" si="0"/>
        <v>#NAME?</v>
      </c>
      <c r="E8" s="120">
        <f>$F$76</f>
        <v>4290</v>
      </c>
      <c r="F8" s="121" t="e">
        <f ca="1">$H$76</f>
        <v>#NAME?</v>
      </c>
      <c r="G8" s="121" t="e">
        <f ca="1">_xll.BDP($C8,"PX_LAST")</f>
        <v>#NAME?</v>
      </c>
      <c r="H8" s="686" t="e">
        <f ca="1">_xll.BDP($C8,"BEST_TARGET_PRICE")</f>
        <v>#NAME?</v>
      </c>
      <c r="I8" s="11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$K$76</f>
        <v>#NAME?</v>
      </c>
      <c r="O8" s="120" t="e">
        <f ca="1">$E8*$F8</f>
        <v>#NAME?</v>
      </c>
      <c r="P8" s="120" t="e">
        <f ca="1">$E8*$G8*$I$1</f>
        <v>#NAME?</v>
      </c>
      <c r="Q8" s="120" t="e">
        <f t="shared" ca="1" si="2"/>
        <v>#NAME?</v>
      </c>
      <c r="R8" s="123" t="e">
        <f t="shared" ca="1" si="3"/>
        <v>#NAME?</v>
      </c>
      <c r="S8" s="123" t="e">
        <f t="shared" ca="1" si="4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x14ac:dyDescent="0.2">
      <c r="A9" s="9" t="s">
        <v>347</v>
      </c>
      <c r="B9" s="116" t="s">
        <v>153</v>
      </c>
      <c r="C9" s="118" t="s">
        <v>351</v>
      </c>
      <c r="D9" s="119" t="e">
        <f t="shared" ca="1" si="0"/>
        <v>#NAME?</v>
      </c>
      <c r="E9" s="120">
        <f>$F$95</f>
        <v>13835</v>
      </c>
      <c r="F9" s="121">
        <f>$H$95</f>
        <v>3.9676487170220454</v>
      </c>
      <c r="G9" s="121" t="e">
        <f ca="1">_xll.BDP($C9,"PX_LAST")</f>
        <v>#NAME?</v>
      </c>
      <c r="H9" s="686" t="e">
        <f ca="1">_xll.BDP($C9,"BEST_TARGET_PRICE")</f>
        <v>#NAME?</v>
      </c>
      <c r="I9" s="11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P9/N9-1</f>
        <v>#NAME?</v>
      </c>
      <c r="M9" s="119" t="e">
        <f ca="1">G9/F9-1</f>
        <v>#NAME?</v>
      </c>
      <c r="N9" s="120" t="e">
        <f ca="1">$K$95</f>
        <v>#NAME?</v>
      </c>
      <c r="O9" s="120">
        <f>$E9*$F9</f>
        <v>54892.42</v>
      </c>
      <c r="P9" s="120" t="e">
        <f ca="1">$E9*$G9*$I$1</f>
        <v>#NAME?</v>
      </c>
      <c r="Q9" s="120" t="e">
        <f t="shared" ca="1" si="2"/>
        <v>#NAME?</v>
      </c>
      <c r="R9" s="123" t="e">
        <f t="shared" ca="1" si="3"/>
        <v>#NAME?</v>
      </c>
      <c r="S9" s="123" t="e">
        <f t="shared" ca="1" si="4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x14ac:dyDescent="0.2">
      <c r="A10" s="9" t="s">
        <v>347</v>
      </c>
      <c r="B10" s="116" t="s">
        <v>208</v>
      </c>
      <c r="C10" s="118" t="s">
        <v>209</v>
      </c>
      <c r="D10" s="119" t="e">
        <f t="shared" ca="1" si="0"/>
        <v>#NAME?</v>
      </c>
      <c r="E10" s="120">
        <f>$F$55</f>
        <v>64000</v>
      </c>
      <c r="F10" s="121">
        <f>$H$55</f>
        <v>57.491799999999998</v>
      </c>
      <c r="G10" s="121" t="e">
        <f ca="1">_xll.BDP($C10,"PX_LAST")</f>
        <v>#NAME?</v>
      </c>
      <c r="H10" s="686" t="e">
        <f ca="1">_xll.BDP($C10,"BEST_TARGET_PRICE")</f>
        <v>#NAME?</v>
      </c>
      <c r="I10" s="11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$E10*$F10</f>
        <v>3679475.1999999997</v>
      </c>
      <c r="O10" s="120" t="e">
        <f ca="1">$J$55</f>
        <v>#NAME?</v>
      </c>
      <c r="P10" s="120" t="e">
        <f ca="1">$E10*$G10</f>
        <v>#NAME?</v>
      </c>
      <c r="Q10" s="120" t="e">
        <f t="shared" ca="1" si="2"/>
        <v>#NAME?</v>
      </c>
      <c r="R10" s="123" t="e">
        <f t="shared" ca="1" si="3"/>
        <v>#NAME?</v>
      </c>
      <c r="S10" s="123" t="e">
        <f t="shared" ca="1" si="4"/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9" t="s">
        <v>347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$F$72</f>
        <v>3972</v>
      </c>
      <c r="F11" s="121">
        <f>$H$72</f>
        <v>14.324531722054381</v>
      </c>
      <c r="G11" s="121" t="e">
        <f ca="1">_xll.BDP($C11,"PX_LAST")</f>
        <v>#NAME?</v>
      </c>
      <c r="H11" s="686" t="e">
        <f ca="1">_xll.BDP($C11,"BEST_TARGET_PRICE")</f>
        <v>#NAME?</v>
      </c>
      <c r="I11" s="11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$K$72</f>
        <v>#NAME?</v>
      </c>
      <c r="O11" s="120">
        <f>$E11*$F11</f>
        <v>56897.04</v>
      </c>
      <c r="P11" s="120" t="e">
        <f ca="1">$E11*$G11*$I$1</f>
        <v>#NAME?</v>
      </c>
      <c r="Q11" s="120" t="e">
        <f t="shared" ca="1" si="2"/>
        <v>#NAME?</v>
      </c>
      <c r="R11" s="123" t="e">
        <f t="shared" ca="1" si="3"/>
        <v>#NAME?</v>
      </c>
      <c r="S11" s="123" t="e">
        <f t="shared" ca="1" si="4"/>
        <v>#NAME?</v>
      </c>
      <c r="T11" s="123" t="e">
        <f ca="1">_xll.BDP($C11,"EQY_DVD_YLD_EST")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_xll.BDP($C11,"EXPECTED_REPORT_DT")</f>
        <v>#NAME?</v>
      </c>
      <c r="X11" s="125" t="e">
        <f ca="1">_xll.BDP($C11,"DVD_EX_DT")</f>
        <v>#NAME?</v>
      </c>
    </row>
    <row r="12" spans="1:24" x14ac:dyDescent="0.2">
      <c r="A12" s="9" t="s">
        <v>347</v>
      </c>
      <c r="B12" s="116" t="s">
        <v>95</v>
      </c>
      <c r="C12" s="118" t="s">
        <v>78</v>
      </c>
      <c r="D12" s="119" t="e">
        <f t="shared" ca="1" si="0"/>
        <v>#NAME?</v>
      </c>
      <c r="E12" s="120">
        <f>$F$88</f>
        <v>8550</v>
      </c>
      <c r="F12" s="121">
        <f>$H$88</f>
        <v>195</v>
      </c>
      <c r="G12" s="121" t="e">
        <f ca="1">_xll.BDP($C12,"PX_LAST")</f>
        <v>#NAME?</v>
      </c>
      <c r="H12" s="686" t="e">
        <f ca="1">_xll.BDP($C12,"BEST_TARGET_PRICE")</f>
        <v>#NAME?</v>
      </c>
      <c r="I12" s="119" t="e">
        <f t="shared" ca="1" si="1"/>
        <v>#NAME?</v>
      </c>
      <c r="J12" s="181" t="e">
        <f ca="1">_xll.BDP($C12,"EQY_REC_CONS")</f>
        <v>#NAME?</v>
      </c>
      <c r="K12" s="122" t="e">
        <f ca="1">_xll.BDP($C12,"CRNCY")</f>
        <v>#NAME?</v>
      </c>
      <c r="L12" s="119" t="e">
        <f ca="1">G12/F12-1</f>
        <v>#NAME?</v>
      </c>
      <c r="M12" s="119" t="e">
        <f ca="1">Q12/O12-1</f>
        <v>#NAME?</v>
      </c>
      <c r="N12" s="120">
        <f>$E12*$F12</f>
        <v>1667250</v>
      </c>
      <c r="O12" s="120" t="e">
        <f ca="1">$J$88</f>
        <v>#NAME?</v>
      </c>
      <c r="P12" s="120" t="e">
        <f ca="1">$E12*$G12</f>
        <v>#NAME?</v>
      </c>
      <c r="Q12" s="120" t="e">
        <f t="shared" ca="1" si="2"/>
        <v>#NAME?</v>
      </c>
      <c r="R12" s="123" t="e">
        <f t="shared" ca="1" si="3"/>
        <v>#NAME?</v>
      </c>
      <c r="S12" s="123" t="e">
        <f t="shared" ca="1" si="4"/>
        <v>#NAME?</v>
      </c>
      <c r="T12" s="123" t="e">
        <f ca="1">_xll.BDP($C12,"EQY_DVD_YLD_EST")</f>
        <v>#NAME?</v>
      </c>
      <c r="U12" s="125" t="e">
        <f ca="1">_xll.BDP($C12,"CHG_PCT_YTD")</f>
        <v>#NAME?</v>
      </c>
      <c r="V12" s="125" t="e">
        <f ca="1">_xll.BDP($C12,"CHG_PCT_1YR")</f>
        <v>#NAME?</v>
      </c>
      <c r="W12" s="125" t="e">
        <f ca="1">_xll.BDP($C12,"EXPECTED_REPORT_DT")</f>
        <v>#NAME?</v>
      </c>
      <c r="X12" s="125" t="e">
        <f ca="1">_xll.BDP($C12,"DVD_EX_DT")</f>
        <v>#NAME?</v>
      </c>
    </row>
    <row r="13" spans="1:24" x14ac:dyDescent="0.2">
      <c r="A13" s="9" t="s">
        <v>347</v>
      </c>
      <c r="B13" s="116" t="s">
        <v>196</v>
      </c>
      <c r="C13" s="118" t="s">
        <v>197</v>
      </c>
      <c r="D13" s="119" t="e">
        <f t="shared" ca="1" si="0"/>
        <v>#NAME?</v>
      </c>
      <c r="E13" s="120">
        <f>$F$63</f>
        <v>6337</v>
      </c>
      <c r="F13" s="121">
        <f>$H$63</f>
        <v>4.9889572352848353</v>
      </c>
      <c r="G13" s="121" t="e">
        <f ca="1">_xll.BDP($C13,"PX_LAST")/100</f>
        <v>#NAME?</v>
      </c>
      <c r="H13" s="686" t="e">
        <f ca="1">_xll.BDP($C13,"BEST_TARGET_PRICE")/100</f>
        <v>#NAME?</v>
      </c>
      <c r="I13" s="119" t="e">
        <f t="shared" ca="1" si="1"/>
        <v>#NAME?</v>
      </c>
      <c r="J13" s="181" t="e">
        <f ca="1">_xll.BDP($C13,"EQY_REC_CONS")</f>
        <v>#NAME?</v>
      </c>
      <c r="K13" s="122" t="e">
        <f ca="1">_xll.BDP($C13,"CRNCY")</f>
        <v>#NAME?</v>
      </c>
      <c r="L13" s="119" t="e">
        <f ca="1">P13/N13-1</f>
        <v>#NAME?</v>
      </c>
      <c r="M13" s="119" t="e">
        <f ca="1">Q13/O13-1</f>
        <v>#NAME?</v>
      </c>
      <c r="N13" s="120" t="e">
        <f ca="1">$K$63</f>
        <v>#NAME?</v>
      </c>
      <c r="O13" s="120" t="e">
        <f ca="1">$J$63</f>
        <v>#NAME?</v>
      </c>
      <c r="P13" s="120" t="e">
        <f ca="1">$E13*$G13*$K$1*$I$1</f>
        <v>#NAME?</v>
      </c>
      <c r="Q13" s="120" t="e">
        <f t="shared" ca="1" si="2"/>
        <v>#NAME?</v>
      </c>
      <c r="R13" s="123" t="e">
        <f t="shared" ca="1" si="3"/>
        <v>#NAME?</v>
      </c>
      <c r="S13" s="123" t="e">
        <f t="shared" ca="1" si="4"/>
        <v>#NAME?</v>
      </c>
      <c r="T13" s="123" t="e">
        <f ca="1">_xll.BDP($C13,"EQY_DVD_YLD_EST")</f>
        <v>#NAME?</v>
      </c>
      <c r="U13" s="125" t="e">
        <f ca="1">_xll.BDP($C13,"CHG_PCT_YTD")</f>
        <v>#NAME?</v>
      </c>
      <c r="V13" s="125" t="e">
        <f ca="1">_xll.BDP($C13,"CHG_PCT_1YR")</f>
        <v>#NAME?</v>
      </c>
      <c r="W13" s="125" t="e">
        <f ca="1">_xll.BDP($C13,"EXPECTED_REPORT_DT")</f>
        <v>#NAME?</v>
      </c>
      <c r="X13" s="125" t="e">
        <f ca="1">_xll.BDP($C13,"DVD_EX_DT")</f>
        <v>#NAME?</v>
      </c>
    </row>
    <row r="14" spans="1:24" s="409" customFormat="1" x14ac:dyDescent="0.2">
      <c r="A14" s="9" t="s">
        <v>347</v>
      </c>
      <c r="B14" s="116" t="s">
        <v>193</v>
      </c>
      <c r="C14" s="118" t="s">
        <v>194</v>
      </c>
      <c r="D14" s="119" t="e">
        <f t="shared" ca="1" si="0"/>
        <v>#NAME?</v>
      </c>
      <c r="E14" s="120">
        <f>$F$59</f>
        <v>33651</v>
      </c>
      <c r="F14" s="121">
        <f>$H$59</f>
        <v>0.44829276990282607</v>
      </c>
      <c r="G14" s="121" t="e">
        <f ca="1">_xll.BDP($C14,"PX_LAST")/100</f>
        <v>#NAME?</v>
      </c>
      <c r="H14" s="686" t="e">
        <f ca="1">_xll.BDP($C14,"BEST_TARGET_PRICE")/100</f>
        <v>#NAME?</v>
      </c>
      <c r="I14" s="119" t="e">
        <f t="shared" ca="1" si="1"/>
        <v>#NAME?</v>
      </c>
      <c r="J14" s="181" t="e">
        <f ca="1">_xll.BDP($C14,"EQY_REC_CONS")</f>
        <v>#NAME?</v>
      </c>
      <c r="K14" s="122" t="e">
        <f ca="1">_xll.BDP($C14,"CRNCY")</f>
        <v>#NAME?</v>
      </c>
      <c r="L14" s="119" t="e">
        <f ca="1">P14/N14-1</f>
        <v>#NAME?</v>
      </c>
      <c r="M14" s="119" t="e">
        <f ca="1">Q14/O14-1</f>
        <v>#NAME?</v>
      </c>
      <c r="N14" s="120" t="e">
        <f ca="1">$K$59</f>
        <v>#NAME?</v>
      </c>
      <c r="O14" s="120" t="e">
        <f ca="1">$J$59</f>
        <v>#NAME?</v>
      </c>
      <c r="P14" s="120" t="e">
        <f ca="1">$E14*$G14*$K$1*$I$1</f>
        <v>#NAME?</v>
      </c>
      <c r="Q14" s="120" t="e">
        <f t="shared" ca="1" si="2"/>
        <v>#NAME?</v>
      </c>
      <c r="R14" s="123" t="e">
        <f t="shared" ca="1" si="3"/>
        <v>#NAME?</v>
      </c>
      <c r="S14" s="123" t="e">
        <f t="shared" ca="1" si="4"/>
        <v>#NAME?</v>
      </c>
      <c r="T14" s="123" t="e">
        <f ca="1">_xll.BDP($C14,"EQY_DVD_YLD_EST")</f>
        <v>#NAME?</v>
      </c>
      <c r="U14" s="125" t="e">
        <f ca="1">_xll.BDP($C14,"CHG_PCT_YTD")</f>
        <v>#NAME?</v>
      </c>
      <c r="V14" s="125" t="e">
        <f ca="1">_xll.BDP($C14,"CHG_PCT_1YR")</f>
        <v>#NAME?</v>
      </c>
      <c r="W14" s="125" t="e">
        <f ca="1">_xll.BDP($C14,"EXPECTED_REPORT_DT")</f>
        <v>#NAME?</v>
      </c>
      <c r="X14" s="125" t="e">
        <f ca="1">_xll.BDP($C14,"DVD_EX_DT")</f>
        <v>#NAME?</v>
      </c>
    </row>
    <row r="15" spans="1:24" x14ac:dyDescent="0.2">
      <c r="A15" s="409" t="s">
        <v>347</v>
      </c>
      <c r="B15" s="116" t="s">
        <v>317</v>
      </c>
      <c r="C15" s="118" t="s">
        <v>294</v>
      </c>
      <c r="D15" s="119" t="e">
        <f t="shared" ca="1" si="0"/>
        <v>#NAME?</v>
      </c>
      <c r="E15" s="120">
        <f>$F$52</f>
        <v>125000</v>
      </c>
      <c r="F15" s="121" t="e">
        <f ca="1">$H$52</f>
        <v>#NAME?</v>
      </c>
      <c r="G15" s="121" t="e">
        <f ca="1">_xll.BDP($C15,"PX_LAST")</f>
        <v>#NAME?</v>
      </c>
      <c r="H15" s="686" t="e">
        <f ca="1">_xll.BDP($C15,"BEST_TARGET_PRICE")</f>
        <v>#NAME?</v>
      </c>
      <c r="I15" s="119" t="e">
        <f t="shared" ca="1" si="1"/>
        <v>#NAME?</v>
      </c>
      <c r="J15" s="181" t="e">
        <f ca="1">_xll.BDP($C15,"EQY_REC_CONS")</f>
        <v>#NAME?</v>
      </c>
      <c r="K15" s="122" t="e">
        <f ca="1">_xll.BDP($C15,"CRNCY")</f>
        <v>#NAME?</v>
      </c>
      <c r="L15" s="119" t="e">
        <f ca="1">G15/F15-1</f>
        <v>#NAME?</v>
      </c>
      <c r="M15" s="119" t="e">
        <f ca="1">Q15/O15-1</f>
        <v>#NAME?</v>
      </c>
      <c r="N15" s="120" t="e">
        <f ca="1">$E15*$F15</f>
        <v>#NAME?</v>
      </c>
      <c r="O15" s="120">
        <f>E15*4.462</f>
        <v>557750</v>
      </c>
      <c r="P15" s="120" t="e">
        <f ca="1">$E15*$G15</f>
        <v>#NAME?</v>
      </c>
      <c r="Q15" s="120" t="e">
        <f t="shared" ca="1" si="2"/>
        <v>#NAME?</v>
      </c>
      <c r="R15" s="123" t="e">
        <f t="shared" ca="1" si="3"/>
        <v>#NAME?</v>
      </c>
      <c r="S15" s="123" t="e">
        <f t="shared" ca="1" si="4"/>
        <v>#NAME?</v>
      </c>
      <c r="T15" s="123" t="e">
        <f ca="1">_xll.BDP($C15,"EQY_DVD_YLD_EST")</f>
        <v>#NAME?</v>
      </c>
      <c r="U15" s="125" t="e">
        <f ca="1">_xll.BDP($C15,"CHG_PCT_YTD")</f>
        <v>#NAME?</v>
      </c>
      <c r="V15" s="125" t="e">
        <f ca="1">_xll.BDP($C15,"CHG_PCT_1YR")</f>
        <v>#NAME?</v>
      </c>
      <c r="W15" s="125" t="e">
        <f ca="1">_xll.BDP($C15,"EXPECTED_REPORT_DT")</f>
        <v>#NAME?</v>
      </c>
      <c r="X15" s="125" t="e">
        <f ca="1">_xll.BDP($C15,"DVD_EX_DT")</f>
        <v>#NAME?</v>
      </c>
    </row>
    <row r="16" spans="1:24" x14ac:dyDescent="0.2">
      <c r="B16" s="68" t="s">
        <v>106</v>
      </c>
      <c r="C16" s="68" t="s">
        <v>106</v>
      </c>
      <c r="D16" s="101" t="e">
        <f t="shared" ref="D16" ca="1" si="5">Q16/$Q$17</f>
        <v>#NAME?</v>
      </c>
      <c r="E16" s="64"/>
      <c r="F16" s="67"/>
      <c r="G16" s="66"/>
      <c r="H16" s="66"/>
      <c r="I16" s="66"/>
      <c r="J16" s="66"/>
      <c r="K16" s="60"/>
      <c r="L16" s="65"/>
      <c r="M16" s="65"/>
      <c r="N16" s="64"/>
      <c r="O16" s="64"/>
      <c r="P16" s="64" t="e">
        <f ca="1">Q16*$I$1</f>
        <v>#NAME?</v>
      </c>
      <c r="Q16" s="63" t="e">
        <f ca="1">493153+2523*$K$1</f>
        <v>#NAME?</v>
      </c>
      <c r="R16" s="62"/>
      <c r="S16" s="61"/>
      <c r="T16" s="61"/>
      <c r="U16" s="60"/>
      <c r="V16" s="60"/>
      <c r="W16" s="60"/>
      <c r="X16" s="60"/>
    </row>
    <row r="17" spans="2:24" ht="13.5" customHeight="1" thickBot="1" x14ac:dyDescent="0.25">
      <c r="B17" s="58"/>
      <c r="C17" s="58"/>
      <c r="D17" s="59" t="e">
        <f ca="1">SUM(D4:D16)</f>
        <v>#NAME?</v>
      </c>
      <c r="E17" s="58"/>
      <c r="F17" s="58"/>
      <c r="G17" s="58"/>
      <c r="H17" s="58"/>
      <c r="I17" s="570" t="e">
        <f ca="1">SUMPRODUCT(D4:D15,I4:I15)</f>
        <v>#NAME?</v>
      </c>
      <c r="J17" s="58"/>
      <c r="K17" s="55"/>
      <c r="L17" s="682" t="e">
        <f ca="1">SUMPRODUCT($D$4:$D$15,L4:L15)</f>
        <v>#NAME?</v>
      </c>
      <c r="M17" s="682" t="e">
        <f ca="1">SUMPRODUCT($D$4:$D$15,M4:M15)</f>
        <v>#NAME?</v>
      </c>
      <c r="N17" s="184" t="e">
        <f ca="1">SUM(N4:N16)</f>
        <v>#NAME?</v>
      </c>
      <c r="O17" s="184">
        <f>45000*22.31+79800*8.69</f>
        <v>1697412</v>
      </c>
      <c r="P17" s="184" t="e">
        <f ca="1">SUM(P4:P16)</f>
        <v>#NAME?</v>
      </c>
      <c r="Q17" s="684" t="e">
        <f ca="1">SUM(Q4:Q16)</f>
        <v>#NAME?</v>
      </c>
      <c r="R17" s="136" t="e">
        <f ca="1">SUM(R4:R16)</f>
        <v>#NAME?</v>
      </c>
      <c r="S17" s="683" t="e">
        <f ca="1">SUM(S4:S15)</f>
        <v>#NAME?</v>
      </c>
      <c r="T17" s="138" t="e">
        <f ca="1">SUMPRODUCT(D4:D15,T4:T15)</f>
        <v>#NAME?</v>
      </c>
      <c r="U17" s="55"/>
      <c r="V17" s="55"/>
      <c r="W17" s="55"/>
      <c r="X17" s="55"/>
    </row>
    <row r="18" spans="2:24" ht="13.5" customHeight="1" x14ac:dyDescent="0.2">
      <c r="B18" s="41"/>
      <c r="C18" s="41"/>
      <c r="D18" s="54"/>
      <c r="E18" s="41"/>
      <c r="F18" s="41"/>
      <c r="G18" s="41"/>
      <c r="I18" s="12" t="s">
        <v>796</v>
      </c>
      <c r="K18" s="41"/>
      <c r="L18" s="40"/>
      <c r="M18" s="40"/>
      <c r="N18" s="40"/>
      <c r="O18" s="130"/>
      <c r="P18" s="134"/>
      <c r="Q18" s="135"/>
      <c r="R18" s="685" t="e">
        <f ca="1">$P$17/$N$17-1</f>
        <v>#NAME?</v>
      </c>
      <c r="S18" s="574" t="e">
        <f ca="1">$Q$17/$O$17-1</f>
        <v>#NAME?</v>
      </c>
      <c r="T18" s="828" t="s">
        <v>795</v>
      </c>
      <c r="U18" s="828"/>
    </row>
    <row r="19" spans="2:24" x14ac:dyDescent="0.2">
      <c r="E19" s="10"/>
      <c r="K19" s="29"/>
      <c r="L19" s="29"/>
      <c r="M19" s="39"/>
      <c r="N19" s="34"/>
      <c r="O19" s="34"/>
      <c r="P19" s="30"/>
      <c r="T19" s="829"/>
      <c r="U19" s="829"/>
    </row>
    <row r="20" spans="2:24" x14ac:dyDescent="0.2">
      <c r="B20" s="32" t="s">
        <v>276</v>
      </c>
      <c r="E20" s="10"/>
      <c r="M20" s="39"/>
      <c r="N20" s="34"/>
      <c r="O20" s="34"/>
      <c r="P20" s="30"/>
    </row>
    <row r="21" spans="2:24" x14ac:dyDescent="0.2"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41"/>
      <c r="N21" s="34"/>
      <c r="O21" s="34"/>
      <c r="P21" s="30"/>
    </row>
    <row r="22" spans="2:24" ht="40.5" customHeight="1" x14ac:dyDescent="0.2">
      <c r="B22" s="51" t="s">
        <v>105</v>
      </c>
      <c r="C22" s="50" t="s">
        <v>104</v>
      </c>
      <c r="D22" s="50" t="s">
        <v>174</v>
      </c>
      <c r="E22" s="50" t="s">
        <v>173</v>
      </c>
      <c r="F22" s="50" t="s">
        <v>175</v>
      </c>
      <c r="G22" s="50" t="s">
        <v>172</v>
      </c>
      <c r="H22" s="50" t="s">
        <v>103</v>
      </c>
      <c r="I22" s="50" t="s">
        <v>102</v>
      </c>
      <c r="J22" s="50" t="s">
        <v>101</v>
      </c>
      <c r="K22" s="50" t="s">
        <v>100</v>
      </c>
      <c r="L22" s="50" t="s">
        <v>99</v>
      </c>
      <c r="M22" s="50" t="s">
        <v>98</v>
      </c>
      <c r="N22" s="50" t="s">
        <v>280</v>
      </c>
      <c r="O22" s="50" t="s">
        <v>97</v>
      </c>
      <c r="P22" s="50" t="s">
        <v>279</v>
      </c>
      <c r="Q22" s="50" t="s">
        <v>277</v>
      </c>
      <c r="R22" s="50" t="s">
        <v>278</v>
      </c>
    </row>
    <row r="23" spans="2:24" x14ac:dyDescent="0.2">
      <c r="B23" s="46" t="s">
        <v>152</v>
      </c>
      <c r="C23" s="103" t="s">
        <v>337</v>
      </c>
      <c r="D23" s="73" t="s">
        <v>51</v>
      </c>
      <c r="E23" s="43" t="e">
        <f ca="1">F23*_xll.BDP(C23,"PX_LAST")</f>
        <v>#NAME?</v>
      </c>
      <c r="F23" s="43">
        <v>79800</v>
      </c>
      <c r="G23" s="43">
        <v>17980</v>
      </c>
      <c r="H23" s="47">
        <f t="shared" ref="H23:H31" si="6">G23/F23</f>
        <v>0.22531328320802005</v>
      </c>
      <c r="I23" s="43">
        <f t="shared" ref="I23:I31" si="7">G23*K23</f>
        <v>156246.19999999998</v>
      </c>
      <c r="J23" s="45">
        <f t="shared" ref="J23:J31" si="8">G23*L23</f>
        <v>105983.669178</v>
      </c>
      <c r="K23" s="105">
        <v>8.69</v>
      </c>
      <c r="L23" s="105">
        <v>5.8945311</v>
      </c>
      <c r="M23" s="44">
        <f t="shared" ref="M23:M31" si="9">L23/K23-1</f>
        <v>-0.3216880207134637</v>
      </c>
      <c r="N23" s="43">
        <f t="shared" ref="N23:N31" si="10">J23-I23</f>
        <v>-50262.530821999986</v>
      </c>
      <c r="O23" s="106" t="e">
        <f ca="1">_xll.BDP($C23,"CRNCY")</f>
        <v>#NAME?</v>
      </c>
      <c r="P23" s="43">
        <f>N23</f>
        <v>-50262.530821999986</v>
      </c>
      <c r="Q23" s="14">
        <v>42123</v>
      </c>
      <c r="R23" s="22" t="e">
        <f ca="1">_xll.BDH("RUB curncy","PX_LAST",$Q23)</f>
        <v>#NAME?</v>
      </c>
    </row>
    <row r="24" spans="2:24" x14ac:dyDescent="0.2">
      <c r="B24" s="46" t="s">
        <v>152</v>
      </c>
      <c r="C24" s="103" t="s">
        <v>337</v>
      </c>
      <c r="D24" s="73" t="s">
        <v>51</v>
      </c>
      <c r="E24" s="43" t="e">
        <f ca="1">F24*_xll.BDP(C24,"PX_LAST")</f>
        <v>#NAME?</v>
      </c>
      <c r="F24" s="43">
        <v>79800</v>
      </c>
      <c r="G24" s="43">
        <v>4680</v>
      </c>
      <c r="H24" s="47">
        <f t="shared" si="6"/>
        <v>5.8646616541353384E-2</v>
      </c>
      <c r="I24" s="43">
        <f t="shared" si="7"/>
        <v>40669.199999999997</v>
      </c>
      <c r="J24" s="45">
        <f t="shared" si="8"/>
        <v>27799.200000000001</v>
      </c>
      <c r="K24" s="105">
        <v>8.69</v>
      </c>
      <c r="L24" s="105">
        <v>5.94</v>
      </c>
      <c r="M24" s="44">
        <f t="shared" si="9"/>
        <v>-0.31645569620253156</v>
      </c>
      <c r="N24" s="43">
        <f t="shared" si="10"/>
        <v>-12869.999999999996</v>
      </c>
      <c r="O24" s="106" t="e">
        <f ca="1">_xll.BDP($C24,"CRNCY")</f>
        <v>#NAME?</v>
      </c>
      <c r="P24" s="43">
        <f>N24</f>
        <v>-12869.999999999996</v>
      </c>
      <c r="Q24" s="14">
        <v>42139</v>
      </c>
      <c r="R24" s="22" t="e">
        <f ca="1">_xll.BDH("RUB curncy","PX_LAST",$Q24)</f>
        <v>#NAME?</v>
      </c>
    </row>
    <row r="25" spans="2:24" x14ac:dyDescent="0.2">
      <c r="B25" s="46" t="s">
        <v>152</v>
      </c>
      <c r="C25" s="103" t="s">
        <v>337</v>
      </c>
      <c r="D25" s="73" t="s">
        <v>51</v>
      </c>
      <c r="E25" s="43" t="e">
        <f ca="1">F25*_xll.BDP(C25,"PX_LAST")</f>
        <v>#NAME?</v>
      </c>
      <c r="F25" s="43">
        <v>79800</v>
      </c>
      <c r="G25" s="43">
        <v>5180</v>
      </c>
      <c r="H25" s="47">
        <f t="shared" si="6"/>
        <v>6.491228070175438E-2</v>
      </c>
      <c r="I25" s="43">
        <f t="shared" si="7"/>
        <v>45014.2</v>
      </c>
      <c r="J25" s="45">
        <f t="shared" si="8"/>
        <v>28854.542500000003</v>
      </c>
      <c r="K25" s="105">
        <v>8.69</v>
      </c>
      <c r="L25" s="105">
        <v>5.5703750000000003</v>
      </c>
      <c r="M25" s="44">
        <f t="shared" si="9"/>
        <v>-0.35899021864211733</v>
      </c>
      <c r="N25" s="43">
        <f t="shared" si="10"/>
        <v>-16159.657499999994</v>
      </c>
      <c r="O25" s="106" t="e">
        <f ca="1">_xll.BDP($C25,"CRNCY")</f>
        <v>#NAME?</v>
      </c>
      <c r="P25" s="43">
        <f>N25</f>
        <v>-16159.657499999994</v>
      </c>
      <c r="Q25" s="14">
        <v>42152</v>
      </c>
      <c r="R25" s="22" t="e">
        <f ca="1">_xll.BDH("RUB curncy","PX_LAST",$Q25)</f>
        <v>#NAME?</v>
      </c>
    </row>
    <row r="26" spans="2:24" x14ac:dyDescent="0.2">
      <c r="B26" s="46" t="s">
        <v>152</v>
      </c>
      <c r="C26" s="103" t="s">
        <v>337</v>
      </c>
      <c r="D26" s="73" t="s">
        <v>51</v>
      </c>
      <c r="E26" s="43" t="e">
        <f ca="1">F26*_xll.BDP(C26,"PX_LAST")</f>
        <v>#NAME?</v>
      </c>
      <c r="F26" s="43">
        <v>79800</v>
      </c>
      <c r="G26" s="43">
        <v>5555</v>
      </c>
      <c r="H26" s="47">
        <f t="shared" si="6"/>
        <v>6.9611528822055138E-2</v>
      </c>
      <c r="I26" s="43">
        <f t="shared" si="7"/>
        <v>48272.95</v>
      </c>
      <c r="J26" s="45">
        <f t="shared" si="8"/>
        <v>27775</v>
      </c>
      <c r="K26" s="105">
        <v>8.69</v>
      </c>
      <c r="L26" s="105">
        <v>5</v>
      </c>
      <c r="M26" s="44">
        <f t="shared" si="9"/>
        <v>-0.42462600690448793</v>
      </c>
      <c r="N26" s="43">
        <f t="shared" si="10"/>
        <v>-20497.949999999997</v>
      </c>
      <c r="O26" s="106" t="e">
        <f ca="1">_xll.BDP($C26,"CRNCY")</f>
        <v>#NAME?</v>
      </c>
      <c r="P26" s="43">
        <f>N26</f>
        <v>-20497.949999999997</v>
      </c>
      <c r="Q26" s="14">
        <v>42160</v>
      </c>
      <c r="R26" s="22" t="e">
        <f ca="1">_xll.BDH("RUB curncy","PX_LAST",$Q26)</f>
        <v>#NAME?</v>
      </c>
    </row>
    <row r="27" spans="2:24" x14ac:dyDescent="0.2">
      <c r="B27" s="46" t="s">
        <v>152</v>
      </c>
      <c r="C27" s="103" t="s">
        <v>337</v>
      </c>
      <c r="D27" s="73" t="s">
        <v>51</v>
      </c>
      <c r="E27" s="43" t="e">
        <f ca="1">F27*_xll.BDP(C27,"PX_LAST")</f>
        <v>#NAME?</v>
      </c>
      <c r="F27" s="43">
        <v>79800</v>
      </c>
      <c r="G27" s="43">
        <v>4788</v>
      </c>
      <c r="H27" s="47">
        <f t="shared" si="6"/>
        <v>0.06</v>
      </c>
      <c r="I27" s="43">
        <f t="shared" si="7"/>
        <v>41607.72</v>
      </c>
      <c r="J27" s="45">
        <f t="shared" si="8"/>
        <v>24562.44</v>
      </c>
      <c r="K27" s="105">
        <v>8.69</v>
      </c>
      <c r="L27" s="105">
        <v>5.13</v>
      </c>
      <c r="M27" s="44">
        <f t="shared" si="9"/>
        <v>-0.40966628308400455</v>
      </c>
      <c r="N27" s="43">
        <f t="shared" si="10"/>
        <v>-17045.280000000002</v>
      </c>
      <c r="O27" s="106" t="e">
        <f ca="1">_xll.BDP($C27,"CRNCY")</f>
        <v>#NAME?</v>
      </c>
      <c r="P27" s="43">
        <f>N27</f>
        <v>-17045.280000000002</v>
      </c>
      <c r="Q27" s="14">
        <v>42195</v>
      </c>
      <c r="R27" s="22" t="e">
        <f ca="1">_xll.BDH("RUB curncy","PX_LAST",$Q27)</f>
        <v>#NAME?</v>
      </c>
    </row>
    <row r="28" spans="2:24" x14ac:dyDescent="0.2">
      <c r="B28" s="46" t="s">
        <v>340</v>
      </c>
      <c r="C28" s="103" t="s">
        <v>44</v>
      </c>
      <c r="D28" s="73" t="s">
        <v>51</v>
      </c>
      <c r="E28" s="43" t="e">
        <f ca="1">F28*_xll.BDP(C28,"PX_LAST")</f>
        <v>#NAME?</v>
      </c>
      <c r="F28" s="43">
        <v>36000</v>
      </c>
      <c r="G28" s="43">
        <v>36000</v>
      </c>
      <c r="H28" s="47">
        <f t="shared" si="6"/>
        <v>1</v>
      </c>
      <c r="I28" s="43">
        <f t="shared" si="7"/>
        <v>1425960</v>
      </c>
      <c r="J28" s="45">
        <f t="shared" si="8"/>
        <v>1548000</v>
      </c>
      <c r="K28" s="105">
        <v>39.61</v>
      </c>
      <c r="L28" s="105">
        <v>43</v>
      </c>
      <c r="M28" s="44">
        <f t="shared" si="9"/>
        <v>8.5584448371623267E-2</v>
      </c>
      <c r="N28" s="43">
        <f t="shared" si="10"/>
        <v>122040</v>
      </c>
      <c r="O28" s="106" t="e">
        <f ca="1">_xll.BDP($C28,"CRNCY")</f>
        <v>#NAME?</v>
      </c>
      <c r="P28" s="43" t="e">
        <f ca="1">N28/R28</f>
        <v>#NAME?</v>
      </c>
      <c r="Q28" s="14">
        <v>42319</v>
      </c>
      <c r="R28" s="22" t="e">
        <f ca="1">_xll.BDH("RUB curncy","PX_LAST",$Q28)</f>
        <v>#NAME?</v>
      </c>
    </row>
    <row r="29" spans="2:24" x14ac:dyDescent="0.2">
      <c r="B29" s="46" t="s">
        <v>152</v>
      </c>
      <c r="C29" s="103" t="s">
        <v>337</v>
      </c>
      <c r="D29" s="73" t="s">
        <v>51</v>
      </c>
      <c r="E29" s="43" t="e">
        <f ca="1">F29*_xll.BDP(C29,"PX_LAST")</f>
        <v>#NAME?</v>
      </c>
      <c r="F29" s="43">
        <v>79800</v>
      </c>
      <c r="G29" s="43">
        <v>8240</v>
      </c>
      <c r="H29" s="47">
        <f t="shared" si="6"/>
        <v>0.10325814536340852</v>
      </c>
      <c r="I29" s="43">
        <f t="shared" si="7"/>
        <v>71605.599999999991</v>
      </c>
      <c r="J29" s="45">
        <f t="shared" si="8"/>
        <v>51675.886919999997</v>
      </c>
      <c r="K29" s="105">
        <v>8.69</v>
      </c>
      <c r="L29" s="105">
        <v>6.2713454999999998</v>
      </c>
      <c r="M29" s="44">
        <f t="shared" si="9"/>
        <v>-0.27832617951668581</v>
      </c>
      <c r="N29" s="43">
        <f t="shared" si="10"/>
        <v>-19929.713079999994</v>
      </c>
      <c r="O29" s="106" t="e">
        <f ca="1">_xll.BDP($C29,"CRNCY")</f>
        <v>#NAME?</v>
      </c>
      <c r="P29" s="43">
        <f t="shared" ref="P29:P35" si="11">N29</f>
        <v>-19929.713079999994</v>
      </c>
      <c r="Q29" s="14">
        <v>42319</v>
      </c>
      <c r="R29" s="22" t="e">
        <f ca="1">_xll.BDH("RUB curncy","PX_LAST",$Q29)</f>
        <v>#NAME?</v>
      </c>
    </row>
    <row r="30" spans="2:24" x14ac:dyDescent="0.2">
      <c r="B30" s="46" t="s">
        <v>152</v>
      </c>
      <c r="C30" s="103" t="s">
        <v>337</v>
      </c>
      <c r="D30" s="73" t="s">
        <v>51</v>
      </c>
      <c r="E30" s="43" t="e">
        <f ca="1">F30*_xll.BDP(C30,"PX_LAST")</f>
        <v>#NAME?</v>
      </c>
      <c r="F30" s="43">
        <v>79800</v>
      </c>
      <c r="G30" s="43">
        <v>8240</v>
      </c>
      <c r="H30" s="47">
        <f t="shared" si="6"/>
        <v>0.10325814536340852</v>
      </c>
      <c r="I30" s="43">
        <f t="shared" si="7"/>
        <v>71605.599999999991</v>
      </c>
      <c r="J30" s="45">
        <f t="shared" si="8"/>
        <v>51607.12</v>
      </c>
      <c r="K30" s="105">
        <v>8.69</v>
      </c>
      <c r="L30" s="105">
        <v>6.2629999999999999</v>
      </c>
      <c r="M30" s="44">
        <f t="shared" si="9"/>
        <v>-0.27928653624856159</v>
      </c>
      <c r="N30" s="43">
        <f t="shared" si="10"/>
        <v>-19998.479999999989</v>
      </c>
      <c r="O30" s="106" t="e">
        <f ca="1">_xll.BDP($C30,"CRNCY")</f>
        <v>#NAME?</v>
      </c>
      <c r="P30" s="43">
        <f t="shared" si="11"/>
        <v>-19998.479999999989</v>
      </c>
      <c r="Q30" s="14">
        <v>42319</v>
      </c>
      <c r="R30" s="22" t="e">
        <f ca="1">_xll.BDH("RUB curncy","PX_LAST",$Q30)</f>
        <v>#NAME?</v>
      </c>
    </row>
    <row r="31" spans="2:24" x14ac:dyDescent="0.2">
      <c r="B31" s="46" t="s">
        <v>152</v>
      </c>
      <c r="C31" s="103" t="s">
        <v>337</v>
      </c>
      <c r="D31" s="73" t="s">
        <v>51</v>
      </c>
      <c r="E31" s="43" t="e">
        <f ca="1">F31*_xll.BDP(C31,"PX_LAST")</f>
        <v>#NAME?</v>
      </c>
      <c r="F31" s="43">
        <v>79800</v>
      </c>
      <c r="G31" s="43">
        <v>120</v>
      </c>
      <c r="H31" s="47">
        <f t="shared" si="6"/>
        <v>1.5037593984962407E-3</v>
      </c>
      <c r="I31" s="43">
        <f t="shared" si="7"/>
        <v>1042.8</v>
      </c>
      <c r="J31" s="45">
        <f t="shared" si="8"/>
        <v>747</v>
      </c>
      <c r="K31" s="105">
        <v>8.69</v>
      </c>
      <c r="L31" s="105">
        <v>6.2249999999999996</v>
      </c>
      <c r="M31" s="44">
        <f t="shared" si="9"/>
        <v>-0.28365937859608747</v>
      </c>
      <c r="N31" s="43">
        <f t="shared" si="10"/>
        <v>-295.79999999999995</v>
      </c>
      <c r="O31" s="106" t="e">
        <f ca="1">_xll.BDP($C31,"CRNCY")</f>
        <v>#NAME?</v>
      </c>
      <c r="P31" s="43">
        <f t="shared" si="11"/>
        <v>-295.79999999999995</v>
      </c>
      <c r="Q31" s="14">
        <v>42319</v>
      </c>
      <c r="R31" s="22" t="e">
        <f ca="1">_xll.BDH("RUB curncy","PX_LAST",$Q31)</f>
        <v>#NAME?</v>
      </c>
    </row>
    <row r="32" spans="2:24" x14ac:dyDescent="0.2">
      <c r="B32" s="46" t="s">
        <v>317</v>
      </c>
      <c r="C32" s="103" t="s">
        <v>649</v>
      </c>
      <c r="D32" s="73" t="s">
        <v>51</v>
      </c>
      <c r="E32" s="43" t="e">
        <f ca="1">F32*_xll.BDP(C32,"PX_LAST")</f>
        <v>#NAME?</v>
      </c>
      <c r="F32" s="43">
        <v>45000</v>
      </c>
      <c r="G32" s="43">
        <v>10597</v>
      </c>
      <c r="H32" s="47">
        <f>G32/F32</f>
        <v>0.23548888888888889</v>
      </c>
      <c r="I32" s="43">
        <f>G32*K32</f>
        <v>236419.06999999998</v>
      </c>
      <c r="J32" s="45">
        <f>G32*L32</f>
        <v>139139.24582000001</v>
      </c>
      <c r="K32" s="105">
        <v>22.31</v>
      </c>
      <c r="L32" s="105">
        <v>13.13006</v>
      </c>
      <c r="M32" s="44">
        <f>L32/K32-1</f>
        <v>-0.41147198565665621</v>
      </c>
      <c r="N32" s="43">
        <f>J32-I32</f>
        <v>-97279.824179999967</v>
      </c>
      <c r="O32" s="106" t="e">
        <f ca="1">_xll.BDP($C32,"CRNCY")</f>
        <v>#NAME?</v>
      </c>
      <c r="P32" s="43">
        <f t="shared" si="11"/>
        <v>-97279.824179999967</v>
      </c>
      <c r="Q32" s="14">
        <v>42355</v>
      </c>
      <c r="R32" s="22" t="e">
        <f ca="1">_xll.BDH("RUB curncy","PX_LAST",$Q32)</f>
        <v>#NAME?</v>
      </c>
    </row>
    <row r="33" spans="2:18" x14ac:dyDescent="0.2">
      <c r="B33" s="46" t="s">
        <v>317</v>
      </c>
      <c r="C33" s="103" t="s">
        <v>649</v>
      </c>
      <c r="D33" s="73" t="s">
        <v>51</v>
      </c>
      <c r="E33" s="43" t="e">
        <f ca="1">F33*_xll.BDP(C33,"PX_LAST")</f>
        <v>#NAME?</v>
      </c>
      <c r="F33" s="43">
        <v>45000</v>
      </c>
      <c r="G33" s="43">
        <v>34403</v>
      </c>
      <c r="H33" s="47">
        <f>G33/F33</f>
        <v>0.76451111111111114</v>
      </c>
      <c r="I33" s="43">
        <f>G33*K33</f>
        <v>767530.92999999993</v>
      </c>
      <c r="J33" s="45">
        <f>G33*L33</f>
        <v>450679.3</v>
      </c>
      <c r="K33" s="105">
        <v>22.31</v>
      </c>
      <c r="L33" s="105">
        <v>13.1</v>
      </c>
      <c r="M33" s="44">
        <f>L33/K33-1</f>
        <v>-0.41281936351411919</v>
      </c>
      <c r="N33" s="43">
        <f>J33-I33</f>
        <v>-316851.62999999995</v>
      </c>
      <c r="O33" s="106" t="e">
        <f ca="1">_xll.BDP($C33,"CRNCY")</f>
        <v>#NAME?</v>
      </c>
      <c r="P33" s="43">
        <f t="shared" si="11"/>
        <v>-316851.62999999995</v>
      </c>
      <c r="Q33" s="14">
        <v>42359</v>
      </c>
      <c r="R33" s="22" t="e">
        <f ca="1">_xll.BDH("RUB curncy","PX_LAST",$Q33)</f>
        <v>#NAME?</v>
      </c>
    </row>
    <row r="34" spans="2:18" x14ac:dyDescent="0.2">
      <c r="B34" s="46" t="s">
        <v>152</v>
      </c>
      <c r="C34" s="103" t="s">
        <v>337</v>
      </c>
      <c r="D34" s="73" t="s">
        <v>51</v>
      </c>
      <c r="E34" s="43" t="e">
        <f ca="1">F34*_xll.BDP(C34,"PX_LAST")</f>
        <v>#NAME?</v>
      </c>
      <c r="F34" s="43">
        <v>79800</v>
      </c>
      <c r="G34" s="43">
        <v>25013</v>
      </c>
      <c r="H34" s="47">
        <f t="shared" ref="H34" si="12">G34/F34</f>
        <v>0.31344611528822053</v>
      </c>
      <c r="I34" s="43">
        <f t="shared" ref="I34" si="13">G34*K34</f>
        <v>217362.97</v>
      </c>
      <c r="J34" s="45">
        <f t="shared" ref="J34" si="14">G34*L34</f>
        <v>235414.85209999999</v>
      </c>
      <c r="K34" s="105">
        <v>8.69</v>
      </c>
      <c r="L34" s="105">
        <v>9.4116999999999997</v>
      </c>
      <c r="M34" s="44">
        <f t="shared" ref="M34" si="15">L34/K34-1</f>
        <v>8.3049482163406241E-2</v>
      </c>
      <c r="N34" s="43">
        <f t="shared" ref="N34" si="16">J34-I34</f>
        <v>18051.882099999988</v>
      </c>
      <c r="O34" s="106" t="e">
        <f ca="1">_xll.BDP($C34,"CRNCY")</f>
        <v>#NAME?</v>
      </c>
      <c r="P34" s="43">
        <f t="shared" si="11"/>
        <v>18051.882099999988</v>
      </c>
      <c r="Q34" s="14">
        <v>42690</v>
      </c>
      <c r="R34" s="22" t="e">
        <f ca="1">_xll.BDH("RUB curncy","PX_LAST",$Q34)</f>
        <v>#NAME?</v>
      </c>
    </row>
    <row r="35" spans="2:18" x14ac:dyDescent="0.2">
      <c r="B35" s="46" t="s">
        <v>188</v>
      </c>
      <c r="C35" s="103" t="s">
        <v>464</v>
      </c>
      <c r="D35" s="73" t="s">
        <v>51</v>
      </c>
      <c r="E35" s="43" t="e">
        <f ca="1">F35*_xll.BDP(C35,"PX_LAST")</f>
        <v>#NAME?</v>
      </c>
      <c r="F35" s="43">
        <v>3000</v>
      </c>
      <c r="G35" s="43">
        <v>3000</v>
      </c>
      <c r="H35" s="47">
        <f t="shared" ref="H35:H37" si="17">G35/F35</f>
        <v>1</v>
      </c>
      <c r="I35" s="43">
        <f t="shared" ref="I35:I37" si="18">G35*K35</f>
        <v>26400.000000000004</v>
      </c>
      <c r="J35" s="45">
        <f t="shared" ref="J35:J37" si="19">G35*L35</f>
        <v>52949.999999999993</v>
      </c>
      <c r="K35" s="105">
        <v>8.8000000000000007</v>
      </c>
      <c r="L35" s="105">
        <v>17.649999999999999</v>
      </c>
      <c r="M35" s="44">
        <f t="shared" ref="M35:M37" si="20">L35/K35-1</f>
        <v>1.0056818181818179</v>
      </c>
      <c r="N35" s="43">
        <f t="shared" ref="N35:N37" si="21">J35-I35</f>
        <v>26549.999999999989</v>
      </c>
      <c r="O35" s="106" t="e">
        <f ca="1">_xll.BDP($C35,"CRNCY")</f>
        <v>#NAME?</v>
      </c>
      <c r="P35" s="43">
        <f t="shared" si="11"/>
        <v>26549.999999999989</v>
      </c>
      <c r="Q35" s="14">
        <v>42690</v>
      </c>
      <c r="R35" s="22" t="e">
        <f ca="1">_xll.BDH("RUB curncy","PX_LAST",$Q35)</f>
        <v>#NAME?</v>
      </c>
    </row>
    <row r="36" spans="2:18" x14ac:dyDescent="0.2">
      <c r="B36" s="46" t="s">
        <v>333</v>
      </c>
      <c r="C36" s="103" t="s">
        <v>334</v>
      </c>
      <c r="D36" s="73" t="s">
        <v>51</v>
      </c>
      <c r="E36" s="43" t="e">
        <f ca="1">F36*_xll.BDP(C36,"PX_LAST")</f>
        <v>#NAME?</v>
      </c>
      <c r="F36" s="43">
        <v>17000</v>
      </c>
      <c r="G36" s="43">
        <v>17000</v>
      </c>
      <c r="H36" s="47">
        <f t="shared" si="17"/>
        <v>1</v>
      </c>
      <c r="I36" s="43">
        <f t="shared" si="18"/>
        <v>4208180</v>
      </c>
      <c r="J36" s="45">
        <f t="shared" si="19"/>
        <v>4454000</v>
      </c>
      <c r="K36" s="105">
        <v>247.54</v>
      </c>
      <c r="L36" s="105">
        <v>262</v>
      </c>
      <c r="M36" s="44">
        <f t="shared" si="20"/>
        <v>5.841480164821844E-2</v>
      </c>
      <c r="N36" s="43">
        <f t="shared" si="21"/>
        <v>245820</v>
      </c>
      <c r="O36" s="106" t="e">
        <f ca="1">_xll.BDP($C36,"CRNCY")</f>
        <v>#NAME?</v>
      </c>
      <c r="P36" s="43" t="e">
        <f ca="1">N36/R36</f>
        <v>#NAME?</v>
      </c>
      <c r="Q36" s="14">
        <v>42690</v>
      </c>
      <c r="R36" s="22" t="e">
        <f ca="1">_xll.BDH("RUB curncy","PX_LAST",$Q36)</f>
        <v>#NAME?</v>
      </c>
    </row>
    <row r="37" spans="2:18" x14ac:dyDescent="0.2">
      <c r="B37" s="46" t="s">
        <v>152</v>
      </c>
      <c r="C37" s="103" t="s">
        <v>337</v>
      </c>
      <c r="D37" s="73" t="s">
        <v>51</v>
      </c>
      <c r="E37" s="43" t="e">
        <f ca="1">F37*_xll.BDP(C37,"PX_LAST")</f>
        <v>#NAME?</v>
      </c>
      <c r="F37" s="43">
        <v>79800</v>
      </c>
      <c r="G37" s="43">
        <v>25013</v>
      </c>
      <c r="H37" s="47">
        <f t="shared" si="17"/>
        <v>0.31344611528822053</v>
      </c>
      <c r="I37" s="43">
        <f t="shared" si="18"/>
        <v>217362.97</v>
      </c>
      <c r="J37" s="45">
        <f t="shared" si="19"/>
        <v>235414.85209999999</v>
      </c>
      <c r="K37" s="105">
        <v>8.69</v>
      </c>
      <c r="L37" s="105">
        <v>9.4116999999999997</v>
      </c>
      <c r="M37" s="44">
        <f t="shared" si="20"/>
        <v>8.3049482163406241E-2</v>
      </c>
      <c r="N37" s="43">
        <f t="shared" si="21"/>
        <v>18051.882099999988</v>
      </c>
      <c r="O37" s="106" t="e">
        <f ca="1">_xll.BDP($C37,"CRNCY")</f>
        <v>#NAME?</v>
      </c>
      <c r="P37" s="43">
        <f>N37</f>
        <v>18051.882099999988</v>
      </c>
      <c r="Q37" s="14">
        <v>42690</v>
      </c>
      <c r="R37" s="22" t="e">
        <f ca="1">_xll.BDH("RUB curncy","PX_LAST",$Q37)</f>
        <v>#NAME?</v>
      </c>
    </row>
    <row r="38" spans="2:18" x14ac:dyDescent="0.2">
      <c r="B38" s="46" t="s">
        <v>201</v>
      </c>
      <c r="C38" s="103" t="s">
        <v>65</v>
      </c>
      <c r="D38" s="73" t="s">
        <v>51</v>
      </c>
      <c r="E38" s="43" t="e">
        <f ca="1">F38*_xll.BDP(C38,"PX_LAST")</f>
        <v>#NAME?</v>
      </c>
      <c r="F38" s="43">
        <v>1500</v>
      </c>
      <c r="G38" s="43">
        <v>1500</v>
      </c>
      <c r="H38" s="47">
        <f t="shared" ref="H38:H39" si="22">G38/F38</f>
        <v>1</v>
      </c>
      <c r="I38" s="43">
        <f t="shared" ref="I38:I39" si="23">G38*K38</f>
        <v>2925000</v>
      </c>
      <c r="J38" s="45">
        <f t="shared" ref="J38:J39" si="24">G38*L38</f>
        <v>5287500</v>
      </c>
      <c r="K38" s="130">
        <v>1950</v>
      </c>
      <c r="L38" s="765">
        <v>3525</v>
      </c>
      <c r="M38" s="44">
        <f t="shared" ref="M38:M39" si="25">L38/K38-1</f>
        <v>0.80769230769230771</v>
      </c>
      <c r="N38" s="43">
        <f t="shared" ref="N38:N39" si="26">J38-I38</f>
        <v>2362500</v>
      </c>
      <c r="O38" s="106" t="e">
        <f ca="1">_xll.BDP($C38,"CRNCY")</f>
        <v>#NAME?</v>
      </c>
      <c r="P38" s="43" t="e">
        <f ca="1">N38/R38</f>
        <v>#NAME?</v>
      </c>
      <c r="Q38" s="14">
        <v>42690</v>
      </c>
      <c r="R38" s="22" t="e">
        <f ca="1">_xll.BDH("RUB curncy","PX_LAST",$Q38)</f>
        <v>#NAME?</v>
      </c>
    </row>
    <row r="39" spans="2:18" x14ac:dyDescent="0.2">
      <c r="B39" s="46" t="s">
        <v>170</v>
      </c>
      <c r="C39" s="103" t="s">
        <v>4</v>
      </c>
      <c r="D39" s="73" t="s">
        <v>51</v>
      </c>
      <c r="E39" s="43" t="e">
        <f ca="1">F39*_xll.BDP(C39,"PX_LAST")</f>
        <v>#NAME?</v>
      </c>
      <c r="F39" s="43">
        <v>11100</v>
      </c>
      <c r="G39" s="43">
        <v>11100</v>
      </c>
      <c r="H39" s="47">
        <f t="shared" si="22"/>
        <v>1</v>
      </c>
      <c r="I39" s="43">
        <f t="shared" si="23"/>
        <v>27750</v>
      </c>
      <c r="J39" s="45">
        <f t="shared" si="24"/>
        <v>31468.5</v>
      </c>
      <c r="K39" s="105">
        <v>2.5</v>
      </c>
      <c r="L39" s="105">
        <v>2.835</v>
      </c>
      <c r="M39" s="44">
        <f t="shared" si="25"/>
        <v>0.1339999999999999</v>
      </c>
      <c r="N39" s="43">
        <f t="shared" si="26"/>
        <v>3718.5</v>
      </c>
      <c r="O39" s="106" t="e">
        <f ca="1">_xll.BDP($C39,"CRNCY")</f>
        <v>#NAME?</v>
      </c>
      <c r="P39" s="43">
        <f t="shared" ref="P39" si="27">N39</f>
        <v>3718.5</v>
      </c>
      <c r="Q39" s="14">
        <v>42695</v>
      </c>
      <c r="R39" s="22" t="e">
        <f ca="1">_xll.BDH("RUB curncy","PX_LAST",$Q39)</f>
        <v>#NAME?</v>
      </c>
    </row>
    <row r="40" spans="2:18" x14ac:dyDescent="0.2">
      <c r="B40" s="41"/>
      <c r="C40" s="41"/>
      <c r="D40" s="42"/>
      <c r="G40" s="41"/>
      <c r="H40" s="41"/>
      <c r="I40" s="41"/>
      <c r="J40" s="41"/>
      <c r="K40" s="41"/>
      <c r="L40" s="41"/>
      <c r="N40" s="35" t="s">
        <v>94</v>
      </c>
      <c r="O40" s="34" t="s">
        <v>75</v>
      </c>
      <c r="P40" s="40" t="e">
        <f ca="1">SUM(P23:P39)</f>
        <v>#NAME?</v>
      </c>
    </row>
    <row r="41" spans="2:18" x14ac:dyDescent="0.2">
      <c r="B41" s="33"/>
      <c r="C41" s="33"/>
      <c r="D41" s="33"/>
      <c r="G41" s="33"/>
      <c r="H41" s="33"/>
      <c r="I41" s="33"/>
      <c r="J41" s="38"/>
      <c r="K41" s="37"/>
      <c r="L41" s="36"/>
      <c r="M41" s="35"/>
      <c r="N41" s="30"/>
      <c r="O41" s="30"/>
      <c r="P41" s="34"/>
      <c r="R41" s="39"/>
    </row>
    <row r="42" spans="2:18" x14ac:dyDescent="0.2">
      <c r="B42" s="33"/>
      <c r="C42" s="33"/>
      <c r="D42" s="33"/>
      <c r="E42" s="33"/>
      <c r="F42" s="33"/>
      <c r="G42" s="33"/>
      <c r="H42" s="38"/>
      <c r="I42" s="37"/>
      <c r="J42" s="36"/>
      <c r="K42" s="35"/>
      <c r="L42" s="30"/>
      <c r="M42" s="34"/>
      <c r="N42" s="33"/>
    </row>
    <row r="43" spans="2:18" x14ac:dyDescent="0.2">
      <c r="B43" s="32" t="s">
        <v>93</v>
      </c>
      <c r="C43" s="10"/>
      <c r="D43" s="31"/>
      <c r="H43" s="31"/>
      <c r="I43" s="10"/>
      <c r="J43" s="10"/>
      <c r="K43" s="29"/>
    </row>
    <row r="44" spans="2:18" ht="13.5" thickBot="1" x14ac:dyDescent="0.25">
      <c r="C44" s="29"/>
      <c r="D44" s="29"/>
      <c r="G44" s="29"/>
      <c r="H44" s="10"/>
      <c r="I44" s="30"/>
      <c r="J44" s="10"/>
      <c r="K44" s="29"/>
    </row>
    <row r="45" spans="2:18" ht="15" x14ac:dyDescent="0.35">
      <c r="B45" s="26"/>
      <c r="C45" s="26"/>
      <c r="D45" s="26"/>
      <c r="E45" s="26"/>
      <c r="F45" s="26"/>
      <c r="G45" s="26"/>
      <c r="H45" s="28" t="s">
        <v>92</v>
      </c>
      <c r="I45" s="27" t="s">
        <v>91</v>
      </c>
      <c r="J45" s="27" t="s">
        <v>90</v>
      </c>
      <c r="K45" s="27"/>
      <c r="L45" s="26"/>
      <c r="M45" s="26"/>
      <c r="N45" s="26"/>
    </row>
    <row r="46" spans="2:18" ht="15" x14ac:dyDescent="0.35">
      <c r="B46" s="23" t="s">
        <v>89</v>
      </c>
      <c r="C46" s="23" t="s">
        <v>88</v>
      </c>
      <c r="D46" s="23" t="s">
        <v>87</v>
      </c>
      <c r="E46" s="23" t="s">
        <v>86</v>
      </c>
      <c r="F46" s="23" t="s">
        <v>85</v>
      </c>
      <c r="G46" s="23" t="s">
        <v>84</v>
      </c>
      <c r="H46" s="25" t="s">
        <v>83</v>
      </c>
      <c r="I46" s="24" t="s">
        <v>83</v>
      </c>
      <c r="J46" s="24" t="s">
        <v>75</v>
      </c>
      <c r="K46" s="24" t="s">
        <v>73</v>
      </c>
      <c r="L46" s="23" t="s">
        <v>82</v>
      </c>
      <c r="M46" s="23" t="s">
        <v>81</v>
      </c>
      <c r="N46" s="23" t="s">
        <v>80</v>
      </c>
    </row>
    <row r="48" spans="2:18" x14ac:dyDescent="0.2">
      <c r="B48" s="21" t="s">
        <v>347</v>
      </c>
      <c r="C48" s="20" t="s">
        <v>65</v>
      </c>
      <c r="D48" s="18" t="e">
        <f ca="1">_xll.BDP(C48,"SECURITY_NAME")</f>
        <v>#NAME?</v>
      </c>
      <c r="E48" s="18" t="s">
        <v>50</v>
      </c>
      <c r="F48" s="19">
        <v>1500</v>
      </c>
      <c r="G48" s="18" t="e">
        <f ca="1">_xll.BDP(C48,"CRNCY")</f>
        <v>#NAME?</v>
      </c>
      <c r="H48" s="22">
        <v>1950</v>
      </c>
      <c r="I48" s="15">
        <f>F48*H48</f>
        <v>2925000</v>
      </c>
      <c r="J48" s="16" t="e">
        <f ca="1">I48/L48</f>
        <v>#NAME?</v>
      </c>
      <c r="K48" s="15" t="e">
        <f ca="1">J48*L48</f>
        <v>#NAME?</v>
      </c>
      <c r="L48" s="22" t="e">
        <f ca="1">_xll.BDH("RUB curncy","PX_LAST",$N48)</f>
        <v>#NAME?</v>
      </c>
      <c r="M48" s="85" t="e">
        <f ca="1">1/_xll.BDH("RUB curncy","PX_LAST",$N48)</f>
        <v>#NAME?</v>
      </c>
      <c r="N48" s="14">
        <v>42359</v>
      </c>
    </row>
    <row r="49" spans="2:14" x14ac:dyDescent="0.2">
      <c r="B49" s="71"/>
      <c r="C49" s="33"/>
      <c r="D49" s="73"/>
      <c r="E49" s="73"/>
      <c r="F49" s="79">
        <f>SUM(F48)</f>
        <v>1500</v>
      </c>
      <c r="G49" s="73"/>
      <c r="H49" s="80">
        <f>I49/F49</f>
        <v>1950</v>
      </c>
      <c r="I49" s="79">
        <f>SUM(I48)</f>
        <v>2925000</v>
      </c>
      <c r="J49" s="79" t="e">
        <f ca="1">SUM(J48)</f>
        <v>#NAME?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347</v>
      </c>
      <c r="C51" s="20" t="s">
        <v>253</v>
      </c>
      <c r="D51" s="18" t="e">
        <f ca="1">_xll.BDP(C51,"SECURITY_NAME")</f>
        <v>#NAME?</v>
      </c>
      <c r="E51" s="18" t="s">
        <v>50</v>
      </c>
      <c r="F51" s="19">
        <v>125000</v>
      </c>
      <c r="G51" s="18" t="e">
        <f ca="1">_xll.BDP(C51,"CRNCY")</f>
        <v>#NAME?</v>
      </c>
      <c r="H51" s="22" t="e">
        <f ca="1">_xll.BDH(C51,"PX_LAST",N51,)</f>
        <v>#NAME?</v>
      </c>
      <c r="I51" s="15" t="e">
        <f ca="1">F51*H51</f>
        <v>#NAME?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42359</v>
      </c>
    </row>
    <row r="52" spans="2:14" x14ac:dyDescent="0.2">
      <c r="B52" s="71"/>
      <c r="C52" s="33"/>
      <c r="D52" s="73"/>
      <c r="E52" s="73"/>
      <c r="F52" s="79">
        <f>SUM(F51)</f>
        <v>125000</v>
      </c>
      <c r="G52" s="73"/>
      <c r="H52" s="80" t="e">
        <f ca="1">I52/F52</f>
        <v>#NAME?</v>
      </c>
      <c r="I52" s="79" t="e">
        <f ca="1">SUM(I51)</f>
        <v>#NAME?</v>
      </c>
      <c r="J52" s="79" t="e">
        <f ca="1">SUM(J51)</f>
        <v>#NAME?</v>
      </c>
      <c r="K52" s="79" t="e">
        <f ca="1">SUM(K51)</f>
        <v>#NAME?</v>
      </c>
      <c r="L52" s="75"/>
      <c r="M52" s="86"/>
      <c r="N52" s="14"/>
    </row>
    <row r="53" spans="2:14" x14ac:dyDescent="0.2">
      <c r="B53" s="71"/>
      <c r="C53" s="33"/>
      <c r="D53" s="73"/>
      <c r="E53" s="73"/>
      <c r="F53" s="79"/>
      <c r="G53" s="73"/>
      <c r="H53" s="80"/>
      <c r="I53" s="79"/>
      <c r="J53" s="79"/>
      <c r="K53" s="79"/>
      <c r="L53" s="75"/>
      <c r="M53" s="86"/>
      <c r="N53" s="14"/>
    </row>
    <row r="54" spans="2:14" x14ac:dyDescent="0.2">
      <c r="B54" s="21" t="s">
        <v>347</v>
      </c>
      <c r="C54" s="20" t="s">
        <v>72</v>
      </c>
      <c r="D54" s="18" t="e">
        <f ca="1">_xll.BDP(C54,"SECURITY_NAME")</f>
        <v>#NAME?</v>
      </c>
      <c r="E54" s="18" t="s">
        <v>50</v>
      </c>
      <c r="F54" s="19">
        <v>64000</v>
      </c>
      <c r="G54" s="18" t="e">
        <f ca="1">_xll.BDP(C54,"CRNCY")</f>
        <v>#NAME?</v>
      </c>
      <c r="H54" s="22">
        <v>57.491799999999998</v>
      </c>
      <c r="I54" s="15">
        <f>F54*H54</f>
        <v>3679475.1999999997</v>
      </c>
      <c r="J54" s="16" t="e">
        <f ca="1">I54/L54</f>
        <v>#NAME?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42359</v>
      </c>
    </row>
    <row r="55" spans="2:14" x14ac:dyDescent="0.2">
      <c r="B55" s="71"/>
      <c r="C55" s="33"/>
      <c r="D55" s="73"/>
      <c r="E55" s="73"/>
      <c r="F55" s="79">
        <f>SUM(F54)</f>
        <v>64000</v>
      </c>
      <c r="G55" s="73"/>
      <c r="H55" s="80">
        <f>I55/F55</f>
        <v>57.491799999999998</v>
      </c>
      <c r="I55" s="79">
        <f>SUM(I54)</f>
        <v>3679475.1999999997</v>
      </c>
      <c r="J55" s="79" t="e">
        <f ca="1">SUM(J54)</f>
        <v>#NAME?</v>
      </c>
      <c r="K55" s="79" t="e">
        <f ca="1">SUM(K54)</f>
        <v>#NAME?</v>
      </c>
      <c r="L55" s="75"/>
      <c r="M55" s="86"/>
      <c r="N55" s="14"/>
    </row>
    <row r="56" spans="2:14" x14ac:dyDescent="0.2">
      <c r="B56" s="71"/>
      <c r="C56" s="33"/>
      <c r="D56" s="73"/>
      <c r="E56" s="73"/>
      <c r="F56" s="79"/>
      <c r="G56" s="73"/>
      <c r="H56" s="80"/>
      <c r="I56" s="79"/>
      <c r="J56" s="79"/>
      <c r="K56" s="79"/>
      <c r="L56" s="75"/>
      <c r="M56" s="86"/>
      <c r="N56" s="14"/>
    </row>
    <row r="57" spans="2:14" x14ac:dyDescent="0.2">
      <c r="B57" s="21" t="s">
        <v>347</v>
      </c>
      <c r="C57" s="20" t="s">
        <v>134</v>
      </c>
      <c r="D57" s="18" t="e">
        <f ca="1">_xll.BDP(C57,"SECURITY_NAME")</f>
        <v>#NAME?</v>
      </c>
      <c r="E57" s="18" t="s">
        <v>50</v>
      </c>
      <c r="F57" s="19">
        <v>4651</v>
      </c>
      <c r="G57" s="18" t="e">
        <f ca="1">_xll.BDP(C57,"CRNCY")</f>
        <v>#NAME?</v>
      </c>
      <c r="H57" s="22">
        <v>0.5</v>
      </c>
      <c r="I57" s="15">
        <f>F57*H57</f>
        <v>2325.5</v>
      </c>
      <c r="J57" s="16" t="e">
        <f ca="1">I57*L57</f>
        <v>#NAME?</v>
      </c>
      <c r="K57" s="15" t="e">
        <f ca="1">J57*M57</f>
        <v>#NAME?</v>
      </c>
      <c r="L57" s="22" t="e">
        <f ca="1">_xll.BDH("GBP curncy","PX_LAST",$N57)</f>
        <v>#NAME?</v>
      </c>
      <c r="M57" s="85" t="e">
        <f ca="1">_xll.BDH("RUB curncy","PX_LAST",$N57)</f>
        <v>#NAME?</v>
      </c>
      <c r="N57" s="14">
        <v>42355</v>
      </c>
    </row>
    <row r="58" spans="2:14" x14ac:dyDescent="0.2">
      <c r="B58" s="21" t="s">
        <v>347</v>
      </c>
      <c r="C58" s="20" t="s">
        <v>134</v>
      </c>
      <c r="D58" s="18" t="e">
        <f ca="1">_xll.BDP(C58,"SECURITY_NAME")</f>
        <v>#NAME?</v>
      </c>
      <c r="E58" s="18" t="s">
        <v>50</v>
      </c>
      <c r="F58" s="19">
        <v>29000</v>
      </c>
      <c r="G58" s="18" t="e">
        <f ca="1">_xll.BDP(C58,"CRNCY")</f>
        <v>#NAME?</v>
      </c>
      <c r="H58" s="22">
        <v>0.44</v>
      </c>
      <c r="I58" s="15">
        <f>F58*H58</f>
        <v>12760</v>
      </c>
      <c r="J58" s="16" t="e">
        <f ca="1">I58*L58</f>
        <v>#NAME?</v>
      </c>
      <c r="K58" s="15" t="e">
        <f ca="1">J58*M58</f>
        <v>#NAME?</v>
      </c>
      <c r="L58" s="22" t="e">
        <f ca="1">_xll.BDH("GBP curncy","PX_LAST",$N58)</f>
        <v>#NAME?</v>
      </c>
      <c r="M58" s="85" t="e">
        <f ca="1">_xll.BDH("RUB curncy","PX_LAST",$N58)</f>
        <v>#NAME?</v>
      </c>
      <c r="N58" s="14">
        <v>42222</v>
      </c>
    </row>
    <row r="59" spans="2:14" x14ac:dyDescent="0.2">
      <c r="B59" s="71"/>
      <c r="C59" s="33"/>
      <c r="D59" s="73"/>
      <c r="E59" s="73"/>
      <c r="F59" s="79">
        <f>SUM(F57:F58)</f>
        <v>33651</v>
      </c>
      <c r="G59" s="73"/>
      <c r="H59" s="80">
        <f>I59/F59</f>
        <v>0.44829276990282607</v>
      </c>
      <c r="I59" s="79">
        <f>SUM(I57:I58)</f>
        <v>15085.5</v>
      </c>
      <c r="J59" s="79" t="e">
        <f ca="1">SUM(J57:J58)</f>
        <v>#NAME?</v>
      </c>
      <c r="K59" s="79" t="e">
        <f ca="1">SUM(K57:K58)</f>
        <v>#NAME?</v>
      </c>
      <c r="L59" s="75"/>
      <c r="M59" s="86"/>
      <c r="N59" s="14"/>
    </row>
    <row r="61" spans="2:14" x14ac:dyDescent="0.2">
      <c r="B61" s="21" t="s">
        <v>347</v>
      </c>
      <c r="C61" s="20" t="s">
        <v>71</v>
      </c>
      <c r="D61" s="18" t="e">
        <f ca="1">_xll.BDP(C61,"SECURITY_NAME")</f>
        <v>#NAME?</v>
      </c>
      <c r="E61" s="18" t="s">
        <v>50</v>
      </c>
      <c r="F61" s="19">
        <v>2987</v>
      </c>
      <c r="G61" s="18" t="e">
        <f ca="1">_xll.BDP(C61,"CRNCY")</f>
        <v>#NAME?</v>
      </c>
      <c r="H61" s="22">
        <v>4.556</v>
      </c>
      <c r="I61" s="15">
        <f>F61*H61</f>
        <v>13608.772000000001</v>
      </c>
      <c r="J61" s="16" t="e">
        <f ca="1">I61*L61</f>
        <v>#NAME?</v>
      </c>
      <c r="K61" s="15" t="e">
        <f ca="1">J61*M61</f>
        <v>#NAME?</v>
      </c>
      <c r="L61" s="22" t="e">
        <f ca="1">_xll.BDH("GBP curncy","PX_LAST",$N61)</f>
        <v>#NAME?</v>
      </c>
      <c r="M61" s="85" t="e">
        <f ca="1">_xll.BDH("RUB curncy","PX_LAST",$N61)</f>
        <v>#NAME?</v>
      </c>
      <c r="N61" s="14">
        <v>42226</v>
      </c>
    </row>
    <row r="62" spans="2:14" x14ac:dyDescent="0.2">
      <c r="B62" s="21" t="s">
        <v>347</v>
      </c>
      <c r="C62" s="20" t="s">
        <v>71</v>
      </c>
      <c r="D62" s="18" t="e">
        <f ca="1">_xll.BDP(C62,"SECURITY_NAME")</f>
        <v>#NAME?</v>
      </c>
      <c r="E62" s="18" t="s">
        <v>50</v>
      </c>
      <c r="F62" s="19">
        <v>3350</v>
      </c>
      <c r="G62" s="18" t="e">
        <f ca="1">_xll.BDP(C62,"CRNCY")</f>
        <v>#NAME?</v>
      </c>
      <c r="H62" s="22">
        <v>5.375</v>
      </c>
      <c r="I62" s="15">
        <f>F62*H62</f>
        <v>18006.25</v>
      </c>
      <c r="J62" s="16" t="e">
        <f ca="1">I62*L62</f>
        <v>#NAME?</v>
      </c>
      <c r="K62" s="15" t="e">
        <f ca="1">J62*M62</f>
        <v>#NAME?</v>
      </c>
      <c r="L62" s="22" t="e">
        <f ca="1">_xll.BDH("GBP curncy","PX_LAST",$N62)</f>
        <v>#NAME?</v>
      </c>
      <c r="M62" s="85" t="e">
        <f ca="1">_xll.BDH("RUB curncy","PX_LAST",$N62)</f>
        <v>#NAME?</v>
      </c>
      <c r="N62" s="14">
        <v>42123</v>
      </c>
    </row>
    <row r="63" spans="2:14" x14ac:dyDescent="0.2">
      <c r="B63" s="71"/>
      <c r="C63" s="33"/>
      <c r="D63" s="73"/>
      <c r="E63" s="73"/>
      <c r="F63" s="79">
        <f>SUM(F61:F62)</f>
        <v>6337</v>
      </c>
      <c r="G63" s="73"/>
      <c r="H63" s="80">
        <f>I63/F63</f>
        <v>4.9889572352848353</v>
      </c>
      <c r="I63" s="79">
        <f>SUM(I61:I62)</f>
        <v>31615.022000000001</v>
      </c>
      <c r="J63" s="79" t="e">
        <f ca="1">SUM(J61:J62)</f>
        <v>#NAME?</v>
      </c>
      <c r="K63" s="79" t="e">
        <f ca="1">SUM(K61:K62)</f>
        <v>#NAME?</v>
      </c>
      <c r="L63" s="75"/>
      <c r="M63" s="86"/>
      <c r="N63" s="14"/>
    </row>
    <row r="65" spans="2:14" x14ac:dyDescent="0.2">
      <c r="B65" s="21" t="s">
        <v>347</v>
      </c>
      <c r="C65" s="20" t="s">
        <v>334</v>
      </c>
      <c r="D65" s="18" t="e">
        <f ca="1">_xll.BDP(C65,"SECURITY_NAME")</f>
        <v>#NAME?</v>
      </c>
      <c r="E65" s="18" t="s">
        <v>50</v>
      </c>
      <c r="F65" s="19">
        <v>7100</v>
      </c>
      <c r="G65" s="18" t="e">
        <f ca="1">_xll.BDP(C65,"CRNCY")</f>
        <v>#NAME?</v>
      </c>
      <c r="H65" s="22">
        <v>219</v>
      </c>
      <c r="I65" s="15">
        <f>F65*H65</f>
        <v>1554900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42359</v>
      </c>
    </row>
    <row r="66" spans="2:14" x14ac:dyDescent="0.2">
      <c r="B66" s="21" t="s">
        <v>347</v>
      </c>
      <c r="C66" s="20" t="s">
        <v>334</v>
      </c>
      <c r="D66" s="18" t="e">
        <f ca="1">_xll.BDP(C66,"SECURITY_NAME")</f>
        <v>#NAME?</v>
      </c>
      <c r="E66" s="18" t="s">
        <v>50</v>
      </c>
      <c r="F66" s="19">
        <v>6300</v>
      </c>
      <c r="G66" s="18" t="e">
        <f ca="1">_xll.BDP(C66,"CRNCY")</f>
        <v>#NAME?</v>
      </c>
      <c r="H66" s="22">
        <v>242.3</v>
      </c>
      <c r="I66" s="15">
        <f>F66*H66</f>
        <v>1526490</v>
      </c>
      <c r="J66" s="16" t="e">
        <f ca="1">I66/L66</f>
        <v>#NAME?</v>
      </c>
      <c r="K66" s="15" t="e">
        <f ca="1">J66*L66</f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42319</v>
      </c>
    </row>
    <row r="67" spans="2:14" x14ac:dyDescent="0.2">
      <c r="B67" s="21" t="s">
        <v>347</v>
      </c>
      <c r="C67" s="20" t="s">
        <v>334</v>
      </c>
      <c r="D67" s="18" t="e">
        <f ca="1">_xll.BDP(C67,"SECURITY_NAME")</f>
        <v>#NAME?</v>
      </c>
      <c r="E67" s="18" t="s">
        <v>50</v>
      </c>
      <c r="F67" s="19">
        <v>3600</v>
      </c>
      <c r="G67" s="18" t="e">
        <f ca="1">_xll.BDP(C67,"CRNCY")</f>
        <v>#NAME?</v>
      </c>
      <c r="H67" s="22">
        <v>313</v>
      </c>
      <c r="I67" s="15">
        <f>F67*H67</f>
        <v>1126800</v>
      </c>
      <c r="J67" s="16" t="e">
        <f ca="1">I67/L67</f>
        <v>#NAME?</v>
      </c>
      <c r="K67" s="15" t="e">
        <f ca="1">J67*L67</f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42124</v>
      </c>
    </row>
    <row r="68" spans="2:14" x14ac:dyDescent="0.2">
      <c r="B68" s="71"/>
      <c r="C68" s="33"/>
      <c r="D68" s="73"/>
      <c r="E68" s="73"/>
      <c r="F68" s="79">
        <f>SUM(F65:F67)</f>
        <v>17000</v>
      </c>
      <c r="G68" s="73"/>
      <c r="H68" s="80">
        <f>I68/F68</f>
        <v>247.54058823529411</v>
      </c>
      <c r="I68" s="79">
        <f>SUM(I65:I67)</f>
        <v>4208190</v>
      </c>
      <c r="J68" s="79" t="e">
        <f ca="1">SUM(J65:J67)</f>
        <v>#NAME?</v>
      </c>
      <c r="K68" s="79" t="e">
        <f ca="1">SUM(K65:K67)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347</v>
      </c>
      <c r="C70" s="20" t="s">
        <v>359</v>
      </c>
      <c r="D70" s="18" t="e">
        <f ca="1">_xll.BDP(C70,"SECURITY_NAME")</f>
        <v>#NAME?</v>
      </c>
      <c r="E70" s="18" t="s">
        <v>50</v>
      </c>
      <c r="F70" s="19">
        <v>2400</v>
      </c>
      <c r="G70" s="18" t="e">
        <f ca="1">_xll.BDP(C70,"CRNCY")</f>
        <v>#NAME?</v>
      </c>
      <c r="H70" s="22">
        <v>13.2926</v>
      </c>
      <c r="I70" s="15">
        <f>F70*H70</f>
        <v>31902.240000000002</v>
      </c>
      <c r="J70" s="16">
        <f>I70</f>
        <v>31902.240000000002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42355</v>
      </c>
    </row>
    <row r="71" spans="2:14" x14ac:dyDescent="0.2">
      <c r="B71" s="21" t="s">
        <v>347</v>
      </c>
      <c r="C71" s="20" t="s">
        <v>359</v>
      </c>
      <c r="D71" s="18" t="e">
        <f ca="1">_xll.BDP(C71,"SECURITY_NAME")</f>
        <v>#NAME?</v>
      </c>
      <c r="E71" s="18" t="s">
        <v>50</v>
      </c>
      <c r="F71" s="19">
        <v>1572</v>
      </c>
      <c r="G71" s="18" t="e">
        <f ca="1">_xll.BDP(C71,"CRNCY")</f>
        <v>#NAME?</v>
      </c>
      <c r="H71" s="22">
        <v>15.9</v>
      </c>
      <c r="I71" s="15">
        <f>F71*H71</f>
        <v>24994.799999999999</v>
      </c>
      <c r="J71" s="16">
        <f>I71</f>
        <v>24994.799999999999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42194</v>
      </c>
    </row>
    <row r="72" spans="2:14" x14ac:dyDescent="0.2">
      <c r="B72" s="71"/>
      <c r="C72" s="72"/>
      <c r="D72" s="73"/>
      <c r="E72" s="73"/>
      <c r="F72" s="79">
        <f>SUM(F70:F71)</f>
        <v>3972</v>
      </c>
      <c r="G72" s="87"/>
      <c r="H72" s="99">
        <f>I72/F72</f>
        <v>14.324531722054381</v>
      </c>
      <c r="I72" s="79">
        <f>SUM(I70:I71)</f>
        <v>56897.04</v>
      </c>
      <c r="J72" s="79">
        <f>SUM(J70:J71)</f>
        <v>56897.04</v>
      </c>
      <c r="K72" s="79" t="e">
        <f ca="1">SUM(K70:K71)</f>
        <v>#NAME?</v>
      </c>
      <c r="L72" s="75"/>
      <c r="M72" s="86"/>
      <c r="N72" s="14"/>
    </row>
    <row r="73" spans="2:14" x14ac:dyDescent="0.2">
      <c r="B73" s="71"/>
      <c r="C73" s="33"/>
      <c r="D73" s="73"/>
      <c r="E73" s="73"/>
      <c r="F73" s="79"/>
      <c r="G73" s="73"/>
      <c r="H73" s="80"/>
      <c r="I73" s="79"/>
      <c r="J73" s="79"/>
      <c r="K73" s="79"/>
      <c r="L73" s="75"/>
      <c r="M73" s="86"/>
      <c r="N73" s="14"/>
    </row>
    <row r="74" spans="2:14" x14ac:dyDescent="0.2">
      <c r="B74" s="21" t="s">
        <v>347</v>
      </c>
      <c r="C74" s="20" t="s">
        <v>342</v>
      </c>
      <c r="D74" s="18" t="e">
        <f ca="1">_xll.BDP(C74,"SECURITY_NAME")</f>
        <v>#NAME?</v>
      </c>
      <c r="E74" s="18" t="s">
        <v>50</v>
      </c>
      <c r="F74" s="19">
        <v>2290</v>
      </c>
      <c r="G74" s="18" t="e">
        <f ca="1">_xll.BDP(C74,"CRNCY")</f>
        <v>#NAME?</v>
      </c>
      <c r="H74" s="22">
        <v>12</v>
      </c>
      <c r="I74" s="15">
        <f>F74*H74</f>
        <v>27480</v>
      </c>
      <c r="J74" s="16">
        <f>I74</f>
        <v>27480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42160</v>
      </c>
    </row>
    <row r="75" spans="2:14" x14ac:dyDescent="0.2">
      <c r="B75" s="21" t="s">
        <v>347</v>
      </c>
      <c r="C75" s="20" t="s">
        <v>342</v>
      </c>
      <c r="D75" s="18" t="e">
        <f ca="1">_xll.BDP(C75,"SECURITY_NAME")</f>
        <v>#NAME?</v>
      </c>
      <c r="E75" s="18" t="s">
        <v>50</v>
      </c>
      <c r="F75" s="19">
        <v>2000</v>
      </c>
      <c r="G75" s="18" t="e">
        <f ca="1">_xll.BDP(C75,"CRNCY")</f>
        <v>#NAME?</v>
      </c>
      <c r="H75" s="22" t="e">
        <f ca="1">_xll.BDH(C75,"PX_LAST",N75)</f>
        <v>#NAME?</v>
      </c>
      <c r="I75" s="15" t="e">
        <f ca="1">F75*H75</f>
        <v>#NAME?</v>
      </c>
      <c r="J75" s="16" t="e">
        <f ca="1">I75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42123</v>
      </c>
    </row>
    <row r="76" spans="2:14" x14ac:dyDescent="0.2">
      <c r="B76" s="71"/>
      <c r="C76" s="72"/>
      <c r="D76" s="73"/>
      <c r="E76" s="73"/>
      <c r="F76" s="79">
        <f>SUM(F74:F75)</f>
        <v>4290</v>
      </c>
      <c r="G76" s="87"/>
      <c r="H76" s="99" t="e">
        <f ca="1">I76/F76</f>
        <v>#NAME?</v>
      </c>
      <c r="I76" s="79" t="e">
        <f ca="1">SUM(I74:I75)</f>
        <v>#NAME?</v>
      </c>
      <c r="J76" s="79" t="e">
        <f ca="1">SUM(J74:J75)</f>
        <v>#NAME?</v>
      </c>
      <c r="K76" s="79" t="e">
        <f ca="1">SUM(K74:K75)</f>
        <v>#NAME?</v>
      </c>
      <c r="L76" s="75"/>
      <c r="M76" s="86"/>
      <c r="N76" s="14"/>
    </row>
    <row r="77" spans="2:14" x14ac:dyDescent="0.2">
      <c r="B77" s="71"/>
      <c r="C77" s="72"/>
      <c r="D77" s="73"/>
      <c r="E77" s="73"/>
      <c r="F77" s="79"/>
      <c r="G77" s="87"/>
      <c r="H77" s="99"/>
      <c r="I77" s="79"/>
      <c r="J77" s="79"/>
      <c r="K77" s="79"/>
      <c r="L77" s="75"/>
      <c r="M77" s="86"/>
      <c r="N77" s="14"/>
    </row>
    <row r="78" spans="2:14" x14ac:dyDescent="0.2">
      <c r="B78" s="21" t="s">
        <v>347</v>
      </c>
      <c r="C78" s="20" t="s">
        <v>4</v>
      </c>
      <c r="D78" s="18" t="e">
        <f ca="1">_xll.BDP(C78,"SECURITY_NAME")</f>
        <v>#NAME?</v>
      </c>
      <c r="E78" s="18" t="s">
        <v>50</v>
      </c>
      <c r="F78" s="19">
        <v>11100</v>
      </c>
      <c r="G78" s="18" t="e">
        <f ca="1">_xll.BDP(C78,"CRNCY")</f>
        <v>#NAME?</v>
      </c>
      <c r="H78" s="22">
        <v>2.5</v>
      </c>
      <c r="I78" s="15">
        <f>F78*H78</f>
        <v>27750</v>
      </c>
      <c r="J78" s="16">
        <f>I78</f>
        <v>27750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42139</v>
      </c>
    </row>
    <row r="79" spans="2:14" x14ac:dyDescent="0.2">
      <c r="B79" s="71"/>
      <c r="C79" s="72"/>
      <c r="D79" s="73"/>
      <c r="E79" s="73"/>
      <c r="F79" s="79">
        <f>SUM(F78)</f>
        <v>11100</v>
      </c>
      <c r="G79" s="87"/>
      <c r="H79" s="99">
        <f>I79/F79</f>
        <v>2.5</v>
      </c>
      <c r="I79" s="79">
        <f>SUM(I78)</f>
        <v>27750</v>
      </c>
      <c r="J79" s="79">
        <f>SUM(J78)</f>
        <v>27750</v>
      </c>
      <c r="K79" s="79" t="e">
        <f ca="1">SUM(K78)</f>
        <v>#NAME?</v>
      </c>
      <c r="L79" s="75"/>
      <c r="M79" s="86"/>
      <c r="N79" s="14"/>
    </row>
    <row r="80" spans="2:14" x14ac:dyDescent="0.2">
      <c r="B80" s="71"/>
      <c r="C80" s="72"/>
      <c r="D80" s="73"/>
      <c r="E80" s="73"/>
      <c r="F80" s="79"/>
      <c r="G80" s="87"/>
      <c r="H80" s="99"/>
      <c r="I80" s="79"/>
      <c r="J80" s="79"/>
      <c r="K80" s="79"/>
      <c r="L80" s="75"/>
      <c r="M80" s="86"/>
      <c r="N80" s="14"/>
    </row>
    <row r="81" spans="2:14" x14ac:dyDescent="0.2">
      <c r="B81" s="21" t="s">
        <v>347</v>
      </c>
      <c r="C81" s="20" t="s">
        <v>66</v>
      </c>
      <c r="D81" s="18" t="e">
        <f ca="1">_xll.BDP(C81,"SECURITY_NAME")</f>
        <v>#NAME?</v>
      </c>
      <c r="E81" s="18" t="s">
        <v>50</v>
      </c>
      <c r="F81" s="19">
        <v>2600</v>
      </c>
      <c r="G81" s="18" t="e">
        <f ca="1">_xll.BDP(C81,"CRNCY")</f>
        <v>#NAME?</v>
      </c>
      <c r="H81" s="22">
        <v>11.1</v>
      </c>
      <c r="I81" s="15">
        <f>F81*H81</f>
        <v>28860</v>
      </c>
      <c r="J81" s="16">
        <f>I81</f>
        <v>28860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42152</v>
      </c>
    </row>
    <row r="82" spans="2:14" x14ac:dyDescent="0.2">
      <c r="B82" s="71"/>
      <c r="C82" s="72"/>
      <c r="D82" s="73"/>
      <c r="E82" s="73"/>
      <c r="F82" s="79">
        <f>SUM(F81:F81)</f>
        <v>2600</v>
      </c>
      <c r="G82" s="87"/>
      <c r="H82" s="99">
        <f>I82/F82</f>
        <v>11.1</v>
      </c>
      <c r="I82" s="79">
        <f>SUM(I81:I81)</f>
        <v>28860</v>
      </c>
      <c r="J82" s="79">
        <f>SUM(J81:J81)</f>
        <v>28860</v>
      </c>
      <c r="K82" s="79" t="e">
        <f ca="1">SUM(K81:K81)</f>
        <v>#NAME?</v>
      </c>
      <c r="L82" s="75"/>
      <c r="M82" s="86"/>
      <c r="N82" s="14"/>
    </row>
    <row r="84" spans="2:14" x14ac:dyDescent="0.2">
      <c r="B84" s="21" t="s">
        <v>347</v>
      </c>
      <c r="C84" s="20" t="s">
        <v>42</v>
      </c>
      <c r="D84" s="18" t="e">
        <f ca="1">_xll.BDP(C84,"SECURITY_NAME")</f>
        <v>#NAME?</v>
      </c>
      <c r="E84" s="18" t="s">
        <v>50</v>
      </c>
      <c r="F84" s="19">
        <v>7240</v>
      </c>
      <c r="G84" s="18" t="e">
        <f ca="1">_xll.BDP(C84,"CRNCY")</f>
        <v>#NAME?</v>
      </c>
      <c r="H84" s="22">
        <v>3.4986999999999999</v>
      </c>
      <c r="I84" s="15">
        <f>F84*H84</f>
        <v>25330.588</v>
      </c>
      <c r="J84" s="16">
        <f>I84</f>
        <v>25330.588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42319</v>
      </c>
    </row>
    <row r="85" spans="2:14" x14ac:dyDescent="0.2">
      <c r="B85" s="71"/>
      <c r="C85" s="72"/>
      <c r="D85" s="73"/>
      <c r="E85" s="73"/>
      <c r="F85" s="79">
        <f>SUM(F84:F84)</f>
        <v>7240</v>
      </c>
      <c r="G85" s="87"/>
      <c r="H85" s="99">
        <f>I85/F85</f>
        <v>3.4986999999999999</v>
      </c>
      <c r="I85" s="79">
        <f>SUM(I84:I84)</f>
        <v>25330.588</v>
      </c>
      <c r="J85" s="79">
        <f>SUM(J84:J84)</f>
        <v>25330.588</v>
      </c>
      <c r="K85" s="79" t="e">
        <f ca="1">SUM(K84:K84)</f>
        <v>#NAME?</v>
      </c>
      <c r="L85" s="75"/>
      <c r="M85" s="86"/>
      <c r="N85" s="14"/>
    </row>
    <row r="86" spans="2:14" x14ac:dyDescent="0.2">
      <c r="H86" s="10"/>
    </row>
    <row r="87" spans="2:14" x14ac:dyDescent="0.2">
      <c r="B87" s="21" t="s">
        <v>347</v>
      </c>
      <c r="C87" s="20" t="s">
        <v>18</v>
      </c>
      <c r="D87" s="18" t="e">
        <f ca="1">_xll.BDP(C87,"SECURITY_NAME")</f>
        <v>#NAME?</v>
      </c>
      <c r="E87" s="18" t="s">
        <v>50</v>
      </c>
      <c r="F87" s="19">
        <v>8550</v>
      </c>
      <c r="G87" s="18" t="e">
        <f ca="1">_xll.BDP(C87,"CRNCY")</f>
        <v>#NAME?</v>
      </c>
      <c r="H87" s="22">
        <v>195</v>
      </c>
      <c r="I87" s="15">
        <f>F87*H87</f>
        <v>1667250</v>
      </c>
      <c r="J87" s="16" t="e">
        <f ca="1">I87/L87</f>
        <v>#NAME?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42319</v>
      </c>
    </row>
    <row r="88" spans="2:14" x14ac:dyDescent="0.2">
      <c r="B88" s="71"/>
      <c r="C88" s="33"/>
      <c r="D88" s="73"/>
      <c r="E88" s="73"/>
      <c r="F88" s="79">
        <f>SUM(F87)</f>
        <v>8550</v>
      </c>
      <c r="G88" s="73"/>
      <c r="H88" s="80">
        <f>I88/F88</f>
        <v>195</v>
      </c>
      <c r="I88" s="79">
        <f>SUM(I87)</f>
        <v>1667250</v>
      </c>
      <c r="J88" s="79" t="e">
        <f ca="1">SUM(J87)</f>
        <v>#NAME?</v>
      </c>
      <c r="K88" s="79" t="e">
        <f ca="1">SUM(K87)</f>
        <v>#NAME?</v>
      </c>
      <c r="L88" s="75"/>
      <c r="M88" s="86"/>
      <c r="N88" s="14"/>
    </row>
    <row r="89" spans="2:14" x14ac:dyDescent="0.2">
      <c r="H89" s="10"/>
    </row>
    <row r="90" spans="2:14" x14ac:dyDescent="0.2">
      <c r="B90" s="21" t="s">
        <v>347</v>
      </c>
      <c r="C90" s="20" t="s">
        <v>2</v>
      </c>
      <c r="D90" s="18" t="e">
        <f ca="1">_xll.BDP(C90,"SECURITY_NAME")</f>
        <v>#NAME?</v>
      </c>
      <c r="E90" s="18" t="s">
        <v>50</v>
      </c>
      <c r="F90" s="19">
        <v>2000</v>
      </c>
      <c r="G90" s="18" t="e">
        <f ca="1">_xll.BDP(C90,"CRNCY")</f>
        <v>#NAME?</v>
      </c>
      <c r="H90" s="22">
        <v>845</v>
      </c>
      <c r="I90" s="15">
        <f>F90*H90</f>
        <v>1690000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42319</v>
      </c>
    </row>
    <row r="91" spans="2:14" x14ac:dyDescent="0.2">
      <c r="B91" s="71"/>
      <c r="C91" s="33"/>
      <c r="D91" s="73"/>
      <c r="E91" s="73"/>
      <c r="F91" s="79">
        <f>SUM(F90)</f>
        <v>2000</v>
      </c>
      <c r="G91" s="73"/>
      <c r="H91" s="80">
        <f>I91/F91</f>
        <v>845</v>
      </c>
      <c r="I91" s="79">
        <f>SUM(I90)</f>
        <v>1690000</v>
      </c>
      <c r="J91" s="79" t="e">
        <f ca="1">SUM(J90)</f>
        <v>#NAME?</v>
      </c>
      <c r="K91" s="79" t="e">
        <f ca="1">SUM(K90)</f>
        <v>#NAME?</v>
      </c>
      <c r="L91" s="75"/>
      <c r="M91" s="86"/>
      <c r="N91" s="14"/>
    </row>
    <row r="92" spans="2:14" x14ac:dyDescent="0.2">
      <c r="B92" s="71"/>
      <c r="C92" s="33"/>
      <c r="D92" s="73"/>
      <c r="E92" s="73"/>
      <c r="F92" s="79"/>
      <c r="G92" s="73"/>
      <c r="H92" s="80"/>
      <c r="I92" s="79"/>
      <c r="J92" s="79"/>
      <c r="K92" s="79"/>
      <c r="L92" s="75"/>
      <c r="M92" s="86"/>
      <c r="N92" s="14"/>
    </row>
    <row r="93" spans="2:14" x14ac:dyDescent="0.2">
      <c r="B93" s="21" t="s">
        <v>347</v>
      </c>
      <c r="C93" s="20" t="s">
        <v>62</v>
      </c>
      <c r="D93" s="18" t="e">
        <f ca="1">_xll.BDP(C93,"SECURITY_NAME")</f>
        <v>#NAME?</v>
      </c>
      <c r="E93" s="18" t="s">
        <v>50</v>
      </c>
      <c r="F93" s="19">
        <v>7600</v>
      </c>
      <c r="G93" s="18" t="e">
        <f ca="1">_xll.BDP(C93,"CRNCY")</f>
        <v>#NAME?</v>
      </c>
      <c r="H93" s="22">
        <v>3.8</v>
      </c>
      <c r="I93" s="15">
        <f>F93*H93</f>
        <v>28880</v>
      </c>
      <c r="J93" s="16">
        <f>I93</f>
        <v>28880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42355</v>
      </c>
    </row>
    <row r="94" spans="2:14" x14ac:dyDescent="0.2">
      <c r="B94" s="21" t="s">
        <v>347</v>
      </c>
      <c r="C94" s="20" t="s">
        <v>62</v>
      </c>
      <c r="D94" s="18" t="e">
        <f ca="1">_xll.BDP(C94,"SECURITY_NAME")</f>
        <v>#NAME?</v>
      </c>
      <c r="E94" s="18" t="s">
        <v>50</v>
      </c>
      <c r="F94" s="19">
        <v>6235</v>
      </c>
      <c r="G94" s="18" t="e">
        <f ca="1">_xll.BDP(C94,"CRNCY")</f>
        <v>#NAME?</v>
      </c>
      <c r="H94" s="22">
        <v>4.1719999999999997</v>
      </c>
      <c r="I94" s="15">
        <f>F94*H94</f>
        <v>26012.42</v>
      </c>
      <c r="J94" s="16">
        <f>I94</f>
        <v>26012.42</v>
      </c>
      <c r="K94" s="15" t="e">
        <f ca="1">J94*L94</f>
        <v>#NAME?</v>
      </c>
      <c r="L94" s="22" t="e">
        <f ca="1">_xll.BDH("RUB curncy","PX_LAST",$N94)</f>
        <v>#NAME?</v>
      </c>
      <c r="M94" s="85" t="e">
        <f ca="1">1/_xll.BDH("RUB curncy","PX_LAST",$N94)</f>
        <v>#NAME?</v>
      </c>
      <c r="N94" s="14">
        <v>42319</v>
      </c>
    </row>
    <row r="95" spans="2:14" x14ac:dyDescent="0.2">
      <c r="B95" s="71"/>
      <c r="C95" s="72"/>
      <c r="D95" s="73"/>
      <c r="E95" s="73"/>
      <c r="F95" s="79">
        <f>SUM(F93:F94)</f>
        <v>13835</v>
      </c>
      <c r="G95" s="87"/>
      <c r="H95" s="99">
        <f>I95/F95</f>
        <v>3.9676487170220454</v>
      </c>
      <c r="I95" s="79">
        <f>SUM(I93:I94)</f>
        <v>54892.42</v>
      </c>
      <c r="J95" s="79">
        <f>SUM(J93:J94)</f>
        <v>54892.42</v>
      </c>
      <c r="K95" s="79" t="e">
        <f ca="1">SUM(K93:K94)</f>
        <v>#NAME?</v>
      </c>
      <c r="L95" s="75"/>
      <c r="M95" s="86"/>
      <c r="N95" s="14"/>
    </row>
    <row r="97" spans="2:14" x14ac:dyDescent="0.2">
      <c r="B97" s="21" t="s">
        <v>347</v>
      </c>
      <c r="C97" s="20" t="s">
        <v>64</v>
      </c>
      <c r="D97" s="18" t="e">
        <f ca="1">_xll.BDP(C97,"SECURITY_NAME")</f>
        <v>#NAME?</v>
      </c>
      <c r="E97" s="18" t="s">
        <v>50</v>
      </c>
      <c r="F97" s="19">
        <v>1550</v>
      </c>
      <c r="G97" s="18" t="e">
        <f ca="1">_xll.BDP(C97,"CRNCY")</f>
        <v>#NAME?</v>
      </c>
      <c r="H97" s="22">
        <v>34</v>
      </c>
      <c r="I97" s="15">
        <f>F97*H97</f>
        <v>52700</v>
      </c>
      <c r="J97" s="16">
        <f>I97</f>
        <v>52700</v>
      </c>
      <c r="K97" s="15" t="e">
        <f ca="1">J97*L97</f>
        <v>#NAME?</v>
      </c>
      <c r="L97" s="22" t="e">
        <f ca="1">_xll.BDH("RUB curncy","PX_LAST",$N97)</f>
        <v>#NAME?</v>
      </c>
      <c r="M97" s="85" t="e">
        <f ca="1">1/_xll.BDH("RUB curncy","PX_LAST",$N97)</f>
        <v>#NAME?</v>
      </c>
      <c r="N97" s="14">
        <v>42355</v>
      </c>
    </row>
    <row r="98" spans="2:14" x14ac:dyDescent="0.2">
      <c r="B98" s="71"/>
      <c r="C98" s="72"/>
      <c r="D98" s="73"/>
      <c r="E98" s="73"/>
      <c r="F98" s="79">
        <f>SUM(F97)</f>
        <v>1550</v>
      </c>
      <c r="G98" s="87"/>
      <c r="H98" s="99">
        <f>I98/F98</f>
        <v>34</v>
      </c>
      <c r="I98" s="79">
        <f>SUM(I97)</f>
        <v>52700</v>
      </c>
      <c r="J98" s="79">
        <f>SUM(J97)</f>
        <v>52700</v>
      </c>
      <c r="K98" s="79" t="e">
        <f ca="1">SUM(K97)</f>
        <v>#NAME?</v>
      </c>
      <c r="L98" s="75"/>
      <c r="M98" s="86"/>
      <c r="N98" s="14"/>
    </row>
    <row r="99" spans="2:14" x14ac:dyDescent="0.2">
      <c r="G99" s="10"/>
    </row>
    <row r="100" spans="2:14" x14ac:dyDescent="0.2">
      <c r="B100" s="21" t="s">
        <v>347</v>
      </c>
      <c r="C100" s="20" t="s">
        <v>464</v>
      </c>
      <c r="D100" s="18" t="e">
        <f ca="1">_xll.BDP(C100,"SECURITY_NAME")</f>
        <v>#NAME?</v>
      </c>
      <c r="E100" s="18" t="s">
        <v>50</v>
      </c>
      <c r="F100" s="19">
        <v>3000</v>
      </c>
      <c r="G100" s="18" t="e">
        <f ca="1">_xll.BDP(C100,"CRNCY")</f>
        <v>#NAME?</v>
      </c>
      <c r="H100" s="22">
        <v>8.8000000000000007</v>
      </c>
      <c r="I100" s="15">
        <f>F100*H100</f>
        <v>26400.000000000004</v>
      </c>
      <c r="J100" s="16">
        <f>I100</f>
        <v>26400.000000000004</v>
      </c>
      <c r="K100" s="15" t="e">
        <f ca="1">J100*L100</f>
        <v>#NAME?</v>
      </c>
      <c r="L100" s="22" t="e">
        <f ca="1">_xll.BDH("RUB curncy","PX_LAST",$N100)</f>
        <v>#NAME?</v>
      </c>
      <c r="M100" s="85" t="e">
        <f ca="1">1/_xll.BDH("RUB curncy","PX_LAST",$N100)</f>
        <v>#NAME?</v>
      </c>
      <c r="N100" s="14">
        <v>42355</v>
      </c>
    </row>
    <row r="101" spans="2:14" x14ac:dyDescent="0.2">
      <c r="B101" s="71"/>
      <c r="C101" s="72"/>
      <c r="D101" s="73"/>
      <c r="E101" s="73"/>
      <c r="F101" s="79">
        <f>SUM(F100)</f>
        <v>3000</v>
      </c>
      <c r="G101" s="87"/>
      <c r="H101" s="99">
        <f>I101/F101</f>
        <v>8.8000000000000007</v>
      </c>
      <c r="I101" s="79">
        <f>SUM(I100)</f>
        <v>26400.000000000004</v>
      </c>
      <c r="J101" s="79">
        <f>SUM(J100)</f>
        <v>26400.000000000004</v>
      </c>
      <c r="K101" s="79" t="e">
        <f ca="1">SUM(K100)</f>
        <v>#NAME?</v>
      </c>
      <c r="L101" s="75"/>
      <c r="M101" s="86"/>
      <c r="N101" s="14"/>
    </row>
    <row r="103" spans="2:14" x14ac:dyDescent="0.2">
      <c r="G103" s="10"/>
    </row>
  </sheetData>
  <sortState ref="A4:X15">
    <sortCondition descending="1" ref="I4:I15"/>
  </sortState>
  <mergeCells count="1">
    <mergeCell ref="T18:U19"/>
  </mergeCells>
  <conditionalFormatting sqref="H2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{F97D879A-6020-4101-B3E9-DC403144C1E3}</x14:id>
        </ext>
      </extLst>
    </cfRule>
    <cfRule type="cellIs" dxfId="2185" priority="810" operator="equal">
      <formula>1</formula>
    </cfRule>
  </conditionalFormatting>
  <conditionalFormatting sqref="D23">
    <cfRule type="containsText" dxfId="2184" priority="808" operator="containsText" text="Buy">
      <formula>NOT(ISERROR(SEARCH("Buy",D23)))</formula>
    </cfRule>
    <cfRule type="containsText" dxfId="2183" priority="809" operator="containsText" text="Sell">
      <formula>NOT(ISERROR(SEARCH("Sell",D23)))</formula>
    </cfRule>
  </conditionalFormatting>
  <conditionalFormatting sqref="E68:E69 E73">
    <cfRule type="containsText" dxfId="2182" priority="665" operator="containsText" text="Buy">
      <formula>NOT(ISERROR(SEARCH("Buy",E68)))</formula>
    </cfRule>
    <cfRule type="containsText" dxfId="2181" priority="666" operator="containsText" text="Sell">
      <formula>NOT(ISERROR(SEARCH("Sell",E68)))</formula>
    </cfRule>
  </conditionalFormatting>
  <conditionalFormatting sqref="E67">
    <cfRule type="containsText" dxfId="2180" priority="663" operator="containsText" text="Buy">
      <formula>NOT(ISERROR(SEARCH("Buy",E67)))</formula>
    </cfRule>
    <cfRule type="containsText" dxfId="2179" priority="664" operator="containsText" text="Sell">
      <formula>NOT(ISERROR(SEARCH("Sell",E67)))</formula>
    </cfRule>
  </conditionalFormatting>
  <conditionalFormatting sqref="E62">
    <cfRule type="containsText" dxfId="2178" priority="615" operator="containsText" text="Buy">
      <formula>NOT(ISERROR(SEARCH("Buy",E62)))</formula>
    </cfRule>
    <cfRule type="containsText" dxfId="2177" priority="616" operator="containsText" text="Sell">
      <formula>NOT(ISERROR(SEARCH("Sell",E62)))</formula>
    </cfRule>
  </conditionalFormatting>
  <conditionalFormatting sqref="E63">
    <cfRule type="containsText" dxfId="2176" priority="617" operator="containsText" text="Buy">
      <formula>NOT(ISERROR(SEARCH("Buy",E63)))</formula>
    </cfRule>
    <cfRule type="containsText" dxfId="2175" priority="618" operator="containsText" text="Sell">
      <formula>NOT(ISERROR(SEARCH("Sell",E63)))</formula>
    </cfRule>
  </conditionalFormatting>
  <conditionalFormatting sqref="E48">
    <cfRule type="containsText" dxfId="2174" priority="601" operator="containsText" text="Buy">
      <formula>NOT(ISERROR(SEARCH("Buy",E48)))</formula>
    </cfRule>
    <cfRule type="containsText" dxfId="2173" priority="602" operator="containsText" text="Sell">
      <formula>NOT(ISERROR(SEARCH("Sell",E48)))</formula>
    </cfRule>
  </conditionalFormatting>
  <conditionalFormatting sqref="E49:E50 E56 E53">
    <cfRule type="containsText" dxfId="2172" priority="603" operator="containsText" text="Buy">
      <formula>NOT(ISERROR(SEARCH("Buy",E49)))</formula>
    </cfRule>
    <cfRule type="containsText" dxfId="2171" priority="604" operator="containsText" text="Sell">
      <formula>NOT(ISERROR(SEARCH("Sell",E49)))</formula>
    </cfRule>
  </conditionalFormatting>
  <conditionalFormatting sqref="E76:E77 E80">
    <cfRule type="containsText" dxfId="2170" priority="563" operator="containsText" text="Buy">
      <formula>NOT(ISERROR(SEARCH("Buy",E76)))</formula>
    </cfRule>
    <cfRule type="containsText" dxfId="2169" priority="564" operator="containsText" text="Sell">
      <formula>NOT(ISERROR(SEARCH("Sell",E76)))</formula>
    </cfRule>
  </conditionalFormatting>
  <conditionalFormatting sqref="E75">
    <cfRule type="containsText" dxfId="2168" priority="561" operator="containsText" text="Buy">
      <formula>NOT(ISERROR(SEARCH("Buy",E75)))</formula>
    </cfRule>
    <cfRule type="containsText" dxfId="2167" priority="562" operator="containsText" text="Sell">
      <formula>NOT(ISERROR(SEARCH("Sell",E75)))</formula>
    </cfRule>
  </conditionalFormatting>
  <conditionalFormatting sqref="U14">
    <cfRule type="dataBar" priority="66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{D0D4AAB5-03CA-49FF-A719-B3D5FD5E1DD0}</x14:id>
        </ext>
      </extLst>
    </cfRule>
  </conditionalFormatting>
  <conditionalFormatting sqref="V14">
    <cfRule type="dataBar" priority="66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{232E938D-D2C8-47CA-8A40-2B33CBCAD8D2}</x14:id>
        </ext>
      </extLst>
    </cfRule>
  </conditionalFormatting>
  <conditionalFormatting sqref="X14">
    <cfRule type="dataBar" priority="66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{95C34E93-D58B-48A4-9439-5720613A7E2E}</x14:id>
        </ext>
      </extLst>
    </cfRule>
  </conditionalFormatting>
  <conditionalFormatting sqref="W14">
    <cfRule type="dataBar" priority="6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{B7824F15-289D-413B-8333-AA847EC20458}</x14:id>
        </ext>
      </extLst>
    </cfRule>
  </conditionalFormatting>
  <conditionalFormatting sqref="L14">
    <cfRule type="dataBar" priority="6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{2E8CB87F-6C7E-4660-8013-41EFFF0C5BFF}</x14:id>
        </ext>
      </extLst>
    </cfRule>
  </conditionalFormatting>
  <conditionalFormatting sqref="L14">
    <cfRule type="dataBar" priority="6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{39B7090E-89E8-48D5-B075-1E6FAEE71D8C}</x14:id>
        </ext>
      </extLst>
    </cfRule>
  </conditionalFormatting>
  <conditionalFormatting sqref="L14:M14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{65050F1C-B975-4F20-985B-352FF923EE56}</x14:id>
        </ext>
      </extLst>
    </cfRule>
  </conditionalFormatting>
  <conditionalFormatting sqref="U8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{13B1112C-3E60-46FE-B6F8-E3C813496A54}</x14:id>
        </ext>
      </extLst>
    </cfRule>
  </conditionalFormatting>
  <conditionalFormatting sqref="V8">
    <cfRule type="dataBar" priority="4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{7A6A252E-D7BF-4F15-8209-8AC1F0D043A6}</x14:id>
        </ext>
      </extLst>
    </cfRule>
  </conditionalFormatting>
  <conditionalFormatting sqref="W8">
    <cfRule type="dataBar" priority="4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{1561FEA7-FAE6-46AE-AFE8-78AAE44314FA}</x14:id>
        </ext>
      </extLst>
    </cfRule>
  </conditionalFormatting>
  <conditionalFormatting sqref="L8">
    <cfRule type="dataBar" priority="4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{27508543-24B9-44B0-8588-02F0C8786E44}</x14:id>
        </ext>
      </extLst>
    </cfRule>
  </conditionalFormatting>
  <conditionalFormatting sqref="L8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{B282E04E-8523-4D72-8352-D87E54A33F65}</x14:id>
        </ext>
      </extLst>
    </cfRule>
  </conditionalFormatting>
  <conditionalFormatting sqref="L8:M8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{6E630A53-84F9-4FDC-9FEE-13511F0C28C8}</x14:id>
        </ext>
      </extLst>
    </cfRule>
  </conditionalFormatting>
  <conditionalFormatting sqref="U12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{F093918B-5A83-4290-9506-C00C3A2B3F13}</x14:id>
        </ext>
      </extLst>
    </cfRule>
  </conditionalFormatting>
  <conditionalFormatting sqref="V12">
    <cfRule type="dataBar" priority="3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{AFB64B18-F4BA-43D1-BD93-F501869E01E6}</x14:id>
        </ext>
      </extLst>
    </cfRule>
  </conditionalFormatting>
  <conditionalFormatting sqref="W12">
    <cfRule type="dataBar" priority="3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{3915B067-FF85-4F8E-9891-CF6650C4565C}</x14:id>
        </ext>
      </extLst>
    </cfRule>
  </conditionalFormatting>
  <conditionalFormatting sqref="E79">
    <cfRule type="containsText" dxfId="2166" priority="365" operator="containsText" text="Buy">
      <formula>NOT(ISERROR(SEARCH("Buy",E79)))</formula>
    </cfRule>
    <cfRule type="containsText" dxfId="2165" priority="366" operator="containsText" text="Sell">
      <formula>NOT(ISERROR(SEARCH("Sell",E79)))</formula>
    </cfRule>
  </conditionalFormatting>
  <conditionalFormatting sqref="E78">
    <cfRule type="containsText" dxfId="2164" priority="363" operator="containsText" text="Buy">
      <formula>NOT(ISERROR(SEARCH("Buy",E78)))</formula>
    </cfRule>
    <cfRule type="containsText" dxfId="2163" priority="364" operator="containsText" text="Sell">
      <formula>NOT(ISERROR(SEARCH("Sell",E78)))</formula>
    </cfRule>
  </conditionalFormatting>
  <conditionalFormatting sqref="H24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{2BF827BE-FFF4-4700-A7DC-DAE4EFE718B0}</x14:id>
        </ext>
      </extLst>
    </cfRule>
    <cfRule type="cellIs" dxfId="2162" priority="347" operator="equal">
      <formula>1</formula>
    </cfRule>
  </conditionalFormatting>
  <conditionalFormatting sqref="D24">
    <cfRule type="containsText" dxfId="2161" priority="345" operator="containsText" text="Buy">
      <formula>NOT(ISERROR(SEARCH("Buy",D24)))</formula>
    </cfRule>
    <cfRule type="containsText" dxfId="2160" priority="346" operator="containsText" text="Sell">
      <formula>NOT(ISERROR(SEARCH("Sell",D24)))</formula>
    </cfRule>
  </conditionalFormatting>
  <conditionalFormatting sqref="H25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{F7C15524-8858-42FA-B454-A9F815BF1287}</x14:id>
        </ext>
      </extLst>
    </cfRule>
    <cfRule type="cellIs" dxfId="2159" priority="343" operator="equal">
      <formula>1</formula>
    </cfRule>
  </conditionalFormatting>
  <conditionalFormatting sqref="D25">
    <cfRule type="containsText" dxfId="2158" priority="341" operator="containsText" text="Buy">
      <formula>NOT(ISERROR(SEARCH("Buy",D25)))</formula>
    </cfRule>
    <cfRule type="containsText" dxfId="2157" priority="342" operator="containsText" text="Sell">
      <formula>NOT(ISERROR(SEARCH("Sell",D25)))</formula>
    </cfRule>
  </conditionalFormatting>
  <conditionalFormatting sqref="U10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{85D37991-C39D-4822-9506-1535412A9268}</x14:id>
        </ext>
      </extLst>
    </cfRule>
  </conditionalFormatting>
  <conditionalFormatting sqref="V10">
    <cfRule type="dataBar" priority="3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{409ED64C-C6A9-4211-9843-D6C07C26403D}</x14:id>
        </ext>
      </extLst>
    </cfRule>
  </conditionalFormatting>
  <conditionalFormatting sqref="W10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{8F11D1ED-330A-4DB0-8685-99452DEE7D45}</x14:id>
        </ext>
      </extLst>
    </cfRule>
  </conditionalFormatting>
  <conditionalFormatting sqref="E82">
    <cfRule type="containsText" dxfId="2156" priority="323" operator="containsText" text="Buy">
      <formula>NOT(ISERROR(SEARCH("Buy",E82)))</formula>
    </cfRule>
    <cfRule type="containsText" dxfId="2155" priority="324" operator="containsText" text="Sell">
      <formula>NOT(ISERROR(SEARCH("Sell",E82)))</formula>
    </cfRule>
  </conditionalFormatting>
  <conditionalFormatting sqref="E81">
    <cfRule type="containsText" dxfId="2154" priority="321" operator="containsText" text="Buy">
      <formula>NOT(ISERROR(SEARCH("Buy",E81)))</formula>
    </cfRule>
    <cfRule type="containsText" dxfId="2153" priority="322" operator="containsText" text="Sell">
      <formula>NOT(ISERROR(SEARCH("Sell",E81)))</formula>
    </cfRule>
  </conditionalFormatting>
  <conditionalFormatting sqref="E74">
    <cfRule type="containsText" dxfId="2152" priority="319" operator="containsText" text="Buy">
      <formula>NOT(ISERROR(SEARCH("Buy",E74)))</formula>
    </cfRule>
    <cfRule type="containsText" dxfId="2151" priority="320" operator="containsText" text="Sell">
      <formula>NOT(ISERROR(SEARCH("Sell",E74)))</formula>
    </cfRule>
  </conditionalFormatting>
  <conditionalFormatting sqref="H26">
    <cfRule type="dataBar" priority="3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{0B4D3A01-A6FB-4521-B34C-8535B1F98AD6}</x14:id>
        </ext>
      </extLst>
    </cfRule>
    <cfRule type="cellIs" dxfId="2150" priority="318" operator="equal">
      <formula>1</formula>
    </cfRule>
  </conditionalFormatting>
  <conditionalFormatting sqref="D26">
    <cfRule type="containsText" dxfId="2149" priority="316" operator="containsText" text="Buy">
      <formula>NOT(ISERROR(SEARCH("Buy",D26)))</formula>
    </cfRule>
    <cfRule type="containsText" dxfId="2148" priority="317" operator="containsText" text="Sell">
      <formula>NOT(ISERROR(SEARCH("Sell",D26)))</formula>
    </cfRule>
  </conditionalFormatting>
  <conditionalFormatting sqref="U11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{A9CC8699-E8D6-4385-A58A-23BD7E290772}</x14:id>
        </ext>
      </extLst>
    </cfRule>
  </conditionalFormatting>
  <conditionalFormatting sqref="V1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{5DF11F58-2A9E-4D7A-A53A-B3B8533EABA4}</x14:id>
        </ext>
      </extLst>
    </cfRule>
  </conditionalFormatting>
  <conditionalFormatting sqref="W1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{924C5F74-8CF9-4CA4-81BD-C3F01C632694}</x14:id>
        </ext>
      </extLst>
    </cfRule>
  </conditionalFormatting>
  <conditionalFormatting sqref="E72">
    <cfRule type="containsText" dxfId="2147" priority="296" operator="containsText" text="Buy">
      <formula>NOT(ISERROR(SEARCH("Buy",E72)))</formula>
    </cfRule>
    <cfRule type="containsText" dxfId="2146" priority="297" operator="containsText" text="Sell">
      <formula>NOT(ISERROR(SEARCH("Sell",E72)))</formula>
    </cfRule>
  </conditionalFormatting>
  <conditionalFormatting sqref="E71">
    <cfRule type="containsText" dxfId="2145" priority="294" operator="containsText" text="Buy">
      <formula>NOT(ISERROR(SEARCH("Buy",E71)))</formula>
    </cfRule>
    <cfRule type="containsText" dxfId="2144" priority="295" operator="containsText" text="Sell">
      <formula>NOT(ISERROR(SEARCH("Sell",E71)))</formula>
    </cfRule>
  </conditionalFormatting>
  <conditionalFormatting sqref="H27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{7EC648CA-1C2E-4646-9D2A-4F16F5818A48}</x14:id>
        </ext>
      </extLst>
    </cfRule>
    <cfRule type="cellIs" dxfId="2143" priority="293" operator="equal">
      <formula>1</formula>
    </cfRule>
  </conditionalFormatting>
  <conditionalFormatting sqref="D27">
    <cfRule type="containsText" dxfId="2142" priority="291" operator="containsText" text="Buy">
      <formula>NOT(ISERROR(SEARCH("Buy",D27)))</formula>
    </cfRule>
    <cfRule type="containsText" dxfId="2141" priority="292" operator="containsText" text="Sell">
      <formula>NOT(ISERROR(SEARCH("Sell",D27)))</formula>
    </cfRule>
  </conditionalFormatting>
  <conditionalFormatting sqref="E58">
    <cfRule type="containsText" dxfId="2140" priority="283" operator="containsText" text="Buy">
      <formula>NOT(ISERROR(SEARCH("Buy",E58)))</formula>
    </cfRule>
    <cfRule type="containsText" dxfId="2139" priority="284" operator="containsText" text="Sell">
      <formula>NOT(ISERROR(SEARCH("Sell",E58)))</formula>
    </cfRule>
  </conditionalFormatting>
  <conditionalFormatting sqref="E59">
    <cfRule type="containsText" dxfId="2138" priority="285" operator="containsText" text="Buy">
      <formula>NOT(ISERROR(SEARCH("Buy",E59)))</formula>
    </cfRule>
    <cfRule type="containsText" dxfId="2137" priority="286" operator="containsText" text="Sell">
      <formula>NOT(ISERROR(SEARCH("Sell",E59)))</formula>
    </cfRule>
  </conditionalFormatting>
  <conditionalFormatting sqref="E61">
    <cfRule type="containsText" dxfId="2136" priority="281" operator="containsText" text="Buy">
      <formula>NOT(ISERROR(SEARCH("Buy",E61)))</formula>
    </cfRule>
    <cfRule type="containsText" dxfId="2135" priority="282" operator="containsText" text="Sell">
      <formula>NOT(ISERROR(SEARCH("Sell",E61)))</formula>
    </cfRule>
  </conditionalFormatting>
  <conditionalFormatting sqref="L10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{480D696A-C3BA-488A-BE0A-AB1C05882BF7}</x14:id>
        </ext>
      </extLst>
    </cfRule>
  </conditionalFormatting>
  <conditionalFormatting sqref="L10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{DDFC47F3-AE30-49A1-8BA7-11A7D4246090}</x14:id>
        </ext>
      </extLst>
    </cfRule>
  </conditionalFormatting>
  <conditionalFormatting sqref="L10:M10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{685B22D0-1F0B-4E77-9BFB-971FB942BF29}</x14:id>
        </ext>
      </extLst>
    </cfRule>
  </conditionalFormatting>
  <conditionalFormatting sqref="L12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{737E5704-46B5-412A-ABB5-142CFD287407}</x14:id>
        </ext>
      </extLst>
    </cfRule>
  </conditionalFormatting>
  <conditionalFormatting sqref="L12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{BE207540-5702-4928-A155-1F75B96E7745}</x14:id>
        </ext>
      </extLst>
    </cfRule>
  </conditionalFormatting>
  <conditionalFormatting sqref="L12:M12">
    <cfRule type="dataBar" priority="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{A23CF650-A92E-45DF-8581-5E5409614578}</x14:id>
        </ext>
      </extLst>
    </cfRule>
  </conditionalFormatting>
  <conditionalFormatting sqref="L11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{83DD07B7-D848-48E1-8AA6-953A1C626DF7}</x14:id>
        </ext>
      </extLst>
    </cfRule>
  </conditionalFormatting>
  <conditionalFormatting sqref="L11">
    <cfRule type="dataBar" priority="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{5BAF36AC-E170-4F1C-B9CF-C30AB92D4E90}</x14:id>
        </ext>
      </extLst>
    </cfRule>
  </conditionalFormatting>
  <conditionalFormatting sqref="L11:M11">
    <cfRule type="dataBar" priority="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{E02051CE-EDC1-4558-B07D-950DB8BB5839}</x14:id>
        </ext>
      </extLst>
    </cfRule>
  </conditionalFormatting>
  <conditionalFormatting sqref="H28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{6D646830-CC37-4738-B038-E6C5812166EF}</x14:id>
        </ext>
      </extLst>
    </cfRule>
    <cfRule type="cellIs" dxfId="2134" priority="264" operator="equal">
      <formula>1</formula>
    </cfRule>
  </conditionalFormatting>
  <conditionalFormatting sqref="D28">
    <cfRule type="containsText" dxfId="2133" priority="262" operator="containsText" text="Buy">
      <formula>NOT(ISERROR(SEARCH("Buy",D28)))</formula>
    </cfRule>
    <cfRule type="containsText" dxfId="2132" priority="263" operator="containsText" text="Sell">
      <formula>NOT(ISERROR(SEARCH("Sell",D28)))</formula>
    </cfRule>
  </conditionalFormatting>
  <conditionalFormatting sqref="E66">
    <cfRule type="containsText" dxfId="2131" priority="259" operator="containsText" text="Buy">
      <formula>NOT(ISERROR(SEARCH("Buy",E66)))</formula>
    </cfRule>
    <cfRule type="containsText" dxfId="2130" priority="260" operator="containsText" text="Sell">
      <formula>NOT(ISERROR(SEARCH("Sell",E66)))</formula>
    </cfRule>
  </conditionalFormatting>
  <conditionalFormatting sqref="E85">
    <cfRule type="containsText" dxfId="2129" priority="241" operator="containsText" text="Buy">
      <formula>NOT(ISERROR(SEARCH("Buy",E85)))</formula>
    </cfRule>
    <cfRule type="containsText" dxfId="2128" priority="242" operator="containsText" text="Sell">
      <formula>NOT(ISERROR(SEARCH("Sell",E85)))</formula>
    </cfRule>
  </conditionalFormatting>
  <conditionalFormatting sqref="E84">
    <cfRule type="containsText" dxfId="2127" priority="239" operator="containsText" text="Buy">
      <formula>NOT(ISERROR(SEARCH("Buy",E84)))</formula>
    </cfRule>
    <cfRule type="containsText" dxfId="2126" priority="240" operator="containsText" text="Sell">
      <formula>NOT(ISERROR(SEARCH("Sell",E84)))</formula>
    </cfRule>
  </conditionalFormatting>
  <conditionalFormatting sqref="E88">
    <cfRule type="containsText" dxfId="2125" priority="221" operator="containsText" text="Buy">
      <formula>NOT(ISERROR(SEARCH("Buy",E88)))</formula>
    </cfRule>
    <cfRule type="containsText" dxfId="2124" priority="222" operator="containsText" text="Sell">
      <formula>NOT(ISERROR(SEARCH("Sell",E88)))</formula>
    </cfRule>
  </conditionalFormatting>
  <conditionalFormatting sqref="E87">
    <cfRule type="containsText" dxfId="2123" priority="219" operator="containsText" text="Buy">
      <formula>NOT(ISERROR(SEARCH("Buy",E87)))</formula>
    </cfRule>
    <cfRule type="containsText" dxfId="2122" priority="220" operator="containsText" text="Sell">
      <formula>NOT(ISERROR(SEARCH("Sell",E87)))</formula>
    </cfRule>
  </conditionalFormatting>
  <conditionalFormatting sqref="U15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{9D3C6FB9-EE11-4A8C-9B8C-09D203F24B8C}</x14:id>
        </ext>
      </extLst>
    </cfRule>
  </conditionalFormatting>
  <conditionalFormatting sqref="V15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{460C1D8E-54AD-4FD0-AFB4-647F9D51B671}</x14:id>
        </ext>
      </extLst>
    </cfRule>
  </conditionalFormatting>
  <conditionalFormatting sqref="W15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{A6F939FA-4627-46CB-A718-BDC059A8D7B4}</x14:id>
        </ext>
      </extLst>
    </cfRule>
  </conditionalFormatting>
  <conditionalFormatting sqref="X15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{21CE1A01-B5E4-44B0-943B-F3CF2B1B3A0E}</x14:id>
        </ext>
      </extLst>
    </cfRule>
  </conditionalFormatting>
  <conditionalFormatting sqref="L15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{E32E1EC9-E539-4813-B538-17F47A942639}</x14:id>
        </ext>
      </extLst>
    </cfRule>
  </conditionalFormatting>
  <conditionalFormatting sqref="L15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{B3A0E5A4-3450-4DA8-898D-B52E5FFCEFFD}</x14:id>
        </ext>
      </extLst>
    </cfRule>
  </conditionalFormatting>
  <conditionalFormatting sqref="L15:M15">
    <cfRule type="dataBar" priority="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{79698785-62B2-4BF9-A4B8-E21EA8DAB29A}</x14:id>
        </ext>
      </extLst>
    </cfRule>
  </conditionalFormatting>
  <conditionalFormatting sqref="L15:M15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{B4CEA9FB-5E39-446E-AFDF-8933A7112F1D}</x14:id>
        </ext>
      </extLst>
    </cfRule>
  </conditionalFormatting>
  <conditionalFormatting sqref="E91:E92">
    <cfRule type="containsText" dxfId="2121" priority="201" operator="containsText" text="Buy">
      <formula>NOT(ISERROR(SEARCH("Buy",E91)))</formula>
    </cfRule>
    <cfRule type="containsText" dxfId="2120" priority="202" operator="containsText" text="Sell">
      <formula>NOT(ISERROR(SEARCH("Sell",E91)))</formula>
    </cfRule>
  </conditionalFormatting>
  <conditionalFormatting sqref="E90">
    <cfRule type="containsText" dxfId="2119" priority="199" operator="containsText" text="Buy">
      <formula>NOT(ISERROR(SEARCH("Buy",E90)))</formula>
    </cfRule>
    <cfRule type="containsText" dxfId="2118" priority="200" operator="containsText" text="Sell">
      <formula>NOT(ISERROR(SEARCH("Sell",E90)))</formula>
    </cfRule>
  </conditionalFormatting>
  <conditionalFormatting sqref="U6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{DD414855-0424-434B-873D-723E99308965}</x14:id>
        </ext>
      </extLst>
    </cfRule>
  </conditionalFormatting>
  <conditionalFormatting sqref="V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{997F4D43-7E20-4475-AEE9-DA88B6F25E80}</x14:id>
        </ext>
      </extLst>
    </cfRule>
  </conditionalFormatting>
  <conditionalFormatting sqref="W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{5F3036E9-3568-4C82-842C-E32729DBDF31}</x14:id>
        </ext>
      </extLst>
    </cfRule>
  </conditionalFormatting>
  <conditionalFormatting sqref="L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{DB11CD23-B71E-4AAD-8322-D9F2F9A38672}</x14:id>
        </ext>
      </extLst>
    </cfRule>
  </conditionalFormatting>
  <conditionalFormatting sqref="L6">
    <cfRule type="dataBar" priority="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{12EBD770-6512-4729-B64F-12F072DA80E9}</x14:id>
        </ext>
      </extLst>
    </cfRule>
  </conditionalFormatting>
  <conditionalFormatting sqref="L6:M6">
    <cfRule type="dataBar" priority="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{28DAC599-2ED2-427E-9A02-12C16BB220AA}</x14:id>
        </ext>
      </extLst>
    </cfRule>
  </conditionalFormatting>
  <conditionalFormatting sqref="X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{89A0B470-8F41-4C56-B685-7CBA77D70290}</x14:id>
        </ext>
      </extLst>
    </cfRule>
  </conditionalFormatting>
  <conditionalFormatting sqref="L6:M6"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{D2D0AA2C-0676-41C7-989F-E3496A30FF3C}</x14:id>
        </ext>
      </extLst>
    </cfRule>
  </conditionalFormatting>
  <conditionalFormatting sqref="E95">
    <cfRule type="containsText" dxfId="2117" priority="181" operator="containsText" text="Buy">
      <formula>NOT(ISERROR(SEARCH("Buy",E95)))</formula>
    </cfRule>
    <cfRule type="containsText" dxfId="2116" priority="182" operator="containsText" text="Sell">
      <formula>NOT(ISERROR(SEARCH("Sell",E95)))</formula>
    </cfRule>
  </conditionalFormatting>
  <conditionalFormatting sqref="E94">
    <cfRule type="containsText" dxfId="2115" priority="179" operator="containsText" text="Buy">
      <formula>NOT(ISERROR(SEARCH("Buy",E94)))</formula>
    </cfRule>
    <cfRule type="containsText" dxfId="2114" priority="180" operator="containsText" text="Sell">
      <formula>NOT(ISERROR(SEARCH("Sell",E94)))</formula>
    </cfRule>
  </conditionalFormatting>
  <conditionalFormatting sqref="H29:H31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{91E65A94-4652-47B4-9F9F-BE5A16585BAF}</x14:id>
        </ext>
      </extLst>
    </cfRule>
    <cfRule type="cellIs" dxfId="2113" priority="178" operator="equal">
      <formula>1</formula>
    </cfRule>
  </conditionalFormatting>
  <conditionalFormatting sqref="D29:D31">
    <cfRule type="containsText" dxfId="2112" priority="176" operator="containsText" text="Buy">
      <formula>NOT(ISERROR(SEARCH("Buy",D29)))</formula>
    </cfRule>
    <cfRule type="containsText" dxfId="2111" priority="177" operator="containsText" text="Sell">
      <formula>NOT(ISERROR(SEARCH("Sell",D29)))</formula>
    </cfRule>
  </conditionalFormatting>
  <conditionalFormatting sqref="E93">
    <cfRule type="containsText" dxfId="2110" priority="173" operator="containsText" text="Buy">
      <formula>NOT(ISERROR(SEARCH("Buy",E93)))</formula>
    </cfRule>
    <cfRule type="containsText" dxfId="2109" priority="174" operator="containsText" text="Sell">
      <formula>NOT(ISERROR(SEARCH("Sell",E93)))</formula>
    </cfRule>
  </conditionalFormatting>
  <conditionalFormatting sqref="E70">
    <cfRule type="containsText" dxfId="2108" priority="171" operator="containsText" text="Buy">
      <formula>NOT(ISERROR(SEARCH("Buy",E70)))</formula>
    </cfRule>
    <cfRule type="containsText" dxfId="2107" priority="172" operator="containsText" text="Sell">
      <formula>NOT(ISERROR(SEARCH("Sell",E70)))</formula>
    </cfRule>
  </conditionalFormatting>
  <conditionalFormatting sqref="E98">
    <cfRule type="containsText" dxfId="2106" priority="169" operator="containsText" text="Buy">
      <formula>NOT(ISERROR(SEARCH("Buy",E98)))</formula>
    </cfRule>
    <cfRule type="containsText" dxfId="2105" priority="170" operator="containsText" text="Sell">
      <formula>NOT(ISERROR(SEARCH("Sell",E98)))</formula>
    </cfRule>
  </conditionalFormatting>
  <conditionalFormatting sqref="E97">
    <cfRule type="containsText" dxfId="2104" priority="167" operator="containsText" text="Buy">
      <formula>NOT(ISERROR(SEARCH("Buy",E97)))</formula>
    </cfRule>
    <cfRule type="containsText" dxfId="2103" priority="168" operator="containsText" text="Sell">
      <formula>NOT(ISERROR(SEARCH("Sell",E97)))</formula>
    </cfRule>
  </conditionalFormatting>
  <conditionalFormatting sqref="E101">
    <cfRule type="containsText" dxfId="2102" priority="165" operator="containsText" text="Buy">
      <formula>NOT(ISERROR(SEARCH("Buy",E101)))</formula>
    </cfRule>
    <cfRule type="containsText" dxfId="2101" priority="166" operator="containsText" text="Sell">
      <formula>NOT(ISERROR(SEARCH("Sell",E101)))</formula>
    </cfRule>
  </conditionalFormatting>
  <conditionalFormatting sqref="E100">
    <cfRule type="containsText" dxfId="2100" priority="163" operator="containsText" text="Buy">
      <formula>NOT(ISERROR(SEARCH("Buy",E100)))</formula>
    </cfRule>
    <cfRule type="containsText" dxfId="2099" priority="164" operator="containsText" text="Sell">
      <formula>NOT(ISERROR(SEARCH("Sell",E100)))</formula>
    </cfRule>
  </conditionalFormatting>
  <conditionalFormatting sqref="U9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{373347C0-97DF-4152-B450-4EFC028CE796}</x14:id>
        </ext>
      </extLst>
    </cfRule>
  </conditionalFormatting>
  <conditionalFormatting sqref="V9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{791606E7-CF13-4C85-BA44-D2BA2295E7B0}</x14:id>
        </ext>
      </extLst>
    </cfRule>
  </conditionalFormatting>
  <conditionalFormatting sqref="W9"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{75AF4721-1C30-46FF-A17E-C7D722641A13}</x14:id>
        </ext>
      </extLst>
    </cfRule>
  </conditionalFormatting>
  <conditionalFormatting sqref="L9">
    <cfRule type="dataBar" priority="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{8CA4D344-E7A9-4284-8698-BD8C91A4E3D2}</x14:id>
        </ext>
      </extLst>
    </cfRule>
  </conditionalFormatting>
  <conditionalFormatting sqref="L9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{F2146949-3474-4950-BFD7-19087182D720}</x14:id>
        </ext>
      </extLst>
    </cfRule>
  </conditionalFormatting>
  <conditionalFormatting sqref="L9:M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{1D01E8B1-D30B-4CFD-8836-270FCFB52462}</x14:id>
        </ext>
      </extLst>
    </cfRule>
  </conditionalFormatting>
  <conditionalFormatting sqref="X9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{14AEE08B-FA65-4438-8D77-31BCFD849649}</x14:id>
        </ext>
      </extLst>
    </cfRule>
  </conditionalFormatting>
  <conditionalFormatting sqref="L9:M9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{29F1BE98-595A-43C7-939D-A51D1481350B}</x14:id>
        </ext>
      </extLst>
    </cfRule>
  </conditionalFormatting>
  <conditionalFormatting sqref="U1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{A90CF80B-10FC-4AE9-93CF-292AFDE78796}</x14:id>
        </ext>
      </extLst>
    </cfRule>
  </conditionalFormatting>
  <conditionalFormatting sqref="V1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{30A25B3D-49E9-426E-AD85-5CEDF5F7250F}</x14:id>
        </ext>
      </extLst>
    </cfRule>
  </conditionalFormatting>
  <conditionalFormatting sqref="W13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{34406019-6EAF-4CA6-909A-B6E7E151A34C}</x14:id>
        </ext>
      </extLst>
    </cfRule>
  </conditionalFormatting>
  <conditionalFormatting sqref="L1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{7483010A-CA23-4BF7-873A-44A4FB5D7816}</x14:id>
        </ext>
      </extLst>
    </cfRule>
  </conditionalFormatting>
  <conditionalFormatting sqref="L1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{B1F03407-04F8-4CD0-9464-8B253A43C828}</x14:id>
        </ext>
      </extLst>
    </cfRule>
  </conditionalFormatting>
  <conditionalFormatting sqref="L13:M13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{27BCD382-6D8C-40FA-91F5-B15706B5D3AE}</x14:id>
        </ext>
      </extLst>
    </cfRule>
  </conditionalFormatting>
  <conditionalFormatting sqref="X13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{0611419D-01BD-4F66-846E-EA7B585A6707}</x14:id>
        </ext>
      </extLst>
    </cfRule>
  </conditionalFormatting>
  <conditionalFormatting sqref="L13:M13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{854D2E12-DBBA-46DF-8B0E-231A63599CF3}</x14:id>
        </ext>
      </extLst>
    </cfRule>
  </conditionalFormatting>
  <conditionalFormatting sqref="H32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{16FF3267-93C1-4CCC-9D2D-3735D7509FCD}</x14:id>
        </ext>
      </extLst>
    </cfRule>
    <cfRule type="cellIs" dxfId="2098" priority="130" operator="equal">
      <formula>1</formula>
    </cfRule>
  </conditionalFormatting>
  <conditionalFormatting sqref="D32">
    <cfRule type="containsText" dxfId="2097" priority="128" operator="containsText" text="Buy">
      <formula>NOT(ISERROR(SEARCH("Buy",D32)))</formula>
    </cfRule>
    <cfRule type="containsText" dxfId="2096" priority="129" operator="containsText" text="Sell">
      <formula>NOT(ISERROR(SEARCH("Sell",D32)))</formula>
    </cfRule>
  </conditionalFormatting>
  <conditionalFormatting sqref="E57">
    <cfRule type="containsText" dxfId="2095" priority="125" operator="containsText" text="Buy">
      <formula>NOT(ISERROR(SEARCH("Buy",E57)))</formula>
    </cfRule>
    <cfRule type="containsText" dxfId="2094" priority="126" operator="containsText" text="Sell">
      <formula>NOT(ISERROR(SEARCH("Sell",E57)))</formula>
    </cfRule>
  </conditionalFormatting>
  <conditionalFormatting sqref="E65">
    <cfRule type="containsText" dxfId="2093" priority="123" operator="containsText" text="Buy">
      <formula>NOT(ISERROR(SEARCH("Buy",E65)))</formula>
    </cfRule>
    <cfRule type="containsText" dxfId="2092" priority="124" operator="containsText" text="Sell">
      <formula>NOT(ISERROR(SEARCH("Sell",E65)))</formula>
    </cfRule>
  </conditionalFormatting>
  <conditionalFormatting sqref="U7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{93B657F5-4D42-4E9D-8A73-F1CD968D183F}</x14:id>
        </ext>
      </extLst>
    </cfRule>
  </conditionalFormatting>
  <conditionalFormatting sqref="V7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{00F0505C-2732-490F-A601-D15FD3FFCE64}</x14:id>
        </ext>
      </extLst>
    </cfRule>
  </conditionalFormatting>
  <conditionalFormatting sqref="W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{7EA3D56D-BC8E-4551-9D3E-5E48EAAEF595}</x14:id>
        </ext>
      </extLst>
    </cfRule>
  </conditionalFormatting>
  <conditionalFormatting sqref="X7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{C4C4CF22-EB02-4C0E-8C38-6874E6B585BB}</x14:id>
        </ext>
      </extLst>
    </cfRule>
  </conditionalFormatting>
  <conditionalFormatting sqref="L7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{04E68477-1DF7-4224-8472-60FDCD650FD6}</x14:id>
        </ext>
      </extLst>
    </cfRule>
  </conditionalFormatting>
  <conditionalFormatting sqref="L7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{D94F4F56-D580-4EDF-96A3-DA096A500FFF}</x14:id>
        </ext>
      </extLst>
    </cfRule>
  </conditionalFormatting>
  <conditionalFormatting sqref="L7:M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{D06C7B64-B69A-495E-A402-2B3526CB2F54}</x14:id>
        </ext>
      </extLst>
    </cfRule>
  </conditionalFormatting>
  <conditionalFormatting sqref="L7:M7">
    <cfRule type="dataBar" priority="1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{C5E19E2C-1959-48F2-8B27-D4A8A3A24FDB}</x14:id>
        </ext>
      </extLst>
    </cfRule>
  </conditionalFormatting>
  <conditionalFormatting sqref="H33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{777D83EE-736F-4CDD-A291-43606E5AC5C9}</x14:id>
        </ext>
      </extLst>
    </cfRule>
    <cfRule type="cellIs" dxfId="2091" priority="106" operator="equal">
      <formula>1</formula>
    </cfRule>
  </conditionalFormatting>
  <conditionalFormatting sqref="D33">
    <cfRule type="containsText" dxfId="2090" priority="104" operator="containsText" text="Buy">
      <formula>NOT(ISERROR(SEARCH("Buy",D33)))</formula>
    </cfRule>
    <cfRule type="containsText" dxfId="2089" priority="105" operator="containsText" text="Sell">
      <formula>NOT(ISERROR(SEARCH("Sell",D33)))</formula>
    </cfRule>
  </conditionalFormatting>
  <conditionalFormatting sqref="U4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{1DC50F4F-4239-4593-8E51-67AA48FB6110}</x14:id>
        </ext>
      </extLst>
    </cfRule>
  </conditionalFormatting>
  <conditionalFormatting sqref="V4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{32A560AE-A65D-46E9-A239-9E892C91F217}</x14:id>
        </ext>
      </extLst>
    </cfRule>
  </conditionalFormatting>
  <conditionalFormatting sqref="W4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{D3AC0914-ABDF-45F1-BA23-23486C1C1508}</x14:id>
        </ext>
      </extLst>
    </cfRule>
  </conditionalFormatting>
  <conditionalFormatting sqref="X4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{B430EEA5-10CD-4BD1-A8B1-3D2CDB6D01C7}</x14:id>
        </ext>
      </extLst>
    </cfRule>
  </conditionalFormatting>
  <conditionalFormatting sqref="L4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{FFAFFB9F-80C5-4634-A452-6E1F99A8F110}</x14:id>
        </ext>
      </extLst>
    </cfRule>
  </conditionalFormatting>
  <conditionalFormatting sqref="L4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{44CC51F8-2CEA-4355-90B0-578EC19CCF16}</x14:id>
        </ext>
      </extLst>
    </cfRule>
  </conditionalFormatting>
  <conditionalFormatting sqref="L4:M4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{ABEF93C2-BDEC-49FF-980C-6F24A99A0474}</x14:id>
        </ext>
      </extLst>
    </cfRule>
  </conditionalFormatting>
  <conditionalFormatting sqref="L4:M4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{A9DA5BE3-F1D7-48F9-B158-A6E8CE14A9A5}</x14:id>
        </ext>
      </extLst>
    </cfRule>
  </conditionalFormatting>
  <conditionalFormatting sqref="E54">
    <cfRule type="containsText" dxfId="2088" priority="83" operator="containsText" text="Buy">
      <formula>NOT(ISERROR(SEARCH("Buy",E54)))</formula>
    </cfRule>
    <cfRule type="containsText" dxfId="2087" priority="84" operator="containsText" text="Sell">
      <formula>NOT(ISERROR(SEARCH("Sell",E54)))</formula>
    </cfRule>
  </conditionalFormatting>
  <conditionalFormatting sqref="E55">
    <cfRule type="containsText" dxfId="2086" priority="85" operator="containsText" text="Buy">
      <formula>NOT(ISERROR(SEARCH("Buy",E55)))</formula>
    </cfRule>
    <cfRule type="containsText" dxfId="2085" priority="86" operator="containsText" text="Sell">
      <formula>NOT(ISERROR(SEARCH("Sell",E55)))</formula>
    </cfRule>
  </conditionalFormatting>
  <conditionalFormatting sqref="E51">
    <cfRule type="containsText" dxfId="2084" priority="79" operator="containsText" text="Buy">
      <formula>NOT(ISERROR(SEARCH("Buy",E51)))</formula>
    </cfRule>
    <cfRule type="containsText" dxfId="2083" priority="80" operator="containsText" text="Sell">
      <formula>NOT(ISERROR(SEARCH("Sell",E51)))</formula>
    </cfRule>
  </conditionalFormatting>
  <conditionalFormatting sqref="E52">
    <cfRule type="containsText" dxfId="2082" priority="81" operator="containsText" text="Buy">
      <formula>NOT(ISERROR(SEARCH("Buy",E52)))</formula>
    </cfRule>
    <cfRule type="containsText" dxfId="2081" priority="82" operator="containsText" text="Sell">
      <formula>NOT(ISERROR(SEARCH("Sell",E52)))</formula>
    </cfRule>
  </conditionalFormatting>
  <conditionalFormatting sqref="U14:V14">
    <cfRule type="dataBar" priority="326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{1D5B717A-DB4D-4210-A2CE-D9AA08CEA785}</x14:id>
        </ext>
      </extLst>
    </cfRule>
  </conditionalFormatting>
  <conditionalFormatting sqref="U8:V8">
    <cfRule type="dataBar" priority="32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{BE29785A-5CD8-4500-AA01-FB0ABEDD175E}</x14:id>
        </ext>
      </extLst>
    </cfRule>
  </conditionalFormatting>
  <conditionalFormatting sqref="U12:V12">
    <cfRule type="dataBar" priority="32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{7DB3EA45-EB90-4140-9494-C4FB9E07B4C3}</x14:id>
        </ext>
      </extLst>
    </cfRule>
  </conditionalFormatting>
  <conditionalFormatting sqref="U10:V10">
    <cfRule type="dataBar" priority="326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{B62FE0C3-6471-4723-8805-C6695A3488CB}</x14:id>
        </ext>
      </extLst>
    </cfRule>
  </conditionalFormatting>
  <conditionalFormatting sqref="U11:V11">
    <cfRule type="dataBar" priority="326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{E66CD105-638E-4B74-9DC1-C788A5533008}</x14:id>
        </ext>
      </extLst>
    </cfRule>
  </conditionalFormatting>
  <conditionalFormatting sqref="U15:V15">
    <cfRule type="dataBar" priority="326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{934590F8-3EF0-4497-8390-07379C0868DC}</x14:id>
        </ext>
      </extLst>
    </cfRule>
  </conditionalFormatting>
  <conditionalFormatting sqref="U6:V6">
    <cfRule type="dataBar" priority="327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{C6A17387-15E9-4EC7-88B0-0BC55ECE4FCB}</x14:id>
        </ext>
      </extLst>
    </cfRule>
  </conditionalFormatting>
  <conditionalFormatting sqref="U9:V9">
    <cfRule type="dataBar" priority="327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{29CFBB7E-E300-4163-A05A-A83D28DB71E3}</x14:id>
        </ext>
      </extLst>
    </cfRule>
  </conditionalFormatting>
  <conditionalFormatting sqref="U13:V13">
    <cfRule type="dataBar" priority="327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{00A7E560-495A-4C08-A4D0-FD7DF167BC55}</x14:id>
        </ext>
      </extLst>
    </cfRule>
  </conditionalFormatting>
  <conditionalFormatting sqref="U7:V7">
    <cfRule type="dataBar" priority="32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{BD46EF9B-F2EB-4587-85A7-0C25AE78937B}</x14:id>
        </ext>
      </extLst>
    </cfRule>
  </conditionalFormatting>
  <conditionalFormatting sqref="U4:V4">
    <cfRule type="dataBar" priority="327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{D2A8AFB5-2454-4456-AC49-71F0ED344DE6}</x14:id>
        </ext>
      </extLst>
    </cfRule>
  </conditionalFormatting>
  <conditionalFormatting sqref="U14:V14">
    <cfRule type="dataBar" priority="327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{74FB9D9D-1639-4C5F-8DC4-F9ACB3CC1299}</x14:id>
        </ext>
      </extLst>
    </cfRule>
  </conditionalFormatting>
  <conditionalFormatting sqref="U8:V8">
    <cfRule type="dataBar" priority="327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{AFB45822-F64D-45AC-B217-E3ADCFBBA8E1}</x14:id>
        </ext>
      </extLst>
    </cfRule>
  </conditionalFormatting>
  <conditionalFormatting sqref="U12:V12">
    <cfRule type="dataBar" priority="327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{1F0C46A8-633B-41D8-A6E3-16886272C564}</x14:id>
        </ext>
      </extLst>
    </cfRule>
  </conditionalFormatting>
  <conditionalFormatting sqref="U10:V10">
    <cfRule type="dataBar" priority="327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{D42E5BD5-C914-46DC-BBBB-43175923E59D}</x14:id>
        </ext>
      </extLst>
    </cfRule>
  </conditionalFormatting>
  <conditionalFormatting sqref="U11:V11">
    <cfRule type="dataBar" priority="327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{F1265582-E352-481F-8E2A-C27AD5C8E0E0}</x14:id>
        </ext>
      </extLst>
    </cfRule>
  </conditionalFormatting>
  <conditionalFormatting sqref="U15:V15">
    <cfRule type="dataBar" priority="327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{BA5C90F6-5DB0-49FC-A433-6C7F13BE4FDF}</x14:id>
        </ext>
      </extLst>
    </cfRule>
  </conditionalFormatting>
  <conditionalFormatting sqref="U6:V6">
    <cfRule type="dataBar" priority="327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{66E1AB0B-15FB-499F-83AF-5FE589EE4A09}</x14:id>
        </ext>
      </extLst>
    </cfRule>
  </conditionalFormatting>
  <conditionalFormatting sqref="U9:V9">
    <cfRule type="dataBar" priority="327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{5423DFD6-5628-4FC8-8D1A-4466A290D9A2}</x14:id>
        </ext>
      </extLst>
    </cfRule>
  </conditionalFormatting>
  <conditionalFormatting sqref="U13:V13">
    <cfRule type="dataBar" priority="327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{4C4488CB-4512-49AF-A187-C953FF99F297}</x14:id>
        </ext>
      </extLst>
    </cfRule>
  </conditionalFormatting>
  <conditionalFormatting sqref="U7:V7">
    <cfRule type="dataBar" priority="327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{679C4066-D99F-4D16-9529-BEA9C6C0C804}</x14:id>
        </ext>
      </extLst>
    </cfRule>
  </conditionalFormatting>
  <conditionalFormatting sqref="U4:V4">
    <cfRule type="dataBar" priority="327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{56A558FC-ED39-4BC2-9FEC-44D8F80FF6DF}</x14:id>
        </ext>
      </extLst>
    </cfRule>
  </conditionalFormatting>
  <conditionalFormatting sqref="H3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{111EDBA9-87F6-412F-8AF0-5AE8A3072AC3}</x14:id>
        </ext>
      </extLst>
    </cfRule>
    <cfRule type="cellIs" dxfId="2080" priority="32" operator="equal">
      <formula>1</formula>
    </cfRule>
  </conditionalFormatting>
  <conditionalFormatting sqref="D34">
    <cfRule type="containsText" dxfId="2079" priority="30" operator="containsText" text="Buy">
      <formula>NOT(ISERROR(SEARCH("Buy",D34)))</formula>
    </cfRule>
    <cfRule type="containsText" dxfId="2078" priority="31" operator="containsText" text="Sell">
      <formula>NOT(ISERROR(SEARCH("Sell",D34)))</formula>
    </cfRule>
  </conditionalFormatting>
  <conditionalFormatting sqref="H35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{A7B210DE-EFC9-44BC-8941-0061011B1476}</x14:id>
        </ext>
      </extLst>
    </cfRule>
    <cfRule type="cellIs" dxfId="2077" priority="28" operator="equal">
      <formula>1</formula>
    </cfRule>
  </conditionalFormatting>
  <conditionalFormatting sqref="D35">
    <cfRule type="containsText" dxfId="2076" priority="26" operator="containsText" text="Buy">
      <formula>NOT(ISERROR(SEARCH("Buy",D35)))</formula>
    </cfRule>
    <cfRule type="containsText" dxfId="2075" priority="27" operator="containsText" text="Sell">
      <formula>NOT(ISERROR(SEARCH("Sell",D35)))</formula>
    </cfRule>
  </conditionalFormatting>
  <conditionalFormatting sqref="X10:X12 X8">
    <cfRule type="dataBar" priority="329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{A50D9234-F23E-493E-8EBC-DA76FC833D01}</x14:id>
        </ext>
      </extLst>
    </cfRule>
  </conditionalFormatting>
  <conditionalFormatting sqref="L14:M14 L8:M8 L10:M12">
    <cfRule type="dataBar" priority="32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{2713AE64-579B-4523-BB78-7ADBAB2E7580}</x14:id>
        </ext>
      </extLst>
    </cfRule>
  </conditionalFormatting>
  <conditionalFormatting sqref="H3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{BB55E7E4-54EB-4138-BEED-35442B5648EB}</x14:id>
        </ext>
      </extLst>
    </cfRule>
    <cfRule type="cellIs" dxfId="2074" priority="24" operator="equal">
      <formula>1</formula>
    </cfRule>
  </conditionalFormatting>
  <conditionalFormatting sqref="D36">
    <cfRule type="containsText" dxfId="2073" priority="22" operator="containsText" text="Buy">
      <formula>NOT(ISERROR(SEARCH("Buy",D36)))</formula>
    </cfRule>
    <cfRule type="containsText" dxfId="2072" priority="23" operator="containsText" text="Sell">
      <formula>NOT(ISERROR(SEARCH("Sell",D36)))</formula>
    </cfRule>
  </conditionalFormatting>
  <conditionalFormatting sqref="H3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{A444BA02-1AAB-41FC-92C7-5CC87348E990}</x14:id>
        </ext>
      </extLst>
    </cfRule>
    <cfRule type="cellIs" dxfId="2071" priority="15" operator="equal">
      <formula>1</formula>
    </cfRule>
  </conditionalFormatting>
  <conditionalFormatting sqref="D37">
    <cfRule type="containsText" dxfId="2070" priority="13" operator="containsText" text="Buy">
      <formula>NOT(ISERROR(SEARCH("Buy",D37)))</formula>
    </cfRule>
    <cfRule type="containsText" dxfId="2069" priority="14" operator="containsText" text="Sell">
      <formula>NOT(ISERROR(SEARCH("Sell",D37)))</formula>
    </cfRule>
  </conditionalFormatting>
  <conditionalFormatting sqref="H3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{382C3449-E2A1-4ED8-B7DF-89A5AA248FE2}</x14:id>
        </ext>
      </extLst>
    </cfRule>
    <cfRule type="cellIs" dxfId="2068" priority="11" operator="equal">
      <formula>1</formula>
    </cfRule>
  </conditionalFormatting>
  <conditionalFormatting sqref="D38">
    <cfRule type="containsText" dxfId="2067" priority="9" operator="containsText" text="Buy">
      <formula>NOT(ISERROR(SEARCH("Buy",D38)))</formula>
    </cfRule>
    <cfRule type="containsText" dxfId="2066" priority="10" operator="containsText" text="Sell">
      <formula>NOT(ISERROR(SEARCH("Sell",D38)))</formula>
    </cfRule>
  </conditionalFormatting>
  <conditionalFormatting sqref="H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{29E5352E-B407-4737-A785-15169E53030D}</x14:id>
        </ext>
      </extLst>
    </cfRule>
    <cfRule type="cellIs" dxfId="2065" priority="7" operator="equal">
      <formula>1</formula>
    </cfRule>
  </conditionalFormatting>
  <conditionalFormatting sqref="D39">
    <cfRule type="containsText" dxfId="2064" priority="5" operator="containsText" text="Buy">
      <formula>NOT(ISERROR(SEARCH("Buy",D39)))</formula>
    </cfRule>
    <cfRule type="containsText" dxfId="2063" priority="6" operator="containsText" text="Sell">
      <formula>NOT(ISERROR(SEARCH("Sell",D39)))</formula>
    </cfRule>
  </conditionalFormatting>
  <conditionalFormatting sqref="U5">
    <cfRule type="dataBar" priority="336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{51BD562D-D2F7-42FF-BFBC-2B6B67C822D4}</x14:id>
        </ext>
      </extLst>
    </cfRule>
  </conditionalFormatting>
  <conditionalFormatting sqref="V5">
    <cfRule type="dataBar" priority="336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{8881FAA5-CC0D-4610-8EA1-E8EE1AAA6776}</x14:id>
        </ext>
      </extLst>
    </cfRule>
  </conditionalFormatting>
  <conditionalFormatting sqref="W5">
    <cfRule type="dataBar" priority="33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{C9C2A32C-7048-4309-83B4-BD536F7B6703}</x14:id>
        </ext>
      </extLst>
    </cfRule>
  </conditionalFormatting>
  <conditionalFormatting sqref="X5">
    <cfRule type="dataBar" priority="336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{1B3CEF41-0853-42E0-8669-3AC60F8C7DEA}</x14:id>
        </ext>
      </extLst>
    </cfRule>
  </conditionalFormatting>
  <conditionalFormatting sqref="L5">
    <cfRule type="dataBar" priority="336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{CA3F41E1-3201-4721-95EF-56CCD4A8D57F}</x14:id>
        </ext>
      </extLst>
    </cfRule>
  </conditionalFormatting>
  <conditionalFormatting sqref="L5">
    <cfRule type="dataBar" priority="33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{0382C8A2-79C0-436A-923C-F7B0309D22A0}</x14:id>
        </ext>
      </extLst>
    </cfRule>
  </conditionalFormatting>
  <conditionalFormatting sqref="L5:M5">
    <cfRule type="dataBar" priority="33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{618E2A2F-BD2F-413F-9DA1-B4929A2601D1}</x14:id>
        </ext>
      </extLst>
    </cfRule>
  </conditionalFormatting>
  <conditionalFormatting sqref="U5:V5">
    <cfRule type="dataBar" priority="336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{21BD966C-78C8-4179-B5AC-16B4466D3703}</x14:id>
        </ext>
      </extLst>
    </cfRule>
  </conditionalFormatting>
  <conditionalFormatting sqref="U5:V5">
    <cfRule type="dataBar" priority="33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{27449CF9-2EC5-462A-ACBA-5FE229E69DA7}</x14:id>
        </ext>
      </extLst>
    </cfRule>
  </conditionalFormatting>
  <conditionalFormatting sqref="I4:I15">
    <cfRule type="dataBar" priority="336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{DDF21C51-59E9-40B6-A5FF-F4C4C5520A72}</x14:id>
        </ext>
      </extLst>
    </cfRule>
  </conditionalFormatting>
  <conditionalFormatting sqref="I4:I15">
    <cfRule type="dataBar" priority="33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{812E0BA0-B160-4065-BD79-3A51D15CFA54}</x14:id>
        </ext>
      </extLst>
    </cfRule>
  </conditionalFormatting>
  <conditionalFormatting sqref="T4:T17">
    <cfRule type="dataBar" priority="336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{DD7F5CF3-6990-43BE-97B1-886F4FA70A91}</x14:id>
        </ext>
      </extLst>
    </cfRule>
  </conditionalFormatting>
  <conditionalFormatting sqref="U4:V15">
    <cfRule type="dataBar" priority="336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{362DFFF7-A816-46E8-BF17-45BD66347F0E}</x14:id>
        </ext>
      </extLst>
    </cfRule>
  </conditionalFormatting>
  <conditionalFormatting sqref="L4:M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{4BC2E654-7D64-47BA-9AAA-94928D78EDA0}</x14:id>
        </ext>
      </extLst>
    </cfRule>
  </conditionalFormatting>
  <conditionalFormatting sqref="I4:I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{D4CF0DEB-EC84-4193-BEF0-ADE36E49FCA6}</x14:id>
        </ext>
      </extLst>
    </cfRule>
  </conditionalFormatting>
  <pageMargins left="0.25" right="0.25" top="0.75" bottom="0.75" header="0.3" footer="0.3"/>
  <pageSetup paperSize="9" scale="3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7D879A-6020-4101-B3E9-DC403144C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D0D4AAB5-03CA-49FF-A719-B3D5FD5E1D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232E938D-D2C8-47CA-8A40-2B33CBCAD8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5C34E93-D58B-48A4-9439-5720613A7E2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B7824F15-289D-413B-8333-AA847EC204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E8CB87F-6C7E-4660-8013-41EFFF0C5B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39B7090E-89E8-48D5-B075-1E6FAEE71D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65050F1C-B975-4F20-985B-352FF923E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</xm:sqref>
        </x14:conditionalFormatting>
        <x14:conditionalFormatting xmlns:xm="http://schemas.microsoft.com/office/excel/2006/main">
          <x14:cfRule type="dataBar" id="{13B1112C-3E60-46FE-B6F8-E3C813496A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A6A252E-D7BF-4F15-8209-8AC1F0D043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561FEA7-FAE6-46AE-AFE8-78AAE44314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27508543-24B9-44B0-8588-02F0C8786E4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282E04E-8523-4D72-8352-D87E54A33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E630A53-84F9-4FDC-9FEE-13511F0C28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F093918B-5A83-4290-9506-C00C3A2B3F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FB64B18-F4BA-43D1-BD93-F501869E01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3915B067-FF85-4F8E-9891-CF6650C456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2BF827BE-FFF4-4700-A7DC-DAE4EFE718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F7C15524-8858-42FA-B454-A9F815BF128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85D37991-C39D-4822-9506-1535412A9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409ED64C-C6A9-4211-9843-D6C07C264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F11D1ED-330A-4DB0-8685-99452DEE7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B4D3A01-A6FB-4521-B34C-8535B1F98A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A9CC8699-E8D6-4385-A58A-23BD7E2907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5DF11F58-2A9E-4D7A-A53A-B3B8533EAB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924C5F74-8CF9-4CA4-81BD-C3F01C632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7EC648CA-1C2E-4646-9D2A-4F16F5818A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480D696A-C3BA-488A-BE0A-AB1C05882B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DDFC47F3-AE30-49A1-8BA7-11A7D4246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85B22D0-1F0B-4E77-9BFB-971FB942BF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37E5704-46B5-412A-ABB5-142CFD2874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BE207540-5702-4928-A155-1F75B96E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A23CF650-A92E-45DF-8581-5E54096145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L12:M12</xm:sqref>
        </x14:conditionalFormatting>
        <x14:conditionalFormatting xmlns:xm="http://schemas.microsoft.com/office/excel/2006/main">
          <x14:cfRule type="dataBar" id="{83DD07B7-D848-48E1-8AA6-953A1C626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BAF36AC-E170-4F1C-B9CF-C30AB92D4E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E02051CE-EDC1-4558-B07D-950DB8BB58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6D646830-CC37-4738-B038-E6C5812166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D3C6FB9-EE11-4A8C-9B8C-09D203F24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460C1D8E-54AD-4FD0-AFB4-647F9D51B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6F939FA-4627-46CB-A718-BDC059A8D7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21CE1A01-B5E4-44B0-943B-F3CF2B1B3A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E32E1EC9-E539-4813-B538-17F47A9426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3A0E5A4-3450-4DA8-898D-B52E5FFCEF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79698785-62B2-4BF9-A4B8-E21EA8DAB2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B4CEA9FB-5E39-446E-AFDF-8933A7112F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L15:M15</xm:sqref>
        </x14:conditionalFormatting>
        <x14:conditionalFormatting xmlns:xm="http://schemas.microsoft.com/office/excel/2006/main">
          <x14:cfRule type="dataBar" id="{DD414855-0424-434B-873D-723E993089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97F4D43-7E20-4475-AEE9-DA88B6F25E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5F3036E9-3568-4C82-842C-E32729DBDF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DB11CD23-B71E-4AAD-8322-D9F2F9A386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12EBD770-6512-4729-B64F-12F072DA80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8DAC599-2ED2-427E-9A02-12C16BB220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9A0B470-8F41-4C56-B685-7CBA77D702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D2D0AA2C-0676-41C7-989F-E3496A30FF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1E65A94-4652-47B4-9F9F-BE5A16585B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H29:H31</xm:sqref>
        </x14:conditionalFormatting>
        <x14:conditionalFormatting xmlns:xm="http://schemas.microsoft.com/office/excel/2006/main">
          <x14:cfRule type="dataBar" id="{373347C0-97DF-4152-B450-4EFC028CE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791606E7-CF13-4C85-BA44-D2BA2295E7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5AF4721-1C30-46FF-A17E-C7D722641A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8CA4D344-E7A9-4284-8698-BD8C91A4E3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F2146949-3474-4950-BFD7-19087182D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1D01E8B1-D30B-4CFD-8836-270FCFB524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4AEE08B-FA65-4438-8D77-31BCFD849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29F1BE98-595A-43C7-939D-A51D148135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A90CF80B-10FC-4AE9-93CF-292AFDE787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30A25B3D-49E9-426E-AD85-5CEDF5F725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34406019-6EAF-4CA6-909A-B6E7E151A3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7483010A-CA23-4BF7-873A-44A4FB5D78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B1F03407-04F8-4CD0-9464-8B253A43C8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27BCD382-6D8C-40FA-91F5-B15706B5D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0611419D-01BD-4F66-846E-EA7B585A67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854D2E12-DBBA-46DF-8B0E-231A63599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16FF3267-93C1-4CCC-9D2D-3735D7509F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</xm:sqref>
        </x14:conditionalFormatting>
        <x14:conditionalFormatting xmlns:xm="http://schemas.microsoft.com/office/excel/2006/main">
          <x14:cfRule type="dataBar" id="{93B657F5-4D42-4E9D-8A73-F1CD968D1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00F0505C-2732-490F-A601-D15FD3FFCE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EA3D56D-BC8E-4551-9D3E-5E48EAAEF5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C4C4CF22-EB02-4C0E-8C38-6874E6B585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04E68477-1DF7-4224-8472-60FDCD650F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94F4F56-D580-4EDF-96A3-DA096A500F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06C7B64-B69A-495E-A402-2B3526CB2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5E19E2C-1959-48F2-8B27-D4A8A3A24F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77D83EE-736F-4CDD-A291-43606E5AC5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1DC50F4F-4239-4593-8E51-67AA48FB61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A560AE-A65D-46E9-A239-9E892C91F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D3AC0914-ABDF-45F1-BA23-23486C1C15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B430EEA5-10CD-4BD1-A8B1-3D2CDB6D01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FAFFB9F-80C5-4634-A452-6E1F99A8F1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4CC51F8-2CEA-4355-90B0-578EC19CCF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ABEF93C2-BDEC-49FF-980C-6F24A99A0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9DA5BE3-F1D7-48F9-B158-A6E8CE14A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D5B717A-DB4D-4210-A2CE-D9AA08CEA7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BE29785A-5CD8-4500-AA01-FB0ABEDD17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7DB3EA45-EB90-4140-9494-C4FB9E07B4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B62FE0C3-6471-4723-8805-C6695A3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E66CD105-638E-4B74-9DC1-C788A55330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34590F8-3EF0-4497-8390-07379C086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C6A17387-15E9-4EC7-88B0-0BC55ECE4F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29CFBB7E-E300-4163-A05A-A83D28DB71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00A7E560-495A-4C08-A4D0-FD7DF167BC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D46EF9B-F2EB-4587-85A7-0C25AE78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2A8AFB5-2454-4456-AC49-71F0ED344D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4FB9D9D-1639-4C5F-8DC4-F9ACB3CC12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AFB45822-F64D-45AC-B217-E3ADCFBBA8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F0C46A8-633B-41D8-A6E3-16886272C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D42E5BD5-C914-46DC-BBBB-43175923E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F1265582-E352-481F-8E2A-C27AD5C8E0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BA5C90F6-5DB0-49FC-A433-6C7F13BE4F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66E1AB0B-15FB-499F-83AF-5FE589EE4A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5423DFD6-5628-4FC8-8D1A-4466A290D9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4C4488CB-4512-49AF-A187-C953FF99F2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679C4066-D99F-4D16-9529-BEA9C6C0C8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6A558FC-ED39-4BC2-9FEC-44D8F80FF6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111EDBA9-87F6-412F-8AF0-5AE8A3072A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A7B210DE-EFC9-44BC-8941-0061011B14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A50D9234-F23E-493E-8EBC-DA76FC833D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X10:X12 X8</xm:sqref>
        </x14:conditionalFormatting>
        <x14:conditionalFormatting xmlns:xm="http://schemas.microsoft.com/office/excel/2006/main">
          <x14:cfRule type="dataBar" id="{2713AE64-579B-4523-BB78-7ADBAB2E75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L14:M14 L8:M8 L10:M12</xm:sqref>
        </x14:conditionalFormatting>
        <x14:conditionalFormatting xmlns:xm="http://schemas.microsoft.com/office/excel/2006/main">
          <x14:cfRule type="dataBar" id="{BB55E7E4-54EB-4138-BEED-35442B564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A444BA02-1AAB-41FC-92C7-5CC87348E9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382C3449-E2A1-4ED8-B7DF-89A5AA24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29E5352E-B407-4737-A785-15169E5303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51BD562D-D2F7-42FF-BFBC-2B6B67C822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881FAA5-CC0D-4610-8EA1-E8EE1AAA67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C9C2A32C-7048-4309-83B4-BD536F7B6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B3CEF41-0853-42E0-8669-3AC60F8C7D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A3F41E1-3201-4721-95EF-56CCD4A8D5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382C8A2-79C0-436A-923C-F7B0309D22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18E2A2F-BD2F-413F-9DA1-B4929A2601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1BD966C-78C8-4179-B5AC-16B4466D3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7449CF9-2EC5-462A-ACBA-5FE229E69D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DF21C51-59E9-40B6-A5FF-F4C4C5520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812E0BA0-B160-4065-BD79-3A51D15CF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DD7F5CF3-6990-43BE-97B1-886F4FA70A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T4:T17</xm:sqref>
        </x14:conditionalFormatting>
        <x14:conditionalFormatting xmlns:xm="http://schemas.microsoft.com/office/excel/2006/main">
          <x14:cfRule type="dataBar" id="{362DFFF7-A816-46E8-BF17-45BD66347F0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U4:V15</xm:sqref>
        </x14:conditionalFormatting>
        <x14:conditionalFormatting xmlns:xm="http://schemas.microsoft.com/office/excel/2006/main">
          <x14:cfRule type="dataBar" id="{4BC2E654-7D64-47BA-9AAA-94928D78ED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L4:M17</xm:sqref>
        </x14:conditionalFormatting>
        <x14:conditionalFormatting xmlns:xm="http://schemas.microsoft.com/office/excel/2006/main">
          <x14:cfRule type="dataBar" id="{D4CF0DEB-EC84-4193-BEF0-ADE36E49FC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I4:I17</xm:sqref>
        </x14:conditionalFormatting>
        <x14:conditionalFormatting xmlns:xm="http://schemas.microsoft.com/office/excel/2006/main">
          <x14:cfRule type="iconSet" priority="33702" id="{F1E822F8-783D-4519-9648-AB0DC742230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J4:J15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X450"/>
  <sheetViews>
    <sheetView workbookViewId="0">
      <pane xSplit="2" topLeftCell="C1" activePane="topRight" state="frozen"/>
      <selection pane="topRight" activeCell="C17" sqref="C17"/>
    </sheetView>
  </sheetViews>
  <sheetFormatPr defaultRowHeight="12.75" x14ac:dyDescent="0.2"/>
  <cols>
    <col min="1" max="1" width="3.5703125" style="32" customWidth="1"/>
    <col min="2" max="2" width="22.140625" style="32" customWidth="1"/>
    <col min="3" max="3" width="18" style="32" customWidth="1"/>
    <col min="4" max="4" width="21.140625" style="32" customWidth="1"/>
    <col min="5" max="5" width="9.85546875" style="49" customWidth="1"/>
    <col min="6" max="6" width="10.28515625" style="49" customWidth="1"/>
    <col min="7" max="7" width="9.28515625" style="32" customWidth="1"/>
    <col min="8" max="8" width="10.285156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5703125" style="32" customWidth="1"/>
    <col min="16" max="16" width="10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32" t="s">
        <v>674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78" customHeight="1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137</v>
      </c>
      <c r="L3" s="551" t="s">
        <v>138</v>
      </c>
      <c r="M3" s="551" t="s">
        <v>117</v>
      </c>
      <c r="N3" s="551" t="s">
        <v>127</v>
      </c>
      <c r="O3" s="551" t="s">
        <v>116</v>
      </c>
      <c r="P3" s="551" t="s">
        <v>114</v>
      </c>
      <c r="Q3" s="551" t="s">
        <v>113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57" customFormat="1" x14ac:dyDescent="0.2">
      <c r="A4" s="499" t="s">
        <v>418</v>
      </c>
      <c r="B4" s="514" t="s">
        <v>205</v>
      </c>
      <c r="C4" s="494" t="s">
        <v>204</v>
      </c>
      <c r="D4" s="497" t="e">
        <f t="shared" ref="D4:D22" ca="1" si="0">P4/$P$23</f>
        <v>#NAME?</v>
      </c>
      <c r="E4" s="495">
        <f>$F$111</f>
        <v>10540</v>
      </c>
      <c r="F4" s="496">
        <f>$H$111</f>
        <v>3.5157387096774193</v>
      </c>
      <c r="G4" s="496" t="e">
        <f ca="1">_xll.BDP($C4,"PX_LAST")</f>
        <v>#NAME?</v>
      </c>
      <c r="H4" s="496" t="e">
        <f ca="1">_xll.BDP($C4,"BEST_TARGET_PRICE")</f>
        <v>#NAME?</v>
      </c>
      <c r="I4" s="572" t="e">
        <f t="shared" ref="I4:I13" ca="1" si="1">H4/G4-1</f>
        <v>#NAME?</v>
      </c>
      <c r="J4" s="498" t="e">
        <f ca="1">_xll.BDP($C4,"CRNCY")</f>
        <v>#NAME?</v>
      </c>
      <c r="K4" s="497" t="e">
        <f t="shared" ref="K4:K13" ca="1" si="2">O4/M4-1</f>
        <v>#NAME?</v>
      </c>
      <c r="L4" s="497" t="e">
        <f t="shared" ref="L4:L13" ca="1" si="3">P4/N4-1</f>
        <v>#NAME?</v>
      </c>
      <c r="M4" s="495" t="e">
        <f ca="1">$K$111</f>
        <v>#NAME?</v>
      </c>
      <c r="N4" s="495">
        <f>E4*F4</f>
        <v>37055.885999999999</v>
      </c>
      <c r="O4" s="495" t="e">
        <f ca="1">E4*G4*$I$1</f>
        <v>#NAME?</v>
      </c>
      <c r="P4" s="495" t="e">
        <f ca="1">E4*G4</f>
        <v>#NAME?</v>
      </c>
      <c r="Q4" s="508" t="e">
        <f t="shared" ref="Q4:Q13" ca="1" si="4">O4-M4</f>
        <v>#NAME?</v>
      </c>
      <c r="R4" s="508" t="e">
        <f t="shared" ref="R4:R13" ca="1" si="5">P4-N4</f>
        <v>#NAME?</v>
      </c>
      <c r="S4" s="509" t="e">
        <f ca="1">_xll.BDP($C4,"EQY_DVD_YLD_EST")</f>
        <v>#NAME?</v>
      </c>
      <c r="T4" s="518" t="e">
        <f t="shared" ref="T4:T13" ca="1" si="6">P4</f>
        <v>#NAME?</v>
      </c>
      <c r="U4" s="515" t="e">
        <f ca="1">_xll.BDP($C4,"CHG_PCT_YTD")</f>
        <v>#NAME?</v>
      </c>
      <c r="V4" s="515" t="e">
        <f ca="1">_xll.BDP($C4,"CHG_PCT_1YR")</f>
        <v>#NAME?</v>
      </c>
      <c r="W4" s="515" t="e">
        <f ca="1">_xll.BDP($C4,"EXPECTED_REPORT_DT")</f>
        <v>#NAME?</v>
      </c>
      <c r="X4" s="515" t="e">
        <f ca="1">_xll.BDP($C4,"DVD_EX_DT")</f>
        <v>#NAME?</v>
      </c>
    </row>
    <row r="5" spans="1:24" s="494" customFormat="1" x14ac:dyDescent="0.2">
      <c r="A5" s="499" t="s">
        <v>418</v>
      </c>
      <c r="B5" s="514" t="s">
        <v>349</v>
      </c>
      <c r="C5" s="494" t="s">
        <v>331</v>
      </c>
      <c r="D5" s="497" t="e">
        <f t="shared" ca="1" si="0"/>
        <v>#NAME?</v>
      </c>
      <c r="E5" s="495">
        <f>$F$127</f>
        <v>3270</v>
      </c>
      <c r="F5" s="496">
        <f>$H$127</f>
        <v>7.63</v>
      </c>
      <c r="G5" s="496" t="e">
        <f ca="1">_xll.BDP($C5,"PX_LAST")</f>
        <v>#NAME?</v>
      </c>
      <c r="H5" s="496" t="e">
        <f ca="1">_xll.BDP($C5,"BEST_TARGET_PRICE")</f>
        <v>#NAME?</v>
      </c>
      <c r="I5" s="572" t="e">
        <f t="shared" ca="1" si="1"/>
        <v>#NAME?</v>
      </c>
      <c r="J5" s="498" t="e">
        <f ca="1">_xll.BDP($C5,"CRNCY")</f>
        <v>#NAME?</v>
      </c>
      <c r="K5" s="497" t="e">
        <f t="shared" ca="1" si="2"/>
        <v>#NAME?</v>
      </c>
      <c r="L5" s="497" t="e">
        <f t="shared" ca="1" si="3"/>
        <v>#NAME?</v>
      </c>
      <c r="M5" s="495" t="e">
        <f ca="1">$K$127</f>
        <v>#NAME?</v>
      </c>
      <c r="N5" s="495">
        <f>E5*F5</f>
        <v>24950.1</v>
      </c>
      <c r="O5" s="495" t="e">
        <f ca="1">E5*G5*$I$1</f>
        <v>#NAME?</v>
      </c>
      <c r="P5" s="495" t="e">
        <f ca="1">E5*G5</f>
        <v>#NAME?</v>
      </c>
      <c r="Q5" s="508" t="e">
        <f t="shared" ca="1" si="4"/>
        <v>#NAME?</v>
      </c>
      <c r="R5" s="508" t="e">
        <f t="shared" ca="1" si="5"/>
        <v>#NAME?</v>
      </c>
      <c r="S5" s="509" t="e">
        <f ca="1">_xll.BDP($C5,"EQY_DVD_YLD_EST")</f>
        <v>#NAME?</v>
      </c>
      <c r="T5" s="518" t="e">
        <f t="shared" ca="1" si="6"/>
        <v>#NAME?</v>
      </c>
      <c r="U5" s="515" t="e">
        <f ca="1">_xll.BDP($C5,"CHG_PCT_YTD")</f>
        <v>#NAME?</v>
      </c>
      <c r="V5" s="515" t="e">
        <f ca="1">_xll.BDP($C5,"CHG_PCT_1YR")</f>
        <v>#NAME?</v>
      </c>
      <c r="W5" s="515" t="e">
        <f ca="1">_xll.BDP($C5,"EXPECTED_REPORT_DT")</f>
        <v>#NAME?</v>
      </c>
      <c r="X5" s="515" t="e">
        <f ca="1">_xll.BDP($C5,"DVD_EX_DT")</f>
        <v>#NAME?</v>
      </c>
    </row>
    <row r="6" spans="1:24" s="494" customFormat="1" x14ac:dyDescent="0.2">
      <c r="A6" s="499" t="s">
        <v>418</v>
      </c>
      <c r="B6" s="514" t="s">
        <v>366</v>
      </c>
      <c r="C6" s="494" t="s">
        <v>360</v>
      </c>
      <c r="D6" s="497" t="e">
        <f t="shared" ca="1" si="0"/>
        <v>#NAME?</v>
      </c>
      <c r="E6" s="495">
        <f>$F$98</f>
        <v>893</v>
      </c>
      <c r="F6" s="496">
        <f>$H$98</f>
        <v>21.23</v>
      </c>
      <c r="G6" s="496" t="e">
        <f ca="1">_xll.BDP($C6,"PX_LAST")</f>
        <v>#NAME?</v>
      </c>
      <c r="H6" s="496" t="e">
        <f ca="1">_xll.BDP($C6,"BEST_TARGET_PRICE")</f>
        <v>#NAME?</v>
      </c>
      <c r="I6" s="572" t="e">
        <f t="shared" ca="1" si="1"/>
        <v>#NAME?</v>
      </c>
      <c r="J6" s="498" t="e">
        <f ca="1">_xll.BDP($C6,"CRNCY")</f>
        <v>#NAME?</v>
      </c>
      <c r="K6" s="497" t="e">
        <f t="shared" ca="1" si="2"/>
        <v>#NAME?</v>
      </c>
      <c r="L6" s="497" t="e">
        <f t="shared" ca="1" si="3"/>
        <v>#NAME?</v>
      </c>
      <c r="M6" s="495" t="e">
        <f ca="1">$K$98</f>
        <v>#NAME?</v>
      </c>
      <c r="N6" s="495">
        <f>E6*F6</f>
        <v>18958.39</v>
      </c>
      <c r="O6" s="495" t="e">
        <f ca="1">E6*G6*$I$1</f>
        <v>#NAME?</v>
      </c>
      <c r="P6" s="495" t="e">
        <f ca="1">E6*G6</f>
        <v>#NAME?</v>
      </c>
      <c r="Q6" s="508" t="e">
        <f t="shared" ca="1" si="4"/>
        <v>#NAME?</v>
      </c>
      <c r="R6" s="508" t="e">
        <f t="shared" ca="1" si="5"/>
        <v>#NAME?</v>
      </c>
      <c r="S6" s="509" t="e">
        <f ca="1">_xll.BDP($C6,"EQY_DVD_YLD_EST")</f>
        <v>#NAME?</v>
      </c>
      <c r="T6" s="518" t="e">
        <f t="shared" ca="1" si="6"/>
        <v>#NAME?</v>
      </c>
      <c r="U6" s="515" t="e">
        <f ca="1">_xll.BDP($C6,"CHG_PCT_YTD")</f>
        <v>#NAME?</v>
      </c>
      <c r="V6" s="515" t="e">
        <f ca="1">_xll.BDP($C6,"CHG_PCT_1YR")</f>
        <v>#NAME?</v>
      </c>
      <c r="W6" s="515" t="e">
        <f ca="1">_xll.BDP($C6,"EXPECTED_REPORT_DT")</f>
        <v>#NAME?</v>
      </c>
      <c r="X6" s="515" t="e">
        <f ca="1">_xll.BDP($C6,"DVD_EX_DT")</f>
        <v>#NAME?</v>
      </c>
    </row>
    <row r="7" spans="1:24" s="494" customFormat="1" x14ac:dyDescent="0.2">
      <c r="A7" s="499" t="s">
        <v>418</v>
      </c>
      <c r="B7" s="514" t="s">
        <v>358</v>
      </c>
      <c r="C7" s="494" t="s">
        <v>55</v>
      </c>
      <c r="D7" s="497" t="e">
        <f t="shared" ca="1" si="0"/>
        <v>#NAME?</v>
      </c>
      <c r="E7" s="495">
        <f>$F$101</f>
        <v>147</v>
      </c>
      <c r="F7" s="496">
        <f>$H$101</f>
        <v>10245</v>
      </c>
      <c r="G7" s="496" t="e">
        <f ca="1">_xll.BDP($C7,"PX_LAST")</f>
        <v>#NAME?</v>
      </c>
      <c r="H7" s="496" t="e">
        <f ca="1">_xll.BDP($C7,"BEST_TARGET_PRICE")</f>
        <v>#NAME?</v>
      </c>
      <c r="I7" s="572" t="e">
        <f t="shared" ca="1" si="1"/>
        <v>#NAME?</v>
      </c>
      <c r="J7" s="498" t="e">
        <f ca="1">_xll.BDP($C7,"CRNCY")</f>
        <v>#NAME?</v>
      </c>
      <c r="K7" s="497" t="e">
        <f t="shared" ca="1" si="2"/>
        <v>#NAME?</v>
      </c>
      <c r="L7" s="497" t="e">
        <f t="shared" ca="1" si="3"/>
        <v>#NAME?</v>
      </c>
      <c r="M7" s="495">
        <f>E7*F7</f>
        <v>1506015</v>
      </c>
      <c r="N7" s="495" t="e">
        <f ca="1">$J$101</f>
        <v>#NAME?</v>
      </c>
      <c r="O7" s="495" t="e">
        <f ca="1">E7*G7</f>
        <v>#NAME?</v>
      </c>
      <c r="P7" s="495" t="e">
        <f ca="1">E7*G7/$I$1</f>
        <v>#NAME?</v>
      </c>
      <c r="Q7" s="508" t="e">
        <f t="shared" ca="1" si="4"/>
        <v>#NAME?</v>
      </c>
      <c r="R7" s="508" t="e">
        <f t="shared" ca="1" si="5"/>
        <v>#NAME?</v>
      </c>
      <c r="S7" s="509" t="e">
        <f ca="1">_xll.BDP($C7,"EQY_DVD_YLD_EST")</f>
        <v>#NAME?</v>
      </c>
      <c r="T7" s="518" t="e">
        <f t="shared" ca="1" si="6"/>
        <v>#NAME?</v>
      </c>
      <c r="U7" s="515" t="e">
        <f ca="1">_xll.BDP($C7,"CHG_PCT_YTD")</f>
        <v>#NAME?</v>
      </c>
      <c r="V7" s="515" t="e">
        <f ca="1">_xll.BDP($C7,"CHG_PCT_1YR")</f>
        <v>#NAME?</v>
      </c>
      <c r="W7" s="515" t="e">
        <f ca="1">_xll.BDP($C7,"EXPECTED_REPORT_DT")</f>
        <v>#NAME?</v>
      </c>
      <c r="X7" s="515" t="e">
        <f ca="1">_xll.BDP($C7,"DVD_EX_DT")</f>
        <v>#NAME?</v>
      </c>
    </row>
    <row r="8" spans="1:24" s="494" customFormat="1" x14ac:dyDescent="0.2">
      <c r="A8" s="499" t="s">
        <v>418</v>
      </c>
      <c r="B8" s="514" t="s">
        <v>96</v>
      </c>
      <c r="C8" s="494" t="s">
        <v>184</v>
      </c>
      <c r="D8" s="497" t="e">
        <f t="shared" ca="1" si="0"/>
        <v>#NAME?</v>
      </c>
      <c r="E8" s="495">
        <f>$F$52</f>
        <v>6200</v>
      </c>
      <c r="F8" s="543">
        <f>$H$52</f>
        <v>755.72258064516132</v>
      </c>
      <c r="G8" s="543" t="e">
        <f ca="1">_xll.BDP($C8,"PX_LAST")</f>
        <v>#NAME?</v>
      </c>
      <c r="H8" s="496" t="e">
        <f ca="1">_xll.BDP($C8,"BEST_TARGET_PRICE")</f>
        <v>#NAME?</v>
      </c>
      <c r="I8" s="572" t="e">
        <f t="shared" ca="1" si="1"/>
        <v>#NAME?</v>
      </c>
      <c r="J8" s="498" t="e">
        <f ca="1">_xll.BDP($C8,"CRNCY")</f>
        <v>#NAME?</v>
      </c>
      <c r="K8" s="497" t="e">
        <f t="shared" ca="1" si="2"/>
        <v>#NAME?</v>
      </c>
      <c r="L8" s="497" t="e">
        <f t="shared" ca="1" si="3"/>
        <v>#NAME?</v>
      </c>
      <c r="M8" s="495">
        <f>E8*F8</f>
        <v>4685480</v>
      </c>
      <c r="N8" s="495" t="e">
        <f ca="1">$J$52</f>
        <v>#NAME?</v>
      </c>
      <c r="O8" s="495" t="e">
        <f ca="1">E8*G8</f>
        <v>#NAME?</v>
      </c>
      <c r="P8" s="495" t="e">
        <f ca="1">E8*G8/$I$1</f>
        <v>#NAME?</v>
      </c>
      <c r="Q8" s="508" t="e">
        <f t="shared" ca="1" si="4"/>
        <v>#NAME?</v>
      </c>
      <c r="R8" s="508" t="e">
        <f t="shared" ca="1" si="5"/>
        <v>#NAME?</v>
      </c>
      <c r="S8" s="509" t="e">
        <f ca="1">_xll.BDP($C8,"EQY_DVD_YLD_EST")</f>
        <v>#NAME?</v>
      </c>
      <c r="T8" s="518" t="e">
        <f t="shared" ca="1" si="6"/>
        <v>#NAME?</v>
      </c>
      <c r="U8" s="515" t="e">
        <f ca="1">_xll.BDP($C8,"CHG_PCT_YTD")</f>
        <v>#NAME?</v>
      </c>
      <c r="V8" s="515" t="e">
        <f ca="1">_xll.BDP($C8,"CHG_PCT_1YR")</f>
        <v>#NAME?</v>
      </c>
      <c r="W8" s="515" t="e">
        <f ca="1">_xll.BDP($C8,"EXPECTED_REPORT_DT")</f>
        <v>#NAME?</v>
      </c>
      <c r="X8" s="515" t="e">
        <f ca="1">_xll.BDP($C8,"DVD_EX_DT")</f>
        <v>#NAME?</v>
      </c>
    </row>
    <row r="9" spans="1:24" s="494" customFormat="1" x14ac:dyDescent="0.2">
      <c r="A9" s="499" t="s">
        <v>418</v>
      </c>
      <c r="B9" s="514" t="s">
        <v>725</v>
      </c>
      <c r="C9" s="494" t="s">
        <v>745</v>
      </c>
      <c r="D9" s="497" t="e">
        <f t="shared" ca="1" si="0"/>
        <v>#NAME?</v>
      </c>
      <c r="E9" s="495">
        <f>$F$130</f>
        <v>470</v>
      </c>
      <c r="F9" s="496">
        <f>$H$130</f>
        <v>53.047871999999998</v>
      </c>
      <c r="G9" s="496" t="e">
        <f ca="1">_xll.BDP($C9,"PX_LAST")</f>
        <v>#NAME?</v>
      </c>
      <c r="H9" s="496" t="e">
        <f ca="1">_xll.BDP($C9,"BEST_TARGET_PRICE")</f>
        <v>#NAME?</v>
      </c>
      <c r="I9" s="572" t="e">
        <f t="shared" ca="1" si="1"/>
        <v>#NAME?</v>
      </c>
      <c r="J9" s="498" t="e">
        <f ca="1">_xll.BDP($C9,"CRNCY")</f>
        <v>#NAME?</v>
      </c>
      <c r="K9" s="497" t="e">
        <f t="shared" ca="1" si="2"/>
        <v>#NAME?</v>
      </c>
      <c r="L9" s="497" t="e">
        <f t="shared" ca="1" si="3"/>
        <v>#NAME?</v>
      </c>
      <c r="M9" s="495" t="e">
        <f ca="1">$K$130</f>
        <v>#NAME?</v>
      </c>
      <c r="N9" s="495">
        <f>E9*F9</f>
        <v>24932.49984</v>
      </c>
      <c r="O9" s="495" t="e">
        <f ca="1">E9*G9*$I$1</f>
        <v>#NAME?</v>
      </c>
      <c r="P9" s="495" t="e">
        <f ca="1">E9*G9</f>
        <v>#NAME?</v>
      </c>
      <c r="Q9" s="508" t="e">
        <f t="shared" ca="1" si="4"/>
        <v>#NAME?</v>
      </c>
      <c r="R9" s="508" t="e">
        <f t="shared" ca="1" si="5"/>
        <v>#NAME?</v>
      </c>
      <c r="S9" s="509" t="e">
        <f ca="1">_xll.BDP($C9,"EQY_DVD_YLD_EST")</f>
        <v>#NAME?</v>
      </c>
      <c r="T9" s="518" t="e">
        <f t="shared" ca="1" si="6"/>
        <v>#NAME?</v>
      </c>
      <c r="U9" s="515" t="e">
        <f ca="1">_xll.BDP($C9,"CHG_PCT_YTD")</f>
        <v>#NAME?</v>
      </c>
      <c r="V9" s="515" t="e">
        <f ca="1">_xll.BDP($C9,"CHG_PCT_1YR")</f>
        <v>#NAME?</v>
      </c>
      <c r="W9" s="515" t="e">
        <f ca="1">_xll.BDP($C9,"EXPECTED_REPORT_DT")</f>
        <v>#NAME?</v>
      </c>
      <c r="X9" s="515" t="e">
        <f ca="1">_xll.BDP($C9,"DVD_EX_DT")</f>
        <v>#NAME?</v>
      </c>
    </row>
    <row r="10" spans="1:24" s="494" customFormat="1" x14ac:dyDescent="0.2">
      <c r="A10" s="499" t="s">
        <v>418</v>
      </c>
      <c r="B10" s="514" t="s">
        <v>333</v>
      </c>
      <c r="C10" s="494" t="s">
        <v>332</v>
      </c>
      <c r="D10" s="497" t="e">
        <f t="shared" ca="1" si="0"/>
        <v>#NAME?</v>
      </c>
      <c r="E10" s="495">
        <f>$F$89</f>
        <v>15830</v>
      </c>
      <c r="F10" s="496">
        <f>$H$89</f>
        <v>261.95073278584965</v>
      </c>
      <c r="G10" s="496" t="e">
        <f ca="1">_xll.BDP($C10,"PX_LAST")</f>
        <v>#NAME?</v>
      </c>
      <c r="H10" s="496" t="e">
        <f ca="1">_xll.BDP($C10,"BEST_TARGET_PRICE")</f>
        <v>#NAME?</v>
      </c>
      <c r="I10" s="572" t="e">
        <f t="shared" ca="1" si="1"/>
        <v>#NAME?</v>
      </c>
      <c r="J10" s="498" t="e">
        <f ca="1">_xll.BDP($C10,"CRNCY")</f>
        <v>#NAME?</v>
      </c>
      <c r="K10" s="497" t="e">
        <f t="shared" ca="1" si="2"/>
        <v>#NAME?</v>
      </c>
      <c r="L10" s="497" t="e">
        <f t="shared" ca="1" si="3"/>
        <v>#NAME?</v>
      </c>
      <c r="M10" s="495">
        <f>E10*F10</f>
        <v>4146680.1</v>
      </c>
      <c r="N10" s="495" t="e">
        <f ca="1">$J$89</f>
        <v>#NAME?</v>
      </c>
      <c r="O10" s="495" t="e">
        <f ca="1">E10*G10</f>
        <v>#NAME?</v>
      </c>
      <c r="P10" s="495" t="e">
        <f ca="1">E10*G10/$I$1</f>
        <v>#NAME?</v>
      </c>
      <c r="Q10" s="508" t="e">
        <f t="shared" ca="1" si="4"/>
        <v>#NAME?</v>
      </c>
      <c r="R10" s="508" t="e">
        <f t="shared" ca="1" si="5"/>
        <v>#NAME?</v>
      </c>
      <c r="S10" s="509" t="e">
        <f ca="1">_xll.BDP($C10,"EQY_DVD_YLD_EST")</f>
        <v>#NAME?</v>
      </c>
      <c r="T10" s="518" t="e">
        <f t="shared" ca="1" si="6"/>
        <v>#NAME?</v>
      </c>
      <c r="U10" s="515" t="e">
        <f ca="1">_xll.BDP($C10,"CHG_PCT_YTD")</f>
        <v>#NAME?</v>
      </c>
      <c r="V10" s="515" t="e">
        <f ca="1">_xll.BDP($C10,"CHG_PCT_1YR")</f>
        <v>#NAME?</v>
      </c>
      <c r="W10" s="515" t="e">
        <f ca="1">_xll.BDP($C10,"EXPECTED_REPORT_DT")</f>
        <v>#NAME?</v>
      </c>
      <c r="X10" s="515" t="e">
        <f ca="1">_xll.BDP($C10,"DVD_EX_DT")</f>
        <v>#NAME?</v>
      </c>
    </row>
    <row r="11" spans="1:24" s="494" customFormat="1" x14ac:dyDescent="0.2">
      <c r="A11" s="499" t="s">
        <v>418</v>
      </c>
      <c r="B11" s="514" t="s">
        <v>170</v>
      </c>
      <c r="C11" s="494" t="s">
        <v>169</v>
      </c>
      <c r="D11" s="497" t="e">
        <f t="shared" ca="1" si="0"/>
        <v>#NAME?</v>
      </c>
      <c r="E11" s="495">
        <f>$F$59</f>
        <v>12000</v>
      </c>
      <c r="F11" s="496">
        <f>$H$59</f>
        <v>1.57323733</v>
      </c>
      <c r="G11" s="496" t="e">
        <f ca="1">_xll.BDP($C11,"PX_LAST")</f>
        <v>#NAME?</v>
      </c>
      <c r="H11" s="496" t="e">
        <f ca="1">_xll.BDP($C11,"BEST_TARGET_PRICE")</f>
        <v>#NAME?</v>
      </c>
      <c r="I11" s="572" t="e">
        <f t="shared" ca="1" si="1"/>
        <v>#NAME?</v>
      </c>
      <c r="J11" s="498" t="e">
        <f ca="1">_xll.BDP($C11,"CRNCY")</f>
        <v>#NAME?</v>
      </c>
      <c r="K11" s="497" t="e">
        <f t="shared" ca="1" si="2"/>
        <v>#NAME?</v>
      </c>
      <c r="L11" s="497" t="e">
        <f t="shared" ca="1" si="3"/>
        <v>#NAME?</v>
      </c>
      <c r="M11" s="495" t="e">
        <f ca="1">$K$59</f>
        <v>#NAME?</v>
      </c>
      <c r="N11" s="495">
        <f>E11*F11</f>
        <v>18878.847959999999</v>
      </c>
      <c r="O11" s="495" t="e">
        <f ca="1">E11*G11*$I$1</f>
        <v>#NAME?</v>
      </c>
      <c r="P11" s="495" t="e">
        <f ca="1">E11*G11</f>
        <v>#NAME?</v>
      </c>
      <c r="Q11" s="508" t="e">
        <f t="shared" ca="1" si="4"/>
        <v>#NAME?</v>
      </c>
      <c r="R11" s="508" t="e">
        <f t="shared" ca="1" si="5"/>
        <v>#NAME?</v>
      </c>
      <c r="S11" s="509" t="e">
        <f ca="1">_xll.BDP($C11,"EQY_DVD_YLD_EST")</f>
        <v>#NAME?</v>
      </c>
      <c r="T11" s="518" t="e">
        <f t="shared" ca="1" si="6"/>
        <v>#NAME?</v>
      </c>
      <c r="U11" s="515" t="e">
        <f ca="1">_xll.BDP($C11,"CHG_PCT_YTD")</f>
        <v>#NAME?</v>
      </c>
      <c r="V11" s="515" t="e">
        <f ca="1">_xll.BDP($C11,"CHG_PCT_1YR")</f>
        <v>#NAME?</v>
      </c>
      <c r="W11" s="515" t="e">
        <f ca="1">_xll.BDP($C11,"EXPECTED_REPORT_DT")</f>
        <v>#NAME?</v>
      </c>
      <c r="X11" s="515" t="e">
        <f ca="1">_xll.BDP($C11,"DVD_EX_DT")</f>
        <v>#NAME?</v>
      </c>
    </row>
    <row r="12" spans="1:24" s="494" customFormat="1" x14ac:dyDescent="0.2">
      <c r="A12" s="499" t="s">
        <v>418</v>
      </c>
      <c r="B12" s="514" t="s">
        <v>183</v>
      </c>
      <c r="C12" s="494" t="s">
        <v>182</v>
      </c>
      <c r="D12" s="497" t="e">
        <f t="shared" ca="1" si="0"/>
        <v>#NAME?</v>
      </c>
      <c r="E12" s="495">
        <f>$F$56</f>
        <v>143970</v>
      </c>
      <c r="F12" s="496">
        <f>$H$56</f>
        <v>33.828136070014587</v>
      </c>
      <c r="G12" s="496" t="e">
        <f ca="1">_xll.BDP($C12,"PX_LAST")</f>
        <v>#NAME?</v>
      </c>
      <c r="H12" s="496" t="e">
        <f ca="1">_xll.BDP($C12,"BEST_TARGET_PRICE")</f>
        <v>#NAME?</v>
      </c>
      <c r="I12" s="572" t="e">
        <f t="shared" ca="1" si="1"/>
        <v>#NAME?</v>
      </c>
      <c r="J12" s="498" t="e">
        <f ca="1">_xll.BDP($C12,"CRNCY")</f>
        <v>#NAME?</v>
      </c>
      <c r="K12" s="497" t="e">
        <f t="shared" ca="1" si="2"/>
        <v>#NAME?</v>
      </c>
      <c r="L12" s="497" t="e">
        <f t="shared" ca="1" si="3"/>
        <v>#NAME?</v>
      </c>
      <c r="M12" s="495">
        <f>E12*F12</f>
        <v>4870236.75</v>
      </c>
      <c r="N12" s="495" t="e">
        <f ca="1">$J$56</f>
        <v>#NAME?</v>
      </c>
      <c r="O12" s="495" t="e">
        <f ca="1">E12*G12</f>
        <v>#NAME?</v>
      </c>
      <c r="P12" s="495" t="e">
        <f ca="1">E12*G12/$I$1</f>
        <v>#NAME?</v>
      </c>
      <c r="Q12" s="508" t="e">
        <f t="shared" ca="1" si="4"/>
        <v>#NAME?</v>
      </c>
      <c r="R12" s="508" t="e">
        <f t="shared" ca="1" si="5"/>
        <v>#NAME?</v>
      </c>
      <c r="S12" s="509" t="e">
        <f ca="1">_xll.BDP($C12,"EQY_DVD_YLD_EST")</f>
        <v>#NAME?</v>
      </c>
      <c r="T12" s="518" t="e">
        <f t="shared" ca="1" si="6"/>
        <v>#NAME?</v>
      </c>
      <c r="U12" s="515" t="e">
        <f ca="1">_xll.BDP($C12,"CHG_PCT_YTD")</f>
        <v>#NAME?</v>
      </c>
      <c r="V12" s="515" t="e">
        <f ca="1">_xll.BDP($C12,"CHG_PCT_1YR")</f>
        <v>#NAME?</v>
      </c>
      <c r="W12" s="515" t="e">
        <f ca="1">_xll.BDP($C12,"EXPECTED_REPORT_DT")</f>
        <v>#NAME?</v>
      </c>
      <c r="X12" s="515" t="e">
        <f ca="1">_xll.BDP($C12,"DVD_EX_DT")</f>
        <v>#NAME?</v>
      </c>
    </row>
    <row r="13" spans="1:24" s="494" customFormat="1" x14ac:dyDescent="0.2">
      <c r="A13" s="499" t="s">
        <v>418</v>
      </c>
      <c r="B13" s="514" t="s">
        <v>408</v>
      </c>
      <c r="C13" s="494" t="s">
        <v>791</v>
      </c>
      <c r="D13" s="497" t="e">
        <f t="shared" ca="1" si="0"/>
        <v>#NAME?</v>
      </c>
      <c r="E13" s="495">
        <f>$F$133</f>
        <v>802</v>
      </c>
      <c r="F13" s="496">
        <f>$H$133</f>
        <v>2459.7370000000001</v>
      </c>
      <c r="G13" s="496" t="e">
        <f ca="1">_xll.BDP($C13,"PX_LAST")</f>
        <v>#NAME?</v>
      </c>
      <c r="H13" s="496" t="e">
        <f ca="1">_xll.BDP($C13,"BEST_TARGET_PRICE")</f>
        <v>#NAME?</v>
      </c>
      <c r="I13" s="572" t="e">
        <f t="shared" ca="1" si="1"/>
        <v>#NAME?</v>
      </c>
      <c r="J13" s="498" t="e">
        <f ca="1">_xll.BDP($C13,"CRNCY")</f>
        <v>#NAME?</v>
      </c>
      <c r="K13" s="497" t="e">
        <f t="shared" ca="1" si="2"/>
        <v>#NAME?</v>
      </c>
      <c r="L13" s="497" t="e">
        <f t="shared" ca="1" si="3"/>
        <v>#NAME?</v>
      </c>
      <c r="M13" s="495">
        <f>E13*F13</f>
        <v>1972709.074</v>
      </c>
      <c r="N13" s="495" t="e">
        <f ca="1">$J$133</f>
        <v>#NAME?</v>
      </c>
      <c r="O13" s="495" t="e">
        <f ca="1">E13*G13</f>
        <v>#NAME?</v>
      </c>
      <c r="P13" s="495" t="e">
        <f ca="1">E13*G13/$I$1</f>
        <v>#NAME?</v>
      </c>
      <c r="Q13" s="508" t="e">
        <f t="shared" ca="1" si="4"/>
        <v>#NAME?</v>
      </c>
      <c r="R13" s="508" t="e">
        <f t="shared" ca="1" si="5"/>
        <v>#NAME?</v>
      </c>
      <c r="S13" s="509" t="e">
        <f ca="1">_xll.BDP($C13,"EQY_DVD_YLD_EST")</f>
        <v>#NAME?</v>
      </c>
      <c r="T13" s="518" t="e">
        <f t="shared" ca="1" si="6"/>
        <v>#NAME?</v>
      </c>
      <c r="U13" s="515" t="e">
        <f ca="1">_xll.BDP($C13,"CHG_PCT_YTD")</f>
        <v>#NAME?</v>
      </c>
      <c r="V13" s="515" t="e">
        <f ca="1">_xll.BDP($C13,"CHG_PCT_1YR")</f>
        <v>#NAME?</v>
      </c>
      <c r="W13" s="515" t="e">
        <f ca="1">_xll.BDP($C13,"EXPECTED_REPORT_DT")</f>
        <v>#NAME?</v>
      </c>
      <c r="X13" s="515" t="e">
        <f ca="1">_xll.BDP($C13,"DVD_EX_DT")</f>
        <v>#NAME?</v>
      </c>
    </row>
    <row r="14" spans="1:24" s="440" customFormat="1" x14ac:dyDescent="0.2">
      <c r="A14" s="493" t="s">
        <v>418</v>
      </c>
      <c r="B14" s="441" t="e">
        <f ca="1">_xll.BDP(C14,"SECURITY_NAME")</f>
        <v>#NAME?</v>
      </c>
      <c r="C14" s="440" t="s">
        <v>697</v>
      </c>
      <c r="D14" s="442" t="e">
        <f t="shared" ca="1" si="0"/>
        <v>#NAME?</v>
      </c>
      <c r="E14" s="443">
        <f>$F$76</f>
        <v>477000</v>
      </c>
      <c r="F14" s="501">
        <f>$H$76</f>
        <v>96</v>
      </c>
      <c r="G14" s="444" t="e">
        <f ca="1">_xll.BDP(C14,"PX ASK")</f>
        <v>#NAME?</v>
      </c>
      <c r="H14" s="444"/>
      <c r="I14" s="444"/>
      <c r="J14" s="445" t="e">
        <f ca="1">_xll.BDP($C14,"CRNCY")</f>
        <v>#NAME?</v>
      </c>
      <c r="K14" s="442" t="e">
        <f t="shared" ref="K14:L21" ca="1" si="7">O14/M14-1</f>
        <v>#NAME?</v>
      </c>
      <c r="L14" s="442" t="e">
        <f t="shared" ca="1" si="7"/>
        <v>#NAME?</v>
      </c>
      <c r="M14" s="443" t="e">
        <f ca="1">$K$76</f>
        <v>#NAME?</v>
      </c>
      <c r="N14" s="443">
        <f t="shared" ref="N14:N21" si="8">E14*F14/100</f>
        <v>457920</v>
      </c>
      <c r="O14" s="443" t="e">
        <f t="shared" ref="O14:O21" ca="1" si="9">E14*G14/100*$I$1</f>
        <v>#NAME?</v>
      </c>
      <c r="P14" s="443" t="e">
        <f t="shared" ref="P14:P21" ca="1" si="10">E14*G14/100</f>
        <v>#NAME?</v>
      </c>
      <c r="Q14" s="446" t="e">
        <f t="shared" ref="Q14:R21" ca="1" si="11">O14-M14</f>
        <v>#NAME?</v>
      </c>
      <c r="R14" s="446" t="e">
        <f t="shared" ca="1" si="11"/>
        <v>#NAME?</v>
      </c>
      <c r="S14" s="482" t="e">
        <f ca="1">_xll.BDP(C14,"YLD_YTM_MID")</f>
        <v>#NAME?</v>
      </c>
      <c r="T14" s="463" t="e">
        <f ca="1">E14*_xll.BDP(C14,"PX_GROSS_MID")/100</f>
        <v>#NAME?</v>
      </c>
      <c r="U14" s="448" t="e">
        <f ca="1">_xll.BDP($C14,"CHG_PCT_YTD")</f>
        <v>#NAME?</v>
      </c>
      <c r="V14" s="448" t="e">
        <f ca="1">_xll.BDP($C14,"CHG_PCT_1YR")</f>
        <v>#NAME?</v>
      </c>
      <c r="W14" s="448"/>
    </row>
    <row r="15" spans="1:24" s="440" customFormat="1" x14ac:dyDescent="0.2">
      <c r="A15" s="493" t="s">
        <v>418</v>
      </c>
      <c r="B15" s="441" t="e">
        <f ca="1">_xll.BDP(C15,"SECURITY_NAME")</f>
        <v>#NAME?</v>
      </c>
      <c r="C15" s="440" t="s">
        <v>156</v>
      </c>
      <c r="D15" s="442" t="e">
        <f t="shared" ca="1" si="0"/>
        <v>#NAME?</v>
      </c>
      <c r="E15" s="443">
        <f>$F$121</f>
        <v>400000</v>
      </c>
      <c r="F15" s="501">
        <f>$H$121</f>
        <v>103.41499999999999</v>
      </c>
      <c r="G15" s="444" t="e">
        <f ca="1">_xll.BDP(C15,"PX ASK")</f>
        <v>#NAME?</v>
      </c>
      <c r="H15" s="444"/>
      <c r="I15" s="444"/>
      <c r="J15" s="445" t="e">
        <f ca="1">_xll.BDP($C15,"CRNCY")</f>
        <v>#NAME?</v>
      </c>
      <c r="K15" s="442" t="e">
        <f t="shared" ca="1" si="7"/>
        <v>#NAME?</v>
      </c>
      <c r="L15" s="442" t="e">
        <f t="shared" ca="1" si="7"/>
        <v>#NAME?</v>
      </c>
      <c r="M15" s="443" t="e">
        <f ca="1">$K$121</f>
        <v>#NAME?</v>
      </c>
      <c r="N15" s="443">
        <f t="shared" si="8"/>
        <v>413660</v>
      </c>
      <c r="O15" s="443" t="e">
        <f t="shared" ca="1" si="9"/>
        <v>#NAME?</v>
      </c>
      <c r="P15" s="443" t="e">
        <f t="shared" ca="1" si="10"/>
        <v>#NAME?</v>
      </c>
      <c r="Q15" s="446" t="e">
        <f t="shared" ca="1" si="11"/>
        <v>#NAME?</v>
      </c>
      <c r="R15" s="446" t="e">
        <f t="shared" ca="1" si="11"/>
        <v>#NAME?</v>
      </c>
      <c r="S15" s="482" t="e">
        <f ca="1">_xll.BDP(C15,"YLD_YTM_MID")</f>
        <v>#NAME?</v>
      </c>
      <c r="T15" s="463" t="e">
        <f ca="1">E15*_xll.BDP(C15,"PX_GROSS_MID")/100</f>
        <v>#NAME?</v>
      </c>
      <c r="U15" s="448" t="e">
        <f ca="1">_xll.BDP($C15,"CHG_PCT_YTD")</f>
        <v>#NAME?</v>
      </c>
      <c r="V15" s="448" t="e">
        <f ca="1">_xll.BDP($C15,"CHG_PCT_1YR")</f>
        <v>#NAME?</v>
      </c>
      <c r="W15" s="448"/>
    </row>
    <row r="16" spans="1:24" s="440" customFormat="1" x14ac:dyDescent="0.2">
      <c r="A16" s="493" t="s">
        <v>418</v>
      </c>
      <c r="B16" s="441" t="e">
        <f ca="1">_xll.BDP(C16,"SECURITY_NAME")</f>
        <v>#NAME?</v>
      </c>
      <c r="C16" s="440" t="s">
        <v>376</v>
      </c>
      <c r="D16" s="442" t="e">
        <f t="shared" ca="1" si="0"/>
        <v>#NAME?</v>
      </c>
      <c r="E16" s="443">
        <f>$F$146</f>
        <v>200000</v>
      </c>
      <c r="F16" s="501">
        <f>$H$146</f>
        <v>105.25</v>
      </c>
      <c r="G16" s="444" t="e">
        <f ca="1">_xll.BDP(C16,"PX ASK")</f>
        <v>#NAME?</v>
      </c>
      <c r="H16" s="444"/>
      <c r="I16" s="444"/>
      <c r="J16" s="445" t="e">
        <f ca="1">_xll.BDP($C16,"CRNCY")</f>
        <v>#NAME?</v>
      </c>
      <c r="K16" s="442" t="e">
        <f t="shared" ca="1" si="7"/>
        <v>#NAME?</v>
      </c>
      <c r="L16" s="442" t="e">
        <f t="shared" ca="1" si="7"/>
        <v>#NAME?</v>
      </c>
      <c r="M16" s="443" t="e">
        <f ca="1">$K$146</f>
        <v>#NAME?</v>
      </c>
      <c r="N16" s="443">
        <f t="shared" si="8"/>
        <v>210500</v>
      </c>
      <c r="O16" s="443" t="e">
        <f t="shared" ca="1" si="9"/>
        <v>#NAME?</v>
      </c>
      <c r="P16" s="443" t="e">
        <f t="shared" ca="1" si="10"/>
        <v>#NAME?</v>
      </c>
      <c r="Q16" s="446" t="e">
        <f t="shared" ca="1" si="11"/>
        <v>#NAME?</v>
      </c>
      <c r="R16" s="446" t="e">
        <f t="shared" ca="1" si="11"/>
        <v>#NAME?</v>
      </c>
      <c r="S16" s="482" t="e">
        <f ca="1">_xll.BDP(C16,"YLD_YTM_MID")</f>
        <v>#NAME?</v>
      </c>
      <c r="T16" s="463" t="e">
        <f ca="1">E16*_xll.BDP(C16,"PX_GROSS_MID")/100</f>
        <v>#NAME?</v>
      </c>
      <c r="U16" s="448" t="e">
        <f ca="1">_xll.BDP($C16,"CHG_PCT_YTD")</f>
        <v>#NAME?</v>
      </c>
      <c r="V16" s="448" t="e">
        <f ca="1">_xll.BDP($C16,"CHG_PCT_1YR")</f>
        <v>#NAME?</v>
      </c>
      <c r="W16" s="448"/>
    </row>
    <row r="17" spans="1:24" s="440" customFormat="1" x14ac:dyDescent="0.2">
      <c r="A17" s="493" t="s">
        <v>418</v>
      </c>
      <c r="B17" s="441" t="e">
        <f ca="1">_xll.BDP(C17,"SECURITY_NAME")</f>
        <v>#NAME?</v>
      </c>
      <c r="C17" s="440" t="s">
        <v>225</v>
      </c>
      <c r="D17" s="442" t="e">
        <f t="shared" ca="1" si="0"/>
        <v>#NAME?</v>
      </c>
      <c r="E17" s="443">
        <f>$F$137</f>
        <v>400000</v>
      </c>
      <c r="F17" s="501">
        <f>$H$137</f>
        <v>100.12</v>
      </c>
      <c r="G17" s="444" t="e">
        <f ca="1">_xll.BDP(C17,"PX ASK")</f>
        <v>#NAME?</v>
      </c>
      <c r="H17" s="444"/>
      <c r="I17" s="444"/>
      <c r="J17" s="445" t="e">
        <f ca="1">_xll.BDP($C17,"CRNCY")</f>
        <v>#NAME?</v>
      </c>
      <c r="K17" s="442" t="e">
        <f t="shared" ca="1" si="7"/>
        <v>#NAME?</v>
      </c>
      <c r="L17" s="442" t="e">
        <f t="shared" ca="1" si="7"/>
        <v>#NAME?</v>
      </c>
      <c r="M17" s="443" t="e">
        <f ca="1">$K$137</f>
        <v>#NAME?</v>
      </c>
      <c r="N17" s="443">
        <f t="shared" si="8"/>
        <v>400480</v>
      </c>
      <c r="O17" s="443" t="e">
        <f t="shared" ca="1" si="9"/>
        <v>#NAME?</v>
      </c>
      <c r="P17" s="443" t="e">
        <f t="shared" ca="1" si="10"/>
        <v>#NAME?</v>
      </c>
      <c r="Q17" s="446" t="e">
        <f t="shared" ca="1" si="11"/>
        <v>#NAME?</v>
      </c>
      <c r="R17" s="446" t="e">
        <f t="shared" ca="1" si="11"/>
        <v>#NAME?</v>
      </c>
      <c r="S17" s="482" t="e">
        <f ca="1">_xll.BDP(C17,"YLD_YTM_MID")</f>
        <v>#NAME?</v>
      </c>
      <c r="T17" s="463" t="e">
        <f ca="1">E17*_xll.BDP(C17,"PX_GROSS_MID")/100</f>
        <v>#NAME?</v>
      </c>
      <c r="U17" s="448" t="e">
        <f ca="1">_xll.BDP($C17,"CHG_PCT_YTD")</f>
        <v>#NAME?</v>
      </c>
      <c r="V17" s="448" t="e">
        <f ca="1">_xll.BDP($C17,"CHG_PCT_1YR")</f>
        <v>#NAME?</v>
      </c>
      <c r="W17" s="448"/>
    </row>
    <row r="18" spans="1:24" s="440" customFormat="1" x14ac:dyDescent="0.2">
      <c r="A18" s="493" t="s">
        <v>418</v>
      </c>
      <c r="B18" s="441" t="e">
        <f ca="1">_xll.BDP(C18,"SECURITY_NAME")</f>
        <v>#NAME?</v>
      </c>
      <c r="C18" s="440" t="s">
        <v>377</v>
      </c>
      <c r="D18" s="442" t="e">
        <f t="shared" ca="1" si="0"/>
        <v>#NAME?</v>
      </c>
      <c r="E18" s="443">
        <f>$F$143</f>
        <v>200000</v>
      </c>
      <c r="F18" s="501">
        <f>$H$143</f>
        <v>104.125</v>
      </c>
      <c r="G18" s="444" t="e">
        <f ca="1">_xll.BDP(C18,"PX ASK")</f>
        <v>#NAME?</v>
      </c>
      <c r="H18" s="444"/>
      <c r="I18" s="444"/>
      <c r="J18" s="445" t="e">
        <f ca="1">_xll.BDP($C18,"CRNCY")</f>
        <v>#NAME?</v>
      </c>
      <c r="K18" s="442" t="e">
        <f t="shared" ca="1" si="7"/>
        <v>#NAME?</v>
      </c>
      <c r="L18" s="442" t="e">
        <f t="shared" ca="1" si="7"/>
        <v>#NAME?</v>
      </c>
      <c r="M18" s="443" t="e">
        <f ca="1">$K$143</f>
        <v>#NAME?</v>
      </c>
      <c r="N18" s="443">
        <f t="shared" si="8"/>
        <v>208250</v>
      </c>
      <c r="O18" s="443" t="e">
        <f t="shared" ca="1" si="9"/>
        <v>#NAME?</v>
      </c>
      <c r="P18" s="443" t="e">
        <f t="shared" ca="1" si="10"/>
        <v>#NAME?</v>
      </c>
      <c r="Q18" s="446" t="e">
        <f t="shared" ca="1" si="11"/>
        <v>#NAME?</v>
      </c>
      <c r="R18" s="446" t="e">
        <f t="shared" ca="1" si="11"/>
        <v>#NAME?</v>
      </c>
      <c r="S18" s="482" t="e">
        <f ca="1">_xll.BDP(C18,"YLD_YTM_MID")</f>
        <v>#NAME?</v>
      </c>
      <c r="T18" s="463" t="e">
        <f ca="1">E18*_xll.BDP(C18,"PX_GROSS_MID")/100</f>
        <v>#NAME?</v>
      </c>
      <c r="U18" s="448" t="e">
        <f ca="1">_xll.BDP($C18,"CHG_PCT_YTD")</f>
        <v>#NAME?</v>
      </c>
      <c r="V18" s="448" t="e">
        <f ca="1">_xll.BDP($C18,"CHG_PCT_1YR")</f>
        <v>#NAME?</v>
      </c>
      <c r="W18" s="448"/>
    </row>
    <row r="19" spans="1:24" s="440" customFormat="1" x14ac:dyDescent="0.2">
      <c r="A19" s="493" t="s">
        <v>418</v>
      </c>
      <c r="B19" s="441" t="e">
        <f ca="1">_xll.BDP(C19,"SECURITY_NAME")</f>
        <v>#NAME?</v>
      </c>
      <c r="C19" s="440" t="s">
        <v>378</v>
      </c>
      <c r="D19" s="442" t="e">
        <f t="shared" ca="1" si="0"/>
        <v>#NAME?</v>
      </c>
      <c r="E19" s="443">
        <f>$F$124</f>
        <v>200000</v>
      </c>
      <c r="F19" s="501">
        <f>$H$124</f>
        <v>100.785</v>
      </c>
      <c r="G19" s="444" t="e">
        <f ca="1">_xll.BDP(C19,"PX ASK")</f>
        <v>#NAME?</v>
      </c>
      <c r="H19" s="444"/>
      <c r="I19" s="444"/>
      <c r="J19" s="445" t="e">
        <f ca="1">_xll.BDP($C19,"CRNCY")</f>
        <v>#NAME?</v>
      </c>
      <c r="K19" s="442" t="e">
        <f t="shared" ca="1" si="7"/>
        <v>#NAME?</v>
      </c>
      <c r="L19" s="442" t="e">
        <f t="shared" ca="1" si="7"/>
        <v>#NAME?</v>
      </c>
      <c r="M19" s="443" t="e">
        <f ca="1">$K$124</f>
        <v>#NAME?</v>
      </c>
      <c r="N19" s="443">
        <f t="shared" si="8"/>
        <v>201570</v>
      </c>
      <c r="O19" s="443" t="e">
        <f t="shared" ca="1" si="9"/>
        <v>#NAME?</v>
      </c>
      <c r="P19" s="443" t="e">
        <f t="shared" ca="1" si="10"/>
        <v>#NAME?</v>
      </c>
      <c r="Q19" s="446" t="e">
        <f t="shared" ca="1" si="11"/>
        <v>#NAME?</v>
      </c>
      <c r="R19" s="446" t="e">
        <f t="shared" ca="1" si="11"/>
        <v>#NAME?</v>
      </c>
      <c r="S19" s="482" t="e">
        <f ca="1">_xll.BDP(C19,"YLD_YTM_MID")</f>
        <v>#NAME?</v>
      </c>
      <c r="T19" s="463" t="e">
        <f ca="1">E19*_xll.BDP(C19,"PX_GROSS_MID")/100</f>
        <v>#NAME?</v>
      </c>
      <c r="U19" s="448" t="e">
        <f ca="1">_xll.BDP($C19,"CHG_PCT_YTD")</f>
        <v>#NAME?</v>
      </c>
      <c r="V19" s="448" t="e">
        <f ca="1">_xll.BDP($C19,"CHG_PCT_1YR")</f>
        <v>#NAME?</v>
      </c>
      <c r="W19" s="448"/>
    </row>
    <row r="20" spans="1:24" s="440" customFormat="1" x14ac:dyDescent="0.2">
      <c r="A20" s="493" t="s">
        <v>418</v>
      </c>
      <c r="B20" s="441" t="e">
        <f ca="1">_xll.BDP(C20,"SECURITY_NAME")</f>
        <v>#NAME?</v>
      </c>
      <c r="C20" s="440" t="s">
        <v>453</v>
      </c>
      <c r="D20" s="442" t="e">
        <f t="shared" ca="1" si="0"/>
        <v>#NAME?</v>
      </c>
      <c r="E20" s="443">
        <f>$F$66</f>
        <v>500000</v>
      </c>
      <c r="F20" s="501">
        <f>$H$66</f>
        <v>94</v>
      </c>
      <c r="G20" s="444" t="e">
        <f ca="1">_xll.BDP(C20,"PX ASK")</f>
        <v>#NAME?</v>
      </c>
      <c r="H20" s="444"/>
      <c r="I20" s="444"/>
      <c r="J20" s="445" t="e">
        <f ca="1">_xll.BDP($C20,"CRNCY")</f>
        <v>#NAME?</v>
      </c>
      <c r="K20" s="442" t="e">
        <f t="shared" ca="1" si="7"/>
        <v>#NAME?</v>
      </c>
      <c r="L20" s="442" t="e">
        <f t="shared" ca="1" si="7"/>
        <v>#NAME?</v>
      </c>
      <c r="M20" s="443" t="e">
        <f ca="1">$K$66</f>
        <v>#NAME?</v>
      </c>
      <c r="N20" s="443">
        <f t="shared" si="8"/>
        <v>470000</v>
      </c>
      <c r="O20" s="443" t="e">
        <f t="shared" ca="1" si="9"/>
        <v>#NAME?</v>
      </c>
      <c r="P20" s="443" t="e">
        <f t="shared" ca="1" si="10"/>
        <v>#NAME?</v>
      </c>
      <c r="Q20" s="446" t="e">
        <f t="shared" ca="1" si="11"/>
        <v>#NAME?</v>
      </c>
      <c r="R20" s="446" t="e">
        <f t="shared" ca="1" si="11"/>
        <v>#NAME?</v>
      </c>
      <c r="S20" s="482" t="e">
        <f ca="1">_xll.BDP(C20,"YLD_YTM_MID")</f>
        <v>#NAME?</v>
      </c>
      <c r="T20" s="463" t="e">
        <f ca="1">E20*_xll.BDP(C20,"PX_GROSS_MID")/100</f>
        <v>#NAME?</v>
      </c>
      <c r="U20" s="448" t="e">
        <f ca="1">_xll.BDP($C20,"CHG_PCT_YTD")</f>
        <v>#NAME?</v>
      </c>
      <c r="V20" s="448" t="e">
        <f ca="1">_xll.BDP($C20,"CHG_PCT_1YR")</f>
        <v>#NAME?</v>
      </c>
      <c r="W20" s="448"/>
    </row>
    <row r="21" spans="1:24" s="440" customFormat="1" x14ac:dyDescent="0.2">
      <c r="A21" s="493" t="s">
        <v>418</v>
      </c>
      <c r="B21" s="441" t="e">
        <f ca="1">_xll.BDP(C21,"SECURITY_NAME")</f>
        <v>#NAME?</v>
      </c>
      <c r="C21" s="440" t="s">
        <v>657</v>
      </c>
      <c r="D21" s="442" t="e">
        <f t="shared" ca="1" si="0"/>
        <v>#NAME?</v>
      </c>
      <c r="E21" s="443">
        <f>$F$140</f>
        <v>200000</v>
      </c>
      <c r="F21" s="501">
        <f>$H$140</f>
        <v>102</v>
      </c>
      <c r="G21" s="444" t="e">
        <f ca="1">_xll.BDP(C21,"PX ASK")</f>
        <v>#NAME?</v>
      </c>
      <c r="H21" s="444"/>
      <c r="I21" s="444"/>
      <c r="J21" s="445" t="e">
        <f ca="1">_xll.BDP($C21,"CRNCY")</f>
        <v>#NAME?</v>
      </c>
      <c r="K21" s="442" t="e">
        <f t="shared" ca="1" si="7"/>
        <v>#NAME?</v>
      </c>
      <c r="L21" s="442" t="e">
        <f t="shared" ca="1" si="7"/>
        <v>#NAME?</v>
      </c>
      <c r="M21" s="443" t="e">
        <f ca="1">$K$140</f>
        <v>#NAME?</v>
      </c>
      <c r="N21" s="443">
        <f t="shared" si="8"/>
        <v>204000</v>
      </c>
      <c r="O21" s="443" t="e">
        <f t="shared" ca="1" si="9"/>
        <v>#NAME?</v>
      </c>
      <c r="P21" s="443" t="e">
        <f t="shared" ca="1" si="10"/>
        <v>#NAME?</v>
      </c>
      <c r="Q21" s="446" t="e">
        <f t="shared" ca="1" si="11"/>
        <v>#NAME?</v>
      </c>
      <c r="R21" s="446" t="e">
        <f t="shared" ca="1" si="11"/>
        <v>#NAME?</v>
      </c>
      <c r="S21" s="482" t="e">
        <f ca="1">_xll.BDP(C21,"YLD_YTM_MID")</f>
        <v>#NAME?</v>
      </c>
      <c r="T21" s="463" t="e">
        <f ca="1">E21*_xll.BDP(C21,"PX_GROSS_MID")/100</f>
        <v>#NAME?</v>
      </c>
      <c r="U21" s="448" t="e">
        <f ca="1">_xll.BDP($C21,"CHG_PCT_YTD")</f>
        <v>#NAME?</v>
      </c>
      <c r="V21" s="448" t="e">
        <f ca="1">_xll.BDP($C21,"CHG_PCT_1YR")</f>
        <v>#NAME?</v>
      </c>
      <c r="W21" s="448"/>
    </row>
    <row r="22" spans="1:24" x14ac:dyDescent="0.2">
      <c r="B22" s="68" t="s">
        <v>106</v>
      </c>
      <c r="C22" s="68" t="s">
        <v>106</v>
      </c>
      <c r="D22" s="101" t="e">
        <f t="shared" ca="1" si="0"/>
        <v>#NAME?</v>
      </c>
      <c r="E22" s="101"/>
      <c r="F22" s="101"/>
      <c r="G22" s="66"/>
      <c r="H22" s="66"/>
      <c r="I22" s="66"/>
      <c r="J22" s="177"/>
      <c r="K22" s="179"/>
      <c r="L22" s="179"/>
      <c r="M22" s="64"/>
      <c r="N22" s="187"/>
      <c r="O22" s="64"/>
      <c r="P22" s="64">
        <v>0</v>
      </c>
      <c r="Q22" s="61"/>
      <c r="R22" s="61"/>
      <c r="S22" s="544"/>
      <c r="T22" s="177"/>
      <c r="U22" s="177"/>
      <c r="V22" s="177"/>
      <c r="W22" s="177"/>
      <c r="X22" s="177"/>
    </row>
    <row r="23" spans="1:24" ht="13.5" customHeight="1" thickBot="1" x14ac:dyDescent="0.25">
      <c r="B23" s="175"/>
      <c r="C23" s="175"/>
      <c r="D23" s="59" t="e">
        <f ca="1">SUM(D4:D22)</f>
        <v>#NAME?</v>
      </c>
      <c r="E23" s="176"/>
      <c r="F23" s="176"/>
      <c r="G23" s="175"/>
      <c r="H23" s="175"/>
      <c r="I23" s="606" t="e">
        <f ca="1">SUMPRODUCT(D4:D13,I4:I13)</f>
        <v>#NAME?</v>
      </c>
      <c r="J23" s="55"/>
      <c r="K23" s="175"/>
      <c r="L23" s="175"/>
      <c r="M23" s="137" t="e">
        <f t="shared" ref="M23:R23" ca="1" si="12">SUM(M4:M22)</f>
        <v>#NAME?</v>
      </c>
      <c r="N23" s="137" t="e">
        <f t="shared" ca="1" si="12"/>
        <v>#NAME?</v>
      </c>
      <c r="O23" s="137" t="e">
        <f t="shared" ca="1" si="12"/>
        <v>#NAME?</v>
      </c>
      <c r="P23" s="137" t="e">
        <f t="shared" ca="1" si="12"/>
        <v>#NAME?</v>
      </c>
      <c r="Q23" s="138" t="e">
        <f t="shared" ca="1" si="12"/>
        <v>#NAME?</v>
      </c>
      <c r="R23" s="138" t="e">
        <f t="shared" ca="1" si="12"/>
        <v>#NAME?</v>
      </c>
      <c r="S23" s="516" t="e">
        <f ca="1">SUMPRODUCT(D4:D21,S4:S21)</f>
        <v>#NAME?</v>
      </c>
      <c r="T23" s="138" t="e">
        <f ca="1">SUM(T4:T21)</f>
        <v>#NAME?</v>
      </c>
      <c r="U23" s="55"/>
      <c r="V23" s="55"/>
      <c r="W23" s="55"/>
      <c r="X23" s="55"/>
    </row>
    <row r="24" spans="1:24" s="429" customFormat="1" ht="13.5" customHeight="1" x14ac:dyDescent="0.2">
      <c r="B24" s="116"/>
      <c r="C24" s="116"/>
      <c r="D24" s="425"/>
      <c r="E24" s="116"/>
      <c r="F24" s="116"/>
      <c r="G24" s="116"/>
      <c r="I24" s="474" t="s">
        <v>804</v>
      </c>
      <c r="J24" s="116"/>
      <c r="K24" s="426"/>
      <c r="L24" s="426"/>
      <c r="M24" s="120"/>
      <c r="N24" s="120"/>
      <c r="O24" s="478"/>
      <c r="P24" s="123"/>
      <c r="Q24" s="428"/>
      <c r="R24" s="428"/>
      <c r="S24" s="474" t="s">
        <v>786</v>
      </c>
    </row>
    <row r="25" spans="1:24" x14ac:dyDescent="0.2">
      <c r="E25" s="155"/>
      <c r="K25" s="30"/>
      <c r="L25" s="148"/>
      <c r="M25" s="35"/>
      <c r="N25" s="34"/>
      <c r="O25" s="34"/>
      <c r="P25" s="30"/>
    </row>
    <row r="26" spans="1:24" x14ac:dyDescent="0.2">
      <c r="B26" s="32" t="s">
        <v>276</v>
      </c>
      <c r="E26" s="155"/>
      <c r="M26" s="35"/>
      <c r="N26" s="34"/>
      <c r="O26" s="34"/>
      <c r="P26" s="30"/>
    </row>
    <row r="27" spans="1:24" x14ac:dyDescent="0.2">
      <c r="B27" s="379">
        <v>2016</v>
      </c>
      <c r="M27" s="35"/>
      <c r="N27" s="34"/>
      <c r="O27" s="34"/>
      <c r="P27" s="30"/>
    </row>
    <row r="28" spans="1:24" ht="40.5" customHeight="1" x14ac:dyDescent="0.2">
      <c r="B28" s="51" t="s">
        <v>105</v>
      </c>
      <c r="C28" s="50" t="s">
        <v>104</v>
      </c>
      <c r="D28" s="50" t="s">
        <v>174</v>
      </c>
      <c r="E28" s="50" t="s">
        <v>173</v>
      </c>
      <c r="F28" s="50" t="s">
        <v>175</v>
      </c>
      <c r="G28" s="50" t="s">
        <v>172</v>
      </c>
      <c r="H28" s="50" t="s">
        <v>103</v>
      </c>
      <c r="I28" s="50" t="s">
        <v>102</v>
      </c>
      <c r="J28" s="50" t="s">
        <v>101</v>
      </c>
      <c r="K28" s="50" t="s">
        <v>100</v>
      </c>
      <c r="L28" s="50" t="s">
        <v>99</v>
      </c>
      <c r="M28" s="50" t="s">
        <v>98</v>
      </c>
      <c r="N28" s="50" t="s">
        <v>280</v>
      </c>
      <c r="O28" s="50" t="s">
        <v>97</v>
      </c>
      <c r="P28" s="50" t="s">
        <v>279</v>
      </c>
      <c r="Q28" s="50" t="s">
        <v>277</v>
      </c>
      <c r="R28" s="50" t="s">
        <v>278</v>
      </c>
    </row>
    <row r="29" spans="1:24" s="33" customFormat="1" x14ac:dyDescent="0.2">
      <c r="B29" s="103" t="s">
        <v>208</v>
      </c>
      <c r="C29" s="103" t="s">
        <v>72</v>
      </c>
      <c r="D29" s="73" t="s">
        <v>51</v>
      </c>
      <c r="E29" s="43" t="e">
        <f ca="1">F29*_xll.BDP(C29,"PX_LAST")</f>
        <v>#NAME?</v>
      </c>
      <c r="F29" s="43">
        <v>21900</v>
      </c>
      <c r="G29" s="43">
        <v>21900</v>
      </c>
      <c r="H29" s="47">
        <f t="shared" ref="H29:H40" si="13">G29/F29</f>
        <v>1</v>
      </c>
      <c r="I29" s="43">
        <f>G29*K29</f>
        <v>1248300</v>
      </c>
      <c r="J29" s="45">
        <f>G29*L29</f>
        <v>1559280</v>
      </c>
      <c r="K29" s="38">
        <v>57</v>
      </c>
      <c r="L29" s="38">
        <v>71.2</v>
      </c>
      <c r="M29" s="44">
        <f t="shared" ref="M29:M40" si="14">L29/K29-1</f>
        <v>0.24912280701754397</v>
      </c>
      <c r="N29" s="43">
        <f>J29-I29</f>
        <v>310980</v>
      </c>
      <c r="O29" s="106" t="e">
        <f ca="1">_xll.BDP($C29,"CRNCY")</f>
        <v>#NAME?</v>
      </c>
      <c r="P29" s="43" t="e">
        <f t="shared" ref="P29:P40" ca="1" si="15">N29/R29</f>
        <v>#NAME?</v>
      </c>
      <c r="Q29" s="14">
        <v>42452</v>
      </c>
      <c r="R29" s="22" t="e">
        <f ca="1">_xll.BDH("RUB curncy","PX_LAST",$Q29)</f>
        <v>#NAME?</v>
      </c>
    </row>
    <row r="30" spans="1:24" s="33" customFormat="1" x14ac:dyDescent="0.2">
      <c r="B30" s="103" t="s">
        <v>201</v>
      </c>
      <c r="C30" s="103" t="s">
        <v>65</v>
      </c>
      <c r="D30" s="73" t="s">
        <v>51</v>
      </c>
      <c r="E30" s="43" t="e">
        <f ca="1">F30*_xll.BDP(C30,"PX_LAST")</f>
        <v>#NAME?</v>
      </c>
      <c r="F30" s="43">
        <v>700</v>
      </c>
      <c r="G30" s="43">
        <v>700</v>
      </c>
      <c r="H30" s="47">
        <f t="shared" si="13"/>
        <v>1</v>
      </c>
      <c r="I30" s="43">
        <f>G30*K30</f>
        <v>1249500</v>
      </c>
      <c r="J30" s="45">
        <f>G30*L30</f>
        <v>1822100</v>
      </c>
      <c r="K30" s="38">
        <v>1785</v>
      </c>
      <c r="L30" s="38">
        <v>2603</v>
      </c>
      <c r="M30" s="44">
        <f t="shared" si="14"/>
        <v>0.45826330532212878</v>
      </c>
      <c r="N30" s="43">
        <f>J30-I30</f>
        <v>572600</v>
      </c>
      <c r="O30" s="106" t="e">
        <f ca="1">_xll.BDP($C30,"CRNCY")</f>
        <v>#NAME?</v>
      </c>
      <c r="P30" s="43" t="e">
        <f t="shared" ca="1" si="15"/>
        <v>#NAME?</v>
      </c>
      <c r="Q30" s="14">
        <v>42452</v>
      </c>
      <c r="R30" s="22" t="e">
        <f ca="1">_xll.BDH("RUB curncy","PX_LAST",$Q30)</f>
        <v>#NAME?</v>
      </c>
    </row>
    <row r="31" spans="1:24" s="33" customFormat="1" x14ac:dyDescent="0.2">
      <c r="B31" s="103" t="s">
        <v>153</v>
      </c>
      <c r="C31" s="103" t="s">
        <v>7</v>
      </c>
      <c r="D31" s="73" t="s">
        <v>51</v>
      </c>
      <c r="E31" s="43" t="e">
        <f ca="1">F31*_xll.BDP(C31,"PX_LAST")</f>
        <v>#NAME?</v>
      </c>
      <c r="F31" s="43">
        <v>11200</v>
      </c>
      <c r="G31" s="43">
        <v>11200</v>
      </c>
      <c r="H31" s="47">
        <f t="shared" si="13"/>
        <v>1</v>
      </c>
      <c r="I31" s="43">
        <f>G31*K31</f>
        <v>1499008</v>
      </c>
      <c r="J31" s="45">
        <f>G31*L31</f>
        <v>1629791.6991999999</v>
      </c>
      <c r="K31" s="38">
        <v>133.84</v>
      </c>
      <c r="L31" s="38">
        <v>145.51711599999999</v>
      </c>
      <c r="M31" s="44">
        <f t="shared" si="14"/>
        <v>8.7246832038254452E-2</v>
      </c>
      <c r="N31" s="43">
        <f>J31-I31</f>
        <v>130783.69919999992</v>
      </c>
      <c r="O31" s="106" t="e">
        <f ca="1">_xll.BDP($C31,"CRNCY")</f>
        <v>#NAME?</v>
      </c>
      <c r="P31" s="43" t="e">
        <f t="shared" ca="1" si="15"/>
        <v>#NAME?</v>
      </c>
      <c r="Q31" s="14">
        <v>42452</v>
      </c>
      <c r="R31" s="22" t="e">
        <f ca="1">_xll.BDH("RUB curncy","PX_LAST",$Q31)</f>
        <v>#NAME?</v>
      </c>
    </row>
    <row r="32" spans="1:24" s="33" customFormat="1" x14ac:dyDescent="0.2">
      <c r="B32" s="103" t="s">
        <v>227</v>
      </c>
      <c r="C32" s="103" t="s">
        <v>343</v>
      </c>
      <c r="D32" s="73" t="s">
        <v>51</v>
      </c>
      <c r="E32" s="43" t="e">
        <f ca="1">F32*_xll.BDP(C32,"PX_LAST")</f>
        <v>#NAME?</v>
      </c>
      <c r="F32" s="43">
        <v>3164</v>
      </c>
      <c r="G32" s="43">
        <v>3164</v>
      </c>
      <c r="H32" s="47">
        <f t="shared" si="13"/>
        <v>1</v>
      </c>
      <c r="I32" s="43">
        <f>G32*K32</f>
        <v>2500544.0040000002</v>
      </c>
      <c r="J32" s="45" t="e">
        <f ca="1">G32*L32</f>
        <v>#NAME?</v>
      </c>
      <c r="K32" s="38">
        <v>790.31100000000004</v>
      </c>
      <c r="L32" s="38" t="e">
        <f ca="1">14.92*R32</f>
        <v>#NAME?</v>
      </c>
      <c r="M32" s="44" t="e">
        <f t="shared" ca="1" si="14"/>
        <v>#NAME?</v>
      </c>
      <c r="N32" s="43" t="e">
        <f ca="1">J32-I32</f>
        <v>#NAME?</v>
      </c>
      <c r="O32" s="106" t="e">
        <f ca="1">_xll.BDP($C32,"CRNCY")</f>
        <v>#NAME?</v>
      </c>
      <c r="P32" s="43" t="e">
        <f t="shared" ca="1" si="15"/>
        <v>#NAME?</v>
      </c>
      <c r="Q32" s="14">
        <v>42452</v>
      </c>
      <c r="R32" s="22" t="e">
        <f ca="1">_xll.BDH("RUB curncy","PX_LAST",$Q32)</f>
        <v>#NAME?</v>
      </c>
    </row>
    <row r="33" spans="2:19" s="33" customFormat="1" x14ac:dyDescent="0.2">
      <c r="B33" s="103" t="s">
        <v>147</v>
      </c>
      <c r="C33" s="103" t="s">
        <v>63</v>
      </c>
      <c r="D33" s="73" t="s">
        <v>51</v>
      </c>
      <c r="E33" s="43" t="e">
        <f ca="1">F33*_xll.BDP(C33,"PX_LAST")</f>
        <v>#NAME?</v>
      </c>
      <c r="F33" s="43">
        <v>677</v>
      </c>
      <c r="G33" s="43">
        <v>677</v>
      </c>
      <c r="H33" s="47">
        <f t="shared" si="13"/>
        <v>1</v>
      </c>
      <c r="I33" s="43">
        <f>G33*K33</f>
        <v>1505309.5</v>
      </c>
      <c r="J33" s="45">
        <f>G33*L33</f>
        <v>1814360</v>
      </c>
      <c r="K33" s="38">
        <v>2223.5</v>
      </c>
      <c r="L33" s="38">
        <v>2680</v>
      </c>
      <c r="M33" s="44">
        <f t="shared" si="14"/>
        <v>0.20530694850460995</v>
      </c>
      <c r="N33" s="43">
        <f>J33-I33</f>
        <v>309050.5</v>
      </c>
      <c r="O33" s="106" t="e">
        <f ca="1">_xll.BDP($C33,"CRNCY")</f>
        <v>#NAME?</v>
      </c>
      <c r="P33" s="43" t="e">
        <f t="shared" ca="1" si="15"/>
        <v>#NAME?</v>
      </c>
      <c r="Q33" s="14">
        <v>42452</v>
      </c>
      <c r="R33" s="22" t="e">
        <f ca="1">_xll.BDH("RUB curncy","PX_LAST",$Q33)</f>
        <v>#NAME?</v>
      </c>
    </row>
    <row r="34" spans="2:19" s="33" customFormat="1" x14ac:dyDescent="0.2">
      <c r="B34" s="103" t="e">
        <f ca="1">_xll.BDP(C34,"SECURITY_NAME")</f>
        <v>#NAME?</v>
      </c>
      <c r="C34" s="118" t="s">
        <v>413</v>
      </c>
      <c r="D34" s="73" t="s">
        <v>51</v>
      </c>
      <c r="E34" s="43" t="e">
        <f ca="1">F34*_xll.BDP(C34,"PX_LAST")/100</f>
        <v>#NAME?</v>
      </c>
      <c r="F34" s="43">
        <v>407000</v>
      </c>
      <c r="G34" s="43">
        <v>407000</v>
      </c>
      <c r="H34" s="47">
        <f t="shared" si="13"/>
        <v>1</v>
      </c>
      <c r="I34" s="43">
        <f>G34*K34/100</f>
        <v>376475</v>
      </c>
      <c r="J34" s="45">
        <f>G34*L34/100</f>
        <v>430402.5</v>
      </c>
      <c r="K34" s="38">
        <v>92.5</v>
      </c>
      <c r="L34" s="38">
        <v>105.75</v>
      </c>
      <c r="M34" s="44">
        <f t="shared" si="14"/>
        <v>0.14324324324324333</v>
      </c>
      <c r="N34" s="43" t="e">
        <f ca="1">(J34-I34)*R34</f>
        <v>#NAME?</v>
      </c>
      <c r="O34" s="106" t="e">
        <f ca="1">_xll.BDP($C34,"CRNCY")</f>
        <v>#NAME?</v>
      </c>
      <c r="P34" s="43" t="e">
        <f t="shared" ca="1" si="15"/>
        <v>#NAME?</v>
      </c>
      <c r="Q34" s="14">
        <v>42509</v>
      </c>
      <c r="R34" s="22" t="e">
        <f ca="1">_xll.BDH("RUB curncy","PX_LAST",$Q34)</f>
        <v>#NAME?</v>
      </c>
    </row>
    <row r="35" spans="2:19" s="33" customFormat="1" x14ac:dyDescent="0.2">
      <c r="B35" s="103" t="s">
        <v>317</v>
      </c>
      <c r="C35" s="103" t="s">
        <v>253</v>
      </c>
      <c r="D35" s="73" t="s">
        <v>51</v>
      </c>
      <c r="E35" s="43" t="e">
        <f ca="1">F35*_xll.BDP(C35,"PX_LAST")</f>
        <v>#NAME?</v>
      </c>
      <c r="F35" s="43">
        <v>15150</v>
      </c>
      <c r="G35" s="43">
        <v>15150</v>
      </c>
      <c r="H35" s="47">
        <f t="shared" si="13"/>
        <v>1</v>
      </c>
      <c r="I35" s="43">
        <f>G35*K35</f>
        <v>2503386</v>
      </c>
      <c r="J35" s="45">
        <f>G35*L35</f>
        <v>2905770</v>
      </c>
      <c r="K35" s="38">
        <v>165.24</v>
      </c>
      <c r="L35" s="38">
        <v>191.8</v>
      </c>
      <c r="M35" s="44">
        <f t="shared" si="14"/>
        <v>0.16073589929799081</v>
      </c>
      <c r="N35" s="43">
        <f>J35-I35</f>
        <v>402384</v>
      </c>
      <c r="O35" s="106" t="e">
        <f ca="1">_xll.BDP($C35,"CRNCY")</f>
        <v>#NAME?</v>
      </c>
      <c r="P35" s="43" t="e">
        <f t="shared" ca="1" si="15"/>
        <v>#NAME?</v>
      </c>
      <c r="Q35" s="14">
        <v>42542</v>
      </c>
      <c r="R35" s="22" t="e">
        <f ca="1">_xll.BDH("RUB curncy","PX_LAST",$Q35)</f>
        <v>#NAME?</v>
      </c>
    </row>
    <row r="36" spans="2:19" s="33" customFormat="1" x14ac:dyDescent="0.2">
      <c r="B36" s="103" t="e">
        <f ca="1">_xll.BDP(C36,"SECURITY_NAME")</f>
        <v>#NAME?</v>
      </c>
      <c r="C36" s="118" t="str">
        <f>$C$113</f>
        <v>XS0995845566 Corp</v>
      </c>
      <c r="D36" s="73" t="s">
        <v>51</v>
      </c>
      <c r="E36" s="43" t="e">
        <f ca="1">F36*_xll.BDP(C36,"PX_LAST")/100</f>
        <v>#NAME?</v>
      </c>
      <c r="F36" s="43">
        <v>250000</v>
      </c>
      <c r="G36" s="43">
        <v>250000</v>
      </c>
      <c r="H36" s="47">
        <f t="shared" si="13"/>
        <v>1</v>
      </c>
      <c r="I36" s="43">
        <f t="shared" ref="I36:I41" si="16">G36*K36/100</f>
        <v>233750</v>
      </c>
      <c r="J36" s="45">
        <f t="shared" ref="J36:J41" si="17">G36*L36/100</f>
        <v>244375</v>
      </c>
      <c r="K36" s="38">
        <v>93.5</v>
      </c>
      <c r="L36" s="38">
        <v>97.75</v>
      </c>
      <c r="M36" s="44">
        <f t="shared" si="14"/>
        <v>4.5454545454545414E-2</v>
      </c>
      <c r="N36" s="43" t="e">
        <f t="shared" ref="N36:N41" ca="1" si="18">(J36-I36)*R36</f>
        <v>#NAME?</v>
      </c>
      <c r="O36" s="106" t="e">
        <f ca="1">_xll.BDP($C36,"CRNCY")</f>
        <v>#NAME?</v>
      </c>
      <c r="P36" s="43" t="e">
        <f t="shared" ca="1" si="15"/>
        <v>#NAME?</v>
      </c>
      <c r="Q36" s="14">
        <v>42489</v>
      </c>
      <c r="R36" s="22" t="e">
        <f ca="1">_xll.BDH("RUB curncy","PX_LAST",$Q36)</f>
        <v>#NAME?</v>
      </c>
    </row>
    <row r="37" spans="2:19" s="33" customFormat="1" x14ac:dyDescent="0.2">
      <c r="B37" s="103" t="e">
        <f ca="1">_xll.BDP(C37,"SECURITY_NAME")</f>
        <v>#NAME?</v>
      </c>
      <c r="C37" s="118" t="str">
        <f>$C$116</f>
        <v>XS0555493203 Corp</v>
      </c>
      <c r="D37" s="73" t="s">
        <v>51</v>
      </c>
      <c r="E37" s="43" t="e">
        <f ca="1">F37*_xll.BDP(C37,"PX_LAST")/100</f>
        <v>#NAME?</v>
      </c>
      <c r="F37" s="43">
        <v>200000</v>
      </c>
      <c r="G37" s="43">
        <v>200000</v>
      </c>
      <c r="H37" s="47">
        <f t="shared" si="13"/>
        <v>1</v>
      </c>
      <c r="I37" s="43">
        <f t="shared" si="16"/>
        <v>214500</v>
      </c>
      <c r="J37" s="45">
        <f t="shared" si="17"/>
        <v>226240</v>
      </c>
      <c r="K37" s="38">
        <v>107.25</v>
      </c>
      <c r="L37" s="38">
        <v>113.12</v>
      </c>
      <c r="M37" s="44">
        <f t="shared" si="14"/>
        <v>5.4731934731934828E-2</v>
      </c>
      <c r="N37" s="43" t="e">
        <f t="shared" ca="1" si="18"/>
        <v>#NAME?</v>
      </c>
      <c r="O37" s="106" t="e">
        <f ca="1">_xll.BDP($C37,"CRNCY")</f>
        <v>#NAME?</v>
      </c>
      <c r="P37" s="43" t="e">
        <f t="shared" ca="1" si="15"/>
        <v>#NAME?</v>
      </c>
      <c r="Q37" s="14">
        <v>42551</v>
      </c>
      <c r="R37" s="22" t="e">
        <f ca="1">_xll.BDH("RUB curncy","PX_LAST",$Q37)</f>
        <v>#NAME?</v>
      </c>
    </row>
    <row r="38" spans="2:19" s="33" customFormat="1" x14ac:dyDescent="0.2">
      <c r="B38" s="103" t="e">
        <f ca="1">_xll.BDP(C38,"SECURITY_NAME")</f>
        <v>#NAME?</v>
      </c>
      <c r="C38" s="118" t="s">
        <v>321</v>
      </c>
      <c r="D38" s="73" t="s">
        <v>51</v>
      </c>
      <c r="E38" s="43" t="e">
        <f ca="1">F38*_xll.BDP(C38,"PX_LAST")/100</f>
        <v>#NAME?</v>
      </c>
      <c r="F38" s="43">
        <v>550000</v>
      </c>
      <c r="G38" s="43">
        <v>550000</v>
      </c>
      <c r="H38" s="47">
        <f t="shared" si="13"/>
        <v>1</v>
      </c>
      <c r="I38" s="43">
        <f t="shared" si="16"/>
        <v>472615.00000000006</v>
      </c>
      <c r="J38" s="45">
        <f t="shared" si="17"/>
        <v>554125</v>
      </c>
      <c r="K38" s="38">
        <v>85.93</v>
      </c>
      <c r="L38" s="38">
        <v>100.75</v>
      </c>
      <c r="M38" s="44">
        <f t="shared" si="14"/>
        <v>0.172465960665658</v>
      </c>
      <c r="N38" s="43" t="e">
        <f t="shared" ca="1" si="18"/>
        <v>#NAME?</v>
      </c>
      <c r="O38" s="106" t="e">
        <f ca="1">_xll.BDP($C38,"CRNCY")</f>
        <v>#NAME?</v>
      </c>
      <c r="P38" s="43" t="e">
        <f t="shared" ca="1" si="15"/>
        <v>#NAME?</v>
      </c>
      <c r="Q38" s="14">
        <v>42552</v>
      </c>
      <c r="R38" s="22" t="e">
        <f ca="1">_xll.BDH("RUB curncy","PX_LAST",$Q38)</f>
        <v>#NAME?</v>
      </c>
    </row>
    <row r="39" spans="2:19" s="33" customFormat="1" x14ac:dyDescent="0.2">
      <c r="B39" s="103" t="e">
        <f ca="1">_xll.BDP(C39,"SECURITY_NAME")</f>
        <v>#NAME?</v>
      </c>
      <c r="C39" s="118" t="s">
        <v>217</v>
      </c>
      <c r="D39" s="73" t="s">
        <v>51</v>
      </c>
      <c r="E39" s="43" t="e">
        <f ca="1">F39*_xll.BDP(C39,"PX_LAST")/100</f>
        <v>#NAME?</v>
      </c>
      <c r="F39" s="43">
        <v>200000</v>
      </c>
      <c r="G39" s="43">
        <v>200000</v>
      </c>
      <c r="H39" s="47">
        <f t="shared" si="13"/>
        <v>1</v>
      </c>
      <c r="I39" s="43">
        <f t="shared" si="16"/>
        <v>184000</v>
      </c>
      <c r="J39" s="45">
        <f t="shared" si="17"/>
        <v>208500</v>
      </c>
      <c r="K39" s="38">
        <v>92</v>
      </c>
      <c r="L39" s="38">
        <v>104.25</v>
      </c>
      <c r="M39" s="44">
        <f t="shared" si="14"/>
        <v>0.13315217391304346</v>
      </c>
      <c r="N39" s="43" t="e">
        <f t="shared" ca="1" si="18"/>
        <v>#NAME?</v>
      </c>
      <c r="O39" s="106" t="e">
        <f ca="1">_xll.BDP($C39,"CRNCY")</f>
        <v>#NAME?</v>
      </c>
      <c r="P39" s="43" t="e">
        <f t="shared" ca="1" si="15"/>
        <v>#NAME?</v>
      </c>
      <c r="Q39" s="14">
        <v>42607</v>
      </c>
      <c r="R39" s="22" t="e">
        <f ca="1">_xll.BDH("RUB curncy","PX_LAST",$Q39)</f>
        <v>#NAME?</v>
      </c>
    </row>
    <row r="40" spans="2:19" s="33" customFormat="1" x14ac:dyDescent="0.2">
      <c r="B40" s="103" t="e">
        <f ca="1">_xll.BDP(C40,"SECURITY_NAME")</f>
        <v>#NAME?</v>
      </c>
      <c r="C40" s="118" t="s">
        <v>373</v>
      </c>
      <c r="D40" s="73" t="s">
        <v>51</v>
      </c>
      <c r="E40" s="43" t="e">
        <f ca="1">F40*_xll.BDP(C40,"PX_LAST")/100</f>
        <v>#NAME?</v>
      </c>
      <c r="F40" s="43">
        <v>200000</v>
      </c>
      <c r="G40" s="43">
        <v>200000</v>
      </c>
      <c r="H40" s="47">
        <f t="shared" si="13"/>
        <v>1</v>
      </c>
      <c r="I40" s="43">
        <f t="shared" si="16"/>
        <v>196000</v>
      </c>
      <c r="J40" s="45">
        <f t="shared" si="17"/>
        <v>215000</v>
      </c>
      <c r="K40" s="38">
        <v>98</v>
      </c>
      <c r="L40" s="38">
        <v>107.5</v>
      </c>
      <c r="M40" s="44">
        <f t="shared" si="14"/>
        <v>9.6938775510204023E-2</v>
      </c>
      <c r="N40" s="43" t="e">
        <f t="shared" ca="1" si="18"/>
        <v>#NAME?</v>
      </c>
      <c r="O40" s="106" t="e">
        <f ca="1">_xll.BDP($C40,"CRNCY")</f>
        <v>#NAME?</v>
      </c>
      <c r="P40" s="43" t="e">
        <f t="shared" ca="1" si="15"/>
        <v>#NAME?</v>
      </c>
      <c r="Q40" s="14">
        <v>42607</v>
      </c>
      <c r="R40" s="22" t="e">
        <f ca="1">_xll.BDH("RUB curncy","PX_LAST",$Q40)</f>
        <v>#NAME?</v>
      </c>
    </row>
    <row r="41" spans="2:19" s="33" customFormat="1" x14ac:dyDescent="0.2">
      <c r="B41" s="103" t="e">
        <f ca="1">_xll.BDP(C41,"SECURITY_NAME")</f>
        <v>#NAME?</v>
      </c>
      <c r="C41" s="118" t="s">
        <v>166</v>
      </c>
      <c r="D41" s="73" t="s">
        <v>51</v>
      </c>
      <c r="E41" s="43" t="e">
        <f ca="1">F41*_xll.BDP(C41,"PX_LAST")/100</f>
        <v>#NAME?</v>
      </c>
      <c r="F41" s="43">
        <v>500000</v>
      </c>
      <c r="G41" s="43">
        <v>500000</v>
      </c>
      <c r="H41" s="47">
        <f>G41/F41</f>
        <v>1</v>
      </c>
      <c r="I41" s="43">
        <f t="shared" si="16"/>
        <v>485000</v>
      </c>
      <c r="J41" s="45">
        <f t="shared" si="17"/>
        <v>525000</v>
      </c>
      <c r="K41" s="38">
        <v>97</v>
      </c>
      <c r="L41" s="38">
        <v>105</v>
      </c>
      <c r="M41" s="44">
        <f>L41/K41-1</f>
        <v>8.247422680412364E-2</v>
      </c>
      <c r="N41" s="43" t="e">
        <f t="shared" ca="1" si="18"/>
        <v>#NAME?</v>
      </c>
      <c r="O41" s="106" t="e">
        <f ca="1">_xll.BDP($C41,"CRNCY")</f>
        <v>#NAME?</v>
      </c>
      <c r="P41" s="43" t="e">
        <f ca="1">N41/R41</f>
        <v>#NAME?</v>
      </c>
      <c r="Q41" s="14">
        <v>42642</v>
      </c>
      <c r="R41" s="22" t="e">
        <f ca="1">_xll.BDH("RUB curncy","PX_LAST",$Q41)</f>
        <v>#NAME?</v>
      </c>
    </row>
    <row r="42" spans="2:19" x14ac:dyDescent="0.2">
      <c r="B42" s="35"/>
      <c r="C42" s="35"/>
      <c r="D42" s="40"/>
      <c r="G42" s="35"/>
      <c r="H42" s="35"/>
      <c r="I42" s="35"/>
      <c r="J42" s="35"/>
      <c r="K42" s="35"/>
      <c r="L42" s="46"/>
      <c r="M42" s="35" t="s">
        <v>94</v>
      </c>
      <c r="N42" s="40" t="e">
        <f ca="1">SUM(N29:N41)</f>
        <v>#NAME?</v>
      </c>
      <c r="O42" s="34" t="s">
        <v>75</v>
      </c>
      <c r="P42" s="40" t="e">
        <f ca="1">SUM(P29:P41)</f>
        <v>#NAME?</v>
      </c>
    </row>
    <row r="43" spans="2:19" x14ac:dyDescent="0.2">
      <c r="J43" s="105"/>
      <c r="K43" s="70"/>
      <c r="L43" s="155"/>
      <c r="M43" s="35"/>
      <c r="N43" s="30"/>
      <c r="O43" s="30"/>
      <c r="P43" s="34"/>
      <c r="R43" s="35"/>
    </row>
    <row r="44" spans="2:19" x14ac:dyDescent="0.2">
      <c r="H44" s="105"/>
      <c r="I44" s="70"/>
      <c r="J44" s="151"/>
      <c r="K44" s="35"/>
      <c r="L44" s="148"/>
      <c r="M44" s="34"/>
    </row>
    <row r="45" spans="2:19" x14ac:dyDescent="0.2">
      <c r="B45" s="32" t="s">
        <v>93</v>
      </c>
      <c r="C45" s="151"/>
      <c r="D45" s="105"/>
      <c r="H45" s="105"/>
      <c r="I45" s="151"/>
      <c r="J45" s="151"/>
      <c r="K45" s="30"/>
    </row>
    <row r="46" spans="2:19" ht="13.5" thickBot="1" x14ac:dyDescent="0.25">
      <c r="C46" s="30"/>
      <c r="D46" s="30"/>
      <c r="G46" s="30"/>
      <c r="H46" s="151"/>
      <c r="I46" s="30"/>
      <c r="J46" s="151"/>
      <c r="K46" s="30"/>
    </row>
    <row r="47" spans="2:19" ht="15" x14ac:dyDescent="0.35">
      <c r="B47" s="26"/>
      <c r="C47" s="26"/>
      <c r="D47" s="26"/>
      <c r="E47" s="26"/>
      <c r="F47" s="26"/>
      <c r="G47" s="26"/>
      <c r="H47" s="28" t="s">
        <v>92</v>
      </c>
      <c r="I47" s="27" t="s">
        <v>91</v>
      </c>
      <c r="J47" s="27" t="s">
        <v>90</v>
      </c>
      <c r="K47" s="27"/>
      <c r="L47" s="27"/>
      <c r="M47" s="26"/>
      <c r="N47" s="26"/>
      <c r="Q47" s="174"/>
      <c r="S47" s="174"/>
    </row>
    <row r="48" spans="2:19" ht="15" x14ac:dyDescent="0.35">
      <c r="B48" s="23" t="s">
        <v>89</v>
      </c>
      <c r="C48" s="23" t="s">
        <v>88</v>
      </c>
      <c r="D48" s="23" t="s">
        <v>87</v>
      </c>
      <c r="E48" s="23" t="s">
        <v>86</v>
      </c>
      <c r="F48" s="23" t="s">
        <v>85</v>
      </c>
      <c r="G48" s="23" t="s">
        <v>84</v>
      </c>
      <c r="H48" s="25" t="s">
        <v>83</v>
      </c>
      <c r="I48" s="24" t="s">
        <v>83</v>
      </c>
      <c r="J48" s="24" t="s">
        <v>75</v>
      </c>
      <c r="K48" s="24" t="s">
        <v>73</v>
      </c>
      <c r="L48" s="24" t="s">
        <v>82</v>
      </c>
      <c r="M48" s="23" t="s">
        <v>81</v>
      </c>
      <c r="N48" s="23" t="s">
        <v>80</v>
      </c>
      <c r="R48" s="264"/>
    </row>
    <row r="49" spans="2:18" x14ac:dyDescent="0.2">
      <c r="B49" s="21" t="s">
        <v>418</v>
      </c>
      <c r="C49" s="20" t="s">
        <v>184</v>
      </c>
      <c r="D49" s="18" t="e">
        <f ca="1">_xll.BDP(C49,"SECURITY_NAME")</f>
        <v>#NAME?</v>
      </c>
      <c r="E49" s="18" t="s">
        <v>50</v>
      </c>
      <c r="F49" s="74">
        <v>3100</v>
      </c>
      <c r="G49" s="18" t="e">
        <f ca="1">_xll.BDP(C49,"CRNCY")</f>
        <v>#NAME?</v>
      </c>
      <c r="H49" s="75">
        <v>700</v>
      </c>
      <c r="I49" s="15">
        <f>F49*H49</f>
        <v>2170000</v>
      </c>
      <c r="J49" s="16" t="e">
        <f ca="1">I49/L49</f>
        <v>#NAME?</v>
      </c>
      <c r="K49" s="15" t="e">
        <f ca="1">J49*L49</f>
        <v>#NAME?</v>
      </c>
      <c r="L49" s="140" t="e">
        <f ca="1">_xll.BDH("RUB curncy","PX_LAST",$N49)</f>
        <v>#NAME?</v>
      </c>
      <c r="M49" s="85" t="e">
        <f ca="1">1/_xll.BDH("RUB curncy","PX_LAST",$N49)</f>
        <v>#NAME?</v>
      </c>
      <c r="N49" s="14">
        <v>42465</v>
      </c>
      <c r="R49" s="264"/>
    </row>
    <row r="50" spans="2:18" x14ac:dyDescent="0.2">
      <c r="B50" s="21" t="s">
        <v>418</v>
      </c>
      <c r="C50" s="20" t="s">
        <v>184</v>
      </c>
      <c r="D50" s="18" t="e">
        <f ca="1">_xll.BDP(C50,"SECURITY_NAME")</f>
        <v>#NAME?</v>
      </c>
      <c r="E50" s="18" t="s">
        <v>50</v>
      </c>
      <c r="F50" s="74">
        <v>1540</v>
      </c>
      <c r="G50" s="18" t="e">
        <f ca="1">_xll.BDP(C50,"CRNCY")</f>
        <v>#NAME?</v>
      </c>
      <c r="H50" s="75">
        <v>820</v>
      </c>
      <c r="I50" s="15">
        <f>F50*H50</f>
        <v>1262800</v>
      </c>
      <c r="J50" s="16" t="e">
        <f ca="1">I50/L50</f>
        <v>#NAME?</v>
      </c>
      <c r="K50" s="15" t="e">
        <f ca="1">J50*L50</f>
        <v>#NAME?</v>
      </c>
      <c r="L50" s="140" t="e">
        <f ca="1">_xll.BDH("RUB curncy","PX_LAST",$N50)</f>
        <v>#NAME?</v>
      </c>
      <c r="M50" s="85" t="e">
        <f ca="1">1/_xll.BDH("RUB curncy","PX_LAST",$N50)</f>
        <v>#NAME?</v>
      </c>
      <c r="N50" s="14">
        <v>42306</v>
      </c>
      <c r="R50" s="264"/>
    </row>
    <row r="51" spans="2:18" x14ac:dyDescent="0.2">
      <c r="B51" s="21" t="s">
        <v>418</v>
      </c>
      <c r="C51" s="20" t="s">
        <v>184</v>
      </c>
      <c r="D51" s="18" t="e">
        <f ca="1">_xll.BDP(C51,"SECURITY_NAME")</f>
        <v>#NAME?</v>
      </c>
      <c r="E51" s="18" t="s">
        <v>50</v>
      </c>
      <c r="F51" s="74">
        <v>1560</v>
      </c>
      <c r="G51" s="18" t="e">
        <f ca="1">_xll.BDP(C51,"CRNCY")</f>
        <v>#NAME?</v>
      </c>
      <c r="H51" s="75">
        <v>803</v>
      </c>
      <c r="I51" s="15">
        <f>F51*H51</f>
        <v>1252680</v>
      </c>
      <c r="J51" s="16" t="e">
        <f ca="1">I51/L51</f>
        <v>#NAME?</v>
      </c>
      <c r="K51" s="15" t="e">
        <f ca="1">J51*L51</f>
        <v>#NAME?</v>
      </c>
      <c r="L51" s="140" t="e">
        <f ca="1">_xll.BDH("RUB curncy","PX_LAST",$N51)</f>
        <v>#NAME?</v>
      </c>
      <c r="M51" s="85" t="e">
        <f ca="1">1/_xll.BDH("RUB curncy","PX_LAST",$N51)</f>
        <v>#NAME?</v>
      </c>
      <c r="N51" s="14">
        <v>42277</v>
      </c>
    </row>
    <row r="52" spans="2:18" x14ac:dyDescent="0.2">
      <c r="B52" s="160"/>
      <c r="D52" s="87"/>
      <c r="E52" s="87"/>
      <c r="F52" s="79">
        <f>SUM(F49:F51)</f>
        <v>6200</v>
      </c>
      <c r="G52" s="87"/>
      <c r="H52" s="80">
        <f>I52/F52</f>
        <v>755.72258064516132</v>
      </c>
      <c r="I52" s="79">
        <f>SUM(I49:I51)</f>
        <v>4685480</v>
      </c>
      <c r="J52" s="79" t="e">
        <f ca="1">SUM(J49:J51)</f>
        <v>#NAME?</v>
      </c>
      <c r="K52" s="79" t="e">
        <f ca="1">SUM(K49:K51)</f>
        <v>#NAME?</v>
      </c>
      <c r="L52" s="88"/>
      <c r="M52" s="158"/>
      <c r="N52" s="157"/>
    </row>
    <row r="53" spans="2:18" x14ac:dyDescent="0.2">
      <c r="B53" s="160"/>
      <c r="D53" s="87"/>
      <c r="E53" s="87"/>
      <c r="F53" s="79"/>
      <c r="G53" s="87"/>
      <c r="H53" s="80"/>
      <c r="I53" s="79"/>
      <c r="J53" s="79"/>
      <c r="K53" s="79"/>
      <c r="L53" s="88"/>
      <c r="M53" s="158"/>
      <c r="N53" s="157"/>
    </row>
    <row r="54" spans="2:18" x14ac:dyDescent="0.2">
      <c r="B54" s="21" t="s">
        <v>418</v>
      </c>
      <c r="C54" s="20" t="s">
        <v>182</v>
      </c>
      <c r="D54" s="18" t="e">
        <f ca="1">_xll.BDP(C54,"SECURITY_NAME")</f>
        <v>#NAME?</v>
      </c>
      <c r="E54" s="18" t="s">
        <v>50</v>
      </c>
      <c r="F54" s="74">
        <v>69370</v>
      </c>
      <c r="G54" s="18" t="e">
        <f ca="1">_xll.BDP(C54,"CRNCY")</f>
        <v>#NAME?</v>
      </c>
      <c r="H54" s="75">
        <v>28.675000000000001</v>
      </c>
      <c r="I54" s="15">
        <f>F54*H54</f>
        <v>1989184.75</v>
      </c>
      <c r="J54" s="16" t="e">
        <f ca="1">I54/L54</f>
        <v>#NAME?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42646</v>
      </c>
    </row>
    <row r="55" spans="2:18" x14ac:dyDescent="0.2">
      <c r="B55" s="21" t="s">
        <v>418</v>
      </c>
      <c r="C55" s="20" t="s">
        <v>182</v>
      </c>
      <c r="D55" s="18" t="e">
        <f ca="1">_xll.BDP(C55,"SECURITY_NAME")</f>
        <v>#NAME?</v>
      </c>
      <c r="E55" s="18" t="s">
        <v>50</v>
      </c>
      <c r="F55" s="74">
        <v>74600</v>
      </c>
      <c r="G55" s="18" t="e">
        <f ca="1">_xll.BDP(C55,"CRNCY")</f>
        <v>#NAME?</v>
      </c>
      <c r="H55" s="75">
        <v>38.619999999999997</v>
      </c>
      <c r="I55" s="15">
        <f>F55*H55</f>
        <v>2881052</v>
      </c>
      <c r="J55" s="16" t="e">
        <f ca="1">I55/L55</f>
        <v>#NAME?</v>
      </c>
      <c r="K55" s="15" t="e">
        <f ca="1">J55*L55</f>
        <v>#NAME?</v>
      </c>
      <c r="L55" s="140" t="e">
        <f ca="1">_xll.BDH("RUB curncy","PX_LAST",$N55)</f>
        <v>#NAME?</v>
      </c>
      <c r="M55" s="85" t="e">
        <f ca="1">1/_xll.BDH("RUB curncy","PX_LAST",$N55)</f>
        <v>#NAME?</v>
      </c>
      <c r="N55" s="14">
        <v>42551</v>
      </c>
    </row>
    <row r="56" spans="2:18" x14ac:dyDescent="0.2">
      <c r="B56" s="160"/>
      <c r="D56" s="87"/>
      <c r="E56" s="87"/>
      <c r="F56" s="79">
        <f>SUM(F54:F55)</f>
        <v>143970</v>
      </c>
      <c r="G56" s="87"/>
      <c r="H56" s="80">
        <f>I56/F56</f>
        <v>33.828136070014587</v>
      </c>
      <c r="I56" s="79">
        <f>SUM(I54:I55)</f>
        <v>4870236.75</v>
      </c>
      <c r="J56" s="79" t="e">
        <f ca="1">SUM(J54:J55)</f>
        <v>#NAME?</v>
      </c>
      <c r="K56" s="79" t="e">
        <f ca="1">SUM(K54:K55)</f>
        <v>#NAME?</v>
      </c>
      <c r="L56" s="88"/>
      <c r="M56" s="158"/>
      <c r="N56" s="157"/>
    </row>
    <row r="57" spans="2:18" x14ac:dyDescent="0.2">
      <c r="B57" s="160"/>
      <c r="D57" s="87"/>
      <c r="E57" s="87"/>
      <c r="F57" s="79"/>
      <c r="G57" s="87"/>
      <c r="H57" s="80"/>
      <c r="I57" s="79"/>
      <c r="J57" s="79"/>
      <c r="K57" s="79"/>
      <c r="L57" s="88"/>
      <c r="M57" s="158"/>
      <c r="N57" s="157"/>
    </row>
    <row r="58" spans="2:18" x14ac:dyDescent="0.2">
      <c r="B58" s="21" t="s">
        <v>418</v>
      </c>
      <c r="C58" s="20" t="s">
        <v>169</v>
      </c>
      <c r="D58" s="18" t="e">
        <f ca="1">_xll.BDP(C58,"SECURITY_NAME")</f>
        <v>#NAME?</v>
      </c>
      <c r="E58" s="18" t="s">
        <v>50</v>
      </c>
      <c r="F58" s="74">
        <v>12000</v>
      </c>
      <c r="G58" s="18" t="e">
        <f ca="1">_xll.BDP(C58,"CRNCY")</f>
        <v>#NAME?</v>
      </c>
      <c r="H58" s="75">
        <v>1.57323733</v>
      </c>
      <c r="I58" s="15">
        <f>F58*H58</f>
        <v>18878.847959999999</v>
      </c>
      <c r="J58" s="16">
        <f>I58</f>
        <v>18878.847959999999</v>
      </c>
      <c r="K58" s="15" t="e">
        <f ca="1">J58*L58</f>
        <v>#NAME?</v>
      </c>
      <c r="L58" s="140" t="e">
        <f ca="1">_xll.BDH("RUB curncy","PX_LAST",$N58)</f>
        <v>#NAME?</v>
      </c>
      <c r="M58" s="85" t="e">
        <f ca="1">1/_xll.BDH("RUB curncy","PX_LAST",$N58)</f>
        <v>#NAME?</v>
      </c>
      <c r="N58" s="14">
        <v>42279</v>
      </c>
    </row>
    <row r="59" spans="2:18" x14ac:dyDescent="0.2">
      <c r="B59" s="160"/>
      <c r="D59" s="87"/>
      <c r="E59" s="87"/>
      <c r="F59" s="79">
        <f>SUM(F58)</f>
        <v>12000</v>
      </c>
      <c r="G59" s="87"/>
      <c r="H59" s="80">
        <f>I59/F59</f>
        <v>1.57323733</v>
      </c>
      <c r="I59" s="79">
        <f>SUM(I58)</f>
        <v>18878.847959999999</v>
      </c>
      <c r="J59" s="79">
        <f>SUM(J58)</f>
        <v>18878.847959999999</v>
      </c>
      <c r="K59" s="79" t="e">
        <f ca="1">SUM(K58)</f>
        <v>#NAME?</v>
      </c>
      <c r="L59" s="88"/>
      <c r="M59" s="158"/>
      <c r="N59" s="157"/>
    </row>
    <row r="60" spans="2:18" x14ac:dyDescent="0.2">
      <c r="B60" s="160"/>
      <c r="D60" s="87"/>
      <c r="E60" s="87"/>
      <c r="F60" s="79"/>
      <c r="G60" s="87"/>
      <c r="H60" s="80"/>
      <c r="I60" s="79"/>
      <c r="J60" s="79"/>
      <c r="K60" s="79"/>
      <c r="L60" s="88"/>
      <c r="M60" s="158"/>
      <c r="N60" s="157"/>
    </row>
    <row r="61" spans="2:18" x14ac:dyDescent="0.2">
      <c r="B61" s="21" t="s">
        <v>418</v>
      </c>
      <c r="C61" s="20" t="s">
        <v>209</v>
      </c>
      <c r="D61" s="18" t="e">
        <f ca="1">_xll.BDP(C61,"SECURITY_NAME")</f>
        <v>#NAME?</v>
      </c>
      <c r="E61" s="18" t="s">
        <v>50</v>
      </c>
      <c r="F61" s="74">
        <v>21900</v>
      </c>
      <c r="G61" s="18" t="e">
        <f ca="1">_xll.BDP(C61,"CRNCY")</f>
        <v>#NAME?</v>
      </c>
      <c r="H61" s="75">
        <v>57</v>
      </c>
      <c r="I61" s="15">
        <f>F61*H61</f>
        <v>1248300</v>
      </c>
      <c r="J61" s="16" t="e">
        <f ca="1">I61/L61</f>
        <v>#NAME?</v>
      </c>
      <c r="K61" s="15" t="e">
        <f ca="1">J61*L61</f>
        <v>#NAME?</v>
      </c>
      <c r="L61" s="140" t="e">
        <f ca="1">_xll.BDH("RUB curncy","PX_LAST",$N61)</f>
        <v>#NAME?</v>
      </c>
      <c r="M61" s="85" t="e">
        <f ca="1">1/_xll.BDH("RUB curncy","PX_LAST",$N61)</f>
        <v>#NAME?</v>
      </c>
      <c r="N61" s="14">
        <v>42278</v>
      </c>
    </row>
    <row r="62" spans="2:18" x14ac:dyDescent="0.2">
      <c r="B62" s="160"/>
      <c r="D62" s="87"/>
      <c r="E62" s="87"/>
      <c r="F62" s="79">
        <f>SUM(F61)</f>
        <v>21900</v>
      </c>
      <c r="G62" s="87"/>
      <c r="H62" s="80">
        <f>I62/F62</f>
        <v>57</v>
      </c>
      <c r="I62" s="79">
        <f>SUM(I61)</f>
        <v>1248300</v>
      </c>
      <c r="J62" s="79" t="e">
        <f ca="1">SUM(J61)</f>
        <v>#NAME?</v>
      </c>
      <c r="K62" s="79" t="e">
        <f ca="1">SUM(K61)</f>
        <v>#NAME?</v>
      </c>
      <c r="L62" s="88"/>
      <c r="M62" s="158"/>
      <c r="N62" s="157"/>
    </row>
    <row r="63" spans="2:18" x14ac:dyDescent="0.2">
      <c r="B63" s="160"/>
      <c r="D63" s="87"/>
      <c r="E63" s="87"/>
      <c r="F63" s="79"/>
      <c r="G63" s="87"/>
      <c r="H63" s="80"/>
      <c r="I63" s="79"/>
      <c r="J63" s="79"/>
      <c r="K63" s="79"/>
      <c r="L63" s="88"/>
      <c r="M63" s="158"/>
      <c r="N63" s="157"/>
    </row>
    <row r="64" spans="2:18" x14ac:dyDescent="0.2">
      <c r="B64" s="21" t="s">
        <v>418</v>
      </c>
      <c r="C64" s="118" t="s">
        <v>453</v>
      </c>
      <c r="D64" s="18" t="e">
        <f ca="1">_xll.BDP(C64,"SECURITY_NAME")</f>
        <v>#NAME?</v>
      </c>
      <c r="E64" s="18" t="s">
        <v>50</v>
      </c>
      <c r="F64" s="19">
        <v>250000</v>
      </c>
      <c r="G64" s="18" t="e">
        <f ca="1">_xll.BDP(C64,"CRNCY")</f>
        <v>#NAME?</v>
      </c>
      <c r="H64" s="22">
        <v>91.5</v>
      </c>
      <c r="I64" s="15">
        <f>F64*H64/100</f>
        <v>228750</v>
      </c>
      <c r="J64" s="16">
        <f>I64</f>
        <v>228750</v>
      </c>
      <c r="K64" s="15" t="e">
        <f ca="1">J64*L64</f>
        <v>#NAME?</v>
      </c>
      <c r="L64" s="140" t="e">
        <f ca="1">_xll.BDH("RUB curncy","PX_LAST",$N64)</f>
        <v>#NAME?</v>
      </c>
      <c r="M64" s="85" t="e">
        <f ca="1">1/_xll.BDH("RUB curncy","PX_LAST",$N64)</f>
        <v>#NAME?</v>
      </c>
      <c r="N64" s="14">
        <v>42416</v>
      </c>
    </row>
    <row r="65" spans="2:14" x14ac:dyDescent="0.2">
      <c r="B65" s="21" t="s">
        <v>418</v>
      </c>
      <c r="C65" s="118" t="s">
        <v>453</v>
      </c>
      <c r="D65" s="18" t="e">
        <f ca="1">_xll.BDP(C65,"SECURITY_NAME")</f>
        <v>#NAME?</v>
      </c>
      <c r="E65" s="18" t="s">
        <v>50</v>
      </c>
      <c r="F65" s="19">
        <v>250000</v>
      </c>
      <c r="G65" s="18" t="e">
        <f ca="1">_xll.BDP(C65,"CRNCY")</f>
        <v>#NAME?</v>
      </c>
      <c r="H65" s="22">
        <v>96.5</v>
      </c>
      <c r="I65" s="15">
        <f>F65*H65/100</f>
        <v>241250</v>
      </c>
      <c r="J65" s="16">
        <f>I65</f>
        <v>241250</v>
      </c>
      <c r="K65" s="15" t="e">
        <f ca="1">J65*L65</f>
        <v>#NAME?</v>
      </c>
      <c r="L65" s="140" t="e">
        <f ca="1">_xll.BDH("RUB curncy","PX_LAST",$N65)</f>
        <v>#NAME?</v>
      </c>
      <c r="M65" s="85" t="e">
        <f ca="1">1/_xll.BDH("RUB curncy","PX_LAST",$N65)</f>
        <v>#NAME?</v>
      </c>
      <c r="N65" s="14">
        <v>42299</v>
      </c>
    </row>
    <row r="66" spans="2:14" x14ac:dyDescent="0.2">
      <c r="B66" s="160"/>
      <c r="D66" s="87"/>
      <c r="E66" s="87"/>
      <c r="F66" s="79">
        <f>SUM(F64:F65)</f>
        <v>500000</v>
      </c>
      <c r="G66" s="87"/>
      <c r="H66" s="80">
        <f>I66/F66*100</f>
        <v>94</v>
      </c>
      <c r="I66" s="79">
        <f>SUM(I64:I65)</f>
        <v>470000</v>
      </c>
      <c r="J66" s="79">
        <f>SUM(J64:J65)</f>
        <v>470000</v>
      </c>
      <c r="K66" s="79" t="e">
        <f ca="1">SUM(K64:K65)</f>
        <v>#NAME?</v>
      </c>
      <c r="L66" s="88"/>
      <c r="M66" s="158"/>
      <c r="N66" s="157"/>
    </row>
    <row r="68" spans="2:14" x14ac:dyDescent="0.2">
      <c r="B68" s="21" t="s">
        <v>418</v>
      </c>
      <c r="C68" s="20" t="s">
        <v>373</v>
      </c>
      <c r="D68" s="18" t="e">
        <f ca="1">_xll.BDP(C68,"SECURITY_NAME")</f>
        <v>#NAME?</v>
      </c>
      <c r="E68" s="18" t="s">
        <v>50</v>
      </c>
      <c r="F68" s="19">
        <v>200000</v>
      </c>
      <c r="G68" s="18" t="e">
        <f ca="1">_xll.BDP(C68,"CRNCY")</f>
        <v>#NAME?</v>
      </c>
      <c r="H68" s="22">
        <v>98</v>
      </c>
      <c r="I68" s="15">
        <f>F68*H68/100</f>
        <v>196000</v>
      </c>
      <c r="J68" s="16">
        <f>I68</f>
        <v>196000</v>
      </c>
      <c r="K68" s="15" t="e">
        <f ca="1">J68*L68</f>
        <v>#NAME?</v>
      </c>
      <c r="L68" s="140" t="e">
        <f ca="1">_xll.BDH("RUB curncy","PX_LAST",$N68)</f>
        <v>#NAME?</v>
      </c>
      <c r="M68" s="85" t="e">
        <f ca="1">1/_xll.BDH("RUB curncy","PX_LAST",$N68)</f>
        <v>#NAME?</v>
      </c>
      <c r="N68" s="14">
        <v>42166</v>
      </c>
    </row>
    <row r="69" spans="2:14" x14ac:dyDescent="0.2">
      <c r="B69" s="160"/>
      <c r="D69" s="87"/>
      <c r="E69" s="87"/>
      <c r="F69" s="79">
        <f>SUM(F68)</f>
        <v>200000</v>
      </c>
      <c r="G69" s="87"/>
      <c r="H69" s="80">
        <f>I69/F69*100</f>
        <v>98</v>
      </c>
      <c r="I69" s="79">
        <f>SUM(I68)</f>
        <v>196000</v>
      </c>
      <c r="J69" s="79">
        <f>SUM(J68)</f>
        <v>196000</v>
      </c>
      <c r="K69" s="79" t="e">
        <f ca="1">SUM(K68)</f>
        <v>#NAME?</v>
      </c>
      <c r="L69" s="88"/>
      <c r="M69" s="158"/>
      <c r="N69" s="157"/>
    </row>
    <row r="70" spans="2:14" x14ac:dyDescent="0.2">
      <c r="B70" s="71"/>
      <c r="C70" s="33"/>
      <c r="D70" s="73"/>
      <c r="E70" s="73"/>
      <c r="F70" s="74"/>
      <c r="G70" s="73"/>
      <c r="H70" s="75"/>
      <c r="I70" s="74"/>
      <c r="J70" s="74"/>
      <c r="K70" s="74"/>
      <c r="L70" s="139"/>
      <c r="M70" s="86"/>
      <c r="N70" s="14"/>
    </row>
    <row r="71" spans="2:14" x14ac:dyDescent="0.2">
      <c r="B71" s="21" t="s">
        <v>418</v>
      </c>
      <c r="C71" s="20" t="s">
        <v>413</v>
      </c>
      <c r="D71" s="18" t="e">
        <f ca="1">_xll.BDP(C71,"SECURITY_NAME")</f>
        <v>#NAME?</v>
      </c>
      <c r="E71" s="18" t="s">
        <v>50</v>
      </c>
      <c r="F71" s="19">
        <v>407000</v>
      </c>
      <c r="G71" s="18" t="e">
        <f ca="1">_xll.BDP(C71,"CRNCY")</f>
        <v>#NAME?</v>
      </c>
      <c r="H71" s="22">
        <v>92.5</v>
      </c>
      <c r="I71" s="15">
        <f>F71*H71/100</f>
        <v>376475</v>
      </c>
      <c r="J71" s="16">
        <f>I71</f>
        <v>376475</v>
      </c>
      <c r="K71" s="15" t="e">
        <f ca="1">J71*L71</f>
        <v>#NAME?</v>
      </c>
      <c r="L71" s="140" t="e">
        <f ca="1">_xll.BDH("RUB curncy","PX_LAST",$N71)</f>
        <v>#NAME?</v>
      </c>
      <c r="M71" s="85" t="e">
        <f ca="1">1/_xll.BDH("RUB curncy","PX_LAST",$N71)</f>
        <v>#NAME?</v>
      </c>
      <c r="N71" s="14">
        <v>42178</v>
      </c>
    </row>
    <row r="72" spans="2:14" x14ac:dyDescent="0.2">
      <c r="B72" s="160"/>
      <c r="D72" s="87"/>
      <c r="E72" s="87"/>
      <c r="F72" s="79">
        <f>SUM(F70:F71)</f>
        <v>407000</v>
      </c>
      <c r="G72" s="87"/>
      <c r="H72" s="80">
        <f>I72/F72*100</f>
        <v>92.5</v>
      </c>
      <c r="I72" s="79">
        <f>SUM(I70:I71)</f>
        <v>376475</v>
      </c>
      <c r="J72" s="79">
        <f>SUM(J70:J71)</f>
        <v>376475</v>
      </c>
      <c r="K72" s="79" t="e">
        <f ca="1">SUM(K70:K71)</f>
        <v>#NAME?</v>
      </c>
      <c r="L72" s="88"/>
      <c r="M72" s="158"/>
      <c r="N72" s="157"/>
    </row>
    <row r="73" spans="2:14" x14ac:dyDescent="0.2">
      <c r="B73" s="71"/>
      <c r="C73" s="33"/>
      <c r="D73" s="73"/>
      <c r="E73" s="73"/>
      <c r="F73" s="74"/>
      <c r="G73" s="73"/>
      <c r="H73" s="75"/>
      <c r="I73" s="74"/>
      <c r="J73" s="74"/>
      <c r="K73" s="74"/>
      <c r="L73" s="139"/>
      <c r="M73" s="86"/>
      <c r="N73" s="14"/>
    </row>
    <row r="74" spans="2:14" x14ac:dyDescent="0.2">
      <c r="B74" s="21" t="s">
        <v>418</v>
      </c>
      <c r="C74" s="20" t="s">
        <v>414</v>
      </c>
      <c r="D74" s="18" t="e">
        <f ca="1">_xll.BDP(C74,"SECURITY_NAME")</f>
        <v>#NAME?</v>
      </c>
      <c r="E74" s="18" t="s">
        <v>50</v>
      </c>
      <c r="F74" s="19">
        <v>200000</v>
      </c>
      <c r="G74" s="18" t="e">
        <f ca="1">_xll.BDP(C74,"CRNCY")</f>
        <v>#NAME?</v>
      </c>
      <c r="H74" s="22">
        <v>96</v>
      </c>
      <c r="I74" s="15">
        <f>F74*H74/100</f>
        <v>192000</v>
      </c>
      <c r="J74" s="16">
        <f>I74</f>
        <v>192000</v>
      </c>
      <c r="K74" s="15" t="e">
        <f ca="1">J74*L74</f>
        <v>#NAME?</v>
      </c>
      <c r="L74" s="140" t="e">
        <f ca="1">_xll.BDH("RUB curncy","PX_LAST",$N74)</f>
        <v>#NAME?</v>
      </c>
      <c r="M74" s="85" t="e">
        <f ca="1">1/_xll.BDH("RUB curncy","PX_LAST",$N74)</f>
        <v>#NAME?</v>
      </c>
      <c r="N74" s="14">
        <v>42151</v>
      </c>
    </row>
    <row r="75" spans="2:14" x14ac:dyDescent="0.2">
      <c r="B75" s="21" t="s">
        <v>418</v>
      </c>
      <c r="C75" s="20" t="s">
        <v>414</v>
      </c>
      <c r="D75" s="18" t="e">
        <f ca="1">_xll.BDP(C75,"SECURITY_NAME")</f>
        <v>#NAME?</v>
      </c>
      <c r="E75" s="18" t="s">
        <v>50</v>
      </c>
      <c r="F75" s="19">
        <v>277000</v>
      </c>
      <c r="G75" s="33"/>
      <c r="H75" s="22">
        <v>96</v>
      </c>
      <c r="I75" s="15">
        <f>F75*H75/100</f>
        <v>265920</v>
      </c>
      <c r="J75" s="16">
        <f>I75</f>
        <v>265920</v>
      </c>
      <c r="K75" s="15" t="e">
        <f ca="1">J75*L75</f>
        <v>#NAME?</v>
      </c>
      <c r="L75" s="140" t="e">
        <f ca="1">_xll.BDH("RUB curncy","PX_LAST",$N75)</f>
        <v>#NAME?</v>
      </c>
      <c r="M75" s="85" t="e">
        <f ca="1">1/_xll.BDH("RUB curncy","PX_LAST",$N75)</f>
        <v>#NAME?</v>
      </c>
      <c r="N75" s="14">
        <v>42166</v>
      </c>
    </row>
    <row r="76" spans="2:14" x14ac:dyDescent="0.2">
      <c r="B76" s="160"/>
      <c r="C76" s="159"/>
      <c r="D76" s="87"/>
      <c r="E76" s="87"/>
      <c r="F76" s="79">
        <f>SUM(F74:F75)</f>
        <v>477000</v>
      </c>
      <c r="G76" s="87"/>
      <c r="H76" s="80">
        <f>I76/F76*100</f>
        <v>96</v>
      </c>
      <c r="I76" s="79">
        <f>SUM(I74:I75)</f>
        <v>457920</v>
      </c>
      <c r="J76" s="79">
        <f>SUM(J74:J75)</f>
        <v>457920</v>
      </c>
      <c r="K76" s="79" t="e">
        <f ca="1">SUM(K74:K75)</f>
        <v>#NAME?</v>
      </c>
      <c r="L76" s="88"/>
      <c r="M76" s="158"/>
      <c r="N76" s="157"/>
    </row>
    <row r="77" spans="2:14" x14ac:dyDescent="0.2">
      <c r="B77" s="71"/>
      <c r="C77" s="72"/>
      <c r="D77" s="73"/>
      <c r="E77" s="73"/>
      <c r="F77" s="74"/>
      <c r="G77" s="73"/>
      <c r="H77" s="207"/>
      <c r="I77" s="74"/>
      <c r="J77" s="74"/>
      <c r="K77" s="74"/>
      <c r="L77" s="139"/>
      <c r="M77" s="86"/>
      <c r="N77" s="14"/>
    </row>
    <row r="78" spans="2:14" x14ac:dyDescent="0.2">
      <c r="B78" s="21" t="s">
        <v>418</v>
      </c>
      <c r="C78" s="20" t="s">
        <v>321</v>
      </c>
      <c r="D78" s="18" t="e">
        <f ca="1">_xll.BDP(C78,"SECURITY_NAME")</f>
        <v>#NAME?</v>
      </c>
      <c r="E78" s="18" t="s">
        <v>50</v>
      </c>
      <c r="F78" s="19">
        <v>250000</v>
      </c>
      <c r="G78" s="18" t="e">
        <f ca="1">_xll.BDP(C78,"CRNCY")</f>
        <v>#NAME?</v>
      </c>
      <c r="H78" s="22">
        <v>85.85</v>
      </c>
      <c r="I78" s="15">
        <f>F78*H78/100</f>
        <v>214625</v>
      </c>
      <c r="J78" s="16">
        <f>I78</f>
        <v>214625</v>
      </c>
      <c r="K78" s="15" t="e">
        <f ca="1">J78*L78</f>
        <v>#NAME?</v>
      </c>
      <c r="L78" s="140" t="e">
        <f ca="1">_xll.BDH("RUB curncy","PX_LAST",$N78)</f>
        <v>#NAME?</v>
      </c>
      <c r="M78" s="85" t="e">
        <f ca="1">1/_xll.BDH("RUB curncy","PX_LAST",$N78)</f>
        <v>#NAME?</v>
      </c>
      <c r="N78" s="14">
        <v>42282</v>
      </c>
    </row>
    <row r="79" spans="2:14" x14ac:dyDescent="0.2">
      <c r="B79" s="21" t="s">
        <v>418</v>
      </c>
      <c r="C79" s="20" t="s">
        <v>321</v>
      </c>
      <c r="D79" s="18" t="e">
        <f ca="1">_xll.BDP(C79,"SECURITY_NAME")</f>
        <v>#NAME?</v>
      </c>
      <c r="E79" s="18" t="s">
        <v>50</v>
      </c>
      <c r="F79" s="19">
        <v>300000</v>
      </c>
      <c r="G79" s="18" t="e">
        <f ca="1">_xll.BDP(C79,"CRNCY")</f>
        <v>#NAME?</v>
      </c>
      <c r="H79" s="22">
        <v>86</v>
      </c>
      <c r="I79" s="15">
        <f>F79*H79/100</f>
        <v>258000</v>
      </c>
      <c r="J79" s="16">
        <f>I79</f>
        <v>258000</v>
      </c>
      <c r="K79" s="15" t="e">
        <f ca="1">J79*L79</f>
        <v>#NAME?</v>
      </c>
      <c r="L79" s="140" t="e">
        <f ca="1">_xll.BDH("RUB curncy","PX_LAST",$N79)</f>
        <v>#NAME?</v>
      </c>
      <c r="M79" s="85" t="e">
        <f ca="1">1/_xll.BDH("RUB curncy","PX_LAST",$N79)</f>
        <v>#NAME?</v>
      </c>
      <c r="N79" s="14">
        <v>42250</v>
      </c>
    </row>
    <row r="80" spans="2:14" x14ac:dyDescent="0.2">
      <c r="B80" s="160"/>
      <c r="D80" s="87"/>
      <c r="E80" s="87"/>
      <c r="F80" s="79">
        <f>SUM(F78:F79)</f>
        <v>550000</v>
      </c>
      <c r="G80" s="87"/>
      <c r="H80" s="80">
        <f>I80/F80*100</f>
        <v>85.931818181818187</v>
      </c>
      <c r="I80" s="79">
        <f>SUM(I78:I79)</f>
        <v>472625</v>
      </c>
      <c r="J80" s="79">
        <f>SUM(J78:J79)</f>
        <v>472625</v>
      </c>
      <c r="K80" s="79" t="e">
        <f ca="1">SUM(K78:K79)</f>
        <v>#NAME?</v>
      </c>
      <c r="L80" s="88"/>
      <c r="M80" s="158"/>
      <c r="N80" s="157"/>
    </row>
    <row r="81" spans="2:14" x14ac:dyDescent="0.2">
      <c r="B81" s="71"/>
      <c r="C81" s="72"/>
      <c r="D81" s="73"/>
      <c r="E81" s="73"/>
      <c r="F81" s="74"/>
      <c r="G81" s="73"/>
      <c r="H81" s="207"/>
      <c r="I81" s="74"/>
      <c r="J81" s="74"/>
      <c r="K81" s="74"/>
      <c r="L81" s="139"/>
      <c r="M81" s="86"/>
      <c r="N81" s="14"/>
    </row>
    <row r="82" spans="2:14" x14ac:dyDescent="0.2">
      <c r="B82" s="21" t="s">
        <v>418</v>
      </c>
      <c r="C82" s="20" t="s">
        <v>344</v>
      </c>
      <c r="D82" s="18" t="e">
        <f ca="1">_xll.BDP(C82,"SECURITY_NAME")</f>
        <v>#NAME?</v>
      </c>
      <c r="E82" s="18" t="s">
        <v>50</v>
      </c>
      <c r="F82" s="19">
        <v>1592</v>
      </c>
      <c r="G82" s="18" t="e">
        <f ca="1">_xll.BDP(C82,"CRNCY")</f>
        <v>#NAME?</v>
      </c>
      <c r="H82" s="22">
        <v>785.81</v>
      </c>
      <c r="I82" s="15">
        <f>F82*H82</f>
        <v>1251009.52</v>
      </c>
      <c r="J82" s="16" t="e">
        <f ca="1">I82/L82</f>
        <v>#NAME?</v>
      </c>
      <c r="K82" s="15" t="e">
        <f ca="1">J82*L82</f>
        <v>#NAME?</v>
      </c>
      <c r="L82" s="140" t="e">
        <f ca="1">_xll.BDH("RUB curncy","PX_LAST",$N82)</f>
        <v>#NAME?</v>
      </c>
      <c r="M82" s="85" t="e">
        <f ca="1">1/_xll.BDH("RUB curncy","PX_LAST",$N82)</f>
        <v>#NAME?</v>
      </c>
      <c r="N82" s="14">
        <v>42251</v>
      </c>
    </row>
    <row r="83" spans="2:14" x14ac:dyDescent="0.2">
      <c r="B83" s="21" t="s">
        <v>418</v>
      </c>
      <c r="C83" s="20" t="s">
        <v>344</v>
      </c>
      <c r="D83" s="18" t="e">
        <f ca="1">_xll.BDP(C83,"SECURITY_NAME")</f>
        <v>#NAME?</v>
      </c>
      <c r="E83" s="18" t="s">
        <v>50</v>
      </c>
      <c r="F83" s="74">
        <v>1572</v>
      </c>
      <c r="G83" s="18" t="e">
        <f ca="1">_xll.BDP(C82,"CRNCY")</f>
        <v>#NAME?</v>
      </c>
      <c r="H83" s="75">
        <v>794.87</v>
      </c>
      <c r="I83" s="15">
        <f>F83*H83</f>
        <v>1249535.6399999999</v>
      </c>
      <c r="J83" s="16" t="e">
        <f ca="1">I83/L83</f>
        <v>#NAME?</v>
      </c>
      <c r="K83" s="15" t="e">
        <f ca="1">J83*L83</f>
        <v>#NAME?</v>
      </c>
      <c r="L83" s="140" t="e">
        <f ca="1">_xll.BDH("RUB curncy","PX_LAST",$N83)</f>
        <v>#NAME?</v>
      </c>
      <c r="M83" s="85" t="e">
        <f ca="1">1/_xll.BDH("RUB curncy","PX_LAST",$N83)</f>
        <v>#NAME?</v>
      </c>
      <c r="N83" s="14">
        <v>42262</v>
      </c>
    </row>
    <row r="84" spans="2:14" x14ac:dyDescent="0.2">
      <c r="B84" s="160"/>
      <c r="D84" s="87"/>
      <c r="E84" s="87"/>
      <c r="F84" s="79">
        <f>SUM(F82:F83)</f>
        <v>3164</v>
      </c>
      <c r="G84" s="87"/>
      <c r="H84" s="80">
        <f>I84/F84</f>
        <v>790.31136536030351</v>
      </c>
      <c r="I84" s="79">
        <f>SUM(I82:I83)</f>
        <v>2500545.16</v>
      </c>
      <c r="J84" s="79" t="e">
        <f ca="1">SUM(J82:J83)</f>
        <v>#NAME?</v>
      </c>
      <c r="K84" s="79" t="e">
        <f ca="1">SUM(K82:K83)</f>
        <v>#NAME?</v>
      </c>
      <c r="L84" s="88"/>
      <c r="M84" s="158"/>
      <c r="N84" s="157"/>
    </row>
    <row r="85" spans="2:14" x14ac:dyDescent="0.2">
      <c r="B85" s="71"/>
      <c r="C85" s="33"/>
      <c r="D85" s="73"/>
      <c r="E85" s="73"/>
      <c r="F85" s="74"/>
      <c r="G85" s="73"/>
      <c r="H85" s="75"/>
      <c r="I85" s="74"/>
      <c r="J85" s="74"/>
      <c r="K85" s="74"/>
      <c r="L85" s="139"/>
      <c r="M85" s="86"/>
      <c r="N85" s="14"/>
    </row>
    <row r="86" spans="2:14" x14ac:dyDescent="0.2">
      <c r="B86" s="21" t="s">
        <v>418</v>
      </c>
      <c r="C86" s="20" t="s">
        <v>332</v>
      </c>
      <c r="D86" s="18" t="e">
        <f ca="1">_xll.BDP(C86,"SECURITY_NAME")</f>
        <v>#NAME?</v>
      </c>
      <c r="E86" s="18" t="s">
        <v>50</v>
      </c>
      <c r="F86" s="19">
        <v>7500</v>
      </c>
      <c r="G86" s="18" t="e">
        <f ca="1">_xll.BDP(C86,"CRNCY")</f>
        <v>#NAME?</v>
      </c>
      <c r="H86" s="22">
        <v>220</v>
      </c>
      <c r="I86" s="15">
        <f>F86*H86</f>
        <v>1650000</v>
      </c>
      <c r="J86" s="16" t="e">
        <f ca="1">I86/L86</f>
        <v>#NAME?</v>
      </c>
      <c r="K86" s="15" t="e">
        <f ca="1">J86*L86</f>
        <v>#NAME?</v>
      </c>
      <c r="L86" s="140" t="e">
        <f ca="1">_xll.BDH("RUB curncy","PX_LAST",$N86)</f>
        <v>#NAME?</v>
      </c>
      <c r="M86" s="85" t="e">
        <f ca="1">1/_xll.BDH("RUB curncy","PX_LAST",$N86)</f>
        <v>#NAME?</v>
      </c>
      <c r="N86" s="14">
        <v>42359</v>
      </c>
    </row>
    <row r="87" spans="2:14" x14ac:dyDescent="0.2">
      <c r="B87" s="21" t="s">
        <v>418</v>
      </c>
      <c r="C87" s="20" t="s">
        <v>332</v>
      </c>
      <c r="D87" s="18" t="e">
        <f ca="1">_xll.BDP(C87,"SECURITY_NAME")</f>
        <v>#NAME?</v>
      </c>
      <c r="E87" s="18" t="s">
        <v>50</v>
      </c>
      <c r="F87" s="19">
        <v>7030</v>
      </c>
      <c r="G87" s="18" t="e">
        <f ca="1">_xll.BDP(C87,"CRNCY")</f>
        <v>#NAME?</v>
      </c>
      <c r="H87" s="22">
        <v>299.67</v>
      </c>
      <c r="I87" s="15">
        <f>F87*H87</f>
        <v>2106680.1</v>
      </c>
      <c r="J87" s="16" t="e">
        <f ca="1">I87/L87</f>
        <v>#NAME?</v>
      </c>
      <c r="K87" s="15" t="e">
        <f ca="1">J87*L87</f>
        <v>#NAME?</v>
      </c>
      <c r="L87" s="140" t="e">
        <f ca="1">_xll.BDH("RUB curncy","PX_LAST",$N87)</f>
        <v>#NAME?</v>
      </c>
      <c r="M87" s="85" t="e">
        <f ca="1">1/_xll.BDH("RUB curncy","PX_LAST",$N87)</f>
        <v>#NAME?</v>
      </c>
      <c r="N87" s="14">
        <v>42251</v>
      </c>
    </row>
    <row r="88" spans="2:14" x14ac:dyDescent="0.2">
      <c r="B88" s="71"/>
      <c r="C88" s="20" t="s">
        <v>332</v>
      </c>
      <c r="D88" s="18" t="e">
        <f ca="1">_xll.BDP(C88,"SECURITY_NAME")</f>
        <v>#NAME?</v>
      </c>
      <c r="E88" s="18" t="s">
        <v>50</v>
      </c>
      <c r="F88" s="19">
        <v>1300</v>
      </c>
      <c r="G88" s="33"/>
      <c r="H88" s="22">
        <v>300</v>
      </c>
      <c r="I88" s="15">
        <f>F88*H88</f>
        <v>390000</v>
      </c>
      <c r="J88" s="16" t="e">
        <f ca="1">I88/L88</f>
        <v>#NAME?</v>
      </c>
      <c r="K88" s="15" t="e">
        <f ca="1">J88*L88</f>
        <v>#NAME?</v>
      </c>
      <c r="L88" s="140" t="e">
        <f ca="1">_xll.BDH("RUB curncy","PX_LAST",$N88)</f>
        <v>#NAME?</v>
      </c>
      <c r="M88" s="85" t="e">
        <f ca="1">1/_xll.BDH("RUB curncy","PX_LAST",$N88)</f>
        <v>#NAME?</v>
      </c>
      <c r="N88" s="14">
        <v>42256</v>
      </c>
    </row>
    <row r="89" spans="2:14" x14ac:dyDescent="0.2">
      <c r="B89" s="160"/>
      <c r="C89" s="159"/>
      <c r="D89" s="87"/>
      <c r="E89" s="87"/>
      <c r="F89" s="79">
        <f>SUM(F86:F88)</f>
        <v>15830</v>
      </c>
      <c r="G89" s="87"/>
      <c r="H89" s="80">
        <f>I89/F89</f>
        <v>261.95073278584965</v>
      </c>
      <c r="I89" s="79">
        <f>SUM(I86:I88)</f>
        <v>4146680.1</v>
      </c>
      <c r="J89" s="79" t="e">
        <f ca="1">SUM(J86:J88)</f>
        <v>#NAME?</v>
      </c>
      <c r="K89" s="79" t="e">
        <f ca="1">SUM(K86:K88)</f>
        <v>#NAME?</v>
      </c>
      <c r="L89" s="88"/>
      <c r="M89" s="158"/>
      <c r="N89" s="157"/>
    </row>
    <row r="90" spans="2:14" x14ac:dyDescent="0.2">
      <c r="B90" s="21"/>
      <c r="C90" s="20"/>
      <c r="D90" s="18"/>
      <c r="E90" s="18"/>
      <c r="F90" s="19"/>
      <c r="G90" s="18"/>
      <c r="H90" s="22"/>
      <c r="I90" s="15"/>
      <c r="J90" s="16"/>
      <c r="K90" s="15"/>
      <c r="L90" s="140"/>
      <c r="M90" s="85"/>
      <c r="N90" s="14"/>
    </row>
    <row r="91" spans="2:14" x14ac:dyDescent="0.2">
      <c r="B91" s="21" t="s">
        <v>418</v>
      </c>
      <c r="C91" s="20" t="s">
        <v>217</v>
      </c>
      <c r="D91" s="18" t="e">
        <f ca="1">_xll.BDP(C91,"SECURITY_NAME")</f>
        <v>#NAME?</v>
      </c>
      <c r="E91" s="18" t="s">
        <v>50</v>
      </c>
      <c r="F91" s="19">
        <v>200000</v>
      </c>
      <c r="G91" s="18" t="e">
        <f ca="1">_xll.BDP(C91,"CRNCY")</f>
        <v>#NAME?</v>
      </c>
      <c r="H91" s="22">
        <v>92</v>
      </c>
      <c r="I91" s="15">
        <f>F91*H91/100</f>
        <v>184000</v>
      </c>
      <c r="J91" s="16">
        <f>I91</f>
        <v>184000</v>
      </c>
      <c r="K91" s="15" t="e">
        <f ca="1">J91*L91</f>
        <v>#NAME?</v>
      </c>
      <c r="L91" s="140" t="e">
        <f ca="1">_xll.BDH("RUB curncy","PX_LAST",$N91)</f>
        <v>#NAME?</v>
      </c>
      <c r="M91" s="85" t="e">
        <f ca="1">1/_xll.BDH("RUB curncy","PX_LAST",$N91)</f>
        <v>#NAME?</v>
      </c>
      <c r="N91" s="14">
        <v>42255</v>
      </c>
    </row>
    <row r="92" spans="2:14" x14ac:dyDescent="0.2">
      <c r="B92" s="160"/>
      <c r="D92" s="87"/>
      <c r="E92" s="87"/>
      <c r="F92" s="79">
        <f>SUM(F90:F91)</f>
        <v>200000</v>
      </c>
      <c r="G92" s="87"/>
      <c r="H92" s="80">
        <f>I92/F92*100</f>
        <v>92</v>
      </c>
      <c r="I92" s="79">
        <f>SUM(I90:I91)</f>
        <v>184000</v>
      </c>
      <c r="J92" s="79">
        <f>SUM(J90:J91)</f>
        <v>184000</v>
      </c>
      <c r="K92" s="79" t="e">
        <f ca="1">SUM(K90:K91)</f>
        <v>#NAME?</v>
      </c>
      <c r="L92" s="88"/>
      <c r="M92" s="158"/>
      <c r="N92" s="157"/>
    </row>
    <row r="93" spans="2:14" x14ac:dyDescent="0.2">
      <c r="B93" s="21"/>
      <c r="C93" s="20"/>
      <c r="D93" s="18"/>
      <c r="E93" s="18"/>
      <c r="F93" s="19"/>
      <c r="G93" s="18"/>
      <c r="H93" s="22"/>
      <c r="I93" s="15"/>
      <c r="J93" s="16"/>
      <c r="K93" s="15"/>
      <c r="L93" s="140"/>
      <c r="M93" s="85"/>
      <c r="N93" s="14"/>
    </row>
    <row r="94" spans="2:14" x14ac:dyDescent="0.2">
      <c r="B94" s="21" t="s">
        <v>418</v>
      </c>
      <c r="C94" s="20" t="s">
        <v>415</v>
      </c>
      <c r="D94" s="18" t="e">
        <f ca="1">_xll.BDP(C94,"SECURITY_NAME")</f>
        <v>#NAME?</v>
      </c>
      <c r="E94" s="18" t="s">
        <v>50</v>
      </c>
      <c r="F94" s="19">
        <v>700</v>
      </c>
      <c r="G94" s="18" t="e">
        <f ca="1">_xll.BDP(C94,"CRNCY")</f>
        <v>#NAME?</v>
      </c>
      <c r="H94" s="22">
        <v>1785</v>
      </c>
      <c r="I94" s="15">
        <f>F94*H94</f>
        <v>1249500</v>
      </c>
      <c r="J94" s="16" t="e">
        <f ca="1">I94/L94</f>
        <v>#NAME?</v>
      </c>
      <c r="K94" s="15" t="e">
        <f ca="1">J94*L94</f>
        <v>#NAME?</v>
      </c>
      <c r="L94" s="140" t="e">
        <f ca="1">_xll.BDH("RUB curncy","PX_LAST",$N94)</f>
        <v>#NAME?</v>
      </c>
      <c r="M94" s="85" t="e">
        <f ca="1">1/_xll.BDH("RUB curncy","PX_LAST",$N94)</f>
        <v>#NAME?</v>
      </c>
      <c r="N94" s="14">
        <v>42257</v>
      </c>
    </row>
    <row r="95" spans="2:14" x14ac:dyDescent="0.2">
      <c r="B95" s="160"/>
      <c r="D95" s="87"/>
      <c r="E95" s="87"/>
      <c r="F95" s="79">
        <f>SUM(F93:F94)</f>
        <v>700</v>
      </c>
      <c r="G95" s="87"/>
      <c r="H95" s="80">
        <f>I95/F95</f>
        <v>1785</v>
      </c>
      <c r="I95" s="79">
        <f>SUM(I93:I94)</f>
        <v>1249500</v>
      </c>
      <c r="J95" s="79" t="e">
        <f ca="1">SUM(J93:J94)</f>
        <v>#NAME?</v>
      </c>
      <c r="K95" s="79" t="e">
        <f ca="1">SUM(K93:K94)</f>
        <v>#NAME?</v>
      </c>
      <c r="L95" s="88"/>
      <c r="M95" s="158"/>
      <c r="N95" s="157"/>
    </row>
    <row r="96" spans="2:14" x14ac:dyDescent="0.2">
      <c r="B96" s="21"/>
      <c r="C96" s="20"/>
      <c r="D96" s="18"/>
      <c r="E96" s="18"/>
      <c r="F96" s="19"/>
      <c r="G96" s="18"/>
      <c r="H96" s="22"/>
      <c r="I96" s="15"/>
      <c r="J96" s="16"/>
      <c r="K96" s="15"/>
      <c r="L96" s="140"/>
      <c r="M96" s="85"/>
      <c r="N96" s="14"/>
    </row>
    <row r="97" spans="2:14" x14ac:dyDescent="0.2">
      <c r="B97" s="21" t="s">
        <v>418</v>
      </c>
      <c r="C97" s="20" t="s">
        <v>422</v>
      </c>
      <c r="D97" s="18" t="e">
        <f ca="1">_xll.BDP(C97,"SECURITY_NAME")</f>
        <v>#NAME?</v>
      </c>
      <c r="E97" s="18" t="s">
        <v>50</v>
      </c>
      <c r="F97" s="19">
        <v>893</v>
      </c>
      <c r="G97" s="18" t="e">
        <f ca="1">_xll.BDP(C97,"CRNCY")</f>
        <v>#NAME?</v>
      </c>
      <c r="H97" s="22">
        <v>21.23</v>
      </c>
      <c r="I97" s="15">
        <f>F97*H97</f>
        <v>18958.39</v>
      </c>
      <c r="J97" s="16">
        <f>I97</f>
        <v>18958.39</v>
      </c>
      <c r="K97" s="15" t="e">
        <f ca="1">J97*L97</f>
        <v>#NAME?</v>
      </c>
      <c r="L97" s="140" t="e">
        <f ca="1">_xll.BDH("RUB curncy","PX_LAST",$N97)</f>
        <v>#NAME?</v>
      </c>
      <c r="M97" s="85" t="e">
        <f ca="1">1/_xll.BDH("RUB curncy","PX_LAST",$N97)</f>
        <v>#NAME?</v>
      </c>
      <c r="N97" s="14">
        <v>42250</v>
      </c>
    </row>
    <row r="98" spans="2:14" x14ac:dyDescent="0.2">
      <c r="B98" s="160"/>
      <c r="D98" s="87"/>
      <c r="E98" s="87"/>
      <c r="F98" s="79">
        <f>SUM(F96:F97)</f>
        <v>893</v>
      </c>
      <c r="G98" s="87"/>
      <c r="H98" s="80">
        <f>I98/F98</f>
        <v>21.23</v>
      </c>
      <c r="I98" s="79">
        <f>SUM(I96:I97)</f>
        <v>18958.39</v>
      </c>
      <c r="J98" s="79">
        <f>SUM(J96:J97)</f>
        <v>18958.39</v>
      </c>
      <c r="K98" s="79" t="e">
        <f ca="1">SUM(K96:K97)</f>
        <v>#NAME?</v>
      </c>
      <c r="L98" s="88"/>
      <c r="M98" s="158"/>
      <c r="N98" s="157"/>
    </row>
    <row r="99" spans="2:14" x14ac:dyDescent="0.2">
      <c r="B99" s="71"/>
      <c r="C99" s="72"/>
      <c r="D99" s="73"/>
      <c r="E99" s="73"/>
      <c r="F99" s="74"/>
      <c r="G99" s="73"/>
      <c r="H99" s="207"/>
      <c r="I99" s="74"/>
      <c r="J99" s="74"/>
      <c r="K99" s="74"/>
      <c r="L99" s="139"/>
      <c r="M99" s="86"/>
      <c r="N99" s="14"/>
    </row>
    <row r="100" spans="2:14" x14ac:dyDescent="0.2">
      <c r="B100" s="21" t="s">
        <v>418</v>
      </c>
      <c r="C100" s="20" t="s">
        <v>421</v>
      </c>
      <c r="D100" s="18" t="e">
        <f ca="1">_xll.BDP(C100,"SECURITY_NAME")</f>
        <v>#NAME?</v>
      </c>
      <c r="E100" s="18" t="s">
        <v>50</v>
      </c>
      <c r="F100" s="19">
        <v>147</v>
      </c>
      <c r="G100" s="18" t="e">
        <f ca="1">_xll.BDP(C100,"CRNCY")</f>
        <v>#NAME?</v>
      </c>
      <c r="H100" s="22">
        <v>10245</v>
      </c>
      <c r="I100" s="15">
        <f>F100*H100</f>
        <v>1506015</v>
      </c>
      <c r="J100" s="16" t="e">
        <f ca="1">I100/L100</f>
        <v>#NAME?</v>
      </c>
      <c r="K100" s="15" t="e">
        <f ca="1">J100*L100</f>
        <v>#NAME?</v>
      </c>
      <c r="L100" s="140" t="e">
        <f ca="1">_xll.BDH("RUB curncy","PX_LAST",$N100)</f>
        <v>#NAME?</v>
      </c>
      <c r="M100" s="85" t="e">
        <f ca="1">1/_xll.BDH("RUB curncy","PX_LAST",$N100)</f>
        <v>#NAME?</v>
      </c>
      <c r="N100" s="14">
        <v>42270</v>
      </c>
    </row>
    <row r="101" spans="2:14" x14ac:dyDescent="0.2">
      <c r="B101" s="160"/>
      <c r="D101" s="87"/>
      <c r="E101" s="87"/>
      <c r="F101" s="79">
        <f>SUM(F99:F100)</f>
        <v>147</v>
      </c>
      <c r="G101" s="87"/>
      <c r="H101" s="80">
        <f>I101/F101</f>
        <v>10245</v>
      </c>
      <c r="I101" s="79">
        <f>SUM(I99:I100)</f>
        <v>1506015</v>
      </c>
      <c r="J101" s="79" t="e">
        <f ca="1">SUM(J99:J100)</f>
        <v>#NAME?</v>
      </c>
      <c r="K101" s="79" t="e">
        <f ca="1">SUM(K99:K100)</f>
        <v>#NAME?</v>
      </c>
      <c r="L101" s="88"/>
      <c r="M101" s="158"/>
      <c r="N101" s="157"/>
    </row>
    <row r="102" spans="2:14" x14ac:dyDescent="0.2">
      <c r="B102" s="33"/>
      <c r="C102" s="33"/>
      <c r="D102" s="33"/>
      <c r="E102" s="48"/>
      <c r="F102" s="48"/>
      <c r="G102" s="33"/>
      <c r="H102" s="33"/>
      <c r="I102" s="33"/>
      <c r="J102" s="33"/>
      <c r="K102" s="33"/>
      <c r="L102" s="48"/>
      <c r="M102" s="33"/>
      <c r="N102" s="33"/>
    </row>
    <row r="103" spans="2:14" x14ac:dyDescent="0.2">
      <c r="B103" s="21" t="s">
        <v>418</v>
      </c>
      <c r="C103" s="20" t="s">
        <v>420</v>
      </c>
      <c r="D103" s="18" t="e">
        <f ca="1">_xll.BDP(C103,"SECURITY_NAME")</f>
        <v>#NAME?</v>
      </c>
      <c r="E103" s="18" t="s">
        <v>50</v>
      </c>
      <c r="F103" s="19">
        <v>677</v>
      </c>
      <c r="G103" s="18" t="e">
        <f ca="1">_xll.BDP(C103,"CRNCY")</f>
        <v>#NAME?</v>
      </c>
      <c r="H103" s="22">
        <v>2223.5</v>
      </c>
      <c r="I103" s="15">
        <f>F103*H103</f>
        <v>1505309.5</v>
      </c>
      <c r="J103" s="16" t="e">
        <f ca="1">I103/L103</f>
        <v>#NAME?</v>
      </c>
      <c r="K103" s="15" t="e">
        <f ca="1">J103*L103</f>
        <v>#NAME?</v>
      </c>
      <c r="L103" s="140" t="e">
        <f ca="1">_xll.BDH("RUB curncy","PX_LAST",$N103)</f>
        <v>#NAME?</v>
      </c>
      <c r="M103" s="85" t="e">
        <f ca="1">1/_xll.BDH("RUB curncy","PX_LAST",$N103)</f>
        <v>#NAME?</v>
      </c>
      <c r="N103" s="14">
        <v>42270</v>
      </c>
    </row>
    <row r="104" spans="2:14" x14ac:dyDescent="0.2">
      <c r="B104" s="160"/>
      <c r="D104" s="87"/>
      <c r="E104" s="87"/>
      <c r="F104" s="79">
        <f>SUM(F102:F103)</f>
        <v>677</v>
      </c>
      <c r="G104" s="87"/>
      <c r="H104" s="80">
        <f>I104/F104</f>
        <v>2223.5</v>
      </c>
      <c r="I104" s="79">
        <f>SUM(I102:I103)</f>
        <v>1505309.5</v>
      </c>
      <c r="J104" s="79" t="e">
        <f ca="1">SUM(J102:J103)</f>
        <v>#NAME?</v>
      </c>
      <c r="K104" s="79" t="e">
        <f ca="1">SUM(K102:K103)</f>
        <v>#NAME?</v>
      </c>
      <c r="L104" s="88"/>
      <c r="M104" s="158"/>
      <c r="N104" s="157"/>
    </row>
    <row r="105" spans="2:14" x14ac:dyDescent="0.2">
      <c r="B105" s="21"/>
      <c r="C105" s="20"/>
      <c r="D105" s="18"/>
      <c r="E105" s="18"/>
      <c r="F105" s="19"/>
      <c r="G105" s="18"/>
      <c r="H105" s="22"/>
      <c r="I105" s="15"/>
      <c r="J105" s="16"/>
      <c r="K105" s="15"/>
      <c r="L105" s="140"/>
      <c r="M105" s="85"/>
      <c r="N105" s="14"/>
    </row>
    <row r="106" spans="2:14" x14ac:dyDescent="0.2">
      <c r="B106" s="21" t="s">
        <v>418</v>
      </c>
      <c r="C106" s="20" t="s">
        <v>419</v>
      </c>
      <c r="D106" s="18" t="e">
        <f ca="1">_xll.BDP(C106,"SECURITY_NAME")</f>
        <v>#NAME?</v>
      </c>
      <c r="E106" s="18" t="s">
        <v>50</v>
      </c>
      <c r="F106" s="19">
        <v>11200</v>
      </c>
      <c r="G106" s="18" t="e">
        <f ca="1">_xll.BDP(C106,"CRNCY")</f>
        <v>#NAME?</v>
      </c>
      <c r="H106" s="22">
        <v>133.84</v>
      </c>
      <c r="I106" s="15">
        <f>F106*H106</f>
        <v>1499008</v>
      </c>
      <c r="J106" s="16" t="e">
        <f ca="1">I106/L106</f>
        <v>#NAME?</v>
      </c>
      <c r="K106" s="15" t="e">
        <f ca="1">J106*L106</f>
        <v>#NAME?</v>
      </c>
      <c r="L106" s="140" t="e">
        <f ca="1">_xll.BDH("RUB curncy","PX_LAST",$N106)</f>
        <v>#NAME?</v>
      </c>
      <c r="M106" s="85" t="e">
        <f ca="1">1/_xll.BDH("RUB curncy","PX_LAST",$N106)</f>
        <v>#NAME?</v>
      </c>
      <c r="N106" s="14">
        <v>42272</v>
      </c>
    </row>
    <row r="107" spans="2:14" x14ac:dyDescent="0.2">
      <c r="B107" s="160"/>
      <c r="D107" s="87"/>
      <c r="E107" s="87"/>
      <c r="F107" s="79">
        <f>SUM(F105:F106)</f>
        <v>11200</v>
      </c>
      <c r="G107" s="87"/>
      <c r="H107" s="80">
        <f>I107/F107</f>
        <v>133.84</v>
      </c>
      <c r="I107" s="79">
        <f>SUM(I105:I106)</f>
        <v>1499008</v>
      </c>
      <c r="J107" s="79" t="e">
        <f ca="1">SUM(J105:J106)</f>
        <v>#NAME?</v>
      </c>
      <c r="K107" s="79" t="e">
        <f ca="1">SUM(K105:K106)</f>
        <v>#NAME?</v>
      </c>
      <c r="L107" s="88"/>
      <c r="M107" s="158"/>
      <c r="N107" s="157"/>
    </row>
    <row r="108" spans="2:14" x14ac:dyDescent="0.2">
      <c r="B108" s="21"/>
      <c r="C108" s="20"/>
      <c r="D108" s="18"/>
      <c r="E108" s="18"/>
      <c r="F108" s="19"/>
      <c r="G108" s="18"/>
      <c r="H108" s="22"/>
      <c r="I108" s="15"/>
      <c r="J108" s="16"/>
      <c r="K108" s="15"/>
      <c r="L108" s="140"/>
      <c r="M108" s="85"/>
      <c r="N108" s="14"/>
    </row>
    <row r="109" spans="2:14" x14ac:dyDescent="0.2">
      <c r="B109" s="21" t="s">
        <v>418</v>
      </c>
      <c r="C109" s="20" t="s">
        <v>787</v>
      </c>
      <c r="D109" s="18" t="e">
        <f ca="1">_xll.BDP(C109,"SECURITY_NAME")</f>
        <v>#NAME?</v>
      </c>
      <c r="E109" s="18" t="s">
        <v>50</v>
      </c>
      <c r="F109" s="19">
        <v>7140</v>
      </c>
      <c r="G109" s="18" t="e">
        <f ca="1">_xll.BDP(C109,"CRNCY")</f>
        <v>#NAME?</v>
      </c>
      <c r="H109" s="22">
        <v>3.4899</v>
      </c>
      <c r="I109" s="15">
        <f>F109*H109</f>
        <v>24917.885999999999</v>
      </c>
      <c r="J109" s="16">
        <f>I109</f>
        <v>24917.885999999999</v>
      </c>
      <c r="K109" s="15" t="e">
        <f ca="1">J109*L109</f>
        <v>#NAME?</v>
      </c>
      <c r="L109" s="140" t="e">
        <f ca="1">_xll.BDH("RUB curncy","PX_LAST",$N109)</f>
        <v>#NAME?</v>
      </c>
      <c r="M109" s="85" t="e">
        <f ca="1">1/_xll.BDH("RUB curncy","PX_LAST",$N109)</f>
        <v>#NAME?</v>
      </c>
      <c r="N109" s="14">
        <v>42646</v>
      </c>
    </row>
    <row r="110" spans="2:14" x14ac:dyDescent="0.2">
      <c r="B110" s="21" t="s">
        <v>418</v>
      </c>
      <c r="C110" s="20" t="s">
        <v>787</v>
      </c>
      <c r="D110" s="18" t="e">
        <f ca="1">_xll.BDP(C110,"SECURITY_NAME")</f>
        <v>#NAME?</v>
      </c>
      <c r="E110" s="18" t="s">
        <v>50</v>
      </c>
      <c r="F110" s="19">
        <v>3400</v>
      </c>
      <c r="G110" s="18" t="e">
        <f ca="1">_xll.BDP(C110,"CRNCY")</f>
        <v>#NAME?</v>
      </c>
      <c r="H110" s="22">
        <v>3.57</v>
      </c>
      <c r="I110" s="15">
        <f>F110*H110</f>
        <v>12138</v>
      </c>
      <c r="J110" s="16">
        <f>I110</f>
        <v>12138</v>
      </c>
      <c r="K110" s="15" t="e">
        <f ca="1">J110*L110</f>
        <v>#NAME?</v>
      </c>
      <c r="L110" s="140" t="e">
        <f ca="1">_xll.BDH("RUB curncy","PX_LAST",$N110)</f>
        <v>#NAME?</v>
      </c>
      <c r="M110" s="85" t="e">
        <f ca="1">1/_xll.BDH("RUB curncy","PX_LAST",$N110)</f>
        <v>#NAME?</v>
      </c>
      <c r="N110" s="14">
        <v>42640</v>
      </c>
    </row>
    <row r="111" spans="2:14" x14ac:dyDescent="0.2">
      <c r="B111" s="160"/>
      <c r="D111" s="87"/>
      <c r="E111" s="87"/>
      <c r="F111" s="79">
        <f>SUM(F109:F110)</f>
        <v>10540</v>
      </c>
      <c r="G111" s="87"/>
      <c r="H111" s="80">
        <f>I111/F111</f>
        <v>3.5157387096774193</v>
      </c>
      <c r="I111" s="79">
        <f>SUM(I109:I110)</f>
        <v>37055.885999999999</v>
      </c>
      <c r="J111" s="79">
        <f>SUM(J109:J110)</f>
        <v>37055.885999999999</v>
      </c>
      <c r="K111" s="79" t="e">
        <f ca="1">SUM(K109:K110)</f>
        <v>#NAME?</v>
      </c>
      <c r="L111" s="88"/>
      <c r="M111" s="158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21" t="s">
        <v>418</v>
      </c>
      <c r="C113" s="20" t="s">
        <v>159</v>
      </c>
      <c r="D113" s="18" t="e">
        <f ca="1">_xll.BDP(C113,"SECURITY_NAME")</f>
        <v>#NAME?</v>
      </c>
      <c r="E113" s="18" t="s">
        <v>50</v>
      </c>
      <c r="F113" s="19">
        <v>250000</v>
      </c>
      <c r="G113" s="18" t="e">
        <f ca="1">_xll.BDP(C113,"CRNCY")</f>
        <v>#NAME?</v>
      </c>
      <c r="H113" s="22">
        <v>93.5</v>
      </c>
      <c r="I113" s="15">
        <f>F113*H113/100</f>
        <v>233750</v>
      </c>
      <c r="J113" s="16">
        <f>I113</f>
        <v>233750</v>
      </c>
      <c r="K113" s="15" t="e">
        <f ca="1">J113*L113</f>
        <v>#NAME?</v>
      </c>
      <c r="L113" s="140" t="e">
        <f ca="1">_xll.BDH("RUB curncy","PX_LAST",$N113)</f>
        <v>#NAME?</v>
      </c>
      <c r="M113" s="85" t="e">
        <f ca="1">1/_xll.BDH("RUB curncy","PX_LAST",$N113)</f>
        <v>#NAME?</v>
      </c>
      <c r="N113" s="14">
        <v>42299</v>
      </c>
    </row>
    <row r="114" spans="2:14" x14ac:dyDescent="0.2">
      <c r="B114" s="160"/>
      <c r="D114" s="87"/>
      <c r="E114" s="87"/>
      <c r="F114" s="79">
        <f>SUM(F112:F113)</f>
        <v>250000</v>
      </c>
      <c r="G114" s="87"/>
      <c r="H114" s="80">
        <f>I114/F114*100</f>
        <v>93.5</v>
      </c>
      <c r="I114" s="79">
        <f>SUM(I112:I113)</f>
        <v>233750</v>
      </c>
      <c r="J114" s="79">
        <f>SUM(J112:J113)</f>
        <v>233750</v>
      </c>
      <c r="K114" s="79" t="e">
        <f ca="1">SUM(K112:K113)</f>
        <v>#NAME?</v>
      </c>
      <c r="L114" s="88"/>
      <c r="M114" s="158"/>
      <c r="N114" s="157"/>
    </row>
    <row r="115" spans="2:14" x14ac:dyDescent="0.2">
      <c r="B115" s="167"/>
      <c r="C115" s="166"/>
      <c r="D115" s="165"/>
      <c r="E115" s="165"/>
      <c r="F115" s="96"/>
      <c r="G115" s="165"/>
      <c r="H115" s="97"/>
      <c r="I115" s="163"/>
      <c r="J115" s="164"/>
      <c r="K115" s="163"/>
      <c r="L115" s="162"/>
      <c r="M115" s="161"/>
      <c r="N115" s="157"/>
    </row>
    <row r="116" spans="2:14" x14ac:dyDescent="0.2">
      <c r="B116" s="21" t="s">
        <v>418</v>
      </c>
      <c r="C116" s="20" t="s">
        <v>60</v>
      </c>
      <c r="D116" s="18" t="e">
        <f ca="1">_xll.BDP(C116,"SECURITY_NAME")</f>
        <v>#NAME?</v>
      </c>
      <c r="E116" s="18" t="s">
        <v>50</v>
      </c>
      <c r="F116" s="19">
        <v>200000</v>
      </c>
      <c r="G116" s="18" t="e">
        <f ca="1">_xll.BDP(C116,"CRNCY")</f>
        <v>#NAME?</v>
      </c>
      <c r="H116" s="22">
        <v>107.25</v>
      </c>
      <c r="I116" s="15">
        <f>F116*H116/100</f>
        <v>214500</v>
      </c>
      <c r="J116" s="16">
        <f>I116</f>
        <v>214500</v>
      </c>
      <c r="K116" s="15" t="e">
        <f ca="1">J116*L116</f>
        <v>#NAME?</v>
      </c>
      <c r="L116" s="140" t="e">
        <f ca="1">_xll.BDH("RUB curncy","PX_LAST",$N116)</f>
        <v>#NAME?</v>
      </c>
      <c r="M116" s="85" t="e">
        <f ca="1">1/_xll.BDH("RUB curncy","PX_LAST",$N116)</f>
        <v>#NAME?</v>
      </c>
      <c r="N116" s="14">
        <v>42318</v>
      </c>
    </row>
    <row r="117" spans="2:14" x14ac:dyDescent="0.2">
      <c r="B117" s="160"/>
      <c r="D117" s="87"/>
      <c r="E117" s="87"/>
      <c r="F117" s="79">
        <f>SUM(F115:F116)</f>
        <v>200000</v>
      </c>
      <c r="G117" s="87"/>
      <c r="H117" s="80">
        <f>I117/F117*100</f>
        <v>107.25</v>
      </c>
      <c r="I117" s="79">
        <f>SUM(I115:I116)</f>
        <v>214500</v>
      </c>
      <c r="J117" s="79">
        <f>SUM(J115:J116)</f>
        <v>214500</v>
      </c>
      <c r="K117" s="79" t="e">
        <f ca="1">SUM(K115:K116)</f>
        <v>#NAME?</v>
      </c>
      <c r="L117" s="88"/>
      <c r="M117" s="158"/>
      <c r="N117" s="157"/>
    </row>
    <row r="118" spans="2:14" x14ac:dyDescent="0.2">
      <c r="B118" s="160"/>
      <c r="D118" s="87"/>
      <c r="E118" s="87"/>
      <c r="F118" s="79"/>
      <c r="G118" s="87"/>
      <c r="H118" s="80"/>
      <c r="I118" s="79"/>
      <c r="J118" s="79"/>
      <c r="K118" s="79"/>
      <c r="L118" s="88"/>
      <c r="M118" s="158"/>
      <c r="N118" s="157"/>
    </row>
    <row r="119" spans="2:14" x14ac:dyDescent="0.2">
      <c r="B119" s="21" t="s">
        <v>418</v>
      </c>
      <c r="C119" s="20" t="s">
        <v>156</v>
      </c>
      <c r="D119" s="18" t="e">
        <f ca="1">_xll.BDP(C119,"SECURITY_NAME")</f>
        <v>#NAME?</v>
      </c>
      <c r="E119" s="18" t="s">
        <v>50</v>
      </c>
      <c r="F119" s="19">
        <v>200000</v>
      </c>
      <c r="G119" s="18" t="e">
        <f ca="1">_xll.BDP(C119,"CRNCY")</f>
        <v>#NAME?</v>
      </c>
      <c r="H119" s="22">
        <v>103</v>
      </c>
      <c r="I119" s="15">
        <f>F119*H119/100</f>
        <v>206000</v>
      </c>
      <c r="J119" s="16">
        <f>I119</f>
        <v>206000</v>
      </c>
      <c r="K119" s="15" t="e">
        <f ca="1">J119*L119</f>
        <v>#NAME?</v>
      </c>
      <c r="L119" s="140" t="e">
        <f ca="1">_xll.BDH("RUB curncy","PX_LAST",$N119)</f>
        <v>#NAME?</v>
      </c>
      <c r="M119" s="85" t="e">
        <f ca="1">1/_xll.BDH("RUB curncy","PX_LAST",$N119)</f>
        <v>#NAME?</v>
      </c>
      <c r="N119" s="14">
        <v>42674</v>
      </c>
    </row>
    <row r="120" spans="2:14" x14ac:dyDescent="0.2">
      <c r="B120" s="21" t="s">
        <v>418</v>
      </c>
      <c r="C120" s="20" t="s">
        <v>156</v>
      </c>
      <c r="D120" s="18" t="e">
        <f ca="1">_xll.BDP(C120,"SECURITY_NAME")</f>
        <v>#NAME?</v>
      </c>
      <c r="E120" s="18" t="s">
        <v>50</v>
      </c>
      <c r="F120" s="19">
        <v>200000</v>
      </c>
      <c r="G120" s="18" t="e">
        <f ca="1">_xll.BDP(C120,"CRNCY")</f>
        <v>#NAME?</v>
      </c>
      <c r="H120" s="22">
        <v>103.83</v>
      </c>
      <c r="I120" s="15">
        <f>F120*H120/100</f>
        <v>207660</v>
      </c>
      <c r="J120" s="16">
        <f>I120</f>
        <v>207660</v>
      </c>
      <c r="K120" s="15" t="e">
        <f ca="1">J120*L120</f>
        <v>#NAME?</v>
      </c>
      <c r="L120" s="140" t="e">
        <f ca="1">_xll.BDH("RUB curncy","PX_LAST",$N120)</f>
        <v>#NAME?</v>
      </c>
      <c r="M120" s="85" t="e">
        <f ca="1">1/_xll.BDH("RUB curncy","PX_LAST",$N120)</f>
        <v>#NAME?</v>
      </c>
      <c r="N120" s="14">
        <v>42643</v>
      </c>
    </row>
    <row r="121" spans="2:14" x14ac:dyDescent="0.2">
      <c r="B121" s="160"/>
      <c r="D121" s="87"/>
      <c r="E121" s="87"/>
      <c r="F121" s="79">
        <f>SUM(F119:F120)</f>
        <v>400000</v>
      </c>
      <c r="G121" s="87"/>
      <c r="H121" s="80">
        <f>I121/F121*100</f>
        <v>103.41499999999999</v>
      </c>
      <c r="I121" s="79">
        <f>SUM(I119:I120)</f>
        <v>413660</v>
      </c>
      <c r="J121" s="79">
        <f>SUM(J119:J120)</f>
        <v>413660</v>
      </c>
      <c r="K121" s="79" t="e">
        <f ca="1">SUM(K119:K120)</f>
        <v>#NAME?</v>
      </c>
      <c r="L121" s="88"/>
      <c r="M121" s="158"/>
      <c r="N121" s="157"/>
    </row>
    <row r="122" spans="2:14" x14ac:dyDescent="0.2">
      <c r="B122" s="160"/>
      <c r="C122" s="159"/>
      <c r="D122" s="87"/>
      <c r="E122" s="87"/>
      <c r="F122" s="79"/>
      <c r="G122" s="87"/>
      <c r="H122" s="99"/>
      <c r="I122" s="79"/>
      <c r="J122" s="79"/>
      <c r="K122" s="79"/>
      <c r="L122" s="88"/>
      <c r="M122" s="158"/>
      <c r="N122" s="157"/>
    </row>
    <row r="123" spans="2:14" x14ac:dyDescent="0.2">
      <c r="B123" s="21" t="s">
        <v>418</v>
      </c>
      <c r="C123" s="20" t="s">
        <v>378</v>
      </c>
      <c r="D123" s="18" t="e">
        <f ca="1">_xll.BDP(C123,"SECURITY_NAME")</f>
        <v>#NAME?</v>
      </c>
      <c r="E123" s="18" t="s">
        <v>50</v>
      </c>
      <c r="F123" s="19">
        <v>200000</v>
      </c>
      <c r="G123" s="18" t="e">
        <f ca="1">_xll.BDP(C123,"CRNCY")</f>
        <v>#NAME?</v>
      </c>
      <c r="H123" s="22">
        <v>100.785</v>
      </c>
      <c r="I123" s="15">
        <f>F123*H123/100</f>
        <v>201570</v>
      </c>
      <c r="J123" s="16">
        <f>I123</f>
        <v>201570</v>
      </c>
      <c r="K123" s="15" t="e">
        <f ca="1">J123*L123</f>
        <v>#NAME?</v>
      </c>
      <c r="L123" s="140" t="e">
        <f ca="1">_xll.BDH("RUB curncy","PX_LAST",$N123)</f>
        <v>#NAME?</v>
      </c>
      <c r="M123" s="85" t="e">
        <f ca="1">1/_xll.BDH("RUB curncy","PX_LAST",$N123)</f>
        <v>#NAME?</v>
      </c>
      <c r="N123" s="14">
        <v>42647</v>
      </c>
    </row>
    <row r="124" spans="2:14" x14ac:dyDescent="0.2">
      <c r="B124" s="160"/>
      <c r="D124" s="87"/>
      <c r="E124" s="87"/>
      <c r="F124" s="79">
        <f>SUM(F123:F123)</f>
        <v>200000</v>
      </c>
      <c r="G124" s="87"/>
      <c r="H124" s="80">
        <f>I124/F124*100</f>
        <v>100.785</v>
      </c>
      <c r="I124" s="79">
        <f>SUM(I123:I123)</f>
        <v>201570</v>
      </c>
      <c r="J124" s="79">
        <f>SUM(J123:J123)</f>
        <v>201570</v>
      </c>
      <c r="K124" s="79" t="e">
        <f ca="1">SUM(K123:K123)</f>
        <v>#NAME?</v>
      </c>
      <c r="L124" s="88"/>
      <c r="M124" s="158"/>
      <c r="N124" s="157"/>
    </row>
    <row r="125" spans="2:14" x14ac:dyDescent="0.2">
      <c r="B125" s="160"/>
      <c r="C125" s="159"/>
      <c r="D125" s="87"/>
      <c r="E125" s="87"/>
      <c r="F125" s="79"/>
      <c r="G125" s="87"/>
      <c r="H125" s="99"/>
      <c r="I125" s="79"/>
      <c r="J125" s="79"/>
      <c r="K125" s="79"/>
      <c r="L125" s="88"/>
      <c r="M125" s="158"/>
      <c r="N125" s="157"/>
    </row>
    <row r="126" spans="2:14" x14ac:dyDescent="0.2">
      <c r="B126" s="21" t="s">
        <v>418</v>
      </c>
      <c r="C126" s="20" t="s">
        <v>801</v>
      </c>
      <c r="D126" s="18" t="e">
        <f ca="1">_xll.BDP(C126,"SECURITY_NAME")</f>
        <v>#NAME?</v>
      </c>
      <c r="E126" s="18" t="s">
        <v>50</v>
      </c>
      <c r="F126" s="19">
        <v>3270</v>
      </c>
      <c r="G126" s="18" t="e">
        <f ca="1">_xll.BDP(C126,"CRNCY")</f>
        <v>#NAME?</v>
      </c>
      <c r="H126" s="22">
        <v>7.63</v>
      </c>
      <c r="I126" s="15">
        <f>F126*H126</f>
        <v>24950.1</v>
      </c>
      <c r="J126" s="16">
        <f>I126</f>
        <v>24950.1</v>
      </c>
      <c r="K126" s="15" t="e">
        <f ca="1">J126*L126</f>
        <v>#NAME?</v>
      </c>
      <c r="L126" s="140" t="e">
        <f ca="1">_xll.BDH("RUB curncy","PX_LAST",$N126)</f>
        <v>#NAME?</v>
      </c>
      <c r="M126" s="85" t="e">
        <f ca="1">1/_xll.BDH("RUB curncy","PX_LAST",$N126)</f>
        <v>#NAME?</v>
      </c>
      <c r="N126" s="14">
        <v>42643</v>
      </c>
    </row>
    <row r="127" spans="2:14" x14ac:dyDescent="0.2">
      <c r="B127" s="160"/>
      <c r="D127" s="87"/>
      <c r="E127" s="87"/>
      <c r="F127" s="79">
        <f>SUM(F126)</f>
        <v>3270</v>
      </c>
      <c r="G127" s="87"/>
      <c r="H127" s="80">
        <f>I127/F127</f>
        <v>7.63</v>
      </c>
      <c r="I127" s="79">
        <f>SUM(I126)</f>
        <v>24950.1</v>
      </c>
      <c r="J127" s="79">
        <f>SUM(J126)</f>
        <v>24950.1</v>
      </c>
      <c r="K127" s="79" t="e">
        <f ca="1">SUM(K126)</f>
        <v>#NAME?</v>
      </c>
      <c r="L127" s="88"/>
      <c r="M127" s="158"/>
      <c r="N127" s="157"/>
    </row>
    <row r="128" spans="2:14" x14ac:dyDescent="0.2">
      <c r="B128" s="160"/>
      <c r="C128" s="159"/>
      <c r="D128" s="87"/>
      <c r="E128" s="87"/>
      <c r="F128" s="79"/>
      <c r="G128" s="87"/>
      <c r="H128" s="99"/>
      <c r="I128" s="79"/>
      <c r="J128" s="79"/>
      <c r="K128" s="79"/>
      <c r="L128" s="88"/>
      <c r="M128" s="158"/>
      <c r="N128" s="157"/>
    </row>
    <row r="129" spans="2:14" x14ac:dyDescent="0.2">
      <c r="B129" s="21" t="s">
        <v>418</v>
      </c>
      <c r="C129" s="20" t="s">
        <v>802</v>
      </c>
      <c r="D129" s="18" t="e">
        <f ca="1">_xll.BDP(C129,"SECURITY_NAME")</f>
        <v>#NAME?</v>
      </c>
      <c r="E129" s="18" t="s">
        <v>50</v>
      </c>
      <c r="F129" s="19">
        <v>470</v>
      </c>
      <c r="G129" s="18" t="e">
        <f ca="1">_xll.BDP(C129,"CRNCY")</f>
        <v>#NAME?</v>
      </c>
      <c r="H129" s="22">
        <v>53.047871999999998</v>
      </c>
      <c r="I129" s="15">
        <f>F129*H129</f>
        <v>24932.49984</v>
      </c>
      <c r="J129" s="16">
        <f>I129</f>
        <v>24932.49984</v>
      </c>
      <c r="K129" s="15" t="e">
        <f ca="1">J129*L129</f>
        <v>#NAME?</v>
      </c>
      <c r="L129" s="140" t="e">
        <f ca="1">_xll.BDH("RUB curncy","PX_LAST",$N129)</f>
        <v>#NAME?</v>
      </c>
      <c r="M129" s="85" t="e">
        <f ca="1">1/_xll.BDH("RUB curncy","PX_LAST",$N129)</f>
        <v>#NAME?</v>
      </c>
      <c r="N129" s="14">
        <v>42646</v>
      </c>
    </row>
    <row r="130" spans="2:14" x14ac:dyDescent="0.2">
      <c r="B130" s="160"/>
      <c r="D130" s="87"/>
      <c r="E130" s="87"/>
      <c r="F130" s="79">
        <f>SUM(F129)</f>
        <v>470</v>
      </c>
      <c r="G130" s="87"/>
      <c r="H130" s="80">
        <f>I130/F130</f>
        <v>53.047871999999998</v>
      </c>
      <c r="I130" s="79">
        <f>SUM(I129)</f>
        <v>24932.49984</v>
      </c>
      <c r="J130" s="79">
        <f>SUM(J129)</f>
        <v>24932.49984</v>
      </c>
      <c r="K130" s="79" t="e">
        <f ca="1">SUM(K129)</f>
        <v>#NAME?</v>
      </c>
      <c r="L130" s="88"/>
      <c r="M130" s="158"/>
      <c r="N130" s="157"/>
    </row>
    <row r="131" spans="2:14" x14ac:dyDescent="0.2">
      <c r="B131" s="160"/>
      <c r="C131" s="159"/>
      <c r="D131" s="87"/>
      <c r="E131" s="87"/>
      <c r="F131" s="79"/>
      <c r="G131" s="87"/>
      <c r="H131" s="99"/>
      <c r="I131" s="79"/>
      <c r="J131" s="79"/>
      <c r="K131" s="79"/>
      <c r="L131" s="88"/>
      <c r="M131" s="158"/>
      <c r="N131" s="157"/>
    </row>
    <row r="132" spans="2:14" x14ac:dyDescent="0.2">
      <c r="B132" s="21" t="s">
        <v>418</v>
      </c>
      <c r="C132" s="20" t="s">
        <v>803</v>
      </c>
      <c r="D132" s="18" t="e">
        <f ca="1">_xll.BDP(C132,"SECURITY_NAME")</f>
        <v>#NAME?</v>
      </c>
      <c r="E132" s="18" t="s">
        <v>50</v>
      </c>
      <c r="F132" s="19">
        <v>802</v>
      </c>
      <c r="G132" s="18" t="e">
        <f ca="1">_xll.BDP(C132,"CRNCY")</f>
        <v>#NAME?</v>
      </c>
      <c r="H132" s="22">
        <v>2459.7370000000001</v>
      </c>
      <c r="I132" s="15">
        <f>F132*H132</f>
        <v>1972709.074</v>
      </c>
      <c r="J132" s="16" t="e">
        <f ca="1">I132/L132</f>
        <v>#NAME?</v>
      </c>
      <c r="K132" s="15" t="e">
        <f ca="1">J132*L132</f>
        <v>#NAME?</v>
      </c>
      <c r="L132" s="140" t="e">
        <f ca="1">_xll.BDH("RUB curncy","PX_LAST",$N132)</f>
        <v>#NAME?</v>
      </c>
      <c r="M132" s="85" t="e">
        <f ca="1">1/_xll.BDH("RUB curncy","PX_LAST",$N132)</f>
        <v>#NAME?</v>
      </c>
      <c r="N132" s="14">
        <v>42646</v>
      </c>
    </row>
    <row r="133" spans="2:14" x14ac:dyDescent="0.2">
      <c r="B133" s="160"/>
      <c r="D133" s="87"/>
      <c r="E133" s="87"/>
      <c r="F133" s="79">
        <f>SUM(F132)</f>
        <v>802</v>
      </c>
      <c r="G133" s="87"/>
      <c r="H133" s="80">
        <f>I133/F133</f>
        <v>2459.7370000000001</v>
      </c>
      <c r="I133" s="79">
        <f>SUM(I132)</f>
        <v>1972709.074</v>
      </c>
      <c r="J133" s="79" t="e">
        <f ca="1">SUM(J132)</f>
        <v>#NAME?</v>
      </c>
      <c r="K133" s="79" t="e">
        <f ca="1">SUM(K132)</f>
        <v>#NAME?</v>
      </c>
      <c r="L133" s="88"/>
      <c r="M133" s="158"/>
      <c r="N133" s="157"/>
    </row>
    <row r="134" spans="2:14" x14ac:dyDescent="0.2">
      <c r="B134" s="160"/>
      <c r="C134" s="159"/>
      <c r="D134" s="87"/>
      <c r="E134" s="87"/>
      <c r="F134" s="79"/>
      <c r="G134" s="87"/>
      <c r="H134" s="99"/>
      <c r="I134" s="79"/>
      <c r="J134" s="79"/>
      <c r="K134" s="79"/>
      <c r="L134" s="88"/>
      <c r="M134" s="158"/>
      <c r="N134" s="157"/>
    </row>
    <row r="135" spans="2:14" x14ac:dyDescent="0.2">
      <c r="B135" s="21" t="s">
        <v>418</v>
      </c>
      <c r="C135" s="20" t="s">
        <v>225</v>
      </c>
      <c r="D135" s="18" t="e">
        <f ca="1">_xll.BDP(C135,"SECURITY_NAME")</f>
        <v>#NAME?</v>
      </c>
      <c r="E135" s="18" t="s">
        <v>50</v>
      </c>
      <c r="F135" s="19">
        <v>200000</v>
      </c>
      <c r="G135" s="18" t="e">
        <f ca="1">_xll.BDP(C135,"CRNCY")</f>
        <v>#NAME?</v>
      </c>
      <c r="H135" s="22">
        <v>100.25</v>
      </c>
      <c r="I135" s="15">
        <f>F135*H135/100</f>
        <v>200500</v>
      </c>
      <c r="J135" s="16">
        <f>I135</f>
        <v>200500</v>
      </c>
      <c r="K135" s="15" t="e">
        <f ca="1">J135*L135</f>
        <v>#NAME?</v>
      </c>
      <c r="L135" s="140" t="e">
        <f ca="1">_xll.BDH("RUB curncy","PX_LAST",$N135)</f>
        <v>#NAME?</v>
      </c>
      <c r="M135" s="85" t="e">
        <f ca="1">1/_xll.BDH("RUB curncy","PX_LAST",$N135)</f>
        <v>#NAME?</v>
      </c>
      <c r="N135" s="14">
        <v>42655</v>
      </c>
    </row>
    <row r="136" spans="2:14" x14ac:dyDescent="0.2">
      <c r="B136" s="21" t="s">
        <v>418</v>
      </c>
      <c r="C136" s="20" t="s">
        <v>225</v>
      </c>
      <c r="D136" s="18" t="e">
        <f ca="1">_xll.BDP(C136,"SECURITY_NAME")</f>
        <v>#NAME?</v>
      </c>
      <c r="E136" s="18" t="s">
        <v>50</v>
      </c>
      <c r="F136" s="19">
        <v>200000</v>
      </c>
      <c r="G136" s="18" t="e">
        <f ca="1">_xll.BDP(C136,"CRNCY")</f>
        <v>#NAME?</v>
      </c>
      <c r="H136" s="22">
        <v>99.99</v>
      </c>
      <c r="I136" s="15">
        <f>F136*H136/100</f>
        <v>199980</v>
      </c>
      <c r="J136" s="16">
        <f>I136</f>
        <v>199980</v>
      </c>
      <c r="K136" s="15" t="e">
        <f ca="1">J136*L136</f>
        <v>#NAME?</v>
      </c>
      <c r="L136" s="140" t="e">
        <f ca="1">_xll.BDH("RUB curncy","PX_LAST",$N136)</f>
        <v>#NAME?</v>
      </c>
      <c r="M136" s="85" t="e">
        <f ca="1">1/_xll.BDH("RUB curncy","PX_LAST",$N136)</f>
        <v>#NAME?</v>
      </c>
      <c r="N136" s="14">
        <v>42674</v>
      </c>
    </row>
    <row r="137" spans="2:14" x14ac:dyDescent="0.2">
      <c r="B137" s="167"/>
      <c r="C137" s="166"/>
      <c r="D137" s="165"/>
      <c r="E137" s="165"/>
      <c r="F137" s="79">
        <f>SUM(F135:F136)</f>
        <v>400000</v>
      </c>
      <c r="G137" s="87"/>
      <c r="H137" s="80">
        <f>I137/F137*100</f>
        <v>100.12</v>
      </c>
      <c r="I137" s="79">
        <f>SUM(I135:I136)</f>
        <v>400480</v>
      </c>
      <c r="J137" s="79">
        <f>SUM(J135:J136)</f>
        <v>400480</v>
      </c>
      <c r="K137" s="79" t="e">
        <f ca="1">SUM(K135:K136)</f>
        <v>#NAME?</v>
      </c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99"/>
      <c r="I138" s="79"/>
      <c r="J138" s="79"/>
      <c r="K138" s="79"/>
      <c r="L138" s="88"/>
      <c r="M138" s="158"/>
      <c r="N138" s="157"/>
    </row>
    <row r="139" spans="2:14" x14ac:dyDescent="0.2">
      <c r="B139" s="21" t="s">
        <v>418</v>
      </c>
      <c r="C139" s="20" t="s">
        <v>657</v>
      </c>
      <c r="D139" s="18" t="e">
        <f ca="1">_xll.BDP(C139,"SECURITY_NAME")</f>
        <v>#NAME?</v>
      </c>
      <c r="E139" s="18" t="s">
        <v>50</v>
      </c>
      <c r="F139" s="19">
        <v>200000</v>
      </c>
      <c r="G139" s="18" t="e">
        <f ca="1">_xll.BDP(C139,"CRNCY")</f>
        <v>#NAME?</v>
      </c>
      <c r="H139" s="22">
        <v>102</v>
      </c>
      <c r="I139" s="15">
        <f>F139*H139/100</f>
        <v>204000</v>
      </c>
      <c r="J139" s="16">
        <f>I139</f>
        <v>204000</v>
      </c>
      <c r="K139" s="15" t="e">
        <f ca="1">J139*L139</f>
        <v>#NAME?</v>
      </c>
      <c r="L139" s="140" t="e">
        <f ca="1">_xll.BDH("RUB curncy","PX_LAST",$N139)</f>
        <v>#NAME?</v>
      </c>
      <c r="M139" s="85" t="e">
        <f ca="1">1/_xll.BDH("RUB curncy","PX_LAST",$N139)</f>
        <v>#NAME?</v>
      </c>
      <c r="N139" s="14">
        <v>42661</v>
      </c>
    </row>
    <row r="140" spans="2:14" x14ac:dyDescent="0.2">
      <c r="B140" s="167"/>
      <c r="C140" s="166"/>
      <c r="D140" s="165"/>
      <c r="E140" s="165"/>
      <c r="F140" s="79">
        <f>SUM(F139:F139)</f>
        <v>200000</v>
      </c>
      <c r="G140" s="87"/>
      <c r="H140" s="80">
        <f>I140/F140*100</f>
        <v>102</v>
      </c>
      <c r="I140" s="79">
        <f>SUM(I139:I139)</f>
        <v>204000</v>
      </c>
      <c r="J140" s="79">
        <f>SUM(J139:J139)</f>
        <v>204000</v>
      </c>
      <c r="K140" s="79" t="e">
        <f ca="1">SUM(K139:K139)</f>
        <v>#NAME?</v>
      </c>
      <c r="L140" s="162"/>
      <c r="M140" s="161"/>
      <c r="N140" s="157"/>
    </row>
    <row r="141" spans="2:14" x14ac:dyDescent="0.2">
      <c r="B141" s="160"/>
      <c r="C141" s="159"/>
      <c r="D141" s="87"/>
      <c r="E141" s="87"/>
      <c r="F141" s="79"/>
      <c r="G141" s="87"/>
      <c r="H141" s="99"/>
      <c r="I141" s="79"/>
      <c r="J141" s="79"/>
      <c r="K141" s="79"/>
      <c r="L141" s="88"/>
      <c r="M141" s="158"/>
      <c r="N141" s="157"/>
    </row>
    <row r="142" spans="2:14" x14ac:dyDescent="0.2">
      <c r="B142" s="21" t="s">
        <v>418</v>
      </c>
      <c r="C142" s="20" t="s">
        <v>377</v>
      </c>
      <c r="D142" s="18" t="e">
        <f ca="1">_xll.BDP(C142,"SECURITY_NAME")</f>
        <v>#NAME?</v>
      </c>
      <c r="E142" s="18" t="s">
        <v>50</v>
      </c>
      <c r="F142" s="19">
        <v>200000</v>
      </c>
      <c r="G142" s="18" t="e">
        <f ca="1">_xll.BDP(C142,"CRNCY")</f>
        <v>#NAME?</v>
      </c>
      <c r="H142" s="22">
        <v>104.125</v>
      </c>
      <c r="I142" s="15">
        <f>F142*H142/100</f>
        <v>208250</v>
      </c>
      <c r="J142" s="16">
        <f>I142</f>
        <v>208250</v>
      </c>
      <c r="K142" s="15" t="e">
        <f ca="1">J142*L142</f>
        <v>#NAME?</v>
      </c>
      <c r="L142" s="140" t="e">
        <f ca="1">_xll.BDH("RUB curncy","PX_LAST",$N142)</f>
        <v>#NAME?</v>
      </c>
      <c r="M142" s="85" t="e">
        <f ca="1">1/_xll.BDH("RUB curncy","PX_LAST",$N142)</f>
        <v>#NAME?</v>
      </c>
      <c r="N142" s="14">
        <v>42662</v>
      </c>
    </row>
    <row r="143" spans="2:14" x14ac:dyDescent="0.2">
      <c r="B143" s="167"/>
      <c r="C143" s="166"/>
      <c r="D143" s="165"/>
      <c r="E143" s="165"/>
      <c r="F143" s="79">
        <f>SUM(F142:F142)</f>
        <v>200000</v>
      </c>
      <c r="G143" s="87"/>
      <c r="H143" s="80">
        <f>I143/F143*100</f>
        <v>104.125</v>
      </c>
      <c r="I143" s="79">
        <f>SUM(I142:I142)</f>
        <v>208250</v>
      </c>
      <c r="J143" s="79">
        <f>SUM(J142:J142)</f>
        <v>208250</v>
      </c>
      <c r="K143" s="79" t="e">
        <f ca="1">SUM(K142:K142)</f>
        <v>#NAME?</v>
      </c>
      <c r="L143" s="162"/>
      <c r="M143" s="161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99"/>
      <c r="I144" s="79"/>
      <c r="J144" s="79"/>
      <c r="K144" s="79"/>
      <c r="L144" s="88"/>
      <c r="M144" s="158"/>
      <c r="N144" s="157"/>
    </row>
    <row r="145" spans="2:14" x14ac:dyDescent="0.2">
      <c r="B145" s="21" t="s">
        <v>418</v>
      </c>
      <c r="C145" s="20" t="s">
        <v>376</v>
      </c>
      <c r="D145" s="18" t="e">
        <f ca="1">_xll.BDP(C145,"SECURITY_NAME")</f>
        <v>#NAME?</v>
      </c>
      <c r="E145" s="18" t="s">
        <v>50</v>
      </c>
      <c r="F145" s="19">
        <v>200000</v>
      </c>
      <c r="G145" s="18" t="e">
        <f ca="1">_xll.BDP(C145,"CRNCY")</f>
        <v>#NAME?</v>
      </c>
      <c r="H145" s="22">
        <v>105.25</v>
      </c>
      <c r="I145" s="15">
        <f>F145*H145/100</f>
        <v>210500</v>
      </c>
      <c r="J145" s="16">
        <f>I145</f>
        <v>210500</v>
      </c>
      <c r="K145" s="15" t="e">
        <f ca="1">J145*L145</f>
        <v>#NAME?</v>
      </c>
      <c r="L145" s="140" t="e">
        <f ca="1">_xll.BDH("RUB curncy","PX_LAST",$N145)</f>
        <v>#NAME?</v>
      </c>
      <c r="M145" s="85" t="e">
        <f ca="1">1/_xll.BDH("RUB curncy","PX_LAST",$N145)</f>
        <v>#NAME?</v>
      </c>
      <c r="N145" s="14">
        <v>42662</v>
      </c>
    </row>
    <row r="146" spans="2:14" x14ac:dyDescent="0.2">
      <c r="B146" s="167"/>
      <c r="C146" s="166"/>
      <c r="D146" s="165"/>
      <c r="E146" s="165"/>
      <c r="F146" s="79">
        <f>SUM(F145:F145)</f>
        <v>200000</v>
      </c>
      <c r="G146" s="87"/>
      <c r="H146" s="80">
        <f>I146/F146*100</f>
        <v>105.25</v>
      </c>
      <c r="I146" s="79">
        <f>SUM(I145:I145)</f>
        <v>210500</v>
      </c>
      <c r="J146" s="79">
        <f>SUM(J145:J145)</f>
        <v>210500</v>
      </c>
      <c r="K146" s="79" t="e">
        <f ca="1">SUM(K145:K145)</f>
        <v>#NAME?</v>
      </c>
      <c r="L146" s="162"/>
      <c r="M146" s="161"/>
      <c r="N146" s="157"/>
    </row>
    <row r="147" spans="2:14" x14ac:dyDescent="0.2">
      <c r="B147" s="160"/>
      <c r="C147" s="159"/>
      <c r="D147" s="87"/>
      <c r="E147" s="87"/>
      <c r="F147" s="79"/>
      <c r="G147" s="87"/>
      <c r="H147" s="99"/>
      <c r="I147" s="79"/>
      <c r="J147" s="79"/>
      <c r="K147" s="79"/>
      <c r="L147" s="88"/>
      <c r="M147" s="158"/>
      <c r="N147" s="157"/>
    </row>
    <row r="148" spans="2:14" x14ac:dyDescent="0.2">
      <c r="B148" s="160"/>
      <c r="C148" s="159"/>
      <c r="D148" s="87"/>
      <c r="E148" s="87"/>
      <c r="F148" s="79"/>
      <c r="G148" s="87"/>
      <c r="H148" s="99"/>
      <c r="I148" s="79"/>
      <c r="J148" s="79"/>
      <c r="K148" s="79"/>
      <c r="L148" s="88"/>
      <c r="M148" s="158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0"/>
      <c r="C150" s="159"/>
      <c r="D150" s="87"/>
      <c r="E150" s="87"/>
      <c r="F150" s="79"/>
      <c r="G150" s="87"/>
      <c r="H150" s="99"/>
      <c r="I150" s="79"/>
      <c r="J150" s="79"/>
      <c r="K150" s="79"/>
      <c r="L150" s="88"/>
      <c r="M150" s="158"/>
      <c r="N150" s="157"/>
    </row>
    <row r="151" spans="2:14" x14ac:dyDescent="0.2">
      <c r="B151" s="160"/>
      <c r="C151" s="159"/>
      <c r="D151" s="87"/>
      <c r="E151" s="87"/>
      <c r="F151" s="79"/>
      <c r="G151" s="87"/>
      <c r="H151" s="99"/>
      <c r="I151" s="79"/>
      <c r="J151" s="79"/>
      <c r="K151" s="79"/>
      <c r="L151" s="88"/>
      <c r="M151" s="158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0"/>
      <c r="C153" s="159"/>
      <c r="D153" s="87"/>
      <c r="E153" s="87"/>
      <c r="F153" s="79"/>
      <c r="G153" s="87"/>
      <c r="H153" s="99"/>
      <c r="I153" s="79"/>
      <c r="J153" s="79"/>
      <c r="K153" s="79"/>
      <c r="L153" s="88"/>
      <c r="M153" s="158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99"/>
      <c r="I154" s="79"/>
      <c r="J154" s="79"/>
      <c r="K154" s="79"/>
      <c r="L154" s="88"/>
      <c r="M154" s="158"/>
      <c r="N154" s="157"/>
    </row>
    <row r="155" spans="2:14" x14ac:dyDescent="0.2">
      <c r="B155" s="167"/>
      <c r="C155" s="166"/>
      <c r="D155" s="165"/>
      <c r="E155" s="165"/>
      <c r="F155" s="96"/>
      <c r="G155" s="165"/>
      <c r="H155" s="97"/>
      <c r="I155" s="163"/>
      <c r="J155" s="164"/>
      <c r="K155" s="163"/>
      <c r="L155" s="162"/>
      <c r="M155" s="161"/>
      <c r="N155" s="157"/>
    </row>
    <row r="156" spans="2:14" x14ac:dyDescent="0.2">
      <c r="B156" s="160"/>
      <c r="C156" s="159"/>
      <c r="D156" s="87"/>
      <c r="E156" s="87"/>
      <c r="F156" s="79"/>
      <c r="G156" s="87"/>
      <c r="H156" s="99"/>
      <c r="I156" s="79"/>
      <c r="J156" s="79"/>
      <c r="K156" s="79"/>
      <c r="L156" s="88"/>
      <c r="M156" s="158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99"/>
      <c r="I157" s="79"/>
      <c r="J157" s="79"/>
      <c r="K157" s="79"/>
      <c r="L157" s="88"/>
      <c r="M157" s="158"/>
      <c r="N157" s="157"/>
    </row>
    <row r="158" spans="2:14" x14ac:dyDescent="0.2">
      <c r="B158" s="167"/>
      <c r="C158" s="166"/>
      <c r="D158" s="165"/>
      <c r="E158" s="165"/>
      <c r="F158" s="96"/>
      <c r="G158" s="165"/>
      <c r="H158" s="97"/>
      <c r="I158" s="163"/>
      <c r="J158" s="164"/>
      <c r="K158" s="163"/>
      <c r="L158" s="162"/>
      <c r="M158" s="161"/>
      <c r="N158" s="157"/>
    </row>
    <row r="159" spans="2:14" x14ac:dyDescent="0.2">
      <c r="B159" s="160"/>
      <c r="C159" s="159"/>
      <c r="D159" s="87"/>
      <c r="E159" s="87"/>
      <c r="F159" s="79"/>
      <c r="G159" s="87"/>
      <c r="H159" s="99"/>
      <c r="I159" s="79"/>
      <c r="J159" s="79"/>
      <c r="K159" s="79"/>
      <c r="L159" s="88"/>
      <c r="M159" s="158"/>
      <c r="N159" s="157"/>
    </row>
    <row r="160" spans="2:14" x14ac:dyDescent="0.2">
      <c r="B160" s="160"/>
      <c r="C160" s="159"/>
      <c r="D160" s="87"/>
      <c r="E160" s="87"/>
      <c r="F160" s="79"/>
      <c r="G160" s="87"/>
      <c r="H160" s="99"/>
      <c r="I160" s="79"/>
      <c r="J160" s="79"/>
      <c r="K160" s="79"/>
      <c r="L160" s="88"/>
      <c r="M160" s="158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7"/>
      <c r="C162" s="166"/>
      <c r="D162" s="165"/>
      <c r="E162" s="165"/>
      <c r="F162" s="96"/>
      <c r="G162" s="165"/>
      <c r="H162" s="97"/>
      <c r="I162" s="163"/>
      <c r="J162" s="164"/>
      <c r="K162" s="163"/>
      <c r="L162" s="162"/>
      <c r="M162" s="161"/>
      <c r="N162" s="157"/>
    </row>
    <row r="163" spans="2:14" x14ac:dyDescent="0.2">
      <c r="B163" s="160"/>
      <c r="C163" s="159"/>
      <c r="D163" s="87"/>
      <c r="E163" s="87"/>
      <c r="F163" s="79"/>
      <c r="G163" s="87"/>
      <c r="H163" s="99"/>
      <c r="I163" s="79"/>
      <c r="J163" s="79"/>
      <c r="K163" s="79"/>
      <c r="L163" s="88"/>
      <c r="M163" s="158"/>
      <c r="N163" s="157"/>
    </row>
    <row r="165" spans="2:14" x14ac:dyDescent="0.2">
      <c r="B165" s="167"/>
      <c r="C165" s="166"/>
      <c r="D165" s="165"/>
      <c r="E165" s="165"/>
      <c r="F165" s="96"/>
      <c r="G165" s="165"/>
      <c r="H165" s="97"/>
      <c r="I165" s="163"/>
      <c r="J165" s="164"/>
      <c r="K165" s="163"/>
      <c r="L165" s="162"/>
      <c r="M165" s="161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99"/>
      <c r="I166" s="79"/>
      <c r="J166" s="79"/>
      <c r="K166" s="79"/>
      <c r="L166" s="88"/>
      <c r="M166" s="158"/>
      <c r="N166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99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B180" s="160"/>
      <c r="C180" s="159"/>
      <c r="D180" s="87"/>
      <c r="E180" s="87"/>
      <c r="F180" s="79"/>
      <c r="G180" s="87"/>
      <c r="H180" s="99"/>
      <c r="I180" s="79"/>
      <c r="J180" s="79"/>
      <c r="K180" s="79"/>
      <c r="L180" s="88"/>
      <c r="M180" s="158"/>
      <c r="N180" s="157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0"/>
      <c r="C183" s="159"/>
      <c r="D183" s="87"/>
      <c r="E183" s="87"/>
      <c r="F183" s="79"/>
      <c r="G183" s="87"/>
      <c r="H183" s="99"/>
      <c r="I183" s="79"/>
      <c r="J183" s="79"/>
      <c r="K183" s="79"/>
      <c r="L183" s="88"/>
      <c r="M183" s="158"/>
      <c r="N183" s="157"/>
    </row>
    <row r="185" spans="2:14" x14ac:dyDescent="0.2">
      <c r="B185" s="167"/>
      <c r="C185" s="166"/>
      <c r="D185" s="165"/>
      <c r="E185" s="165"/>
      <c r="F185" s="96"/>
      <c r="G185" s="165"/>
      <c r="H185" s="97"/>
      <c r="I185" s="163"/>
      <c r="J185" s="164"/>
      <c r="K185" s="163"/>
      <c r="L185" s="162"/>
      <c r="M185" s="161"/>
      <c r="N185" s="157"/>
    </row>
    <row r="186" spans="2:14" x14ac:dyDescent="0.2">
      <c r="B186" s="160"/>
      <c r="C186" s="159"/>
      <c r="D186" s="87"/>
      <c r="E186" s="87"/>
      <c r="F186" s="79"/>
      <c r="G186" s="87"/>
      <c r="H186" s="100"/>
      <c r="I186" s="79"/>
      <c r="J186" s="79"/>
      <c r="K186" s="79"/>
      <c r="L186" s="88"/>
      <c r="M186" s="158"/>
      <c r="N186" s="157"/>
    </row>
    <row r="188" spans="2:14" x14ac:dyDescent="0.2">
      <c r="B188" s="167"/>
      <c r="C188" s="166"/>
      <c r="D188" s="165"/>
      <c r="E188" s="165"/>
      <c r="F188" s="96"/>
      <c r="G188" s="165"/>
      <c r="H188" s="97"/>
      <c r="I188" s="163"/>
      <c r="J188" s="164"/>
      <c r="K188" s="163"/>
      <c r="L188" s="162"/>
      <c r="M188" s="161"/>
      <c r="N188" s="157"/>
    </row>
    <row r="189" spans="2:14" x14ac:dyDescent="0.2">
      <c r="B189" s="160"/>
      <c r="D189" s="87"/>
      <c r="E189" s="87"/>
      <c r="F189" s="79"/>
      <c r="G189" s="87"/>
      <c r="H189" s="80"/>
      <c r="I189" s="79"/>
      <c r="J189" s="79"/>
      <c r="K189" s="79"/>
      <c r="L189" s="88"/>
      <c r="M189" s="158"/>
      <c r="N189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F197" s="79"/>
      <c r="H197" s="80"/>
      <c r="I197" s="79"/>
      <c r="J197" s="79"/>
      <c r="K197" s="79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0"/>
      <c r="D200" s="87"/>
      <c r="E200" s="87"/>
      <c r="F200" s="79"/>
      <c r="G200" s="87"/>
      <c r="H200" s="80"/>
      <c r="I200" s="79"/>
      <c r="J200" s="79"/>
      <c r="K200" s="79"/>
      <c r="L200" s="88"/>
      <c r="M200" s="158"/>
      <c r="N200" s="157"/>
    </row>
    <row r="201" spans="2:14" x14ac:dyDescent="0.2">
      <c r="B201" s="160"/>
      <c r="D201" s="87"/>
      <c r="E201" s="87"/>
      <c r="F201" s="79"/>
      <c r="G201" s="87"/>
      <c r="H201" s="80"/>
      <c r="I201" s="79"/>
      <c r="J201" s="79"/>
      <c r="K201" s="79"/>
      <c r="L201" s="88"/>
      <c r="M201" s="158"/>
      <c r="N201" s="157"/>
    </row>
    <row r="202" spans="2:14" x14ac:dyDescent="0.2">
      <c r="B202" s="167"/>
      <c r="C202" s="166"/>
      <c r="D202" s="165"/>
      <c r="E202" s="165"/>
      <c r="F202" s="96"/>
      <c r="G202" s="165"/>
      <c r="H202" s="97"/>
      <c r="I202" s="163"/>
      <c r="J202" s="164"/>
      <c r="K202" s="163"/>
      <c r="L202" s="162"/>
      <c r="M202" s="161"/>
      <c r="N202" s="157"/>
    </row>
    <row r="203" spans="2:14" x14ac:dyDescent="0.2">
      <c r="B203" s="167"/>
      <c r="C203" s="166"/>
      <c r="D203" s="165"/>
      <c r="E203" s="165"/>
      <c r="F203" s="96"/>
      <c r="G203" s="165"/>
      <c r="H203" s="97"/>
      <c r="I203" s="163"/>
      <c r="J203" s="164"/>
      <c r="K203" s="163"/>
      <c r="L203" s="162"/>
      <c r="M203" s="161"/>
      <c r="N203" s="157"/>
    </row>
    <row r="204" spans="2:14" x14ac:dyDescent="0.2">
      <c r="B204" s="160"/>
      <c r="D204" s="87"/>
      <c r="E204" s="87"/>
      <c r="F204" s="79"/>
      <c r="G204" s="87"/>
      <c r="H204" s="80"/>
      <c r="I204" s="79"/>
      <c r="J204" s="79"/>
      <c r="K204" s="79"/>
      <c r="L204" s="88"/>
      <c r="M204" s="158"/>
      <c r="N204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F212" s="79"/>
      <c r="H212" s="80"/>
      <c r="I212" s="79"/>
      <c r="J212" s="79"/>
      <c r="K212" s="79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7"/>
      <c r="C215" s="166"/>
      <c r="D215" s="165"/>
      <c r="E215" s="165"/>
      <c r="F215" s="96"/>
      <c r="G215" s="165"/>
      <c r="H215" s="97"/>
      <c r="I215" s="163"/>
      <c r="J215" s="164"/>
      <c r="K215" s="163"/>
      <c r="L215" s="162"/>
      <c r="M215" s="161"/>
      <c r="N215" s="157"/>
    </row>
    <row r="216" spans="2:14" x14ac:dyDescent="0.2">
      <c r="F216" s="79"/>
      <c r="G216" s="79"/>
      <c r="H216" s="80"/>
      <c r="I216" s="79"/>
      <c r="J216" s="79"/>
      <c r="K216" s="79"/>
    </row>
    <row r="217" spans="2:14" x14ac:dyDescent="0.2">
      <c r="G217" s="79"/>
      <c r="H217" s="80"/>
      <c r="I217" s="79"/>
      <c r="J217" s="79"/>
      <c r="K217" s="79"/>
    </row>
    <row r="218" spans="2:14" x14ac:dyDescent="0.2">
      <c r="B218" s="167"/>
      <c r="C218" s="166"/>
      <c r="D218" s="165"/>
      <c r="E218" s="165"/>
      <c r="F218" s="96"/>
      <c r="G218" s="165"/>
      <c r="H218" s="97"/>
      <c r="I218" s="163"/>
      <c r="J218" s="164"/>
      <c r="K218" s="163"/>
      <c r="L218" s="162"/>
      <c r="M218" s="161"/>
      <c r="N218" s="157"/>
    </row>
    <row r="219" spans="2:14" x14ac:dyDescent="0.2">
      <c r="B219" s="167"/>
      <c r="C219" s="166"/>
      <c r="D219" s="165"/>
      <c r="E219" s="165"/>
      <c r="F219" s="96"/>
      <c r="G219" s="165"/>
      <c r="H219" s="97"/>
      <c r="I219" s="163"/>
      <c r="J219" s="164"/>
      <c r="K219" s="163"/>
      <c r="L219" s="162"/>
      <c r="M219" s="161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0"/>
      <c r="C221" s="159"/>
      <c r="D221" s="87"/>
      <c r="E221" s="87"/>
      <c r="F221" s="79"/>
      <c r="G221" s="87"/>
      <c r="H221" s="79"/>
      <c r="I221" s="79"/>
      <c r="J221" s="79"/>
      <c r="K221" s="79"/>
      <c r="L221" s="88"/>
      <c r="M221" s="158"/>
      <c r="N221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58"/>
      <c r="N224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7"/>
      <c r="C228" s="166"/>
      <c r="D228" s="165"/>
      <c r="E228" s="165"/>
      <c r="F228" s="96"/>
      <c r="G228" s="165"/>
      <c r="H228" s="97"/>
      <c r="I228" s="163"/>
      <c r="J228" s="164"/>
      <c r="K228" s="163"/>
      <c r="L228" s="162"/>
      <c r="M228" s="161"/>
      <c r="N228" s="157"/>
    </row>
    <row r="229" spans="2:14" x14ac:dyDescent="0.2">
      <c r="B229" s="167"/>
      <c r="C229" s="166"/>
      <c r="D229" s="165"/>
      <c r="E229" s="165"/>
      <c r="F229" s="96"/>
      <c r="G229" s="165"/>
      <c r="H229" s="97"/>
      <c r="I229" s="163"/>
      <c r="J229" s="164"/>
      <c r="K229" s="163"/>
      <c r="L229" s="162"/>
      <c r="M229" s="161"/>
      <c r="N229" s="157"/>
    </row>
    <row r="230" spans="2:14" x14ac:dyDescent="0.2">
      <c r="B230" s="160"/>
      <c r="C230" s="159"/>
      <c r="D230" s="87"/>
      <c r="E230" s="87"/>
      <c r="F230" s="79"/>
      <c r="G230" s="87"/>
      <c r="H230" s="80"/>
      <c r="I230" s="79"/>
      <c r="J230" s="79"/>
      <c r="K230" s="79"/>
      <c r="L230" s="88"/>
      <c r="M230" s="158"/>
      <c r="N230" s="157"/>
    </row>
    <row r="232" spans="2:14" x14ac:dyDescent="0.2">
      <c r="B232" s="167"/>
      <c r="C232" s="166"/>
      <c r="D232" s="165"/>
      <c r="E232" s="165"/>
      <c r="F232" s="96"/>
      <c r="G232" s="165"/>
      <c r="H232" s="97"/>
      <c r="I232" s="163"/>
      <c r="J232" s="164"/>
      <c r="K232" s="163"/>
      <c r="L232" s="162"/>
      <c r="M232" s="161"/>
      <c r="N232" s="157"/>
    </row>
    <row r="233" spans="2:14" x14ac:dyDescent="0.2">
      <c r="B233" s="167"/>
      <c r="C233" s="166"/>
      <c r="D233" s="165"/>
      <c r="E233" s="165"/>
      <c r="F233" s="96"/>
      <c r="G233" s="165"/>
      <c r="H233" s="97"/>
      <c r="I233" s="163"/>
      <c r="J233" s="164"/>
      <c r="K233" s="163"/>
      <c r="L233" s="162"/>
      <c r="M233" s="161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0"/>
      <c r="C235" s="159"/>
      <c r="D235" s="87"/>
      <c r="E235" s="87"/>
      <c r="F235" s="79"/>
      <c r="G235" s="87"/>
      <c r="H235" s="80"/>
      <c r="I235" s="79"/>
      <c r="J235" s="79"/>
      <c r="K235" s="79"/>
      <c r="L235" s="88"/>
      <c r="M235" s="158"/>
      <c r="N235" s="157"/>
    </row>
    <row r="237" spans="2:14" x14ac:dyDescent="0.2">
      <c r="B237" s="167"/>
      <c r="C237" s="166"/>
      <c r="D237" s="165"/>
      <c r="E237" s="165"/>
      <c r="F237" s="96"/>
      <c r="G237" s="165"/>
      <c r="H237" s="97"/>
      <c r="I237" s="163"/>
      <c r="J237" s="164"/>
      <c r="K237" s="163"/>
      <c r="L237" s="162"/>
      <c r="M237" s="161"/>
      <c r="N237" s="157"/>
    </row>
    <row r="238" spans="2:14" x14ac:dyDescent="0.2">
      <c r="B238" s="167"/>
      <c r="C238" s="166"/>
      <c r="D238" s="165"/>
      <c r="E238" s="165"/>
      <c r="F238" s="96"/>
      <c r="G238" s="165"/>
      <c r="H238" s="97"/>
      <c r="I238" s="163"/>
      <c r="J238" s="164"/>
      <c r="K238" s="163"/>
      <c r="L238" s="162"/>
      <c r="M238" s="161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0"/>
      <c r="C240" s="159"/>
      <c r="D240" s="87"/>
      <c r="E240" s="87"/>
      <c r="F240" s="79"/>
      <c r="G240" s="87"/>
      <c r="H240" s="79"/>
      <c r="I240" s="79"/>
      <c r="J240" s="79"/>
      <c r="K240" s="79"/>
      <c r="L240" s="88"/>
      <c r="M240" s="158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7"/>
      <c r="C242" s="166"/>
      <c r="D242" s="165"/>
      <c r="E242" s="165"/>
      <c r="F242" s="96"/>
      <c r="G242" s="165"/>
      <c r="H242" s="97"/>
      <c r="I242" s="163"/>
      <c r="J242" s="164"/>
      <c r="K242" s="163"/>
      <c r="L242" s="162"/>
      <c r="M242" s="161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97"/>
      <c r="I243" s="163"/>
      <c r="J243" s="164"/>
      <c r="K243" s="163"/>
      <c r="L243" s="162"/>
      <c r="M243" s="161"/>
      <c r="N243" s="157"/>
    </row>
    <row r="244" spans="2:14" x14ac:dyDescent="0.2">
      <c r="B244" s="167"/>
      <c r="C244" s="166"/>
      <c r="D244" s="165"/>
      <c r="E244" s="165"/>
      <c r="F244" s="96"/>
      <c r="G244" s="165"/>
      <c r="H244" s="97"/>
      <c r="I244" s="163"/>
      <c r="J244" s="164"/>
      <c r="K244" s="163"/>
      <c r="L244" s="162"/>
      <c r="M244" s="161"/>
      <c r="N244" s="157"/>
    </row>
    <row r="245" spans="2:14" x14ac:dyDescent="0.2">
      <c r="B245" s="167"/>
      <c r="C245" s="166"/>
      <c r="D245" s="165"/>
      <c r="E245" s="165"/>
      <c r="F245" s="96"/>
      <c r="G245" s="165"/>
      <c r="H245" s="97"/>
      <c r="I245" s="163"/>
      <c r="J245" s="164"/>
      <c r="K245" s="163"/>
      <c r="L245" s="162"/>
      <c r="M245" s="161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97"/>
      <c r="I246" s="163"/>
      <c r="J246" s="164"/>
      <c r="K246" s="163"/>
      <c r="L246" s="162"/>
      <c r="M246" s="161"/>
      <c r="N246" s="157"/>
    </row>
    <row r="247" spans="2:14" x14ac:dyDescent="0.2">
      <c r="B247" s="167"/>
      <c r="C247" s="166"/>
      <c r="D247" s="165"/>
      <c r="E247" s="165"/>
      <c r="F247" s="96"/>
      <c r="G247" s="165"/>
      <c r="H247" s="97"/>
      <c r="I247" s="163"/>
      <c r="J247" s="164"/>
      <c r="K247" s="163"/>
      <c r="L247" s="162"/>
      <c r="M247" s="161"/>
      <c r="N247" s="157"/>
    </row>
    <row r="248" spans="2:14" x14ac:dyDescent="0.2">
      <c r="B248" s="167"/>
      <c r="C248" s="166"/>
      <c r="D248" s="165"/>
      <c r="E248" s="165"/>
      <c r="F248" s="96"/>
      <c r="G248" s="165"/>
      <c r="H248" s="97"/>
      <c r="I248" s="163"/>
      <c r="J248" s="164"/>
      <c r="K248" s="163"/>
      <c r="L248" s="162"/>
      <c r="M248" s="161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97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97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80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79"/>
      <c r="J252" s="79"/>
      <c r="K252" s="79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0"/>
      <c r="C254" s="159"/>
      <c r="D254" s="87"/>
      <c r="E254" s="87"/>
      <c r="F254" s="79"/>
      <c r="G254" s="87"/>
      <c r="H254" s="80"/>
      <c r="I254" s="79"/>
      <c r="J254" s="79"/>
      <c r="K254" s="79"/>
      <c r="L254" s="88"/>
      <c r="M254" s="158"/>
      <c r="N254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7"/>
      <c r="C257" s="166"/>
      <c r="D257" s="165"/>
      <c r="E257" s="165"/>
      <c r="F257" s="96"/>
      <c r="G257" s="165"/>
      <c r="H257" s="97"/>
      <c r="I257" s="163"/>
      <c r="J257" s="164"/>
      <c r="K257" s="163"/>
      <c r="L257" s="162"/>
      <c r="M257" s="161"/>
      <c r="N257" s="157"/>
    </row>
    <row r="258" spans="2:14" x14ac:dyDescent="0.2">
      <c r="B258" s="167"/>
      <c r="C258" s="166"/>
      <c r="D258" s="165"/>
      <c r="E258" s="165"/>
      <c r="F258" s="96"/>
      <c r="G258" s="165"/>
      <c r="H258" s="97"/>
      <c r="I258" s="163"/>
      <c r="J258" s="164"/>
      <c r="K258" s="163"/>
      <c r="L258" s="162"/>
      <c r="M258" s="161"/>
      <c r="N258" s="157"/>
    </row>
    <row r="259" spans="2:14" x14ac:dyDescent="0.2">
      <c r="B259" s="160"/>
      <c r="C259" s="159"/>
      <c r="D259" s="87"/>
      <c r="E259" s="87"/>
      <c r="F259" s="79"/>
      <c r="G259" s="87"/>
      <c r="H259" s="80"/>
      <c r="I259" s="79"/>
      <c r="J259" s="79"/>
      <c r="K259" s="79"/>
      <c r="L259" s="88"/>
      <c r="M259" s="158"/>
      <c r="N259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0"/>
      <c r="C262" s="159"/>
      <c r="D262" s="87"/>
      <c r="E262" s="87"/>
      <c r="F262" s="79"/>
      <c r="G262" s="87"/>
      <c r="H262" s="80"/>
      <c r="I262" s="79"/>
      <c r="J262" s="79"/>
      <c r="K262" s="79"/>
      <c r="L262" s="88"/>
      <c r="M262" s="158"/>
      <c r="N262" s="157"/>
    </row>
    <row r="263" spans="2:14" x14ac:dyDescent="0.2">
      <c r="B263" s="160"/>
      <c r="C263" s="159"/>
      <c r="D263" s="87"/>
      <c r="E263" s="87"/>
      <c r="F263" s="79"/>
      <c r="G263" s="87"/>
      <c r="H263" s="80"/>
      <c r="I263" s="79"/>
      <c r="J263" s="79"/>
      <c r="K263" s="79"/>
      <c r="L263" s="88"/>
      <c r="M263" s="158"/>
      <c r="N263" s="157"/>
    </row>
    <row r="264" spans="2:14" x14ac:dyDescent="0.2">
      <c r="B264" s="160"/>
      <c r="C264" s="159"/>
      <c r="D264" s="87"/>
      <c r="E264" s="87"/>
      <c r="F264" s="79"/>
      <c r="G264" s="87"/>
      <c r="H264" s="80"/>
      <c r="I264" s="79"/>
      <c r="J264" s="79"/>
      <c r="K264" s="79"/>
      <c r="L264" s="88"/>
      <c r="M264" s="158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0"/>
      <c r="C271" s="159"/>
      <c r="D271" s="87"/>
      <c r="E271" s="87"/>
      <c r="F271" s="79"/>
      <c r="G271" s="87"/>
      <c r="H271" s="80"/>
      <c r="I271" s="79"/>
      <c r="J271" s="79"/>
      <c r="K271" s="79"/>
      <c r="L271" s="88"/>
      <c r="M271" s="158"/>
      <c r="N271" s="157"/>
    </row>
    <row r="272" spans="2:14" x14ac:dyDescent="0.2">
      <c r="B272" s="160"/>
      <c r="C272" s="159"/>
      <c r="D272" s="87"/>
      <c r="E272" s="87"/>
      <c r="F272" s="79"/>
      <c r="G272" s="87"/>
      <c r="H272" s="80"/>
      <c r="I272" s="79"/>
      <c r="J272" s="79"/>
      <c r="K272" s="79"/>
      <c r="L272" s="88"/>
      <c r="M272" s="158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0"/>
      <c r="C274" s="159"/>
      <c r="D274" s="87"/>
      <c r="E274" s="87"/>
      <c r="F274" s="79"/>
      <c r="G274" s="87"/>
      <c r="H274" s="80"/>
      <c r="I274" s="79"/>
      <c r="J274" s="79"/>
      <c r="K274" s="79"/>
      <c r="L274" s="88"/>
      <c r="M274" s="158"/>
      <c r="N274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F277" s="79"/>
      <c r="H277" s="88"/>
      <c r="I277" s="79"/>
      <c r="J277" s="79"/>
      <c r="K277" s="79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73"/>
      <c r="N281" s="157"/>
    </row>
    <row r="282" spans="2:14" x14ac:dyDescent="0.2">
      <c r="B282" s="160"/>
      <c r="C282" s="159"/>
      <c r="D282" s="87"/>
      <c r="E282" s="87"/>
      <c r="F282" s="79"/>
      <c r="G282" s="87"/>
      <c r="H282" s="80"/>
      <c r="I282" s="79"/>
      <c r="J282" s="79"/>
      <c r="K282" s="79"/>
      <c r="L282" s="88"/>
      <c r="M282" s="173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0"/>
      <c r="C284" s="159"/>
      <c r="D284" s="87"/>
      <c r="E284" s="87"/>
      <c r="F284" s="79"/>
      <c r="G284" s="87"/>
      <c r="H284" s="88"/>
      <c r="I284" s="79"/>
      <c r="J284" s="79"/>
      <c r="K284" s="79"/>
      <c r="L284" s="88"/>
      <c r="M284" s="173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73"/>
      <c r="N285" s="157"/>
    </row>
    <row r="286" spans="2:14" x14ac:dyDescent="0.2">
      <c r="B286" s="167"/>
      <c r="C286" s="166"/>
      <c r="D286" s="165"/>
      <c r="E286" s="165"/>
      <c r="F286" s="96"/>
      <c r="G286" s="165"/>
      <c r="H286" s="97"/>
      <c r="I286" s="163"/>
      <c r="J286" s="164"/>
      <c r="K286" s="163"/>
      <c r="L286" s="162"/>
      <c r="M286" s="161"/>
      <c r="N286" s="157"/>
    </row>
    <row r="287" spans="2:14" x14ac:dyDescent="0.2">
      <c r="B287" s="167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7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7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7"/>
      <c r="C291" s="166"/>
      <c r="D291" s="165"/>
      <c r="E291" s="165"/>
      <c r="F291" s="96"/>
      <c r="G291" s="165"/>
      <c r="H291" s="97"/>
      <c r="I291" s="163"/>
      <c r="J291" s="164"/>
      <c r="K291" s="163"/>
      <c r="L291" s="162"/>
      <c r="M291" s="161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7"/>
      <c r="C294" s="166"/>
      <c r="D294" s="165"/>
      <c r="E294" s="165"/>
      <c r="F294" s="96"/>
      <c r="G294" s="165"/>
      <c r="H294" s="97"/>
      <c r="I294" s="163"/>
      <c r="J294" s="164"/>
      <c r="K294" s="163"/>
      <c r="L294" s="162"/>
      <c r="M294" s="161"/>
      <c r="N294" s="157"/>
    </row>
    <row r="295" spans="2:14" x14ac:dyDescent="0.2">
      <c r="B295" s="167"/>
      <c r="C295" s="166"/>
      <c r="D295" s="165"/>
      <c r="E295" s="165"/>
      <c r="F295" s="96"/>
      <c r="G295" s="165"/>
      <c r="H295" s="97"/>
      <c r="I295" s="163"/>
      <c r="J295" s="164"/>
      <c r="K295" s="163"/>
      <c r="L295" s="162"/>
      <c r="M295" s="161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7"/>
      <c r="C297" s="166"/>
      <c r="D297" s="165"/>
      <c r="E297" s="165"/>
      <c r="F297" s="96"/>
      <c r="G297" s="165"/>
      <c r="H297" s="97"/>
      <c r="I297" s="163"/>
      <c r="J297" s="164"/>
      <c r="K297" s="163"/>
      <c r="L297" s="162"/>
      <c r="M297" s="161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0"/>
      <c r="C299" s="159"/>
      <c r="D299" s="87"/>
      <c r="E299" s="87"/>
      <c r="F299" s="79"/>
      <c r="G299" s="87"/>
      <c r="H299" s="80"/>
      <c r="I299" s="79"/>
      <c r="J299" s="79"/>
      <c r="K299" s="79"/>
      <c r="L299" s="88"/>
      <c r="M299" s="158"/>
      <c r="N299" s="157"/>
    </row>
    <row r="300" spans="2:14" x14ac:dyDescent="0.2">
      <c r="B300" s="160"/>
      <c r="C300" s="159"/>
      <c r="D300" s="87"/>
      <c r="E300" s="87"/>
      <c r="F300" s="79"/>
      <c r="G300" s="87"/>
      <c r="H300" s="80"/>
      <c r="I300" s="168"/>
      <c r="J300" s="169"/>
      <c r="K300" s="168"/>
      <c r="L300" s="88"/>
      <c r="M300" s="158"/>
      <c r="N300" s="157"/>
    </row>
    <row r="301" spans="2:14" x14ac:dyDescent="0.2">
      <c r="B301" s="167"/>
      <c r="C301" s="166"/>
      <c r="D301" s="165"/>
      <c r="E301" s="165"/>
      <c r="F301" s="96"/>
      <c r="G301" s="165"/>
      <c r="H301" s="97"/>
      <c r="I301" s="163"/>
      <c r="J301" s="164"/>
      <c r="K301" s="163"/>
      <c r="L301" s="162"/>
      <c r="M301" s="161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7"/>
      <c r="C308" s="166"/>
      <c r="D308" s="165"/>
      <c r="E308" s="165"/>
      <c r="F308" s="96"/>
      <c r="G308" s="165"/>
      <c r="H308" s="97"/>
      <c r="I308" s="163"/>
      <c r="J308" s="164"/>
      <c r="K308" s="163"/>
      <c r="L308" s="162"/>
      <c r="M308" s="161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7"/>
      <c r="C311" s="166"/>
      <c r="D311" s="165"/>
      <c r="E311" s="165"/>
      <c r="F311" s="96"/>
      <c r="G311" s="165"/>
      <c r="H311" s="97"/>
      <c r="I311" s="163"/>
      <c r="J311" s="164"/>
      <c r="K311" s="163"/>
      <c r="L311" s="162"/>
      <c r="M311" s="161"/>
      <c r="N311" s="157"/>
    </row>
    <row r="312" spans="2:14" x14ac:dyDescent="0.2">
      <c r="B312" s="160"/>
      <c r="C312" s="159"/>
      <c r="D312" s="87"/>
      <c r="E312" s="87"/>
      <c r="F312" s="79"/>
      <c r="G312" s="87"/>
      <c r="H312" s="80"/>
      <c r="I312" s="79"/>
      <c r="J312" s="79"/>
      <c r="K312" s="79"/>
      <c r="L312" s="88"/>
      <c r="M312" s="173"/>
      <c r="N312" s="157"/>
    </row>
    <row r="313" spans="2:14" x14ac:dyDescent="0.2">
      <c r="B313" s="160"/>
      <c r="C313" s="159"/>
      <c r="D313" s="87"/>
      <c r="E313" s="87"/>
      <c r="F313" s="79"/>
      <c r="G313" s="87"/>
      <c r="H313" s="80"/>
      <c r="I313" s="79"/>
      <c r="J313" s="79"/>
      <c r="K313" s="79"/>
      <c r="L313" s="88"/>
      <c r="M313" s="173"/>
      <c r="N313" s="157"/>
    </row>
    <row r="314" spans="2:14" x14ac:dyDescent="0.2">
      <c r="B314" s="167"/>
      <c r="C314" s="166"/>
      <c r="D314" s="165"/>
      <c r="E314" s="165"/>
      <c r="F314" s="96"/>
      <c r="G314" s="165"/>
      <c r="H314" s="97"/>
      <c r="I314" s="163"/>
      <c r="J314" s="164"/>
      <c r="K314" s="163"/>
      <c r="L314" s="162"/>
      <c r="M314" s="161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79"/>
      <c r="J315" s="79"/>
      <c r="K315" s="79"/>
      <c r="L315" s="88"/>
      <c r="M315" s="158"/>
      <c r="N315" s="157"/>
    </row>
    <row r="316" spans="2:14" x14ac:dyDescent="0.2">
      <c r="B316" s="160"/>
      <c r="C316" s="159"/>
      <c r="D316" s="87"/>
      <c r="E316" s="87"/>
      <c r="F316" s="79"/>
      <c r="G316" s="87"/>
      <c r="H316" s="80"/>
      <c r="I316" s="168"/>
      <c r="J316" s="169"/>
      <c r="K316" s="168"/>
      <c r="L316" s="88"/>
      <c r="M316" s="158"/>
      <c r="N316" s="157"/>
    </row>
    <row r="317" spans="2:14" x14ac:dyDescent="0.2">
      <c r="B317" s="167"/>
      <c r="C317" s="166"/>
      <c r="D317" s="165"/>
      <c r="E317" s="165"/>
      <c r="F317" s="96"/>
      <c r="G317" s="165"/>
      <c r="H317" s="97"/>
      <c r="I317" s="163"/>
      <c r="J317" s="164"/>
      <c r="K317" s="163"/>
      <c r="L317" s="162"/>
      <c r="M317" s="161"/>
      <c r="N317" s="157"/>
    </row>
    <row r="318" spans="2:14" x14ac:dyDescent="0.2">
      <c r="B318" s="167"/>
      <c r="C318" s="166"/>
      <c r="D318" s="165"/>
      <c r="E318" s="165"/>
      <c r="F318" s="96"/>
      <c r="G318" s="165"/>
      <c r="H318" s="97"/>
      <c r="I318" s="163"/>
      <c r="J318" s="164"/>
      <c r="K318" s="163"/>
      <c r="L318" s="162"/>
      <c r="M318" s="161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7"/>
      <c r="C320" s="166"/>
      <c r="D320" s="165"/>
      <c r="E320" s="165"/>
      <c r="F320" s="96"/>
      <c r="G320" s="165"/>
      <c r="H320" s="97"/>
      <c r="I320" s="163"/>
      <c r="J320" s="164"/>
      <c r="K320" s="163"/>
      <c r="L320" s="162"/>
      <c r="M320" s="161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73"/>
      <c r="N321" s="157"/>
    </row>
    <row r="322" spans="2:14" x14ac:dyDescent="0.2">
      <c r="B322" s="160"/>
      <c r="C322" s="159"/>
      <c r="D322" s="87"/>
      <c r="E322" s="87"/>
      <c r="F322" s="79"/>
      <c r="G322" s="87"/>
      <c r="H322" s="80"/>
      <c r="I322" s="79"/>
      <c r="J322" s="79"/>
      <c r="K322" s="79"/>
      <c r="L322" s="88"/>
      <c r="M322" s="173"/>
      <c r="N322" s="157"/>
    </row>
    <row r="323" spans="2:14" x14ac:dyDescent="0.2">
      <c r="B323" s="167"/>
      <c r="C323" s="166"/>
      <c r="D323" s="165"/>
      <c r="E323" s="165"/>
      <c r="F323" s="96"/>
      <c r="G323" s="165"/>
      <c r="H323" s="97"/>
      <c r="I323" s="163"/>
      <c r="J323" s="164"/>
      <c r="K323" s="163"/>
      <c r="L323" s="162"/>
      <c r="M323" s="161"/>
      <c r="N323" s="157"/>
    </row>
    <row r="324" spans="2:14" x14ac:dyDescent="0.2">
      <c r="B324" s="167"/>
      <c r="C324" s="166"/>
      <c r="D324" s="165"/>
      <c r="E324" s="165"/>
      <c r="F324" s="96"/>
      <c r="G324" s="165"/>
      <c r="H324" s="97"/>
      <c r="I324" s="163"/>
      <c r="J324" s="164"/>
      <c r="K324" s="163"/>
      <c r="L324" s="162"/>
      <c r="M324" s="161"/>
      <c r="N324" s="157"/>
    </row>
    <row r="325" spans="2:14" x14ac:dyDescent="0.2">
      <c r="B325" s="160"/>
      <c r="C325" s="159"/>
      <c r="D325" s="87"/>
      <c r="E325" s="87"/>
      <c r="F325" s="79"/>
      <c r="G325" s="87"/>
      <c r="H325" s="80"/>
      <c r="I325" s="79"/>
      <c r="J325" s="79"/>
      <c r="K325" s="79"/>
      <c r="L325" s="88"/>
      <c r="M325" s="173"/>
      <c r="N325" s="157"/>
    </row>
    <row r="326" spans="2:14" x14ac:dyDescent="0.2">
      <c r="B326" s="160"/>
      <c r="C326" s="159"/>
      <c r="D326" s="87"/>
      <c r="E326" s="87"/>
      <c r="F326" s="79"/>
      <c r="G326" s="87"/>
      <c r="H326" s="80"/>
      <c r="I326" s="79"/>
      <c r="J326" s="79"/>
      <c r="K326" s="79"/>
      <c r="L326" s="88"/>
      <c r="M326" s="173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7"/>
      <c r="C328" s="166"/>
      <c r="D328" s="165"/>
      <c r="E328" s="165"/>
      <c r="F328" s="96"/>
      <c r="G328" s="165"/>
      <c r="H328" s="97"/>
      <c r="I328" s="163"/>
      <c r="J328" s="164"/>
      <c r="K328" s="163"/>
      <c r="L328" s="162"/>
      <c r="M328" s="161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79"/>
      <c r="J329" s="79"/>
      <c r="K329" s="79"/>
      <c r="L329" s="88"/>
      <c r="M329" s="173"/>
      <c r="N329" s="157"/>
    </row>
    <row r="330" spans="2:14" x14ac:dyDescent="0.2">
      <c r="B330" s="160"/>
      <c r="C330" s="159"/>
      <c r="D330" s="87"/>
      <c r="E330" s="87"/>
      <c r="F330" s="79"/>
      <c r="G330" s="87"/>
      <c r="H330" s="80"/>
      <c r="I330" s="79"/>
      <c r="J330" s="79"/>
      <c r="K330" s="79"/>
      <c r="L330" s="88"/>
      <c r="M330" s="173"/>
      <c r="N330" s="157"/>
    </row>
    <row r="331" spans="2:14" x14ac:dyDescent="0.2">
      <c r="B331" s="167"/>
      <c r="C331" s="166"/>
      <c r="D331" s="165"/>
      <c r="E331" s="165"/>
      <c r="F331" s="96"/>
      <c r="G331" s="165"/>
      <c r="H331" s="97"/>
      <c r="I331" s="163"/>
      <c r="J331" s="164"/>
      <c r="K331" s="163"/>
      <c r="L331" s="162"/>
      <c r="M331" s="161"/>
      <c r="N331" s="157"/>
    </row>
    <row r="332" spans="2:14" x14ac:dyDescent="0.2">
      <c r="B332" s="167"/>
      <c r="C332" s="166"/>
      <c r="D332" s="165"/>
      <c r="E332" s="165"/>
      <c r="F332" s="96"/>
      <c r="G332" s="165"/>
      <c r="H332" s="97"/>
      <c r="I332" s="163"/>
      <c r="J332" s="164"/>
      <c r="K332" s="163"/>
      <c r="L332" s="162"/>
      <c r="M332" s="161"/>
      <c r="N332" s="157"/>
    </row>
    <row r="333" spans="2:14" x14ac:dyDescent="0.2">
      <c r="B333" s="160"/>
      <c r="C333" s="159"/>
      <c r="D333" s="87"/>
      <c r="E333" s="87"/>
      <c r="F333" s="79"/>
      <c r="G333" s="87"/>
      <c r="H333" s="80"/>
      <c r="I333" s="79"/>
      <c r="J333" s="79"/>
      <c r="K333" s="79"/>
      <c r="L333" s="88"/>
      <c r="M333" s="158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168"/>
      <c r="J334" s="169"/>
      <c r="K334" s="168"/>
      <c r="L334" s="88"/>
      <c r="M334" s="173"/>
      <c r="N334" s="157"/>
    </row>
    <row r="335" spans="2:14" x14ac:dyDescent="0.2">
      <c r="B335" s="160"/>
      <c r="C335" s="159"/>
      <c r="D335" s="87"/>
      <c r="E335" s="87"/>
      <c r="F335" s="79"/>
      <c r="G335" s="87"/>
      <c r="H335" s="91"/>
      <c r="I335" s="79"/>
      <c r="J335" s="79"/>
      <c r="K335" s="79"/>
      <c r="L335" s="88"/>
      <c r="M335" s="158"/>
      <c r="N335" s="157"/>
    </row>
    <row r="336" spans="2:14" x14ac:dyDescent="0.2">
      <c r="B336" s="167"/>
      <c r="C336" s="166"/>
      <c r="D336" s="165"/>
      <c r="E336" s="165"/>
      <c r="F336" s="96"/>
      <c r="G336" s="165"/>
      <c r="H336" s="97"/>
      <c r="I336" s="163"/>
      <c r="J336" s="164"/>
      <c r="K336" s="163"/>
      <c r="L336" s="162"/>
      <c r="M336" s="161"/>
      <c r="N336" s="157"/>
    </row>
    <row r="337" spans="2:14" x14ac:dyDescent="0.2">
      <c r="B337" s="167"/>
      <c r="C337" s="166"/>
      <c r="D337" s="165"/>
      <c r="E337" s="165"/>
      <c r="F337" s="96"/>
      <c r="G337" s="165"/>
      <c r="H337" s="97"/>
      <c r="I337" s="163"/>
      <c r="J337" s="164"/>
      <c r="K337" s="163"/>
      <c r="L337" s="162"/>
      <c r="M337" s="161"/>
      <c r="N337" s="157"/>
    </row>
    <row r="338" spans="2:14" x14ac:dyDescent="0.2">
      <c r="B338" s="160"/>
      <c r="C338" s="159"/>
      <c r="D338" s="87"/>
      <c r="E338" s="87"/>
      <c r="F338" s="79"/>
      <c r="G338" s="87"/>
      <c r="H338" s="80"/>
      <c r="I338" s="79"/>
      <c r="J338" s="79"/>
      <c r="K338" s="79"/>
      <c r="L338" s="88"/>
      <c r="M338" s="158"/>
      <c r="N338" s="157"/>
    </row>
    <row r="339" spans="2:14" x14ac:dyDescent="0.2">
      <c r="B339" s="160"/>
      <c r="C339" s="159"/>
      <c r="D339" s="87"/>
      <c r="E339" s="87"/>
      <c r="F339" s="79"/>
      <c r="G339" s="87"/>
      <c r="H339" s="91"/>
      <c r="I339" s="79"/>
      <c r="J339" s="79"/>
      <c r="K339" s="79"/>
      <c r="L339" s="88"/>
      <c r="M339" s="158"/>
      <c r="N339" s="157"/>
    </row>
    <row r="340" spans="2:14" x14ac:dyDescent="0.2">
      <c r="B340" s="167"/>
      <c r="C340" s="166"/>
      <c r="D340" s="165"/>
      <c r="E340" s="165"/>
      <c r="F340" s="96"/>
      <c r="G340" s="165"/>
      <c r="H340" s="172"/>
      <c r="I340" s="163"/>
      <c r="J340" s="164"/>
      <c r="K340" s="163"/>
      <c r="L340" s="162"/>
      <c r="M340" s="161"/>
      <c r="N340" s="157"/>
    </row>
    <row r="341" spans="2:14" x14ac:dyDescent="0.2">
      <c r="B341" s="160"/>
      <c r="C341" s="159"/>
      <c r="D341" s="87"/>
      <c r="E341" s="87"/>
      <c r="F341" s="79"/>
      <c r="G341" s="87"/>
      <c r="H341" s="93"/>
      <c r="I341" s="79"/>
      <c r="J341" s="79"/>
      <c r="K341" s="79"/>
      <c r="L341" s="88"/>
      <c r="M341" s="158"/>
      <c r="N341" s="157"/>
    </row>
    <row r="342" spans="2:14" x14ac:dyDescent="0.2">
      <c r="B342" s="160"/>
      <c r="C342" s="159"/>
      <c r="D342" s="87"/>
      <c r="E342" s="87"/>
      <c r="F342" s="79"/>
      <c r="G342" s="87"/>
      <c r="H342" s="92"/>
      <c r="I342" s="79"/>
      <c r="J342" s="79"/>
      <c r="K342" s="79"/>
      <c r="L342" s="88"/>
      <c r="M342" s="158"/>
      <c r="N342" s="157"/>
    </row>
    <row r="343" spans="2:14" x14ac:dyDescent="0.2">
      <c r="B343" s="167"/>
      <c r="C343" s="166"/>
      <c r="D343" s="165"/>
      <c r="E343" s="165"/>
      <c r="F343" s="96"/>
      <c r="G343" s="165"/>
      <c r="H343" s="171"/>
      <c r="I343" s="163"/>
      <c r="J343" s="164"/>
      <c r="K343" s="163"/>
      <c r="L343" s="162"/>
      <c r="M343" s="161"/>
      <c r="N343" s="157"/>
    </row>
    <row r="344" spans="2:14" x14ac:dyDescent="0.2">
      <c r="B344" s="160"/>
      <c r="C344" s="159"/>
      <c r="D344" s="87"/>
      <c r="E344" s="87"/>
      <c r="F344" s="79"/>
      <c r="G344" s="87"/>
      <c r="H344" s="92"/>
      <c r="I344" s="79"/>
      <c r="J344" s="79"/>
      <c r="K344" s="79"/>
      <c r="L344" s="88"/>
      <c r="M344" s="158"/>
      <c r="N344" s="157"/>
    </row>
    <row r="345" spans="2:14" x14ac:dyDescent="0.2">
      <c r="B345" s="160"/>
      <c r="C345" s="159"/>
      <c r="D345" s="87"/>
      <c r="E345" s="87"/>
      <c r="F345" s="79"/>
      <c r="G345" s="87"/>
      <c r="H345" s="92"/>
      <c r="I345" s="79"/>
      <c r="J345" s="79"/>
      <c r="K345" s="79"/>
      <c r="L345" s="88"/>
      <c r="M345" s="158"/>
      <c r="N345" s="157"/>
    </row>
    <row r="346" spans="2:14" x14ac:dyDescent="0.2">
      <c r="B346" s="167"/>
      <c r="C346" s="166"/>
      <c r="D346" s="165"/>
      <c r="E346" s="165"/>
      <c r="F346" s="96"/>
      <c r="G346" s="165"/>
      <c r="H346" s="170"/>
      <c r="I346" s="163"/>
      <c r="J346" s="164"/>
      <c r="K346" s="163"/>
      <c r="L346" s="162"/>
      <c r="M346" s="161"/>
      <c r="N346" s="157"/>
    </row>
    <row r="347" spans="2:14" x14ac:dyDescent="0.2">
      <c r="B347" s="167"/>
      <c r="C347" s="166"/>
      <c r="D347" s="165"/>
      <c r="E347" s="165"/>
      <c r="F347" s="96"/>
      <c r="G347" s="165"/>
      <c r="H347" s="170"/>
      <c r="I347" s="163"/>
      <c r="J347" s="164"/>
      <c r="K347" s="163"/>
      <c r="L347" s="162"/>
      <c r="M347" s="161"/>
      <c r="N347" s="157"/>
    </row>
    <row r="348" spans="2:14" x14ac:dyDescent="0.2">
      <c r="B348" s="160"/>
      <c r="C348" s="159"/>
      <c r="D348" s="87"/>
      <c r="E348" s="87"/>
      <c r="F348" s="79"/>
      <c r="G348" s="87"/>
      <c r="H348" s="95"/>
      <c r="I348" s="79"/>
      <c r="J348" s="79"/>
      <c r="K348" s="79"/>
      <c r="L348" s="88"/>
      <c r="M348" s="158"/>
      <c r="N348" s="157"/>
    </row>
    <row r="349" spans="2:14" x14ac:dyDescent="0.2">
      <c r="B349" s="160"/>
      <c r="C349" s="159"/>
      <c r="D349" s="87"/>
      <c r="E349" s="87"/>
      <c r="F349" s="79"/>
      <c r="G349" s="87"/>
      <c r="H349" s="80"/>
      <c r="I349" s="168"/>
      <c r="J349" s="169"/>
      <c r="K349" s="168"/>
      <c r="L349" s="88"/>
      <c r="M349" s="158"/>
      <c r="N349" s="157"/>
    </row>
    <row r="350" spans="2:14" x14ac:dyDescent="0.2">
      <c r="B350" s="167"/>
      <c r="C350" s="166"/>
      <c r="D350" s="165"/>
      <c r="E350" s="165"/>
      <c r="F350" s="96"/>
      <c r="G350" s="165"/>
      <c r="H350" s="97"/>
      <c r="I350" s="163"/>
      <c r="J350" s="164"/>
      <c r="K350" s="163"/>
      <c r="L350" s="162"/>
      <c r="M350" s="161"/>
      <c r="N350" s="157"/>
    </row>
    <row r="351" spans="2:14" x14ac:dyDescent="0.2">
      <c r="B351" s="167"/>
      <c r="C351" s="166"/>
      <c r="D351" s="165"/>
      <c r="E351" s="165"/>
      <c r="F351" s="96"/>
      <c r="G351" s="165"/>
      <c r="H351" s="97"/>
      <c r="I351" s="163"/>
      <c r="J351" s="164"/>
      <c r="K351" s="163"/>
      <c r="L351" s="162"/>
      <c r="M351" s="161"/>
      <c r="N351" s="157"/>
    </row>
    <row r="352" spans="2:14" x14ac:dyDescent="0.2">
      <c r="B352" s="167"/>
      <c r="C352" s="166"/>
      <c r="D352" s="165"/>
      <c r="E352" s="165"/>
      <c r="F352" s="96"/>
      <c r="G352" s="165"/>
      <c r="H352" s="97"/>
      <c r="I352" s="163"/>
      <c r="J352" s="164"/>
      <c r="K352" s="163"/>
      <c r="L352" s="162"/>
      <c r="M352" s="161"/>
      <c r="N352" s="157"/>
    </row>
    <row r="353" spans="2:14" x14ac:dyDescent="0.2">
      <c r="B353" s="167"/>
      <c r="C353" s="166"/>
      <c r="D353" s="165"/>
      <c r="E353" s="165"/>
      <c r="F353" s="96"/>
      <c r="G353" s="165"/>
      <c r="H353" s="97"/>
      <c r="I353" s="163"/>
      <c r="J353" s="164"/>
      <c r="K353" s="163"/>
      <c r="L353" s="162"/>
      <c r="M353" s="161"/>
      <c r="N353" s="157"/>
    </row>
    <row r="354" spans="2:14" x14ac:dyDescent="0.2">
      <c r="B354" s="160"/>
      <c r="C354" s="159"/>
      <c r="D354" s="87"/>
      <c r="E354" s="87"/>
      <c r="F354" s="79"/>
      <c r="G354" s="87"/>
      <c r="H354" s="80"/>
      <c r="I354" s="79"/>
      <c r="J354" s="79"/>
      <c r="K354" s="79"/>
      <c r="L354" s="88"/>
      <c r="M354" s="158"/>
      <c r="N354" s="157"/>
    </row>
    <row r="355" spans="2:14" x14ac:dyDescent="0.2">
      <c r="B355" s="160"/>
      <c r="C355" s="159"/>
      <c r="D355" s="87"/>
      <c r="E355" s="87"/>
      <c r="F355" s="79"/>
      <c r="G355" s="87"/>
      <c r="H355" s="80"/>
      <c r="I355" s="168"/>
      <c r="J355" s="169"/>
      <c r="K355" s="168"/>
      <c r="L355" s="88"/>
      <c r="M355" s="158"/>
      <c r="N355" s="157"/>
    </row>
    <row r="356" spans="2:14" x14ac:dyDescent="0.2">
      <c r="B356" s="167"/>
      <c r="C356" s="166"/>
      <c r="D356" s="165"/>
      <c r="E356" s="165"/>
      <c r="F356" s="96"/>
      <c r="G356" s="165"/>
      <c r="H356" s="97"/>
      <c r="I356" s="163"/>
      <c r="J356" s="164"/>
      <c r="K356" s="163"/>
      <c r="L356" s="162"/>
      <c r="M356" s="161"/>
      <c r="N356" s="157"/>
    </row>
    <row r="357" spans="2:14" x14ac:dyDescent="0.2">
      <c r="B357" s="167"/>
      <c r="C357" s="166"/>
      <c r="D357" s="165"/>
      <c r="E357" s="165"/>
      <c r="F357" s="96"/>
      <c r="G357" s="165"/>
      <c r="H357" s="97"/>
      <c r="I357" s="163"/>
      <c r="J357" s="164"/>
      <c r="K357" s="163"/>
      <c r="L357" s="162"/>
      <c r="M357" s="161"/>
      <c r="N357" s="157"/>
    </row>
    <row r="358" spans="2:14" x14ac:dyDescent="0.2">
      <c r="B358" s="167"/>
      <c r="C358" s="166"/>
      <c r="D358" s="165"/>
      <c r="E358" s="165"/>
      <c r="F358" s="96"/>
      <c r="G358" s="165"/>
      <c r="H358" s="97"/>
      <c r="I358" s="163"/>
      <c r="J358" s="164"/>
      <c r="K358" s="163"/>
      <c r="L358" s="162"/>
      <c r="M358" s="161"/>
      <c r="N358" s="157"/>
    </row>
    <row r="359" spans="2:14" x14ac:dyDescent="0.2">
      <c r="B359" s="167"/>
      <c r="C359" s="166"/>
      <c r="D359" s="165"/>
      <c r="E359" s="165"/>
      <c r="F359" s="96"/>
      <c r="G359" s="165"/>
      <c r="H359" s="97"/>
      <c r="I359" s="163"/>
      <c r="J359" s="164"/>
      <c r="K359" s="163"/>
      <c r="L359" s="162"/>
      <c r="M359" s="161"/>
      <c r="N359" s="157"/>
    </row>
    <row r="360" spans="2:14" x14ac:dyDescent="0.2">
      <c r="B360" s="167"/>
      <c r="C360" s="166"/>
      <c r="D360" s="165"/>
      <c r="E360" s="165"/>
      <c r="F360" s="96"/>
      <c r="G360" s="165"/>
      <c r="H360" s="97"/>
      <c r="I360" s="163"/>
      <c r="J360" s="164"/>
      <c r="K360" s="163"/>
      <c r="L360" s="162"/>
      <c r="M360" s="161"/>
      <c r="N360" s="157"/>
    </row>
    <row r="361" spans="2:14" x14ac:dyDescent="0.2">
      <c r="B361" s="167"/>
      <c r="C361" s="166"/>
      <c r="D361" s="165"/>
      <c r="E361" s="165"/>
      <c r="F361" s="96"/>
      <c r="G361" s="165"/>
      <c r="H361" s="97"/>
      <c r="I361" s="163"/>
      <c r="J361" s="164"/>
      <c r="K361" s="163"/>
      <c r="L361" s="162"/>
      <c r="M361" s="161"/>
      <c r="N361" s="157"/>
    </row>
    <row r="362" spans="2:14" x14ac:dyDescent="0.2">
      <c r="B362" s="167"/>
      <c r="C362" s="166"/>
      <c r="D362" s="165"/>
      <c r="E362" s="165"/>
      <c r="F362" s="96"/>
      <c r="G362" s="165"/>
      <c r="H362" s="97"/>
      <c r="I362" s="163"/>
      <c r="J362" s="164"/>
      <c r="K362" s="163"/>
      <c r="L362" s="162"/>
      <c r="M362" s="161"/>
      <c r="N362" s="157"/>
    </row>
    <row r="363" spans="2:14" x14ac:dyDescent="0.2">
      <c r="B363" s="167"/>
      <c r="C363" s="166"/>
      <c r="D363" s="165"/>
      <c r="E363" s="165"/>
      <c r="F363" s="96"/>
      <c r="G363" s="165"/>
      <c r="H363" s="97"/>
      <c r="I363" s="163"/>
      <c r="J363" s="164"/>
      <c r="K363" s="163"/>
      <c r="L363" s="162"/>
      <c r="M363" s="161"/>
      <c r="N363" s="157"/>
    </row>
    <row r="364" spans="2:14" x14ac:dyDescent="0.2">
      <c r="B364" s="167"/>
      <c r="C364" s="166"/>
      <c r="D364" s="165"/>
      <c r="E364" s="165"/>
      <c r="F364" s="96"/>
      <c r="G364" s="165"/>
      <c r="H364" s="97"/>
      <c r="I364" s="163"/>
      <c r="J364" s="164"/>
      <c r="K364" s="163"/>
      <c r="L364" s="162"/>
      <c r="M364" s="161"/>
      <c r="N364" s="157"/>
    </row>
    <row r="365" spans="2:14" x14ac:dyDescent="0.2">
      <c r="B365" s="167"/>
      <c r="C365" s="166"/>
      <c r="D365" s="165"/>
      <c r="E365" s="165"/>
      <c r="F365" s="96"/>
      <c r="G365" s="165"/>
      <c r="H365" s="97"/>
      <c r="I365" s="163"/>
      <c r="J365" s="164"/>
      <c r="K365" s="163"/>
      <c r="L365" s="162"/>
      <c r="M365" s="161"/>
      <c r="N365" s="157"/>
    </row>
    <row r="366" spans="2:14" x14ac:dyDescent="0.2">
      <c r="B366" s="167"/>
      <c r="C366" s="166"/>
      <c r="D366" s="165"/>
      <c r="E366" s="165"/>
      <c r="F366" s="96"/>
      <c r="G366" s="165"/>
      <c r="H366" s="97"/>
      <c r="I366" s="163"/>
      <c r="J366" s="164"/>
      <c r="K366" s="163"/>
      <c r="L366" s="162"/>
      <c r="M366" s="161"/>
      <c r="N366" s="157"/>
    </row>
    <row r="367" spans="2:14" x14ac:dyDescent="0.2">
      <c r="B367" s="167"/>
      <c r="C367" s="166"/>
      <c r="D367" s="165"/>
      <c r="E367" s="165"/>
      <c r="F367" s="96"/>
      <c r="G367" s="165"/>
      <c r="H367" s="97"/>
      <c r="I367" s="163"/>
      <c r="J367" s="164"/>
      <c r="K367" s="163"/>
      <c r="L367" s="162"/>
      <c r="M367" s="161"/>
      <c r="N367" s="157"/>
    </row>
    <row r="368" spans="2:14" x14ac:dyDescent="0.2">
      <c r="B368" s="167"/>
      <c r="C368" s="166"/>
      <c r="D368" s="165"/>
      <c r="E368" s="165"/>
      <c r="F368" s="96"/>
      <c r="G368" s="165"/>
      <c r="H368" s="97"/>
      <c r="I368" s="163"/>
      <c r="J368" s="164"/>
      <c r="K368" s="163"/>
      <c r="L368" s="162"/>
      <c r="M368" s="161"/>
      <c r="N368" s="157"/>
    </row>
    <row r="369" spans="2:14" x14ac:dyDescent="0.2">
      <c r="B369" s="167"/>
      <c r="C369" s="166"/>
      <c r="D369" s="165"/>
      <c r="E369" s="165"/>
      <c r="F369" s="96"/>
      <c r="G369" s="165"/>
      <c r="H369" s="97"/>
      <c r="I369" s="163"/>
      <c r="J369" s="164"/>
      <c r="K369" s="163"/>
      <c r="L369" s="162"/>
      <c r="M369" s="161"/>
      <c r="N369" s="157"/>
    </row>
    <row r="370" spans="2:14" x14ac:dyDescent="0.2">
      <c r="B370" s="167"/>
      <c r="C370" s="166"/>
      <c r="D370" s="165"/>
      <c r="E370" s="165"/>
      <c r="F370" s="96"/>
      <c r="G370" s="165"/>
      <c r="H370" s="97"/>
      <c r="I370" s="163"/>
      <c r="J370" s="164"/>
      <c r="K370" s="163"/>
      <c r="L370" s="162"/>
      <c r="M370" s="161"/>
      <c r="N370" s="157"/>
    </row>
    <row r="371" spans="2:14" x14ac:dyDescent="0.2">
      <c r="B371" s="167"/>
      <c r="C371" s="166"/>
      <c r="D371" s="165"/>
      <c r="E371" s="165"/>
      <c r="F371" s="96"/>
      <c r="G371" s="165"/>
      <c r="H371" s="97"/>
      <c r="I371" s="96"/>
      <c r="J371" s="96"/>
      <c r="K371" s="96"/>
      <c r="L371" s="162"/>
      <c r="M371" s="161"/>
      <c r="N371" s="157"/>
    </row>
    <row r="372" spans="2:14" x14ac:dyDescent="0.2">
      <c r="B372" s="167"/>
      <c r="C372" s="166"/>
      <c r="D372" s="165"/>
      <c r="E372" s="165"/>
      <c r="F372" s="96"/>
      <c r="G372" s="165"/>
      <c r="H372" s="97"/>
      <c r="I372" s="96"/>
      <c r="J372" s="96"/>
      <c r="K372" s="96"/>
      <c r="L372" s="162"/>
      <c r="M372" s="161"/>
      <c r="N372" s="157"/>
    </row>
    <row r="373" spans="2:14" x14ac:dyDescent="0.2">
      <c r="B373" s="167"/>
      <c r="C373" s="166"/>
      <c r="D373" s="165"/>
      <c r="E373" s="165"/>
      <c r="F373" s="96"/>
      <c r="G373" s="165"/>
      <c r="H373" s="97"/>
      <c r="I373" s="163"/>
      <c r="J373" s="164"/>
      <c r="K373" s="163"/>
      <c r="L373" s="162"/>
      <c r="M373" s="161"/>
      <c r="N373" s="157"/>
    </row>
    <row r="374" spans="2:14" x14ac:dyDescent="0.2">
      <c r="B374" s="160"/>
      <c r="C374" s="159"/>
      <c r="D374" s="87"/>
      <c r="E374" s="87"/>
      <c r="F374" s="79"/>
      <c r="G374" s="87"/>
      <c r="H374" s="80"/>
      <c r="I374" s="79"/>
      <c r="J374" s="79"/>
      <c r="K374" s="79"/>
      <c r="L374" s="88"/>
      <c r="M374" s="158"/>
      <c r="N374" s="157"/>
    </row>
    <row r="375" spans="2:14" x14ac:dyDescent="0.2">
      <c r="B375" s="160"/>
      <c r="C375" s="159"/>
      <c r="D375" s="87"/>
      <c r="E375" s="87"/>
      <c r="F375" s="79"/>
      <c r="G375" s="87"/>
      <c r="H375" s="80"/>
      <c r="I375" s="79"/>
      <c r="J375" s="79"/>
      <c r="K375" s="79"/>
      <c r="L375" s="88"/>
      <c r="M375" s="158"/>
      <c r="N375" s="157"/>
    </row>
    <row r="376" spans="2:14" x14ac:dyDescent="0.2">
      <c r="B376" s="167"/>
      <c r="C376" s="166"/>
      <c r="D376" s="165"/>
      <c r="E376" s="165"/>
      <c r="F376" s="96"/>
      <c r="G376" s="165"/>
      <c r="H376" s="97"/>
      <c r="I376" s="163"/>
      <c r="J376" s="164"/>
      <c r="K376" s="163"/>
      <c r="L376" s="162"/>
      <c r="M376" s="161"/>
      <c r="N376" s="157"/>
    </row>
    <row r="377" spans="2:14" x14ac:dyDescent="0.2">
      <c r="B377" s="167"/>
      <c r="C377" s="166"/>
      <c r="D377" s="165"/>
      <c r="E377" s="165"/>
      <c r="F377" s="96"/>
      <c r="G377" s="165"/>
      <c r="H377" s="97"/>
      <c r="I377" s="163"/>
      <c r="J377" s="164"/>
      <c r="K377" s="163"/>
      <c r="L377" s="162"/>
      <c r="M377" s="161"/>
      <c r="N377" s="157"/>
    </row>
    <row r="378" spans="2:14" x14ac:dyDescent="0.2">
      <c r="B378" s="160"/>
      <c r="C378" s="159"/>
      <c r="D378" s="87"/>
      <c r="E378" s="87"/>
      <c r="F378" s="79"/>
      <c r="G378" s="87"/>
      <c r="H378" s="80"/>
      <c r="I378" s="79"/>
      <c r="J378" s="79"/>
      <c r="K378" s="79"/>
      <c r="L378" s="88"/>
      <c r="M378" s="158"/>
      <c r="N378" s="157"/>
    </row>
    <row r="379" spans="2:14" x14ac:dyDescent="0.2">
      <c r="B379" s="167"/>
      <c r="C379" s="166"/>
      <c r="D379" s="165"/>
      <c r="E379" s="165"/>
      <c r="F379" s="96"/>
      <c r="G379" s="165"/>
      <c r="H379" s="97"/>
      <c r="I379" s="163"/>
      <c r="J379" s="164"/>
      <c r="K379" s="163"/>
      <c r="L379" s="162"/>
      <c r="M379" s="161"/>
      <c r="N379" s="157"/>
    </row>
    <row r="380" spans="2:14" x14ac:dyDescent="0.2">
      <c r="B380" s="167"/>
      <c r="C380" s="166"/>
      <c r="D380" s="165"/>
      <c r="E380" s="165"/>
      <c r="F380" s="96"/>
      <c r="G380" s="165"/>
      <c r="H380" s="97"/>
      <c r="I380" s="163"/>
      <c r="J380" s="164"/>
      <c r="K380" s="163"/>
      <c r="L380" s="162"/>
      <c r="M380" s="161"/>
      <c r="N380" s="157"/>
    </row>
    <row r="381" spans="2:14" x14ac:dyDescent="0.2">
      <c r="B381" s="167"/>
      <c r="C381" s="166"/>
      <c r="D381" s="165"/>
      <c r="E381" s="165"/>
      <c r="F381" s="96"/>
      <c r="G381" s="165"/>
      <c r="H381" s="97"/>
      <c r="I381" s="163"/>
      <c r="J381" s="164"/>
      <c r="K381" s="163"/>
      <c r="L381" s="162"/>
      <c r="M381" s="161"/>
      <c r="N381" s="157"/>
    </row>
    <row r="382" spans="2:14" x14ac:dyDescent="0.2">
      <c r="B382" s="160"/>
      <c r="C382" s="159"/>
      <c r="D382" s="87"/>
      <c r="E382" s="87"/>
      <c r="F382" s="79"/>
      <c r="G382" s="87"/>
      <c r="H382" s="80"/>
      <c r="I382" s="79"/>
      <c r="J382" s="79"/>
      <c r="K382" s="79"/>
      <c r="L382" s="88"/>
      <c r="M382" s="158"/>
      <c r="N382" s="157"/>
    </row>
    <row r="383" spans="2:14" x14ac:dyDescent="0.2">
      <c r="B383" s="160"/>
      <c r="C383" s="159"/>
      <c r="D383" s="87"/>
      <c r="E383" s="87"/>
      <c r="F383" s="79"/>
      <c r="G383" s="87"/>
      <c r="H383" s="80"/>
      <c r="I383" s="79"/>
      <c r="J383" s="79"/>
      <c r="K383" s="79"/>
      <c r="L383" s="88"/>
      <c r="M383" s="158"/>
      <c r="N383" s="157"/>
    </row>
    <row r="384" spans="2:14" x14ac:dyDescent="0.2">
      <c r="B384" s="160"/>
      <c r="C384" s="166"/>
      <c r="D384" s="165"/>
      <c r="E384" s="165"/>
      <c r="F384" s="96"/>
      <c r="G384" s="165"/>
      <c r="H384" s="97"/>
      <c r="I384" s="163"/>
      <c r="J384" s="164"/>
      <c r="K384" s="163"/>
      <c r="L384" s="162"/>
      <c r="M384" s="161"/>
      <c r="N384" s="157"/>
    </row>
    <row r="385" spans="2:14" x14ac:dyDescent="0.2">
      <c r="B385" s="160"/>
      <c r="C385" s="166"/>
      <c r="D385" s="165"/>
      <c r="E385" s="165"/>
      <c r="F385" s="96"/>
      <c r="G385" s="165"/>
      <c r="H385" s="97"/>
      <c r="I385" s="163"/>
      <c r="J385" s="164"/>
      <c r="K385" s="163"/>
      <c r="L385" s="162"/>
      <c r="M385" s="161"/>
      <c r="N385" s="157"/>
    </row>
    <row r="386" spans="2:14" x14ac:dyDescent="0.2">
      <c r="B386" s="160"/>
      <c r="C386" s="166"/>
      <c r="D386" s="165"/>
      <c r="E386" s="165"/>
      <c r="F386" s="96"/>
      <c r="G386" s="165"/>
      <c r="H386" s="97"/>
      <c r="I386" s="163"/>
      <c r="J386" s="164"/>
      <c r="K386" s="163"/>
      <c r="L386" s="162"/>
      <c r="M386" s="161"/>
      <c r="N386" s="157"/>
    </row>
    <row r="387" spans="2:14" x14ac:dyDescent="0.2">
      <c r="B387" s="167"/>
      <c r="C387" s="166"/>
      <c r="D387" s="165"/>
      <c r="E387" s="165"/>
      <c r="F387" s="96"/>
      <c r="G387" s="165"/>
      <c r="H387" s="97"/>
      <c r="I387" s="163"/>
      <c r="J387" s="164"/>
      <c r="K387" s="163"/>
      <c r="L387" s="162"/>
      <c r="M387" s="161"/>
      <c r="N387" s="157"/>
    </row>
    <row r="388" spans="2:14" x14ac:dyDescent="0.2">
      <c r="B388" s="160"/>
      <c r="C388" s="159"/>
      <c r="D388" s="87"/>
      <c r="E388" s="87"/>
      <c r="F388" s="79"/>
      <c r="G388" s="87"/>
      <c r="H388" s="80"/>
      <c r="I388" s="79"/>
      <c r="J388" s="79"/>
      <c r="K388" s="79"/>
      <c r="L388" s="88"/>
      <c r="M388" s="158"/>
      <c r="N388" s="157"/>
    </row>
    <row r="389" spans="2:14" x14ac:dyDescent="0.2">
      <c r="B389" s="167"/>
      <c r="C389" s="166"/>
      <c r="D389" s="165"/>
      <c r="E389" s="165"/>
      <c r="F389" s="96"/>
      <c r="G389" s="165"/>
      <c r="H389" s="97"/>
      <c r="I389" s="163"/>
      <c r="J389" s="164"/>
      <c r="K389" s="163"/>
      <c r="L389" s="162"/>
      <c r="M389" s="161"/>
      <c r="N389" s="157"/>
    </row>
    <row r="390" spans="2:14" x14ac:dyDescent="0.2">
      <c r="B390" s="167"/>
      <c r="C390" s="166"/>
      <c r="D390" s="165"/>
      <c r="E390" s="165"/>
      <c r="F390" s="96"/>
      <c r="G390" s="165"/>
      <c r="H390" s="97"/>
      <c r="I390" s="163"/>
      <c r="J390" s="164"/>
      <c r="K390" s="163"/>
      <c r="L390" s="162"/>
      <c r="M390" s="161"/>
      <c r="N390" s="157"/>
    </row>
    <row r="391" spans="2:14" x14ac:dyDescent="0.2">
      <c r="B391" s="160"/>
      <c r="C391" s="159"/>
      <c r="D391" s="87"/>
      <c r="E391" s="87"/>
      <c r="F391" s="79"/>
      <c r="G391" s="87"/>
      <c r="H391" s="80"/>
      <c r="I391" s="79"/>
      <c r="J391" s="79"/>
      <c r="K391" s="79"/>
      <c r="L391" s="88"/>
      <c r="M391" s="158"/>
      <c r="N391" s="157"/>
    </row>
    <row r="392" spans="2:14" x14ac:dyDescent="0.2">
      <c r="B392" s="160"/>
      <c r="C392" s="159"/>
      <c r="D392" s="87"/>
      <c r="E392" s="87"/>
      <c r="F392" s="79"/>
      <c r="G392" s="87"/>
      <c r="H392" s="80"/>
      <c r="I392" s="79"/>
      <c r="J392" s="79"/>
      <c r="K392" s="79"/>
      <c r="L392" s="88"/>
      <c r="M392" s="158"/>
      <c r="N392" s="157"/>
    </row>
    <row r="393" spans="2:14" x14ac:dyDescent="0.2">
      <c r="B393" s="167"/>
      <c r="C393" s="166"/>
      <c r="D393" s="165"/>
      <c r="E393" s="165"/>
      <c r="F393" s="96"/>
      <c r="G393" s="165"/>
      <c r="H393" s="97"/>
      <c r="I393" s="163"/>
      <c r="J393" s="164"/>
      <c r="K393" s="163"/>
      <c r="L393" s="162"/>
      <c r="M393" s="161"/>
      <c r="N393" s="157"/>
    </row>
    <row r="394" spans="2:14" x14ac:dyDescent="0.2">
      <c r="B394" s="160"/>
      <c r="C394" s="159"/>
      <c r="D394" s="87"/>
      <c r="E394" s="87"/>
      <c r="F394" s="79"/>
      <c r="G394" s="87"/>
      <c r="H394" s="80"/>
      <c r="I394" s="79"/>
      <c r="J394" s="79"/>
      <c r="K394" s="79"/>
      <c r="L394" s="88"/>
      <c r="M394" s="158"/>
      <c r="N394" s="157"/>
    </row>
    <row r="395" spans="2:14" x14ac:dyDescent="0.2">
      <c r="B395" s="167"/>
      <c r="C395" s="166"/>
      <c r="D395" s="165"/>
      <c r="E395" s="165"/>
      <c r="F395" s="96"/>
      <c r="G395" s="165"/>
      <c r="H395" s="97"/>
      <c r="I395" s="163"/>
      <c r="J395" s="164"/>
      <c r="K395" s="163"/>
      <c r="L395" s="162"/>
      <c r="M395" s="161"/>
      <c r="N395" s="157"/>
    </row>
    <row r="396" spans="2:14" x14ac:dyDescent="0.2">
      <c r="B396" s="167"/>
      <c r="C396" s="166"/>
      <c r="D396" s="165"/>
      <c r="E396" s="165"/>
      <c r="F396" s="96"/>
      <c r="G396" s="165"/>
      <c r="H396" s="97"/>
      <c r="I396" s="163"/>
      <c r="J396" s="164"/>
      <c r="K396" s="163"/>
      <c r="L396" s="162"/>
      <c r="M396" s="161"/>
      <c r="N396" s="157"/>
    </row>
    <row r="397" spans="2:14" x14ac:dyDescent="0.2">
      <c r="B397" s="167"/>
      <c r="C397" s="166"/>
      <c r="D397" s="165"/>
      <c r="E397" s="165"/>
      <c r="F397" s="96"/>
      <c r="G397" s="165"/>
      <c r="H397" s="97"/>
      <c r="I397" s="163"/>
      <c r="J397" s="164"/>
      <c r="K397" s="163"/>
      <c r="L397" s="162"/>
      <c r="M397" s="161"/>
      <c r="N397" s="157"/>
    </row>
    <row r="398" spans="2:14" x14ac:dyDescent="0.2">
      <c r="B398" s="160"/>
      <c r="C398" s="159"/>
      <c r="D398" s="87"/>
      <c r="E398" s="87"/>
      <c r="F398" s="79"/>
      <c r="G398" s="87"/>
      <c r="H398" s="80"/>
      <c r="I398" s="79"/>
      <c r="J398" s="79"/>
      <c r="K398" s="79"/>
      <c r="L398" s="88"/>
      <c r="M398" s="158"/>
      <c r="N398" s="157"/>
    </row>
    <row r="399" spans="2:14" x14ac:dyDescent="0.2">
      <c r="B399" s="167"/>
      <c r="C399" s="166"/>
      <c r="D399" s="165"/>
      <c r="E399" s="165"/>
      <c r="F399" s="96"/>
      <c r="G399" s="165"/>
      <c r="H399" s="97"/>
      <c r="I399" s="163"/>
      <c r="J399" s="164"/>
      <c r="K399" s="163"/>
      <c r="L399" s="162"/>
      <c r="M399" s="161"/>
      <c r="N399" s="157"/>
    </row>
    <row r="400" spans="2:14" x14ac:dyDescent="0.2">
      <c r="B400" s="167"/>
      <c r="C400" s="166"/>
      <c r="D400" s="165"/>
      <c r="E400" s="165"/>
      <c r="F400" s="96"/>
      <c r="G400" s="165"/>
      <c r="H400" s="97"/>
      <c r="I400" s="163"/>
      <c r="J400" s="164"/>
      <c r="K400" s="163"/>
      <c r="L400" s="162"/>
      <c r="M400" s="161"/>
      <c r="N400" s="157"/>
    </row>
    <row r="401" spans="2:14" x14ac:dyDescent="0.2">
      <c r="B401" s="167"/>
      <c r="C401" s="166"/>
      <c r="D401" s="165"/>
      <c r="E401" s="165"/>
      <c r="F401" s="96"/>
      <c r="G401" s="165"/>
      <c r="H401" s="97"/>
      <c r="I401" s="163"/>
      <c r="J401" s="164"/>
      <c r="K401" s="163"/>
      <c r="L401" s="162"/>
      <c r="M401" s="161"/>
      <c r="N401" s="157"/>
    </row>
    <row r="402" spans="2:14" x14ac:dyDescent="0.2">
      <c r="B402" s="167"/>
      <c r="C402" s="166"/>
      <c r="D402" s="165"/>
      <c r="E402" s="165"/>
      <c r="F402" s="96"/>
      <c r="G402" s="165"/>
      <c r="H402" s="97"/>
      <c r="I402" s="163"/>
      <c r="J402" s="164"/>
      <c r="K402" s="163"/>
      <c r="L402" s="162"/>
      <c r="M402" s="161"/>
      <c r="N402" s="157"/>
    </row>
    <row r="403" spans="2:14" x14ac:dyDescent="0.2">
      <c r="B403" s="167"/>
      <c r="C403" s="166"/>
      <c r="D403" s="165"/>
      <c r="E403" s="165"/>
      <c r="F403" s="96"/>
      <c r="G403" s="165"/>
      <c r="H403" s="97"/>
      <c r="I403" s="163"/>
      <c r="J403" s="164"/>
      <c r="K403" s="163"/>
      <c r="L403" s="162"/>
      <c r="M403" s="161"/>
      <c r="N403" s="157"/>
    </row>
    <row r="404" spans="2:14" x14ac:dyDescent="0.2">
      <c r="B404" s="167"/>
      <c r="C404" s="166"/>
      <c r="D404" s="165"/>
      <c r="E404" s="165"/>
      <c r="F404" s="96"/>
      <c r="G404" s="165"/>
      <c r="H404" s="97"/>
      <c r="I404" s="163"/>
      <c r="J404" s="164"/>
      <c r="K404" s="163"/>
      <c r="L404" s="162"/>
      <c r="M404" s="161"/>
      <c r="N404" s="157"/>
    </row>
    <row r="405" spans="2:14" x14ac:dyDescent="0.2">
      <c r="B405" s="160"/>
      <c r="C405" s="159"/>
      <c r="D405" s="87"/>
      <c r="E405" s="87"/>
      <c r="F405" s="79"/>
      <c r="G405" s="87"/>
      <c r="H405" s="80"/>
      <c r="I405" s="79"/>
      <c r="J405" s="79"/>
      <c r="K405" s="79"/>
      <c r="L405" s="88"/>
      <c r="M405" s="158"/>
      <c r="N405" s="157"/>
    </row>
    <row r="406" spans="2:14" x14ac:dyDescent="0.2">
      <c r="B406" s="167"/>
      <c r="C406" s="166"/>
      <c r="D406" s="165"/>
      <c r="E406" s="165"/>
      <c r="F406" s="96"/>
      <c r="G406" s="165"/>
      <c r="H406" s="97"/>
      <c r="I406" s="163"/>
      <c r="J406" s="164"/>
      <c r="K406" s="163"/>
      <c r="L406" s="162"/>
      <c r="M406" s="161"/>
      <c r="N406" s="157"/>
    </row>
    <row r="407" spans="2:14" x14ac:dyDescent="0.2">
      <c r="B407" s="167"/>
      <c r="C407" s="166"/>
      <c r="D407" s="165"/>
      <c r="E407" s="165"/>
      <c r="F407" s="96"/>
      <c r="G407" s="165"/>
      <c r="H407" s="97"/>
      <c r="I407" s="163"/>
      <c r="J407" s="164"/>
      <c r="K407" s="163"/>
      <c r="L407" s="162"/>
      <c r="M407" s="161"/>
      <c r="N407" s="157"/>
    </row>
    <row r="408" spans="2:14" x14ac:dyDescent="0.2">
      <c r="B408" s="160"/>
      <c r="C408" s="159"/>
      <c r="D408" s="87"/>
      <c r="E408" s="87"/>
      <c r="F408" s="79"/>
      <c r="G408" s="87"/>
      <c r="H408" s="80"/>
      <c r="I408" s="79"/>
      <c r="J408" s="79"/>
      <c r="K408" s="79"/>
      <c r="L408" s="88"/>
      <c r="M408" s="158"/>
      <c r="N408" s="157"/>
    </row>
    <row r="409" spans="2:14" x14ac:dyDescent="0.2">
      <c r="B409" s="167"/>
      <c r="C409" s="166"/>
      <c r="D409" s="165"/>
      <c r="E409" s="165"/>
      <c r="F409" s="96"/>
      <c r="G409" s="165"/>
      <c r="H409" s="97"/>
      <c r="I409" s="163"/>
      <c r="J409" s="164"/>
      <c r="K409" s="163"/>
      <c r="L409" s="162"/>
      <c r="M409" s="161"/>
      <c r="N409" s="157"/>
    </row>
    <row r="410" spans="2:14" x14ac:dyDescent="0.2">
      <c r="B410" s="167"/>
      <c r="C410" s="166"/>
      <c r="D410" s="165"/>
      <c r="E410" s="165"/>
      <c r="F410" s="96"/>
      <c r="G410" s="165"/>
      <c r="H410" s="97"/>
      <c r="I410" s="163"/>
      <c r="J410" s="164"/>
      <c r="K410" s="163"/>
      <c r="L410" s="162"/>
      <c r="M410" s="161"/>
      <c r="N410" s="157"/>
    </row>
    <row r="411" spans="2:14" x14ac:dyDescent="0.2">
      <c r="B411" s="160"/>
      <c r="C411" s="159"/>
      <c r="D411" s="87"/>
      <c r="E411" s="87"/>
      <c r="F411" s="79"/>
      <c r="G411" s="87"/>
      <c r="H411" s="80"/>
      <c r="I411" s="79"/>
      <c r="J411" s="79"/>
      <c r="K411" s="79"/>
      <c r="L411" s="88"/>
      <c r="M411" s="158"/>
      <c r="N411" s="157"/>
    </row>
    <row r="412" spans="2:14" x14ac:dyDescent="0.2">
      <c r="B412" s="160"/>
      <c r="C412" s="159"/>
      <c r="D412" s="87"/>
      <c r="E412" s="87"/>
      <c r="F412" s="79"/>
      <c r="G412" s="87"/>
      <c r="H412" s="80"/>
      <c r="I412" s="168"/>
      <c r="J412" s="169"/>
      <c r="K412" s="168"/>
      <c r="L412" s="88"/>
      <c r="M412" s="158"/>
      <c r="N412" s="157"/>
    </row>
    <row r="413" spans="2:14" x14ac:dyDescent="0.2">
      <c r="B413" s="167"/>
      <c r="C413" s="166"/>
      <c r="D413" s="165"/>
      <c r="E413" s="165"/>
      <c r="F413" s="96"/>
      <c r="G413" s="165"/>
      <c r="H413" s="97"/>
      <c r="I413" s="163"/>
      <c r="J413" s="164"/>
      <c r="K413" s="163"/>
      <c r="L413" s="162"/>
      <c r="M413" s="161"/>
      <c r="N413" s="157"/>
    </row>
    <row r="414" spans="2:14" x14ac:dyDescent="0.2">
      <c r="B414" s="160"/>
      <c r="C414" s="159"/>
      <c r="D414" s="87"/>
      <c r="E414" s="87"/>
      <c r="F414" s="79"/>
      <c r="G414" s="87"/>
      <c r="H414" s="80"/>
      <c r="I414" s="79"/>
      <c r="J414" s="79"/>
      <c r="K414" s="79"/>
      <c r="L414" s="88"/>
      <c r="M414" s="158"/>
      <c r="N414" s="157"/>
    </row>
    <row r="415" spans="2:14" x14ac:dyDescent="0.2">
      <c r="B415" s="160"/>
      <c r="C415" s="159"/>
      <c r="D415" s="87"/>
      <c r="E415" s="87"/>
      <c r="F415" s="79"/>
      <c r="G415" s="87"/>
      <c r="H415" s="80"/>
      <c r="I415" s="168"/>
      <c r="J415" s="169"/>
      <c r="K415" s="168"/>
      <c r="L415" s="88"/>
      <c r="M415" s="158"/>
      <c r="N415" s="157"/>
    </row>
    <row r="416" spans="2:14" x14ac:dyDescent="0.2">
      <c r="B416" s="167"/>
      <c r="C416" s="166"/>
      <c r="D416" s="165"/>
      <c r="E416" s="165"/>
      <c r="F416" s="96"/>
      <c r="G416" s="165"/>
      <c r="H416" s="97"/>
      <c r="I416" s="163"/>
      <c r="J416" s="164"/>
      <c r="K416" s="163"/>
      <c r="L416" s="162"/>
      <c r="M416" s="161"/>
      <c r="N416" s="157"/>
    </row>
    <row r="417" spans="2:14" x14ac:dyDescent="0.2">
      <c r="B417" s="160"/>
      <c r="C417" s="159"/>
      <c r="D417" s="87"/>
      <c r="E417" s="87"/>
      <c r="F417" s="79"/>
      <c r="G417" s="87"/>
      <c r="H417" s="80"/>
      <c r="I417" s="79"/>
      <c r="J417" s="79"/>
      <c r="K417" s="79"/>
      <c r="L417" s="88"/>
      <c r="M417" s="158"/>
      <c r="N417" s="157"/>
    </row>
    <row r="418" spans="2:14" x14ac:dyDescent="0.2">
      <c r="B418" s="160"/>
      <c r="C418" s="159"/>
      <c r="D418" s="87"/>
      <c r="E418" s="87"/>
      <c r="F418" s="79"/>
      <c r="G418" s="87"/>
      <c r="H418" s="80"/>
      <c r="I418" s="79"/>
      <c r="J418" s="79"/>
      <c r="K418" s="79"/>
      <c r="L418" s="88"/>
      <c r="M418" s="158"/>
      <c r="N418" s="157"/>
    </row>
    <row r="419" spans="2:14" x14ac:dyDescent="0.2">
      <c r="B419" s="167"/>
      <c r="C419" s="166"/>
      <c r="D419" s="165"/>
      <c r="E419" s="165"/>
      <c r="F419" s="96"/>
      <c r="G419" s="165"/>
      <c r="H419" s="97"/>
      <c r="I419" s="163"/>
      <c r="J419" s="164"/>
      <c r="K419" s="163"/>
      <c r="L419" s="162"/>
      <c r="M419" s="161"/>
      <c r="N419" s="157"/>
    </row>
    <row r="420" spans="2:14" x14ac:dyDescent="0.2">
      <c r="B420" s="160"/>
      <c r="C420" s="159"/>
      <c r="D420" s="87"/>
      <c r="E420" s="87"/>
      <c r="F420" s="79"/>
      <c r="G420" s="87"/>
      <c r="H420" s="80"/>
      <c r="I420" s="79"/>
      <c r="J420" s="79"/>
      <c r="K420" s="79"/>
      <c r="L420" s="88"/>
      <c r="M420" s="158"/>
      <c r="N420" s="157"/>
    </row>
    <row r="421" spans="2:14" x14ac:dyDescent="0.2">
      <c r="B421" s="160"/>
      <c r="C421" s="159"/>
      <c r="D421" s="87"/>
      <c r="E421" s="87"/>
      <c r="F421" s="79"/>
      <c r="G421" s="87"/>
      <c r="H421" s="80"/>
      <c r="I421" s="168"/>
      <c r="J421" s="169"/>
      <c r="K421" s="168"/>
      <c r="L421" s="88"/>
      <c r="M421" s="158"/>
      <c r="N421" s="157"/>
    </row>
    <row r="422" spans="2:14" x14ac:dyDescent="0.2">
      <c r="B422" s="167"/>
      <c r="C422" s="166"/>
      <c r="D422" s="165"/>
      <c r="E422" s="165"/>
      <c r="F422" s="96"/>
      <c r="G422" s="165"/>
      <c r="H422" s="97"/>
      <c r="I422" s="163"/>
      <c r="J422" s="164"/>
      <c r="K422" s="163"/>
      <c r="L422" s="162"/>
      <c r="M422" s="161"/>
      <c r="N422" s="157"/>
    </row>
    <row r="423" spans="2:14" x14ac:dyDescent="0.2">
      <c r="B423" s="167"/>
      <c r="C423" s="166"/>
      <c r="D423" s="165"/>
      <c r="E423" s="165"/>
      <c r="F423" s="96"/>
      <c r="G423" s="165"/>
      <c r="H423" s="97"/>
      <c r="I423" s="163"/>
      <c r="J423" s="164"/>
      <c r="K423" s="163"/>
      <c r="L423" s="162"/>
      <c r="M423" s="161"/>
      <c r="N423" s="157"/>
    </row>
    <row r="424" spans="2:14" x14ac:dyDescent="0.2">
      <c r="B424" s="167"/>
      <c r="C424" s="166"/>
      <c r="D424" s="165"/>
      <c r="E424" s="165"/>
      <c r="F424" s="96"/>
      <c r="G424" s="165"/>
      <c r="H424" s="97"/>
      <c r="I424" s="163"/>
      <c r="J424" s="164"/>
      <c r="K424" s="163"/>
      <c r="L424" s="162"/>
      <c r="M424" s="161"/>
      <c r="N424" s="157"/>
    </row>
    <row r="425" spans="2:14" x14ac:dyDescent="0.2">
      <c r="B425" s="160"/>
      <c r="C425" s="159"/>
      <c r="D425" s="87"/>
      <c r="E425" s="87"/>
      <c r="F425" s="79"/>
      <c r="G425" s="87"/>
      <c r="H425" s="80"/>
      <c r="I425" s="79"/>
      <c r="J425" s="79"/>
      <c r="K425" s="79"/>
      <c r="L425" s="88"/>
      <c r="M425" s="158"/>
      <c r="N425" s="157"/>
    </row>
    <row r="426" spans="2:14" x14ac:dyDescent="0.2">
      <c r="B426" s="160"/>
      <c r="C426" s="159"/>
      <c r="D426" s="87"/>
      <c r="E426" s="87"/>
      <c r="F426" s="79"/>
      <c r="G426" s="87"/>
      <c r="H426" s="80"/>
      <c r="I426" s="168"/>
      <c r="J426" s="169"/>
      <c r="K426" s="168"/>
      <c r="L426" s="88"/>
      <c r="M426" s="158"/>
      <c r="N426" s="157"/>
    </row>
    <row r="427" spans="2:14" x14ac:dyDescent="0.2">
      <c r="B427" s="167"/>
      <c r="C427" s="166"/>
      <c r="D427" s="165"/>
      <c r="E427" s="165"/>
      <c r="F427" s="96"/>
      <c r="G427" s="165"/>
      <c r="H427" s="97"/>
      <c r="I427" s="163"/>
      <c r="J427" s="164"/>
      <c r="K427" s="163"/>
      <c r="L427" s="162"/>
      <c r="M427" s="161"/>
      <c r="N427" s="157"/>
    </row>
    <row r="428" spans="2:14" x14ac:dyDescent="0.2">
      <c r="B428" s="160"/>
      <c r="C428" s="159"/>
      <c r="D428" s="87"/>
      <c r="E428" s="87"/>
      <c r="F428" s="79"/>
      <c r="G428" s="87"/>
      <c r="H428" s="80"/>
      <c r="I428" s="79"/>
      <c r="J428" s="79"/>
      <c r="K428" s="79"/>
      <c r="L428" s="88"/>
      <c r="M428" s="158"/>
      <c r="N428" s="157"/>
    </row>
    <row r="429" spans="2:14" x14ac:dyDescent="0.2">
      <c r="B429" s="160"/>
      <c r="C429" s="159"/>
      <c r="D429" s="87"/>
      <c r="E429" s="87"/>
      <c r="F429" s="79"/>
      <c r="G429" s="87"/>
      <c r="H429" s="80"/>
      <c r="I429" s="168"/>
      <c r="J429" s="169"/>
      <c r="K429" s="168"/>
      <c r="L429" s="88"/>
      <c r="M429" s="158"/>
      <c r="N429" s="157"/>
    </row>
    <row r="430" spans="2:14" x14ac:dyDescent="0.2">
      <c r="B430" s="167"/>
      <c r="C430" s="166"/>
      <c r="D430" s="165"/>
      <c r="E430" s="165"/>
      <c r="F430" s="96"/>
      <c r="G430" s="165"/>
      <c r="H430" s="97"/>
      <c r="I430" s="163"/>
      <c r="J430" s="164"/>
      <c r="K430" s="163"/>
      <c r="L430" s="162"/>
      <c r="M430" s="161"/>
      <c r="N430" s="157"/>
    </row>
    <row r="431" spans="2:14" x14ac:dyDescent="0.2">
      <c r="B431" s="160"/>
      <c r="C431" s="159"/>
      <c r="D431" s="87"/>
      <c r="E431" s="87"/>
      <c r="F431" s="79"/>
      <c r="G431" s="87"/>
      <c r="H431" s="80"/>
      <c r="I431" s="79"/>
      <c r="J431" s="79"/>
      <c r="K431" s="79"/>
      <c r="L431" s="88"/>
      <c r="M431" s="158"/>
      <c r="N431" s="157"/>
    </row>
    <row r="432" spans="2:14" x14ac:dyDescent="0.2">
      <c r="B432" s="156"/>
      <c r="C432" s="156"/>
      <c r="D432" s="156"/>
      <c r="E432" s="102"/>
      <c r="F432" s="102"/>
      <c r="G432" s="156"/>
      <c r="H432" s="156"/>
      <c r="I432" s="156"/>
      <c r="J432" s="156"/>
      <c r="K432" s="156"/>
      <c r="L432" s="102"/>
      <c r="M432" s="156"/>
      <c r="N432" s="156"/>
    </row>
    <row r="433" spans="7:12" x14ac:dyDescent="0.2">
      <c r="H433" s="151"/>
    </row>
    <row r="434" spans="7:12" x14ac:dyDescent="0.2">
      <c r="H434" s="151"/>
    </row>
    <row r="436" spans="7:12" x14ac:dyDescent="0.2">
      <c r="H436" s="151"/>
    </row>
    <row r="437" spans="7:12" x14ac:dyDescent="0.2">
      <c r="H437" s="151"/>
    </row>
    <row r="438" spans="7:12" x14ac:dyDescent="0.2">
      <c r="L438" s="155"/>
    </row>
    <row r="439" spans="7:12" x14ac:dyDescent="0.2">
      <c r="L439" s="155"/>
    </row>
    <row r="440" spans="7:12" x14ac:dyDescent="0.2">
      <c r="L440" s="154"/>
    </row>
    <row r="442" spans="7:12" x14ac:dyDescent="0.2">
      <c r="L442" s="153"/>
    </row>
    <row r="446" spans="7:12" x14ac:dyDescent="0.2">
      <c r="G446" s="151"/>
    </row>
    <row r="447" spans="7:12" x14ac:dyDescent="0.2">
      <c r="G447" s="152"/>
    </row>
    <row r="450" spans="7:7" x14ac:dyDescent="0.2">
      <c r="G450" s="151"/>
    </row>
  </sheetData>
  <sortState ref="A14:X21">
    <sortCondition descending="1" ref="S14:S21"/>
  </sortState>
  <conditionalFormatting sqref="E281:E282 E329:E330 E322 E312:E313 E284:E285 E325:E326 E108 E160 E333:E335">
    <cfRule type="containsText" dxfId="2062" priority="881" operator="containsText" text="Buy">
      <formula>NOT(ISERROR(SEARCH("Buy",E108)))</formula>
    </cfRule>
    <cfRule type="containsText" dxfId="2061" priority="882" operator="containsText" text="Sell">
      <formula>NOT(ISERROR(SEARCH("Sell",E108)))</formula>
    </cfRule>
  </conditionalFormatting>
  <conditionalFormatting sqref="E354:E355 E344:E345 E349">
    <cfRule type="containsText" dxfId="2060" priority="879" operator="containsText" text="Buy">
      <formula>NOT(ISERROR(SEARCH("Buy",E344)))</formula>
    </cfRule>
    <cfRule type="containsText" dxfId="2059" priority="880" operator="containsText" text="Sell">
      <formula>NOT(ISERROR(SEARCH("Sell",E344)))</formula>
    </cfRule>
  </conditionalFormatting>
  <conditionalFormatting sqref="E370:E372 E429 E426 E421 E415 E412 E409 E406 E399 E395 E389 E379">
    <cfRule type="containsText" dxfId="2058" priority="877" operator="containsText" text="Buy">
      <formula>NOT(ISERROR(SEARCH("Buy",E370)))</formula>
    </cfRule>
    <cfRule type="containsText" dxfId="2057" priority="878" operator="containsText" text="Sell">
      <formula>NOT(ISERROR(SEARCH("Sell",E370)))</formula>
    </cfRule>
  </conditionalFormatting>
  <conditionalFormatting sqref="E369">
    <cfRule type="containsText" dxfId="2056" priority="875" operator="containsText" text="Buy">
      <formula>NOT(ISERROR(SEARCH("Buy",E369)))</formula>
    </cfRule>
    <cfRule type="containsText" dxfId="2055" priority="876" operator="containsText" text="Sell">
      <formula>NOT(ISERROR(SEARCH("Sell",E369)))</formula>
    </cfRule>
  </conditionalFormatting>
  <conditionalFormatting sqref="E368">
    <cfRule type="containsText" dxfId="2054" priority="873" operator="containsText" text="Buy">
      <formula>NOT(ISERROR(SEARCH("Buy",E368)))</formula>
    </cfRule>
    <cfRule type="containsText" dxfId="2053" priority="874" operator="containsText" text="Sell">
      <formula>NOT(ISERROR(SEARCH("Sell",E368)))</formula>
    </cfRule>
  </conditionalFormatting>
  <conditionalFormatting sqref="E367">
    <cfRule type="containsText" dxfId="2052" priority="871" operator="containsText" text="Buy">
      <formula>NOT(ISERROR(SEARCH("Buy",E367)))</formula>
    </cfRule>
    <cfRule type="containsText" dxfId="2051" priority="872" operator="containsText" text="Sell">
      <formula>NOT(ISERROR(SEARCH("Sell",E367)))</formula>
    </cfRule>
  </conditionalFormatting>
  <conditionalFormatting sqref="E280">
    <cfRule type="containsText" dxfId="2050" priority="869" operator="containsText" text="Buy">
      <formula>NOT(ISERROR(SEARCH("Buy",E280)))</formula>
    </cfRule>
    <cfRule type="containsText" dxfId="2049" priority="870" operator="containsText" text="Sell">
      <formula>NOT(ISERROR(SEARCH("Sell",E280)))</formula>
    </cfRule>
  </conditionalFormatting>
  <conditionalFormatting sqref="E279">
    <cfRule type="containsText" dxfId="2048" priority="867" operator="containsText" text="Buy">
      <formula>NOT(ISERROR(SEARCH("Buy",E279)))</formula>
    </cfRule>
    <cfRule type="containsText" dxfId="2047" priority="868" operator="containsText" text="Sell">
      <formula>NOT(ISERROR(SEARCH("Sell",E279)))</formula>
    </cfRule>
  </conditionalFormatting>
  <conditionalFormatting sqref="E328">
    <cfRule type="containsText" dxfId="2046" priority="865" operator="containsText" text="Buy">
      <formula>NOT(ISERROR(SEARCH("Buy",E328)))</formula>
    </cfRule>
    <cfRule type="containsText" dxfId="2045" priority="866" operator="containsText" text="Sell">
      <formula>NOT(ISERROR(SEARCH("Sell",E328)))</formula>
    </cfRule>
  </conditionalFormatting>
  <conditionalFormatting sqref="E327">
    <cfRule type="containsText" dxfId="2044" priority="863" operator="containsText" text="Buy">
      <formula>NOT(ISERROR(SEARCH("Buy",E327)))</formula>
    </cfRule>
    <cfRule type="containsText" dxfId="2043" priority="864" operator="containsText" text="Sell">
      <formula>NOT(ISERROR(SEARCH("Sell",E327)))</formula>
    </cfRule>
  </conditionalFormatting>
  <conditionalFormatting sqref="E314:E316">
    <cfRule type="containsText" dxfId="2042" priority="861" operator="containsText" text="Buy">
      <formula>NOT(ISERROR(SEARCH("Buy",E314)))</formula>
    </cfRule>
    <cfRule type="containsText" dxfId="2041" priority="862" operator="containsText" text="Sell">
      <formula>NOT(ISERROR(SEARCH("Sell",E314)))</formula>
    </cfRule>
  </conditionalFormatting>
  <conditionalFormatting sqref="E311">
    <cfRule type="containsText" dxfId="2040" priority="859" operator="containsText" text="Buy">
      <formula>NOT(ISERROR(SEARCH("Buy",E311)))</formula>
    </cfRule>
    <cfRule type="containsText" dxfId="2039" priority="860" operator="containsText" text="Sell">
      <formula>NOT(ISERROR(SEARCH("Sell",E311)))</formula>
    </cfRule>
  </conditionalFormatting>
  <conditionalFormatting sqref="E310">
    <cfRule type="containsText" dxfId="2038" priority="857" operator="containsText" text="Buy">
      <formula>NOT(ISERROR(SEARCH("Buy",E310)))</formula>
    </cfRule>
    <cfRule type="containsText" dxfId="2037" priority="858" operator="containsText" text="Sell">
      <formula>NOT(ISERROR(SEARCH("Sell",E310)))</formula>
    </cfRule>
  </conditionalFormatting>
  <conditionalFormatting sqref="E309">
    <cfRule type="containsText" dxfId="2036" priority="855" operator="containsText" text="Buy">
      <formula>NOT(ISERROR(SEARCH("Buy",E309)))</formula>
    </cfRule>
    <cfRule type="containsText" dxfId="2035" priority="856" operator="containsText" text="Sell">
      <formula>NOT(ISERROR(SEARCH("Sell",E309)))</formula>
    </cfRule>
  </conditionalFormatting>
  <conditionalFormatting sqref="E308">
    <cfRule type="containsText" dxfId="2034" priority="853" operator="containsText" text="Buy">
      <formula>NOT(ISERROR(SEARCH("Buy",E308)))</formula>
    </cfRule>
    <cfRule type="containsText" dxfId="2033" priority="854" operator="containsText" text="Sell">
      <formula>NOT(ISERROR(SEARCH("Sell",E308)))</formula>
    </cfRule>
  </conditionalFormatting>
  <conditionalFormatting sqref="E307">
    <cfRule type="containsText" dxfId="2032" priority="851" operator="containsText" text="Buy">
      <formula>NOT(ISERROR(SEARCH("Buy",E307)))</formula>
    </cfRule>
    <cfRule type="containsText" dxfId="2031" priority="852" operator="containsText" text="Sell">
      <formula>NOT(ISERROR(SEARCH("Sell",E307)))</formula>
    </cfRule>
  </conditionalFormatting>
  <conditionalFormatting sqref="E306">
    <cfRule type="containsText" dxfId="2030" priority="849" operator="containsText" text="Buy">
      <formula>NOT(ISERROR(SEARCH("Buy",E306)))</formula>
    </cfRule>
    <cfRule type="containsText" dxfId="2029" priority="850" operator="containsText" text="Sell">
      <formula>NOT(ISERROR(SEARCH("Sell",E306)))</formula>
    </cfRule>
  </conditionalFormatting>
  <conditionalFormatting sqref="E305">
    <cfRule type="containsText" dxfId="2028" priority="847" operator="containsText" text="Buy">
      <formula>NOT(ISERROR(SEARCH("Buy",E305)))</formula>
    </cfRule>
    <cfRule type="containsText" dxfId="2027" priority="848" operator="containsText" text="Sell">
      <formula>NOT(ISERROR(SEARCH("Sell",E305)))</formula>
    </cfRule>
  </conditionalFormatting>
  <conditionalFormatting sqref="E298:E300">
    <cfRule type="containsText" dxfId="2026" priority="845" operator="containsText" text="Buy">
      <formula>NOT(ISERROR(SEARCH("Buy",E298)))</formula>
    </cfRule>
    <cfRule type="containsText" dxfId="2025" priority="846" operator="containsText" text="Sell">
      <formula>NOT(ISERROR(SEARCH("Sell",E298)))</formula>
    </cfRule>
  </conditionalFormatting>
  <conditionalFormatting sqref="E297">
    <cfRule type="containsText" dxfId="2024" priority="843" operator="containsText" text="Buy">
      <formula>NOT(ISERROR(SEARCH("Buy",E297)))</formula>
    </cfRule>
    <cfRule type="containsText" dxfId="2023" priority="844" operator="containsText" text="Sell">
      <formula>NOT(ISERROR(SEARCH("Sell",E297)))</formula>
    </cfRule>
  </conditionalFormatting>
  <conditionalFormatting sqref="E296">
    <cfRule type="containsText" dxfId="2022" priority="841" operator="containsText" text="Buy">
      <formula>NOT(ISERROR(SEARCH("Buy",E296)))</formula>
    </cfRule>
    <cfRule type="containsText" dxfId="2021" priority="842" operator="containsText" text="Sell">
      <formula>NOT(ISERROR(SEARCH("Sell",E296)))</formula>
    </cfRule>
  </conditionalFormatting>
  <conditionalFormatting sqref="E295">
    <cfRule type="containsText" dxfId="2020" priority="839" operator="containsText" text="Buy">
      <formula>NOT(ISERROR(SEARCH("Buy",E295)))</formula>
    </cfRule>
    <cfRule type="containsText" dxfId="2019" priority="840" operator="containsText" text="Sell">
      <formula>NOT(ISERROR(SEARCH("Sell",E295)))</formula>
    </cfRule>
  </conditionalFormatting>
  <conditionalFormatting sqref="E294">
    <cfRule type="containsText" dxfId="2018" priority="837" operator="containsText" text="Buy">
      <formula>NOT(ISERROR(SEARCH("Buy",E294)))</formula>
    </cfRule>
    <cfRule type="containsText" dxfId="2017" priority="838" operator="containsText" text="Sell">
      <formula>NOT(ISERROR(SEARCH("Sell",E294)))</formula>
    </cfRule>
  </conditionalFormatting>
  <conditionalFormatting sqref="E293">
    <cfRule type="containsText" dxfId="2016" priority="835" operator="containsText" text="Buy">
      <formula>NOT(ISERROR(SEARCH("Buy",E293)))</formula>
    </cfRule>
    <cfRule type="containsText" dxfId="2015" priority="836" operator="containsText" text="Sell">
      <formula>NOT(ISERROR(SEARCH("Sell",E293)))</formula>
    </cfRule>
  </conditionalFormatting>
  <conditionalFormatting sqref="E292">
    <cfRule type="containsText" dxfId="2014" priority="833" operator="containsText" text="Buy">
      <formula>NOT(ISERROR(SEARCH("Buy",E292)))</formula>
    </cfRule>
    <cfRule type="containsText" dxfId="2013" priority="834" operator="containsText" text="Sell">
      <formula>NOT(ISERROR(SEARCH("Sell",E292)))</formula>
    </cfRule>
  </conditionalFormatting>
  <conditionalFormatting sqref="E291">
    <cfRule type="containsText" dxfId="2012" priority="831" operator="containsText" text="Buy">
      <formula>NOT(ISERROR(SEARCH("Buy",E291)))</formula>
    </cfRule>
    <cfRule type="containsText" dxfId="2011" priority="832" operator="containsText" text="Sell">
      <formula>NOT(ISERROR(SEARCH("Sell",E291)))</formula>
    </cfRule>
  </conditionalFormatting>
  <conditionalFormatting sqref="E290">
    <cfRule type="containsText" dxfId="2010" priority="829" operator="containsText" text="Buy">
      <formula>NOT(ISERROR(SEARCH("Buy",E290)))</formula>
    </cfRule>
    <cfRule type="containsText" dxfId="2009" priority="830" operator="containsText" text="Sell">
      <formula>NOT(ISERROR(SEARCH("Sell",E290)))</formula>
    </cfRule>
  </conditionalFormatting>
  <conditionalFormatting sqref="E289">
    <cfRule type="containsText" dxfId="2008" priority="827" operator="containsText" text="Buy">
      <formula>NOT(ISERROR(SEARCH("Buy",E289)))</formula>
    </cfRule>
    <cfRule type="containsText" dxfId="2007" priority="828" operator="containsText" text="Sell">
      <formula>NOT(ISERROR(SEARCH("Sell",E289)))</formula>
    </cfRule>
  </conditionalFormatting>
  <conditionalFormatting sqref="E288">
    <cfRule type="containsText" dxfId="2006" priority="825" operator="containsText" text="Buy">
      <formula>NOT(ISERROR(SEARCH("Buy",E288)))</formula>
    </cfRule>
    <cfRule type="containsText" dxfId="2005" priority="826" operator="containsText" text="Sell">
      <formula>NOT(ISERROR(SEARCH("Sell",E288)))</formula>
    </cfRule>
  </conditionalFormatting>
  <conditionalFormatting sqref="E287">
    <cfRule type="containsText" dxfId="2004" priority="823" operator="containsText" text="Buy">
      <formula>NOT(ISERROR(SEARCH("Buy",E287)))</formula>
    </cfRule>
    <cfRule type="containsText" dxfId="2003" priority="824" operator="containsText" text="Sell">
      <formula>NOT(ISERROR(SEARCH("Sell",E287)))</formula>
    </cfRule>
  </conditionalFormatting>
  <conditionalFormatting sqref="E283">
    <cfRule type="containsText" dxfId="2002" priority="821" operator="containsText" text="Buy">
      <formula>NOT(ISERROR(SEARCH("Buy",E283)))</formula>
    </cfRule>
    <cfRule type="containsText" dxfId="2001" priority="822" operator="containsText" text="Sell">
      <formula>NOT(ISERROR(SEARCH("Sell",E283)))</formula>
    </cfRule>
  </conditionalFormatting>
  <conditionalFormatting sqref="E343">
    <cfRule type="containsText" dxfId="2000" priority="819" operator="containsText" text="Buy">
      <formula>NOT(ISERROR(SEARCH("Buy",E343)))</formula>
    </cfRule>
    <cfRule type="containsText" dxfId="1999" priority="820" operator="containsText" text="Sell">
      <formula>NOT(ISERROR(SEARCH("Sell",E343)))</formula>
    </cfRule>
  </conditionalFormatting>
  <conditionalFormatting sqref="E342 E339">
    <cfRule type="containsText" dxfId="1998" priority="817" operator="containsText" text="Buy">
      <formula>NOT(ISERROR(SEARCH("Buy",E339)))</formula>
    </cfRule>
    <cfRule type="containsText" dxfId="1997" priority="818" operator="containsText" text="Sell">
      <formula>NOT(ISERROR(SEARCH("Sell",E339)))</formula>
    </cfRule>
  </conditionalFormatting>
  <conditionalFormatting sqref="E348">
    <cfRule type="containsText" dxfId="1996" priority="815" operator="containsText" text="Buy">
      <formula>NOT(ISERROR(SEARCH("Buy",E348)))</formula>
    </cfRule>
    <cfRule type="containsText" dxfId="1995" priority="816" operator="containsText" text="Sell">
      <formula>NOT(ISERROR(SEARCH("Sell",E348)))</formula>
    </cfRule>
  </conditionalFormatting>
  <conditionalFormatting sqref="E430:E431">
    <cfRule type="containsText" dxfId="1994" priority="813" operator="containsText" text="Buy">
      <formula>NOT(ISERROR(SEARCH("Buy",E430)))</formula>
    </cfRule>
    <cfRule type="containsText" dxfId="1993" priority="814" operator="containsText" text="Sell">
      <formula>NOT(ISERROR(SEARCH("Sell",E430)))</formula>
    </cfRule>
  </conditionalFormatting>
  <conditionalFormatting sqref="E341">
    <cfRule type="containsText" dxfId="1992" priority="811" operator="containsText" text="Buy">
      <formula>NOT(ISERROR(SEARCH("Buy",E341)))</formula>
    </cfRule>
    <cfRule type="containsText" dxfId="1991" priority="812" operator="containsText" text="Sell">
      <formula>NOT(ISERROR(SEARCH("Sell",E341)))</formula>
    </cfRule>
  </conditionalFormatting>
  <conditionalFormatting sqref="E338">
    <cfRule type="containsText" dxfId="1990" priority="809" operator="containsText" text="Buy">
      <formula>NOT(ISERROR(SEARCH("Buy",E338)))</formula>
    </cfRule>
    <cfRule type="containsText" dxfId="1989" priority="810" operator="containsText" text="Sell">
      <formula>NOT(ISERROR(SEARCH("Sell",E338)))</formula>
    </cfRule>
  </conditionalFormatting>
  <conditionalFormatting sqref="E337">
    <cfRule type="containsText" dxfId="1988" priority="807" operator="containsText" text="Buy">
      <formula>NOT(ISERROR(SEARCH("Buy",E337)))</formula>
    </cfRule>
    <cfRule type="containsText" dxfId="1987" priority="808" operator="containsText" text="Sell">
      <formula>NOT(ISERROR(SEARCH("Sell",E337)))</formula>
    </cfRule>
  </conditionalFormatting>
  <conditionalFormatting sqref="E324">
    <cfRule type="containsText" dxfId="1986" priority="805" operator="containsText" text="Buy">
      <formula>NOT(ISERROR(SEARCH("Buy",E324)))</formula>
    </cfRule>
    <cfRule type="containsText" dxfId="1985" priority="806" operator="containsText" text="Sell">
      <formula>NOT(ISERROR(SEARCH("Sell",E324)))</formula>
    </cfRule>
  </conditionalFormatting>
  <conditionalFormatting sqref="E261:E264 E274 E271:E272">
    <cfRule type="containsText" dxfId="1984" priority="803" operator="containsText" text="Buy">
      <formula>NOT(ISERROR(SEARCH("Buy",E261)))</formula>
    </cfRule>
    <cfRule type="containsText" dxfId="1983" priority="804" operator="containsText" text="Sell">
      <formula>NOT(ISERROR(SEARCH("Sell",E261)))</formula>
    </cfRule>
  </conditionalFormatting>
  <conditionalFormatting sqref="E427:E428">
    <cfRule type="containsText" dxfId="1982" priority="801" operator="containsText" text="Buy">
      <formula>NOT(ISERROR(SEARCH("Buy",E427)))</formula>
    </cfRule>
    <cfRule type="containsText" dxfId="1981" priority="802" operator="containsText" text="Sell">
      <formula>NOT(ISERROR(SEARCH("Sell",E427)))</formula>
    </cfRule>
  </conditionalFormatting>
  <conditionalFormatting sqref="E424:E425">
    <cfRule type="containsText" dxfId="1980" priority="799" operator="containsText" text="Buy">
      <formula>NOT(ISERROR(SEARCH("Buy",E424)))</formula>
    </cfRule>
    <cfRule type="containsText" dxfId="1979" priority="800" operator="containsText" text="Sell">
      <formula>NOT(ISERROR(SEARCH("Sell",E424)))</formula>
    </cfRule>
  </conditionalFormatting>
  <conditionalFormatting sqref="E422:E423">
    <cfRule type="containsText" dxfId="1978" priority="797" operator="containsText" text="Buy">
      <formula>NOT(ISERROR(SEARCH("Buy",E422)))</formula>
    </cfRule>
    <cfRule type="containsText" dxfId="1977" priority="798" operator="containsText" text="Sell">
      <formula>NOT(ISERROR(SEARCH("Sell",E422)))</formula>
    </cfRule>
  </conditionalFormatting>
  <conditionalFormatting sqref="E419:E420">
    <cfRule type="containsText" dxfId="1976" priority="795" operator="containsText" text="Buy">
      <formula>NOT(ISERROR(SEARCH("Buy",E419)))</formula>
    </cfRule>
    <cfRule type="containsText" dxfId="1975" priority="796" operator="containsText" text="Sell">
      <formula>NOT(ISERROR(SEARCH("Sell",E419)))</formula>
    </cfRule>
  </conditionalFormatting>
  <conditionalFormatting sqref="E416:E418">
    <cfRule type="containsText" dxfId="1974" priority="793" operator="containsText" text="Buy">
      <formula>NOT(ISERROR(SEARCH("Buy",E416)))</formula>
    </cfRule>
    <cfRule type="containsText" dxfId="1973" priority="794" operator="containsText" text="Sell">
      <formula>NOT(ISERROR(SEARCH("Sell",E416)))</formula>
    </cfRule>
  </conditionalFormatting>
  <conditionalFormatting sqref="E413:E414">
    <cfRule type="containsText" dxfId="1972" priority="791" operator="containsText" text="Buy">
      <formula>NOT(ISERROR(SEARCH("Buy",E413)))</formula>
    </cfRule>
    <cfRule type="containsText" dxfId="1971" priority="792" operator="containsText" text="Sell">
      <formula>NOT(ISERROR(SEARCH("Sell",E413)))</formula>
    </cfRule>
  </conditionalFormatting>
  <conditionalFormatting sqref="E410:E411">
    <cfRule type="containsText" dxfId="1970" priority="789" operator="containsText" text="Buy">
      <formula>NOT(ISERROR(SEARCH("Buy",E410)))</formula>
    </cfRule>
    <cfRule type="containsText" dxfId="1969" priority="790" operator="containsText" text="Sell">
      <formula>NOT(ISERROR(SEARCH("Sell",E410)))</formula>
    </cfRule>
  </conditionalFormatting>
  <conditionalFormatting sqref="E407:E408">
    <cfRule type="containsText" dxfId="1968" priority="787" operator="containsText" text="Buy">
      <formula>NOT(ISERROR(SEARCH("Buy",E407)))</formula>
    </cfRule>
    <cfRule type="containsText" dxfId="1967" priority="788" operator="containsText" text="Sell">
      <formula>NOT(ISERROR(SEARCH("Sell",E407)))</formula>
    </cfRule>
  </conditionalFormatting>
  <conditionalFormatting sqref="E403">
    <cfRule type="containsText" dxfId="1966" priority="783" operator="containsText" text="Buy">
      <formula>NOT(ISERROR(SEARCH("Buy",E403)))</formula>
    </cfRule>
    <cfRule type="containsText" dxfId="1965" priority="784" operator="containsText" text="Sell">
      <formula>NOT(ISERROR(SEARCH("Sell",E403)))</formula>
    </cfRule>
  </conditionalFormatting>
  <conditionalFormatting sqref="E404:E405">
    <cfRule type="containsText" dxfId="1964" priority="785" operator="containsText" text="Buy">
      <formula>NOT(ISERROR(SEARCH("Buy",E404)))</formula>
    </cfRule>
    <cfRule type="containsText" dxfId="1963" priority="786" operator="containsText" text="Sell">
      <formula>NOT(ISERROR(SEARCH("Sell",E404)))</formula>
    </cfRule>
  </conditionalFormatting>
  <conditionalFormatting sqref="E397:E398">
    <cfRule type="containsText" dxfId="1962" priority="781" operator="containsText" text="Buy">
      <formula>NOT(ISERROR(SEARCH("Buy",E397)))</formula>
    </cfRule>
    <cfRule type="containsText" dxfId="1961" priority="782" operator="containsText" text="Sell">
      <formula>NOT(ISERROR(SEARCH("Sell",E397)))</formula>
    </cfRule>
  </conditionalFormatting>
  <conditionalFormatting sqref="E393:E394">
    <cfRule type="containsText" dxfId="1960" priority="779" operator="containsText" text="Buy">
      <formula>NOT(ISERROR(SEARCH("Buy",E393)))</formula>
    </cfRule>
    <cfRule type="containsText" dxfId="1959" priority="780" operator="containsText" text="Sell">
      <formula>NOT(ISERROR(SEARCH("Sell",E393)))</formula>
    </cfRule>
  </conditionalFormatting>
  <conditionalFormatting sqref="E258:E259">
    <cfRule type="containsText" dxfId="1958" priority="777" operator="containsText" text="Buy">
      <formula>NOT(ISERROR(SEARCH("Buy",E258)))</formula>
    </cfRule>
    <cfRule type="containsText" dxfId="1957" priority="778" operator="containsText" text="Sell">
      <formula>NOT(ISERROR(SEARCH("Sell",E258)))</formula>
    </cfRule>
  </conditionalFormatting>
  <conditionalFormatting sqref="E253:E254">
    <cfRule type="containsText" dxfId="1956" priority="775" operator="containsText" text="Buy">
      <formula>NOT(ISERROR(SEARCH("Buy",E253)))</formula>
    </cfRule>
    <cfRule type="containsText" dxfId="1955" priority="776" operator="containsText" text="Sell">
      <formula>NOT(ISERROR(SEARCH("Sell",E253)))</formula>
    </cfRule>
  </conditionalFormatting>
  <conditionalFormatting sqref="E270">
    <cfRule type="containsText" dxfId="1954" priority="771" operator="containsText" text="Buy">
      <formula>NOT(ISERROR(SEARCH("Buy",E270)))</formula>
    </cfRule>
    <cfRule type="containsText" dxfId="1953" priority="772" operator="containsText" text="Sell">
      <formula>NOT(ISERROR(SEARCH("Sell",E270)))</formula>
    </cfRule>
  </conditionalFormatting>
  <conditionalFormatting sqref="E269">
    <cfRule type="containsText" dxfId="1952" priority="769" operator="containsText" text="Buy">
      <formula>NOT(ISERROR(SEARCH("Buy",E269)))</formula>
    </cfRule>
    <cfRule type="containsText" dxfId="1951" priority="770" operator="containsText" text="Sell">
      <formula>NOT(ISERROR(SEARCH("Sell",E269)))</formula>
    </cfRule>
  </conditionalFormatting>
  <conditionalFormatting sqref="E265">
    <cfRule type="containsText" dxfId="1950" priority="767" operator="containsText" text="Buy">
      <formula>NOT(ISERROR(SEARCH("Buy",E265)))</formula>
    </cfRule>
    <cfRule type="containsText" dxfId="1949" priority="768" operator="containsText" text="Sell">
      <formula>NOT(ISERROR(SEARCH("Sell",E265)))</formula>
    </cfRule>
  </conditionalFormatting>
  <conditionalFormatting sqref="E390:E392">
    <cfRule type="containsText" dxfId="1948" priority="765" operator="containsText" text="Buy">
      <formula>NOT(ISERROR(SEARCH("Buy",E390)))</formula>
    </cfRule>
    <cfRule type="containsText" dxfId="1947" priority="766" operator="containsText" text="Sell">
      <formula>NOT(ISERROR(SEARCH("Sell",E390)))</formula>
    </cfRule>
  </conditionalFormatting>
  <conditionalFormatting sqref="E387:E388">
    <cfRule type="containsText" dxfId="1946" priority="763" operator="containsText" text="Buy">
      <formula>NOT(ISERROR(SEARCH("Buy",E387)))</formula>
    </cfRule>
    <cfRule type="containsText" dxfId="1945" priority="764" operator="containsText" text="Sell">
      <formula>NOT(ISERROR(SEARCH("Sell",E387)))</formula>
    </cfRule>
  </conditionalFormatting>
  <conditionalFormatting sqref="E381:E383">
    <cfRule type="containsText" dxfId="1944" priority="761" operator="containsText" text="Buy">
      <formula>NOT(ISERROR(SEARCH("Buy",E381)))</formula>
    </cfRule>
    <cfRule type="containsText" dxfId="1943" priority="762" operator="containsText" text="Sell">
      <formula>NOT(ISERROR(SEARCH("Sell",E381)))</formula>
    </cfRule>
  </conditionalFormatting>
  <conditionalFormatting sqref="E377:E378">
    <cfRule type="containsText" dxfId="1942" priority="759" operator="containsText" text="Buy">
      <formula>NOT(ISERROR(SEARCH("Buy",E377)))</formula>
    </cfRule>
    <cfRule type="containsText" dxfId="1941" priority="760" operator="containsText" text="Sell">
      <formula>NOT(ISERROR(SEARCH("Sell",E377)))</formula>
    </cfRule>
  </conditionalFormatting>
  <conditionalFormatting sqref="E386">
    <cfRule type="containsText" dxfId="1940" priority="757" operator="containsText" text="Buy">
      <formula>NOT(ISERROR(SEARCH("Buy",E386)))</formula>
    </cfRule>
    <cfRule type="containsText" dxfId="1939" priority="758" operator="containsText" text="Sell">
      <formula>NOT(ISERROR(SEARCH("Sell",E386)))</formula>
    </cfRule>
  </conditionalFormatting>
  <conditionalFormatting sqref="E366">
    <cfRule type="containsText" dxfId="1938" priority="755" operator="containsText" text="Buy">
      <formula>NOT(ISERROR(SEARCH("Buy",E366)))</formula>
    </cfRule>
    <cfRule type="containsText" dxfId="1937" priority="756" operator="containsText" text="Sell">
      <formula>NOT(ISERROR(SEARCH("Sell",E366)))</formula>
    </cfRule>
  </conditionalFormatting>
  <conditionalFormatting sqref="E365">
    <cfRule type="containsText" dxfId="1936" priority="753" operator="containsText" text="Buy">
      <formula>NOT(ISERROR(SEARCH("Buy",E365)))</formula>
    </cfRule>
    <cfRule type="containsText" dxfId="1935" priority="754" operator="containsText" text="Sell">
      <formula>NOT(ISERROR(SEARCH("Sell",E365)))</formula>
    </cfRule>
  </conditionalFormatting>
  <conditionalFormatting sqref="E364">
    <cfRule type="containsText" dxfId="1934" priority="751" operator="containsText" text="Buy">
      <formula>NOT(ISERROR(SEARCH("Buy",E364)))</formula>
    </cfRule>
    <cfRule type="containsText" dxfId="1933" priority="752" operator="containsText" text="Sell">
      <formula>NOT(ISERROR(SEARCH("Sell",E364)))</formula>
    </cfRule>
  </conditionalFormatting>
  <conditionalFormatting sqref="E321">
    <cfRule type="containsText" dxfId="1932" priority="749" operator="containsText" text="Buy">
      <formula>NOT(ISERROR(SEARCH("Buy",E321)))</formula>
    </cfRule>
    <cfRule type="containsText" dxfId="1931" priority="750" operator="containsText" text="Sell">
      <formula>NOT(ISERROR(SEARCH("Sell",E321)))</formula>
    </cfRule>
  </conditionalFormatting>
  <conditionalFormatting sqref="E340">
    <cfRule type="containsText" dxfId="1930" priority="747" operator="containsText" text="Buy">
      <formula>NOT(ISERROR(SEARCH("Buy",E340)))</formula>
    </cfRule>
    <cfRule type="containsText" dxfId="1929" priority="748" operator="containsText" text="Sell">
      <formula>NOT(ISERROR(SEARCH("Sell",E340)))</formula>
    </cfRule>
  </conditionalFormatting>
  <conditionalFormatting sqref="E234:E235">
    <cfRule type="containsText" dxfId="1928" priority="745" operator="containsText" text="Buy">
      <formula>NOT(ISERROR(SEARCH("Buy",E234)))</formula>
    </cfRule>
    <cfRule type="containsText" dxfId="1927" priority="746" operator="containsText" text="Sell">
      <formula>NOT(ISERROR(SEARCH("Sell",E234)))</formula>
    </cfRule>
  </conditionalFormatting>
  <conditionalFormatting sqref="E363">
    <cfRule type="containsText" dxfId="1926" priority="741" operator="containsText" text="Buy">
      <formula>NOT(ISERROR(SEARCH("Buy",E363)))</formula>
    </cfRule>
    <cfRule type="containsText" dxfId="1925" priority="742" operator="containsText" text="Sell">
      <formula>NOT(ISERROR(SEARCH("Sell",E363)))</formula>
    </cfRule>
  </conditionalFormatting>
  <conditionalFormatting sqref="E273">
    <cfRule type="containsText" dxfId="1924" priority="743" operator="containsText" text="Buy">
      <formula>NOT(ISERROR(SEARCH("Buy",E273)))</formula>
    </cfRule>
    <cfRule type="containsText" dxfId="1923" priority="744" operator="containsText" text="Sell">
      <formula>NOT(ISERROR(SEARCH("Sell",E273)))</formula>
    </cfRule>
  </conditionalFormatting>
  <conditionalFormatting sqref="E362">
    <cfRule type="containsText" dxfId="1922" priority="739" operator="containsText" text="Buy">
      <formula>NOT(ISERROR(SEARCH("Buy",E362)))</formula>
    </cfRule>
    <cfRule type="containsText" dxfId="1921" priority="740" operator="containsText" text="Sell">
      <formula>NOT(ISERROR(SEARCH("Sell",E362)))</formula>
    </cfRule>
  </conditionalFormatting>
  <conditionalFormatting sqref="E361">
    <cfRule type="containsText" dxfId="1920" priority="737" operator="containsText" text="Buy">
      <formula>NOT(ISERROR(SEARCH("Buy",E361)))</formula>
    </cfRule>
    <cfRule type="containsText" dxfId="1919" priority="738" operator="containsText" text="Sell">
      <formula>NOT(ISERROR(SEARCH("Sell",E361)))</formula>
    </cfRule>
  </conditionalFormatting>
  <conditionalFormatting sqref="E360">
    <cfRule type="containsText" dxfId="1918" priority="735" operator="containsText" text="Buy">
      <formula>NOT(ISERROR(SEARCH("Buy",E360)))</formula>
    </cfRule>
    <cfRule type="containsText" dxfId="1917" priority="736" operator="containsText" text="Sell">
      <formula>NOT(ISERROR(SEARCH("Sell",E360)))</formula>
    </cfRule>
  </conditionalFormatting>
  <conditionalFormatting sqref="E359">
    <cfRule type="containsText" dxfId="1916" priority="733" operator="containsText" text="Buy">
      <formula>NOT(ISERROR(SEARCH("Buy",E359)))</formula>
    </cfRule>
    <cfRule type="containsText" dxfId="1915" priority="734" operator="containsText" text="Sell">
      <formula>NOT(ISERROR(SEARCH("Sell",E359)))</formula>
    </cfRule>
  </conditionalFormatting>
  <conditionalFormatting sqref="E239:E241 E252">
    <cfRule type="containsText" dxfId="1914" priority="731" operator="containsText" text="Buy">
      <formula>NOT(ISERROR(SEARCH("Buy",E239)))</formula>
    </cfRule>
    <cfRule type="containsText" dxfId="1913" priority="732" operator="containsText" text="Sell">
      <formula>NOT(ISERROR(SEARCH("Sell",E239)))</formula>
    </cfRule>
  </conditionalFormatting>
  <conditionalFormatting sqref="H29">
    <cfRule type="dataBar" priority="7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{6B649C32-B763-4763-A8A7-8BAE0D8C8B73}</x14:id>
        </ext>
      </extLst>
    </cfRule>
    <cfRule type="cellIs" dxfId="1912" priority="730" operator="equal">
      <formula>1</formula>
    </cfRule>
  </conditionalFormatting>
  <conditionalFormatting sqref="D29">
    <cfRule type="containsText" dxfId="1911" priority="728" operator="containsText" text="Buy">
      <formula>NOT(ISERROR(SEARCH("Buy",D29)))</formula>
    </cfRule>
    <cfRule type="containsText" dxfId="1910" priority="729" operator="containsText" text="Sell">
      <formula>NOT(ISERROR(SEARCH("Sell",D29)))</formula>
    </cfRule>
  </conditionalFormatting>
  <conditionalFormatting sqref="E229:E230">
    <cfRule type="containsText" dxfId="1909" priority="725" operator="containsText" text="Buy">
      <formula>NOT(ISERROR(SEARCH("Buy",E229)))</formula>
    </cfRule>
    <cfRule type="containsText" dxfId="1908" priority="726" operator="containsText" text="Sell">
      <formula>NOT(ISERROR(SEARCH("Sell",E229)))</formula>
    </cfRule>
  </conditionalFormatting>
  <conditionalFormatting sqref="E223:E224">
    <cfRule type="containsText" dxfId="1907" priority="723" operator="containsText" text="Buy">
      <formula>NOT(ISERROR(SEARCH("Buy",E223)))</formula>
    </cfRule>
    <cfRule type="containsText" dxfId="1906" priority="724" operator="containsText" text="Sell">
      <formula>NOT(ISERROR(SEARCH("Sell",E223)))</formula>
    </cfRule>
  </conditionalFormatting>
  <conditionalFormatting sqref="E250:E251">
    <cfRule type="containsText" dxfId="1905" priority="721" operator="containsText" text="Buy">
      <formula>NOT(ISERROR(SEARCH("Buy",E250)))</formula>
    </cfRule>
    <cfRule type="containsText" dxfId="1904" priority="722" operator="containsText" text="Sell">
      <formula>NOT(ISERROR(SEARCH("Sell",E250)))</formula>
    </cfRule>
  </conditionalFormatting>
  <conditionalFormatting sqref="E249">
    <cfRule type="containsText" dxfId="1903" priority="719" operator="containsText" text="Buy">
      <formula>NOT(ISERROR(SEARCH("Buy",E249)))</formula>
    </cfRule>
    <cfRule type="containsText" dxfId="1902" priority="720" operator="containsText" text="Sell">
      <formula>NOT(ISERROR(SEARCH("Sell",E249)))</formula>
    </cfRule>
  </conditionalFormatting>
  <conditionalFormatting sqref="E332">
    <cfRule type="containsText" dxfId="1901" priority="717" operator="containsText" text="Buy">
      <formula>NOT(ISERROR(SEARCH("Buy",E332)))</formula>
    </cfRule>
    <cfRule type="containsText" dxfId="1900" priority="718" operator="containsText" text="Sell">
      <formula>NOT(ISERROR(SEARCH("Sell",E332)))</formula>
    </cfRule>
  </conditionalFormatting>
  <conditionalFormatting sqref="E331">
    <cfRule type="containsText" dxfId="1899" priority="715" operator="containsText" text="Buy">
      <formula>NOT(ISERROR(SEARCH("Buy",E331)))</formula>
    </cfRule>
    <cfRule type="containsText" dxfId="1898" priority="716" operator="containsText" text="Sell">
      <formula>NOT(ISERROR(SEARCH("Sell",E331)))</formula>
    </cfRule>
  </conditionalFormatting>
  <conditionalFormatting sqref="E220:E221">
    <cfRule type="containsText" dxfId="1897" priority="713" operator="containsText" text="Buy">
      <formula>NOT(ISERROR(SEARCH("Buy",E220)))</formula>
    </cfRule>
    <cfRule type="containsText" dxfId="1896" priority="714" operator="containsText" text="Sell">
      <formula>NOT(ISERROR(SEARCH("Sell",E220)))</formula>
    </cfRule>
  </conditionalFormatting>
  <conditionalFormatting sqref="E219">
    <cfRule type="containsText" dxfId="1895" priority="711" operator="containsText" text="Buy">
      <formula>NOT(ISERROR(SEARCH("Buy",E219)))</formula>
    </cfRule>
    <cfRule type="containsText" dxfId="1894" priority="712" operator="containsText" text="Sell">
      <formula>NOT(ISERROR(SEARCH("Sell",E219)))</formula>
    </cfRule>
  </conditionalFormatting>
  <conditionalFormatting sqref="E218">
    <cfRule type="containsText" dxfId="1893" priority="709" operator="containsText" text="Buy">
      <formula>NOT(ISERROR(SEARCH("Buy",E218)))</formula>
    </cfRule>
    <cfRule type="containsText" dxfId="1892" priority="710" operator="containsText" text="Sell">
      <formula>NOT(ISERROR(SEARCH("Sell",E218)))</formula>
    </cfRule>
  </conditionalFormatting>
  <conditionalFormatting sqref="E215">
    <cfRule type="containsText" dxfId="1891" priority="707" operator="containsText" text="Buy">
      <formula>NOT(ISERROR(SEARCH("Buy",E215)))</formula>
    </cfRule>
    <cfRule type="containsText" dxfId="1890" priority="708" operator="containsText" text="Sell">
      <formula>NOT(ISERROR(SEARCH("Sell",E215)))</formula>
    </cfRule>
  </conditionalFormatting>
  <conditionalFormatting sqref="E214">
    <cfRule type="containsText" dxfId="1889" priority="705" operator="containsText" text="Buy">
      <formula>NOT(ISERROR(SEARCH("Buy",E214)))</formula>
    </cfRule>
    <cfRule type="containsText" dxfId="1888" priority="706" operator="containsText" text="Sell">
      <formula>NOT(ISERROR(SEARCH("Sell",E214)))</formula>
    </cfRule>
  </conditionalFormatting>
  <conditionalFormatting sqref="E211">
    <cfRule type="containsText" dxfId="1887" priority="703" operator="containsText" text="Buy">
      <formula>NOT(ISERROR(SEARCH("Buy",E211)))</formula>
    </cfRule>
    <cfRule type="containsText" dxfId="1886" priority="704" operator="containsText" text="Sell">
      <formula>NOT(ISERROR(SEARCH("Sell",E211)))</formula>
    </cfRule>
  </conditionalFormatting>
  <conditionalFormatting sqref="E210">
    <cfRule type="containsText" dxfId="1885" priority="701" operator="containsText" text="Buy">
      <formula>NOT(ISERROR(SEARCH("Buy",E210)))</formula>
    </cfRule>
    <cfRule type="containsText" dxfId="1884" priority="702" operator="containsText" text="Sell">
      <formula>NOT(ISERROR(SEARCH("Sell",E210)))</formula>
    </cfRule>
  </conditionalFormatting>
  <conditionalFormatting sqref="E209">
    <cfRule type="containsText" dxfId="1883" priority="699" operator="containsText" text="Buy">
      <formula>NOT(ISERROR(SEARCH("Buy",E209)))</formula>
    </cfRule>
    <cfRule type="containsText" dxfId="1882" priority="700" operator="containsText" text="Sell">
      <formula>NOT(ISERROR(SEARCH("Sell",E209)))</formula>
    </cfRule>
  </conditionalFormatting>
  <conditionalFormatting sqref="E207:E208">
    <cfRule type="containsText" dxfId="1881" priority="697" operator="containsText" text="Buy">
      <formula>NOT(ISERROR(SEARCH("Buy",E207)))</formula>
    </cfRule>
    <cfRule type="containsText" dxfId="1880" priority="698" operator="containsText" text="Sell">
      <formula>NOT(ISERROR(SEARCH("Sell",E207)))</formula>
    </cfRule>
  </conditionalFormatting>
  <conditionalFormatting sqref="E204 E200:E201">
    <cfRule type="containsText" dxfId="1879" priority="695" operator="containsText" text="Buy">
      <formula>NOT(ISERROR(SEARCH("Buy",E200)))</formula>
    </cfRule>
    <cfRule type="containsText" dxfId="1878" priority="696" operator="containsText" text="Sell">
      <formula>NOT(ISERROR(SEARCH("Sell",E200)))</formula>
    </cfRule>
  </conditionalFormatting>
  <conditionalFormatting sqref="E196">
    <cfRule type="containsText" dxfId="1877" priority="693" operator="containsText" text="Buy">
      <formula>NOT(ISERROR(SEARCH("Buy",E196)))</formula>
    </cfRule>
    <cfRule type="containsText" dxfId="1876" priority="694" operator="containsText" text="Sell">
      <formula>NOT(ISERROR(SEARCH("Sell",E196)))</formula>
    </cfRule>
  </conditionalFormatting>
  <conditionalFormatting sqref="E195">
    <cfRule type="containsText" dxfId="1875" priority="691" operator="containsText" text="Buy">
      <formula>NOT(ISERROR(SEARCH("Buy",E195)))</formula>
    </cfRule>
    <cfRule type="containsText" dxfId="1874" priority="692" operator="containsText" text="Sell">
      <formula>NOT(ISERROR(SEARCH("Sell",E195)))</formula>
    </cfRule>
  </conditionalFormatting>
  <conditionalFormatting sqref="E203">
    <cfRule type="containsText" dxfId="1873" priority="689" operator="containsText" text="Buy">
      <formula>NOT(ISERROR(SEARCH("Buy",E203)))</formula>
    </cfRule>
    <cfRule type="containsText" dxfId="1872" priority="690" operator="containsText" text="Sell">
      <formula>NOT(ISERROR(SEARCH("Sell",E203)))</formula>
    </cfRule>
  </conditionalFormatting>
  <conditionalFormatting sqref="E202">
    <cfRule type="containsText" dxfId="1871" priority="687" operator="containsText" text="Buy">
      <formula>NOT(ISERROR(SEARCH("Buy",E202)))</formula>
    </cfRule>
    <cfRule type="containsText" dxfId="1870" priority="688" operator="containsText" text="Sell">
      <formula>NOT(ISERROR(SEARCH("Sell",E202)))</formula>
    </cfRule>
  </conditionalFormatting>
  <conditionalFormatting sqref="E336">
    <cfRule type="containsText" dxfId="1869" priority="685" operator="containsText" text="Buy">
      <formula>NOT(ISERROR(SEARCH("Buy",E336)))</formula>
    </cfRule>
    <cfRule type="containsText" dxfId="1868" priority="686" operator="containsText" text="Sell">
      <formula>NOT(ISERROR(SEARCH("Sell",E336)))</formula>
    </cfRule>
  </conditionalFormatting>
  <conditionalFormatting sqref="E257">
    <cfRule type="containsText" dxfId="1867" priority="683" operator="containsText" text="Buy">
      <formula>NOT(ISERROR(SEARCH("Buy",E257)))</formula>
    </cfRule>
    <cfRule type="containsText" dxfId="1866" priority="684" operator="containsText" text="Sell">
      <formula>NOT(ISERROR(SEARCH("Sell",E257)))</formula>
    </cfRule>
  </conditionalFormatting>
  <conditionalFormatting sqref="E304">
    <cfRule type="containsText" dxfId="1865" priority="681" operator="containsText" text="Buy">
      <formula>NOT(ISERROR(SEARCH("Buy",E304)))</formula>
    </cfRule>
    <cfRule type="containsText" dxfId="1864" priority="682" operator="containsText" text="Sell">
      <formula>NOT(ISERROR(SEARCH("Sell",E304)))</formula>
    </cfRule>
  </conditionalFormatting>
  <conditionalFormatting sqref="E199">
    <cfRule type="containsText" dxfId="1863" priority="679" operator="containsText" text="Buy">
      <formula>NOT(ISERROR(SEARCH("Buy",E199)))</formula>
    </cfRule>
    <cfRule type="containsText" dxfId="1862" priority="680" operator="containsText" text="Sell">
      <formula>NOT(ISERROR(SEARCH("Sell",E199)))</formula>
    </cfRule>
  </conditionalFormatting>
  <conditionalFormatting sqref="E189">
    <cfRule type="containsText" dxfId="1861" priority="677" operator="containsText" text="Buy">
      <formula>NOT(ISERROR(SEARCH("Buy",E189)))</formula>
    </cfRule>
    <cfRule type="containsText" dxfId="1860" priority="678" operator="containsText" text="Sell">
      <formula>NOT(ISERROR(SEARCH("Sell",E189)))</formula>
    </cfRule>
  </conditionalFormatting>
  <conditionalFormatting sqref="E303">
    <cfRule type="containsText" dxfId="1859" priority="675" operator="containsText" text="Buy">
      <formula>NOT(ISERROR(SEARCH("Buy",E303)))</formula>
    </cfRule>
    <cfRule type="containsText" dxfId="1858" priority="676" operator="containsText" text="Sell">
      <formula>NOT(ISERROR(SEARCH("Sell",E303)))</formula>
    </cfRule>
  </conditionalFormatting>
  <conditionalFormatting sqref="E302">
    <cfRule type="containsText" dxfId="1857" priority="673" operator="containsText" text="Buy">
      <formula>NOT(ISERROR(SEARCH("Buy",E302)))</formula>
    </cfRule>
    <cfRule type="containsText" dxfId="1856" priority="674" operator="containsText" text="Sell">
      <formula>NOT(ISERROR(SEARCH("Sell",E302)))</formula>
    </cfRule>
  </conditionalFormatting>
  <conditionalFormatting sqref="E373:E375">
    <cfRule type="containsText" dxfId="1855" priority="671" operator="containsText" text="Buy">
      <formula>NOT(ISERROR(SEARCH("Buy",E373)))</formula>
    </cfRule>
    <cfRule type="containsText" dxfId="1854" priority="672" operator="containsText" text="Sell">
      <formula>NOT(ISERROR(SEARCH("Sell",E373)))</formula>
    </cfRule>
  </conditionalFormatting>
  <conditionalFormatting sqref="E358">
    <cfRule type="containsText" dxfId="1853" priority="669" operator="containsText" text="Buy">
      <formula>NOT(ISERROR(SEARCH("Buy",E358)))</formula>
    </cfRule>
    <cfRule type="containsText" dxfId="1852" priority="670" operator="containsText" text="Sell">
      <formula>NOT(ISERROR(SEARCH("Sell",E358)))</formula>
    </cfRule>
  </conditionalFormatting>
  <conditionalFormatting sqref="E357">
    <cfRule type="containsText" dxfId="1851" priority="667" operator="containsText" text="Buy">
      <formula>NOT(ISERROR(SEARCH("Buy",E357)))</formula>
    </cfRule>
    <cfRule type="containsText" dxfId="1850" priority="668" operator="containsText" text="Sell">
      <formula>NOT(ISERROR(SEARCH("Sell",E357)))</formula>
    </cfRule>
  </conditionalFormatting>
  <conditionalFormatting sqref="E194">
    <cfRule type="containsText" dxfId="1849" priority="665" operator="containsText" text="Buy">
      <formula>NOT(ISERROR(SEARCH("Buy",E194)))</formula>
    </cfRule>
    <cfRule type="containsText" dxfId="1848" priority="666" operator="containsText" text="Sell">
      <formula>NOT(ISERROR(SEARCH("Sell",E194)))</formula>
    </cfRule>
  </conditionalFormatting>
  <conditionalFormatting sqref="E323">
    <cfRule type="containsText" dxfId="1847" priority="663" operator="containsText" text="Buy">
      <formula>NOT(ISERROR(SEARCH("Buy",E323)))</formula>
    </cfRule>
    <cfRule type="containsText" dxfId="1846" priority="664" operator="containsText" text="Sell">
      <formula>NOT(ISERROR(SEARCH("Sell",E323)))</formula>
    </cfRule>
  </conditionalFormatting>
  <conditionalFormatting sqref="E320">
    <cfRule type="containsText" dxfId="1845" priority="661" operator="containsText" text="Buy">
      <formula>NOT(ISERROR(SEARCH("Buy",E320)))</formula>
    </cfRule>
    <cfRule type="containsText" dxfId="1844" priority="662" operator="containsText" text="Sell">
      <formula>NOT(ISERROR(SEARCH("Sell",E320)))</formula>
    </cfRule>
  </conditionalFormatting>
  <conditionalFormatting sqref="E185:E186">
    <cfRule type="containsText" dxfId="1843" priority="659" operator="containsText" text="Buy">
      <formula>NOT(ISERROR(SEARCH("Buy",E185)))</formula>
    </cfRule>
    <cfRule type="containsText" dxfId="1842" priority="660" operator="containsText" text="Sell">
      <formula>NOT(ISERROR(SEARCH("Sell",E185)))</formula>
    </cfRule>
  </conditionalFormatting>
  <conditionalFormatting sqref="E182:E183">
    <cfRule type="containsText" dxfId="1841" priority="657" operator="containsText" text="Buy">
      <formula>NOT(ISERROR(SEARCH("Buy",E182)))</formula>
    </cfRule>
    <cfRule type="containsText" dxfId="1840" priority="658" operator="containsText" text="Sell">
      <formula>NOT(ISERROR(SEARCH("Sell",E182)))</formula>
    </cfRule>
  </conditionalFormatting>
  <conditionalFormatting sqref="E356">
    <cfRule type="containsText" dxfId="1839" priority="655" operator="containsText" text="Buy">
      <formula>NOT(ISERROR(SEARCH("Buy",E356)))</formula>
    </cfRule>
    <cfRule type="containsText" dxfId="1838" priority="656" operator="containsText" text="Sell">
      <formula>NOT(ISERROR(SEARCH("Sell",E356)))</formula>
    </cfRule>
  </conditionalFormatting>
  <conditionalFormatting sqref="E179:E180">
    <cfRule type="containsText" dxfId="1837" priority="653" operator="containsText" text="Buy">
      <formula>NOT(ISERROR(SEARCH("Buy",E179)))</formula>
    </cfRule>
    <cfRule type="containsText" dxfId="1836" priority="654" operator="containsText" text="Sell">
      <formula>NOT(ISERROR(SEARCH("Sell",E179)))</formula>
    </cfRule>
  </conditionalFormatting>
  <conditionalFormatting sqref="E176:E177">
    <cfRule type="containsText" dxfId="1835" priority="651" operator="containsText" text="Buy">
      <formula>NOT(ISERROR(SEARCH("Buy",E176)))</formula>
    </cfRule>
    <cfRule type="containsText" dxfId="1834" priority="652" operator="containsText" text="Sell">
      <formula>NOT(ISERROR(SEARCH("Sell",E176)))</formula>
    </cfRule>
  </conditionalFormatting>
  <conditionalFormatting sqref="E248">
    <cfRule type="containsText" dxfId="1833" priority="649" operator="containsText" text="Buy">
      <formula>NOT(ISERROR(SEARCH("Buy",E248)))</formula>
    </cfRule>
    <cfRule type="containsText" dxfId="1832" priority="650" operator="containsText" text="Sell">
      <formula>NOT(ISERROR(SEARCH("Sell",E248)))</formula>
    </cfRule>
  </conditionalFormatting>
  <conditionalFormatting sqref="E174">
    <cfRule type="containsText" dxfId="1831" priority="647" operator="containsText" text="Buy">
      <formula>NOT(ISERROR(SEARCH("Buy",E174)))</formula>
    </cfRule>
    <cfRule type="containsText" dxfId="1830" priority="648" operator="containsText" text="Sell">
      <formula>NOT(ISERROR(SEARCH("Sell",E174)))</formula>
    </cfRule>
  </conditionalFormatting>
  <conditionalFormatting sqref="E173">
    <cfRule type="containsText" dxfId="1829" priority="645" operator="containsText" text="Buy">
      <formula>NOT(ISERROR(SEARCH("Buy",E173)))</formula>
    </cfRule>
    <cfRule type="containsText" dxfId="1828" priority="646" operator="containsText" text="Sell">
      <formula>NOT(ISERROR(SEARCH("Sell",E173)))</formula>
    </cfRule>
  </conditionalFormatting>
  <conditionalFormatting sqref="E385">
    <cfRule type="containsText" dxfId="1827" priority="643" operator="containsText" text="Buy">
      <formula>NOT(ISERROR(SEARCH("Buy",E385)))</formula>
    </cfRule>
    <cfRule type="containsText" dxfId="1826" priority="644" operator="containsText" text="Sell">
      <formula>NOT(ISERROR(SEARCH("Sell",E385)))</formula>
    </cfRule>
  </conditionalFormatting>
  <conditionalFormatting sqref="E402">
    <cfRule type="containsText" dxfId="1825" priority="641" operator="containsText" text="Buy">
      <formula>NOT(ISERROR(SEARCH("Buy",E402)))</formula>
    </cfRule>
    <cfRule type="containsText" dxfId="1824" priority="642" operator="containsText" text="Sell">
      <formula>NOT(ISERROR(SEARCH("Sell",E402)))</formula>
    </cfRule>
  </conditionalFormatting>
  <conditionalFormatting sqref="E165:E166">
    <cfRule type="containsText" dxfId="1823" priority="639" operator="containsText" text="Buy">
      <formula>NOT(ISERROR(SEARCH("Buy",E165)))</formula>
    </cfRule>
    <cfRule type="containsText" dxfId="1822" priority="640" operator="containsText" text="Sell">
      <formula>NOT(ISERROR(SEARCH("Sell",E165)))</formula>
    </cfRule>
  </conditionalFormatting>
  <conditionalFormatting sqref="E380">
    <cfRule type="containsText" dxfId="1821" priority="637" operator="containsText" text="Buy">
      <formula>NOT(ISERROR(SEARCH("Buy",E380)))</formula>
    </cfRule>
    <cfRule type="containsText" dxfId="1820" priority="638" operator="containsText" text="Sell">
      <formula>NOT(ISERROR(SEARCH("Sell",E380)))</formula>
    </cfRule>
  </conditionalFormatting>
  <conditionalFormatting sqref="E376">
    <cfRule type="containsText" dxfId="1819" priority="635" operator="containsText" text="Buy">
      <formula>NOT(ISERROR(SEARCH("Buy",E376)))</formula>
    </cfRule>
    <cfRule type="containsText" dxfId="1818" priority="636" operator="containsText" text="Sell">
      <formula>NOT(ISERROR(SEARCH("Sell",E376)))</formula>
    </cfRule>
  </conditionalFormatting>
  <conditionalFormatting sqref="E157 E154 E151 E148 E131">
    <cfRule type="containsText" dxfId="1817" priority="633" operator="containsText" text="Buy">
      <formula>NOT(ISERROR(SEARCH("Buy",E131)))</formula>
    </cfRule>
    <cfRule type="containsText" dxfId="1816" priority="634" operator="containsText" text="Sell">
      <formula>NOT(ISERROR(SEARCH("Sell",E131)))</formula>
    </cfRule>
  </conditionalFormatting>
  <conditionalFormatting sqref="E247">
    <cfRule type="containsText" dxfId="1815" priority="631" operator="containsText" text="Buy">
      <formula>NOT(ISERROR(SEARCH("Buy",E247)))</formula>
    </cfRule>
    <cfRule type="containsText" dxfId="1814" priority="632" operator="containsText" text="Sell">
      <formula>NOT(ISERROR(SEARCH("Sell",E247)))</formula>
    </cfRule>
  </conditionalFormatting>
  <conditionalFormatting sqref="E301">
    <cfRule type="containsText" dxfId="1813" priority="629" operator="containsText" text="Buy">
      <formula>NOT(ISERROR(SEARCH("Buy",E301)))</formula>
    </cfRule>
    <cfRule type="containsText" dxfId="1812" priority="630" operator="containsText" text="Sell">
      <formula>NOT(ISERROR(SEARCH("Sell",E301)))</formula>
    </cfRule>
  </conditionalFormatting>
  <conditionalFormatting sqref="E256">
    <cfRule type="containsText" dxfId="1811" priority="627" operator="containsText" text="Buy">
      <formula>NOT(ISERROR(SEARCH("Buy",E256)))</formula>
    </cfRule>
    <cfRule type="containsText" dxfId="1810" priority="628" operator="containsText" text="Sell">
      <formula>NOT(ISERROR(SEARCH("Sell",E256)))</formula>
    </cfRule>
  </conditionalFormatting>
  <conditionalFormatting sqref="E191">
    <cfRule type="containsText" dxfId="1809" priority="625" operator="containsText" text="Buy">
      <formula>NOT(ISERROR(SEARCH("Buy",E191)))</formula>
    </cfRule>
    <cfRule type="containsText" dxfId="1808" priority="626" operator="containsText" text="Sell">
      <formula>NOT(ISERROR(SEARCH("Sell",E191)))</formula>
    </cfRule>
  </conditionalFormatting>
  <conditionalFormatting sqref="E93">
    <cfRule type="containsText" dxfId="1807" priority="623" operator="containsText" text="Buy">
      <formula>NOT(ISERROR(SEARCH("Buy",E93)))</formula>
    </cfRule>
    <cfRule type="containsText" dxfId="1806" priority="624" operator="containsText" text="Sell">
      <formula>NOT(ISERROR(SEARCH("Sell",E93)))</formula>
    </cfRule>
  </conditionalFormatting>
  <conditionalFormatting sqref="E347">
    <cfRule type="containsText" dxfId="1805" priority="621" operator="containsText" text="Buy">
      <formula>NOT(ISERROR(SEARCH("Buy",E347)))</formula>
    </cfRule>
    <cfRule type="containsText" dxfId="1804" priority="622" operator="containsText" text="Sell">
      <formula>NOT(ISERROR(SEARCH("Sell",E347)))</formula>
    </cfRule>
  </conditionalFormatting>
  <conditionalFormatting sqref="E162:E163">
    <cfRule type="containsText" dxfId="1803" priority="617" operator="containsText" text="Buy">
      <formula>NOT(ISERROR(SEARCH("Buy",E162)))</formula>
    </cfRule>
    <cfRule type="containsText" dxfId="1802" priority="618" operator="containsText" text="Sell">
      <formula>NOT(ISERROR(SEARCH("Sell",E162)))</formula>
    </cfRule>
  </conditionalFormatting>
  <conditionalFormatting sqref="E401">
    <cfRule type="containsText" dxfId="1801" priority="619" operator="containsText" text="Buy">
      <formula>NOT(ISERROR(SEARCH("Buy",E401)))</formula>
    </cfRule>
    <cfRule type="containsText" dxfId="1800" priority="620" operator="containsText" text="Sell">
      <formula>NOT(ISERROR(SEARCH("Sell",E401)))</formula>
    </cfRule>
  </conditionalFormatting>
  <conditionalFormatting sqref="E246">
    <cfRule type="containsText" dxfId="1799" priority="615" operator="containsText" text="Buy">
      <formula>NOT(ISERROR(SEARCH("Buy",E246)))</formula>
    </cfRule>
    <cfRule type="containsText" dxfId="1798" priority="616" operator="containsText" text="Sell">
      <formula>NOT(ISERROR(SEARCH("Sell",E246)))</formula>
    </cfRule>
  </conditionalFormatting>
  <conditionalFormatting sqref="E158:E159">
    <cfRule type="containsText" dxfId="1797" priority="611" operator="containsText" text="Buy">
      <formula>NOT(ISERROR(SEARCH("Buy",E158)))</formula>
    </cfRule>
    <cfRule type="containsText" dxfId="1796" priority="612" operator="containsText" text="Sell">
      <formula>NOT(ISERROR(SEARCH("Sell",E158)))</formula>
    </cfRule>
  </conditionalFormatting>
  <conditionalFormatting sqref="E319">
    <cfRule type="containsText" dxfId="1795" priority="613" operator="containsText" text="Buy">
      <formula>NOT(ISERROR(SEARCH("Buy",E319)))</formula>
    </cfRule>
    <cfRule type="containsText" dxfId="1794" priority="614" operator="containsText" text="Sell">
      <formula>NOT(ISERROR(SEARCH("Sell",E319)))</formula>
    </cfRule>
  </conditionalFormatting>
  <conditionalFormatting sqref="E396">
    <cfRule type="containsText" dxfId="1793" priority="609" operator="containsText" text="Buy">
      <formula>NOT(ISERROR(SEARCH("Buy",E396)))</formula>
    </cfRule>
    <cfRule type="containsText" dxfId="1792" priority="610" operator="containsText" text="Sell">
      <formula>NOT(ISERROR(SEARCH("Sell",E396)))</formula>
    </cfRule>
  </conditionalFormatting>
  <conditionalFormatting sqref="E155:E156">
    <cfRule type="containsText" dxfId="1791" priority="607" operator="containsText" text="Buy">
      <formula>NOT(ISERROR(SEARCH("Buy",E155)))</formula>
    </cfRule>
    <cfRule type="containsText" dxfId="1790" priority="608" operator="containsText" text="Sell">
      <formula>NOT(ISERROR(SEARCH("Sell",E155)))</formula>
    </cfRule>
  </conditionalFormatting>
  <conditionalFormatting sqref="E152:E153">
    <cfRule type="containsText" dxfId="1789" priority="605" operator="containsText" text="Buy">
      <formula>NOT(ISERROR(SEARCH("Buy",E152)))</formula>
    </cfRule>
    <cfRule type="containsText" dxfId="1788" priority="606" operator="containsText" text="Sell">
      <formula>NOT(ISERROR(SEARCH("Sell",E152)))</formula>
    </cfRule>
  </conditionalFormatting>
  <conditionalFormatting sqref="E286">
    <cfRule type="containsText" dxfId="1787" priority="603" operator="containsText" text="Buy">
      <formula>NOT(ISERROR(SEARCH("Buy",E286)))</formula>
    </cfRule>
    <cfRule type="containsText" dxfId="1786" priority="604" operator="containsText" text="Sell">
      <formula>NOT(ISERROR(SEARCH("Sell",E286)))</formula>
    </cfRule>
  </conditionalFormatting>
  <conditionalFormatting sqref="E400">
    <cfRule type="containsText" dxfId="1785" priority="601" operator="containsText" text="Buy">
      <formula>NOT(ISERROR(SEARCH("Buy",E400)))</formula>
    </cfRule>
    <cfRule type="containsText" dxfId="1784" priority="602" operator="containsText" text="Sell">
      <formula>NOT(ISERROR(SEARCH("Sell",E400)))</formula>
    </cfRule>
  </conditionalFormatting>
  <conditionalFormatting sqref="E384">
    <cfRule type="containsText" dxfId="1783" priority="599" operator="containsText" text="Buy">
      <formula>NOT(ISERROR(SEARCH("Buy",E384)))</formula>
    </cfRule>
    <cfRule type="containsText" dxfId="1782" priority="600" operator="containsText" text="Sell">
      <formula>NOT(ISERROR(SEARCH("Sell",E384)))</formula>
    </cfRule>
  </conditionalFormatting>
  <conditionalFormatting sqref="E161">
    <cfRule type="containsText" dxfId="1781" priority="597" operator="containsText" text="Buy">
      <formula>NOT(ISERROR(SEARCH("Buy",E161)))</formula>
    </cfRule>
    <cfRule type="containsText" dxfId="1780" priority="598" operator="containsText" text="Sell">
      <formula>NOT(ISERROR(SEARCH("Sell",E161)))</formula>
    </cfRule>
  </conditionalFormatting>
  <conditionalFormatting sqref="E149:E150">
    <cfRule type="containsText" dxfId="1779" priority="595" operator="containsText" text="Buy">
      <formula>NOT(ISERROR(SEARCH("Buy",E149)))</formula>
    </cfRule>
    <cfRule type="containsText" dxfId="1778" priority="596" operator="containsText" text="Sell">
      <formula>NOT(ISERROR(SEARCH("Sell",E149)))</formula>
    </cfRule>
  </conditionalFormatting>
  <conditionalFormatting sqref="E144">
    <cfRule type="containsText" dxfId="1777" priority="593" operator="containsText" text="Buy">
      <formula>NOT(ISERROR(SEARCH("Buy",E144)))</formula>
    </cfRule>
    <cfRule type="containsText" dxfId="1776" priority="594" operator="containsText" text="Sell">
      <formula>NOT(ISERROR(SEARCH("Sell",E144)))</formula>
    </cfRule>
  </conditionalFormatting>
  <conditionalFormatting sqref="E168">
    <cfRule type="containsText" dxfId="1775" priority="591" operator="containsText" text="Buy">
      <formula>NOT(ISERROR(SEARCH("Buy",E168)))</formula>
    </cfRule>
    <cfRule type="containsText" dxfId="1774" priority="592" operator="containsText" text="Sell">
      <formula>NOT(ISERROR(SEARCH("Sell",E168)))</formula>
    </cfRule>
  </conditionalFormatting>
  <conditionalFormatting sqref="E346">
    <cfRule type="containsText" dxfId="1773" priority="589" operator="containsText" text="Buy">
      <formula>NOT(ISERROR(SEARCH("Buy",E346)))</formula>
    </cfRule>
    <cfRule type="containsText" dxfId="1772" priority="590" operator="containsText" text="Sell">
      <formula>NOT(ISERROR(SEARCH("Sell",E346)))</formula>
    </cfRule>
  </conditionalFormatting>
  <conditionalFormatting sqref="E317">
    <cfRule type="containsText" dxfId="1771" priority="585" operator="containsText" text="Buy">
      <formula>NOT(ISERROR(SEARCH("Buy",E317)))</formula>
    </cfRule>
    <cfRule type="containsText" dxfId="1770" priority="586" operator="containsText" text="Sell">
      <formula>NOT(ISERROR(SEARCH("Sell",E317)))</formula>
    </cfRule>
  </conditionalFormatting>
  <conditionalFormatting sqref="E276">
    <cfRule type="containsText" dxfId="1769" priority="583" operator="containsText" text="Buy">
      <formula>NOT(ISERROR(SEARCH("Buy",E276)))</formula>
    </cfRule>
    <cfRule type="containsText" dxfId="1768" priority="584" operator="containsText" text="Sell">
      <formula>NOT(ISERROR(SEARCH("Sell",E276)))</formula>
    </cfRule>
  </conditionalFormatting>
  <conditionalFormatting sqref="E318">
    <cfRule type="containsText" dxfId="1767" priority="587" operator="containsText" text="Buy">
      <formula>NOT(ISERROR(SEARCH("Buy",E318)))</formula>
    </cfRule>
    <cfRule type="containsText" dxfId="1766" priority="588" operator="containsText" text="Sell">
      <formula>NOT(ISERROR(SEARCH("Sell",E318)))</formula>
    </cfRule>
  </conditionalFormatting>
  <conditionalFormatting sqref="E90">
    <cfRule type="containsText" dxfId="1765" priority="581" operator="containsText" text="Buy">
      <formula>NOT(ISERROR(SEARCH("Buy",E90)))</formula>
    </cfRule>
    <cfRule type="containsText" dxfId="1764" priority="582" operator="containsText" text="Sell">
      <formula>NOT(ISERROR(SEARCH("Sell",E90)))</formula>
    </cfRule>
  </conditionalFormatting>
  <conditionalFormatting sqref="E206">
    <cfRule type="containsText" dxfId="1763" priority="579" operator="containsText" text="Buy">
      <formula>NOT(ISERROR(SEARCH("Buy",E206)))</formula>
    </cfRule>
    <cfRule type="containsText" dxfId="1762" priority="580" operator="containsText" text="Sell">
      <formula>NOT(ISERROR(SEARCH("Sell",E206)))</formula>
    </cfRule>
  </conditionalFormatting>
  <conditionalFormatting sqref="E68">
    <cfRule type="containsText" dxfId="1761" priority="575" operator="containsText" text="Buy">
      <formula>NOT(ISERROR(SEARCH("Buy",E68)))</formula>
    </cfRule>
    <cfRule type="containsText" dxfId="1760" priority="576" operator="containsText" text="Sell">
      <formula>NOT(ISERROR(SEARCH("Sell",E68)))</formula>
    </cfRule>
  </conditionalFormatting>
  <conditionalFormatting sqref="E69:E70 E73">
    <cfRule type="containsText" dxfId="1759" priority="577" operator="containsText" text="Buy">
      <formula>NOT(ISERROR(SEARCH("Buy",E69)))</formula>
    </cfRule>
    <cfRule type="containsText" dxfId="1758" priority="578" operator="containsText" text="Sell">
      <formula>NOT(ISERROR(SEARCH("Sell",E69)))</formula>
    </cfRule>
  </conditionalFormatting>
  <conditionalFormatting sqref="E134">
    <cfRule type="containsText" dxfId="1757" priority="573" operator="containsText" text="Buy">
      <formula>NOT(ISERROR(SEARCH("Buy",E134)))</formula>
    </cfRule>
    <cfRule type="containsText" dxfId="1756" priority="574" operator="containsText" text="Sell">
      <formula>NOT(ISERROR(SEARCH("Sell",E134)))</formula>
    </cfRule>
  </conditionalFormatting>
  <conditionalFormatting sqref="E112">
    <cfRule type="containsText" dxfId="1755" priority="571" operator="containsText" text="Buy">
      <formula>NOT(ISERROR(SEARCH("Buy",E112)))</formula>
    </cfRule>
    <cfRule type="containsText" dxfId="1754" priority="572" operator="containsText" text="Sell">
      <formula>NOT(ISERROR(SEARCH("Sell",E112)))</formula>
    </cfRule>
  </conditionalFormatting>
  <conditionalFormatting sqref="E115">
    <cfRule type="containsText" dxfId="1753" priority="569" operator="containsText" text="Buy">
      <formula>NOT(ISERROR(SEARCH("Buy",E115)))</formula>
    </cfRule>
    <cfRule type="containsText" dxfId="1752" priority="570" operator="containsText" text="Sell">
      <formula>NOT(ISERROR(SEARCH("Sell",E115)))</formula>
    </cfRule>
  </conditionalFormatting>
  <conditionalFormatting sqref="E122">
    <cfRule type="containsText" dxfId="1751" priority="567" operator="containsText" text="Buy">
      <formula>NOT(ISERROR(SEARCH("Buy",E122)))</formula>
    </cfRule>
    <cfRule type="containsText" dxfId="1750" priority="568" operator="containsText" text="Sell">
      <formula>NOT(ISERROR(SEARCH("Sell",E122)))</formula>
    </cfRule>
  </conditionalFormatting>
  <conditionalFormatting sqref="E125">
    <cfRule type="containsText" dxfId="1749" priority="565" operator="containsText" text="Buy">
      <formula>NOT(ISERROR(SEARCH("Buy",E125)))</formula>
    </cfRule>
    <cfRule type="containsText" dxfId="1748" priority="566" operator="containsText" text="Sell">
      <formula>NOT(ISERROR(SEARCH("Sell",E125)))</formula>
    </cfRule>
  </conditionalFormatting>
  <conditionalFormatting sqref="E128">
    <cfRule type="containsText" dxfId="1747" priority="563" operator="containsText" text="Buy">
      <formula>NOT(ISERROR(SEARCH("Buy",E128)))</formula>
    </cfRule>
    <cfRule type="containsText" dxfId="1746" priority="564" operator="containsText" text="Sell">
      <formula>NOT(ISERROR(SEARCH("Sell",E128)))</formula>
    </cfRule>
  </conditionalFormatting>
  <conditionalFormatting sqref="E188">
    <cfRule type="containsText" dxfId="1745" priority="557" operator="containsText" text="Buy">
      <formula>NOT(ISERROR(SEARCH("Buy",E188)))</formula>
    </cfRule>
    <cfRule type="containsText" dxfId="1744" priority="558" operator="containsText" text="Sell">
      <formula>NOT(ISERROR(SEARCH("Sell",E188)))</formula>
    </cfRule>
  </conditionalFormatting>
  <conditionalFormatting sqref="E147">
    <cfRule type="containsText" dxfId="1743" priority="559" operator="containsText" text="Buy">
      <formula>NOT(ISERROR(SEARCH("Buy",E147)))</formula>
    </cfRule>
    <cfRule type="containsText" dxfId="1742" priority="560" operator="containsText" text="Sell">
      <formula>NOT(ISERROR(SEARCH("Sell",E147)))</formula>
    </cfRule>
  </conditionalFormatting>
  <conditionalFormatting sqref="E99">
    <cfRule type="containsText" dxfId="1741" priority="555" operator="containsText" text="Buy">
      <formula>NOT(ISERROR(SEARCH("Buy",E99)))</formula>
    </cfRule>
    <cfRule type="containsText" dxfId="1740" priority="556" operator="containsText" text="Sell">
      <formula>NOT(ISERROR(SEARCH("Sell",E99)))</formula>
    </cfRule>
  </conditionalFormatting>
  <conditionalFormatting sqref="E137:E138">
    <cfRule type="containsText" dxfId="1739" priority="553" operator="containsText" text="Buy">
      <formula>NOT(ISERROR(SEARCH("Buy",E137)))</formula>
    </cfRule>
    <cfRule type="containsText" dxfId="1738" priority="554" operator="containsText" text="Sell">
      <formula>NOT(ISERROR(SEARCH("Sell",E137)))</formula>
    </cfRule>
  </conditionalFormatting>
  <conditionalFormatting sqref="E141">
    <cfRule type="containsText" dxfId="1737" priority="551" operator="containsText" text="Buy">
      <formula>NOT(ISERROR(SEARCH("Buy",E141)))</formula>
    </cfRule>
    <cfRule type="containsText" dxfId="1736" priority="552" operator="containsText" text="Sell">
      <formula>NOT(ISERROR(SEARCH("Sell",E141)))</formula>
    </cfRule>
  </conditionalFormatting>
  <conditionalFormatting sqref="E353">
    <cfRule type="containsText" dxfId="1735" priority="549" operator="containsText" text="Buy">
      <formula>NOT(ISERROR(SEARCH("Buy",E353)))</formula>
    </cfRule>
    <cfRule type="containsText" dxfId="1734" priority="550" operator="containsText" text="Sell">
      <formula>NOT(ISERROR(SEARCH("Sell",E353)))</formula>
    </cfRule>
  </conditionalFormatting>
  <conditionalFormatting sqref="E172">
    <cfRule type="containsText" dxfId="1733" priority="547" operator="containsText" text="Buy">
      <formula>NOT(ISERROR(SEARCH("Buy",E172)))</formula>
    </cfRule>
    <cfRule type="containsText" dxfId="1732" priority="548" operator="containsText" text="Sell">
      <formula>NOT(ISERROR(SEARCH("Sell",E172)))</formula>
    </cfRule>
  </conditionalFormatting>
  <conditionalFormatting sqref="E171">
    <cfRule type="containsText" dxfId="1731" priority="545" operator="containsText" text="Buy">
      <formula>NOT(ISERROR(SEARCH("Buy",E171)))</formula>
    </cfRule>
    <cfRule type="containsText" dxfId="1730" priority="546" operator="containsText" text="Sell">
      <formula>NOT(ISERROR(SEARCH("Sell",E171)))</formula>
    </cfRule>
  </conditionalFormatting>
  <conditionalFormatting sqref="E170">
    <cfRule type="containsText" dxfId="1729" priority="543" operator="containsText" text="Buy">
      <formula>NOT(ISERROR(SEARCH("Buy",E170)))</formula>
    </cfRule>
    <cfRule type="containsText" dxfId="1728" priority="544" operator="containsText" text="Sell">
      <formula>NOT(ISERROR(SEARCH("Sell",E170)))</formula>
    </cfRule>
  </conditionalFormatting>
  <conditionalFormatting sqref="E169">
    <cfRule type="containsText" dxfId="1727" priority="541" operator="containsText" text="Buy">
      <formula>NOT(ISERROR(SEARCH("Buy",E169)))</formula>
    </cfRule>
    <cfRule type="containsText" dxfId="1726" priority="542" operator="containsText" text="Sell">
      <formula>NOT(ISERROR(SEARCH("Sell",E169)))</formula>
    </cfRule>
  </conditionalFormatting>
  <conditionalFormatting sqref="E192:E193">
    <cfRule type="containsText" dxfId="1725" priority="539" operator="containsText" text="Buy">
      <formula>NOT(ISERROR(SEARCH("Buy",E192)))</formula>
    </cfRule>
    <cfRule type="containsText" dxfId="1724" priority="540" operator="containsText" text="Sell">
      <formula>NOT(ISERROR(SEARCH("Sell",E192)))</formula>
    </cfRule>
  </conditionalFormatting>
  <conditionalFormatting sqref="E266:E268">
    <cfRule type="containsText" dxfId="1723" priority="537" operator="containsText" text="Buy">
      <formula>NOT(ISERROR(SEARCH("Buy",E266)))</formula>
    </cfRule>
    <cfRule type="containsText" dxfId="1722" priority="538" operator="containsText" text="Sell">
      <formula>NOT(ISERROR(SEARCH("Sell",E266)))</formula>
    </cfRule>
  </conditionalFormatting>
  <conditionalFormatting sqref="E245">
    <cfRule type="containsText" dxfId="1721" priority="535" operator="containsText" text="Buy">
      <formula>NOT(ISERROR(SEARCH("Buy",E245)))</formula>
    </cfRule>
    <cfRule type="containsText" dxfId="1720" priority="536" operator="containsText" text="Sell">
      <formula>NOT(ISERROR(SEARCH("Sell",E245)))</formula>
    </cfRule>
  </conditionalFormatting>
  <conditionalFormatting sqref="E244">
    <cfRule type="containsText" dxfId="1719" priority="533" operator="containsText" text="Buy">
      <formula>NOT(ISERROR(SEARCH("Buy",E244)))</formula>
    </cfRule>
    <cfRule type="containsText" dxfId="1718" priority="534" operator="containsText" text="Sell">
      <formula>NOT(ISERROR(SEARCH("Sell",E244)))</formula>
    </cfRule>
  </conditionalFormatting>
  <conditionalFormatting sqref="E105">
    <cfRule type="containsText" dxfId="1717" priority="531" operator="containsText" text="Buy">
      <formula>NOT(ISERROR(SEARCH("Buy",E105)))</formula>
    </cfRule>
    <cfRule type="containsText" dxfId="1716" priority="532" operator="containsText" text="Sell">
      <formula>NOT(ISERROR(SEARCH("Sell",E105)))</formula>
    </cfRule>
  </conditionalFormatting>
  <conditionalFormatting sqref="E238">
    <cfRule type="containsText" dxfId="1715" priority="529" operator="containsText" text="Buy">
      <formula>NOT(ISERROR(SEARCH("Buy",E238)))</formula>
    </cfRule>
    <cfRule type="containsText" dxfId="1714" priority="530" operator="containsText" text="Sell">
      <formula>NOT(ISERROR(SEARCH("Sell",E238)))</formula>
    </cfRule>
  </conditionalFormatting>
  <conditionalFormatting sqref="E243">
    <cfRule type="containsText" dxfId="1713" priority="527" operator="containsText" text="Buy">
      <formula>NOT(ISERROR(SEARCH("Buy",E243)))</formula>
    </cfRule>
    <cfRule type="containsText" dxfId="1712" priority="528" operator="containsText" text="Sell">
      <formula>NOT(ISERROR(SEARCH("Sell",E243)))</formula>
    </cfRule>
  </conditionalFormatting>
  <conditionalFormatting sqref="E242">
    <cfRule type="containsText" dxfId="1711" priority="525" operator="containsText" text="Buy">
      <formula>NOT(ISERROR(SEARCH("Buy",E242)))</formula>
    </cfRule>
    <cfRule type="containsText" dxfId="1710" priority="526" operator="containsText" text="Sell">
      <formula>NOT(ISERROR(SEARCH("Sell",E242)))</formula>
    </cfRule>
  </conditionalFormatting>
  <conditionalFormatting sqref="E352">
    <cfRule type="containsText" dxfId="1709" priority="523" operator="containsText" text="Buy">
      <formula>NOT(ISERROR(SEARCH("Buy",E352)))</formula>
    </cfRule>
    <cfRule type="containsText" dxfId="1708" priority="524" operator="containsText" text="Sell">
      <formula>NOT(ISERROR(SEARCH("Sell",E352)))</formula>
    </cfRule>
  </conditionalFormatting>
  <conditionalFormatting sqref="E227:E228">
    <cfRule type="containsText" dxfId="1707" priority="521" operator="containsText" text="Buy">
      <formula>NOT(ISERROR(SEARCH("Buy",E227)))</formula>
    </cfRule>
    <cfRule type="containsText" dxfId="1706" priority="522" operator="containsText" text="Sell">
      <formula>NOT(ISERROR(SEARCH("Sell",E227)))</formula>
    </cfRule>
  </conditionalFormatting>
  <conditionalFormatting sqref="E351">
    <cfRule type="containsText" dxfId="1705" priority="519" operator="containsText" text="Buy">
      <formula>NOT(ISERROR(SEARCH("Buy",E351)))</formula>
    </cfRule>
    <cfRule type="containsText" dxfId="1704" priority="520" operator="containsText" text="Sell">
      <formula>NOT(ISERROR(SEARCH("Sell",E351)))</formula>
    </cfRule>
  </conditionalFormatting>
  <conditionalFormatting sqref="E226">
    <cfRule type="containsText" dxfId="1703" priority="517" operator="containsText" text="Buy">
      <formula>NOT(ISERROR(SEARCH("Buy",E226)))</formula>
    </cfRule>
    <cfRule type="containsText" dxfId="1702" priority="518" operator="containsText" text="Sell">
      <formula>NOT(ISERROR(SEARCH("Sell",E226)))</formula>
    </cfRule>
  </conditionalFormatting>
  <conditionalFormatting sqref="E350">
    <cfRule type="containsText" dxfId="1701" priority="515" operator="containsText" text="Buy">
      <formula>NOT(ISERROR(SEARCH("Buy",E350)))</formula>
    </cfRule>
    <cfRule type="containsText" dxfId="1700" priority="516" operator="containsText" text="Sell">
      <formula>NOT(ISERROR(SEARCH("Sell",E350)))</formula>
    </cfRule>
  </conditionalFormatting>
  <conditionalFormatting sqref="E76:E77 E81">
    <cfRule type="containsText" dxfId="1699" priority="502" operator="containsText" text="Buy">
      <formula>NOT(ISERROR(SEARCH("Buy",E76)))</formula>
    </cfRule>
    <cfRule type="containsText" dxfId="1698" priority="503" operator="containsText" text="Sell">
      <formula>NOT(ISERROR(SEARCH("Sell",E76)))</formula>
    </cfRule>
  </conditionalFormatting>
  <conditionalFormatting sqref="E85">
    <cfRule type="containsText" dxfId="1697" priority="500" operator="containsText" text="Buy">
      <formula>NOT(ISERROR(SEARCH("Buy",E85)))</formula>
    </cfRule>
    <cfRule type="containsText" dxfId="1696" priority="501" operator="containsText" text="Sell">
      <formula>NOT(ISERROR(SEARCH("Sell",E85)))</formula>
    </cfRule>
  </conditionalFormatting>
  <conditionalFormatting sqref="E233">
    <cfRule type="containsText" dxfId="1695" priority="498" operator="containsText" text="Buy">
      <formula>NOT(ISERROR(SEARCH("Buy",E233)))</formula>
    </cfRule>
    <cfRule type="containsText" dxfId="1694" priority="499" operator="containsText" text="Sell">
      <formula>NOT(ISERROR(SEARCH("Sell",E233)))</formula>
    </cfRule>
  </conditionalFormatting>
  <conditionalFormatting sqref="E237">
    <cfRule type="containsText" dxfId="1693" priority="496" operator="containsText" text="Buy">
      <formula>NOT(ISERROR(SEARCH("Buy",E237)))</formula>
    </cfRule>
    <cfRule type="containsText" dxfId="1692" priority="497" operator="containsText" text="Sell">
      <formula>NOT(ISERROR(SEARCH("Sell",E237)))</formula>
    </cfRule>
  </conditionalFormatting>
  <conditionalFormatting sqref="E96">
    <cfRule type="containsText" dxfId="1691" priority="492" operator="containsText" text="Buy">
      <formula>NOT(ISERROR(SEARCH("Buy",E96)))</formula>
    </cfRule>
    <cfRule type="containsText" dxfId="1690" priority="493" operator="containsText" text="Sell">
      <formula>NOT(ISERROR(SEARCH("Sell",E96)))</formula>
    </cfRule>
  </conditionalFormatting>
  <conditionalFormatting sqref="E232">
    <cfRule type="containsText" dxfId="1689" priority="494" operator="containsText" text="Buy">
      <formula>NOT(ISERROR(SEARCH("Buy",E232)))</formula>
    </cfRule>
    <cfRule type="containsText" dxfId="1688" priority="495" operator="containsText" text="Sell">
      <formula>NOT(ISERROR(SEARCH("Sell",E232)))</formula>
    </cfRule>
  </conditionalFormatting>
  <conditionalFormatting sqref="E71">
    <cfRule type="containsText" dxfId="1687" priority="488" operator="containsText" text="Buy">
      <formula>NOT(ISERROR(SEARCH("Buy",E71)))</formula>
    </cfRule>
    <cfRule type="containsText" dxfId="1686" priority="489" operator="containsText" text="Sell">
      <formula>NOT(ISERROR(SEARCH("Sell",E71)))</formula>
    </cfRule>
  </conditionalFormatting>
  <conditionalFormatting sqref="E72">
    <cfRule type="containsText" dxfId="1685" priority="490" operator="containsText" text="Buy">
      <formula>NOT(ISERROR(SEARCH("Buy",E72)))</formula>
    </cfRule>
    <cfRule type="containsText" dxfId="1684" priority="491" operator="containsText" text="Sell">
      <formula>NOT(ISERROR(SEARCH("Sell",E72)))</formula>
    </cfRule>
  </conditionalFormatting>
  <conditionalFormatting sqref="E74">
    <cfRule type="containsText" dxfId="1683" priority="486" operator="containsText" text="Buy">
      <formula>NOT(ISERROR(SEARCH("Buy",E74)))</formula>
    </cfRule>
    <cfRule type="containsText" dxfId="1682" priority="487" operator="containsText" text="Sell">
      <formula>NOT(ISERROR(SEARCH("Sell",E74)))</formula>
    </cfRule>
  </conditionalFormatting>
  <conditionalFormatting sqref="E79">
    <cfRule type="containsText" dxfId="1681" priority="482" operator="containsText" text="Buy">
      <formula>NOT(ISERROR(SEARCH("Buy",E79)))</formula>
    </cfRule>
    <cfRule type="containsText" dxfId="1680" priority="483" operator="containsText" text="Sell">
      <formula>NOT(ISERROR(SEARCH("Sell",E79)))</formula>
    </cfRule>
  </conditionalFormatting>
  <conditionalFormatting sqref="E80">
    <cfRule type="containsText" dxfId="1679" priority="484" operator="containsText" text="Buy">
      <formula>NOT(ISERROR(SEARCH("Buy",E80)))</formula>
    </cfRule>
    <cfRule type="containsText" dxfId="1678" priority="485" operator="containsText" text="Sell">
      <formula>NOT(ISERROR(SEARCH("Sell",E80)))</formula>
    </cfRule>
  </conditionalFormatting>
  <conditionalFormatting sqref="E82">
    <cfRule type="containsText" dxfId="1677" priority="478" operator="containsText" text="Buy">
      <formula>NOT(ISERROR(SEARCH("Buy",E82)))</formula>
    </cfRule>
    <cfRule type="containsText" dxfId="1676" priority="479" operator="containsText" text="Sell">
      <formula>NOT(ISERROR(SEARCH("Sell",E82)))</formula>
    </cfRule>
  </conditionalFormatting>
  <conditionalFormatting sqref="E84">
    <cfRule type="containsText" dxfId="1675" priority="480" operator="containsText" text="Buy">
      <formula>NOT(ISERROR(SEARCH("Buy",E84)))</formula>
    </cfRule>
    <cfRule type="containsText" dxfId="1674" priority="481" operator="containsText" text="Sell">
      <formula>NOT(ISERROR(SEARCH("Sell",E84)))</formula>
    </cfRule>
  </conditionalFormatting>
  <conditionalFormatting sqref="E89">
    <cfRule type="containsText" dxfId="1673" priority="476" operator="containsText" text="Buy">
      <formula>NOT(ISERROR(SEARCH("Buy",E89)))</formula>
    </cfRule>
    <cfRule type="containsText" dxfId="1672" priority="477" operator="containsText" text="Sell">
      <formula>NOT(ISERROR(SEARCH("Sell",E89)))</formula>
    </cfRule>
  </conditionalFormatting>
  <conditionalFormatting sqref="E87">
    <cfRule type="containsText" dxfId="1671" priority="474" operator="containsText" text="Buy">
      <formula>NOT(ISERROR(SEARCH("Buy",E87)))</formula>
    </cfRule>
    <cfRule type="containsText" dxfId="1670" priority="475" operator="containsText" text="Sell">
      <formula>NOT(ISERROR(SEARCH("Sell",E87)))</formula>
    </cfRule>
  </conditionalFormatting>
  <conditionalFormatting sqref="E91">
    <cfRule type="containsText" dxfId="1669" priority="470" operator="containsText" text="Buy">
      <formula>NOT(ISERROR(SEARCH("Buy",E91)))</formula>
    </cfRule>
    <cfRule type="containsText" dxfId="1668" priority="471" operator="containsText" text="Sell">
      <formula>NOT(ISERROR(SEARCH("Sell",E91)))</formula>
    </cfRule>
  </conditionalFormatting>
  <conditionalFormatting sqref="E92">
    <cfRule type="containsText" dxfId="1667" priority="472" operator="containsText" text="Buy">
      <formula>NOT(ISERROR(SEARCH("Buy",E92)))</formula>
    </cfRule>
    <cfRule type="containsText" dxfId="1666" priority="473" operator="containsText" text="Sell">
      <formula>NOT(ISERROR(SEARCH("Sell",E92)))</formula>
    </cfRule>
  </conditionalFormatting>
  <conditionalFormatting sqref="E94">
    <cfRule type="containsText" dxfId="1665" priority="466" operator="containsText" text="Buy">
      <formula>NOT(ISERROR(SEARCH("Buy",E94)))</formula>
    </cfRule>
    <cfRule type="containsText" dxfId="1664" priority="467" operator="containsText" text="Sell">
      <formula>NOT(ISERROR(SEARCH("Sell",E94)))</formula>
    </cfRule>
  </conditionalFormatting>
  <conditionalFormatting sqref="E95">
    <cfRule type="containsText" dxfId="1663" priority="468" operator="containsText" text="Buy">
      <formula>NOT(ISERROR(SEARCH("Buy",E95)))</formula>
    </cfRule>
    <cfRule type="containsText" dxfId="1662" priority="469" operator="containsText" text="Sell">
      <formula>NOT(ISERROR(SEARCH("Sell",E95)))</formula>
    </cfRule>
  </conditionalFormatting>
  <conditionalFormatting sqref="E97">
    <cfRule type="containsText" dxfId="1661" priority="462" operator="containsText" text="Buy">
      <formula>NOT(ISERROR(SEARCH("Buy",E97)))</formula>
    </cfRule>
    <cfRule type="containsText" dxfId="1660" priority="463" operator="containsText" text="Sell">
      <formula>NOT(ISERROR(SEARCH("Sell",E97)))</formula>
    </cfRule>
  </conditionalFormatting>
  <conditionalFormatting sqref="E98">
    <cfRule type="containsText" dxfId="1659" priority="464" operator="containsText" text="Buy">
      <formula>NOT(ISERROR(SEARCH("Buy",E98)))</formula>
    </cfRule>
    <cfRule type="containsText" dxfId="1658" priority="465" operator="containsText" text="Sell">
      <formula>NOT(ISERROR(SEARCH("Sell",E98)))</formula>
    </cfRule>
  </conditionalFormatting>
  <conditionalFormatting sqref="E100">
    <cfRule type="containsText" dxfId="1657" priority="458" operator="containsText" text="Buy">
      <formula>NOT(ISERROR(SEARCH("Buy",E100)))</formula>
    </cfRule>
    <cfRule type="containsText" dxfId="1656" priority="459" operator="containsText" text="Sell">
      <formula>NOT(ISERROR(SEARCH("Sell",E100)))</formula>
    </cfRule>
  </conditionalFormatting>
  <conditionalFormatting sqref="E101">
    <cfRule type="containsText" dxfId="1655" priority="460" operator="containsText" text="Buy">
      <formula>NOT(ISERROR(SEARCH("Buy",E101)))</formula>
    </cfRule>
    <cfRule type="containsText" dxfId="1654" priority="461" operator="containsText" text="Sell">
      <formula>NOT(ISERROR(SEARCH("Sell",E101)))</formula>
    </cfRule>
  </conditionalFormatting>
  <conditionalFormatting sqref="E103">
    <cfRule type="containsText" dxfId="1653" priority="454" operator="containsText" text="Buy">
      <formula>NOT(ISERROR(SEARCH("Buy",E103)))</formula>
    </cfRule>
    <cfRule type="containsText" dxfId="1652" priority="455" operator="containsText" text="Sell">
      <formula>NOT(ISERROR(SEARCH("Sell",E103)))</formula>
    </cfRule>
  </conditionalFormatting>
  <conditionalFormatting sqref="E104">
    <cfRule type="containsText" dxfId="1651" priority="456" operator="containsText" text="Buy">
      <formula>NOT(ISERROR(SEARCH("Buy",E104)))</formula>
    </cfRule>
    <cfRule type="containsText" dxfId="1650" priority="457" operator="containsText" text="Sell">
      <formula>NOT(ISERROR(SEARCH("Sell",E104)))</formula>
    </cfRule>
  </conditionalFormatting>
  <conditionalFormatting sqref="E106">
    <cfRule type="containsText" dxfId="1649" priority="450" operator="containsText" text="Buy">
      <formula>NOT(ISERROR(SEARCH("Buy",E106)))</formula>
    </cfRule>
    <cfRule type="containsText" dxfId="1648" priority="451" operator="containsText" text="Sell">
      <formula>NOT(ISERROR(SEARCH("Sell",E106)))</formula>
    </cfRule>
  </conditionalFormatting>
  <conditionalFormatting sqref="E107">
    <cfRule type="containsText" dxfId="1647" priority="452" operator="containsText" text="Buy">
      <formula>NOT(ISERROR(SEARCH("Buy",E107)))</formula>
    </cfRule>
    <cfRule type="containsText" dxfId="1646" priority="453" operator="containsText" text="Sell">
      <formula>NOT(ISERROR(SEARCH("Sell",E107)))</formula>
    </cfRule>
  </conditionalFormatting>
  <conditionalFormatting sqref="E110">
    <cfRule type="containsText" dxfId="1645" priority="446" operator="containsText" text="Buy">
      <formula>NOT(ISERROR(SEARCH("Buy",E110)))</formula>
    </cfRule>
    <cfRule type="containsText" dxfId="1644" priority="447" operator="containsText" text="Sell">
      <formula>NOT(ISERROR(SEARCH("Sell",E110)))</formula>
    </cfRule>
  </conditionalFormatting>
  <conditionalFormatting sqref="E111">
    <cfRule type="containsText" dxfId="1643" priority="448" operator="containsText" text="Buy">
      <formula>NOT(ISERROR(SEARCH("Buy",E111)))</formula>
    </cfRule>
    <cfRule type="containsText" dxfId="1642" priority="449" operator="containsText" text="Sell">
      <formula>NOT(ISERROR(SEARCH("Sell",E111)))</formula>
    </cfRule>
  </conditionalFormatting>
  <conditionalFormatting sqref="U5">
    <cfRule type="dataBar" priority="9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{8643D9DB-3591-44B5-B974-CDBD4121AB06}</x14:id>
        </ext>
      </extLst>
    </cfRule>
  </conditionalFormatting>
  <conditionalFormatting sqref="V5">
    <cfRule type="dataBar" priority="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{959588B9-2B61-40EA-B139-58A1AE2BD3DE}</x14:id>
        </ext>
      </extLst>
    </cfRule>
  </conditionalFormatting>
  <conditionalFormatting sqref="W5">
    <cfRule type="dataBar" priority="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{A14AD516-8299-4BB3-98AD-6A8D8D7AF1A8}</x14:id>
        </ext>
      </extLst>
    </cfRule>
  </conditionalFormatting>
  <conditionalFormatting sqref="X5">
    <cfRule type="dataBar" priority="9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{5040DB56-C9DF-4ACE-B17C-63B732D7E456}</x14:id>
        </ext>
      </extLst>
    </cfRule>
  </conditionalFormatting>
  <conditionalFormatting sqref="E75">
    <cfRule type="containsText" dxfId="1641" priority="444" operator="containsText" text="Buy">
      <formula>NOT(ISERROR(SEARCH("Buy",E75)))</formula>
    </cfRule>
    <cfRule type="containsText" dxfId="1640" priority="445" operator="containsText" text="Sell">
      <formula>NOT(ISERROR(SEARCH("Sell",E75)))</formula>
    </cfRule>
  </conditionalFormatting>
  <conditionalFormatting sqref="E83">
    <cfRule type="containsText" dxfId="1639" priority="442" operator="containsText" text="Buy">
      <formula>NOT(ISERROR(SEARCH("Buy",E83)))</formula>
    </cfRule>
    <cfRule type="containsText" dxfId="1638" priority="443" operator="containsText" text="Sell">
      <formula>NOT(ISERROR(SEARCH("Sell",E83)))</formula>
    </cfRule>
  </conditionalFormatting>
  <conditionalFormatting sqref="E88">
    <cfRule type="containsText" dxfId="1637" priority="440" operator="containsText" text="Buy">
      <formula>NOT(ISERROR(SEARCH("Buy",E88)))</formula>
    </cfRule>
    <cfRule type="containsText" dxfId="1636" priority="441" operator="containsText" text="Sell">
      <formula>NOT(ISERROR(SEARCH("Sell",E88)))</formula>
    </cfRule>
  </conditionalFormatting>
  <conditionalFormatting sqref="U11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{C208F092-32DC-4B9D-A3D5-890703B1CCF5}</x14:id>
        </ext>
      </extLst>
    </cfRule>
  </conditionalFormatting>
  <conditionalFormatting sqref="V11">
    <cfRule type="dataBar" priority="4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{726E27C6-E75B-4B7A-9064-CEF628D82234}</x14:id>
        </ext>
      </extLst>
    </cfRule>
  </conditionalFormatting>
  <conditionalFormatting sqref="W11"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{4964827E-6C8C-4965-AEAE-B41A16CEA96F}</x14:id>
        </ext>
      </extLst>
    </cfRule>
  </conditionalFormatting>
  <conditionalFormatting sqref="X11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{8EF9CAF7-5910-416A-9897-E6DB00A67ECF}</x14:id>
        </ext>
      </extLst>
    </cfRule>
  </conditionalFormatting>
  <conditionalFormatting sqref="K11:L11">
    <cfRule type="dataBar" priority="4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{7940C51B-F13F-425F-BB27-8D3AAF072326}</x14:id>
        </ext>
      </extLst>
    </cfRule>
  </conditionalFormatting>
  <conditionalFormatting sqref="K11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{0EBE3761-37DD-4DF0-842A-4A3BDE195DA8}</x14:id>
        </ext>
      </extLst>
    </cfRule>
  </conditionalFormatting>
  <conditionalFormatting sqref="L11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{E7ED65E1-0118-4A8E-ADE6-C1D2936BFA0F}</x14:id>
        </ext>
      </extLst>
    </cfRule>
  </conditionalFormatting>
  <conditionalFormatting sqref="E52:E53 E60 E57">
    <cfRule type="containsText" dxfId="1635" priority="421" operator="containsText" text="Buy">
      <formula>NOT(ISERROR(SEARCH("Buy",E52)))</formula>
    </cfRule>
    <cfRule type="containsText" dxfId="1634" priority="422" operator="containsText" text="Sell">
      <formula>NOT(ISERROR(SEARCH("Sell",E52)))</formula>
    </cfRule>
  </conditionalFormatting>
  <conditionalFormatting sqref="E51">
    <cfRule type="containsText" dxfId="1633" priority="419" operator="containsText" text="Buy">
      <formula>NOT(ISERROR(SEARCH("Buy",E51)))</formula>
    </cfRule>
    <cfRule type="containsText" dxfId="1632" priority="420" operator="containsText" text="Sell">
      <formula>NOT(ISERROR(SEARCH("Sell",E51)))</formula>
    </cfRule>
  </conditionalFormatting>
  <conditionalFormatting sqref="E62:E63">
    <cfRule type="containsText" dxfId="1631" priority="417" operator="containsText" text="Buy">
      <formula>NOT(ISERROR(SEARCH("Buy",E62)))</formula>
    </cfRule>
    <cfRule type="containsText" dxfId="1630" priority="418" operator="containsText" text="Sell">
      <formula>NOT(ISERROR(SEARCH("Sell",E62)))</formula>
    </cfRule>
  </conditionalFormatting>
  <conditionalFormatting sqref="E61">
    <cfRule type="containsText" dxfId="1629" priority="415" operator="containsText" text="Buy">
      <formula>NOT(ISERROR(SEARCH("Buy",E61)))</formula>
    </cfRule>
    <cfRule type="containsText" dxfId="1628" priority="416" operator="containsText" text="Sell">
      <formula>NOT(ISERROR(SEARCH("Sell",E61)))</formula>
    </cfRule>
  </conditionalFormatting>
  <conditionalFormatting sqref="U13">
    <cfRule type="dataBar" priority="3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{389CFAC7-39CB-44DB-9F62-B7814C4AB66B}</x14:id>
        </ext>
      </extLst>
    </cfRule>
  </conditionalFormatting>
  <conditionalFormatting sqref="V13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{DFB68387-CD14-4137-B6DF-76C22BE2E126}</x14:id>
        </ext>
      </extLst>
    </cfRule>
  </conditionalFormatting>
  <conditionalFormatting sqref="W13">
    <cfRule type="dataBar" priority="3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{B9101415-AF7B-472B-8369-7A1ECA0FFBD7}</x14:id>
        </ext>
      </extLst>
    </cfRule>
  </conditionalFormatting>
  <conditionalFormatting sqref="X13">
    <cfRule type="dataBar" priority="3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{1A849997-B909-440A-BD58-024811C32136}</x14:id>
        </ext>
      </extLst>
    </cfRule>
  </conditionalFormatting>
  <conditionalFormatting sqref="K13:L13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{48E2DFC6-B33C-4457-B7FF-BC6920BE7982}</x14:id>
        </ext>
      </extLst>
    </cfRule>
  </conditionalFormatting>
  <conditionalFormatting sqref="K13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{29CF505B-CBB2-4F1F-B875-0F8CE5DDD3EC}</x14:id>
        </ext>
      </extLst>
    </cfRule>
  </conditionalFormatting>
  <conditionalFormatting sqref="L13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{0827D3A0-1700-442F-8056-8E406E3CCE5F}</x14:id>
        </ext>
      </extLst>
    </cfRule>
  </conditionalFormatting>
  <conditionalFormatting sqref="E59">
    <cfRule type="containsText" dxfId="1627" priority="380" operator="containsText" text="Buy">
      <formula>NOT(ISERROR(SEARCH("Buy",E59)))</formula>
    </cfRule>
    <cfRule type="containsText" dxfId="1626" priority="381" operator="containsText" text="Sell">
      <formula>NOT(ISERROR(SEARCH("Sell",E59)))</formula>
    </cfRule>
  </conditionalFormatting>
  <conditionalFormatting sqref="E58">
    <cfRule type="containsText" dxfId="1625" priority="378" operator="containsText" text="Buy">
      <formula>NOT(ISERROR(SEARCH("Buy",E58)))</formula>
    </cfRule>
    <cfRule type="containsText" dxfId="1624" priority="379" operator="containsText" text="Sell">
      <formula>NOT(ISERROR(SEARCH("Sell",E58)))</formula>
    </cfRule>
  </conditionalFormatting>
  <conditionalFormatting sqref="K8:L8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{5FE756D0-14A8-4FAC-A1FB-CE2E04B9F96D}</x14:id>
        </ext>
      </extLst>
    </cfRule>
  </conditionalFormatting>
  <conditionalFormatting sqref="K8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{8409AD4D-ADF6-47F7-8CF9-C1321CFF55B5}</x14:id>
        </ext>
      </extLst>
    </cfRule>
  </conditionalFormatting>
  <conditionalFormatting sqref="L8">
    <cfRule type="dataBar" priority="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{A9485063-59EF-45EA-A37B-AF0997499E9D}</x14:id>
        </ext>
      </extLst>
    </cfRule>
  </conditionalFormatting>
  <conditionalFormatting sqref="U8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{601D278C-10E0-43C4-A019-3B3EAC48B246}</x14:id>
        </ext>
      </extLst>
    </cfRule>
  </conditionalFormatting>
  <conditionalFormatting sqref="V8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{400A8998-D5BC-42E9-A30E-5015B9F13F8C}</x14:id>
        </ext>
      </extLst>
    </cfRule>
  </conditionalFormatting>
  <conditionalFormatting sqref="W8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{1C15352D-774C-4044-866F-A42CF0E70E1F}</x14:id>
        </ext>
      </extLst>
    </cfRule>
  </conditionalFormatting>
  <conditionalFormatting sqref="X8">
    <cfRule type="dataBar" priority="3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{E499EBBA-6387-4A19-9687-2924D287CD0F}</x14:id>
        </ext>
      </extLst>
    </cfRule>
  </conditionalFormatting>
  <conditionalFormatting sqref="E56">
    <cfRule type="containsText" dxfId="1623" priority="361" operator="containsText" text="Buy">
      <formula>NOT(ISERROR(SEARCH("Buy",E56)))</formula>
    </cfRule>
    <cfRule type="containsText" dxfId="1622" priority="362" operator="containsText" text="Sell">
      <formula>NOT(ISERROR(SEARCH("Sell",E56)))</formula>
    </cfRule>
  </conditionalFormatting>
  <conditionalFormatting sqref="E55">
    <cfRule type="containsText" dxfId="1621" priority="359" operator="containsText" text="Buy">
      <formula>NOT(ISERROR(SEARCH("Buy",E55)))</formula>
    </cfRule>
    <cfRule type="containsText" dxfId="1620" priority="360" operator="containsText" text="Sell">
      <formula>NOT(ISERROR(SEARCH("Sell",E55)))</formula>
    </cfRule>
  </conditionalFormatting>
  <conditionalFormatting sqref="E50">
    <cfRule type="containsText" dxfId="1619" priority="357" operator="containsText" text="Buy">
      <formula>NOT(ISERROR(SEARCH("Buy",E50)))</formula>
    </cfRule>
    <cfRule type="containsText" dxfId="1618" priority="358" operator="containsText" text="Sell">
      <formula>NOT(ISERROR(SEARCH("Sell",E50)))</formula>
    </cfRule>
  </conditionalFormatting>
  <conditionalFormatting sqref="E113">
    <cfRule type="containsText" dxfId="1617" priority="353" operator="containsText" text="Buy">
      <formula>NOT(ISERROR(SEARCH("Buy",E113)))</formula>
    </cfRule>
    <cfRule type="containsText" dxfId="1616" priority="354" operator="containsText" text="Sell">
      <formula>NOT(ISERROR(SEARCH("Sell",E113)))</formula>
    </cfRule>
  </conditionalFormatting>
  <conditionalFormatting sqref="E114">
    <cfRule type="containsText" dxfId="1615" priority="355" operator="containsText" text="Buy">
      <formula>NOT(ISERROR(SEARCH("Buy",E114)))</formula>
    </cfRule>
    <cfRule type="containsText" dxfId="1614" priority="356" operator="containsText" text="Sell">
      <formula>NOT(ISERROR(SEARCH("Sell",E114)))</formula>
    </cfRule>
  </conditionalFormatting>
  <conditionalFormatting sqref="E116">
    <cfRule type="containsText" dxfId="1613" priority="349" operator="containsText" text="Buy">
      <formula>NOT(ISERROR(SEARCH("Buy",E116)))</formula>
    </cfRule>
    <cfRule type="containsText" dxfId="1612" priority="350" operator="containsText" text="Sell">
      <formula>NOT(ISERROR(SEARCH("Sell",E116)))</formula>
    </cfRule>
  </conditionalFormatting>
  <conditionalFormatting sqref="E117:E118">
    <cfRule type="containsText" dxfId="1611" priority="351" operator="containsText" text="Buy">
      <formula>NOT(ISERROR(SEARCH("Buy",E117)))</formula>
    </cfRule>
    <cfRule type="containsText" dxfId="1610" priority="352" operator="containsText" text="Sell">
      <formula>NOT(ISERROR(SEARCH("Sell",E117)))</formula>
    </cfRule>
  </conditionalFormatting>
  <conditionalFormatting sqref="E120">
    <cfRule type="containsText" dxfId="1609" priority="345" operator="containsText" text="Buy">
      <formula>NOT(ISERROR(SEARCH("Buy",E120)))</formula>
    </cfRule>
    <cfRule type="containsText" dxfId="1608" priority="346" operator="containsText" text="Sell">
      <formula>NOT(ISERROR(SEARCH("Sell",E120)))</formula>
    </cfRule>
  </conditionalFormatting>
  <conditionalFormatting sqref="E121">
    <cfRule type="containsText" dxfId="1607" priority="347" operator="containsText" text="Buy">
      <formula>NOT(ISERROR(SEARCH("Buy",E121)))</formula>
    </cfRule>
    <cfRule type="containsText" dxfId="1606" priority="348" operator="containsText" text="Sell">
      <formula>NOT(ISERROR(SEARCH("Sell",E121)))</formula>
    </cfRule>
  </conditionalFormatting>
  <conditionalFormatting sqref="U20">
    <cfRule type="dataBar" priority="3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{7774C782-1754-4E96-B15D-EA4E57D0F39E}</x14:id>
        </ext>
      </extLst>
    </cfRule>
  </conditionalFormatting>
  <conditionalFormatting sqref="V20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{F7A110B6-A571-421A-9FF5-E947367B4D49}</x14:id>
        </ext>
      </extLst>
    </cfRule>
  </conditionalFormatting>
  <conditionalFormatting sqref="W20"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{D7771B96-91C7-499E-B95F-AF08840B5159}</x14:id>
        </ext>
      </extLst>
    </cfRule>
  </conditionalFormatting>
  <conditionalFormatting sqref="K20:L20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{1678FF89-4ADB-463B-97E8-F50C394D415F}</x14:id>
        </ext>
      </extLst>
    </cfRule>
  </conditionalFormatting>
  <conditionalFormatting sqref="K20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{8F1B5F0C-8399-40C3-BF06-3F3C49EAE38D}</x14:id>
        </ext>
      </extLst>
    </cfRule>
  </conditionalFormatting>
  <conditionalFormatting sqref="L20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{F93E2369-C6B1-4041-841E-C1AD7B368438}</x14:id>
        </ext>
      </extLst>
    </cfRule>
  </conditionalFormatting>
  <conditionalFormatting sqref="E86">
    <cfRule type="containsText" dxfId="1605" priority="301" operator="containsText" text="Buy">
      <formula>NOT(ISERROR(SEARCH("Buy",E86)))</formula>
    </cfRule>
    <cfRule type="containsText" dxfId="1604" priority="302" operator="containsText" text="Sell">
      <formula>NOT(ISERROR(SEARCH("Sell",E86)))</formula>
    </cfRule>
  </conditionalFormatting>
  <conditionalFormatting sqref="E78">
    <cfRule type="containsText" dxfId="1603" priority="299" operator="containsText" text="Buy">
      <formula>NOT(ISERROR(SEARCH("Buy",E78)))</formula>
    </cfRule>
    <cfRule type="containsText" dxfId="1602" priority="300" operator="containsText" text="Sell">
      <formula>NOT(ISERROR(SEARCH("Sell",E78)))</formula>
    </cfRule>
  </conditionalFormatting>
  <conditionalFormatting sqref="E65">
    <cfRule type="containsText" dxfId="1601" priority="281" operator="containsText" text="Buy">
      <formula>NOT(ISERROR(SEARCH("Buy",E65)))</formula>
    </cfRule>
    <cfRule type="containsText" dxfId="1600" priority="282" operator="containsText" text="Sell">
      <formula>NOT(ISERROR(SEARCH("Sell",E65)))</formula>
    </cfRule>
  </conditionalFormatting>
  <conditionalFormatting sqref="E66">
    <cfRule type="containsText" dxfId="1599" priority="283" operator="containsText" text="Buy">
      <formula>NOT(ISERROR(SEARCH("Buy",E66)))</formula>
    </cfRule>
    <cfRule type="containsText" dxfId="1598" priority="284" operator="containsText" text="Sell">
      <formula>NOT(ISERROR(SEARCH("Sell",E66)))</formula>
    </cfRule>
  </conditionalFormatting>
  <conditionalFormatting sqref="E64">
    <cfRule type="containsText" dxfId="1597" priority="273" operator="containsText" text="Buy">
      <formula>NOT(ISERROR(SEARCH("Buy",E64)))</formula>
    </cfRule>
    <cfRule type="containsText" dxfId="1596" priority="274" operator="containsText" text="Sell">
      <formula>NOT(ISERROR(SEARCH("Sell",E64)))</formula>
    </cfRule>
  </conditionalFormatting>
  <conditionalFormatting sqref="H3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{C917D7C5-75F5-4306-B8B2-015AC5334C67}</x14:id>
        </ext>
      </extLst>
    </cfRule>
    <cfRule type="cellIs" dxfId="1595" priority="269" operator="equal">
      <formula>1</formula>
    </cfRule>
  </conditionalFormatting>
  <conditionalFormatting sqref="D30">
    <cfRule type="containsText" dxfId="1594" priority="267" operator="containsText" text="Buy">
      <formula>NOT(ISERROR(SEARCH("Buy",D30)))</formula>
    </cfRule>
    <cfRule type="containsText" dxfId="1593" priority="268" operator="containsText" text="Sell">
      <formula>NOT(ISERROR(SEARCH("Sell",D30)))</formula>
    </cfRule>
  </conditionalFormatting>
  <conditionalFormatting sqref="H31:H32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{9925AA65-755E-4F75-8CA0-967A519EEB31}</x14:id>
        </ext>
      </extLst>
    </cfRule>
    <cfRule type="cellIs" dxfId="1592" priority="265" operator="equal">
      <formula>1</formula>
    </cfRule>
  </conditionalFormatting>
  <conditionalFormatting sqref="D31:D32">
    <cfRule type="containsText" dxfId="1591" priority="263" operator="containsText" text="Buy">
      <formula>NOT(ISERROR(SEARCH("Buy",D31)))</formula>
    </cfRule>
    <cfRule type="containsText" dxfId="1590" priority="264" operator="containsText" text="Sell">
      <formula>NOT(ISERROR(SEARCH("Sell",D31)))</formula>
    </cfRule>
  </conditionalFormatting>
  <conditionalFormatting sqref="U10">
    <cfRule type="dataBar" priority="145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{A01C4653-BFE9-4A1D-B4ED-9BBE925EB2D7}</x14:id>
        </ext>
      </extLst>
    </cfRule>
  </conditionalFormatting>
  <conditionalFormatting sqref="V10">
    <cfRule type="dataBar" priority="14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{53CAB26B-0E65-458E-B88B-1994C6FB7D39}</x14:id>
        </ext>
      </extLst>
    </cfRule>
  </conditionalFormatting>
  <conditionalFormatting sqref="W10">
    <cfRule type="dataBar" priority="145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{7DC6B756-0340-47F9-9DE5-38C30110B664}</x14:id>
        </ext>
      </extLst>
    </cfRule>
  </conditionalFormatting>
  <conditionalFormatting sqref="X4 X10">
    <cfRule type="dataBar" priority="145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{A38509EE-860E-4249-B8A8-CEBB6CC630B8}</x14:id>
        </ext>
      </extLst>
    </cfRule>
  </conditionalFormatting>
  <conditionalFormatting sqref="H33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{1D037F2D-AD42-4D3C-92C5-CB63E8F25CD6}</x14:id>
        </ext>
      </extLst>
    </cfRule>
    <cfRule type="cellIs" dxfId="1589" priority="261" operator="equal">
      <formula>1</formula>
    </cfRule>
  </conditionalFormatting>
  <conditionalFormatting sqref="D33">
    <cfRule type="containsText" dxfId="1588" priority="259" operator="containsText" text="Buy">
      <formula>NOT(ISERROR(SEARCH("Buy",D33)))</formula>
    </cfRule>
    <cfRule type="containsText" dxfId="1587" priority="260" operator="containsText" text="Sell">
      <formula>NOT(ISERROR(SEARCH("Sell",D33)))</formula>
    </cfRule>
  </conditionalFormatting>
  <conditionalFormatting sqref="U4">
    <cfRule type="dataBar" priority="146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{22F73E9B-0790-45CA-B1CD-A2A39A594EE0}</x14:id>
        </ext>
      </extLst>
    </cfRule>
  </conditionalFormatting>
  <conditionalFormatting sqref="V4">
    <cfRule type="dataBar" priority="14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{176DA4BF-642F-4B11-80EE-0D0B40126E96}</x14:id>
        </ext>
      </extLst>
    </cfRule>
  </conditionalFormatting>
  <conditionalFormatting sqref="W4">
    <cfRule type="dataBar" priority="146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{4A76398C-DE22-467F-AF0D-7C25DEE09316}</x14:id>
        </ext>
      </extLst>
    </cfRule>
  </conditionalFormatting>
  <conditionalFormatting sqref="X4">
    <cfRule type="dataBar" priority="146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{18105FA9-D212-4BA6-828D-BB90D636C2CC}</x14:id>
        </ext>
      </extLst>
    </cfRule>
  </conditionalFormatting>
  <conditionalFormatting sqref="K4:K5 K13 K8 K10:K11">
    <cfRule type="dataBar" priority="146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{971BF8AD-3064-4BC2-B53B-0934CB9C0725}</x14:id>
        </ext>
      </extLst>
    </cfRule>
  </conditionalFormatting>
  <conditionalFormatting sqref="E49">
    <cfRule type="containsText" dxfId="1586" priority="255" operator="containsText" text="Buy">
      <formula>NOT(ISERROR(SEARCH("Buy",E49)))</formula>
    </cfRule>
    <cfRule type="containsText" dxfId="1585" priority="256" operator="containsText" text="Sell">
      <formula>NOT(ISERROR(SEARCH("Sell",E49)))</formula>
    </cfRule>
  </conditionalFormatting>
  <conditionalFormatting sqref="H34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{11116510-D7FC-4248-8790-AAADBCAA0451}</x14:id>
        </ext>
      </extLst>
    </cfRule>
    <cfRule type="cellIs" dxfId="1584" priority="254" operator="equal">
      <formula>1</formula>
    </cfRule>
  </conditionalFormatting>
  <conditionalFormatting sqref="D34">
    <cfRule type="containsText" dxfId="1583" priority="252" operator="containsText" text="Buy">
      <formula>NOT(ISERROR(SEARCH("Buy",D34)))</formula>
    </cfRule>
    <cfRule type="containsText" dxfId="1582" priority="253" operator="containsText" text="Sell">
      <formula>NOT(ISERROR(SEARCH("Sell",D34)))</formula>
    </cfRule>
  </conditionalFormatting>
  <conditionalFormatting sqref="H35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{2C6F625E-DE8D-45A9-BA35-99C9DD90ACBC}</x14:id>
        </ext>
      </extLst>
    </cfRule>
    <cfRule type="cellIs" dxfId="1581" priority="250" operator="equal">
      <formula>1</formula>
    </cfRule>
  </conditionalFormatting>
  <conditionalFormatting sqref="D35">
    <cfRule type="containsText" dxfId="1580" priority="248" operator="containsText" text="Buy">
      <formula>NOT(ISERROR(SEARCH("Buy",D35)))</formula>
    </cfRule>
    <cfRule type="containsText" dxfId="1579" priority="249" operator="containsText" text="Sell">
      <formula>NOT(ISERROR(SEARCH("Sell",D35)))</formula>
    </cfRule>
  </conditionalFormatting>
  <conditionalFormatting sqref="H3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{C065C1D7-793B-4269-9AD2-32584CD4C7E2}</x14:id>
        </ext>
      </extLst>
    </cfRule>
    <cfRule type="cellIs" dxfId="1578" priority="246" operator="equal">
      <formula>1</formula>
    </cfRule>
  </conditionalFormatting>
  <conditionalFormatting sqref="D36">
    <cfRule type="containsText" dxfId="1577" priority="244" operator="containsText" text="Buy">
      <formula>NOT(ISERROR(SEARCH("Buy",D36)))</formula>
    </cfRule>
    <cfRule type="containsText" dxfId="1576" priority="245" operator="containsText" text="Sell">
      <formula>NOT(ISERROR(SEARCH("Sell",D36)))</formula>
    </cfRule>
  </conditionalFormatting>
  <conditionalFormatting sqref="H37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{828F0B71-DF14-4450-856A-CEB762BEBDC2}</x14:id>
        </ext>
      </extLst>
    </cfRule>
    <cfRule type="cellIs" dxfId="1575" priority="242" operator="equal">
      <formula>1</formula>
    </cfRule>
  </conditionalFormatting>
  <conditionalFormatting sqref="D37">
    <cfRule type="containsText" dxfId="1574" priority="240" operator="containsText" text="Buy">
      <formula>NOT(ISERROR(SEARCH("Buy",D37)))</formula>
    </cfRule>
    <cfRule type="containsText" dxfId="1573" priority="241" operator="containsText" text="Sell">
      <formula>NOT(ISERROR(SEARCH("Sell",D37)))</formula>
    </cfRule>
  </conditionalFormatting>
  <conditionalFormatting sqref="H38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{B7CC6E1D-BEBC-45CE-9DBE-C2786C49EFC7}</x14:id>
        </ext>
      </extLst>
    </cfRule>
    <cfRule type="cellIs" dxfId="1572" priority="238" operator="equal">
      <formula>1</formula>
    </cfRule>
  </conditionalFormatting>
  <conditionalFormatting sqref="D38">
    <cfRule type="containsText" dxfId="1571" priority="236" operator="containsText" text="Buy">
      <formula>NOT(ISERROR(SEARCH("Buy",D38)))</formula>
    </cfRule>
    <cfRule type="containsText" dxfId="1570" priority="237" operator="containsText" text="Sell">
      <formula>NOT(ISERROR(SEARCH("Sell",D38)))</formula>
    </cfRule>
  </conditionalFormatting>
  <conditionalFormatting sqref="H39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{E4723953-5A0F-4EC5-8925-2DA78BD067E7}</x14:id>
        </ext>
      </extLst>
    </cfRule>
    <cfRule type="cellIs" dxfId="1569" priority="234" operator="equal">
      <formula>1</formula>
    </cfRule>
  </conditionalFormatting>
  <conditionalFormatting sqref="D39">
    <cfRule type="containsText" dxfId="1568" priority="232" operator="containsText" text="Buy">
      <formula>NOT(ISERROR(SEARCH("Buy",D39)))</formula>
    </cfRule>
    <cfRule type="containsText" dxfId="1567" priority="233" operator="containsText" text="Sell">
      <formula>NOT(ISERROR(SEARCH("Sell",D39)))</formula>
    </cfRule>
  </conditionalFormatting>
  <conditionalFormatting sqref="H40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{3CEF7E24-E097-4B69-AD47-AF87D4726233}</x14:id>
        </ext>
      </extLst>
    </cfRule>
    <cfRule type="cellIs" dxfId="1566" priority="230" operator="equal">
      <formula>1</formula>
    </cfRule>
  </conditionalFormatting>
  <conditionalFormatting sqref="D40">
    <cfRule type="containsText" dxfId="1565" priority="228" operator="containsText" text="Buy">
      <formula>NOT(ISERROR(SEARCH("Buy",D40)))</formula>
    </cfRule>
    <cfRule type="containsText" dxfId="1564" priority="229" operator="containsText" text="Sell">
      <formula>NOT(ISERROR(SEARCH("Sell",D40)))</formula>
    </cfRule>
  </conditionalFormatting>
  <conditionalFormatting sqref="U17:U18">
    <cfRule type="dataBar" priority="264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{7657E3F0-E440-44C4-88B1-4F95212D291C}</x14:id>
        </ext>
      </extLst>
    </cfRule>
  </conditionalFormatting>
  <conditionalFormatting sqref="V17:V18">
    <cfRule type="dataBar" priority="26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{78DDC6C4-8362-4C77-BF76-7E0B84A14F3C}</x14:id>
        </ext>
      </extLst>
    </cfRule>
  </conditionalFormatting>
  <conditionalFormatting sqref="W17:W18">
    <cfRule type="dataBar" priority="26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{9583A67E-3A91-41D7-BB5E-7401261B6A5A}</x14:id>
        </ext>
      </extLst>
    </cfRule>
  </conditionalFormatting>
  <conditionalFormatting sqref="K17:L18 K4:L5 K10:L10">
    <cfRule type="dataBar" priority="264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{54918A4E-A18A-4872-B086-49D942637716}</x14:id>
        </ext>
      </extLst>
    </cfRule>
  </conditionalFormatting>
  <conditionalFormatting sqref="K17:K18 K4:K5 K10">
    <cfRule type="dataBar" priority="26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{F47EAEC5-3079-49E8-B03B-A49E389B9E7F}</x14:id>
        </ext>
      </extLst>
    </cfRule>
  </conditionalFormatting>
  <conditionalFormatting sqref="L17:L18 L4:L5 L10">
    <cfRule type="dataBar" priority="26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{DFC5F0D7-2A2A-4117-8E6C-630310B8EDCC}</x14:id>
        </ext>
      </extLst>
    </cfRule>
  </conditionalFormatting>
  <conditionalFormatting sqref="L17:L18 L20">
    <cfRule type="dataBar" priority="26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{BA2E3CB8-3FD7-4B2C-8CEB-9E0AE6E44D2A}</x14:id>
        </ext>
      </extLst>
    </cfRule>
  </conditionalFormatting>
  <conditionalFormatting sqref="K4:L5 K13:L13 K8:L8 K10:L11 K20:L20 K17:L18">
    <cfRule type="dataBar" priority="2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{9FA3AD25-5648-48B6-A8AD-17FCBD2621AF}</x14:id>
        </ext>
      </extLst>
    </cfRule>
  </conditionalFormatting>
  <conditionalFormatting sqref="K4:K5 K13 K8 K10:K11 K20 K17:K18">
    <cfRule type="dataBar" priority="264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{A90FC897-3A64-475C-ADD7-8EEB53529C35}</x14:id>
        </ext>
      </extLst>
    </cfRule>
  </conditionalFormatting>
  <conditionalFormatting sqref="L4:L5 L13 L8 L10:L11 L20 L17:L18">
    <cfRule type="dataBar" priority="26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{2BB06E69-C8C1-43FF-9B38-AFEB400B27C8}</x14:id>
        </ext>
      </extLst>
    </cfRule>
  </conditionalFormatting>
  <conditionalFormatting sqref="S4:S5 S13 S8 S10:S11 S20 S17:S18">
    <cfRule type="dataBar" priority="2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{69E6E7F7-C9BE-4200-B222-B908FBBDC701}</x14:id>
        </ext>
      </extLst>
    </cfRule>
  </conditionalFormatting>
  <conditionalFormatting sqref="S4:S5 S13 S22:S23 S8 S10:S11 S20 S17:S18">
    <cfRule type="dataBar" priority="2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{75A2BAD0-829E-4F24-8FB1-AA44C4D22387}</x14:id>
        </ext>
      </extLst>
    </cfRule>
  </conditionalFormatting>
  <conditionalFormatting sqref="U12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{440B319E-1156-4DA0-8AC0-9CAFCD1E52B3}</x14:id>
        </ext>
      </extLst>
    </cfRule>
  </conditionalFormatting>
  <conditionalFormatting sqref="V12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{AA5DFD2E-E2AA-4524-A729-7BD03749D30A}</x14:id>
        </ext>
      </extLst>
    </cfRule>
  </conditionalFormatting>
  <conditionalFormatting sqref="W12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{CD17AA9A-0491-4EC9-9FA4-BDDB9061ECA6}</x14:id>
        </ext>
      </extLst>
    </cfRule>
  </conditionalFormatting>
  <conditionalFormatting sqref="X12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{88506B87-C3F3-425A-85FA-C5109E9F41D1}</x14:id>
        </ext>
      </extLst>
    </cfRule>
  </conditionalFormatting>
  <conditionalFormatting sqref="K12:L12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{19606360-5A57-4CAF-87CB-2C098B1E6024}</x14:id>
        </ext>
      </extLst>
    </cfRule>
  </conditionalFormatting>
  <conditionalFormatting sqref="K12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{6100B3F2-9F96-49BA-955B-D8E301AD802E}</x14:id>
        </ext>
      </extLst>
    </cfRule>
  </conditionalFormatting>
  <conditionalFormatting sqref="L12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{182E4EA4-B06A-4C49-AF47-973BE5D995D7}</x14:id>
        </ext>
      </extLst>
    </cfRule>
  </conditionalFormatting>
  <conditionalFormatting sqref="K12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{E76EA30F-A174-4D91-A7B5-7FB5B68E223B}</x14:id>
        </ext>
      </extLst>
    </cfRule>
  </conditionalFormatting>
  <conditionalFormatting sqref="K12:L12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{99EA91E9-58E3-4B14-8680-51DA1D0F39B6}</x14:id>
        </ext>
      </extLst>
    </cfRule>
  </conditionalFormatting>
  <conditionalFormatting sqref="K12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{A1E97E48-028A-418E-B33A-13E1DB4CDEFC}</x14:id>
        </ext>
      </extLst>
    </cfRule>
  </conditionalFormatting>
  <conditionalFormatting sqref="L12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{0F169712-CC7C-475E-8A23-5DA4C561EF0B}</x14:id>
        </ext>
      </extLst>
    </cfRule>
  </conditionalFormatting>
  <conditionalFormatting sqref="S12">
    <cfRule type="dataBar" priority="2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{D7AD166F-25A5-4CBC-854B-FB995F1A9A7F}</x14:id>
        </ext>
      </extLst>
    </cfRule>
  </conditionalFormatting>
  <conditionalFormatting sqref="S12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{05CCBA33-1008-4143-A474-7E859942C4B1}</x14:id>
        </ext>
      </extLst>
    </cfRule>
  </conditionalFormatting>
  <conditionalFormatting sqref="H41">
    <cfRule type="dataBar" priority="1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{780A8488-FFC1-425F-B4DE-18E7EEC00EEF}</x14:id>
        </ext>
      </extLst>
    </cfRule>
    <cfRule type="cellIs" dxfId="1563" priority="202" operator="equal">
      <formula>1</formula>
    </cfRule>
  </conditionalFormatting>
  <conditionalFormatting sqref="D41">
    <cfRule type="containsText" dxfId="1562" priority="200" operator="containsText" text="Buy">
      <formula>NOT(ISERROR(SEARCH("Buy",D41)))</formula>
    </cfRule>
    <cfRule type="containsText" dxfId="1561" priority="201" operator="containsText" text="Sell">
      <formula>NOT(ISERROR(SEARCH("Sell",D41)))</formula>
    </cfRule>
  </conditionalFormatting>
  <conditionalFormatting sqref="U21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{0E4567CF-8808-4131-B7EA-78182E8488CB}</x14:id>
        </ext>
      </extLst>
    </cfRule>
  </conditionalFormatting>
  <conditionalFormatting sqref="V2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{6629800F-BEB6-464D-BFD5-0D6CD518999F}</x14:id>
        </ext>
      </extLst>
    </cfRule>
  </conditionalFormatting>
  <conditionalFormatting sqref="W2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{E26CD6A0-8F3F-4EA4-938F-9CC5FD2F02A9}</x14:id>
        </ext>
      </extLst>
    </cfRule>
  </conditionalFormatting>
  <conditionalFormatting sqref="K21:L21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{9EC1E68B-B089-4FF5-9C96-631CC92BCBEA}</x14:id>
        </ext>
      </extLst>
    </cfRule>
  </conditionalFormatting>
  <conditionalFormatting sqref="K21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{11345175-A23D-48F8-B411-09749519E272}</x14:id>
        </ext>
      </extLst>
    </cfRule>
  </conditionalFormatting>
  <conditionalFormatting sqref="L21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{5B048F7E-B076-418F-A696-46B534385AEC}</x14:id>
        </ext>
      </extLst>
    </cfRule>
  </conditionalFormatting>
  <conditionalFormatting sqref="L21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{6994FA57-2C23-4DCB-BC5C-422DB9D59B18}</x14:id>
        </ext>
      </extLst>
    </cfRule>
  </conditionalFormatting>
  <conditionalFormatting sqref="K21:L21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{AA71F4B5-EE3C-490E-BEEA-1497BF028B3A}</x14:id>
        </ext>
      </extLst>
    </cfRule>
  </conditionalFormatting>
  <conditionalFormatting sqref="K2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{592ADF39-163D-4202-8D80-B244EAE70688}</x14:id>
        </ext>
      </extLst>
    </cfRule>
  </conditionalFormatting>
  <conditionalFormatting sqref="L21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{C347223B-B4B3-451C-AD19-12A9FB993651}</x14:id>
        </ext>
      </extLst>
    </cfRule>
  </conditionalFormatting>
  <conditionalFormatting sqref="S21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{56726DB3-6821-4A65-891F-DDB90DFF2A5B}</x14:id>
        </ext>
      </extLst>
    </cfRule>
  </conditionalFormatting>
  <conditionalFormatting sqref="S21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{B5AE7A81-60F7-4F78-A69E-8B03266B4F05}</x14:id>
        </ext>
      </extLst>
    </cfRule>
  </conditionalFormatting>
  <conditionalFormatting sqref="E123">
    <cfRule type="containsText" dxfId="1560" priority="176" operator="containsText" text="Buy">
      <formula>NOT(ISERROR(SEARCH("Buy",E123)))</formula>
    </cfRule>
    <cfRule type="containsText" dxfId="1559" priority="177" operator="containsText" text="Sell">
      <formula>NOT(ISERROR(SEARCH("Sell",E123)))</formula>
    </cfRule>
  </conditionalFormatting>
  <conditionalFormatting sqref="E124">
    <cfRule type="containsText" dxfId="1558" priority="178" operator="containsText" text="Buy">
      <formula>NOT(ISERROR(SEARCH("Buy",E124)))</formula>
    </cfRule>
    <cfRule type="containsText" dxfId="1557" priority="179" operator="containsText" text="Sell">
      <formula>NOT(ISERROR(SEARCH("Sell",E124)))</formula>
    </cfRule>
  </conditionalFormatting>
  <conditionalFormatting sqref="U6">
    <cfRule type="dataBar" priority="1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{EA10614A-D83B-4A67-92E2-9FC0A9F23359}</x14:id>
        </ext>
      </extLst>
    </cfRule>
  </conditionalFormatting>
  <conditionalFormatting sqref="V6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{F31B98B5-3BB4-47D5-9180-BDB446ADC939}</x14:id>
        </ext>
      </extLst>
    </cfRule>
  </conditionalFormatting>
  <conditionalFormatting sqref="W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{F42550FD-1992-445F-AC01-7BDDB189796B}</x14:id>
        </ext>
      </extLst>
    </cfRule>
  </conditionalFormatting>
  <conditionalFormatting sqref="X6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{B106C231-8AE2-464F-A58E-455AA345A03D}</x14:id>
        </ext>
      </extLst>
    </cfRule>
  </conditionalFormatting>
  <conditionalFormatting sqref="K6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{3A10B0FC-A96A-43A3-993D-3F0B6ADAF6AE}</x14:id>
        </ext>
      </extLst>
    </cfRule>
  </conditionalFormatting>
  <conditionalFormatting sqref="K6:L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{E43362E0-9559-4037-A4A0-015BFF303830}</x14:id>
        </ext>
      </extLst>
    </cfRule>
  </conditionalFormatting>
  <conditionalFormatting sqref="K6">
    <cfRule type="dataBar" priority="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{DFB88CE7-8D30-4415-BD95-155B8328F361}</x14:id>
        </ext>
      </extLst>
    </cfRule>
  </conditionalFormatting>
  <conditionalFormatting sqref="L6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{B1E2160C-939F-42E6-800F-B0C32EB69B2C}</x14:id>
        </ext>
      </extLst>
    </cfRule>
  </conditionalFormatting>
  <conditionalFormatting sqref="K6:L6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{7B23D360-5533-4EEC-B133-559A8B1540C3}</x14:id>
        </ext>
      </extLst>
    </cfRule>
  </conditionalFormatting>
  <conditionalFormatting sqref="K6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{2A00D251-60A3-45F3-98B1-93C22014937F}</x14:id>
        </ext>
      </extLst>
    </cfRule>
  </conditionalFormatting>
  <conditionalFormatting sqref="L6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{087F8A9B-37D3-4D4D-9AB7-A8FE80965D84}</x14:id>
        </ext>
      </extLst>
    </cfRule>
  </conditionalFormatting>
  <conditionalFormatting sqref="S6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{E68AF3C0-BC1B-44A4-8ED8-B1D8385FF3DB}</x14:id>
        </ext>
      </extLst>
    </cfRule>
  </conditionalFormatting>
  <conditionalFormatting sqref="S6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{7E49BD81-AEA1-47FC-9341-97D01303869C}</x14:id>
        </ext>
      </extLst>
    </cfRule>
  </conditionalFormatting>
  <conditionalFormatting sqref="E126">
    <cfRule type="containsText" dxfId="1556" priority="151" operator="containsText" text="Buy">
      <formula>NOT(ISERROR(SEARCH("Buy",E126)))</formula>
    </cfRule>
    <cfRule type="containsText" dxfId="1555" priority="152" operator="containsText" text="Sell">
      <formula>NOT(ISERROR(SEARCH("Sell",E126)))</formula>
    </cfRule>
  </conditionalFormatting>
  <conditionalFormatting sqref="E127">
    <cfRule type="containsText" dxfId="1554" priority="153" operator="containsText" text="Buy">
      <formula>NOT(ISERROR(SEARCH("Buy",E127)))</formula>
    </cfRule>
    <cfRule type="containsText" dxfId="1553" priority="154" operator="containsText" text="Sell">
      <formula>NOT(ISERROR(SEARCH("Sell",E127)))</formula>
    </cfRule>
  </conditionalFormatting>
  <conditionalFormatting sqref="U9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{BBE1CD27-4132-40D0-807E-5487F4D6D52F}</x14:id>
        </ext>
      </extLst>
    </cfRule>
  </conditionalFormatting>
  <conditionalFormatting sqref="V9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{6B770C52-D569-4B05-89D0-F38D86878243}</x14:id>
        </ext>
      </extLst>
    </cfRule>
  </conditionalFormatting>
  <conditionalFormatting sqref="W9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{FF9DCF68-E471-4A5E-B815-08FD970E23BF}</x14:id>
        </ext>
      </extLst>
    </cfRule>
  </conditionalFormatting>
  <conditionalFormatting sqref="X9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{9199CDB4-67BC-43D0-B312-6531BC5C421C}</x14:id>
        </ext>
      </extLst>
    </cfRule>
  </conditionalFormatting>
  <conditionalFormatting sqref="K9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{0FED2EE0-42F2-47D8-9866-9D982CAD17A8}</x14:id>
        </ext>
      </extLst>
    </cfRule>
  </conditionalFormatting>
  <conditionalFormatting sqref="K9:L9"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{3699DBB7-609E-4E22-B9DC-54FC72D14C4F}</x14:id>
        </ext>
      </extLst>
    </cfRule>
  </conditionalFormatting>
  <conditionalFormatting sqref="K9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{BD570224-C05A-4CDE-B5BC-077A63C7CF77}</x14:id>
        </ext>
      </extLst>
    </cfRule>
  </conditionalFormatting>
  <conditionalFormatting sqref="L9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{496C6E3D-B5CD-4F05-8575-598C9BD835BC}</x14:id>
        </ext>
      </extLst>
    </cfRule>
  </conditionalFormatting>
  <conditionalFormatting sqref="K9:L9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{5D0A7211-E5DA-449A-A58A-060F34AB5E4B}</x14:id>
        </ext>
      </extLst>
    </cfRule>
  </conditionalFormatting>
  <conditionalFormatting sqref="K9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{0C861047-8EFB-41A1-990C-A3587356F84F}</x14:id>
        </ext>
      </extLst>
    </cfRule>
  </conditionalFormatting>
  <conditionalFormatting sqref="L9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{41E963D3-F62C-45BC-875E-920764A66DA7}</x14:id>
        </ext>
      </extLst>
    </cfRule>
  </conditionalFormatting>
  <conditionalFormatting sqref="S9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{D8BC2646-DC7C-43A4-9906-2C4DC16E5078}</x14:id>
        </ext>
      </extLst>
    </cfRule>
  </conditionalFormatting>
  <conditionalFormatting sqref="S9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{72AC6AF0-B5E4-4877-8965-59F91CDA24D7}</x14:id>
        </ext>
      </extLst>
    </cfRule>
  </conditionalFormatting>
  <conditionalFormatting sqref="E129">
    <cfRule type="containsText" dxfId="1552" priority="126" operator="containsText" text="Buy">
      <formula>NOT(ISERROR(SEARCH("Buy",E129)))</formula>
    </cfRule>
    <cfRule type="containsText" dxfId="1551" priority="127" operator="containsText" text="Sell">
      <formula>NOT(ISERROR(SEARCH("Sell",E129)))</formula>
    </cfRule>
  </conditionalFormatting>
  <conditionalFormatting sqref="E130">
    <cfRule type="containsText" dxfId="1550" priority="128" operator="containsText" text="Buy">
      <formula>NOT(ISERROR(SEARCH("Buy",E130)))</formula>
    </cfRule>
    <cfRule type="containsText" dxfId="1549" priority="129" operator="containsText" text="Sell">
      <formula>NOT(ISERROR(SEARCH("Sell",E130)))</formula>
    </cfRule>
  </conditionalFormatting>
  <conditionalFormatting sqref="E109">
    <cfRule type="containsText" dxfId="1548" priority="124" operator="containsText" text="Buy">
      <formula>NOT(ISERROR(SEARCH("Buy",E109)))</formula>
    </cfRule>
    <cfRule type="containsText" dxfId="1547" priority="125" operator="containsText" text="Sell">
      <formula>NOT(ISERROR(SEARCH("Sell",E109)))</formula>
    </cfRule>
  </conditionalFormatting>
  <conditionalFormatting sqref="E54">
    <cfRule type="containsText" dxfId="1546" priority="122" operator="containsText" text="Buy">
      <formula>NOT(ISERROR(SEARCH("Buy",E54)))</formula>
    </cfRule>
    <cfRule type="containsText" dxfId="1545" priority="123" operator="containsText" text="Sell">
      <formula>NOT(ISERROR(SEARCH("Sell",E54)))</formula>
    </cfRule>
  </conditionalFormatting>
  <conditionalFormatting sqref="K7:L7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{0ABE9B92-BDE3-4622-9465-B9B0D8BBBD90}</x14:id>
        </ext>
      </extLst>
    </cfRule>
  </conditionalFormatting>
  <conditionalFormatting sqref="K7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{833237A2-4A2E-4E05-BAAB-8A9D1B922940}</x14:id>
        </ext>
      </extLst>
    </cfRule>
  </conditionalFormatting>
  <conditionalFormatting sqref="L7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{9E8F7167-54EA-4C55-BE9C-406A8808597D}</x14:id>
        </ext>
      </extLst>
    </cfRule>
  </conditionalFormatting>
  <conditionalFormatting sqref="U7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{DF967939-5DE8-4E43-A810-C06BD440DAD8}</x14:id>
        </ext>
      </extLst>
    </cfRule>
  </conditionalFormatting>
  <conditionalFormatting sqref="V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{90786963-6796-4B73-9B2E-A44721695F61}</x14:id>
        </ext>
      </extLst>
    </cfRule>
  </conditionalFormatting>
  <conditionalFormatting sqref="W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{D25874E2-14DD-4EE3-AA1B-30D9B0873A9E}</x14:id>
        </ext>
      </extLst>
    </cfRule>
  </conditionalFormatting>
  <conditionalFormatting sqref="X7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{07DFE7A8-BA2B-48B0-BFBA-B3FA69648F10}</x14:id>
        </ext>
      </extLst>
    </cfRule>
  </conditionalFormatting>
  <conditionalFormatting sqref="K7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{3B5F0434-D902-4AC4-A990-8A39785AF9CE}</x14:id>
        </ext>
      </extLst>
    </cfRule>
  </conditionalFormatting>
  <conditionalFormatting sqref="K7:L7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{D327A182-4770-439A-AE61-D35C8B935781}</x14:id>
        </ext>
      </extLst>
    </cfRule>
  </conditionalFormatting>
  <conditionalFormatting sqref="K7">
    <cfRule type="dataBar" priority="1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{CB76E62F-0F41-45F0-8F78-8DCBDFDD1F51}</x14:id>
        </ext>
      </extLst>
    </cfRule>
  </conditionalFormatting>
  <conditionalFormatting sqref="L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{D2E5F495-1207-4959-B347-32401D8EBDD4}</x14:id>
        </ext>
      </extLst>
    </cfRule>
  </conditionalFormatting>
  <conditionalFormatting sqref="S7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{CA5A3695-59C9-4589-8952-B90490795D59}</x14:id>
        </ext>
      </extLst>
    </cfRule>
  </conditionalFormatting>
  <conditionalFormatting sqref="S7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{FC5B04EB-B8C0-44F2-9AC4-9BC3FD20F192}</x14:id>
        </ext>
      </extLst>
    </cfRule>
  </conditionalFormatting>
  <conditionalFormatting sqref="E132">
    <cfRule type="containsText" dxfId="1544" priority="98" operator="containsText" text="Buy">
      <formula>NOT(ISERROR(SEARCH("Buy",E132)))</formula>
    </cfRule>
    <cfRule type="containsText" dxfId="1543" priority="99" operator="containsText" text="Sell">
      <formula>NOT(ISERROR(SEARCH("Sell",E132)))</formula>
    </cfRule>
  </conditionalFormatting>
  <conditionalFormatting sqref="E133">
    <cfRule type="containsText" dxfId="1542" priority="100" operator="containsText" text="Buy">
      <formula>NOT(ISERROR(SEARCH("Buy",E133)))</formula>
    </cfRule>
    <cfRule type="containsText" dxfId="1541" priority="101" operator="containsText" text="Sell">
      <formula>NOT(ISERROR(SEARCH("Sell",E133)))</formula>
    </cfRule>
  </conditionalFormatting>
  <conditionalFormatting sqref="U10:V10">
    <cfRule type="dataBar" priority="308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{F097E2D7-8F8A-4D4E-B293-F4F27C96AE1E}</x14:id>
        </ext>
      </extLst>
    </cfRule>
  </conditionalFormatting>
  <conditionalFormatting sqref="U5:V5">
    <cfRule type="dataBar" priority="308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{30F4DCA8-B65D-4CCE-B190-670001CE2A3E}</x14:id>
        </ext>
      </extLst>
    </cfRule>
  </conditionalFormatting>
  <conditionalFormatting sqref="U5:V5">
    <cfRule type="dataBar" priority="30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{2EAD1316-82D7-4C6E-AEE5-18B02EA5A3E9}</x14:id>
        </ext>
      </extLst>
    </cfRule>
  </conditionalFormatting>
  <conditionalFormatting sqref="U11:V11">
    <cfRule type="dataBar" priority="30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{0F081CC7-5C52-40C6-B077-7C95654CBA49}</x14:id>
        </ext>
      </extLst>
    </cfRule>
  </conditionalFormatting>
  <conditionalFormatting sqref="U11:V11">
    <cfRule type="dataBar" priority="30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{6C799C3C-E138-4C71-80C9-3A9358C5C728}</x14:id>
        </ext>
      </extLst>
    </cfRule>
  </conditionalFormatting>
  <conditionalFormatting sqref="U13:V13">
    <cfRule type="dataBar" priority="30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{A49C001C-3BC0-4132-9637-A1BECFF2A4B8}</x14:id>
        </ext>
      </extLst>
    </cfRule>
  </conditionalFormatting>
  <conditionalFormatting sqref="U13:V13">
    <cfRule type="dataBar" priority="30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{0657684C-9E94-4821-987E-C5A8C0BD05FE}</x14:id>
        </ext>
      </extLst>
    </cfRule>
  </conditionalFormatting>
  <conditionalFormatting sqref="U8:V8">
    <cfRule type="dataBar" priority="308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{B32E398D-D1AD-4FF6-8489-1EDCA9A04DC7}</x14:id>
        </ext>
      </extLst>
    </cfRule>
  </conditionalFormatting>
  <conditionalFormatting sqref="U8:V8">
    <cfRule type="dataBar" priority="30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{905573E8-62AD-4A5E-9D21-505ABB9C568D}</x14:id>
        </ext>
      </extLst>
    </cfRule>
  </conditionalFormatting>
  <conditionalFormatting sqref="U20:V20">
    <cfRule type="dataBar" priority="30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{36F44343-C022-4476-BB05-CF3E7D35B8EB}</x14:id>
        </ext>
      </extLst>
    </cfRule>
  </conditionalFormatting>
  <conditionalFormatting sqref="U20:V20">
    <cfRule type="dataBar" priority="30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{279C7493-611A-4674-A67E-ACA192D6F18F}</x14:id>
        </ext>
      </extLst>
    </cfRule>
  </conditionalFormatting>
  <conditionalFormatting sqref="U10:V10">
    <cfRule type="dataBar" priority="30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{1C5585CF-D74C-4B7C-AC1E-C02BC0B3F20E}</x14:id>
        </ext>
      </extLst>
    </cfRule>
  </conditionalFormatting>
  <conditionalFormatting sqref="U4:V4">
    <cfRule type="dataBar" priority="30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{1464C2B8-EBB6-4A93-90C9-C104F213EF80}</x14:id>
        </ext>
      </extLst>
    </cfRule>
  </conditionalFormatting>
  <conditionalFormatting sqref="U4:V4">
    <cfRule type="dataBar" priority="30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{70BA88A0-9D53-4C0E-8860-87669D59A821}</x14:id>
        </ext>
      </extLst>
    </cfRule>
  </conditionalFormatting>
  <conditionalFormatting sqref="U17:V18">
    <cfRule type="dataBar" priority="308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{07B0CC28-3F2F-48F5-BFD8-ADB0A6EB70A8}</x14:id>
        </ext>
      </extLst>
    </cfRule>
  </conditionalFormatting>
  <conditionalFormatting sqref="U17:V18">
    <cfRule type="dataBar" priority="30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{774294F3-53EE-4393-B08B-15D1020DDB00}</x14:id>
        </ext>
      </extLst>
    </cfRule>
  </conditionalFormatting>
  <conditionalFormatting sqref="U12:V12">
    <cfRule type="dataBar" priority="308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{57C40EEE-ED97-484B-9778-E50520219BF1}</x14:id>
        </ext>
      </extLst>
    </cfRule>
  </conditionalFormatting>
  <conditionalFormatting sqref="U12:V12">
    <cfRule type="dataBar" priority="30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{8DCC4AC1-D6A0-4EC9-8586-CDAEF90A27D8}</x14:id>
        </ext>
      </extLst>
    </cfRule>
  </conditionalFormatting>
  <conditionalFormatting sqref="U21:V21">
    <cfRule type="dataBar" priority="308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{269C7604-1270-46DD-91E9-07AE3516D2C9}</x14:id>
        </ext>
      </extLst>
    </cfRule>
  </conditionalFormatting>
  <conditionalFormatting sqref="U21:V21">
    <cfRule type="dataBar" priority="30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{34C582BE-6F74-4148-976D-0641D20C0F65}</x14:id>
        </ext>
      </extLst>
    </cfRule>
  </conditionalFormatting>
  <conditionalFormatting sqref="U6:V6">
    <cfRule type="dataBar" priority="308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{48F493F8-F0EA-4DF8-A65E-608BB5D779C3}</x14:id>
        </ext>
      </extLst>
    </cfRule>
  </conditionalFormatting>
  <conditionalFormatting sqref="U6:V6">
    <cfRule type="dataBar" priority="30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{4E8E4148-33F5-4620-B1AC-46689F06353B}</x14:id>
        </ext>
      </extLst>
    </cfRule>
  </conditionalFormatting>
  <conditionalFormatting sqref="U9:V9">
    <cfRule type="dataBar" priority="308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{7798E5DB-B3DE-4724-97D8-E0CF589F7660}</x14:id>
        </ext>
      </extLst>
    </cfRule>
  </conditionalFormatting>
  <conditionalFormatting sqref="U9:V9">
    <cfRule type="dataBar" priority="30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{EECDD204-AF19-44CB-BE27-E5DE8A49B88C}</x14:id>
        </ext>
      </extLst>
    </cfRule>
  </conditionalFormatting>
  <conditionalFormatting sqref="U7:V7">
    <cfRule type="dataBar" priority="30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{7E51676F-3F61-461E-8B82-0FF9E27C3B10}</x14:id>
        </ext>
      </extLst>
    </cfRule>
  </conditionalFormatting>
  <conditionalFormatting sqref="U7:V7">
    <cfRule type="dataBar" priority="308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{86971A57-D3C7-4731-B631-207955B80820}</x14:id>
        </ext>
      </extLst>
    </cfRule>
  </conditionalFormatting>
  <conditionalFormatting sqref="I4:I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{63C036CD-4A2E-4D9D-9C2A-61E8E2DB7DA1}</x14:id>
        </ext>
      </extLst>
    </cfRule>
  </conditionalFormatting>
  <conditionalFormatting sqref="K4:L13 K20:L21 K17:L18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{60E383F0-C390-40B3-AABB-2B0266984866}</x14:id>
        </ext>
      </extLst>
    </cfRule>
  </conditionalFormatting>
  <conditionalFormatting sqref="I4:I13 I20:I23 I17:I18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{D7A9B52E-C84B-4F4B-BC51-71B25AD6DAA1}</x14:id>
        </ext>
      </extLst>
    </cfRule>
  </conditionalFormatting>
  <conditionalFormatting sqref="U4:V13 U20:V21 U17:V18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{0EF2FA83-D084-4537-811F-CAB68C290F7A}</x14:id>
        </ext>
      </extLst>
    </cfRule>
  </conditionalFormatting>
  <conditionalFormatting sqref="S4:S13 S20:S23 S17:S18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{F07B1246-6E24-4908-975A-8A7FCF173D41}</x14:id>
        </ext>
      </extLst>
    </cfRule>
  </conditionalFormatting>
  <conditionalFormatting sqref="E119">
    <cfRule type="containsText" dxfId="1540" priority="91" operator="containsText" text="Buy">
      <formula>NOT(ISERROR(SEARCH("Buy",E119)))</formula>
    </cfRule>
    <cfRule type="containsText" dxfId="1539" priority="92" operator="containsText" text="Sell">
      <formula>NOT(ISERROR(SEARCH("Sell",E119)))</formula>
    </cfRule>
  </conditionalFormatting>
  <conditionalFormatting sqref="E136">
    <cfRule type="containsText" dxfId="1538" priority="89" operator="containsText" text="Buy">
      <formula>NOT(ISERROR(SEARCH("Buy",E136)))</formula>
    </cfRule>
    <cfRule type="containsText" dxfId="1537" priority="90" operator="containsText" text="Sell">
      <formula>NOT(ISERROR(SEARCH("Sell",E136)))</formula>
    </cfRule>
  </conditionalFormatting>
  <conditionalFormatting sqref="U19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{F644BD95-D67F-46A5-80F3-BFFE0896A393}</x14:id>
        </ext>
      </extLst>
    </cfRule>
  </conditionalFormatting>
  <conditionalFormatting sqref="V19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{537E0890-96B6-4C1C-B9EA-578E75A167E2}</x14:id>
        </ext>
      </extLst>
    </cfRule>
  </conditionalFormatting>
  <conditionalFormatting sqref="W19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{69DF859D-1F5A-47F2-9347-81BEBF373D42}</x14:id>
        </ext>
      </extLst>
    </cfRule>
  </conditionalFormatting>
  <conditionalFormatting sqref="K19:L19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{24D9ADDE-C2BB-4AC7-844D-6A07271570D4}</x14:id>
        </ext>
      </extLst>
    </cfRule>
  </conditionalFormatting>
  <conditionalFormatting sqref="K19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{DE920912-EB9F-4E69-9393-B21FF7F53A71}</x14:id>
        </ext>
      </extLst>
    </cfRule>
  </conditionalFormatting>
  <conditionalFormatting sqref="L19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{7F153189-0919-41C4-A6EC-07F631F538ED}</x14:id>
        </ext>
      </extLst>
    </cfRule>
  </conditionalFormatting>
  <conditionalFormatting sqref="L19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{68130238-C1E6-491A-9285-630DEBAD36D5}</x14:id>
        </ext>
      </extLst>
    </cfRule>
  </conditionalFormatting>
  <conditionalFormatting sqref="K19:L19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{896A3DED-6302-44D5-9847-08C3F3DE0165}</x14:id>
        </ext>
      </extLst>
    </cfRule>
  </conditionalFormatting>
  <conditionalFormatting sqref="K19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{8A4DC610-D3BE-413E-B111-BBC8FEFE8021}</x14:id>
        </ext>
      </extLst>
    </cfRule>
  </conditionalFormatting>
  <conditionalFormatting sqref="L19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{BA028CD2-5F2C-47A1-88FB-FD56509F876C}</x14:id>
        </ext>
      </extLst>
    </cfRule>
  </conditionalFormatting>
  <conditionalFormatting sqref="S19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{A51786D7-FF13-42F5-91B3-4D293DDDACE0}</x14:id>
        </ext>
      </extLst>
    </cfRule>
  </conditionalFormatting>
  <conditionalFormatting sqref="S19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{1D5D11C5-1C94-46D5-ACEB-47464EF377A7}</x14:id>
        </ext>
      </extLst>
    </cfRule>
  </conditionalFormatting>
  <conditionalFormatting sqref="U19:V19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{ABD8111A-270C-4FEC-8C69-65BE4859CBDE}</x14:id>
        </ext>
      </extLst>
    </cfRule>
  </conditionalFormatting>
  <conditionalFormatting sqref="U19:V19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{526D1CC9-2BA5-4473-A435-E8EE06DCB7E7}</x14:id>
        </ext>
      </extLst>
    </cfRule>
  </conditionalFormatting>
  <conditionalFormatting sqref="K19:L19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{DCB35692-8C66-4161-8EA2-84E90BA418D6}</x14:id>
        </ext>
      </extLst>
    </cfRule>
  </conditionalFormatting>
  <conditionalFormatting sqref="I19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{F59A99B4-4297-4B53-ADB4-37BC0A2DA25E}</x14:id>
        </ext>
      </extLst>
    </cfRule>
  </conditionalFormatting>
  <conditionalFormatting sqref="U19:V19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{FC4B7AB8-882C-4BFF-A3A2-AF80FE3F568E}</x14:id>
        </ext>
      </extLst>
    </cfRule>
  </conditionalFormatting>
  <conditionalFormatting sqref="S19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{800B271E-06AF-419B-9490-5AFBCC544EEC}</x14:id>
        </ext>
      </extLst>
    </cfRule>
  </conditionalFormatting>
  <conditionalFormatting sqref="U16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{6D293995-9346-4ED0-ACFE-CEC6D592EB5F}</x14:id>
        </ext>
      </extLst>
    </cfRule>
  </conditionalFormatting>
  <conditionalFormatting sqref="V1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{D69DDF5A-D97B-418C-BA09-790FAF36E8F9}</x14:id>
        </ext>
      </extLst>
    </cfRule>
  </conditionalFormatting>
  <conditionalFormatting sqref="W1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{E460207C-7C1D-4D52-977D-D76F29C8F1DF}</x14:id>
        </ext>
      </extLst>
    </cfRule>
  </conditionalFormatting>
  <conditionalFormatting sqref="K16:L16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{B5B0D495-3AC5-4BD6-83A0-E45DC06D1BC1}</x14:id>
        </ext>
      </extLst>
    </cfRule>
  </conditionalFormatting>
  <conditionalFormatting sqref="K1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{14400D71-F072-4891-92CA-381CD62B0865}</x14:id>
        </ext>
      </extLst>
    </cfRule>
  </conditionalFormatting>
  <conditionalFormatting sqref="L16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{2BE8E07C-C425-4C0D-86E7-1164802B33ED}</x14:id>
        </ext>
      </extLst>
    </cfRule>
  </conditionalFormatting>
  <conditionalFormatting sqref="L16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{83AC160E-F469-42B1-937B-2EB08195AD54}</x14:id>
        </ext>
      </extLst>
    </cfRule>
  </conditionalFormatting>
  <conditionalFormatting sqref="K16:L1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{AB51EBA4-C6E1-4901-89FD-A2A652702BB5}</x14:id>
        </ext>
      </extLst>
    </cfRule>
  </conditionalFormatting>
  <conditionalFormatting sqref="K16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{9A75D6EF-B17E-47E7-941D-1DE8EFD2EFD4}</x14:id>
        </ext>
      </extLst>
    </cfRule>
  </conditionalFormatting>
  <conditionalFormatting sqref="L16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{B72792A7-3BD4-48BD-AED3-2BF1F8AD1853}</x14:id>
        </ext>
      </extLst>
    </cfRule>
  </conditionalFormatting>
  <conditionalFormatting sqref="S1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{41793EC5-AFBA-4F96-BE06-C4D7B07076AB}</x14:id>
        </ext>
      </extLst>
    </cfRule>
  </conditionalFormatting>
  <conditionalFormatting sqref="S1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{0EE48151-9010-4D99-883A-A03E22FD5711}</x14:id>
        </ext>
      </extLst>
    </cfRule>
  </conditionalFormatting>
  <conditionalFormatting sqref="U16:V16"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{F99788BB-885D-4E1E-8C83-225E2D9C80C0}</x14:id>
        </ext>
      </extLst>
    </cfRule>
  </conditionalFormatting>
  <conditionalFormatting sqref="U16:V16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{C4A22498-53C2-47AA-A3B0-97A97D514F81}</x14:id>
        </ext>
      </extLst>
    </cfRule>
  </conditionalFormatting>
  <conditionalFormatting sqref="K16:L1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{41C2F475-D082-4F11-834E-10E4144CB23F}</x14:id>
        </ext>
      </extLst>
    </cfRule>
  </conditionalFormatting>
  <conditionalFormatting sqref="I1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{20CAF82F-8C5F-407E-B189-91D5B1517D38}</x14:id>
        </ext>
      </extLst>
    </cfRule>
  </conditionalFormatting>
  <conditionalFormatting sqref="U16:V1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{56F31F1B-8663-47F4-BC94-4DDD439C9824}</x14:id>
        </ext>
      </extLst>
    </cfRule>
  </conditionalFormatting>
  <conditionalFormatting sqref="S1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{7A2CE412-E12B-4925-98B6-35409E4D10B2}</x14:id>
        </ext>
      </extLst>
    </cfRule>
  </conditionalFormatting>
  <conditionalFormatting sqref="E140">
    <cfRule type="containsText" dxfId="1536" priority="51" operator="containsText" text="Buy">
      <formula>NOT(ISERROR(SEARCH("Buy",E140)))</formula>
    </cfRule>
    <cfRule type="containsText" dxfId="1535" priority="52" operator="containsText" text="Sell">
      <formula>NOT(ISERROR(SEARCH("Sell",E140)))</formula>
    </cfRule>
  </conditionalFormatting>
  <conditionalFormatting sqref="E139">
    <cfRule type="containsText" dxfId="1534" priority="49" operator="containsText" text="Buy">
      <formula>NOT(ISERROR(SEARCH("Buy",E139)))</formula>
    </cfRule>
    <cfRule type="containsText" dxfId="1533" priority="50" operator="containsText" text="Sell">
      <formula>NOT(ISERROR(SEARCH("Sell",E139)))</formula>
    </cfRule>
  </conditionalFormatting>
  <conditionalFormatting sqref="U15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{E821DCAA-97BE-4845-BA95-6D83921CEE1D}</x14:id>
        </ext>
      </extLst>
    </cfRule>
  </conditionalFormatting>
  <conditionalFormatting sqref="V15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{FFDCD9D8-E7F4-4F8D-AD50-6505E91BD27B}</x14:id>
        </ext>
      </extLst>
    </cfRule>
  </conditionalFormatting>
  <conditionalFormatting sqref="W15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{3D72CE30-2AB4-4B43-BFE2-DA7D694DAF56}</x14:id>
        </ext>
      </extLst>
    </cfRule>
  </conditionalFormatting>
  <conditionalFormatting sqref="K1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{94CFE57A-1EAF-4B8D-9045-B0BEBE0B1608}</x14:id>
        </ext>
      </extLst>
    </cfRule>
  </conditionalFormatting>
  <conditionalFormatting sqref="K15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{37475C1B-A259-4E4E-8F2F-B7F49F5FF22C}</x14:id>
        </ext>
      </extLst>
    </cfRule>
  </conditionalFormatting>
  <conditionalFormatting sqref="L15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{F5A22C1E-D997-4811-B50B-E1F3A97712A9}</x14:id>
        </ext>
      </extLst>
    </cfRule>
  </conditionalFormatting>
  <conditionalFormatting sqref="L15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{AAD76FF9-3B39-4CFB-9E8C-C87F748C727A}</x14:id>
        </ext>
      </extLst>
    </cfRule>
  </conditionalFormatting>
  <conditionalFormatting sqref="K15:L15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{B2BD19B5-C721-42D9-8E53-7339F04B1DF8}</x14:id>
        </ext>
      </extLst>
    </cfRule>
  </conditionalFormatting>
  <conditionalFormatting sqref="K15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{68A781E5-C860-4A85-8384-0959804983ED}</x14:id>
        </ext>
      </extLst>
    </cfRule>
  </conditionalFormatting>
  <conditionalFormatting sqref="L1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{9CF64FB2-D32E-4F57-B55C-9116AFBA3EB8}</x14:id>
        </ext>
      </extLst>
    </cfRule>
  </conditionalFormatting>
  <conditionalFormatting sqref="S15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{45C09839-810E-4F02-9F3D-A3C273EE3450}</x14:id>
        </ext>
      </extLst>
    </cfRule>
  </conditionalFormatting>
  <conditionalFormatting sqref="S15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{86E1FC81-2030-42B0-87EE-395B3E15B43D}</x14:id>
        </ext>
      </extLst>
    </cfRule>
  </conditionalFormatting>
  <conditionalFormatting sqref="U15:V1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{CE5E5376-FEB6-470B-97CB-2A109602D6D6}</x14:id>
        </ext>
      </extLst>
    </cfRule>
  </conditionalFormatting>
  <conditionalFormatting sqref="U15:V15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{B488451F-DED8-4818-91E4-EE00EBFF07E1}</x14:id>
        </ext>
      </extLst>
    </cfRule>
  </conditionalFormatting>
  <conditionalFormatting sqref="K15:L15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{D30E0AC6-114B-4825-B742-C407CAD7F793}</x14:id>
        </ext>
      </extLst>
    </cfRule>
  </conditionalFormatting>
  <conditionalFormatting sqref="I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{26B8403A-5DAA-4AD1-A1BF-20F5623EB8F1}</x14:id>
        </ext>
      </extLst>
    </cfRule>
  </conditionalFormatting>
  <conditionalFormatting sqref="U15:V15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{9FF377E2-7FEA-4164-B9F5-870BF17BC36F}</x14:id>
        </ext>
      </extLst>
    </cfRule>
  </conditionalFormatting>
  <conditionalFormatting sqref="S15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{B899823A-5891-4B55-8D66-DB70C6C16450}</x14:id>
        </ext>
      </extLst>
    </cfRule>
  </conditionalFormatting>
  <conditionalFormatting sqref="E143">
    <cfRule type="containsText" dxfId="1532" priority="29" operator="containsText" text="Buy">
      <formula>NOT(ISERROR(SEARCH("Buy",E143)))</formula>
    </cfRule>
    <cfRule type="containsText" dxfId="1531" priority="30" operator="containsText" text="Sell">
      <formula>NOT(ISERROR(SEARCH("Sell",E143)))</formula>
    </cfRule>
  </conditionalFormatting>
  <conditionalFormatting sqref="E142">
    <cfRule type="containsText" dxfId="1530" priority="27" operator="containsText" text="Buy">
      <formula>NOT(ISERROR(SEARCH("Buy",E142)))</formula>
    </cfRule>
    <cfRule type="containsText" dxfId="1529" priority="28" operator="containsText" text="Sell">
      <formula>NOT(ISERROR(SEARCH("Sell",E142)))</formula>
    </cfRule>
  </conditionalFormatting>
  <conditionalFormatting sqref="U14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{C3364336-71EC-4C58-A915-F9AD76B53C28}</x14:id>
        </ext>
      </extLst>
    </cfRule>
  </conditionalFormatting>
  <conditionalFormatting sqref="V14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{9676F0C8-B994-4DD3-8009-06A0792AC4D4}</x14:id>
        </ext>
      </extLst>
    </cfRule>
  </conditionalFormatting>
  <conditionalFormatting sqref="W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{946D1299-29DF-408D-94CD-6FAEBB794BB3}</x14:id>
        </ext>
      </extLst>
    </cfRule>
  </conditionalFormatting>
  <conditionalFormatting sqref="K14:L14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{2DC617B5-4FA9-4CD6-8A02-DA1E0B328FB9}</x14:id>
        </ext>
      </extLst>
    </cfRule>
  </conditionalFormatting>
  <conditionalFormatting sqref="K1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{3FF7E789-FF6F-4269-85F9-84537322072F}</x14:id>
        </ext>
      </extLst>
    </cfRule>
  </conditionalFormatting>
  <conditionalFormatting sqref="L14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{B39A8A49-8ACA-481A-9ED5-83E473D3FDB4}</x14:id>
        </ext>
      </extLst>
    </cfRule>
  </conditionalFormatting>
  <conditionalFormatting sqref="L14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{B7EE2CD1-E173-4641-9BE8-6ABEAA4FCC68}</x14:id>
        </ext>
      </extLst>
    </cfRule>
  </conditionalFormatting>
  <conditionalFormatting sqref="K14:L1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{FF7483AE-66F4-4CCB-9BA6-272558C729D4}</x14:id>
        </ext>
      </extLst>
    </cfRule>
  </conditionalFormatting>
  <conditionalFormatting sqref="K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{7F0B6177-8B1A-4156-AB40-E95C352455D6}</x14:id>
        </ext>
      </extLst>
    </cfRule>
  </conditionalFormatting>
  <conditionalFormatting sqref="L1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{B428363E-DE83-4721-B8F4-8B5495CB9367}</x14:id>
        </ext>
      </extLst>
    </cfRule>
  </conditionalFormatting>
  <conditionalFormatting sqref="S14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{FAA9B56F-5B03-41CF-9B6F-C104DCE366FB}</x14:id>
        </ext>
      </extLst>
    </cfRule>
  </conditionalFormatting>
  <conditionalFormatting sqref="S14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{910D1B37-9929-4EB9-A31A-7BFE12382B99}</x14:id>
        </ext>
      </extLst>
    </cfRule>
  </conditionalFormatting>
  <conditionalFormatting sqref="U14:V14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{48D2C832-0FF7-4E35-91A6-DAB3BC8543E6}</x14:id>
        </ext>
      </extLst>
    </cfRule>
  </conditionalFormatting>
  <conditionalFormatting sqref="U14:V14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{E816CC94-4DA2-4574-9497-E09C3F514235}</x14:id>
        </ext>
      </extLst>
    </cfRule>
  </conditionalFormatting>
  <conditionalFormatting sqref="K14:L1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{D3966569-A94D-4FB0-B4DA-4BCB5F0E51E0}</x14:id>
        </ext>
      </extLst>
    </cfRule>
  </conditionalFormatting>
  <conditionalFormatting sqref="I14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{D015C318-DAD1-4819-8F41-C8FD7CF35D97}</x14:id>
        </ext>
      </extLst>
    </cfRule>
  </conditionalFormatting>
  <conditionalFormatting sqref="U14:V14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{D3CF1678-423A-49E3-88D0-698B83CB4BE4}</x14:id>
        </ext>
      </extLst>
    </cfRule>
  </conditionalFormatting>
  <conditionalFormatting sqref="S14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{2D859B06-7641-4C9F-9F5E-8C15389FE111}</x14:id>
        </ext>
      </extLst>
    </cfRule>
  </conditionalFormatting>
  <conditionalFormatting sqref="E146">
    <cfRule type="containsText" dxfId="1528" priority="7" operator="containsText" text="Buy">
      <formula>NOT(ISERROR(SEARCH("Buy",E146)))</formula>
    </cfRule>
    <cfRule type="containsText" dxfId="1527" priority="8" operator="containsText" text="Sell">
      <formula>NOT(ISERROR(SEARCH("Sell",E146)))</formula>
    </cfRule>
  </conditionalFormatting>
  <conditionalFormatting sqref="E145">
    <cfRule type="containsText" dxfId="1526" priority="5" operator="containsText" text="Buy">
      <formula>NOT(ISERROR(SEARCH("Buy",E145)))</formula>
    </cfRule>
    <cfRule type="containsText" dxfId="1525" priority="6" operator="containsText" text="Sell">
      <formula>NOT(ISERROR(SEARCH("Sell",E145)))</formula>
    </cfRule>
  </conditionalFormatting>
  <conditionalFormatting sqref="S4:S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{235206C8-C8A5-49BB-8DC2-5CB529B082E7}</x14:id>
        </ext>
      </extLst>
    </cfRule>
  </conditionalFormatting>
  <conditionalFormatting sqref="I4:I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{ABEB34FC-6AA9-491C-9A51-BB5EE6A82286}</x14:id>
        </ext>
      </extLst>
    </cfRule>
  </conditionalFormatting>
  <conditionalFormatting sqref="E135">
    <cfRule type="containsText" dxfId="1524" priority="1" operator="containsText" text="Buy">
      <formula>NOT(ISERROR(SEARCH("Buy",E135)))</formula>
    </cfRule>
    <cfRule type="containsText" dxfId="1523" priority="2" operator="containsText" text="Sell">
      <formula>NOT(ISERROR(SEARCH("Sell",E135)))</formula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649C32-B763-4763-A8A7-8BAE0D8C8B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8643D9DB-3591-44B5-B974-CDBD4121A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959588B9-2B61-40EA-B139-58A1AE2BD3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14AD516-8299-4BB3-98AD-6A8D8D7AF1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040DB56-C9DF-4ACE-B17C-63B732D7E4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C208F092-32DC-4B9D-A3D5-890703B1CC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726E27C6-E75B-4B7A-9064-CEF628D822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4964827E-6C8C-4965-AEAE-B41A16CEA9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8EF9CAF7-5910-416A-9897-E6DB00A67E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7940C51B-F13F-425F-BB27-8D3AAF072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0EBE3761-37DD-4DF0-842A-4A3BDE195D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E7ED65E1-0118-4A8E-ADE6-C1D2936BFA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89CFAC7-39CB-44DB-9F62-B7814C4AB6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DFB68387-CD14-4137-B6DF-76C22BE2E1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B9101415-AF7B-472B-8369-7A1ECA0FFB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1A849997-B909-440A-BD58-024811C321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48E2DFC6-B33C-4457-B7FF-BC6920BE79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29CF505B-CBB2-4F1F-B875-0F8CE5DDD3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0827D3A0-1700-442F-8056-8E406E3CC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5FE756D0-14A8-4FAC-A1FB-CE2E04B9F9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8409AD4D-ADF6-47F7-8CF9-C1321CFF5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A9485063-59EF-45EA-A37B-AF0997499E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601D278C-10E0-43C4-A019-3B3EAC48B2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400A8998-D5BC-42E9-A30E-5015B9F13F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1C15352D-774C-4044-866F-A42CF0E70E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E499EBBA-6387-4A19-9687-2924D287CD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7774C782-1754-4E96-B15D-EA4E57D0F3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F7A110B6-A571-421A-9FF5-E947367B4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D7771B96-91C7-499E-B95F-AF08840B51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1678FF89-4ADB-463B-97E8-F50C394D4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K20:L20</xm:sqref>
        </x14:conditionalFormatting>
        <x14:conditionalFormatting xmlns:xm="http://schemas.microsoft.com/office/excel/2006/main">
          <x14:cfRule type="dataBar" id="{8F1B5F0C-8399-40C3-BF06-3F3C49EAE3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F93E2369-C6B1-4041-841E-C1AD7B3684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C917D7C5-75F5-4306-B8B2-015AC5334C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9925AA65-755E-4F75-8CA0-967A519EEB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H31:H32</xm:sqref>
        </x14:conditionalFormatting>
        <x14:conditionalFormatting xmlns:xm="http://schemas.microsoft.com/office/excel/2006/main">
          <x14:cfRule type="dataBar" id="{A01C4653-BFE9-4A1D-B4ED-9BBE925EB2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53CAB26B-0E65-458E-B88B-1994C6FB7D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DC6B756-0340-47F9-9DE5-38C30110B6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A38509EE-860E-4249-B8A8-CEBB6CC63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 X10</xm:sqref>
        </x14:conditionalFormatting>
        <x14:conditionalFormatting xmlns:xm="http://schemas.microsoft.com/office/excel/2006/main">
          <x14:cfRule type="dataBar" id="{1D037F2D-AD42-4D3C-92C5-CB63E8F25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H33</xm:sqref>
        </x14:conditionalFormatting>
        <x14:conditionalFormatting xmlns:xm="http://schemas.microsoft.com/office/excel/2006/main">
          <x14:cfRule type="dataBar" id="{22F73E9B-0790-45CA-B1CD-A2A39A594E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176DA4BF-642F-4B11-80EE-0D0B40126E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A76398C-DE22-467F-AF0D-7C25DEE093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18105FA9-D212-4BA6-828D-BB90D636C2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71BF8AD-3064-4BC2-B53B-0934CB9C0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</xm:sqref>
        </x14:conditionalFormatting>
        <x14:conditionalFormatting xmlns:xm="http://schemas.microsoft.com/office/excel/2006/main">
          <x14:cfRule type="dataBar" id="{11116510-D7FC-4248-8790-AAADBCAA04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2C6F625E-DE8D-45A9-BA35-99C9DD90AC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C065C1D7-793B-4269-9AD2-32584CD4C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828F0B71-DF14-4450-856A-CEB762BEBD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H37</xm:sqref>
        </x14:conditionalFormatting>
        <x14:conditionalFormatting xmlns:xm="http://schemas.microsoft.com/office/excel/2006/main">
          <x14:cfRule type="dataBar" id="{B7CC6E1D-BEBC-45CE-9DBE-C2786C49EF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H38</xm:sqref>
        </x14:conditionalFormatting>
        <x14:conditionalFormatting xmlns:xm="http://schemas.microsoft.com/office/excel/2006/main">
          <x14:cfRule type="dataBar" id="{E4723953-5A0F-4EC5-8925-2DA78BD067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H39</xm:sqref>
        </x14:conditionalFormatting>
        <x14:conditionalFormatting xmlns:xm="http://schemas.microsoft.com/office/excel/2006/main">
          <x14:cfRule type="dataBar" id="{3CEF7E24-E097-4B69-AD47-AF87D47262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H40</xm:sqref>
        </x14:conditionalFormatting>
        <x14:conditionalFormatting xmlns:xm="http://schemas.microsoft.com/office/excel/2006/main">
          <x14:cfRule type="dataBar" id="{7657E3F0-E440-44C4-88B1-4F95212D29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U17:U18</xm:sqref>
        </x14:conditionalFormatting>
        <x14:conditionalFormatting xmlns:xm="http://schemas.microsoft.com/office/excel/2006/main">
          <x14:cfRule type="dataBar" id="{78DDC6C4-8362-4C77-BF76-7E0B84A14F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V17:V18</xm:sqref>
        </x14:conditionalFormatting>
        <x14:conditionalFormatting xmlns:xm="http://schemas.microsoft.com/office/excel/2006/main">
          <x14:cfRule type="dataBar" id="{9583A67E-3A91-41D7-BB5E-7401261B6A5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W17:W18</xm:sqref>
        </x14:conditionalFormatting>
        <x14:conditionalFormatting xmlns:xm="http://schemas.microsoft.com/office/excel/2006/main">
          <x14:cfRule type="dataBar" id="{54918A4E-A18A-4872-B086-49D9426377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K17:L18 K4:L5 K10:L10</xm:sqref>
        </x14:conditionalFormatting>
        <x14:conditionalFormatting xmlns:xm="http://schemas.microsoft.com/office/excel/2006/main">
          <x14:cfRule type="dataBar" id="{F47EAEC5-3079-49E8-B03B-A49E389B9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K17:K18 K4:K5 K10</xm:sqref>
        </x14:conditionalFormatting>
        <x14:conditionalFormatting xmlns:xm="http://schemas.microsoft.com/office/excel/2006/main">
          <x14:cfRule type="dataBar" id="{DFC5F0D7-2A2A-4117-8E6C-630310B8E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L17:L18 L4:L5 L10</xm:sqref>
        </x14:conditionalFormatting>
        <x14:conditionalFormatting xmlns:xm="http://schemas.microsoft.com/office/excel/2006/main">
          <x14:cfRule type="dataBar" id="{BA2E3CB8-3FD7-4B2C-8CEB-9E0AE6E44D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L17:L18 L20</xm:sqref>
        </x14:conditionalFormatting>
        <x14:conditionalFormatting xmlns:xm="http://schemas.microsoft.com/office/excel/2006/main">
          <x14:cfRule type="dataBar" id="{9FA3AD25-5648-48B6-A8AD-17FCBD262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 K13:L13 K8:L8 K10:L11 K20:L20 K17:L18</xm:sqref>
        </x14:conditionalFormatting>
        <x14:conditionalFormatting xmlns:xm="http://schemas.microsoft.com/office/excel/2006/main">
          <x14:cfRule type="dataBar" id="{A90FC897-3A64-475C-ADD7-8EEB53529C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K4:K5 K13 K8 K10:K11 K20 K17:K18</xm:sqref>
        </x14:conditionalFormatting>
        <x14:conditionalFormatting xmlns:xm="http://schemas.microsoft.com/office/excel/2006/main">
          <x14:cfRule type="dataBar" id="{2BB06E69-C8C1-43FF-9B38-AFEB400B27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L4:L5 L13 L8 L10:L11 L20 L17:L18</xm:sqref>
        </x14:conditionalFormatting>
        <x14:conditionalFormatting xmlns:xm="http://schemas.microsoft.com/office/excel/2006/main">
          <x14:cfRule type="dataBar" id="{69E6E7F7-C9BE-4200-B222-B908FBBDC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S8 S10:S11 S20 S17:S18</xm:sqref>
        </x14:conditionalFormatting>
        <x14:conditionalFormatting xmlns:xm="http://schemas.microsoft.com/office/excel/2006/main">
          <x14:cfRule type="dataBar" id="{75A2BAD0-829E-4F24-8FB1-AA44C4D22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S4:S5 S13 S22:S23 S8 S10:S11 S20 S17:S18</xm:sqref>
        </x14:conditionalFormatting>
        <x14:conditionalFormatting xmlns:xm="http://schemas.microsoft.com/office/excel/2006/main">
          <x14:cfRule type="dataBar" id="{440B319E-1156-4DA0-8AC0-9CAFCD1E5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A5DFD2E-E2AA-4524-A729-7BD03749D3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CD17AA9A-0491-4EC9-9FA4-BDDB9061EC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88506B87-C3F3-425A-85FA-C5109E9F4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9606360-5A57-4CAF-87CB-2C098B1E60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6100B3F2-9F96-49BA-955B-D8E301AD80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182E4EA4-B06A-4C49-AF47-973BE5D995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E76EA30F-A174-4D91-A7B5-7FB5B68E22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99EA91E9-58E3-4B14-8680-51DA1D0F3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A1E97E48-028A-418E-B33A-13E1DB4CD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0F169712-CC7C-475E-8A23-5DA4C561EF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D7AD166F-25A5-4CBC-854B-FB995F1A9A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05CCBA33-1008-4143-A474-7E859942C4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780A8488-FFC1-425F-B4DE-18E7EEC00E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0E4567CF-8808-4131-B7EA-78182E8488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6629800F-BEB6-464D-BFD5-0D6CD51899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26CD6A0-8F3F-4EA4-938F-9CC5FD2F02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9EC1E68B-B089-4FF5-9C96-631CC92BCB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11345175-A23D-48F8-B411-09749519E2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5B048F7E-B076-418F-A696-46B534385A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6994FA57-2C23-4DCB-BC5C-422DB9D59B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AA71F4B5-EE3C-490E-BEEA-1497BF028B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K21:L21</xm:sqref>
        </x14:conditionalFormatting>
        <x14:conditionalFormatting xmlns:xm="http://schemas.microsoft.com/office/excel/2006/main">
          <x14:cfRule type="dataBar" id="{592ADF39-163D-4202-8D80-B244EAE70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K21</xm:sqref>
        </x14:conditionalFormatting>
        <x14:conditionalFormatting xmlns:xm="http://schemas.microsoft.com/office/excel/2006/main">
          <x14:cfRule type="dataBar" id="{C347223B-B4B3-451C-AD19-12A9FB9936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L21</xm:sqref>
        </x14:conditionalFormatting>
        <x14:conditionalFormatting xmlns:xm="http://schemas.microsoft.com/office/excel/2006/main">
          <x14:cfRule type="dataBar" id="{56726DB3-6821-4A65-891F-DDB90DFF2A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B5AE7A81-60F7-4F78-A69E-8B03266B4F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EA10614A-D83B-4A67-92E2-9FC0A9F233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31B98B5-3BB4-47D5-9180-BDB446ADC9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F42550FD-1992-445F-AC01-7BDDB1897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B106C231-8AE2-464F-A58E-455AA345A0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3A10B0FC-A96A-43A3-993D-3F0B6ADAF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E43362E0-9559-4037-A4A0-015BFF3038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DFB88CE7-8D30-4415-BD95-155B8328F3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B1E2160C-939F-42E6-800F-B0C32EB69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7B23D360-5533-4EEC-B133-559A8B154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2A00D251-60A3-45F3-98B1-93C22014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087F8A9B-37D3-4D4D-9AB7-A8FE80965D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68AF3C0-BC1B-44A4-8ED8-B1D8385FF3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7E49BD81-AEA1-47FC-9341-97D0130386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BBE1CD27-4132-40D0-807E-5487F4D6D5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6B770C52-D569-4B05-89D0-F38D868782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F9DCF68-E471-4A5E-B815-08FD970E23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9199CDB4-67BC-43D0-B312-6531BC5C42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0FED2EE0-42F2-47D8-9866-9D982CAD17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3699DBB7-609E-4E22-B9DC-54FC72D14C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BD570224-C05A-4CDE-B5BC-077A63C7CF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96C6E3D-B5CD-4F05-8575-598C9BD83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D0A7211-E5DA-449A-A58A-060F34AB5E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0C861047-8EFB-41A1-990C-A3587356F8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1E963D3-F62C-45BC-875E-920764A66DA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D8BC2646-DC7C-43A4-9906-2C4DC16E50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72AC6AF0-B5E4-4877-8965-59F91CDA24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0ABE9B92-BDE3-4622-9465-B9B0D8BBBD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833237A2-4A2E-4E05-BAAB-8A9D1B9229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E8F7167-54EA-4C55-BE9C-406A88085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DF967939-5DE8-4E43-A810-C06BD440DA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90786963-6796-4B73-9B2E-A44721695F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25874E2-14DD-4EE3-AA1B-30D9B0873A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07DFE7A8-BA2B-48B0-BFBA-B3FA69648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3B5F0434-D902-4AC4-A990-8A39785AF9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327A182-4770-439A-AE61-D35C8B9357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CB76E62F-0F41-45F0-8F78-8DCBDFDD1F5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D2E5F495-1207-4959-B347-32401D8EBD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CA5A3695-59C9-4589-8952-B90490795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C5B04EB-B8C0-44F2-9AC4-9BC3FD20F1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F097E2D7-8F8A-4D4E-B293-F4F27C96AE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30F4DCA8-B65D-4CCE-B190-670001CE2A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EAD1316-82D7-4C6E-AEE5-18B02EA5A3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F081CC7-5C52-40C6-B077-7C95654CB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6C799C3C-E138-4C71-80C9-3A9358C5C7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A49C001C-3BC0-4132-9637-A1BECFF2A4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0657684C-9E94-4821-987E-C5A8C0BD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U13:V13</xm:sqref>
        </x14:conditionalFormatting>
        <x14:conditionalFormatting xmlns:xm="http://schemas.microsoft.com/office/excel/2006/main">
          <x14:cfRule type="dataBar" id="{B32E398D-D1AD-4FF6-8489-1EDCA9A04D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905573E8-62AD-4A5E-9D21-505ABB9C56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36F44343-C022-4476-BB05-CF3E7D35B8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279C7493-611A-4674-A67E-ACA192D6F1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U20:V20</xm:sqref>
        </x14:conditionalFormatting>
        <x14:conditionalFormatting xmlns:xm="http://schemas.microsoft.com/office/excel/2006/main">
          <x14:cfRule type="dataBar" id="{1C5585CF-D74C-4B7C-AC1E-C02BC0B3F2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464C2B8-EBB6-4A93-90C9-C104F213EF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0BA88A0-9D53-4C0E-8860-87669D59A8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07B0CC28-3F2F-48F5-BFD8-ADB0A6EB70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774294F3-53EE-4393-B08B-15D1020DDB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U17:V18</xm:sqref>
        </x14:conditionalFormatting>
        <x14:conditionalFormatting xmlns:xm="http://schemas.microsoft.com/office/excel/2006/main">
          <x14:cfRule type="dataBar" id="{57C40EEE-ED97-484B-9778-E50520219B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8DCC4AC1-D6A0-4EC9-8586-CDAEF90A27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269C7604-1270-46DD-91E9-07AE3516D2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34C582BE-6F74-4148-976D-0641D20C0F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U21:V21</xm:sqref>
        </x14:conditionalFormatting>
        <x14:conditionalFormatting xmlns:xm="http://schemas.microsoft.com/office/excel/2006/main">
          <x14:cfRule type="dataBar" id="{48F493F8-F0EA-4DF8-A65E-608BB5D779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4E8E4148-33F5-4620-B1AC-46689F0635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7798E5DB-B3DE-4724-97D8-E0CF589F76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ECDD204-AF19-44CB-BE27-E5DE8A49B8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51676F-3F61-461E-8B82-0FF9E27C3B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6971A57-D3C7-4731-B631-207955B808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63C036CD-4A2E-4D9D-9C2A-61E8E2DB7D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60E383F0-C390-40B3-AABB-2B0266984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 K20:L21 K17:L18</xm:sqref>
        </x14:conditionalFormatting>
        <x14:conditionalFormatting xmlns:xm="http://schemas.microsoft.com/office/excel/2006/main">
          <x14:cfRule type="dataBar" id="{D7A9B52E-C84B-4F4B-BC51-71B25AD6D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 I20:I23 I17:I18</xm:sqref>
        </x14:conditionalFormatting>
        <x14:conditionalFormatting xmlns:xm="http://schemas.microsoft.com/office/excel/2006/main">
          <x14:cfRule type="dataBar" id="{0EF2FA83-D084-4537-811F-CAB68C290F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U4:V13 U20:V21 U17:V18</xm:sqref>
        </x14:conditionalFormatting>
        <x14:conditionalFormatting xmlns:xm="http://schemas.microsoft.com/office/excel/2006/main">
          <x14:cfRule type="dataBar" id="{F07B1246-6E24-4908-975A-8A7FCF173D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S4:S13 S20:S23 S17:S18</xm:sqref>
        </x14:conditionalFormatting>
        <x14:conditionalFormatting xmlns:xm="http://schemas.microsoft.com/office/excel/2006/main">
          <x14:cfRule type="dataBar" id="{F644BD95-D67F-46A5-80F3-BFFE0896A3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537E0890-96B6-4C1C-B9EA-578E75A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69DF859D-1F5A-47F2-9347-81BEBF373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24D9ADDE-C2BB-4AC7-844D-6A07271570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DE920912-EB9F-4E69-9393-B21FF7F53A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7F153189-0919-41C4-A6EC-07F631F538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68130238-C1E6-491A-9285-630DEBAD36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896A3DED-6302-44D5-9847-08C3F3DE01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8A4DC610-D3BE-413E-B111-BBC8FEFE80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K19</xm:sqref>
        </x14:conditionalFormatting>
        <x14:conditionalFormatting xmlns:xm="http://schemas.microsoft.com/office/excel/2006/main">
          <x14:cfRule type="dataBar" id="{BA028CD2-5F2C-47A1-88FB-FD56509F87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L19</xm:sqref>
        </x14:conditionalFormatting>
        <x14:conditionalFormatting xmlns:xm="http://schemas.microsoft.com/office/excel/2006/main">
          <x14:cfRule type="dataBar" id="{A51786D7-FF13-42F5-91B3-4D293DDDA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1D5D11C5-1C94-46D5-ACEB-47464EF377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ABD8111A-270C-4FEC-8C69-65BE4859C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526D1CC9-2BA5-4473-A435-E8EE06DCB7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DCB35692-8C66-4161-8EA2-84E90BA418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K19:L19</xm:sqref>
        </x14:conditionalFormatting>
        <x14:conditionalFormatting xmlns:xm="http://schemas.microsoft.com/office/excel/2006/main">
          <x14:cfRule type="dataBar" id="{F59A99B4-4297-4B53-ADB4-37BC0A2DA2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C4B7AB8-882C-4BFF-A3A2-AF80FE3F56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U19:V19</xm:sqref>
        </x14:conditionalFormatting>
        <x14:conditionalFormatting xmlns:xm="http://schemas.microsoft.com/office/excel/2006/main">
          <x14:cfRule type="dataBar" id="{800B271E-06AF-419B-9490-5AFBCC544E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6D293995-9346-4ED0-ACFE-CEC6D592E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D69DDF5A-D97B-418C-BA09-790FAF36E8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E460207C-7C1D-4D52-977D-D76F29C8F1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B5B0D495-3AC5-4BD6-83A0-E45DC06D1B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14400D71-F072-4891-92CA-381CD62B08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2BE8E07C-C425-4C0D-86E7-1164802B33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83AC160E-F469-42B1-937B-2EB08195AD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AB51EBA4-C6E1-4901-89FD-A2A652702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9A75D6EF-B17E-47E7-941D-1DE8EFD2E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B72792A7-3BD4-48BD-AED3-2BF1F8AD18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  <x14:conditionalFormatting xmlns:xm="http://schemas.microsoft.com/office/excel/2006/main">
          <x14:cfRule type="dataBar" id="{41793EC5-AFBA-4F96-BE06-C4D7B0707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EE48151-9010-4D99-883A-A03E22FD57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F99788BB-885D-4E1E-8C83-225E2D9C80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C4A22498-53C2-47AA-A3B0-97A97D514F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41C2F475-D082-4F11-834E-10E4144CB2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K16:L16</xm:sqref>
        </x14:conditionalFormatting>
        <x14:conditionalFormatting xmlns:xm="http://schemas.microsoft.com/office/excel/2006/main">
          <x14:cfRule type="dataBar" id="{20CAF82F-8C5F-407E-B189-91D5B1517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56F31F1B-8663-47F4-BC94-4DDD439C98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U16:V16</xm:sqref>
        </x14:conditionalFormatting>
        <x14:conditionalFormatting xmlns:xm="http://schemas.microsoft.com/office/excel/2006/main">
          <x14:cfRule type="dataBar" id="{7A2CE412-E12B-4925-98B6-35409E4D10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E821DCAA-97BE-4845-BA95-6D83921CE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FFDCD9D8-E7F4-4F8D-AD50-6505E91BD2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D72CE30-2AB4-4B43-BFE2-DA7D694DAF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94CFE57A-1EAF-4B8D-9045-B0BEBE0B16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37475C1B-A259-4E4E-8F2F-B7F49F5FF2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F5A22C1E-D997-4811-B50B-E1F3A9771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AAD76FF9-3B39-4CFB-9E8C-C87F748C7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B2BD19B5-C721-42D9-8E53-7339F04B1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68A781E5-C860-4A85-8384-0959804983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K15</xm:sqref>
        </x14:conditionalFormatting>
        <x14:conditionalFormatting xmlns:xm="http://schemas.microsoft.com/office/excel/2006/main">
          <x14:cfRule type="dataBar" id="{9CF64FB2-D32E-4F57-B55C-9116AFBA3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L15</xm:sqref>
        </x14:conditionalFormatting>
        <x14:conditionalFormatting xmlns:xm="http://schemas.microsoft.com/office/excel/2006/main">
          <x14:cfRule type="dataBar" id="{45C09839-810E-4F02-9F3D-A3C273EE3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86E1FC81-2030-42B0-87EE-395B3E15B4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E5E5376-FEB6-470B-97CB-2A109602D6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488451F-DED8-4818-91E4-EE00EBFF07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D30E0AC6-114B-4825-B742-C407CAD7F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K15:L15</xm:sqref>
        </x14:conditionalFormatting>
        <x14:conditionalFormatting xmlns:xm="http://schemas.microsoft.com/office/excel/2006/main">
          <x14:cfRule type="dataBar" id="{26B8403A-5DAA-4AD1-A1BF-20F5623EB8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9FF377E2-7FEA-4164-B9F5-870BF17BC3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U15:V15</xm:sqref>
        </x14:conditionalFormatting>
        <x14:conditionalFormatting xmlns:xm="http://schemas.microsoft.com/office/excel/2006/main">
          <x14:cfRule type="dataBar" id="{B899823A-5891-4B55-8D66-DB70C6C16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C3364336-71EC-4C58-A915-F9AD76B53C2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9676F0C8-B994-4DD3-8009-06A0792AC4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946D1299-29DF-408D-94CD-6FAEBB794B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2DC617B5-4FA9-4CD6-8A02-DA1E0B328F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3FF7E789-FF6F-4269-85F9-845373220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39A8A49-8ACA-481A-9ED5-83E473D3F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B7EE2CD1-E173-4641-9BE8-6ABEAA4FCC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F7483AE-66F4-4CCB-9BA6-272558C729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7F0B6177-8B1A-4156-AB40-E95C352455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B428363E-DE83-4721-B8F4-8B5495CB93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L14</xm:sqref>
        </x14:conditionalFormatting>
        <x14:conditionalFormatting xmlns:xm="http://schemas.microsoft.com/office/excel/2006/main">
          <x14:cfRule type="dataBar" id="{FAA9B56F-5B03-41CF-9B6F-C104DCE36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910D1B37-9929-4EB9-A31A-7BFE12382B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48D2C832-0FF7-4E35-91A6-DAB3BC854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E816CC94-4DA2-4574-9497-E09C3F51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D3966569-A94D-4FB0-B4DA-4BCB5F0E51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K14:L14</xm:sqref>
        </x14:conditionalFormatting>
        <x14:conditionalFormatting xmlns:xm="http://schemas.microsoft.com/office/excel/2006/main">
          <x14:cfRule type="dataBar" id="{D015C318-DAD1-4819-8F41-C8FD7CF35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D3CF1678-423A-49E3-88D0-698B83CB4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U14:V14</xm:sqref>
        </x14:conditionalFormatting>
        <x14:conditionalFormatting xmlns:xm="http://schemas.microsoft.com/office/excel/2006/main">
          <x14:cfRule type="dataBar" id="{2D859B06-7641-4C9F-9F5E-8C15389FE1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235206C8-C8A5-49BB-8DC2-5CB529B082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S4:S23</xm:sqref>
        </x14:conditionalFormatting>
        <x14:conditionalFormatting xmlns:xm="http://schemas.microsoft.com/office/excel/2006/main">
          <x14:cfRule type="dataBar" id="{ABEB34FC-6AA9-491C-9A51-BB5EE6A822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I4:I23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A304"/>
  <sheetViews>
    <sheetView workbookViewId="0">
      <selection activeCell="L5" sqref="L5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18.28515625" style="32" customWidth="1"/>
    <col min="4" max="4" width="20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5703125" style="32" customWidth="1"/>
    <col min="19" max="19" width="11.28515625" style="32" customWidth="1"/>
    <col min="20" max="21" width="11.42578125" style="32" customWidth="1"/>
    <col min="22" max="23" width="11.28515625" style="32" customWidth="1"/>
    <col min="24" max="24" width="11.5703125" style="32" customWidth="1"/>
    <col min="25" max="25" width="11.140625" style="32" customWidth="1"/>
    <col min="26" max="26" width="11.28515625" style="32" customWidth="1"/>
    <col min="27" max="27" width="15.5703125" style="32" bestFit="1" customWidth="1"/>
    <col min="28" max="16384" width="9.140625" style="32"/>
  </cols>
  <sheetData>
    <row r="1" spans="1:27" x14ac:dyDescent="0.2"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7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7" ht="76.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111</v>
      </c>
      <c r="R3" s="83" t="s">
        <v>110</v>
      </c>
      <c r="S3" s="83" t="s">
        <v>128</v>
      </c>
      <c r="T3" s="83" t="s">
        <v>129</v>
      </c>
      <c r="U3" s="83" t="s">
        <v>130</v>
      </c>
      <c r="V3" s="83" t="s">
        <v>131</v>
      </c>
      <c r="W3" s="83" t="s">
        <v>132</v>
      </c>
      <c r="X3" s="83" t="s">
        <v>233</v>
      </c>
      <c r="Y3" s="83" t="s">
        <v>283</v>
      </c>
      <c r="Z3" s="83" t="s">
        <v>284</v>
      </c>
      <c r="AA3" s="83" t="s">
        <v>369</v>
      </c>
    </row>
    <row r="4" spans="1:27" s="266" customFormat="1" x14ac:dyDescent="0.2">
      <c r="A4" s="196" t="s">
        <v>683</v>
      </c>
      <c r="B4" s="197" t="s">
        <v>96</v>
      </c>
      <c r="C4" s="196" t="s">
        <v>184</v>
      </c>
      <c r="D4" s="198" t="e">
        <f ca="1">N4/$N$8</f>
        <v>#NAME?</v>
      </c>
      <c r="E4" s="123">
        <f>$F$41</f>
        <v>1230</v>
      </c>
      <c r="F4" s="268">
        <f>$H$41</f>
        <v>870</v>
      </c>
      <c r="G4" s="268" t="e">
        <f ca="1">_xll.BDP($C4,"PX_LAST")</f>
        <v>#NAME?</v>
      </c>
      <c r="H4" s="199" t="e">
        <f ca="1">_xll.BDP($C4,"CRNCY")</f>
        <v>#NAME?</v>
      </c>
      <c r="I4" s="198" t="e">
        <f ca="1">G4/F4-1</f>
        <v>#NAME?</v>
      </c>
      <c r="J4" s="198" t="e">
        <f ca="1">N4/L4-1</f>
        <v>#NAME?</v>
      </c>
      <c r="K4" s="123">
        <f>E4*F4</f>
        <v>1070100</v>
      </c>
      <c r="L4" s="123" t="e">
        <f ca="1">$J$41</f>
        <v>#NAME?</v>
      </c>
      <c r="M4" s="123" t="e">
        <f ca="1">E4*G4</f>
        <v>#NAME?</v>
      </c>
      <c r="N4" s="123" t="e">
        <f ca="1">M4/$I$1</f>
        <v>#NAME?</v>
      </c>
      <c r="O4" s="123" t="e">
        <f t="shared" ref="O4:P6" ca="1" si="0">M4-K4</f>
        <v>#NAME?</v>
      </c>
      <c r="P4" s="123" t="e">
        <f t="shared" ca="1" si="0"/>
        <v>#NAME?</v>
      </c>
      <c r="Q4" s="123" t="e">
        <f ca="1">P4*$I$1</f>
        <v>#NAME?</v>
      </c>
      <c r="R4" s="263" t="e">
        <f ca="1">_xll.BDP($C4,"CHG_PCT_1D")</f>
        <v>#NAME?</v>
      </c>
      <c r="S4" s="263" t="e">
        <f ca="1">_xll.BDP($C4,"CHG_PCT_YTD")</f>
        <v>#NAME?</v>
      </c>
      <c r="T4" s="263" t="e">
        <f ca="1">_xll.BDP($C4,"CHG_PCT_1YR")</f>
        <v>#NAME?</v>
      </c>
      <c r="U4" s="263" t="e">
        <f ca="1">_xll.BDP($C4,"CHG_PCT_6M")</f>
        <v>#NAME?</v>
      </c>
      <c r="V4" s="263" t="e">
        <f ca="1">_xll.BDP($C4,"CHG_PCT_3M")</f>
        <v>#NAME?</v>
      </c>
      <c r="W4" s="263" t="e">
        <f ca="1">_xll.BDP($C4,"CHG_PCT_1M")</f>
        <v>#NAME?</v>
      </c>
      <c r="X4" s="263" t="e">
        <f ca="1">_xll.BDP($C4,"CHG_PCT_5D")</f>
        <v>#NAME?</v>
      </c>
      <c r="Y4" s="263" t="e">
        <f ca="1">_xll.BDP($C4,"EXPECTED_REPORT_DT")</f>
        <v>#NAME?</v>
      </c>
      <c r="Z4" s="263" t="e">
        <f ca="1">_xll.BDP($C4,"DVD_EX_DT")</f>
        <v>#NAME?</v>
      </c>
      <c r="AA4" s="267">
        <f ca="1">IF(ISERROR(_xll.BDP($C4,"DVD_SH_LAST")*$E4),0,_xll.BDP($C4,"DVD_SH_LAST")*$E4)</f>
        <v>0</v>
      </c>
    </row>
    <row r="5" spans="1:27" s="266" customFormat="1" x14ac:dyDescent="0.2">
      <c r="A5" s="196" t="s">
        <v>683</v>
      </c>
      <c r="B5" s="197" t="s">
        <v>147</v>
      </c>
      <c r="C5" s="196" t="s">
        <v>53</v>
      </c>
      <c r="D5" s="198" t="e">
        <f ca="1">N5/$N$8</f>
        <v>#NAME?</v>
      </c>
      <c r="E5" s="123">
        <f>$F$47</f>
        <v>600</v>
      </c>
      <c r="F5" s="268" t="e">
        <f ca="1">$H$47</f>
        <v>#NAME?</v>
      </c>
      <c r="G5" s="268" t="e">
        <f ca="1">_xll.BDP($C5,"PX_LAST")</f>
        <v>#NAME?</v>
      </c>
      <c r="H5" s="199" t="e">
        <f ca="1">_xll.BDP($C5,"CRNCY")</f>
        <v>#NAME?</v>
      </c>
      <c r="I5" s="198" t="e">
        <f ca="1">G5/F5-1</f>
        <v>#NAME?</v>
      </c>
      <c r="J5" s="198" t="e">
        <f ca="1">N5/L5-1</f>
        <v>#NAME?</v>
      </c>
      <c r="K5" s="123" t="e">
        <f ca="1">E5*F5</f>
        <v>#NAME?</v>
      </c>
      <c r="L5" s="123" t="e">
        <f ca="1">$J$47</f>
        <v>#NAME?</v>
      </c>
      <c r="M5" s="123" t="e">
        <f ca="1">E5*G5</f>
        <v>#NAME?</v>
      </c>
      <c r="N5" s="123" t="e">
        <f ca="1">M5/$I$1</f>
        <v>#NAME?</v>
      </c>
      <c r="O5" s="123" t="e">
        <f t="shared" ca="1" si="0"/>
        <v>#NAME?</v>
      </c>
      <c r="P5" s="123" t="e">
        <f t="shared" ca="1" si="0"/>
        <v>#NAME?</v>
      </c>
      <c r="Q5" s="123" t="e">
        <f ca="1">P5*$I$1</f>
        <v>#NAME?</v>
      </c>
      <c r="R5" s="263" t="e">
        <f ca="1">_xll.BDP($C5,"CHG_PCT_1D")</f>
        <v>#NAME?</v>
      </c>
      <c r="S5" s="263" t="e">
        <f ca="1">_xll.BDP($C5,"CHG_PCT_YTD")</f>
        <v>#NAME?</v>
      </c>
      <c r="T5" s="263" t="e">
        <f ca="1">_xll.BDP($C5,"CHG_PCT_1YR")</f>
        <v>#NAME?</v>
      </c>
      <c r="U5" s="263" t="e">
        <f ca="1">_xll.BDP($C5,"CHG_PCT_6M")</f>
        <v>#NAME?</v>
      </c>
      <c r="V5" s="263" t="e">
        <f ca="1">_xll.BDP($C5,"CHG_PCT_3M")</f>
        <v>#NAME?</v>
      </c>
      <c r="W5" s="263" t="e">
        <f ca="1">_xll.BDP($C5,"CHG_PCT_1M")</f>
        <v>#NAME?</v>
      </c>
      <c r="X5" s="263" t="e">
        <f ca="1">_xll.BDP($C5,"CHG_PCT_5D")</f>
        <v>#NAME?</v>
      </c>
      <c r="Y5" s="263" t="e">
        <f ca="1">_xll.BDP($C5,"EXPECTED_REPORT_DT")</f>
        <v>#NAME?</v>
      </c>
      <c r="Z5" s="263" t="e">
        <f ca="1">_xll.BDP($C5,"DVD_EX_DT")</f>
        <v>#NAME?</v>
      </c>
      <c r="AA5" s="267">
        <f ca="1">IF(ISERROR(_xll.BDP($C5,"DVD_SH_LAST")*$E5),0,_xll.BDP($C5,"DVD_SH_LAST")*$E5)</f>
        <v>0</v>
      </c>
    </row>
    <row r="6" spans="1:27" s="266" customFormat="1" x14ac:dyDescent="0.2">
      <c r="A6" s="196" t="s">
        <v>683</v>
      </c>
      <c r="B6" s="197" t="e">
        <f ca="1">_xll.BDP(C6,"SECURITY_NAME")</f>
        <v>#NAME?</v>
      </c>
      <c r="C6" s="196" t="s">
        <v>225</v>
      </c>
      <c r="D6" s="198" t="e">
        <f ca="1">N6/$N$8</f>
        <v>#NAME?</v>
      </c>
      <c r="E6" s="123">
        <f>$F$50</f>
        <v>200000</v>
      </c>
      <c r="F6" s="263" t="e">
        <f ca="1">$H$50</f>
        <v>#NAME?</v>
      </c>
      <c r="G6" s="268" t="e">
        <f ca="1">_xll.BDP(C6,"PX LAST")</f>
        <v>#NAME?</v>
      </c>
      <c r="H6" s="199" t="e">
        <f ca="1">_xll.BDP($C6,"CRNCY")</f>
        <v>#NAME?</v>
      </c>
      <c r="I6" s="198" t="e">
        <f ca="1">M6/K6-1</f>
        <v>#NAME?</v>
      </c>
      <c r="J6" s="198" t="e">
        <f ca="1">G6/F6-1</f>
        <v>#NAME?</v>
      </c>
      <c r="K6" s="123" t="e">
        <f ca="1">$K$50</f>
        <v>#NAME?</v>
      </c>
      <c r="L6" s="123" t="e">
        <f ca="1">$J$50</f>
        <v>#NAME?</v>
      </c>
      <c r="M6" s="123" t="e">
        <f ca="1">E6*G6/100*$I$1</f>
        <v>#NAME?</v>
      </c>
      <c r="N6" s="123" t="e">
        <f ca="1">E6*G6/100</f>
        <v>#NAME?</v>
      </c>
      <c r="O6" s="123" t="e">
        <f t="shared" ca="1" si="0"/>
        <v>#NAME?</v>
      </c>
      <c r="P6" s="123" t="e">
        <f t="shared" ca="1" si="0"/>
        <v>#NAME?</v>
      </c>
      <c r="Q6" s="123" t="e">
        <f ca="1">IF(H6="USD",P6,P6*$I$1)</f>
        <v>#NAME?</v>
      </c>
      <c r="R6" s="263" t="e">
        <f ca="1">_xll.BDP($C6,"CHG_PCT_1D")</f>
        <v>#NAME?</v>
      </c>
      <c r="S6" s="263" t="e">
        <f ca="1">_xll.BDP($C6,"CHG_PCT_YTD")</f>
        <v>#NAME?</v>
      </c>
      <c r="T6" s="263" t="e">
        <f ca="1">_xll.BDP($C6,"CHG_PCT_1YR")</f>
        <v>#NAME?</v>
      </c>
      <c r="U6" s="263" t="e">
        <f ca="1">_xll.BDP($C6,"CHG_PCT_6M")</f>
        <v>#NAME?</v>
      </c>
      <c r="V6" s="263" t="e">
        <f ca="1">_xll.BDP($C6,"CHG_PCT_3M")</f>
        <v>#NAME?</v>
      </c>
      <c r="W6" s="263" t="e">
        <f ca="1">_xll.BDP($C6,"CHG_PCT_1M")</f>
        <v>#NAME?</v>
      </c>
      <c r="X6" s="263" t="e">
        <f ca="1">_xll.BDP($C6,"CHG_PCT_5D")</f>
        <v>#NAME?</v>
      </c>
      <c r="Y6" s="263"/>
      <c r="Z6" s="196"/>
      <c r="AA6" s="196"/>
    </row>
    <row r="7" spans="1:27" x14ac:dyDescent="0.2">
      <c r="B7" s="68" t="s">
        <v>106</v>
      </c>
      <c r="C7" s="68" t="s">
        <v>106</v>
      </c>
      <c r="D7" s="262" t="e">
        <f ca="1">N7/$N$8</f>
        <v>#NAME?</v>
      </c>
      <c r="E7" s="262"/>
      <c r="F7" s="262"/>
      <c r="G7" s="66"/>
      <c r="H7" s="177"/>
      <c r="I7" s="179"/>
      <c r="J7" s="179"/>
      <c r="K7" s="64"/>
      <c r="L7" s="322"/>
      <c r="M7" s="64"/>
      <c r="N7" s="64">
        <v>624000</v>
      </c>
      <c r="O7" s="61"/>
      <c r="P7" s="61"/>
      <c r="Q7" s="61"/>
      <c r="R7" s="177"/>
      <c r="S7" s="177"/>
      <c r="T7" s="177"/>
      <c r="U7" s="177"/>
      <c r="V7" s="177"/>
      <c r="W7" s="177"/>
      <c r="X7" s="177"/>
      <c r="Y7" s="177"/>
      <c r="Z7" s="177"/>
    </row>
    <row r="8" spans="1:27" ht="13.5" customHeight="1" thickBot="1" x14ac:dyDescent="0.25">
      <c r="B8" s="175"/>
      <c r="C8" s="175"/>
      <c r="D8" s="59" t="e">
        <f ca="1">SUM(D4:D7)</f>
        <v>#NAME?</v>
      </c>
      <c r="E8" s="176"/>
      <c r="F8" s="176"/>
      <c r="G8" s="175"/>
      <c r="H8" s="55"/>
      <c r="I8" s="175"/>
      <c r="J8" s="175"/>
      <c r="K8" s="184" t="e">
        <f t="shared" ref="K8:Q8" ca="1" si="1">SUM(K4:K7)</f>
        <v>#NAME?</v>
      </c>
      <c r="L8" s="184" t="e">
        <f t="shared" ca="1" si="1"/>
        <v>#NAME?</v>
      </c>
      <c r="M8" s="184" t="e">
        <f t="shared" ca="1" si="1"/>
        <v>#NAME?</v>
      </c>
      <c r="N8" s="184" t="e">
        <f t="shared" ca="1" si="1"/>
        <v>#NAME?</v>
      </c>
      <c r="O8" s="184" t="e">
        <f t="shared" ca="1" si="1"/>
        <v>#NAME?</v>
      </c>
      <c r="P8" s="184" t="e">
        <f t="shared" ca="1" si="1"/>
        <v>#NAME?</v>
      </c>
      <c r="Q8" s="184" t="e">
        <f t="shared" ca="1" si="1"/>
        <v>#NAME?</v>
      </c>
      <c r="R8" s="55"/>
      <c r="S8" s="55"/>
      <c r="T8" s="55"/>
      <c r="U8" s="55"/>
      <c r="V8" s="55"/>
      <c r="W8" s="55"/>
      <c r="X8" s="55"/>
      <c r="Y8" s="55"/>
      <c r="Z8" s="55"/>
    </row>
    <row r="9" spans="1:27" ht="13.5" customHeight="1" x14ac:dyDescent="0.2">
      <c r="B9" s="35"/>
      <c r="C9" s="35"/>
      <c r="D9" s="54"/>
      <c r="E9" s="46"/>
      <c r="F9" s="46"/>
      <c r="G9" s="35"/>
      <c r="H9" s="35"/>
      <c r="I9" s="40"/>
      <c r="J9" s="40"/>
      <c r="K9" s="40"/>
      <c r="L9" s="130"/>
      <c r="M9" s="52"/>
      <c r="N9" s="53"/>
      <c r="O9" s="261" t="e">
        <f ca="1">$M$8/K8-1</f>
        <v>#NAME?</v>
      </c>
      <c r="P9" s="261" t="e">
        <f ca="1">$N$8/L8-1</f>
        <v>#NAME?</v>
      </c>
    </row>
    <row r="10" spans="1:27" x14ac:dyDescent="0.2">
      <c r="E10" s="155"/>
      <c r="K10" s="30"/>
      <c r="L10" s="148"/>
      <c r="M10" s="35"/>
      <c r="N10" s="34"/>
      <c r="O10" s="34"/>
      <c r="P10" s="30"/>
    </row>
    <row r="11" spans="1:27" x14ac:dyDescent="0.2">
      <c r="B11" s="32" t="s">
        <v>276</v>
      </c>
      <c r="E11" s="155"/>
      <c r="M11" s="35"/>
      <c r="N11" s="34"/>
      <c r="O11" s="34"/>
      <c r="P11" s="30"/>
    </row>
    <row r="12" spans="1:27" x14ac:dyDescent="0.2">
      <c r="B12" s="32">
        <v>2016</v>
      </c>
      <c r="M12" s="35"/>
      <c r="N12" s="34"/>
      <c r="O12" s="34"/>
      <c r="P12" s="30"/>
    </row>
    <row r="13" spans="1:27" ht="40.5" customHeight="1" x14ac:dyDescent="0.2">
      <c r="B13" s="51" t="s">
        <v>105</v>
      </c>
      <c r="C13" s="50" t="s">
        <v>104</v>
      </c>
      <c r="D13" s="50" t="s">
        <v>174</v>
      </c>
      <c r="E13" s="50" t="s">
        <v>173</v>
      </c>
      <c r="F13" s="50" t="s">
        <v>175</v>
      </c>
      <c r="G13" s="50" t="s">
        <v>172</v>
      </c>
      <c r="H13" s="50" t="s">
        <v>103</v>
      </c>
      <c r="I13" s="50" t="s">
        <v>102</v>
      </c>
      <c r="J13" s="50" t="s">
        <v>101</v>
      </c>
      <c r="K13" s="50" t="s">
        <v>100</v>
      </c>
      <c r="L13" s="50" t="s">
        <v>99</v>
      </c>
      <c r="M13" s="50" t="s">
        <v>98</v>
      </c>
      <c r="N13" s="50" t="s">
        <v>280</v>
      </c>
      <c r="O13" s="50" t="s">
        <v>97</v>
      </c>
      <c r="P13" s="50" t="s">
        <v>279</v>
      </c>
      <c r="Q13" s="50" t="s">
        <v>277</v>
      </c>
      <c r="R13" s="50" t="s">
        <v>278</v>
      </c>
    </row>
    <row r="14" spans="1:27" x14ac:dyDescent="0.2">
      <c r="B14" s="103" t="s">
        <v>95</v>
      </c>
      <c r="C14" s="103" t="s">
        <v>18</v>
      </c>
      <c r="D14" s="244" t="s">
        <v>51</v>
      </c>
      <c r="E14" s="43" t="e">
        <f ca="1">F14*_xll.BDP(C14,"PX_LAST")</f>
        <v>#NAME?</v>
      </c>
      <c r="F14" s="43">
        <v>5500</v>
      </c>
      <c r="G14" s="43">
        <v>5500</v>
      </c>
      <c r="H14" s="47">
        <f t="shared" ref="H14:H20" si="2">G14/F14</f>
        <v>1</v>
      </c>
      <c r="I14" s="43">
        <f>G14*K14</f>
        <v>1072335</v>
      </c>
      <c r="J14" s="45">
        <f>G14*L14</f>
        <v>1301850</v>
      </c>
      <c r="K14" s="38">
        <v>194.97</v>
      </c>
      <c r="L14" s="38">
        <v>236.7</v>
      </c>
      <c r="M14" s="414">
        <f t="shared" ref="M14:M20" si="3">L14/K14-1</f>
        <v>0.21403292814279107</v>
      </c>
      <c r="N14" s="43">
        <f>J14-I14</f>
        <v>229515</v>
      </c>
      <c r="O14" s="106" t="e">
        <f ca="1">_xll.BDP($C14,"CRNCY")</f>
        <v>#NAME?</v>
      </c>
      <c r="P14" s="43" t="e">
        <f t="shared" ref="P14:P20" ca="1" si="4">N14/R14</f>
        <v>#NAME?</v>
      </c>
      <c r="Q14" s="239">
        <v>42452</v>
      </c>
      <c r="R14" s="250" t="e">
        <f ca="1">_xll.BDH("RUB curncy","PX_LAST",$Q14)</f>
        <v>#NAME?</v>
      </c>
    </row>
    <row r="15" spans="1:27" x14ac:dyDescent="0.2">
      <c r="B15" s="103" t="s">
        <v>358</v>
      </c>
      <c r="C15" s="103" t="s">
        <v>35</v>
      </c>
      <c r="D15" s="244" t="s">
        <v>51</v>
      </c>
      <c r="E15" s="43" t="e">
        <f ca="1">F15*_xll.BDP(C15,"PX_LAST")</f>
        <v>#NAME?</v>
      </c>
      <c r="F15" s="43">
        <v>115</v>
      </c>
      <c r="G15" s="43">
        <v>115</v>
      </c>
      <c r="H15" s="47">
        <f t="shared" si="2"/>
        <v>1</v>
      </c>
      <c r="I15" s="43">
        <f>G15*K15</f>
        <v>1086175</v>
      </c>
      <c r="J15" s="45">
        <f>G15*L15</f>
        <v>1056275</v>
      </c>
      <c r="K15" s="38">
        <v>9445</v>
      </c>
      <c r="L15" s="38">
        <v>9185</v>
      </c>
      <c r="M15" s="414">
        <f t="shared" si="3"/>
        <v>-2.7527792482795133E-2</v>
      </c>
      <c r="N15" s="43">
        <f>J15-I15</f>
        <v>-29900</v>
      </c>
      <c r="O15" s="106" t="e">
        <f ca="1">_xll.BDP($C15,"CRNCY")</f>
        <v>#NAME?</v>
      </c>
      <c r="P15" s="43" t="e">
        <f t="shared" ca="1" si="4"/>
        <v>#NAME?</v>
      </c>
      <c r="Q15" s="239">
        <v>42452</v>
      </c>
      <c r="R15" s="250" t="e">
        <f ca="1">_xll.BDH("RUB curncy","PX_LAST",$Q15)</f>
        <v>#NAME?</v>
      </c>
    </row>
    <row r="16" spans="1:27" x14ac:dyDescent="0.2">
      <c r="B16" s="103" t="s">
        <v>147</v>
      </c>
      <c r="C16" s="103" t="s">
        <v>63</v>
      </c>
      <c r="D16" s="244" t="s">
        <v>51</v>
      </c>
      <c r="E16" s="43" t="e">
        <f ca="1">F16*_xll.BDP(C16,"PX_LAST")</f>
        <v>#NAME?</v>
      </c>
      <c r="F16" s="43">
        <v>835</v>
      </c>
      <c r="G16" s="43">
        <v>235</v>
      </c>
      <c r="H16" s="47">
        <f t="shared" si="2"/>
        <v>0.28143712574850299</v>
      </c>
      <c r="I16" s="43">
        <f>G16*K16</f>
        <v>540241.5</v>
      </c>
      <c r="J16" s="45">
        <f>G16*L16</f>
        <v>628742.5</v>
      </c>
      <c r="K16" s="38">
        <v>2298.9</v>
      </c>
      <c r="L16" s="38">
        <v>2675.5</v>
      </c>
      <c r="M16" s="414">
        <f t="shared" si="3"/>
        <v>0.16381747792422452</v>
      </c>
      <c r="N16" s="43">
        <f>J16-I16</f>
        <v>88501</v>
      </c>
      <c r="O16" s="106" t="e">
        <f ca="1">_xll.BDP($C16,"CRNCY")</f>
        <v>#NAME?</v>
      </c>
      <c r="P16" s="43" t="e">
        <f t="shared" ca="1" si="4"/>
        <v>#NAME?</v>
      </c>
      <c r="Q16" s="239">
        <v>42452</v>
      </c>
      <c r="R16" s="250" t="e">
        <f ca="1">_xll.BDH("RUB curncy","PX_LAST",$Q16)</f>
        <v>#NAME?</v>
      </c>
    </row>
    <row r="17" spans="2:21" x14ac:dyDescent="0.2">
      <c r="B17" s="103" t="e">
        <f ca="1">_xll.BDP(C17,"SECURITY_NAME")</f>
        <v>#NAME?</v>
      </c>
      <c r="C17" s="196" t="s">
        <v>413</v>
      </c>
      <c r="D17" s="73" t="s">
        <v>51</v>
      </c>
      <c r="E17" s="43" t="e">
        <f ca="1">F17*_xll.BDP(C17,"PX_LAST")/100</f>
        <v>#NAME?</v>
      </c>
      <c r="F17" s="43">
        <v>265000</v>
      </c>
      <c r="G17" s="43">
        <v>265000</v>
      </c>
      <c r="H17" s="47">
        <f t="shared" si="2"/>
        <v>1</v>
      </c>
      <c r="I17" s="43">
        <f>G17*K17/100</f>
        <v>239507</v>
      </c>
      <c r="J17" s="45">
        <f>G17*L17/100</f>
        <v>267650</v>
      </c>
      <c r="K17" s="38">
        <v>90.38</v>
      </c>
      <c r="L17" s="38">
        <v>101</v>
      </c>
      <c r="M17" s="44">
        <f t="shared" si="3"/>
        <v>0.11750387253817229</v>
      </c>
      <c r="N17" s="43" t="e">
        <f ca="1">(J17-I17)*R17</f>
        <v>#NAME?</v>
      </c>
      <c r="O17" s="106" t="e">
        <f ca="1">_xll.BDP($C17,"CRNCY")</f>
        <v>#NAME?</v>
      </c>
      <c r="P17" s="43" t="e">
        <f t="shared" ca="1" si="4"/>
        <v>#NAME?</v>
      </c>
      <c r="Q17" s="14">
        <v>42460</v>
      </c>
      <c r="R17" s="22" t="e">
        <f ca="1">_xll.BDH("RUB curncy","PX_LAST",$Q17)</f>
        <v>#NAME?</v>
      </c>
    </row>
    <row r="18" spans="2:21" x14ac:dyDescent="0.2">
      <c r="B18" s="103" t="e">
        <f ca="1">_xll.BDP(C18,"SECURITY_NAME")</f>
        <v>#NAME?</v>
      </c>
      <c r="C18" s="253" t="s">
        <v>60</v>
      </c>
      <c r="D18" s="73" t="s">
        <v>51</v>
      </c>
      <c r="E18" s="43" t="e">
        <f ca="1">F18*_xll.BDP(C18,"PX_LAST")/100</f>
        <v>#NAME?</v>
      </c>
      <c r="F18" s="43">
        <v>250000</v>
      </c>
      <c r="G18" s="43">
        <v>250000</v>
      </c>
      <c r="H18" s="47">
        <f t="shared" si="2"/>
        <v>1</v>
      </c>
      <c r="I18" s="43">
        <f>G18*K18/100</f>
        <v>268500</v>
      </c>
      <c r="J18" s="45">
        <f>G18*L18/100</f>
        <v>282800</v>
      </c>
      <c r="K18" s="38">
        <v>107.4</v>
      </c>
      <c r="L18" s="38">
        <v>113.12</v>
      </c>
      <c r="M18" s="44">
        <f t="shared" si="3"/>
        <v>5.3258845437616387E-2</v>
      </c>
      <c r="N18" s="43" t="e">
        <f ca="1">(J18-I18)*R18</f>
        <v>#NAME?</v>
      </c>
      <c r="O18" s="106" t="e">
        <f ca="1">_xll.BDP($C18,"CRNCY")</f>
        <v>#NAME?</v>
      </c>
      <c r="P18" s="43" t="e">
        <f t="shared" ca="1" si="4"/>
        <v>#NAME?</v>
      </c>
      <c r="Q18" s="14">
        <v>42551</v>
      </c>
      <c r="R18" s="22" t="e">
        <f ca="1">_xll.BDH("RUB curncy","PX_LAST",$Q18)</f>
        <v>#NAME?</v>
      </c>
    </row>
    <row r="19" spans="2:21" x14ac:dyDescent="0.2">
      <c r="B19" s="103" t="e">
        <f ca="1">_xll.BDP(C19,"SECURITY_NAME")</f>
        <v>#NAME?</v>
      </c>
      <c r="C19" s="118" t="s">
        <v>373</v>
      </c>
      <c r="D19" s="73" t="s">
        <v>51</v>
      </c>
      <c r="E19" s="43" t="e">
        <f ca="1">F19*_xll.BDP(C19,"PX_LAST")/100</f>
        <v>#NAME?</v>
      </c>
      <c r="F19" s="43">
        <v>265000</v>
      </c>
      <c r="G19" s="43">
        <v>265000</v>
      </c>
      <c r="H19" s="47">
        <f t="shared" si="2"/>
        <v>1</v>
      </c>
      <c r="I19" s="43">
        <f>G19*K19/100</f>
        <v>275600</v>
      </c>
      <c r="J19" s="45">
        <f>G19*L19/100</f>
        <v>287525</v>
      </c>
      <c r="K19" s="38">
        <v>104</v>
      </c>
      <c r="L19" s="38">
        <v>108.5</v>
      </c>
      <c r="M19" s="44">
        <f t="shared" si="3"/>
        <v>4.3269230769230838E-2</v>
      </c>
      <c r="N19" s="43" t="e">
        <f ca="1">(J19-I19)*R19</f>
        <v>#NAME?</v>
      </c>
      <c r="O19" s="106" t="e">
        <f ca="1">_xll.BDP($C19,"CRNCY")</f>
        <v>#NAME?</v>
      </c>
      <c r="P19" s="43" t="e">
        <f t="shared" ca="1" si="4"/>
        <v>#NAME?</v>
      </c>
      <c r="Q19" s="14">
        <v>42598</v>
      </c>
      <c r="R19" s="22" t="e">
        <f ca="1">_xll.BDH("RUB curncy","PX_LAST",$Q19)</f>
        <v>#NAME?</v>
      </c>
    </row>
    <row r="20" spans="2:21" x14ac:dyDescent="0.2">
      <c r="B20" s="103" t="e">
        <f ca="1">_xll.BDP(C20,"SECURITY_NAME")</f>
        <v>#NAME?</v>
      </c>
      <c r="C20" s="196" t="s">
        <v>166</v>
      </c>
      <c r="D20" s="73" t="s">
        <v>51</v>
      </c>
      <c r="E20" s="43" t="e">
        <f ca="1">F20*_xll.BDP(C20,"PX_LAST")/100</f>
        <v>#NAME?</v>
      </c>
      <c r="F20" s="43">
        <v>250000</v>
      </c>
      <c r="G20" s="43">
        <v>250000</v>
      </c>
      <c r="H20" s="47">
        <f t="shared" si="2"/>
        <v>1</v>
      </c>
      <c r="I20" s="43">
        <f>G20*K20/100</f>
        <v>246000</v>
      </c>
      <c r="J20" s="45">
        <f>G20*L20/100</f>
        <v>261250</v>
      </c>
      <c r="K20" s="38">
        <v>98.4</v>
      </c>
      <c r="L20" s="38">
        <v>104.5</v>
      </c>
      <c r="M20" s="44">
        <f t="shared" si="3"/>
        <v>6.1991869918699205E-2</v>
      </c>
      <c r="N20" s="43" t="e">
        <f ca="1">(J20-I20)*R20</f>
        <v>#NAME?</v>
      </c>
      <c r="O20" s="106" t="e">
        <f ca="1">_xll.BDP($C20,"CRNCY")</f>
        <v>#NAME?</v>
      </c>
      <c r="P20" s="43" t="e">
        <f t="shared" ca="1" si="4"/>
        <v>#NAME?</v>
      </c>
      <c r="Q20" s="14">
        <v>42598</v>
      </c>
      <c r="R20" s="22" t="e">
        <f ca="1">_xll.BDH("RUB curncy","PX_LAST",$Q20)</f>
        <v>#NAME?</v>
      </c>
    </row>
    <row r="21" spans="2:21" x14ac:dyDescent="0.2">
      <c r="B21" s="35"/>
      <c r="C21" s="35"/>
      <c r="D21" s="40"/>
      <c r="G21" s="35"/>
      <c r="H21" s="35"/>
      <c r="I21" s="35"/>
      <c r="J21" s="35"/>
      <c r="K21" s="35"/>
      <c r="L21" s="46"/>
      <c r="M21" s="35" t="s">
        <v>94</v>
      </c>
      <c r="N21" s="40" t="e">
        <f ca="1">SUM(N14:N20)</f>
        <v>#NAME?</v>
      </c>
      <c r="O21" s="34" t="s">
        <v>75</v>
      </c>
      <c r="P21" s="40" t="e">
        <f ca="1">SUM(P14:P20)</f>
        <v>#NAME?</v>
      </c>
    </row>
    <row r="22" spans="2:21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/>
      <c r="O22" s="34"/>
      <c r="P22" s="40"/>
    </row>
    <row r="23" spans="2:21" x14ac:dyDescent="0.2">
      <c r="B23" s="32" t="s">
        <v>93</v>
      </c>
      <c r="C23" s="151"/>
      <c r="D23" s="105"/>
      <c r="H23" s="105"/>
      <c r="I23" s="151"/>
      <c r="J23" s="151"/>
      <c r="K23" s="30"/>
    </row>
    <row r="24" spans="2:21" ht="13.5" thickBot="1" x14ac:dyDescent="0.25">
      <c r="C24" s="30"/>
      <c r="D24" s="30"/>
      <c r="G24" s="30"/>
      <c r="H24" s="151"/>
      <c r="I24" s="30"/>
      <c r="J24" s="151"/>
      <c r="K24" s="30"/>
      <c r="U24" s="357"/>
    </row>
    <row r="25" spans="2:21" ht="15" x14ac:dyDescent="0.35">
      <c r="B25" s="258"/>
      <c r="C25" s="258"/>
      <c r="D25" s="258"/>
      <c r="E25" s="258"/>
      <c r="F25" s="258"/>
      <c r="G25" s="258"/>
      <c r="H25" s="260" t="s">
        <v>92</v>
      </c>
      <c r="I25" s="259" t="s">
        <v>91</v>
      </c>
      <c r="J25" s="259" t="s">
        <v>90</v>
      </c>
      <c r="K25" s="259"/>
      <c r="L25" s="259"/>
      <c r="M25" s="258"/>
      <c r="N25" s="258"/>
      <c r="Q25" s="174"/>
    </row>
    <row r="26" spans="2:21" ht="15" x14ac:dyDescent="0.35">
      <c r="B26" s="255" t="s">
        <v>89</v>
      </c>
      <c r="C26" s="255" t="s">
        <v>88</v>
      </c>
      <c r="D26" s="255" t="s">
        <v>87</v>
      </c>
      <c r="E26" s="255" t="s">
        <v>86</v>
      </c>
      <c r="F26" s="255" t="s">
        <v>85</v>
      </c>
      <c r="G26" s="255" t="s">
        <v>84</v>
      </c>
      <c r="H26" s="257" t="s">
        <v>83</v>
      </c>
      <c r="I26" s="256" t="s">
        <v>83</v>
      </c>
      <c r="J26" s="256" t="s">
        <v>75</v>
      </c>
      <c r="K26" s="256" t="s">
        <v>73</v>
      </c>
      <c r="L26" s="256" t="s">
        <v>82</v>
      </c>
      <c r="M26" s="255" t="s">
        <v>81</v>
      </c>
      <c r="N26" s="255" t="s">
        <v>80</v>
      </c>
    </row>
    <row r="28" spans="2:21" s="33" customFormat="1" x14ac:dyDescent="0.2">
      <c r="B28" s="254" t="s">
        <v>683</v>
      </c>
      <c r="C28" s="118" t="s">
        <v>373</v>
      </c>
      <c r="D28" s="251" t="e">
        <f ca="1">_xll.BDP(C28,"SECURITY_NAME")</f>
        <v>#NAME?</v>
      </c>
      <c r="E28" s="251" t="s">
        <v>50</v>
      </c>
      <c r="F28" s="252">
        <v>265000</v>
      </c>
      <c r="G28" s="251" t="e">
        <f ca="1">_xll.BDP(C28,"CRNCY")</f>
        <v>#NAME?</v>
      </c>
      <c r="H28" s="250">
        <v>104</v>
      </c>
      <c r="I28" s="248">
        <f>F28*H28/100</f>
        <v>275600</v>
      </c>
      <c r="J28" s="249">
        <f>I28</f>
        <v>275600</v>
      </c>
      <c r="K28" s="248" t="e">
        <f ca="1">J28*L28</f>
        <v>#NAME?</v>
      </c>
      <c r="L28" s="247" t="e">
        <f ca="1">_xll.BDH("RUB curncy","PX_LAST",$N28)</f>
        <v>#NAME?</v>
      </c>
      <c r="M28" s="246" t="e">
        <f ca="1">1/_xll.BDH("RUB curncy","PX_LAST",$N28)</f>
        <v>#NAME?</v>
      </c>
      <c r="N28" s="239">
        <v>42460</v>
      </c>
    </row>
    <row r="29" spans="2:21" x14ac:dyDescent="0.2">
      <c r="B29" s="217"/>
      <c r="D29" s="215"/>
      <c r="E29" s="215"/>
      <c r="F29" s="213">
        <f>SUM(F28)</f>
        <v>265000</v>
      </c>
      <c r="G29" s="215"/>
      <c r="H29" s="214">
        <f>I29/F29*100</f>
        <v>104</v>
      </c>
      <c r="I29" s="213">
        <f>SUM(I28)</f>
        <v>275600</v>
      </c>
      <c r="J29" s="213">
        <f>SUM(J28)</f>
        <v>275600</v>
      </c>
      <c r="K29" s="213" t="e">
        <f ca="1">SUM(K28)</f>
        <v>#NAME?</v>
      </c>
      <c r="L29" s="212"/>
      <c r="M29" s="211"/>
      <c r="N29" s="210"/>
      <c r="O29" s="33"/>
    </row>
    <row r="30" spans="2:21" x14ac:dyDescent="0.2">
      <c r="B30" s="245"/>
      <c r="C30" s="33"/>
      <c r="D30" s="244"/>
      <c r="E30" s="244"/>
      <c r="F30" s="242"/>
      <c r="G30" s="244"/>
      <c r="H30" s="243"/>
      <c r="I30" s="242"/>
      <c r="J30" s="242"/>
      <c r="K30" s="242"/>
      <c r="L30" s="241"/>
      <c r="M30" s="240"/>
      <c r="N30" s="239"/>
      <c r="O30" s="33"/>
      <c r="T30" s="190"/>
    </row>
    <row r="31" spans="2:21" s="33" customFormat="1" x14ac:dyDescent="0.2">
      <c r="B31" s="254" t="s">
        <v>683</v>
      </c>
      <c r="C31" s="253" t="s">
        <v>166</v>
      </c>
      <c r="D31" s="251" t="e">
        <f ca="1">_xll.BDP(C31,"SECURITY_NAME")</f>
        <v>#NAME?</v>
      </c>
      <c r="E31" s="251" t="s">
        <v>50</v>
      </c>
      <c r="F31" s="252">
        <v>250000</v>
      </c>
      <c r="G31" s="251" t="e">
        <f ca="1">_xll.BDP(C31,"CRNCY")</f>
        <v>#NAME?</v>
      </c>
      <c r="H31" s="250">
        <v>98.4</v>
      </c>
      <c r="I31" s="248">
        <f>F31*H31/100</f>
        <v>246000</v>
      </c>
      <c r="J31" s="249">
        <f>I31</f>
        <v>246000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42314</v>
      </c>
    </row>
    <row r="32" spans="2:21" x14ac:dyDescent="0.2">
      <c r="B32" s="217"/>
      <c r="D32" s="215"/>
      <c r="E32" s="215"/>
      <c r="F32" s="213">
        <f>SUM(F31)</f>
        <v>250000</v>
      </c>
      <c r="G32" s="215"/>
      <c r="H32" s="214">
        <f>I32/F32*100</f>
        <v>98.4</v>
      </c>
      <c r="I32" s="213">
        <f>SUM(I31)</f>
        <v>246000</v>
      </c>
      <c r="J32" s="213">
        <f>SUM(J31)</f>
        <v>246000</v>
      </c>
      <c r="K32" s="213" t="e">
        <f ca="1">SUM(K31)</f>
        <v>#NAME?</v>
      </c>
      <c r="L32" s="212"/>
      <c r="M32" s="211"/>
      <c r="N32" s="210"/>
      <c r="O32" s="33"/>
    </row>
    <row r="33" spans="2:15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s="33" customFormat="1" x14ac:dyDescent="0.2">
      <c r="B34" s="254" t="s">
        <v>683</v>
      </c>
      <c r="C34" s="253" t="s">
        <v>60</v>
      </c>
      <c r="D34" s="251" t="e">
        <f ca="1">_xll.BDP(C34,"SECURITY_NAME")</f>
        <v>#NAME?</v>
      </c>
      <c r="E34" s="251" t="s">
        <v>50</v>
      </c>
      <c r="F34" s="252">
        <v>250000</v>
      </c>
      <c r="G34" s="251" t="e">
        <f ca="1">_xll.BDP(C34,"CRNCY")</f>
        <v>#NAME?</v>
      </c>
      <c r="H34" s="250">
        <v>107.4</v>
      </c>
      <c r="I34" s="248">
        <f>F34*H34/100</f>
        <v>268500</v>
      </c>
      <c r="J34" s="249">
        <f>I34</f>
        <v>268500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42314</v>
      </c>
    </row>
    <row r="35" spans="2:15" x14ac:dyDescent="0.2">
      <c r="B35" s="217"/>
      <c r="D35" s="215"/>
      <c r="E35" s="215"/>
      <c r="F35" s="213">
        <f>SUM(F34)</f>
        <v>250000</v>
      </c>
      <c r="G35" s="215"/>
      <c r="H35" s="214">
        <f>I35/F35*100</f>
        <v>107.4</v>
      </c>
      <c r="I35" s="213">
        <f>SUM(I34)</f>
        <v>268500</v>
      </c>
      <c r="J35" s="213">
        <f>SUM(J34)</f>
        <v>268500</v>
      </c>
      <c r="K35" s="213" t="e">
        <f ca="1">SUM(K34)</f>
        <v>#NAME?</v>
      </c>
      <c r="L35" s="212"/>
      <c r="M35" s="211"/>
      <c r="N35" s="210"/>
      <c r="O35" s="33"/>
    </row>
    <row r="36" spans="2:15" x14ac:dyDescent="0.2">
      <c r="B36" s="217"/>
      <c r="D36" s="215"/>
      <c r="E36" s="215"/>
      <c r="F36" s="213"/>
      <c r="G36" s="215"/>
      <c r="H36" s="214"/>
      <c r="I36" s="213"/>
      <c r="J36" s="213"/>
      <c r="K36" s="213"/>
      <c r="L36" s="212"/>
      <c r="M36" s="211"/>
      <c r="N36" s="210"/>
      <c r="O36" s="33"/>
    </row>
    <row r="37" spans="2:15" ht="15" customHeight="1" x14ac:dyDescent="0.2">
      <c r="B37" s="254" t="s">
        <v>683</v>
      </c>
      <c r="C37" s="253" t="s">
        <v>78</v>
      </c>
      <c r="D37" s="251" t="e">
        <f ca="1">_xll.BDP(C37,"SECURITY_NAME")</f>
        <v>#NAME?</v>
      </c>
      <c r="E37" s="251" t="s">
        <v>50</v>
      </c>
      <c r="F37" s="242">
        <v>5500</v>
      </c>
      <c r="G37" s="251" t="e">
        <f ca="1">_xll.BDP(C37,"CRNCY")</f>
        <v>#NAME?</v>
      </c>
      <c r="H37" s="250">
        <v>194.97</v>
      </c>
      <c r="I37" s="248">
        <f>F37*H37</f>
        <v>1072335</v>
      </c>
      <c r="J37" s="249" t="e">
        <f ca="1">I37/L37</f>
        <v>#NAME?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42321</v>
      </c>
      <c r="O37" s="33"/>
    </row>
    <row r="38" spans="2:15" ht="15" customHeight="1" x14ac:dyDescent="0.2">
      <c r="B38" s="217"/>
      <c r="D38" s="215"/>
      <c r="E38" s="215"/>
      <c r="F38" s="213">
        <f>SUM(F37)</f>
        <v>5500</v>
      </c>
      <c r="G38" s="215"/>
      <c r="H38" s="214">
        <f>I38/F38</f>
        <v>194.97</v>
      </c>
      <c r="I38" s="213">
        <f>SUM(I37)</f>
        <v>1072335</v>
      </c>
      <c r="J38" s="213" t="e">
        <f ca="1">SUM(J37)</f>
        <v>#NAME?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D39" s="215"/>
      <c r="E39" s="215"/>
      <c r="F39" s="213"/>
      <c r="G39" s="215"/>
      <c r="H39" s="214"/>
      <c r="I39" s="213"/>
      <c r="J39" s="213"/>
      <c r="K39" s="213"/>
      <c r="L39" s="212"/>
      <c r="M39" s="211"/>
      <c r="N39" s="210"/>
      <c r="O39" s="33"/>
    </row>
    <row r="40" spans="2:15" ht="15" customHeight="1" x14ac:dyDescent="0.2">
      <c r="B40" s="254" t="s">
        <v>683</v>
      </c>
      <c r="C40" s="253" t="s">
        <v>184</v>
      </c>
      <c r="D40" s="251" t="e">
        <f ca="1">_xll.BDP(C40,"SECURITY_NAME")</f>
        <v>#NAME?</v>
      </c>
      <c r="E40" s="251" t="s">
        <v>50</v>
      </c>
      <c r="F40" s="242">
        <v>1230</v>
      </c>
      <c r="G40" s="251" t="e">
        <f ca="1">_xll.BDP(C40,"CRNCY")</f>
        <v>#NAME?</v>
      </c>
      <c r="H40" s="250">
        <v>870</v>
      </c>
      <c r="I40" s="248">
        <f>F40*H40</f>
        <v>1070100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42321</v>
      </c>
      <c r="O40" s="33"/>
    </row>
    <row r="41" spans="2:15" ht="15" customHeight="1" x14ac:dyDescent="0.2">
      <c r="B41" s="217"/>
      <c r="D41" s="215"/>
      <c r="E41" s="215"/>
      <c r="F41" s="213">
        <f>SUM(F40)</f>
        <v>1230</v>
      </c>
      <c r="G41" s="215"/>
      <c r="H41" s="214">
        <f>I41/F41</f>
        <v>870</v>
      </c>
      <c r="I41" s="213">
        <f>SUM(I40)</f>
        <v>1070100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17"/>
      <c r="D42" s="215"/>
      <c r="E42" s="215"/>
      <c r="F42" s="213"/>
      <c r="G42" s="215"/>
      <c r="H42" s="214"/>
      <c r="I42" s="213"/>
      <c r="J42" s="213"/>
      <c r="K42" s="213"/>
      <c r="L42" s="212"/>
      <c r="M42" s="211"/>
      <c r="N42" s="210"/>
      <c r="O42" s="33"/>
    </row>
    <row r="43" spans="2:15" ht="15" customHeight="1" x14ac:dyDescent="0.2">
      <c r="B43" s="254" t="s">
        <v>683</v>
      </c>
      <c r="C43" s="253" t="s">
        <v>55</v>
      </c>
      <c r="D43" s="251" t="e">
        <f ca="1">_xll.BDP(C43,"SECURITY_NAME")</f>
        <v>#NAME?</v>
      </c>
      <c r="E43" s="251" t="s">
        <v>50</v>
      </c>
      <c r="F43" s="242">
        <v>115</v>
      </c>
      <c r="G43" s="251" t="e">
        <f ca="1">_xll.BDP(C43,"CRNCY")</f>
        <v>#NAME?</v>
      </c>
      <c r="H43" s="250">
        <v>9445</v>
      </c>
      <c r="I43" s="248">
        <f>F43*H43</f>
        <v>1086175</v>
      </c>
      <c r="J43" s="249" t="e">
        <f ca="1">I43/L43</f>
        <v>#NAME?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42321</v>
      </c>
      <c r="O43" s="33"/>
    </row>
    <row r="44" spans="2:15" ht="15" customHeight="1" x14ac:dyDescent="0.2">
      <c r="B44" s="217"/>
      <c r="D44" s="215"/>
      <c r="E44" s="215"/>
      <c r="F44" s="213">
        <f>SUM(F43)</f>
        <v>115</v>
      </c>
      <c r="G44" s="215"/>
      <c r="H44" s="214">
        <f>I44/F44</f>
        <v>9445</v>
      </c>
      <c r="I44" s="213">
        <f>SUM(I43)</f>
        <v>1086175</v>
      </c>
      <c r="J44" s="213" t="e">
        <f ca="1">SUM(J43)</f>
        <v>#NAME?</v>
      </c>
      <c r="K44" s="213" t="e">
        <f ca="1">SUM(K43)</f>
        <v>#NAME?</v>
      </c>
      <c r="L44" s="212"/>
      <c r="M44" s="211"/>
      <c r="N44" s="210"/>
    </row>
    <row r="45" spans="2:15" x14ac:dyDescent="0.2">
      <c r="B45" s="217"/>
      <c r="D45" s="215"/>
      <c r="E45" s="215"/>
      <c r="F45" s="213"/>
      <c r="G45" s="215"/>
      <c r="H45" s="214"/>
      <c r="I45" s="213"/>
      <c r="J45" s="213"/>
      <c r="K45" s="213"/>
      <c r="L45" s="212"/>
      <c r="M45" s="211"/>
      <c r="N45" s="210"/>
      <c r="O45" s="33"/>
    </row>
    <row r="46" spans="2:15" ht="15" customHeight="1" x14ac:dyDescent="0.2">
      <c r="B46" s="254" t="s">
        <v>683</v>
      </c>
      <c r="C46" s="253" t="s">
        <v>53</v>
      </c>
      <c r="D46" s="251" t="e">
        <f ca="1">_xll.BDP(C46,"SECURITY_NAME")</f>
        <v>#NAME?</v>
      </c>
      <c r="E46" s="251" t="s">
        <v>50</v>
      </c>
      <c r="F46" s="242">
        <v>600</v>
      </c>
      <c r="G46" s="251" t="e">
        <f ca="1">_xll.BDP(C46,"CRNCY")</f>
        <v>#NAME?</v>
      </c>
      <c r="H46" s="250" t="e">
        <f ca="1">_xll.BDH(C46,"PX_LAST",N46)</f>
        <v>#NAME?</v>
      </c>
      <c r="I46" s="248" t="e">
        <f ca="1">F46*H46</f>
        <v>#NAME?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42002</v>
      </c>
      <c r="O46" s="33"/>
    </row>
    <row r="47" spans="2:15" ht="15" customHeight="1" x14ac:dyDescent="0.2">
      <c r="B47" s="217"/>
      <c r="D47" s="215"/>
      <c r="E47" s="215"/>
      <c r="F47" s="213">
        <f>SUM(F46)</f>
        <v>600</v>
      </c>
      <c r="G47" s="215"/>
      <c r="H47" s="214" t="e">
        <f ca="1">I47/F47</f>
        <v>#NAME?</v>
      </c>
      <c r="I47" s="213" t="e">
        <f ca="1">SUM(I46)</f>
        <v>#NAME?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26"/>
      <c r="C48" s="225"/>
      <c r="D48" s="223"/>
      <c r="E48" s="223"/>
      <c r="F48" s="224"/>
      <c r="G48" s="223"/>
      <c r="H48" s="222"/>
      <c r="I48" s="220"/>
      <c r="J48" s="221"/>
      <c r="K48" s="220"/>
      <c r="L48" s="219"/>
      <c r="M48" s="218"/>
      <c r="N48" s="210"/>
    </row>
    <row r="49" spans="2:15" s="33" customFormat="1" x14ac:dyDescent="0.2">
      <c r="B49" s="254" t="s">
        <v>683</v>
      </c>
      <c r="C49" s="253" t="s">
        <v>225</v>
      </c>
      <c r="D49" s="251" t="e">
        <f ca="1">_xll.BDP(C49,"SECURITY_NAME")</f>
        <v>#NAME?</v>
      </c>
      <c r="E49" s="251" t="s">
        <v>50</v>
      </c>
      <c r="F49" s="252">
        <v>200000</v>
      </c>
      <c r="G49" s="251" t="e">
        <f ca="1">_xll.BDP(C49,"CRNCY")</f>
        <v>#NAME?</v>
      </c>
      <c r="H49" s="250" t="e">
        <f ca="1">_xll.BDH(C49,"PX_LAST",N49)</f>
        <v>#NAME?</v>
      </c>
      <c r="I49" s="248" t="e">
        <f ca="1">F49*H49/100</f>
        <v>#NAME?</v>
      </c>
      <c r="J49" s="249" t="e">
        <f ca="1">I49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41844</v>
      </c>
    </row>
    <row r="50" spans="2:15" x14ac:dyDescent="0.2">
      <c r="B50" s="217"/>
      <c r="D50" s="215"/>
      <c r="E50" s="215"/>
      <c r="F50" s="213">
        <f>SUM(F49)</f>
        <v>200000</v>
      </c>
      <c r="G50" s="215"/>
      <c r="H50" s="214" t="e">
        <f ca="1">I50/F50*100</f>
        <v>#NAME?</v>
      </c>
      <c r="I50" s="213" t="e">
        <f ca="1">SUM(I49)</f>
        <v>#NAME?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  <c r="O50" s="33"/>
    </row>
    <row r="51" spans="2:15" x14ac:dyDescent="0.2">
      <c r="F51" s="213"/>
      <c r="H51" s="214"/>
      <c r="I51" s="213"/>
      <c r="J51" s="213"/>
      <c r="K51" s="213"/>
    </row>
    <row r="53" spans="2:15" x14ac:dyDescent="0.2">
      <c r="B53" s="226"/>
      <c r="C53" s="225"/>
      <c r="D53" s="223"/>
      <c r="E53" s="223"/>
      <c r="F53" s="224"/>
      <c r="G53" s="223"/>
      <c r="H53" s="222"/>
      <c r="I53" s="220"/>
      <c r="J53" s="221"/>
      <c r="K53" s="220"/>
      <c r="L53" s="219"/>
      <c r="M53" s="218"/>
      <c r="N53" s="210"/>
    </row>
    <row r="54" spans="2:15" x14ac:dyDescent="0.2">
      <c r="B54" s="217"/>
      <c r="D54" s="215"/>
      <c r="E54" s="215"/>
      <c r="F54" s="213"/>
      <c r="G54" s="215"/>
      <c r="H54" s="214"/>
      <c r="I54" s="213"/>
      <c r="J54" s="213"/>
      <c r="K54" s="213"/>
      <c r="L54" s="212"/>
      <c r="M54" s="211"/>
      <c r="N54" s="210"/>
    </row>
    <row r="55" spans="2:15" x14ac:dyDescent="0.2">
      <c r="B55" s="217"/>
      <c r="D55" s="215"/>
      <c r="E55" s="215"/>
      <c r="F55" s="213"/>
      <c r="G55" s="215"/>
      <c r="H55" s="214"/>
      <c r="I55" s="213"/>
      <c r="J55" s="213"/>
      <c r="K55" s="213"/>
      <c r="L55" s="212"/>
      <c r="M55" s="211"/>
      <c r="N55" s="210"/>
    </row>
    <row r="56" spans="2:15" x14ac:dyDescent="0.2">
      <c r="B56" s="226"/>
      <c r="C56" s="225"/>
      <c r="D56" s="223"/>
      <c r="E56" s="223"/>
      <c r="F56" s="224"/>
      <c r="G56" s="223"/>
      <c r="H56" s="222"/>
      <c r="I56" s="220"/>
      <c r="J56" s="221"/>
      <c r="K56" s="220"/>
      <c r="L56" s="219"/>
      <c r="M56" s="218"/>
      <c r="N56" s="210"/>
    </row>
    <row r="57" spans="2:15" x14ac:dyDescent="0.2">
      <c r="B57" s="226"/>
      <c r="C57" s="225"/>
      <c r="D57" s="223"/>
      <c r="E57" s="223"/>
      <c r="F57" s="224"/>
      <c r="G57" s="223"/>
      <c r="H57" s="222"/>
      <c r="I57" s="220"/>
      <c r="J57" s="221"/>
      <c r="K57" s="220"/>
      <c r="L57" s="219"/>
      <c r="M57" s="218"/>
      <c r="N57" s="210"/>
    </row>
    <row r="58" spans="2:15" x14ac:dyDescent="0.2">
      <c r="B58" s="217"/>
      <c r="D58" s="215"/>
      <c r="E58" s="215"/>
      <c r="F58" s="213"/>
      <c r="G58" s="215"/>
      <c r="H58" s="214"/>
      <c r="I58" s="213"/>
      <c r="J58" s="213"/>
      <c r="K58" s="213"/>
      <c r="L58" s="212"/>
      <c r="M58" s="211"/>
      <c r="N58" s="210"/>
    </row>
    <row r="60" spans="2:15" x14ac:dyDescent="0.2">
      <c r="B60" s="226"/>
      <c r="C60" s="225"/>
      <c r="D60" s="223"/>
      <c r="E60" s="223"/>
      <c r="F60" s="224"/>
      <c r="G60" s="223"/>
      <c r="H60" s="222"/>
      <c r="I60" s="220"/>
      <c r="J60" s="221"/>
      <c r="K60" s="220"/>
      <c r="L60" s="219"/>
      <c r="M60" s="218"/>
      <c r="N60" s="210"/>
    </row>
    <row r="61" spans="2:15" x14ac:dyDescent="0.2">
      <c r="B61" s="226"/>
      <c r="C61" s="225"/>
      <c r="D61" s="223"/>
      <c r="E61" s="223"/>
      <c r="F61" s="224"/>
      <c r="G61" s="223"/>
      <c r="H61" s="222"/>
      <c r="I61" s="220"/>
      <c r="J61" s="221"/>
      <c r="K61" s="220"/>
      <c r="L61" s="219"/>
      <c r="M61" s="218"/>
      <c r="N61" s="210"/>
    </row>
    <row r="62" spans="2:15" x14ac:dyDescent="0.2">
      <c r="B62" s="226"/>
      <c r="C62" s="225"/>
      <c r="D62" s="223"/>
      <c r="E62" s="223"/>
      <c r="F62" s="224"/>
      <c r="G62" s="223"/>
      <c r="H62" s="222"/>
      <c r="I62" s="220"/>
      <c r="J62" s="221"/>
      <c r="K62" s="220"/>
      <c r="L62" s="219"/>
      <c r="M62" s="218"/>
      <c r="N62" s="210"/>
    </row>
    <row r="63" spans="2:15" x14ac:dyDescent="0.2">
      <c r="B63" s="226"/>
      <c r="C63" s="225"/>
      <c r="D63" s="223"/>
      <c r="E63" s="223"/>
      <c r="F63" s="224"/>
      <c r="G63" s="223"/>
      <c r="H63" s="222"/>
      <c r="I63" s="220"/>
      <c r="J63" s="221"/>
      <c r="K63" s="220"/>
      <c r="L63" s="219"/>
      <c r="M63" s="218"/>
      <c r="N63" s="210"/>
    </row>
    <row r="64" spans="2:15" x14ac:dyDescent="0.2">
      <c r="B64" s="226"/>
      <c r="C64" s="225"/>
      <c r="D64" s="223"/>
      <c r="E64" s="223"/>
      <c r="F64" s="224"/>
      <c r="G64" s="223"/>
      <c r="H64" s="222"/>
      <c r="I64" s="220"/>
      <c r="J64" s="221"/>
      <c r="K64" s="220"/>
      <c r="L64" s="219"/>
      <c r="M64" s="218"/>
      <c r="N64" s="210"/>
    </row>
    <row r="65" spans="2:14" x14ac:dyDescent="0.2">
      <c r="B65" s="226"/>
      <c r="C65" s="225"/>
      <c r="D65" s="223"/>
      <c r="E65" s="223"/>
      <c r="F65" s="224"/>
      <c r="G65" s="223"/>
      <c r="H65" s="222"/>
      <c r="I65" s="220"/>
      <c r="J65" s="221"/>
      <c r="K65" s="220"/>
      <c r="L65" s="219"/>
      <c r="M65" s="218"/>
      <c r="N65" s="210"/>
    </row>
    <row r="66" spans="2:14" x14ac:dyDescent="0.2">
      <c r="F66" s="213"/>
      <c r="H66" s="214"/>
      <c r="I66" s="213"/>
      <c r="J66" s="213"/>
      <c r="K66" s="213"/>
    </row>
    <row r="68" spans="2:14" x14ac:dyDescent="0.2">
      <c r="B68" s="226"/>
      <c r="C68" s="225"/>
      <c r="D68" s="223"/>
      <c r="E68" s="223"/>
      <c r="F68" s="224"/>
      <c r="G68" s="223"/>
      <c r="H68" s="222"/>
      <c r="I68" s="220"/>
      <c r="J68" s="221"/>
      <c r="K68" s="220"/>
      <c r="L68" s="219"/>
      <c r="M68" s="218"/>
      <c r="N68" s="210"/>
    </row>
    <row r="69" spans="2:14" x14ac:dyDescent="0.2">
      <c r="B69" s="226"/>
      <c r="C69" s="225"/>
      <c r="D69" s="223"/>
      <c r="E69" s="223"/>
      <c r="F69" s="224"/>
      <c r="G69" s="223"/>
      <c r="H69" s="222"/>
      <c r="I69" s="220"/>
      <c r="J69" s="221"/>
      <c r="K69" s="220"/>
      <c r="L69" s="219"/>
      <c r="M69" s="218"/>
      <c r="N69" s="210"/>
    </row>
    <row r="70" spans="2:14" x14ac:dyDescent="0.2">
      <c r="F70" s="213"/>
      <c r="G70" s="213"/>
      <c r="H70" s="214"/>
      <c r="I70" s="213"/>
      <c r="J70" s="213"/>
      <c r="K70" s="213"/>
    </row>
    <row r="71" spans="2:14" x14ac:dyDescent="0.2">
      <c r="G71" s="213"/>
      <c r="H71" s="214"/>
      <c r="I71" s="213"/>
      <c r="J71" s="213"/>
      <c r="K71" s="213"/>
    </row>
    <row r="72" spans="2:14" x14ac:dyDescent="0.2">
      <c r="B72" s="226"/>
      <c r="C72" s="225"/>
      <c r="D72" s="223"/>
      <c r="E72" s="223"/>
      <c r="F72" s="224"/>
      <c r="G72" s="223"/>
      <c r="H72" s="222"/>
      <c r="I72" s="220"/>
      <c r="J72" s="221"/>
      <c r="K72" s="220"/>
      <c r="L72" s="219"/>
      <c r="M72" s="218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26"/>
      <c r="C74" s="225"/>
      <c r="D74" s="223"/>
      <c r="E74" s="223"/>
      <c r="F74" s="224"/>
      <c r="G74" s="223"/>
      <c r="H74" s="222"/>
      <c r="I74" s="220"/>
      <c r="J74" s="221"/>
      <c r="K74" s="220"/>
      <c r="L74" s="219"/>
      <c r="M74" s="218"/>
      <c r="N74" s="210"/>
    </row>
    <row r="75" spans="2:14" x14ac:dyDescent="0.2">
      <c r="B75" s="217"/>
      <c r="C75" s="216"/>
      <c r="D75" s="215"/>
      <c r="E75" s="215"/>
      <c r="F75" s="213"/>
      <c r="G75" s="215"/>
      <c r="H75" s="213"/>
      <c r="I75" s="213"/>
      <c r="J75" s="213"/>
      <c r="K75" s="213"/>
      <c r="L75" s="212"/>
      <c r="M75" s="211"/>
      <c r="N75" s="210"/>
    </row>
    <row r="77" spans="2:14" x14ac:dyDescent="0.2">
      <c r="B77" s="226"/>
      <c r="C77" s="225"/>
      <c r="D77" s="223"/>
      <c r="E77" s="223"/>
      <c r="F77" s="224"/>
      <c r="G77" s="223"/>
      <c r="H77" s="222"/>
      <c r="I77" s="220"/>
      <c r="J77" s="221"/>
      <c r="K77" s="220"/>
      <c r="L77" s="219"/>
      <c r="M77" s="218"/>
      <c r="N77" s="210"/>
    </row>
    <row r="78" spans="2:14" x14ac:dyDescent="0.2">
      <c r="B78" s="217"/>
      <c r="C78" s="216"/>
      <c r="D78" s="215"/>
      <c r="E78" s="215"/>
      <c r="F78" s="213"/>
      <c r="G78" s="215"/>
      <c r="H78" s="214"/>
      <c r="I78" s="213"/>
      <c r="J78" s="213"/>
      <c r="K78" s="213"/>
      <c r="L78" s="212"/>
      <c r="M78" s="211"/>
      <c r="N78" s="210"/>
    </row>
    <row r="80" spans="2:14" x14ac:dyDescent="0.2">
      <c r="B80" s="226"/>
      <c r="C80" s="225"/>
      <c r="D80" s="223"/>
      <c r="E80" s="223"/>
      <c r="F80" s="224"/>
      <c r="G80" s="223"/>
      <c r="H80" s="222"/>
      <c r="I80" s="220"/>
      <c r="J80" s="221"/>
      <c r="K80" s="220"/>
      <c r="L80" s="219"/>
      <c r="M80" s="218"/>
      <c r="N80" s="210"/>
    </row>
    <row r="81" spans="2:14" x14ac:dyDescent="0.2">
      <c r="B81" s="226"/>
      <c r="C81" s="225"/>
      <c r="D81" s="223"/>
      <c r="E81" s="223"/>
      <c r="F81" s="224"/>
      <c r="G81" s="223"/>
      <c r="H81" s="222"/>
      <c r="I81" s="220"/>
      <c r="J81" s="221"/>
      <c r="K81" s="220"/>
      <c r="L81" s="219"/>
      <c r="M81" s="218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26"/>
      <c r="C83" s="225"/>
      <c r="D83" s="223"/>
      <c r="E83" s="223"/>
      <c r="F83" s="224"/>
      <c r="G83" s="223"/>
      <c r="H83" s="222"/>
      <c r="I83" s="220"/>
      <c r="J83" s="221"/>
      <c r="K83" s="220"/>
      <c r="L83" s="219"/>
      <c r="M83" s="218"/>
      <c r="N83" s="210"/>
    </row>
    <row r="84" spans="2:14" x14ac:dyDescent="0.2">
      <c r="B84" s="217"/>
      <c r="C84" s="216"/>
      <c r="D84" s="215"/>
      <c r="E84" s="215"/>
      <c r="F84" s="213"/>
      <c r="G84" s="215"/>
      <c r="H84" s="214"/>
      <c r="I84" s="213"/>
      <c r="J84" s="213"/>
      <c r="K84" s="213"/>
      <c r="L84" s="212"/>
      <c r="M84" s="211"/>
      <c r="N84" s="210"/>
    </row>
    <row r="86" spans="2:14" x14ac:dyDescent="0.2">
      <c r="B86" s="226"/>
      <c r="C86" s="225"/>
      <c r="D86" s="223"/>
      <c r="E86" s="223"/>
      <c r="F86" s="224"/>
      <c r="G86" s="223"/>
      <c r="H86" s="222"/>
      <c r="I86" s="220"/>
      <c r="J86" s="221"/>
      <c r="K86" s="220"/>
      <c r="L86" s="219"/>
      <c r="M86" s="218"/>
      <c r="N86" s="210"/>
    </row>
    <row r="87" spans="2:14" x14ac:dyDescent="0.2">
      <c r="B87" s="226"/>
      <c r="C87" s="225"/>
      <c r="D87" s="223"/>
      <c r="E87" s="223"/>
      <c r="F87" s="224"/>
      <c r="G87" s="223"/>
      <c r="H87" s="222"/>
      <c r="I87" s="220"/>
      <c r="J87" s="221"/>
      <c r="K87" s="220"/>
      <c r="L87" s="219"/>
      <c r="M87" s="218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14"/>
      <c r="I89" s="213"/>
      <c r="J89" s="213"/>
      <c r="K89" s="213"/>
      <c r="L89" s="212"/>
      <c r="M89" s="211"/>
      <c r="N89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26"/>
      <c r="C93" s="225"/>
      <c r="D93" s="223"/>
      <c r="E93" s="223"/>
      <c r="F93" s="224"/>
      <c r="G93" s="223"/>
      <c r="H93" s="222"/>
      <c r="I93" s="220"/>
      <c r="J93" s="221"/>
      <c r="K93" s="220"/>
      <c r="L93" s="219"/>
      <c r="M93" s="218"/>
      <c r="N93" s="210"/>
    </row>
    <row r="94" spans="2:14" x14ac:dyDescent="0.2">
      <c r="B94" s="217"/>
      <c r="C94" s="216"/>
      <c r="D94" s="215"/>
      <c r="E94" s="215"/>
      <c r="F94" s="213"/>
      <c r="G94" s="215"/>
      <c r="H94" s="213"/>
      <c r="I94" s="213"/>
      <c r="J94" s="213"/>
      <c r="K94" s="213"/>
      <c r="L94" s="212"/>
      <c r="M94" s="211"/>
      <c r="N94" s="210"/>
    </row>
    <row r="95" spans="2:14" x14ac:dyDescent="0.2">
      <c r="B95" s="217"/>
      <c r="C95" s="216"/>
      <c r="D95" s="215"/>
      <c r="E95" s="215"/>
      <c r="F95" s="213"/>
      <c r="G95" s="215"/>
      <c r="H95" s="214"/>
      <c r="I95" s="213"/>
      <c r="J95" s="213"/>
      <c r="K95" s="213"/>
      <c r="L95" s="212"/>
      <c r="M95" s="211"/>
      <c r="N95" s="210"/>
    </row>
    <row r="96" spans="2:14" x14ac:dyDescent="0.2">
      <c r="B96" s="226"/>
      <c r="C96" s="225"/>
      <c r="D96" s="223"/>
      <c r="E96" s="223"/>
      <c r="F96" s="224"/>
      <c r="G96" s="223"/>
      <c r="H96" s="222"/>
      <c r="I96" s="220"/>
      <c r="J96" s="221"/>
      <c r="K96" s="220"/>
      <c r="L96" s="219"/>
      <c r="M96" s="218"/>
      <c r="N96" s="210"/>
    </row>
    <row r="97" spans="2:14" x14ac:dyDescent="0.2">
      <c r="B97" s="226"/>
      <c r="C97" s="225"/>
      <c r="D97" s="223"/>
      <c r="E97" s="223"/>
      <c r="F97" s="224"/>
      <c r="G97" s="223"/>
      <c r="H97" s="222"/>
      <c r="I97" s="220"/>
      <c r="J97" s="221"/>
      <c r="K97" s="220"/>
      <c r="L97" s="219"/>
      <c r="M97" s="218"/>
      <c r="N97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26"/>
      <c r="C104" s="225"/>
      <c r="D104" s="223"/>
      <c r="E104" s="223"/>
      <c r="F104" s="224"/>
      <c r="G104" s="223"/>
      <c r="H104" s="222"/>
      <c r="I104" s="220"/>
      <c r="J104" s="221"/>
      <c r="K104" s="220"/>
      <c r="L104" s="219"/>
      <c r="M104" s="218"/>
      <c r="N104" s="210"/>
    </row>
    <row r="105" spans="2:14" x14ac:dyDescent="0.2">
      <c r="B105" s="217"/>
      <c r="C105" s="216"/>
      <c r="D105" s="215"/>
      <c r="E105" s="215"/>
      <c r="F105" s="213"/>
      <c r="G105" s="215"/>
      <c r="H105" s="214"/>
      <c r="I105" s="213"/>
      <c r="J105" s="213"/>
      <c r="K105" s="213"/>
      <c r="L105" s="212"/>
      <c r="M105" s="211"/>
      <c r="N105" s="210"/>
    </row>
    <row r="106" spans="2:14" x14ac:dyDescent="0.2">
      <c r="B106" s="217"/>
      <c r="C106" s="216"/>
      <c r="D106" s="215"/>
      <c r="E106" s="215"/>
      <c r="F106" s="213"/>
      <c r="G106" s="215"/>
      <c r="H106" s="214"/>
      <c r="I106" s="213"/>
      <c r="J106" s="213"/>
      <c r="K106" s="213"/>
      <c r="L106" s="212"/>
      <c r="M106" s="211"/>
      <c r="N106" s="210"/>
    </row>
    <row r="107" spans="2:14" x14ac:dyDescent="0.2">
      <c r="B107" s="226"/>
      <c r="C107" s="225"/>
      <c r="D107" s="223"/>
      <c r="E107" s="223"/>
      <c r="F107" s="224"/>
      <c r="G107" s="223"/>
      <c r="H107" s="222"/>
      <c r="I107" s="220"/>
      <c r="J107" s="221"/>
      <c r="K107" s="220"/>
      <c r="L107" s="219"/>
      <c r="M107" s="218"/>
      <c r="N107" s="210"/>
    </row>
    <row r="108" spans="2:14" x14ac:dyDescent="0.2">
      <c r="B108" s="217"/>
      <c r="C108" s="216"/>
      <c r="D108" s="215"/>
      <c r="E108" s="215"/>
      <c r="F108" s="213"/>
      <c r="G108" s="215"/>
      <c r="H108" s="214"/>
      <c r="I108" s="213"/>
      <c r="J108" s="213"/>
      <c r="K108" s="213"/>
      <c r="L108" s="212"/>
      <c r="M108" s="211"/>
      <c r="N108" s="210"/>
    </row>
    <row r="110" spans="2:14" x14ac:dyDescent="0.2">
      <c r="B110" s="226"/>
      <c r="C110" s="225"/>
      <c r="D110" s="223"/>
      <c r="E110" s="223"/>
      <c r="F110" s="224"/>
      <c r="G110" s="223"/>
      <c r="H110" s="222"/>
      <c r="I110" s="220"/>
      <c r="J110" s="221"/>
      <c r="K110" s="220"/>
      <c r="L110" s="219"/>
      <c r="M110" s="218"/>
      <c r="N110" s="210"/>
    </row>
    <row r="111" spans="2:14" x14ac:dyDescent="0.2">
      <c r="B111" s="226"/>
      <c r="C111" s="225"/>
      <c r="D111" s="223"/>
      <c r="E111" s="223"/>
      <c r="F111" s="224"/>
      <c r="G111" s="223"/>
      <c r="H111" s="222"/>
      <c r="I111" s="220"/>
      <c r="J111" s="221"/>
      <c r="K111" s="220"/>
      <c r="L111" s="219"/>
      <c r="M111" s="218"/>
      <c r="N111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14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14"/>
      <c r="I116" s="213"/>
      <c r="J116" s="213"/>
      <c r="K116" s="213"/>
      <c r="L116" s="212"/>
      <c r="M116" s="211"/>
      <c r="N116" s="210"/>
    </row>
    <row r="117" spans="2:14" x14ac:dyDescent="0.2">
      <c r="B117" s="217"/>
      <c r="C117" s="216"/>
      <c r="D117" s="215"/>
      <c r="E117" s="215"/>
      <c r="F117" s="213"/>
      <c r="G117" s="215"/>
      <c r="H117" s="214"/>
      <c r="I117" s="213"/>
      <c r="J117" s="213"/>
      <c r="K117" s="213"/>
      <c r="L117" s="212"/>
      <c r="M117" s="211"/>
      <c r="N117" s="210"/>
    </row>
    <row r="118" spans="2:14" x14ac:dyDescent="0.2">
      <c r="B118" s="217"/>
      <c r="C118" s="216"/>
      <c r="D118" s="215"/>
      <c r="E118" s="215"/>
      <c r="F118" s="213"/>
      <c r="G118" s="215"/>
      <c r="H118" s="214"/>
      <c r="I118" s="213"/>
      <c r="J118" s="213"/>
      <c r="K118" s="213"/>
      <c r="L118" s="212"/>
      <c r="M118" s="211"/>
      <c r="N118" s="210"/>
    </row>
    <row r="119" spans="2:14" x14ac:dyDescent="0.2">
      <c r="B119" s="226"/>
      <c r="C119" s="225"/>
      <c r="D119" s="223"/>
      <c r="E119" s="223"/>
      <c r="F119" s="224"/>
      <c r="G119" s="223"/>
      <c r="H119" s="222"/>
      <c r="I119" s="220"/>
      <c r="J119" s="221"/>
      <c r="K119" s="220"/>
      <c r="L119" s="219"/>
      <c r="M119" s="218"/>
      <c r="N119" s="210"/>
    </row>
    <row r="120" spans="2:14" x14ac:dyDescent="0.2">
      <c r="B120" s="226"/>
      <c r="C120" s="225"/>
      <c r="D120" s="223"/>
      <c r="E120" s="223"/>
      <c r="F120" s="224"/>
      <c r="G120" s="223"/>
      <c r="H120" s="222"/>
      <c r="I120" s="220"/>
      <c r="J120" s="221"/>
      <c r="K120" s="220"/>
      <c r="L120" s="219"/>
      <c r="M120" s="218"/>
      <c r="N120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17"/>
      <c r="C125" s="216"/>
      <c r="D125" s="215"/>
      <c r="E125" s="215"/>
      <c r="F125" s="213"/>
      <c r="G125" s="215"/>
      <c r="H125" s="214"/>
      <c r="I125" s="213"/>
      <c r="J125" s="213"/>
      <c r="K125" s="213"/>
      <c r="L125" s="212"/>
      <c r="M125" s="211"/>
      <c r="N125" s="210"/>
    </row>
    <row r="126" spans="2:14" x14ac:dyDescent="0.2">
      <c r="B126" s="217"/>
      <c r="C126" s="216"/>
      <c r="D126" s="215"/>
      <c r="E126" s="215"/>
      <c r="F126" s="213"/>
      <c r="G126" s="215"/>
      <c r="H126" s="214"/>
      <c r="I126" s="213"/>
      <c r="J126" s="213"/>
      <c r="K126" s="213"/>
      <c r="L126" s="212"/>
      <c r="M126" s="211"/>
      <c r="N126" s="210"/>
    </row>
    <row r="127" spans="2:14" x14ac:dyDescent="0.2">
      <c r="B127" s="226"/>
      <c r="C127" s="225"/>
      <c r="D127" s="223"/>
      <c r="E127" s="223"/>
      <c r="F127" s="224"/>
      <c r="G127" s="223"/>
      <c r="H127" s="222"/>
      <c r="I127" s="220"/>
      <c r="J127" s="221"/>
      <c r="K127" s="220"/>
      <c r="L127" s="219"/>
      <c r="M127" s="218"/>
      <c r="N127" s="210"/>
    </row>
    <row r="128" spans="2:14" x14ac:dyDescent="0.2">
      <c r="B128" s="217"/>
      <c r="C128" s="216"/>
      <c r="D128" s="215"/>
      <c r="E128" s="215"/>
      <c r="F128" s="213"/>
      <c r="G128" s="215"/>
      <c r="H128" s="214"/>
      <c r="I128" s="213"/>
      <c r="J128" s="213"/>
      <c r="K128" s="213"/>
      <c r="L128" s="212"/>
      <c r="M128" s="211"/>
      <c r="N128" s="210"/>
    </row>
    <row r="130" spans="2:14" x14ac:dyDescent="0.2">
      <c r="B130" s="226"/>
      <c r="C130" s="225"/>
      <c r="D130" s="223"/>
      <c r="E130" s="223"/>
      <c r="F130" s="224"/>
      <c r="G130" s="223"/>
      <c r="H130" s="222"/>
      <c r="I130" s="220"/>
      <c r="J130" s="221"/>
      <c r="K130" s="220"/>
      <c r="L130" s="219"/>
      <c r="M130" s="218"/>
      <c r="N130" s="210"/>
    </row>
    <row r="131" spans="2:14" x14ac:dyDescent="0.2">
      <c r="F131" s="213"/>
      <c r="H131" s="212"/>
      <c r="I131" s="213"/>
      <c r="J131" s="213"/>
      <c r="K131" s="213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26"/>
      <c r="C134" s="225"/>
      <c r="D134" s="223"/>
      <c r="E134" s="223"/>
      <c r="F134" s="224"/>
      <c r="G134" s="223"/>
      <c r="H134" s="222"/>
      <c r="I134" s="220"/>
      <c r="J134" s="221"/>
      <c r="K134" s="220"/>
      <c r="L134" s="219"/>
      <c r="M134" s="218"/>
      <c r="N134" s="210"/>
    </row>
    <row r="135" spans="2:14" x14ac:dyDescent="0.2">
      <c r="B135" s="217"/>
      <c r="C135" s="216"/>
      <c r="D135" s="215"/>
      <c r="E135" s="215"/>
      <c r="F135" s="213"/>
      <c r="G135" s="215"/>
      <c r="H135" s="214"/>
      <c r="I135" s="213"/>
      <c r="J135" s="213"/>
      <c r="K135" s="213"/>
      <c r="L135" s="212"/>
      <c r="M135" s="236"/>
      <c r="N135" s="210"/>
    </row>
    <row r="136" spans="2:14" x14ac:dyDescent="0.2">
      <c r="B136" s="217"/>
      <c r="C136" s="216"/>
      <c r="D136" s="215"/>
      <c r="E136" s="215"/>
      <c r="F136" s="213"/>
      <c r="G136" s="215"/>
      <c r="H136" s="214"/>
      <c r="I136" s="213"/>
      <c r="J136" s="213"/>
      <c r="K136" s="213"/>
      <c r="L136" s="212"/>
      <c r="M136" s="236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17"/>
      <c r="C138" s="216"/>
      <c r="D138" s="215"/>
      <c r="E138" s="215"/>
      <c r="F138" s="213"/>
      <c r="G138" s="215"/>
      <c r="H138" s="212"/>
      <c r="I138" s="213"/>
      <c r="J138" s="213"/>
      <c r="K138" s="213"/>
      <c r="L138" s="212"/>
      <c r="M138" s="236"/>
      <c r="N138" s="210"/>
    </row>
    <row r="139" spans="2:14" x14ac:dyDescent="0.2">
      <c r="B139" s="217"/>
      <c r="C139" s="216"/>
      <c r="D139" s="215"/>
      <c r="E139" s="215"/>
      <c r="F139" s="213"/>
      <c r="G139" s="215"/>
      <c r="H139" s="214"/>
      <c r="I139" s="213"/>
      <c r="J139" s="213"/>
      <c r="K139" s="213"/>
      <c r="L139" s="212"/>
      <c r="M139" s="236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B142" s="226"/>
      <c r="C142" s="225"/>
      <c r="D142" s="223"/>
      <c r="E142" s="223"/>
      <c r="F142" s="224"/>
      <c r="G142" s="223"/>
      <c r="H142" s="222"/>
      <c r="I142" s="220"/>
      <c r="J142" s="221"/>
      <c r="K142" s="220"/>
      <c r="L142" s="219"/>
      <c r="M142" s="218"/>
      <c r="N142" s="210"/>
    </row>
    <row r="143" spans="2:14" x14ac:dyDescent="0.2">
      <c r="B143" s="226"/>
      <c r="C143" s="225"/>
      <c r="D143" s="223"/>
      <c r="E143" s="223"/>
      <c r="F143" s="224"/>
      <c r="G143" s="223"/>
      <c r="H143" s="222"/>
      <c r="I143" s="220"/>
      <c r="J143" s="221"/>
      <c r="K143" s="220"/>
      <c r="L143" s="219"/>
      <c r="M143" s="218"/>
      <c r="N143" s="210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B146" s="226"/>
      <c r="C146" s="225"/>
      <c r="D146" s="223"/>
      <c r="E146" s="223"/>
      <c r="F146" s="224"/>
      <c r="G146" s="223"/>
      <c r="H146" s="222"/>
      <c r="I146" s="220"/>
      <c r="J146" s="221"/>
      <c r="K146" s="220"/>
      <c r="L146" s="219"/>
      <c r="M146" s="218"/>
      <c r="N146" s="210"/>
    </row>
    <row r="147" spans="2:14" x14ac:dyDescent="0.2">
      <c r="B147" s="226"/>
      <c r="C147" s="225"/>
      <c r="D147" s="223"/>
      <c r="E147" s="223"/>
      <c r="F147" s="224"/>
      <c r="G147" s="223"/>
      <c r="H147" s="222"/>
      <c r="I147" s="220"/>
      <c r="J147" s="221"/>
      <c r="K147" s="220"/>
      <c r="L147" s="219"/>
      <c r="M147" s="218"/>
      <c r="N147" s="210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26"/>
      <c r="C151" s="225"/>
      <c r="D151" s="223"/>
      <c r="E151" s="223"/>
      <c r="F151" s="224"/>
      <c r="G151" s="223"/>
      <c r="H151" s="222"/>
      <c r="I151" s="220"/>
      <c r="J151" s="221"/>
      <c r="K151" s="220"/>
      <c r="L151" s="219"/>
      <c r="M151" s="218"/>
      <c r="N151" s="210"/>
    </row>
    <row r="152" spans="2:14" x14ac:dyDescent="0.2">
      <c r="B152" s="226"/>
      <c r="C152" s="225"/>
      <c r="D152" s="223"/>
      <c r="E152" s="223"/>
      <c r="F152" s="224"/>
      <c r="G152" s="223"/>
      <c r="H152" s="222"/>
      <c r="I152" s="220"/>
      <c r="J152" s="221"/>
      <c r="K152" s="220"/>
      <c r="L152" s="219"/>
      <c r="M152" s="218"/>
      <c r="N152" s="210"/>
    </row>
    <row r="153" spans="2:14" x14ac:dyDescent="0.2">
      <c r="B153" s="217"/>
      <c r="C153" s="216"/>
      <c r="D153" s="215"/>
      <c r="E153" s="215"/>
      <c r="F153" s="213"/>
      <c r="G153" s="215"/>
      <c r="H153" s="214"/>
      <c r="I153" s="213"/>
      <c r="J153" s="213"/>
      <c r="K153" s="213"/>
      <c r="L153" s="212"/>
      <c r="M153" s="211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27"/>
      <c r="J154" s="228"/>
      <c r="K154" s="227"/>
      <c r="L154" s="212"/>
      <c r="M154" s="211"/>
      <c r="N154" s="210"/>
    </row>
    <row r="155" spans="2:14" x14ac:dyDescent="0.2">
      <c r="B155" s="226"/>
      <c r="C155" s="225"/>
      <c r="D155" s="223"/>
      <c r="E155" s="223"/>
      <c r="F155" s="224"/>
      <c r="G155" s="223"/>
      <c r="H155" s="222"/>
      <c r="I155" s="220"/>
      <c r="J155" s="221"/>
      <c r="K155" s="220"/>
      <c r="L155" s="219"/>
      <c r="M155" s="218"/>
      <c r="N155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26"/>
      <c r="C160" s="225"/>
      <c r="D160" s="223"/>
      <c r="E160" s="223"/>
      <c r="F160" s="224"/>
      <c r="G160" s="223"/>
      <c r="H160" s="222"/>
      <c r="I160" s="220"/>
      <c r="J160" s="221"/>
      <c r="K160" s="220"/>
      <c r="L160" s="219"/>
      <c r="M160" s="218"/>
      <c r="N160" s="210"/>
    </row>
    <row r="161" spans="2:14" x14ac:dyDescent="0.2">
      <c r="B161" s="226"/>
      <c r="C161" s="225"/>
      <c r="D161" s="223"/>
      <c r="E161" s="223"/>
      <c r="F161" s="224"/>
      <c r="G161" s="223"/>
      <c r="H161" s="222"/>
      <c r="I161" s="220"/>
      <c r="J161" s="221"/>
      <c r="K161" s="220"/>
      <c r="L161" s="219"/>
      <c r="M161" s="218"/>
      <c r="N161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26"/>
      <c r="C165" s="225"/>
      <c r="D165" s="223"/>
      <c r="E165" s="223"/>
      <c r="F165" s="224"/>
      <c r="G165" s="223"/>
      <c r="H165" s="222"/>
      <c r="I165" s="220"/>
      <c r="J165" s="221"/>
      <c r="K165" s="220"/>
      <c r="L165" s="219"/>
      <c r="M165" s="218"/>
      <c r="N165" s="210"/>
    </row>
    <row r="166" spans="2:14" x14ac:dyDescent="0.2">
      <c r="B166" s="217"/>
      <c r="C166" s="216"/>
      <c r="D166" s="215"/>
      <c r="E166" s="215"/>
      <c r="F166" s="213"/>
      <c r="G166" s="215"/>
      <c r="H166" s="214"/>
      <c r="I166" s="213"/>
      <c r="J166" s="213"/>
      <c r="K166" s="213"/>
      <c r="L166" s="212"/>
      <c r="M166" s="236"/>
      <c r="N166" s="210"/>
    </row>
    <row r="167" spans="2:14" x14ac:dyDescent="0.2">
      <c r="B167" s="217"/>
      <c r="C167" s="216"/>
      <c r="D167" s="215"/>
      <c r="E167" s="215"/>
      <c r="F167" s="213"/>
      <c r="G167" s="215"/>
      <c r="H167" s="214"/>
      <c r="I167" s="213"/>
      <c r="J167" s="213"/>
      <c r="K167" s="213"/>
      <c r="L167" s="212"/>
      <c r="M167" s="236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17"/>
      <c r="C169" s="216"/>
      <c r="D169" s="215"/>
      <c r="E169" s="215"/>
      <c r="F169" s="213"/>
      <c r="G169" s="215"/>
      <c r="H169" s="214"/>
      <c r="I169" s="213"/>
      <c r="J169" s="213"/>
      <c r="K169" s="213"/>
      <c r="L169" s="212"/>
      <c r="M169" s="211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4"/>
      <c r="I170" s="227"/>
      <c r="J170" s="228"/>
      <c r="K170" s="227"/>
      <c r="L170" s="212"/>
      <c r="M170" s="211"/>
      <c r="N170" s="210"/>
    </row>
    <row r="171" spans="2:14" x14ac:dyDescent="0.2">
      <c r="B171" s="226"/>
      <c r="C171" s="225"/>
      <c r="D171" s="223"/>
      <c r="E171" s="223"/>
      <c r="F171" s="224"/>
      <c r="G171" s="223"/>
      <c r="H171" s="222"/>
      <c r="I171" s="220"/>
      <c r="J171" s="221"/>
      <c r="K171" s="220"/>
      <c r="L171" s="219"/>
      <c r="M171" s="218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17"/>
      <c r="C175" s="216"/>
      <c r="D175" s="215"/>
      <c r="E175" s="215"/>
      <c r="F175" s="213"/>
      <c r="G175" s="215"/>
      <c r="H175" s="214"/>
      <c r="I175" s="213"/>
      <c r="J175" s="213"/>
      <c r="K175" s="213"/>
      <c r="L175" s="212"/>
      <c r="M175" s="236"/>
      <c r="N175" s="210"/>
    </row>
    <row r="176" spans="2:14" x14ac:dyDescent="0.2">
      <c r="B176" s="217"/>
      <c r="C176" s="216"/>
      <c r="D176" s="215"/>
      <c r="E176" s="215"/>
      <c r="F176" s="213"/>
      <c r="G176" s="215"/>
      <c r="H176" s="214"/>
      <c r="I176" s="213"/>
      <c r="J176" s="213"/>
      <c r="K176" s="213"/>
      <c r="L176" s="212"/>
      <c r="M176" s="236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17"/>
      <c r="C179" s="216"/>
      <c r="D179" s="215"/>
      <c r="E179" s="215"/>
      <c r="F179" s="213"/>
      <c r="G179" s="215"/>
      <c r="H179" s="214"/>
      <c r="I179" s="213"/>
      <c r="J179" s="213"/>
      <c r="K179" s="213"/>
      <c r="L179" s="212"/>
      <c r="M179" s="236"/>
      <c r="N179" s="210"/>
    </row>
    <row r="180" spans="2:14" x14ac:dyDescent="0.2">
      <c r="B180" s="217"/>
      <c r="C180" s="216"/>
      <c r="D180" s="215"/>
      <c r="E180" s="215"/>
      <c r="F180" s="213"/>
      <c r="G180" s="215"/>
      <c r="H180" s="214"/>
      <c r="I180" s="213"/>
      <c r="J180" s="213"/>
      <c r="K180" s="213"/>
      <c r="L180" s="212"/>
      <c r="M180" s="236"/>
      <c r="N180" s="210"/>
    </row>
    <row r="181" spans="2:14" x14ac:dyDescent="0.2">
      <c r="B181" s="226"/>
      <c r="C181" s="225"/>
      <c r="D181" s="223"/>
      <c r="E181" s="223"/>
      <c r="F181" s="224"/>
      <c r="G181" s="223"/>
      <c r="H181" s="222"/>
      <c r="I181" s="220"/>
      <c r="J181" s="221"/>
      <c r="K181" s="220"/>
      <c r="L181" s="219"/>
      <c r="M181" s="218"/>
      <c r="N181" s="210"/>
    </row>
    <row r="182" spans="2:14" x14ac:dyDescent="0.2">
      <c r="B182" s="226"/>
      <c r="C182" s="225"/>
      <c r="D182" s="223"/>
      <c r="E182" s="223"/>
      <c r="F182" s="224"/>
      <c r="G182" s="223"/>
      <c r="H182" s="222"/>
      <c r="I182" s="220"/>
      <c r="J182" s="221"/>
      <c r="K182" s="220"/>
      <c r="L182" s="219"/>
      <c r="M182" s="218"/>
      <c r="N182" s="210"/>
    </row>
    <row r="183" spans="2:14" x14ac:dyDescent="0.2">
      <c r="B183" s="217"/>
      <c r="C183" s="216"/>
      <c r="D183" s="215"/>
      <c r="E183" s="215"/>
      <c r="F183" s="213"/>
      <c r="G183" s="215"/>
      <c r="H183" s="214"/>
      <c r="I183" s="213"/>
      <c r="J183" s="213"/>
      <c r="K183" s="213"/>
      <c r="L183" s="212"/>
      <c r="M183" s="236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36"/>
      <c r="N184" s="210"/>
    </row>
    <row r="185" spans="2:14" x14ac:dyDescent="0.2">
      <c r="B185" s="226"/>
      <c r="C185" s="225"/>
      <c r="D185" s="223"/>
      <c r="E185" s="223"/>
      <c r="F185" s="224"/>
      <c r="G185" s="223"/>
      <c r="H185" s="222"/>
      <c r="I185" s="220"/>
      <c r="J185" s="221"/>
      <c r="K185" s="220"/>
      <c r="L185" s="219"/>
      <c r="M185" s="218"/>
      <c r="N185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17"/>
      <c r="C187" s="216"/>
      <c r="D187" s="215"/>
      <c r="E187" s="215"/>
      <c r="F187" s="213"/>
      <c r="G187" s="215"/>
      <c r="H187" s="214"/>
      <c r="I187" s="213"/>
      <c r="J187" s="213"/>
      <c r="K187" s="213"/>
      <c r="L187" s="212"/>
      <c r="M187" s="211"/>
      <c r="N187" s="210"/>
    </row>
    <row r="188" spans="2:14" x14ac:dyDescent="0.2">
      <c r="B188" s="217"/>
      <c r="C188" s="216"/>
      <c r="D188" s="215"/>
      <c r="E188" s="215"/>
      <c r="F188" s="213"/>
      <c r="G188" s="215"/>
      <c r="H188" s="214"/>
      <c r="I188" s="227"/>
      <c r="J188" s="228"/>
      <c r="K188" s="227"/>
      <c r="L188" s="212"/>
      <c r="M188" s="236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35"/>
      <c r="I189" s="213"/>
      <c r="J189" s="213"/>
      <c r="K189" s="213"/>
      <c r="L189" s="212"/>
      <c r="M189" s="211"/>
      <c r="N189" s="210"/>
    </row>
    <row r="190" spans="2:14" x14ac:dyDescent="0.2">
      <c r="B190" s="226"/>
      <c r="C190" s="225"/>
      <c r="D190" s="223"/>
      <c r="E190" s="223"/>
      <c r="F190" s="224"/>
      <c r="G190" s="223"/>
      <c r="H190" s="222"/>
      <c r="I190" s="220"/>
      <c r="J190" s="221"/>
      <c r="K190" s="220"/>
      <c r="L190" s="219"/>
      <c r="M190" s="218"/>
      <c r="N190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35"/>
      <c r="I193" s="213"/>
      <c r="J193" s="213"/>
      <c r="K193" s="213"/>
      <c r="L193" s="212"/>
      <c r="M193" s="211"/>
      <c r="N193" s="210"/>
    </row>
    <row r="194" spans="2:14" x14ac:dyDescent="0.2">
      <c r="B194" s="226"/>
      <c r="C194" s="225"/>
      <c r="D194" s="223"/>
      <c r="E194" s="223"/>
      <c r="F194" s="224"/>
      <c r="G194" s="223"/>
      <c r="H194" s="234"/>
      <c r="I194" s="220"/>
      <c r="J194" s="221"/>
      <c r="K194" s="220"/>
      <c r="L194" s="219"/>
      <c r="M194" s="218"/>
      <c r="N194" s="210"/>
    </row>
    <row r="195" spans="2:14" x14ac:dyDescent="0.2">
      <c r="B195" s="217"/>
      <c r="C195" s="216"/>
      <c r="D195" s="215"/>
      <c r="E195" s="215"/>
      <c r="F195" s="213"/>
      <c r="G195" s="215"/>
      <c r="H195" s="233"/>
      <c r="I195" s="213"/>
      <c r="J195" s="213"/>
      <c r="K195" s="213"/>
      <c r="L195" s="212"/>
      <c r="M195" s="211"/>
      <c r="N195" s="210"/>
    </row>
    <row r="196" spans="2:14" x14ac:dyDescent="0.2">
      <c r="B196" s="217"/>
      <c r="C196" s="216"/>
      <c r="D196" s="215"/>
      <c r="E196" s="215"/>
      <c r="F196" s="213"/>
      <c r="G196" s="215"/>
      <c r="H196" s="231"/>
      <c r="I196" s="213"/>
      <c r="J196" s="213"/>
      <c r="K196" s="213"/>
      <c r="L196" s="212"/>
      <c r="M196" s="211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32"/>
      <c r="I197" s="220"/>
      <c r="J197" s="221"/>
      <c r="K197" s="220"/>
      <c r="L197" s="219"/>
      <c r="M197" s="218"/>
      <c r="N197" s="210"/>
    </row>
    <row r="198" spans="2:14" x14ac:dyDescent="0.2">
      <c r="B198" s="217"/>
      <c r="C198" s="216"/>
      <c r="D198" s="215"/>
      <c r="E198" s="215"/>
      <c r="F198" s="213"/>
      <c r="G198" s="215"/>
      <c r="H198" s="231"/>
      <c r="I198" s="213"/>
      <c r="J198" s="213"/>
      <c r="K198" s="213"/>
      <c r="L198" s="212"/>
      <c r="M198" s="211"/>
      <c r="N198" s="210"/>
    </row>
    <row r="199" spans="2:14" x14ac:dyDescent="0.2">
      <c r="B199" s="217"/>
      <c r="C199" s="216"/>
      <c r="D199" s="215"/>
      <c r="E199" s="215"/>
      <c r="F199" s="213"/>
      <c r="G199" s="215"/>
      <c r="H199" s="231"/>
      <c r="I199" s="213"/>
      <c r="J199" s="213"/>
      <c r="K199" s="213"/>
      <c r="L199" s="212"/>
      <c r="M199" s="211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30"/>
      <c r="I200" s="220"/>
      <c r="J200" s="221"/>
      <c r="K200" s="220"/>
      <c r="L200" s="219"/>
      <c r="M200" s="218"/>
      <c r="N200" s="210"/>
    </row>
    <row r="201" spans="2:14" x14ac:dyDescent="0.2">
      <c r="B201" s="226"/>
      <c r="C201" s="225"/>
      <c r="D201" s="223"/>
      <c r="E201" s="223"/>
      <c r="F201" s="224"/>
      <c r="G201" s="223"/>
      <c r="H201" s="230"/>
      <c r="I201" s="220"/>
      <c r="J201" s="221"/>
      <c r="K201" s="220"/>
      <c r="L201" s="219"/>
      <c r="M201" s="218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29"/>
      <c r="I202" s="213"/>
      <c r="J202" s="213"/>
      <c r="K202" s="213"/>
      <c r="L202" s="212"/>
      <c r="M202" s="211"/>
      <c r="N202" s="210"/>
    </row>
    <row r="203" spans="2:14" x14ac:dyDescent="0.2">
      <c r="B203" s="217"/>
      <c r="C203" s="216"/>
      <c r="D203" s="215"/>
      <c r="E203" s="215"/>
      <c r="F203" s="213"/>
      <c r="G203" s="215"/>
      <c r="H203" s="214"/>
      <c r="I203" s="227"/>
      <c r="J203" s="228"/>
      <c r="K203" s="227"/>
      <c r="L203" s="212"/>
      <c r="M203" s="211"/>
      <c r="N203" s="210"/>
    </row>
    <row r="204" spans="2:14" x14ac:dyDescent="0.2">
      <c r="B204" s="226"/>
      <c r="C204" s="225"/>
      <c r="D204" s="223"/>
      <c r="E204" s="223"/>
      <c r="F204" s="224"/>
      <c r="G204" s="223"/>
      <c r="H204" s="222"/>
      <c r="I204" s="220"/>
      <c r="J204" s="221"/>
      <c r="K204" s="220"/>
      <c r="L204" s="219"/>
      <c r="M204" s="218"/>
      <c r="N204" s="210"/>
    </row>
    <row r="205" spans="2:14" x14ac:dyDescent="0.2">
      <c r="B205" s="226"/>
      <c r="C205" s="225"/>
      <c r="D205" s="223"/>
      <c r="E205" s="223"/>
      <c r="F205" s="224"/>
      <c r="G205" s="223"/>
      <c r="H205" s="222"/>
      <c r="I205" s="220"/>
      <c r="J205" s="221"/>
      <c r="K205" s="220"/>
      <c r="L205" s="219"/>
      <c r="M205" s="218"/>
      <c r="N205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B207" s="226"/>
      <c r="C207" s="225"/>
      <c r="D207" s="223"/>
      <c r="E207" s="223"/>
      <c r="F207" s="224"/>
      <c r="G207" s="223"/>
      <c r="H207" s="222"/>
      <c r="I207" s="220"/>
      <c r="J207" s="221"/>
      <c r="K207" s="220"/>
      <c r="L207" s="219"/>
      <c r="M207" s="218"/>
      <c r="N207" s="210"/>
    </row>
    <row r="208" spans="2:14" x14ac:dyDescent="0.2">
      <c r="B208" s="217"/>
      <c r="C208" s="216"/>
      <c r="D208" s="215"/>
      <c r="E208" s="215"/>
      <c r="F208" s="213"/>
      <c r="G208" s="215"/>
      <c r="H208" s="214"/>
      <c r="I208" s="213"/>
      <c r="J208" s="213"/>
      <c r="K208" s="213"/>
      <c r="L208" s="212"/>
      <c r="M208" s="211"/>
      <c r="N208" s="210"/>
    </row>
    <row r="209" spans="2:14" x14ac:dyDescent="0.2">
      <c r="B209" s="217"/>
      <c r="C209" s="216"/>
      <c r="D209" s="215"/>
      <c r="E209" s="215"/>
      <c r="F209" s="213"/>
      <c r="G209" s="215"/>
      <c r="H209" s="214"/>
      <c r="I209" s="227"/>
      <c r="J209" s="228"/>
      <c r="K209" s="227"/>
      <c r="L209" s="212"/>
      <c r="M209" s="211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26"/>
      <c r="C211" s="225"/>
      <c r="D211" s="223"/>
      <c r="E211" s="223"/>
      <c r="F211" s="224"/>
      <c r="G211" s="223"/>
      <c r="H211" s="222"/>
      <c r="I211" s="220"/>
      <c r="J211" s="221"/>
      <c r="K211" s="220"/>
      <c r="L211" s="219"/>
      <c r="M211" s="218"/>
      <c r="N211" s="210"/>
    </row>
    <row r="212" spans="2:14" x14ac:dyDescent="0.2">
      <c r="B212" s="226"/>
      <c r="C212" s="225"/>
      <c r="D212" s="223"/>
      <c r="E212" s="223"/>
      <c r="F212" s="224"/>
      <c r="G212" s="223"/>
      <c r="H212" s="222"/>
      <c r="I212" s="220"/>
      <c r="J212" s="221"/>
      <c r="K212" s="220"/>
      <c r="L212" s="219"/>
      <c r="M212" s="218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26"/>
      <c r="C214" s="225"/>
      <c r="D214" s="223"/>
      <c r="E214" s="223"/>
      <c r="F214" s="224"/>
      <c r="G214" s="223"/>
      <c r="H214" s="222"/>
      <c r="I214" s="220"/>
      <c r="J214" s="221"/>
      <c r="K214" s="220"/>
      <c r="L214" s="219"/>
      <c r="M214" s="218"/>
      <c r="N214" s="210"/>
    </row>
    <row r="215" spans="2:14" x14ac:dyDescent="0.2">
      <c r="B215" s="226"/>
      <c r="C215" s="225"/>
      <c r="D215" s="223"/>
      <c r="E215" s="223"/>
      <c r="F215" s="224"/>
      <c r="G215" s="223"/>
      <c r="H215" s="222"/>
      <c r="I215" s="220"/>
      <c r="J215" s="221"/>
      <c r="K215" s="220"/>
      <c r="L215" s="219"/>
      <c r="M215" s="218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4"/>
      <c r="J225" s="224"/>
      <c r="K225" s="224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4"/>
      <c r="J226" s="224"/>
      <c r="K226" s="224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17"/>
      <c r="C228" s="216"/>
      <c r="D228" s="215"/>
      <c r="E228" s="215"/>
      <c r="F228" s="213"/>
      <c r="G228" s="215"/>
      <c r="H228" s="214"/>
      <c r="I228" s="213"/>
      <c r="J228" s="213"/>
      <c r="K228" s="213"/>
      <c r="L228" s="212"/>
      <c r="M228" s="211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26"/>
      <c r="C230" s="225"/>
      <c r="D230" s="223"/>
      <c r="E230" s="223"/>
      <c r="F230" s="224"/>
      <c r="G230" s="223"/>
      <c r="H230" s="222"/>
      <c r="I230" s="220"/>
      <c r="J230" s="221"/>
      <c r="K230" s="220"/>
      <c r="L230" s="219"/>
      <c r="M230" s="218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17"/>
      <c r="C232" s="216"/>
      <c r="D232" s="215"/>
      <c r="E232" s="215"/>
      <c r="F232" s="213"/>
      <c r="G232" s="215"/>
      <c r="H232" s="214"/>
      <c r="I232" s="213"/>
      <c r="J232" s="213"/>
      <c r="K232" s="213"/>
      <c r="L232" s="212"/>
      <c r="M232" s="211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17"/>
      <c r="C236" s="216"/>
      <c r="D236" s="215"/>
      <c r="E236" s="215"/>
      <c r="F236" s="213"/>
      <c r="G236" s="215"/>
      <c r="H236" s="214"/>
      <c r="I236" s="213"/>
      <c r="J236" s="213"/>
      <c r="K236" s="213"/>
      <c r="L236" s="212"/>
      <c r="M236" s="211"/>
      <c r="N236" s="210"/>
    </row>
    <row r="237" spans="2:14" x14ac:dyDescent="0.2">
      <c r="B237" s="217"/>
      <c r="C237" s="216"/>
      <c r="D237" s="215"/>
      <c r="E237" s="215"/>
      <c r="F237" s="213"/>
      <c r="G237" s="215"/>
      <c r="H237" s="214"/>
      <c r="I237" s="213"/>
      <c r="J237" s="213"/>
      <c r="K237" s="213"/>
      <c r="L237" s="212"/>
      <c r="M237" s="211"/>
      <c r="N237" s="210"/>
    </row>
    <row r="238" spans="2:14" x14ac:dyDescent="0.2">
      <c r="B238" s="217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17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17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11"/>
      <c r="N242" s="210"/>
    </row>
    <row r="243" spans="2:14" x14ac:dyDescent="0.2">
      <c r="B243" s="226"/>
      <c r="C243" s="225"/>
      <c r="D243" s="223"/>
      <c r="E243" s="223"/>
      <c r="F243" s="224"/>
      <c r="G243" s="223"/>
      <c r="H243" s="222"/>
      <c r="I243" s="220"/>
      <c r="J243" s="221"/>
      <c r="K243" s="220"/>
      <c r="L243" s="219"/>
      <c r="M243" s="218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13"/>
      <c r="J246" s="213"/>
      <c r="K246" s="213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17"/>
      <c r="C248" s="216"/>
      <c r="D248" s="215"/>
      <c r="E248" s="215"/>
      <c r="F248" s="213"/>
      <c r="G248" s="215"/>
      <c r="H248" s="214"/>
      <c r="I248" s="213"/>
      <c r="J248" s="213"/>
      <c r="K248" s="213"/>
      <c r="L248" s="212"/>
      <c r="M248" s="211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26"/>
      <c r="C251" s="225"/>
      <c r="D251" s="223"/>
      <c r="E251" s="223"/>
      <c r="F251" s="224"/>
      <c r="G251" s="223"/>
      <c r="H251" s="222"/>
      <c r="I251" s="220"/>
      <c r="J251" s="221"/>
      <c r="K251" s="220"/>
      <c r="L251" s="219"/>
      <c r="M251" s="218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11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26"/>
      <c r="C255" s="225"/>
      <c r="D255" s="223"/>
      <c r="E255" s="223"/>
      <c r="F255" s="224"/>
      <c r="G255" s="223"/>
      <c r="H255" s="222"/>
      <c r="I255" s="220"/>
      <c r="J255" s="221"/>
      <c r="K255" s="220"/>
      <c r="L255" s="219"/>
      <c r="M255" s="218"/>
      <c r="N255" s="210"/>
    </row>
    <row r="256" spans="2:14" x14ac:dyDescent="0.2">
      <c r="B256" s="226"/>
      <c r="C256" s="225"/>
      <c r="D256" s="223"/>
      <c r="E256" s="223"/>
      <c r="F256" s="224"/>
      <c r="G256" s="223"/>
      <c r="H256" s="222"/>
      <c r="I256" s="220"/>
      <c r="J256" s="221"/>
      <c r="K256" s="220"/>
      <c r="L256" s="219"/>
      <c r="M256" s="218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11"/>
      <c r="N259" s="210"/>
    </row>
    <row r="260" spans="2:14" x14ac:dyDescent="0.2">
      <c r="B260" s="226"/>
      <c r="C260" s="225"/>
      <c r="D260" s="223"/>
      <c r="E260" s="223"/>
      <c r="F260" s="224"/>
      <c r="G260" s="223"/>
      <c r="H260" s="222"/>
      <c r="I260" s="220"/>
      <c r="J260" s="221"/>
      <c r="K260" s="220"/>
      <c r="L260" s="219"/>
      <c r="M260" s="218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17"/>
      <c r="C262" s="216"/>
      <c r="D262" s="215"/>
      <c r="E262" s="215"/>
      <c r="F262" s="213"/>
      <c r="G262" s="215"/>
      <c r="H262" s="214"/>
      <c r="I262" s="213"/>
      <c r="J262" s="213"/>
      <c r="K262" s="213"/>
      <c r="L262" s="212"/>
      <c r="M262" s="211"/>
      <c r="N262" s="210"/>
    </row>
    <row r="263" spans="2:14" x14ac:dyDescent="0.2">
      <c r="B263" s="226"/>
      <c r="C263" s="225"/>
      <c r="D263" s="223"/>
      <c r="E263" s="223"/>
      <c r="F263" s="224"/>
      <c r="G263" s="223"/>
      <c r="H263" s="222"/>
      <c r="I263" s="220"/>
      <c r="J263" s="221"/>
      <c r="K263" s="220"/>
      <c r="L263" s="219"/>
      <c r="M263" s="218"/>
      <c r="N263" s="210"/>
    </row>
    <row r="264" spans="2:14" x14ac:dyDescent="0.2">
      <c r="B264" s="226"/>
      <c r="C264" s="225"/>
      <c r="D264" s="223"/>
      <c r="E264" s="223"/>
      <c r="F264" s="224"/>
      <c r="G264" s="223"/>
      <c r="H264" s="222"/>
      <c r="I264" s="220"/>
      <c r="J264" s="221"/>
      <c r="K264" s="220"/>
      <c r="L264" s="219"/>
      <c r="M264" s="218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14"/>
      <c r="I265" s="213"/>
      <c r="J265" s="213"/>
      <c r="K265" s="213"/>
      <c r="L265" s="212"/>
      <c r="M265" s="211"/>
      <c r="N265" s="210"/>
    </row>
    <row r="266" spans="2:14" x14ac:dyDescent="0.2">
      <c r="B266" s="217"/>
      <c r="C266" s="216"/>
      <c r="D266" s="215"/>
      <c r="E266" s="215"/>
      <c r="F266" s="213"/>
      <c r="G266" s="215"/>
      <c r="H266" s="214"/>
      <c r="I266" s="227"/>
      <c r="J266" s="228"/>
      <c r="K266" s="227"/>
      <c r="L266" s="212"/>
      <c r="M266" s="211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14"/>
      <c r="I269" s="227"/>
      <c r="J269" s="228"/>
      <c r="K269" s="227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22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14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14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2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14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14"/>
      <c r="I275" s="227"/>
      <c r="J275" s="228"/>
      <c r="K275" s="227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22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22"/>
      <c r="I277" s="220"/>
      <c r="J277" s="221"/>
      <c r="K277" s="220"/>
      <c r="L277" s="219"/>
      <c r="M277" s="218"/>
      <c r="N277" s="210"/>
    </row>
    <row r="278" spans="2:14" x14ac:dyDescent="0.2">
      <c r="B278" s="226"/>
      <c r="C278" s="225"/>
      <c r="D278" s="223"/>
      <c r="E278" s="223"/>
      <c r="F278" s="224"/>
      <c r="G278" s="223"/>
      <c r="H278" s="222"/>
      <c r="I278" s="220"/>
      <c r="J278" s="221"/>
      <c r="K278" s="220"/>
      <c r="L278" s="219"/>
      <c r="M278" s="218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13"/>
      <c r="J279" s="213"/>
      <c r="K279" s="213"/>
      <c r="L279" s="212"/>
      <c r="M279" s="211"/>
      <c r="N279" s="210"/>
    </row>
    <row r="280" spans="2:14" x14ac:dyDescent="0.2">
      <c r="B280" s="217"/>
      <c r="C280" s="216"/>
      <c r="D280" s="215"/>
      <c r="E280" s="215"/>
      <c r="F280" s="213"/>
      <c r="G280" s="215"/>
      <c r="H280" s="214"/>
      <c r="I280" s="227"/>
      <c r="J280" s="228"/>
      <c r="K280" s="227"/>
      <c r="L280" s="212"/>
      <c r="M280" s="211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17"/>
      <c r="C282" s="216"/>
      <c r="D282" s="215"/>
      <c r="E282" s="215"/>
      <c r="F282" s="213"/>
      <c r="G282" s="215"/>
      <c r="H282" s="214"/>
      <c r="I282" s="213"/>
      <c r="J282" s="213"/>
      <c r="K282" s="213"/>
      <c r="L282" s="212"/>
      <c r="M282" s="211"/>
      <c r="N282" s="210"/>
    </row>
    <row r="283" spans="2:14" x14ac:dyDescent="0.2">
      <c r="B283" s="217"/>
      <c r="C283" s="216"/>
      <c r="D283" s="215"/>
      <c r="E283" s="215"/>
      <c r="F283" s="213"/>
      <c r="G283" s="215"/>
      <c r="H283" s="214"/>
      <c r="I283" s="227"/>
      <c r="J283" s="228"/>
      <c r="K283" s="227"/>
      <c r="L283" s="212"/>
      <c r="M283" s="211"/>
      <c r="N283" s="210"/>
    </row>
    <row r="284" spans="2:14" x14ac:dyDescent="0.2">
      <c r="B284" s="226"/>
      <c r="C284" s="225"/>
      <c r="D284" s="223"/>
      <c r="E284" s="223"/>
      <c r="F284" s="224"/>
      <c r="G284" s="223"/>
      <c r="H284" s="222"/>
      <c r="I284" s="220"/>
      <c r="J284" s="221"/>
      <c r="K284" s="220"/>
      <c r="L284" s="219"/>
      <c r="M284" s="218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13"/>
      <c r="J285" s="213"/>
      <c r="K285" s="213"/>
      <c r="L285" s="212"/>
      <c r="M285" s="211"/>
      <c r="N285" s="210"/>
    </row>
    <row r="286" spans="2:14" x14ac:dyDescent="0.2">
      <c r="B286" s="156"/>
      <c r="C286" s="156"/>
      <c r="D286" s="156"/>
      <c r="E286" s="102"/>
      <c r="F286" s="102"/>
      <c r="G286" s="156"/>
      <c r="H286" s="156"/>
      <c r="I286" s="156"/>
      <c r="J286" s="156"/>
      <c r="K286" s="156"/>
      <c r="L286" s="102"/>
      <c r="M286" s="156"/>
      <c r="N286" s="156"/>
    </row>
    <row r="287" spans="2:14" x14ac:dyDescent="0.2">
      <c r="H287" s="151"/>
    </row>
    <row r="288" spans="2:14" x14ac:dyDescent="0.2">
      <c r="H288" s="151"/>
    </row>
    <row r="290" spans="5:12" x14ac:dyDescent="0.2">
      <c r="H290" s="151"/>
    </row>
    <row r="291" spans="5:12" x14ac:dyDescent="0.2">
      <c r="H291" s="151"/>
    </row>
    <row r="292" spans="5:12" x14ac:dyDescent="0.2">
      <c r="E292" s="32"/>
      <c r="F292" s="32"/>
      <c r="L292" s="155"/>
    </row>
    <row r="293" spans="5:12" x14ac:dyDescent="0.2">
      <c r="E293" s="32"/>
      <c r="F293" s="32"/>
      <c r="L293" s="155"/>
    </row>
    <row r="294" spans="5:12" x14ac:dyDescent="0.2">
      <c r="E294" s="32"/>
      <c r="F294" s="32"/>
      <c r="L294" s="154"/>
    </row>
    <row r="296" spans="5:12" x14ac:dyDescent="0.2">
      <c r="E296" s="32"/>
      <c r="F296" s="32"/>
      <c r="L296" s="209"/>
    </row>
    <row r="300" spans="5:12" x14ac:dyDescent="0.2">
      <c r="E300" s="32"/>
      <c r="F300" s="32"/>
      <c r="G300" s="151"/>
    </row>
    <row r="301" spans="5:12" x14ac:dyDescent="0.2">
      <c r="E301" s="32"/>
      <c r="F301" s="32"/>
      <c r="G301" s="152"/>
    </row>
    <row r="304" spans="5:12" x14ac:dyDescent="0.2">
      <c r="E304" s="32"/>
      <c r="F304" s="32"/>
      <c r="G304" s="151"/>
    </row>
  </sheetData>
  <conditionalFormatting sqref="E135:E136 E183:E184 E176 E166:E167 E138:E139 E179:E180 E187:E189">
    <cfRule type="containsText" dxfId="1522" priority="394" operator="containsText" text="Buy">
      <formula>NOT(ISERROR(SEARCH("Buy",E135)))</formula>
    </cfRule>
    <cfRule type="containsText" dxfId="1521" priority="395" operator="containsText" text="Sell">
      <formula>NOT(ISERROR(SEARCH("Sell",E135)))</formula>
    </cfRule>
  </conditionalFormatting>
  <conditionalFormatting sqref="E208:E209 E198:E199 E203">
    <cfRule type="containsText" dxfId="1520" priority="392" operator="containsText" text="Buy">
      <formula>NOT(ISERROR(SEARCH("Buy",E198)))</formula>
    </cfRule>
    <cfRule type="containsText" dxfId="1519" priority="393" operator="containsText" text="Sell">
      <formula>NOT(ISERROR(SEARCH("Sell",E198)))</formula>
    </cfRule>
  </conditionalFormatting>
  <conditionalFormatting sqref="E224:E226 E283 E280 E275 E269 E266 E263 E260 E253 E249 E243 E233">
    <cfRule type="containsText" dxfId="1518" priority="390" operator="containsText" text="Buy">
      <formula>NOT(ISERROR(SEARCH("Buy",E224)))</formula>
    </cfRule>
    <cfRule type="containsText" dxfId="1517" priority="391" operator="containsText" text="Sell">
      <formula>NOT(ISERROR(SEARCH("Sell",E224)))</formula>
    </cfRule>
  </conditionalFormatting>
  <conditionalFormatting sqref="E223">
    <cfRule type="containsText" dxfId="1516" priority="388" operator="containsText" text="Buy">
      <formula>NOT(ISERROR(SEARCH("Buy",E223)))</formula>
    </cfRule>
    <cfRule type="containsText" dxfId="1515" priority="389" operator="containsText" text="Sell">
      <formula>NOT(ISERROR(SEARCH("Sell",E223)))</formula>
    </cfRule>
  </conditionalFormatting>
  <conditionalFormatting sqref="E222">
    <cfRule type="containsText" dxfId="1514" priority="386" operator="containsText" text="Buy">
      <formula>NOT(ISERROR(SEARCH("Buy",E222)))</formula>
    </cfRule>
    <cfRule type="containsText" dxfId="1513" priority="387" operator="containsText" text="Sell">
      <formula>NOT(ISERROR(SEARCH("Sell",E222)))</formula>
    </cfRule>
  </conditionalFormatting>
  <conditionalFormatting sqref="E221">
    <cfRule type="containsText" dxfId="1512" priority="384" operator="containsText" text="Buy">
      <formula>NOT(ISERROR(SEARCH("Buy",E221)))</formula>
    </cfRule>
    <cfRule type="containsText" dxfId="1511" priority="385" operator="containsText" text="Sell">
      <formula>NOT(ISERROR(SEARCH("Sell",E221)))</formula>
    </cfRule>
  </conditionalFormatting>
  <conditionalFormatting sqref="E134">
    <cfRule type="containsText" dxfId="1510" priority="382" operator="containsText" text="Buy">
      <formula>NOT(ISERROR(SEARCH("Buy",E134)))</formula>
    </cfRule>
    <cfRule type="containsText" dxfId="1509" priority="383" operator="containsText" text="Sell">
      <formula>NOT(ISERROR(SEARCH("Sell",E134)))</formula>
    </cfRule>
  </conditionalFormatting>
  <conditionalFormatting sqref="E133">
    <cfRule type="containsText" dxfId="1508" priority="380" operator="containsText" text="Buy">
      <formula>NOT(ISERROR(SEARCH("Buy",E133)))</formula>
    </cfRule>
    <cfRule type="containsText" dxfId="1507" priority="381" operator="containsText" text="Sell">
      <formula>NOT(ISERROR(SEARCH("Sell",E133)))</formula>
    </cfRule>
  </conditionalFormatting>
  <conditionalFormatting sqref="E182">
    <cfRule type="containsText" dxfId="1506" priority="378" operator="containsText" text="Buy">
      <formula>NOT(ISERROR(SEARCH("Buy",E182)))</formula>
    </cfRule>
    <cfRule type="containsText" dxfId="1505" priority="379" operator="containsText" text="Sell">
      <formula>NOT(ISERROR(SEARCH("Sell",E182)))</formula>
    </cfRule>
  </conditionalFormatting>
  <conditionalFormatting sqref="E181">
    <cfRule type="containsText" dxfId="1504" priority="376" operator="containsText" text="Buy">
      <formula>NOT(ISERROR(SEARCH("Buy",E181)))</formula>
    </cfRule>
    <cfRule type="containsText" dxfId="1503" priority="377" operator="containsText" text="Sell">
      <formula>NOT(ISERROR(SEARCH("Sell",E181)))</formula>
    </cfRule>
  </conditionalFormatting>
  <conditionalFormatting sqref="E168:E170">
    <cfRule type="containsText" dxfId="1502" priority="374" operator="containsText" text="Buy">
      <formula>NOT(ISERROR(SEARCH("Buy",E168)))</formula>
    </cfRule>
    <cfRule type="containsText" dxfId="1501" priority="375" operator="containsText" text="Sell">
      <formula>NOT(ISERROR(SEARCH("Sell",E168)))</formula>
    </cfRule>
  </conditionalFormatting>
  <conditionalFormatting sqref="E165">
    <cfRule type="containsText" dxfId="1500" priority="372" operator="containsText" text="Buy">
      <formula>NOT(ISERROR(SEARCH("Buy",E165)))</formula>
    </cfRule>
    <cfRule type="containsText" dxfId="1499" priority="373" operator="containsText" text="Sell">
      <formula>NOT(ISERROR(SEARCH("Sell",E165)))</formula>
    </cfRule>
  </conditionalFormatting>
  <conditionalFormatting sqref="E164">
    <cfRule type="containsText" dxfId="1498" priority="370" operator="containsText" text="Buy">
      <formula>NOT(ISERROR(SEARCH("Buy",E164)))</formula>
    </cfRule>
    <cfRule type="containsText" dxfId="1497" priority="371" operator="containsText" text="Sell">
      <formula>NOT(ISERROR(SEARCH("Sell",E164)))</formula>
    </cfRule>
  </conditionalFormatting>
  <conditionalFormatting sqref="E163">
    <cfRule type="containsText" dxfId="1496" priority="368" operator="containsText" text="Buy">
      <formula>NOT(ISERROR(SEARCH("Buy",E163)))</formula>
    </cfRule>
    <cfRule type="containsText" dxfId="1495" priority="369" operator="containsText" text="Sell">
      <formula>NOT(ISERROR(SEARCH("Sell",E163)))</formula>
    </cfRule>
  </conditionalFormatting>
  <conditionalFormatting sqref="E162">
    <cfRule type="containsText" dxfId="1494" priority="366" operator="containsText" text="Buy">
      <formula>NOT(ISERROR(SEARCH("Buy",E162)))</formula>
    </cfRule>
    <cfRule type="containsText" dxfId="1493" priority="367" operator="containsText" text="Sell">
      <formula>NOT(ISERROR(SEARCH("Sell",E162)))</formula>
    </cfRule>
  </conditionalFormatting>
  <conditionalFormatting sqref="E161">
    <cfRule type="containsText" dxfId="1492" priority="364" operator="containsText" text="Buy">
      <formula>NOT(ISERROR(SEARCH("Buy",E161)))</formula>
    </cfRule>
    <cfRule type="containsText" dxfId="1491" priority="365" operator="containsText" text="Sell">
      <formula>NOT(ISERROR(SEARCH("Sell",E161)))</formula>
    </cfRule>
  </conditionalFormatting>
  <conditionalFormatting sqref="E160">
    <cfRule type="containsText" dxfId="1490" priority="362" operator="containsText" text="Buy">
      <formula>NOT(ISERROR(SEARCH("Buy",E160)))</formula>
    </cfRule>
    <cfRule type="containsText" dxfId="1489" priority="363" operator="containsText" text="Sell">
      <formula>NOT(ISERROR(SEARCH("Sell",E160)))</formula>
    </cfRule>
  </conditionalFormatting>
  <conditionalFormatting sqref="E159">
    <cfRule type="containsText" dxfId="1488" priority="360" operator="containsText" text="Buy">
      <formula>NOT(ISERROR(SEARCH("Buy",E159)))</formula>
    </cfRule>
    <cfRule type="containsText" dxfId="1487" priority="361" operator="containsText" text="Sell">
      <formula>NOT(ISERROR(SEARCH("Sell",E159)))</formula>
    </cfRule>
  </conditionalFormatting>
  <conditionalFormatting sqref="E152:E154">
    <cfRule type="containsText" dxfId="1486" priority="358" operator="containsText" text="Buy">
      <formula>NOT(ISERROR(SEARCH("Buy",E152)))</formula>
    </cfRule>
    <cfRule type="containsText" dxfId="1485" priority="359" operator="containsText" text="Sell">
      <formula>NOT(ISERROR(SEARCH("Sell",E152)))</formula>
    </cfRule>
  </conditionalFormatting>
  <conditionalFormatting sqref="E151">
    <cfRule type="containsText" dxfId="1484" priority="356" operator="containsText" text="Buy">
      <formula>NOT(ISERROR(SEARCH("Buy",E151)))</formula>
    </cfRule>
    <cfRule type="containsText" dxfId="1483" priority="357" operator="containsText" text="Sell">
      <formula>NOT(ISERROR(SEARCH("Sell",E151)))</formula>
    </cfRule>
  </conditionalFormatting>
  <conditionalFormatting sqref="E150">
    <cfRule type="containsText" dxfId="1482" priority="354" operator="containsText" text="Buy">
      <formula>NOT(ISERROR(SEARCH("Buy",E150)))</formula>
    </cfRule>
    <cfRule type="containsText" dxfId="1481" priority="355" operator="containsText" text="Sell">
      <formula>NOT(ISERROR(SEARCH("Sell",E150)))</formula>
    </cfRule>
  </conditionalFormatting>
  <conditionalFormatting sqref="E149">
    <cfRule type="containsText" dxfId="1480" priority="352" operator="containsText" text="Buy">
      <formula>NOT(ISERROR(SEARCH("Buy",E149)))</formula>
    </cfRule>
    <cfRule type="containsText" dxfId="1479" priority="353" operator="containsText" text="Sell">
      <formula>NOT(ISERROR(SEARCH("Sell",E149)))</formula>
    </cfRule>
  </conditionalFormatting>
  <conditionalFormatting sqref="E148">
    <cfRule type="containsText" dxfId="1478" priority="350" operator="containsText" text="Buy">
      <formula>NOT(ISERROR(SEARCH("Buy",E148)))</formula>
    </cfRule>
    <cfRule type="containsText" dxfId="1477" priority="351" operator="containsText" text="Sell">
      <formula>NOT(ISERROR(SEARCH("Sell",E148)))</formula>
    </cfRule>
  </conditionalFormatting>
  <conditionalFormatting sqref="E147">
    <cfRule type="containsText" dxfId="1476" priority="348" operator="containsText" text="Buy">
      <formula>NOT(ISERROR(SEARCH("Buy",E147)))</formula>
    </cfRule>
    <cfRule type="containsText" dxfId="1475" priority="349" operator="containsText" text="Sell">
      <formula>NOT(ISERROR(SEARCH("Sell",E147)))</formula>
    </cfRule>
  </conditionalFormatting>
  <conditionalFormatting sqref="E146">
    <cfRule type="containsText" dxfId="1474" priority="346" operator="containsText" text="Buy">
      <formula>NOT(ISERROR(SEARCH("Buy",E146)))</formula>
    </cfRule>
    <cfRule type="containsText" dxfId="1473" priority="347" operator="containsText" text="Sell">
      <formula>NOT(ISERROR(SEARCH("Sell",E146)))</formula>
    </cfRule>
  </conditionalFormatting>
  <conditionalFormatting sqref="E145">
    <cfRule type="containsText" dxfId="1472" priority="344" operator="containsText" text="Buy">
      <formula>NOT(ISERROR(SEARCH("Buy",E145)))</formula>
    </cfRule>
    <cfRule type="containsText" dxfId="1471" priority="345" operator="containsText" text="Sell">
      <formula>NOT(ISERROR(SEARCH("Sell",E145)))</formula>
    </cfRule>
  </conditionalFormatting>
  <conditionalFormatting sqref="E144">
    <cfRule type="containsText" dxfId="1470" priority="342" operator="containsText" text="Buy">
      <formula>NOT(ISERROR(SEARCH("Buy",E144)))</formula>
    </cfRule>
    <cfRule type="containsText" dxfId="1469" priority="343" operator="containsText" text="Sell">
      <formula>NOT(ISERROR(SEARCH("Sell",E144)))</formula>
    </cfRule>
  </conditionalFormatting>
  <conditionalFormatting sqref="E143">
    <cfRule type="containsText" dxfId="1468" priority="340" operator="containsText" text="Buy">
      <formula>NOT(ISERROR(SEARCH("Buy",E143)))</formula>
    </cfRule>
    <cfRule type="containsText" dxfId="1467" priority="341" operator="containsText" text="Sell">
      <formula>NOT(ISERROR(SEARCH("Sell",E143)))</formula>
    </cfRule>
  </conditionalFormatting>
  <conditionalFormatting sqref="E142">
    <cfRule type="containsText" dxfId="1466" priority="338" operator="containsText" text="Buy">
      <formula>NOT(ISERROR(SEARCH("Buy",E142)))</formula>
    </cfRule>
    <cfRule type="containsText" dxfId="1465" priority="339" operator="containsText" text="Sell">
      <formula>NOT(ISERROR(SEARCH("Sell",E142)))</formula>
    </cfRule>
  </conditionalFormatting>
  <conditionalFormatting sqref="E141">
    <cfRule type="containsText" dxfId="1464" priority="336" operator="containsText" text="Buy">
      <formula>NOT(ISERROR(SEARCH("Buy",E141)))</formula>
    </cfRule>
    <cfRule type="containsText" dxfId="1463" priority="337" operator="containsText" text="Sell">
      <formula>NOT(ISERROR(SEARCH("Sell",E141)))</formula>
    </cfRule>
  </conditionalFormatting>
  <conditionalFormatting sqref="E137">
    <cfRule type="containsText" dxfId="1462" priority="334" operator="containsText" text="Buy">
      <formula>NOT(ISERROR(SEARCH("Buy",E137)))</formula>
    </cfRule>
    <cfRule type="containsText" dxfId="1461" priority="335" operator="containsText" text="Sell">
      <formula>NOT(ISERROR(SEARCH("Sell",E137)))</formula>
    </cfRule>
  </conditionalFormatting>
  <conditionalFormatting sqref="E197">
    <cfRule type="containsText" dxfId="1460" priority="332" operator="containsText" text="Buy">
      <formula>NOT(ISERROR(SEARCH("Buy",E197)))</formula>
    </cfRule>
    <cfRule type="containsText" dxfId="1459" priority="333" operator="containsText" text="Sell">
      <formula>NOT(ISERROR(SEARCH("Sell",E197)))</formula>
    </cfRule>
  </conditionalFormatting>
  <conditionalFormatting sqref="E196 E193">
    <cfRule type="containsText" dxfId="1458" priority="330" operator="containsText" text="Buy">
      <formula>NOT(ISERROR(SEARCH("Buy",E193)))</formula>
    </cfRule>
    <cfRule type="containsText" dxfId="1457" priority="331" operator="containsText" text="Sell">
      <formula>NOT(ISERROR(SEARCH("Sell",E193)))</formula>
    </cfRule>
  </conditionalFormatting>
  <conditionalFormatting sqref="E202">
    <cfRule type="containsText" dxfId="1456" priority="328" operator="containsText" text="Buy">
      <formula>NOT(ISERROR(SEARCH("Buy",E202)))</formula>
    </cfRule>
    <cfRule type="containsText" dxfId="1455" priority="329" operator="containsText" text="Sell">
      <formula>NOT(ISERROR(SEARCH("Sell",E202)))</formula>
    </cfRule>
  </conditionalFormatting>
  <conditionalFormatting sqref="E284:E285">
    <cfRule type="containsText" dxfId="1454" priority="326" operator="containsText" text="Buy">
      <formula>NOT(ISERROR(SEARCH("Buy",E284)))</formula>
    </cfRule>
    <cfRule type="containsText" dxfId="1453" priority="327" operator="containsText" text="Sell">
      <formula>NOT(ISERROR(SEARCH("Sell",E284)))</formula>
    </cfRule>
  </conditionalFormatting>
  <conditionalFormatting sqref="E195">
    <cfRule type="containsText" dxfId="1452" priority="324" operator="containsText" text="Buy">
      <formula>NOT(ISERROR(SEARCH("Buy",E195)))</formula>
    </cfRule>
    <cfRule type="containsText" dxfId="1451" priority="325" operator="containsText" text="Sell">
      <formula>NOT(ISERROR(SEARCH("Sell",E195)))</formula>
    </cfRule>
  </conditionalFormatting>
  <conditionalFormatting sqref="E192">
    <cfRule type="containsText" dxfId="1450" priority="322" operator="containsText" text="Buy">
      <formula>NOT(ISERROR(SEARCH("Buy",E192)))</formula>
    </cfRule>
    <cfRule type="containsText" dxfId="1449" priority="323" operator="containsText" text="Sell">
      <formula>NOT(ISERROR(SEARCH("Sell",E192)))</formula>
    </cfRule>
  </conditionalFormatting>
  <conditionalFormatting sqref="E191">
    <cfRule type="containsText" dxfId="1448" priority="320" operator="containsText" text="Buy">
      <formula>NOT(ISERROR(SEARCH("Buy",E191)))</formula>
    </cfRule>
    <cfRule type="containsText" dxfId="1447" priority="321" operator="containsText" text="Sell">
      <formula>NOT(ISERROR(SEARCH("Sell",E191)))</formula>
    </cfRule>
  </conditionalFormatting>
  <conditionalFormatting sqref="E178">
    <cfRule type="containsText" dxfId="1446" priority="318" operator="containsText" text="Buy">
      <formula>NOT(ISERROR(SEARCH("Buy",E178)))</formula>
    </cfRule>
    <cfRule type="containsText" dxfId="1445" priority="319" operator="containsText" text="Sell">
      <formula>NOT(ISERROR(SEARCH("Sell",E178)))</formula>
    </cfRule>
  </conditionalFormatting>
  <conditionalFormatting sqref="E115:E118 E128 E125:E126">
    <cfRule type="containsText" dxfId="1444" priority="316" operator="containsText" text="Buy">
      <formula>NOT(ISERROR(SEARCH("Buy",E115)))</formula>
    </cfRule>
    <cfRule type="containsText" dxfId="1443" priority="317" operator="containsText" text="Sell">
      <formula>NOT(ISERROR(SEARCH("Sell",E115)))</formula>
    </cfRule>
  </conditionalFormatting>
  <conditionalFormatting sqref="E281:E282">
    <cfRule type="containsText" dxfId="1442" priority="314" operator="containsText" text="Buy">
      <formula>NOT(ISERROR(SEARCH("Buy",E281)))</formula>
    </cfRule>
    <cfRule type="containsText" dxfId="1441" priority="315" operator="containsText" text="Sell">
      <formula>NOT(ISERROR(SEARCH("Sell",E281)))</formula>
    </cfRule>
  </conditionalFormatting>
  <conditionalFormatting sqref="E278:E279">
    <cfRule type="containsText" dxfId="1440" priority="312" operator="containsText" text="Buy">
      <formula>NOT(ISERROR(SEARCH("Buy",E278)))</formula>
    </cfRule>
    <cfRule type="containsText" dxfId="1439" priority="313" operator="containsText" text="Sell">
      <formula>NOT(ISERROR(SEARCH("Sell",E278)))</formula>
    </cfRule>
  </conditionalFormatting>
  <conditionalFormatting sqref="E276:E277">
    <cfRule type="containsText" dxfId="1438" priority="310" operator="containsText" text="Buy">
      <formula>NOT(ISERROR(SEARCH("Buy",E276)))</formula>
    </cfRule>
    <cfRule type="containsText" dxfId="1437" priority="311" operator="containsText" text="Sell">
      <formula>NOT(ISERROR(SEARCH("Sell",E276)))</formula>
    </cfRule>
  </conditionalFormatting>
  <conditionalFormatting sqref="E273:E274">
    <cfRule type="containsText" dxfId="1436" priority="308" operator="containsText" text="Buy">
      <formula>NOT(ISERROR(SEARCH("Buy",E273)))</formula>
    </cfRule>
    <cfRule type="containsText" dxfId="1435" priority="309" operator="containsText" text="Sell">
      <formula>NOT(ISERROR(SEARCH("Sell",E273)))</formula>
    </cfRule>
  </conditionalFormatting>
  <conditionalFormatting sqref="E270:E272">
    <cfRule type="containsText" dxfId="1434" priority="306" operator="containsText" text="Buy">
      <formula>NOT(ISERROR(SEARCH("Buy",E270)))</formula>
    </cfRule>
    <cfRule type="containsText" dxfId="1433" priority="307" operator="containsText" text="Sell">
      <formula>NOT(ISERROR(SEARCH("Sell",E270)))</formula>
    </cfRule>
  </conditionalFormatting>
  <conditionalFormatting sqref="E267:E268">
    <cfRule type="containsText" dxfId="1432" priority="304" operator="containsText" text="Buy">
      <formula>NOT(ISERROR(SEARCH("Buy",E267)))</formula>
    </cfRule>
    <cfRule type="containsText" dxfId="1431" priority="305" operator="containsText" text="Sell">
      <formula>NOT(ISERROR(SEARCH("Sell",E267)))</formula>
    </cfRule>
  </conditionalFormatting>
  <conditionalFormatting sqref="E264:E265">
    <cfRule type="containsText" dxfId="1430" priority="302" operator="containsText" text="Buy">
      <formula>NOT(ISERROR(SEARCH("Buy",E264)))</formula>
    </cfRule>
    <cfRule type="containsText" dxfId="1429" priority="303" operator="containsText" text="Sell">
      <formula>NOT(ISERROR(SEARCH("Sell",E264)))</formula>
    </cfRule>
  </conditionalFormatting>
  <conditionalFormatting sqref="E261:E262">
    <cfRule type="containsText" dxfId="1428" priority="300" operator="containsText" text="Buy">
      <formula>NOT(ISERROR(SEARCH("Buy",E261)))</formula>
    </cfRule>
    <cfRule type="containsText" dxfId="1427" priority="301" operator="containsText" text="Sell">
      <formula>NOT(ISERROR(SEARCH("Sell",E261)))</formula>
    </cfRule>
  </conditionalFormatting>
  <conditionalFormatting sqref="E257">
    <cfRule type="containsText" dxfId="1426" priority="296" operator="containsText" text="Buy">
      <formula>NOT(ISERROR(SEARCH("Buy",E257)))</formula>
    </cfRule>
    <cfRule type="containsText" dxfId="1425" priority="297" operator="containsText" text="Sell">
      <formula>NOT(ISERROR(SEARCH("Sell",E257)))</formula>
    </cfRule>
  </conditionalFormatting>
  <conditionalFormatting sqref="E258:E259">
    <cfRule type="containsText" dxfId="1424" priority="298" operator="containsText" text="Buy">
      <formula>NOT(ISERROR(SEARCH("Buy",E258)))</formula>
    </cfRule>
    <cfRule type="containsText" dxfId="1423" priority="299" operator="containsText" text="Sell">
      <formula>NOT(ISERROR(SEARCH("Sell",E258)))</formula>
    </cfRule>
  </conditionalFormatting>
  <conditionalFormatting sqref="E251:E252">
    <cfRule type="containsText" dxfId="1422" priority="294" operator="containsText" text="Buy">
      <formula>NOT(ISERROR(SEARCH("Buy",E251)))</formula>
    </cfRule>
    <cfRule type="containsText" dxfId="1421" priority="295" operator="containsText" text="Sell">
      <formula>NOT(ISERROR(SEARCH("Sell",E251)))</formula>
    </cfRule>
  </conditionalFormatting>
  <conditionalFormatting sqref="E247:E248">
    <cfRule type="containsText" dxfId="1420" priority="292" operator="containsText" text="Buy">
      <formula>NOT(ISERROR(SEARCH("Buy",E247)))</formula>
    </cfRule>
    <cfRule type="containsText" dxfId="1419" priority="293" operator="containsText" text="Sell">
      <formula>NOT(ISERROR(SEARCH("Sell",E247)))</formula>
    </cfRule>
  </conditionalFormatting>
  <conditionalFormatting sqref="E112:E113">
    <cfRule type="containsText" dxfId="1418" priority="290" operator="containsText" text="Buy">
      <formula>NOT(ISERROR(SEARCH("Buy",E112)))</formula>
    </cfRule>
    <cfRule type="containsText" dxfId="1417" priority="291" operator="containsText" text="Sell">
      <formula>NOT(ISERROR(SEARCH("Sell",E112)))</formula>
    </cfRule>
  </conditionalFormatting>
  <conditionalFormatting sqref="E107:E108">
    <cfRule type="containsText" dxfId="1416" priority="288" operator="containsText" text="Buy">
      <formula>NOT(ISERROR(SEARCH("Buy",E107)))</formula>
    </cfRule>
    <cfRule type="containsText" dxfId="1415" priority="289" operator="containsText" text="Sell">
      <formula>NOT(ISERROR(SEARCH("Sell",E107)))</formula>
    </cfRule>
  </conditionalFormatting>
  <conditionalFormatting sqref="E124">
    <cfRule type="containsText" dxfId="1414" priority="286" operator="containsText" text="Buy">
      <formula>NOT(ISERROR(SEARCH("Buy",E124)))</formula>
    </cfRule>
    <cfRule type="containsText" dxfId="1413" priority="287" operator="containsText" text="Sell">
      <formula>NOT(ISERROR(SEARCH("Sell",E124)))</formula>
    </cfRule>
  </conditionalFormatting>
  <conditionalFormatting sqref="E123">
    <cfRule type="containsText" dxfId="1412" priority="284" operator="containsText" text="Buy">
      <formula>NOT(ISERROR(SEARCH("Buy",E123)))</formula>
    </cfRule>
    <cfRule type="containsText" dxfId="1411" priority="285" operator="containsText" text="Sell">
      <formula>NOT(ISERROR(SEARCH("Sell",E123)))</formula>
    </cfRule>
  </conditionalFormatting>
  <conditionalFormatting sqref="E119">
    <cfRule type="containsText" dxfId="1410" priority="282" operator="containsText" text="Buy">
      <formula>NOT(ISERROR(SEARCH("Buy",E119)))</formula>
    </cfRule>
    <cfRule type="containsText" dxfId="1409" priority="283" operator="containsText" text="Sell">
      <formula>NOT(ISERROR(SEARCH("Sell",E119)))</formula>
    </cfRule>
  </conditionalFormatting>
  <conditionalFormatting sqref="E244:E246">
    <cfRule type="containsText" dxfId="1408" priority="280" operator="containsText" text="Buy">
      <formula>NOT(ISERROR(SEARCH("Buy",E244)))</formula>
    </cfRule>
    <cfRule type="containsText" dxfId="1407" priority="281" operator="containsText" text="Sell">
      <formula>NOT(ISERROR(SEARCH("Sell",E244)))</formula>
    </cfRule>
  </conditionalFormatting>
  <conditionalFormatting sqref="E241:E242">
    <cfRule type="containsText" dxfId="1406" priority="278" operator="containsText" text="Buy">
      <formula>NOT(ISERROR(SEARCH("Buy",E241)))</formula>
    </cfRule>
    <cfRule type="containsText" dxfId="1405" priority="279" operator="containsText" text="Sell">
      <formula>NOT(ISERROR(SEARCH("Sell",E241)))</formula>
    </cfRule>
  </conditionalFormatting>
  <conditionalFormatting sqref="E235:E237">
    <cfRule type="containsText" dxfId="1404" priority="276" operator="containsText" text="Buy">
      <formula>NOT(ISERROR(SEARCH("Buy",E235)))</formula>
    </cfRule>
    <cfRule type="containsText" dxfId="1403" priority="277" operator="containsText" text="Sell">
      <formula>NOT(ISERROR(SEARCH("Sell",E235)))</formula>
    </cfRule>
  </conditionalFormatting>
  <conditionalFormatting sqref="E231:E232">
    <cfRule type="containsText" dxfId="1402" priority="274" operator="containsText" text="Buy">
      <formula>NOT(ISERROR(SEARCH("Buy",E231)))</formula>
    </cfRule>
    <cfRule type="containsText" dxfId="1401" priority="275" operator="containsText" text="Sell">
      <formula>NOT(ISERROR(SEARCH("Sell",E231)))</formula>
    </cfRule>
  </conditionalFormatting>
  <conditionalFormatting sqref="E240">
    <cfRule type="containsText" dxfId="1400" priority="272" operator="containsText" text="Buy">
      <formula>NOT(ISERROR(SEARCH("Buy",E240)))</formula>
    </cfRule>
    <cfRule type="containsText" dxfId="1399" priority="273" operator="containsText" text="Sell">
      <formula>NOT(ISERROR(SEARCH("Sell",E240)))</formula>
    </cfRule>
  </conditionalFormatting>
  <conditionalFormatting sqref="E220">
    <cfRule type="containsText" dxfId="1398" priority="270" operator="containsText" text="Buy">
      <formula>NOT(ISERROR(SEARCH("Buy",E220)))</formula>
    </cfRule>
    <cfRule type="containsText" dxfId="1397" priority="271" operator="containsText" text="Sell">
      <formula>NOT(ISERROR(SEARCH("Sell",E220)))</formula>
    </cfRule>
  </conditionalFormatting>
  <conditionalFormatting sqref="E219">
    <cfRule type="containsText" dxfId="1396" priority="268" operator="containsText" text="Buy">
      <formula>NOT(ISERROR(SEARCH("Buy",E219)))</formula>
    </cfRule>
    <cfRule type="containsText" dxfId="1395" priority="269" operator="containsText" text="Sell">
      <formula>NOT(ISERROR(SEARCH("Sell",E219)))</formula>
    </cfRule>
  </conditionalFormatting>
  <conditionalFormatting sqref="E218">
    <cfRule type="containsText" dxfId="1394" priority="266" operator="containsText" text="Buy">
      <formula>NOT(ISERROR(SEARCH("Buy",E218)))</formula>
    </cfRule>
    <cfRule type="containsText" dxfId="1393" priority="267" operator="containsText" text="Sell">
      <formula>NOT(ISERROR(SEARCH("Sell",E218)))</formula>
    </cfRule>
  </conditionalFormatting>
  <conditionalFormatting sqref="E175">
    <cfRule type="containsText" dxfId="1392" priority="261" operator="containsText" text="Buy">
      <formula>NOT(ISERROR(SEARCH("Buy",E175)))</formula>
    </cfRule>
    <cfRule type="containsText" dxfId="1391" priority="262" operator="containsText" text="Sell">
      <formula>NOT(ISERROR(SEARCH("Sell",E175)))</formula>
    </cfRule>
  </conditionalFormatting>
  <conditionalFormatting sqref="E194">
    <cfRule type="containsText" dxfId="1390" priority="259" operator="containsText" text="Buy">
      <formula>NOT(ISERROR(SEARCH("Buy",E194)))</formula>
    </cfRule>
    <cfRule type="containsText" dxfId="1389" priority="260" operator="containsText" text="Sell">
      <formula>NOT(ISERROR(SEARCH("Sell",E194)))</formula>
    </cfRule>
  </conditionalFormatting>
  <conditionalFormatting sqref="E88:E89">
    <cfRule type="containsText" dxfId="1388" priority="257" operator="containsText" text="Buy">
      <formula>NOT(ISERROR(SEARCH("Buy",E88)))</formula>
    </cfRule>
    <cfRule type="containsText" dxfId="1387" priority="258" operator="containsText" text="Sell">
      <formula>NOT(ISERROR(SEARCH("Sell",E88)))</formula>
    </cfRule>
  </conditionalFormatting>
  <conditionalFormatting sqref="E217">
    <cfRule type="containsText" dxfId="1386" priority="253" operator="containsText" text="Buy">
      <formula>NOT(ISERROR(SEARCH("Buy",E217)))</formula>
    </cfRule>
    <cfRule type="containsText" dxfId="1385" priority="254" operator="containsText" text="Sell">
      <formula>NOT(ISERROR(SEARCH("Sell",E217)))</formula>
    </cfRule>
  </conditionalFormatting>
  <conditionalFormatting sqref="E127">
    <cfRule type="containsText" dxfId="1384" priority="255" operator="containsText" text="Buy">
      <formula>NOT(ISERROR(SEARCH("Buy",E127)))</formula>
    </cfRule>
    <cfRule type="containsText" dxfId="1383" priority="256" operator="containsText" text="Sell">
      <formula>NOT(ISERROR(SEARCH("Sell",E127)))</formula>
    </cfRule>
  </conditionalFormatting>
  <conditionalFormatting sqref="E216">
    <cfRule type="containsText" dxfId="1382" priority="251" operator="containsText" text="Buy">
      <formula>NOT(ISERROR(SEARCH("Buy",E216)))</formula>
    </cfRule>
    <cfRule type="containsText" dxfId="1381" priority="252" operator="containsText" text="Sell">
      <formula>NOT(ISERROR(SEARCH("Sell",E216)))</formula>
    </cfRule>
  </conditionalFormatting>
  <conditionalFormatting sqref="E215">
    <cfRule type="containsText" dxfId="1380" priority="249" operator="containsText" text="Buy">
      <formula>NOT(ISERROR(SEARCH("Buy",E215)))</formula>
    </cfRule>
    <cfRule type="containsText" dxfId="1379" priority="250" operator="containsText" text="Sell">
      <formula>NOT(ISERROR(SEARCH("Sell",E215)))</formula>
    </cfRule>
  </conditionalFormatting>
  <conditionalFormatting sqref="E214">
    <cfRule type="containsText" dxfId="1378" priority="247" operator="containsText" text="Buy">
      <formula>NOT(ISERROR(SEARCH("Buy",E214)))</formula>
    </cfRule>
    <cfRule type="containsText" dxfId="1377" priority="248" operator="containsText" text="Sell">
      <formula>NOT(ISERROR(SEARCH("Sell",E214)))</formula>
    </cfRule>
  </conditionalFormatting>
  <conditionalFormatting sqref="E213">
    <cfRule type="containsText" dxfId="1376" priority="245" operator="containsText" text="Buy">
      <formula>NOT(ISERROR(SEARCH("Buy",E213)))</formula>
    </cfRule>
    <cfRule type="containsText" dxfId="1375" priority="246" operator="containsText" text="Sell">
      <formula>NOT(ISERROR(SEARCH("Sell",E213)))</formula>
    </cfRule>
  </conditionalFormatting>
  <conditionalFormatting sqref="E93:E95 E106">
    <cfRule type="containsText" dxfId="1374" priority="243" operator="containsText" text="Buy">
      <formula>NOT(ISERROR(SEARCH("Buy",E93)))</formula>
    </cfRule>
    <cfRule type="containsText" dxfId="1373" priority="244" operator="containsText" text="Sell">
      <formula>NOT(ISERROR(SEARCH("Sell",E93)))</formula>
    </cfRule>
  </conditionalFormatting>
  <conditionalFormatting sqref="E83:E84">
    <cfRule type="containsText" dxfId="1372" priority="241" operator="containsText" text="Buy">
      <formula>NOT(ISERROR(SEARCH("Buy",E83)))</formula>
    </cfRule>
    <cfRule type="containsText" dxfId="1371" priority="242" operator="containsText" text="Sell">
      <formula>NOT(ISERROR(SEARCH("Sell",E83)))</formula>
    </cfRule>
  </conditionalFormatting>
  <conditionalFormatting sqref="E77:E78">
    <cfRule type="containsText" dxfId="1370" priority="239" operator="containsText" text="Buy">
      <formula>NOT(ISERROR(SEARCH("Buy",E77)))</formula>
    </cfRule>
    <cfRule type="containsText" dxfId="1369" priority="240" operator="containsText" text="Sell">
      <formula>NOT(ISERROR(SEARCH("Sell",E77)))</formula>
    </cfRule>
  </conditionalFormatting>
  <conditionalFormatting sqref="E104:E105">
    <cfRule type="containsText" dxfId="1368" priority="237" operator="containsText" text="Buy">
      <formula>NOT(ISERROR(SEARCH("Buy",E104)))</formula>
    </cfRule>
    <cfRule type="containsText" dxfId="1367" priority="238" operator="containsText" text="Sell">
      <formula>NOT(ISERROR(SEARCH("Sell",E104)))</formula>
    </cfRule>
  </conditionalFormatting>
  <conditionalFormatting sqref="E103">
    <cfRule type="containsText" dxfId="1366" priority="235" operator="containsText" text="Buy">
      <formula>NOT(ISERROR(SEARCH("Buy",E103)))</formula>
    </cfRule>
    <cfRule type="containsText" dxfId="1365" priority="236" operator="containsText" text="Sell">
      <formula>NOT(ISERROR(SEARCH("Sell",E103)))</formula>
    </cfRule>
  </conditionalFormatting>
  <conditionalFormatting sqref="E186">
    <cfRule type="containsText" dxfId="1364" priority="233" operator="containsText" text="Buy">
      <formula>NOT(ISERROR(SEARCH("Buy",E186)))</formula>
    </cfRule>
    <cfRule type="containsText" dxfId="1363" priority="234" operator="containsText" text="Sell">
      <formula>NOT(ISERROR(SEARCH("Sell",E186)))</formula>
    </cfRule>
  </conditionalFormatting>
  <conditionalFormatting sqref="E185">
    <cfRule type="containsText" dxfId="1362" priority="231" operator="containsText" text="Buy">
      <formula>NOT(ISERROR(SEARCH("Buy",E185)))</formula>
    </cfRule>
    <cfRule type="containsText" dxfId="1361" priority="232" operator="containsText" text="Sell">
      <formula>NOT(ISERROR(SEARCH("Sell",E185)))</formula>
    </cfRule>
  </conditionalFormatting>
  <conditionalFormatting sqref="E74:E75">
    <cfRule type="containsText" dxfId="1360" priority="229" operator="containsText" text="Buy">
      <formula>NOT(ISERROR(SEARCH("Buy",E74)))</formula>
    </cfRule>
    <cfRule type="containsText" dxfId="1359" priority="230" operator="containsText" text="Sell">
      <formula>NOT(ISERROR(SEARCH("Sell",E74)))</formula>
    </cfRule>
  </conditionalFormatting>
  <conditionalFormatting sqref="E73">
    <cfRule type="containsText" dxfId="1358" priority="227" operator="containsText" text="Buy">
      <formula>NOT(ISERROR(SEARCH("Buy",E73)))</formula>
    </cfRule>
    <cfRule type="containsText" dxfId="1357" priority="228" operator="containsText" text="Sell">
      <formula>NOT(ISERROR(SEARCH("Sell",E73)))</formula>
    </cfRule>
  </conditionalFormatting>
  <conditionalFormatting sqref="E72">
    <cfRule type="containsText" dxfId="1356" priority="225" operator="containsText" text="Buy">
      <formula>NOT(ISERROR(SEARCH("Buy",E72)))</formula>
    </cfRule>
    <cfRule type="containsText" dxfId="1355" priority="226" operator="containsText" text="Sell">
      <formula>NOT(ISERROR(SEARCH("Sell",E72)))</formula>
    </cfRule>
  </conditionalFormatting>
  <conditionalFormatting sqref="E69">
    <cfRule type="containsText" dxfId="1354" priority="223" operator="containsText" text="Buy">
      <formula>NOT(ISERROR(SEARCH("Buy",E69)))</formula>
    </cfRule>
    <cfRule type="containsText" dxfId="1353" priority="224" operator="containsText" text="Sell">
      <formula>NOT(ISERROR(SEARCH("Sell",E69)))</formula>
    </cfRule>
  </conditionalFormatting>
  <conditionalFormatting sqref="E68">
    <cfRule type="containsText" dxfId="1352" priority="221" operator="containsText" text="Buy">
      <formula>NOT(ISERROR(SEARCH("Buy",E68)))</formula>
    </cfRule>
    <cfRule type="containsText" dxfId="1351" priority="222" operator="containsText" text="Sell">
      <formula>NOT(ISERROR(SEARCH("Sell",E68)))</formula>
    </cfRule>
  </conditionalFormatting>
  <conditionalFormatting sqref="E65">
    <cfRule type="containsText" dxfId="1350" priority="219" operator="containsText" text="Buy">
      <formula>NOT(ISERROR(SEARCH("Buy",E65)))</formula>
    </cfRule>
    <cfRule type="containsText" dxfId="1349" priority="220" operator="containsText" text="Sell">
      <formula>NOT(ISERROR(SEARCH("Sell",E65)))</formula>
    </cfRule>
  </conditionalFormatting>
  <conditionalFormatting sqref="E64">
    <cfRule type="containsText" dxfId="1348" priority="217" operator="containsText" text="Buy">
      <formula>NOT(ISERROR(SEARCH("Buy",E64)))</formula>
    </cfRule>
    <cfRule type="containsText" dxfId="1347" priority="218" operator="containsText" text="Sell">
      <formula>NOT(ISERROR(SEARCH("Sell",E64)))</formula>
    </cfRule>
  </conditionalFormatting>
  <conditionalFormatting sqref="E63">
    <cfRule type="containsText" dxfId="1346" priority="215" operator="containsText" text="Buy">
      <formula>NOT(ISERROR(SEARCH("Buy",E63)))</formula>
    </cfRule>
    <cfRule type="containsText" dxfId="1345" priority="216" operator="containsText" text="Sell">
      <formula>NOT(ISERROR(SEARCH("Sell",E63)))</formula>
    </cfRule>
  </conditionalFormatting>
  <conditionalFormatting sqref="E61:E62">
    <cfRule type="containsText" dxfId="1344" priority="213" operator="containsText" text="Buy">
      <formula>NOT(ISERROR(SEARCH("Buy",E61)))</formula>
    </cfRule>
    <cfRule type="containsText" dxfId="1343" priority="214" operator="containsText" text="Sell">
      <formula>NOT(ISERROR(SEARCH("Sell",E61)))</formula>
    </cfRule>
  </conditionalFormatting>
  <conditionalFormatting sqref="E58 E54:E55">
    <cfRule type="containsText" dxfId="1342" priority="211" operator="containsText" text="Buy">
      <formula>NOT(ISERROR(SEARCH("Buy",E54)))</formula>
    </cfRule>
    <cfRule type="containsText" dxfId="1341" priority="212" operator="containsText" text="Sell">
      <formula>NOT(ISERROR(SEARCH("Sell",E54)))</formula>
    </cfRule>
  </conditionalFormatting>
  <conditionalFormatting sqref="E57">
    <cfRule type="containsText" dxfId="1340" priority="209" operator="containsText" text="Buy">
      <formula>NOT(ISERROR(SEARCH("Buy",E57)))</formula>
    </cfRule>
    <cfRule type="containsText" dxfId="1339" priority="210" operator="containsText" text="Sell">
      <formula>NOT(ISERROR(SEARCH("Sell",E57)))</formula>
    </cfRule>
  </conditionalFormatting>
  <conditionalFormatting sqref="E56">
    <cfRule type="containsText" dxfId="1338" priority="207" operator="containsText" text="Buy">
      <formula>NOT(ISERROR(SEARCH("Buy",E56)))</formula>
    </cfRule>
    <cfRule type="containsText" dxfId="1337" priority="208" operator="containsText" text="Sell">
      <formula>NOT(ISERROR(SEARCH("Sell",E56)))</formula>
    </cfRule>
  </conditionalFormatting>
  <conditionalFormatting sqref="E190">
    <cfRule type="containsText" dxfId="1336" priority="205" operator="containsText" text="Buy">
      <formula>NOT(ISERROR(SEARCH("Buy",E190)))</formula>
    </cfRule>
    <cfRule type="containsText" dxfId="1335" priority="206" operator="containsText" text="Sell">
      <formula>NOT(ISERROR(SEARCH("Sell",E190)))</formula>
    </cfRule>
  </conditionalFormatting>
  <conditionalFormatting sqref="E111">
    <cfRule type="containsText" dxfId="1334" priority="203" operator="containsText" text="Buy">
      <formula>NOT(ISERROR(SEARCH("Buy",E111)))</formula>
    </cfRule>
    <cfRule type="containsText" dxfId="1333" priority="204" operator="containsText" text="Sell">
      <formula>NOT(ISERROR(SEARCH("Sell",E111)))</formula>
    </cfRule>
  </conditionalFormatting>
  <conditionalFormatting sqref="E158">
    <cfRule type="containsText" dxfId="1332" priority="201" operator="containsText" text="Buy">
      <formula>NOT(ISERROR(SEARCH("Buy",E158)))</formula>
    </cfRule>
    <cfRule type="containsText" dxfId="1331" priority="202" operator="containsText" text="Sell">
      <formula>NOT(ISERROR(SEARCH("Sell",E158)))</formula>
    </cfRule>
  </conditionalFormatting>
  <conditionalFormatting sqref="E53">
    <cfRule type="containsText" dxfId="1330" priority="199" operator="containsText" text="Buy">
      <formula>NOT(ISERROR(SEARCH("Buy",E53)))</formula>
    </cfRule>
    <cfRule type="containsText" dxfId="1329" priority="200" operator="containsText" text="Sell">
      <formula>NOT(ISERROR(SEARCH("Sell",E53)))</formula>
    </cfRule>
  </conditionalFormatting>
  <conditionalFormatting sqref="E212">
    <cfRule type="containsText" dxfId="1328" priority="191" operator="containsText" text="Buy">
      <formula>NOT(ISERROR(SEARCH("Buy",E212)))</formula>
    </cfRule>
    <cfRule type="containsText" dxfId="1327" priority="192" operator="containsText" text="Sell">
      <formula>NOT(ISERROR(SEARCH("Sell",E212)))</formula>
    </cfRule>
  </conditionalFormatting>
  <conditionalFormatting sqref="E157">
    <cfRule type="containsText" dxfId="1326" priority="197" operator="containsText" text="Buy">
      <formula>NOT(ISERROR(SEARCH("Buy",E157)))</formula>
    </cfRule>
    <cfRule type="containsText" dxfId="1325" priority="198" operator="containsText" text="Sell">
      <formula>NOT(ISERROR(SEARCH("Sell",E157)))</formula>
    </cfRule>
  </conditionalFormatting>
  <conditionalFormatting sqref="E156">
    <cfRule type="containsText" dxfId="1324" priority="195" operator="containsText" text="Buy">
      <formula>NOT(ISERROR(SEARCH("Buy",E156)))</formula>
    </cfRule>
    <cfRule type="containsText" dxfId="1323" priority="196" operator="containsText" text="Sell">
      <formula>NOT(ISERROR(SEARCH("Sell",E156)))</formula>
    </cfRule>
  </conditionalFormatting>
  <conditionalFormatting sqref="E227:E229">
    <cfRule type="containsText" dxfId="1322" priority="193" operator="containsText" text="Buy">
      <formula>NOT(ISERROR(SEARCH("Buy",E227)))</formula>
    </cfRule>
    <cfRule type="containsText" dxfId="1321" priority="194" operator="containsText" text="Sell">
      <formula>NOT(ISERROR(SEARCH("Sell",E227)))</formula>
    </cfRule>
  </conditionalFormatting>
  <conditionalFormatting sqref="E211">
    <cfRule type="containsText" dxfId="1320" priority="189" operator="containsText" text="Buy">
      <formula>NOT(ISERROR(SEARCH("Buy",E211)))</formula>
    </cfRule>
    <cfRule type="containsText" dxfId="1319" priority="190" operator="containsText" text="Sell">
      <formula>NOT(ISERROR(SEARCH("Sell",E211)))</formula>
    </cfRule>
  </conditionalFormatting>
  <conditionalFormatting sqref="E48">
    <cfRule type="containsText" dxfId="1318" priority="187" operator="containsText" text="Buy">
      <formula>NOT(ISERROR(SEARCH("Buy",E48)))</formula>
    </cfRule>
    <cfRule type="containsText" dxfId="1317" priority="188" operator="containsText" text="Sell">
      <formula>NOT(ISERROR(SEARCH("Sell",E48)))</formula>
    </cfRule>
  </conditionalFormatting>
  <conditionalFormatting sqref="E177">
    <cfRule type="containsText" dxfId="1316" priority="185" operator="containsText" text="Buy">
      <formula>NOT(ISERROR(SEARCH("Buy",E177)))</formula>
    </cfRule>
    <cfRule type="containsText" dxfId="1315" priority="186" operator="containsText" text="Sell">
      <formula>NOT(ISERROR(SEARCH("Sell",E177)))</formula>
    </cfRule>
  </conditionalFormatting>
  <conditionalFormatting sqref="E174">
    <cfRule type="containsText" dxfId="1314" priority="183" operator="containsText" text="Buy">
      <formula>NOT(ISERROR(SEARCH("Buy",E174)))</formula>
    </cfRule>
    <cfRule type="containsText" dxfId="1313" priority="184" operator="containsText" text="Sell">
      <formula>NOT(ISERROR(SEARCH("Sell",E174)))</formula>
    </cfRule>
  </conditionalFormatting>
  <conditionalFormatting sqref="E102">
    <cfRule type="containsText" dxfId="1312" priority="179" operator="containsText" text="Buy">
      <formula>NOT(ISERROR(SEARCH("Buy",E102)))</formula>
    </cfRule>
    <cfRule type="containsText" dxfId="1311" priority="180" operator="containsText" text="Sell">
      <formula>NOT(ISERROR(SEARCH("Sell",E102)))</formula>
    </cfRule>
  </conditionalFormatting>
  <conditionalFormatting sqref="E210">
    <cfRule type="containsText" dxfId="1310" priority="181" operator="containsText" text="Buy">
      <formula>NOT(ISERROR(SEARCH("Buy",E210)))</formula>
    </cfRule>
    <cfRule type="containsText" dxfId="1309" priority="182" operator="containsText" text="Sell">
      <formula>NOT(ISERROR(SEARCH("Sell",E210)))</formula>
    </cfRule>
  </conditionalFormatting>
  <conditionalFormatting sqref="E239">
    <cfRule type="containsText" dxfId="1308" priority="177" operator="containsText" text="Buy">
      <formula>NOT(ISERROR(SEARCH("Buy",E239)))</formula>
    </cfRule>
    <cfRule type="containsText" dxfId="1307" priority="178" operator="containsText" text="Sell">
      <formula>NOT(ISERROR(SEARCH("Sell",E239)))</formula>
    </cfRule>
  </conditionalFormatting>
  <conditionalFormatting sqref="E234">
    <cfRule type="containsText" dxfId="1306" priority="173" operator="containsText" text="Buy">
      <formula>NOT(ISERROR(SEARCH("Buy",E234)))</formula>
    </cfRule>
    <cfRule type="containsText" dxfId="1305" priority="174" operator="containsText" text="Sell">
      <formula>NOT(ISERROR(SEARCH("Sell",E234)))</formula>
    </cfRule>
  </conditionalFormatting>
  <conditionalFormatting sqref="E256">
    <cfRule type="containsText" dxfId="1304" priority="175" operator="containsText" text="Buy">
      <formula>NOT(ISERROR(SEARCH("Buy",E256)))</formula>
    </cfRule>
    <cfRule type="containsText" dxfId="1303" priority="176" operator="containsText" text="Sell">
      <formula>NOT(ISERROR(SEARCH("Sell",E256)))</formula>
    </cfRule>
  </conditionalFormatting>
  <conditionalFormatting sqref="E101">
    <cfRule type="containsText" dxfId="1302" priority="169" operator="containsText" text="Buy">
      <formula>NOT(ISERROR(SEARCH("Buy",E101)))</formula>
    </cfRule>
    <cfRule type="containsText" dxfId="1301" priority="170" operator="containsText" text="Sell">
      <formula>NOT(ISERROR(SEARCH("Sell",E101)))</formula>
    </cfRule>
  </conditionalFormatting>
  <conditionalFormatting sqref="E230">
    <cfRule type="containsText" dxfId="1300" priority="171" operator="containsText" text="Buy">
      <formula>NOT(ISERROR(SEARCH("Buy",E230)))</formula>
    </cfRule>
    <cfRule type="containsText" dxfId="1299" priority="172" operator="containsText" text="Sell">
      <formula>NOT(ISERROR(SEARCH("Sell",E230)))</formula>
    </cfRule>
  </conditionalFormatting>
  <conditionalFormatting sqref="E155">
    <cfRule type="containsText" dxfId="1298" priority="167" operator="containsText" text="Buy">
      <formula>NOT(ISERROR(SEARCH("Buy",E155)))</formula>
    </cfRule>
    <cfRule type="containsText" dxfId="1297" priority="168" operator="containsText" text="Sell">
      <formula>NOT(ISERROR(SEARCH("Sell",E155)))</formula>
    </cfRule>
  </conditionalFormatting>
  <conditionalFormatting sqref="E110">
    <cfRule type="containsText" dxfId="1296" priority="165" operator="containsText" text="Buy">
      <formula>NOT(ISERROR(SEARCH("Buy",E110)))</formula>
    </cfRule>
    <cfRule type="containsText" dxfId="1295" priority="166" operator="containsText" text="Sell">
      <formula>NOT(ISERROR(SEARCH("Sell",E110)))</formula>
    </cfRule>
  </conditionalFormatting>
  <conditionalFormatting sqref="E255">
    <cfRule type="containsText" dxfId="1294" priority="161" operator="containsText" text="Buy">
      <formula>NOT(ISERROR(SEARCH("Buy",E255)))</formula>
    </cfRule>
    <cfRule type="containsText" dxfId="1293" priority="162" operator="containsText" text="Sell">
      <formula>NOT(ISERROR(SEARCH("Sell",E255)))</formula>
    </cfRule>
  </conditionalFormatting>
  <conditionalFormatting sqref="E201">
    <cfRule type="containsText" dxfId="1292" priority="163" operator="containsText" text="Buy">
      <formula>NOT(ISERROR(SEARCH("Buy",E201)))</formula>
    </cfRule>
    <cfRule type="containsText" dxfId="1291" priority="164" operator="containsText" text="Sell">
      <formula>NOT(ISERROR(SEARCH("Sell",E201)))</formula>
    </cfRule>
  </conditionalFormatting>
  <conditionalFormatting sqref="E100">
    <cfRule type="containsText" dxfId="1290" priority="159" operator="containsText" text="Buy">
      <formula>NOT(ISERROR(SEARCH("Buy",E100)))</formula>
    </cfRule>
    <cfRule type="containsText" dxfId="1289" priority="160" operator="containsText" text="Sell">
      <formula>NOT(ISERROR(SEARCH("Sell",E100)))</formula>
    </cfRule>
  </conditionalFormatting>
  <conditionalFormatting sqref="E173">
    <cfRule type="containsText" dxfId="1288" priority="157" operator="containsText" text="Buy">
      <formula>NOT(ISERROR(SEARCH("Buy",E173)))</formula>
    </cfRule>
    <cfRule type="containsText" dxfId="1287" priority="158" operator="containsText" text="Sell">
      <formula>NOT(ISERROR(SEARCH("Sell",E173)))</formula>
    </cfRule>
  </conditionalFormatting>
  <conditionalFormatting sqref="E140">
    <cfRule type="containsText" dxfId="1286" priority="153" operator="containsText" text="Buy">
      <formula>NOT(ISERROR(SEARCH("Buy",E140)))</formula>
    </cfRule>
    <cfRule type="containsText" dxfId="1285" priority="154" operator="containsText" text="Sell">
      <formula>NOT(ISERROR(SEARCH("Sell",E140)))</formula>
    </cfRule>
  </conditionalFormatting>
  <conditionalFormatting sqref="E250">
    <cfRule type="containsText" dxfId="1284" priority="155" operator="containsText" text="Buy">
      <formula>NOT(ISERROR(SEARCH("Buy",E250)))</formula>
    </cfRule>
    <cfRule type="containsText" dxfId="1283" priority="156" operator="containsText" text="Sell">
      <formula>NOT(ISERROR(SEARCH("Sell",E250)))</formula>
    </cfRule>
  </conditionalFormatting>
  <conditionalFormatting sqref="E238">
    <cfRule type="containsText" dxfId="1282" priority="149" operator="containsText" text="Buy">
      <formula>NOT(ISERROR(SEARCH("Buy",E238)))</formula>
    </cfRule>
    <cfRule type="containsText" dxfId="1281" priority="150" operator="containsText" text="Sell">
      <formula>NOT(ISERROR(SEARCH("Sell",E238)))</formula>
    </cfRule>
  </conditionalFormatting>
  <conditionalFormatting sqref="E254">
    <cfRule type="containsText" dxfId="1280" priority="151" operator="containsText" text="Buy">
      <formula>NOT(ISERROR(SEARCH("Buy",E254)))</formula>
    </cfRule>
    <cfRule type="containsText" dxfId="1279" priority="152" operator="containsText" text="Sell">
      <formula>NOT(ISERROR(SEARCH("Sell",E254)))</formula>
    </cfRule>
  </conditionalFormatting>
  <conditionalFormatting sqref="E200">
    <cfRule type="containsText" dxfId="1278" priority="147" operator="containsText" text="Buy">
      <formula>NOT(ISERROR(SEARCH("Buy",E200)))</formula>
    </cfRule>
    <cfRule type="containsText" dxfId="1277" priority="148" operator="containsText" text="Sell">
      <formula>NOT(ISERROR(SEARCH("Sell",E200)))</formula>
    </cfRule>
  </conditionalFormatting>
  <conditionalFormatting sqref="E172">
    <cfRule type="containsText" dxfId="1276" priority="145" operator="containsText" text="Buy">
      <formula>NOT(ISERROR(SEARCH("Buy",E172)))</formula>
    </cfRule>
    <cfRule type="containsText" dxfId="1275" priority="146" operator="containsText" text="Sell">
      <formula>NOT(ISERROR(SEARCH("Sell",E172)))</formula>
    </cfRule>
  </conditionalFormatting>
  <conditionalFormatting sqref="E171">
    <cfRule type="containsText" dxfId="1274" priority="143" operator="containsText" text="Buy">
      <formula>NOT(ISERROR(SEARCH("Buy",E171)))</formula>
    </cfRule>
    <cfRule type="containsText" dxfId="1273" priority="144" operator="containsText" text="Sell">
      <formula>NOT(ISERROR(SEARCH("Sell",E171)))</formula>
    </cfRule>
  </conditionalFormatting>
  <conditionalFormatting sqref="E130">
    <cfRule type="containsText" dxfId="1272" priority="141" operator="containsText" text="Buy">
      <formula>NOT(ISERROR(SEARCH("Buy",E130)))</formula>
    </cfRule>
    <cfRule type="containsText" dxfId="1271" priority="142" operator="containsText" text="Sell">
      <formula>NOT(ISERROR(SEARCH("Sell",E130)))</formula>
    </cfRule>
  </conditionalFormatting>
  <conditionalFormatting sqref="E60">
    <cfRule type="containsText" dxfId="1270" priority="139" operator="containsText" text="Buy">
      <formula>NOT(ISERROR(SEARCH("Buy",E60)))</formula>
    </cfRule>
    <cfRule type="containsText" dxfId="1269" priority="140" operator="containsText" text="Sell">
      <formula>NOT(ISERROR(SEARCH("Sell",E60)))</formula>
    </cfRule>
  </conditionalFormatting>
  <conditionalFormatting sqref="E30">
    <cfRule type="containsText" dxfId="1268" priority="137" operator="containsText" text="Buy">
      <formula>NOT(ISERROR(SEARCH("Buy",E30)))</formula>
    </cfRule>
    <cfRule type="containsText" dxfId="1267" priority="138" operator="containsText" text="Sell">
      <formula>NOT(ISERROR(SEARCH("Sell",E30)))</formula>
    </cfRule>
  </conditionalFormatting>
  <conditionalFormatting sqref="E207">
    <cfRule type="containsText" dxfId="1266" priority="135" operator="containsText" text="Buy">
      <formula>NOT(ISERROR(SEARCH("Buy",E207)))</formula>
    </cfRule>
    <cfRule type="containsText" dxfId="1265" priority="136" operator="containsText" text="Sell">
      <formula>NOT(ISERROR(SEARCH("Sell",E207)))</formula>
    </cfRule>
  </conditionalFormatting>
  <conditionalFormatting sqref="E120:E122">
    <cfRule type="containsText" dxfId="1264" priority="133" operator="containsText" text="Buy">
      <formula>NOT(ISERROR(SEARCH("Buy",E120)))</formula>
    </cfRule>
    <cfRule type="containsText" dxfId="1263" priority="134" operator="containsText" text="Sell">
      <formula>NOT(ISERROR(SEARCH("Sell",E120)))</formula>
    </cfRule>
  </conditionalFormatting>
  <conditionalFormatting sqref="E99">
    <cfRule type="containsText" dxfId="1262" priority="131" operator="containsText" text="Buy">
      <formula>NOT(ISERROR(SEARCH("Buy",E99)))</formula>
    </cfRule>
    <cfRule type="containsText" dxfId="1261" priority="132" operator="containsText" text="Sell">
      <formula>NOT(ISERROR(SEARCH("Sell",E99)))</formula>
    </cfRule>
  </conditionalFormatting>
  <conditionalFormatting sqref="E98">
    <cfRule type="containsText" dxfId="1260" priority="129" operator="containsText" text="Buy">
      <formula>NOT(ISERROR(SEARCH("Buy",E98)))</formula>
    </cfRule>
    <cfRule type="containsText" dxfId="1259" priority="130" operator="containsText" text="Sell">
      <formula>NOT(ISERROR(SEARCH("Sell",E98)))</formula>
    </cfRule>
  </conditionalFormatting>
  <conditionalFormatting sqref="E206">
    <cfRule type="containsText" dxfId="1258" priority="121" operator="containsText" text="Buy">
      <formula>NOT(ISERROR(SEARCH("Buy",E206)))</formula>
    </cfRule>
    <cfRule type="containsText" dxfId="1257" priority="122" operator="containsText" text="Sell">
      <formula>NOT(ISERROR(SEARCH("Sell",E206)))</formula>
    </cfRule>
  </conditionalFormatting>
  <conditionalFormatting sqref="E92">
    <cfRule type="containsText" dxfId="1256" priority="127" operator="containsText" text="Buy">
      <formula>NOT(ISERROR(SEARCH("Buy",E92)))</formula>
    </cfRule>
    <cfRule type="containsText" dxfId="1255" priority="128" operator="containsText" text="Sell">
      <formula>NOT(ISERROR(SEARCH("Sell",E92)))</formula>
    </cfRule>
  </conditionalFormatting>
  <conditionalFormatting sqref="E97">
    <cfRule type="containsText" dxfId="1254" priority="125" operator="containsText" text="Buy">
      <formula>NOT(ISERROR(SEARCH("Buy",E97)))</formula>
    </cfRule>
    <cfRule type="containsText" dxfId="1253" priority="126" operator="containsText" text="Sell">
      <formula>NOT(ISERROR(SEARCH("Sell",E97)))</formula>
    </cfRule>
  </conditionalFormatting>
  <conditionalFormatting sqref="E96">
    <cfRule type="containsText" dxfId="1252" priority="123" operator="containsText" text="Buy">
      <formula>NOT(ISERROR(SEARCH("Buy",E96)))</formula>
    </cfRule>
    <cfRule type="containsText" dxfId="1251" priority="124" operator="containsText" text="Sell">
      <formula>NOT(ISERROR(SEARCH("Sell",E96)))</formula>
    </cfRule>
  </conditionalFormatting>
  <conditionalFormatting sqref="E81:E82">
    <cfRule type="containsText" dxfId="1250" priority="119" operator="containsText" text="Buy">
      <formula>NOT(ISERROR(SEARCH("Buy",E81)))</formula>
    </cfRule>
    <cfRule type="containsText" dxfId="1249" priority="120" operator="containsText" text="Sell">
      <formula>NOT(ISERROR(SEARCH("Sell",E81)))</formula>
    </cfRule>
  </conditionalFormatting>
  <conditionalFormatting sqref="E205">
    <cfRule type="containsText" dxfId="1248" priority="117" operator="containsText" text="Buy">
      <formula>NOT(ISERROR(SEARCH("Buy",E205)))</formula>
    </cfRule>
    <cfRule type="containsText" dxfId="1247" priority="118" operator="containsText" text="Sell">
      <formula>NOT(ISERROR(SEARCH("Sell",E205)))</formula>
    </cfRule>
  </conditionalFormatting>
  <conditionalFormatting sqref="E80">
    <cfRule type="containsText" dxfId="1246" priority="115" operator="containsText" text="Buy">
      <formula>NOT(ISERROR(SEARCH("Buy",E80)))</formula>
    </cfRule>
    <cfRule type="containsText" dxfId="1245" priority="116" operator="containsText" text="Sell">
      <formula>NOT(ISERROR(SEARCH("Sell",E80)))</formula>
    </cfRule>
  </conditionalFormatting>
  <conditionalFormatting sqref="E204">
    <cfRule type="containsText" dxfId="1244" priority="113" operator="containsText" text="Buy">
      <formula>NOT(ISERROR(SEARCH("Buy",E204)))</formula>
    </cfRule>
    <cfRule type="containsText" dxfId="1243" priority="114" operator="containsText" text="Sell">
      <formula>NOT(ISERROR(SEARCH("Sell",E204)))</formula>
    </cfRule>
  </conditionalFormatting>
  <conditionalFormatting sqref="E91">
    <cfRule type="containsText" dxfId="1242" priority="109" operator="containsText" text="Buy">
      <formula>NOT(ISERROR(SEARCH("Buy",E91)))</formula>
    </cfRule>
    <cfRule type="containsText" dxfId="1241" priority="110" operator="containsText" text="Sell">
      <formula>NOT(ISERROR(SEARCH("Sell",E91)))</formula>
    </cfRule>
  </conditionalFormatting>
  <conditionalFormatting sqref="E87">
    <cfRule type="containsText" dxfId="1240" priority="111" operator="containsText" text="Buy">
      <formula>NOT(ISERROR(SEARCH("Buy",E87)))</formula>
    </cfRule>
    <cfRule type="containsText" dxfId="1239" priority="112" operator="containsText" text="Sell">
      <formula>NOT(ISERROR(SEARCH("Sell",E87)))</formula>
    </cfRule>
  </conditionalFormatting>
  <conditionalFormatting sqref="E86">
    <cfRule type="containsText" dxfId="1238" priority="107" operator="containsText" text="Buy">
      <formula>NOT(ISERROR(SEARCH("Buy",E86)))</formula>
    </cfRule>
    <cfRule type="containsText" dxfId="1237" priority="108" operator="containsText" text="Sell">
      <formula>NOT(ISERROR(SEARCH("Sell",E86)))</formula>
    </cfRule>
  </conditionalFormatting>
  <conditionalFormatting sqref="E29">
    <cfRule type="containsText" dxfId="1236" priority="105" operator="containsText" text="Buy">
      <formula>NOT(ISERROR(SEARCH("Buy",E29)))</formula>
    </cfRule>
    <cfRule type="containsText" dxfId="1235" priority="106" operator="containsText" text="Sell">
      <formula>NOT(ISERROR(SEARCH("Sell",E29)))</formula>
    </cfRule>
  </conditionalFormatting>
  <conditionalFormatting sqref="E28">
    <cfRule type="containsText" dxfId="1234" priority="103" operator="containsText" text="Buy">
      <formula>NOT(ISERROR(SEARCH("Buy",E28)))</formula>
    </cfRule>
    <cfRule type="containsText" dxfId="1233" priority="104" operator="containsText" text="Sell">
      <formula>NOT(ISERROR(SEARCH("Sell",E28)))</formula>
    </cfRule>
  </conditionalFormatting>
  <conditionalFormatting sqref="R5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{F4A77760-505A-4A72-9278-BDB2A8204AED}</x14:id>
        </ext>
      </extLst>
    </cfRule>
  </conditionalFormatting>
  <conditionalFormatting sqref="S5: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{02205E4A-0131-4E3D-A04E-291A73CA7E95}</x14:id>
        </ext>
      </extLst>
    </cfRule>
  </conditionalFormatting>
  <conditionalFormatting sqref="R5:W5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{604DA293-1A18-42AD-9FA6-F53DAC320EA4}</x14:id>
        </ext>
      </extLst>
    </cfRule>
  </conditionalFormatting>
  <conditionalFormatting sqref="X5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{DF9FEAB5-7286-4220-83BE-D34F765C9376}</x14:id>
        </ext>
      </extLst>
    </cfRule>
  </conditionalFormatting>
  <conditionalFormatting sqref="I5:J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{08FA5772-4CBB-42FD-A120-8F9BE9E22DEB}</x14:id>
        </ext>
      </extLst>
    </cfRule>
  </conditionalFormatting>
  <conditionalFormatting sqref="R5:W5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{92D59656-175D-4473-B533-1861A9307D09}</x14:id>
        </ext>
      </extLst>
    </cfRule>
  </conditionalFormatting>
  <conditionalFormatting sqref="I5:J5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{48464AA4-1964-4CC4-84EE-1B450B6C3E51}</x14:id>
        </ext>
      </extLst>
    </cfRule>
  </conditionalFormatting>
  <conditionalFormatting sqref="I5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{EA03A64D-2D25-49D9-88BB-3ED985D77E66}</x14:id>
        </ext>
      </extLst>
    </cfRule>
  </conditionalFormatting>
  <conditionalFormatting sqref="J5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{192840B4-2FF6-46CC-BF31-FB0098C7F9B5}</x14:id>
        </ext>
      </extLst>
    </cfRule>
  </conditionalFormatting>
  <conditionalFormatting sqref="R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{4716A8CE-0483-4391-9CA0-BFD9CDE4E733}</x14:id>
        </ext>
      </extLst>
    </cfRule>
  </conditionalFormatting>
  <conditionalFormatting sqref="S5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{3A221F15-4D7E-4DAC-AB3E-8F8F949E4A25}</x14:id>
        </ext>
      </extLst>
    </cfRule>
  </conditionalFormatting>
  <conditionalFormatting sqref="T5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{8FCAFC8F-6483-49BE-9ED2-3DC722B40B7E}</x14:id>
        </ext>
      </extLst>
    </cfRule>
  </conditionalFormatting>
  <conditionalFormatting sqref="U5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{85365D8B-8BB3-418D-89D3-747932494211}</x14:id>
        </ext>
      </extLst>
    </cfRule>
  </conditionalFormatting>
  <conditionalFormatting sqref="V5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{0B646B53-A8C6-4952-8593-AE11B664D69E}</x14:id>
        </ext>
      </extLst>
    </cfRule>
  </conditionalFormatting>
  <conditionalFormatting sqref="W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{51FFC7E8-FBD4-440A-945A-E7B12F12FC99}</x14:id>
        </ext>
      </extLst>
    </cfRule>
  </conditionalFormatting>
  <conditionalFormatting sqref="X5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{18FFA2EB-3B2D-4C71-8790-74FAE9DEA11A}</x14:id>
        </ext>
      </extLst>
    </cfRule>
  </conditionalFormatting>
  <conditionalFormatting sqref="Y5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{A45CD3C8-8703-4C29-BDAC-5D356FCE5389}</x14:id>
        </ext>
      </extLst>
    </cfRule>
  </conditionalFormatting>
  <conditionalFormatting sqref="R5:X5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{A531CE36-CD04-4DDA-B5F6-11A34E38FFF8}</x14:id>
        </ext>
      </extLst>
    </cfRule>
  </conditionalFormatting>
  <conditionalFormatting sqref="X5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{501F9AA7-CF2B-4BCD-9734-77F8FF7B7F1F}</x14:id>
        </ext>
      </extLst>
    </cfRule>
  </conditionalFormatting>
  <conditionalFormatting sqref="Z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{BAB614FE-8406-48A7-80CC-0F5C27EE5B00}</x14:id>
        </ext>
      </extLst>
    </cfRule>
  </conditionalFormatting>
  <conditionalFormatting sqref="I5:J5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{0FD3F1B7-210C-4B49-9AC4-B313DE567226}</x14:id>
        </ext>
      </extLst>
    </cfRule>
  </conditionalFormatting>
  <conditionalFormatting sqref="I5:J5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{329B97CE-E297-45EE-ADC2-AFF5B3935C29}</x14:id>
        </ext>
      </extLst>
    </cfRule>
  </conditionalFormatting>
  <conditionalFormatting sqref="H14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{7A6A3E7C-DC97-4634-AF05-F4C1BEB03F54}</x14:id>
        </ext>
      </extLst>
    </cfRule>
    <cfRule type="cellIs" dxfId="1232" priority="79" operator="equal">
      <formula>1</formula>
    </cfRule>
  </conditionalFormatting>
  <conditionalFormatting sqref="D14">
    <cfRule type="containsText" dxfId="1231" priority="77" operator="containsText" text="Buy">
      <formula>NOT(ISERROR(SEARCH("Buy",D14)))</formula>
    </cfRule>
    <cfRule type="containsText" dxfId="1230" priority="78" operator="containsText" text="Sell">
      <formula>NOT(ISERROR(SEARCH("Sell",D14)))</formula>
    </cfRule>
  </conditionalFormatting>
  <conditionalFormatting sqref="E35">
    <cfRule type="containsText" dxfId="1229" priority="47" operator="containsText" text="Buy">
      <formula>NOT(ISERROR(SEARCH("Buy",E35)))</formula>
    </cfRule>
    <cfRule type="containsText" dxfId="1228" priority="48" operator="containsText" text="Sell">
      <formula>NOT(ISERROR(SEARCH("Sell",E35)))</formula>
    </cfRule>
  </conditionalFormatting>
  <conditionalFormatting sqref="E34">
    <cfRule type="containsText" dxfId="1227" priority="45" operator="containsText" text="Buy">
      <formula>NOT(ISERROR(SEARCH("Buy",E34)))</formula>
    </cfRule>
    <cfRule type="containsText" dxfId="1226" priority="46" operator="containsText" text="Sell">
      <formula>NOT(ISERROR(SEARCH("Sell",E34)))</formula>
    </cfRule>
  </conditionalFormatting>
  <conditionalFormatting sqref="E41">
    <cfRule type="containsText" dxfId="1225" priority="39" operator="containsText" text="Buy">
      <formula>NOT(ISERROR(SEARCH("Buy",E41)))</formula>
    </cfRule>
    <cfRule type="containsText" dxfId="1224" priority="40" operator="containsText" text="Sell">
      <formula>NOT(ISERROR(SEARCH("Sell",E41)))</formula>
    </cfRule>
  </conditionalFormatting>
  <conditionalFormatting sqref="E40">
    <cfRule type="containsText" dxfId="1223" priority="37" operator="containsText" text="Buy">
      <formula>NOT(ISERROR(SEARCH("Buy",E40)))</formula>
    </cfRule>
    <cfRule type="containsText" dxfId="1222" priority="38" operator="containsText" text="Sell">
      <formula>NOT(ISERROR(SEARCH("Sell",E40)))</formula>
    </cfRule>
  </conditionalFormatting>
  <conditionalFormatting sqref="E32:E33 E36 E39 E42 E45">
    <cfRule type="containsText" dxfId="1221" priority="51" operator="containsText" text="Buy">
      <formula>NOT(ISERROR(SEARCH("Buy",E32)))</formula>
    </cfRule>
    <cfRule type="containsText" dxfId="1220" priority="52" operator="containsText" text="Sell">
      <formula>NOT(ISERROR(SEARCH("Sell",E32)))</formula>
    </cfRule>
  </conditionalFormatting>
  <conditionalFormatting sqref="E31">
    <cfRule type="containsText" dxfId="1219" priority="49" operator="containsText" text="Buy">
      <formula>NOT(ISERROR(SEARCH("Buy",E31)))</formula>
    </cfRule>
    <cfRule type="containsText" dxfId="1218" priority="50" operator="containsText" text="Sell">
      <formula>NOT(ISERROR(SEARCH("Sell",E31)))</formula>
    </cfRule>
  </conditionalFormatting>
  <conditionalFormatting sqref="E43">
    <cfRule type="containsText" dxfId="1217" priority="33" operator="containsText" text="Buy">
      <formula>NOT(ISERROR(SEARCH("Buy",E43)))</formula>
    </cfRule>
    <cfRule type="containsText" dxfId="1216" priority="34" operator="containsText" text="Sell">
      <formula>NOT(ISERROR(SEARCH("Sell",E43)))</formula>
    </cfRule>
  </conditionalFormatting>
  <conditionalFormatting sqref="E44">
    <cfRule type="containsText" dxfId="1215" priority="35" operator="containsText" text="Buy">
      <formula>NOT(ISERROR(SEARCH("Buy",E44)))</formula>
    </cfRule>
    <cfRule type="containsText" dxfId="1214" priority="36" operator="containsText" text="Sell">
      <formula>NOT(ISERROR(SEARCH("Sell",E44)))</formula>
    </cfRule>
  </conditionalFormatting>
  <conditionalFormatting sqref="E38">
    <cfRule type="containsText" dxfId="1213" priority="43" operator="containsText" text="Buy">
      <formula>NOT(ISERROR(SEARCH("Buy",E38)))</formula>
    </cfRule>
    <cfRule type="containsText" dxfId="1212" priority="44" operator="containsText" text="Sell">
      <formula>NOT(ISERROR(SEARCH("Sell",E38)))</formula>
    </cfRule>
  </conditionalFormatting>
  <conditionalFormatting sqref="E37">
    <cfRule type="containsText" dxfId="1211" priority="41" operator="containsText" text="Buy">
      <formula>NOT(ISERROR(SEARCH("Buy",E37)))</formula>
    </cfRule>
    <cfRule type="containsText" dxfId="1210" priority="42" operator="containsText" text="Sell">
      <formula>NOT(ISERROR(SEARCH("Sell",E37)))</formula>
    </cfRule>
  </conditionalFormatting>
  <conditionalFormatting sqref="E47">
    <cfRule type="containsText" dxfId="1209" priority="31" operator="containsText" text="Buy">
      <formula>NOT(ISERROR(SEARCH("Buy",E47)))</formula>
    </cfRule>
    <cfRule type="containsText" dxfId="1208" priority="32" operator="containsText" text="Sell">
      <formula>NOT(ISERROR(SEARCH("Sell",E47)))</formula>
    </cfRule>
  </conditionalFormatting>
  <conditionalFormatting sqref="E46">
    <cfRule type="containsText" dxfId="1207" priority="29" operator="containsText" text="Buy">
      <formula>NOT(ISERROR(SEARCH("Buy",E46)))</formula>
    </cfRule>
    <cfRule type="containsText" dxfId="1206" priority="30" operator="containsText" text="Sell">
      <formula>NOT(ISERROR(SEARCH("Sell",E46)))</formula>
    </cfRule>
  </conditionalFormatting>
  <conditionalFormatting sqref="E50">
    <cfRule type="containsText" dxfId="1205" priority="27" operator="containsText" text="Buy">
      <formula>NOT(ISERROR(SEARCH("Buy",E50)))</formula>
    </cfRule>
    <cfRule type="containsText" dxfId="1204" priority="28" operator="containsText" text="Sell">
      <formula>NOT(ISERROR(SEARCH("Sell",E50)))</formula>
    </cfRule>
  </conditionalFormatting>
  <conditionalFormatting sqref="E49">
    <cfRule type="containsText" dxfId="1203" priority="25" operator="containsText" text="Buy">
      <formula>NOT(ISERROR(SEARCH("Buy",E49)))</formula>
    </cfRule>
    <cfRule type="containsText" dxfId="1202" priority="26" operator="containsText" text="Sell">
      <formula>NOT(ISERROR(SEARCH("Sell",E49)))</formula>
    </cfRule>
  </conditionalFormatting>
  <conditionalFormatting sqref="Y6">
    <cfRule type="dataBar" priority="4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{ACBDD9FF-9BEB-4B53-96FC-B195DEDC7DEC}</x14:id>
        </ext>
      </extLst>
    </cfRule>
  </conditionalFormatting>
  <conditionalFormatting sqref="R6">
    <cfRule type="dataBar" priority="4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{AE750B92-BF23-454C-8E5B-8768E99E360A}</x14:id>
        </ext>
      </extLst>
    </cfRule>
  </conditionalFormatting>
  <conditionalFormatting sqref="S6:W6">
    <cfRule type="dataBar" priority="4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{27B529C0-EC80-4086-89DE-A5FF42E5FC80}</x14:id>
        </ext>
      </extLst>
    </cfRule>
  </conditionalFormatting>
  <conditionalFormatting sqref="R6:W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{42D098A9-8815-408C-977C-8CA451211358}</x14:id>
        </ext>
      </extLst>
    </cfRule>
  </conditionalFormatting>
  <conditionalFormatting sqref="X6">
    <cfRule type="dataBar" priority="4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{C69336FF-4B97-4639-ACD5-BFBFA2F3879E}</x14:id>
        </ext>
      </extLst>
    </cfRule>
  </conditionalFormatting>
  <conditionalFormatting sqref="S6">
    <cfRule type="dataBar" priority="4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{45A143B0-90C3-4D89-9ABF-88FD8D43C60F}</x14:id>
        </ext>
      </extLst>
    </cfRule>
  </conditionalFormatting>
  <conditionalFormatting sqref="T6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{6F044AE0-C0FA-440A-8BA2-48539364E469}</x14:id>
        </ext>
      </extLst>
    </cfRule>
  </conditionalFormatting>
  <conditionalFormatting sqref="U6">
    <cfRule type="dataBar" priority="4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{9E728F46-6A2D-4657-966A-3FD8AB81C693}</x14:id>
        </ext>
      </extLst>
    </cfRule>
  </conditionalFormatting>
  <conditionalFormatting sqref="V6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{CF14810F-CAA5-4442-A2BC-668B50890A3F}</x14:id>
        </ext>
      </extLst>
    </cfRule>
  </conditionalFormatting>
  <conditionalFormatting sqref="W6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{16971015-5479-4458-A4F2-6B77804129C4}</x14:id>
        </ext>
      </extLst>
    </cfRule>
  </conditionalFormatting>
  <conditionalFormatting sqref="R6:X6">
    <cfRule type="dataBar" priority="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{A591C258-6EF1-421A-AEAF-D1AAE4EA6C0E}</x14:id>
        </ext>
      </extLst>
    </cfRule>
  </conditionalFormatting>
  <conditionalFormatting sqref="I6:J6">
    <cfRule type="dataBar" priority="4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{55B1439A-6268-4388-95A9-5967EF6ADEB4}</x14:id>
        </ext>
      </extLst>
    </cfRule>
  </conditionalFormatting>
  <conditionalFormatting sqref="I6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{DDC50ABA-58C5-4DCF-A91A-ED991C344017}</x14:id>
        </ext>
      </extLst>
    </cfRule>
  </conditionalFormatting>
  <conditionalFormatting sqref="J6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{028DE822-EA20-44D1-8F01-17E0AA45CE6F}</x14:id>
        </ext>
      </extLst>
    </cfRule>
  </conditionalFormatting>
  <conditionalFormatting sqref="I4:J6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{EE48E746-DFC8-4499-BE4D-A6DB94BE955E}</x14:id>
        </ext>
      </extLst>
    </cfRule>
  </conditionalFormatting>
  <conditionalFormatting sqref="H15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{C8BD0706-EE99-4282-BE19-B5317B995003}</x14:id>
        </ext>
      </extLst>
    </cfRule>
    <cfRule type="cellIs" dxfId="1201" priority="24" operator="equal">
      <formula>1</formula>
    </cfRule>
  </conditionalFormatting>
  <conditionalFormatting sqref="D15">
    <cfRule type="containsText" dxfId="1200" priority="22" operator="containsText" text="Buy">
      <formula>NOT(ISERROR(SEARCH("Buy",D15)))</formula>
    </cfRule>
    <cfRule type="containsText" dxfId="1199" priority="23" operator="containsText" text="Sell">
      <formula>NOT(ISERROR(SEARCH("Sell",D15)))</formula>
    </cfRule>
  </conditionalFormatting>
  <conditionalFormatting sqref="H1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{E236DEC2-7C1D-40B5-8DC2-A1C410D066A2}</x14:id>
        </ext>
      </extLst>
    </cfRule>
    <cfRule type="cellIs" dxfId="1198" priority="20" operator="equal">
      <formula>1</formula>
    </cfRule>
  </conditionalFormatting>
  <conditionalFormatting sqref="D16">
    <cfRule type="containsText" dxfId="1197" priority="18" operator="containsText" text="Buy">
      <formula>NOT(ISERROR(SEARCH("Buy",D16)))</formula>
    </cfRule>
    <cfRule type="containsText" dxfId="1196" priority="19" operator="containsText" text="Sell">
      <formula>NOT(ISERROR(SEARCH("Sell",D16)))</formula>
    </cfRule>
  </conditionalFormatting>
  <conditionalFormatting sqref="H1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{096E31DF-B8F9-4FEB-93C2-B9897084EA8A}</x14:id>
        </ext>
      </extLst>
    </cfRule>
    <cfRule type="cellIs" dxfId="1195" priority="16" operator="equal">
      <formula>1</formula>
    </cfRule>
  </conditionalFormatting>
  <conditionalFormatting sqref="D17">
    <cfRule type="containsText" dxfId="1194" priority="14" operator="containsText" text="Buy">
      <formula>NOT(ISERROR(SEARCH("Buy",D17)))</formula>
    </cfRule>
    <cfRule type="containsText" dxfId="1193" priority="15" operator="containsText" text="Sell">
      <formula>NOT(ISERROR(SEARCH("Sell",D17)))</formula>
    </cfRule>
  </conditionalFormatting>
  <conditionalFormatting sqref="R4">
    <cfRule type="dataBar" priority="177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{5C77F85F-91BC-42E3-B491-2F091EAAF8A4}</x14:id>
        </ext>
      </extLst>
    </cfRule>
  </conditionalFormatting>
  <conditionalFormatting sqref="S4:W4">
    <cfRule type="dataBar" priority="177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{6369F2BC-323A-4EF8-8E56-B90D6847343D}</x14:id>
        </ext>
      </extLst>
    </cfRule>
  </conditionalFormatting>
  <conditionalFormatting sqref="R4:W4">
    <cfRule type="dataBar" priority="177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{59AF3A42-69D7-46E6-8B77-44F82B56B907}</x14:id>
        </ext>
      </extLst>
    </cfRule>
  </conditionalFormatting>
  <conditionalFormatting sqref="X4">
    <cfRule type="dataBar" priority="177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{1FCC7A2A-C359-4682-9F59-CE98C057E9A6}</x14:id>
        </ext>
      </extLst>
    </cfRule>
  </conditionalFormatting>
  <conditionalFormatting sqref="I4:J4">
    <cfRule type="dataBar" priority="177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{0AE4FB16-4AC1-4781-ACA6-30937204F750}</x14:id>
        </ext>
      </extLst>
    </cfRule>
  </conditionalFormatting>
  <conditionalFormatting sqref="I4">
    <cfRule type="dataBar" priority="177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{BA5E0E1A-A4F4-4E25-A569-F3998494C16A}</x14:id>
        </ext>
      </extLst>
    </cfRule>
  </conditionalFormatting>
  <conditionalFormatting sqref="J4">
    <cfRule type="dataBar" priority="177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{B7C3EBB5-6CD5-4E3D-8CBD-663FE26473F4}</x14:id>
        </ext>
      </extLst>
    </cfRule>
  </conditionalFormatting>
  <conditionalFormatting sqref="S4">
    <cfRule type="dataBar" priority="17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{F998815F-4C64-4B30-9FE0-7983D9F24C20}</x14:id>
        </ext>
      </extLst>
    </cfRule>
  </conditionalFormatting>
  <conditionalFormatting sqref="T4">
    <cfRule type="dataBar" priority="17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{E19DAB3F-CCFD-4047-8808-EAB2FCC682E1}</x14:id>
        </ext>
      </extLst>
    </cfRule>
  </conditionalFormatting>
  <conditionalFormatting sqref="U4">
    <cfRule type="dataBar" priority="177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{FC3E7A31-F7CC-4AF1-983F-8FF3BBB24221}</x14:id>
        </ext>
      </extLst>
    </cfRule>
  </conditionalFormatting>
  <conditionalFormatting sqref="V4">
    <cfRule type="dataBar" priority="177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{420DAA69-4D3C-4064-A350-27B694DEA7CE}</x14:id>
        </ext>
      </extLst>
    </cfRule>
  </conditionalFormatting>
  <conditionalFormatting sqref="W4">
    <cfRule type="dataBar" priority="177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{4992B5E3-1151-4656-94EA-96E12F4AC1B6}</x14:id>
        </ext>
      </extLst>
    </cfRule>
  </conditionalFormatting>
  <conditionalFormatting sqref="Y4">
    <cfRule type="dataBar" priority="177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{94A11E83-A44F-48AC-ACF0-070F65AD641A}</x14:id>
        </ext>
      </extLst>
    </cfRule>
  </conditionalFormatting>
  <conditionalFormatting sqref="R4:X4">
    <cfRule type="dataBar" priority="177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{459C2A65-49F2-454F-A924-08D89D4165B8}</x14:id>
        </ext>
      </extLst>
    </cfRule>
  </conditionalFormatting>
  <conditionalFormatting sqref="Z4">
    <cfRule type="dataBar" priority="177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{F689C9BF-9CCE-42DB-8002-766CCE8CF509}</x14:id>
        </ext>
      </extLst>
    </cfRule>
  </conditionalFormatting>
  <conditionalFormatting sqref="I4:J4">
    <cfRule type="dataBar" priority="17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{0EF71FF7-0241-4A1B-8505-2F0374B4EC83}</x14:id>
        </ext>
      </extLst>
    </cfRule>
  </conditionalFormatting>
  <conditionalFormatting sqref="H1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{A644AF65-4E44-4C7E-99AC-4D9434F8107B}</x14:id>
        </ext>
      </extLst>
    </cfRule>
    <cfRule type="cellIs" dxfId="1192" priority="12" operator="equal">
      <formula>1</formula>
    </cfRule>
  </conditionalFormatting>
  <conditionalFormatting sqref="D19">
    <cfRule type="containsText" dxfId="1191" priority="10" operator="containsText" text="Buy">
      <formula>NOT(ISERROR(SEARCH("Buy",D19)))</formula>
    </cfRule>
    <cfRule type="containsText" dxfId="1190" priority="11" operator="containsText" text="Sell">
      <formula>NOT(ISERROR(SEARCH("Sell",D19)))</formula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{C6A7C759-8FC8-4456-ACB4-3759C2ABB663}</x14:id>
        </ext>
      </extLst>
    </cfRule>
    <cfRule type="cellIs" dxfId="1189" priority="8" operator="equal">
      <formula>1</formula>
    </cfRule>
  </conditionalFormatting>
  <conditionalFormatting sqref="D20">
    <cfRule type="containsText" dxfId="1188" priority="6" operator="containsText" text="Buy">
      <formula>NOT(ISERROR(SEARCH("Buy",D20)))</formula>
    </cfRule>
    <cfRule type="containsText" dxfId="1187" priority="7" operator="containsText" text="Sell">
      <formula>NOT(ISERROR(SEARCH("Sell",D20)))</formula>
    </cfRule>
  </conditionalFormatting>
  <conditionalFormatting sqref="H1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{4ED6D492-6FB3-4D8D-B130-FA53B606A5A9}</x14:id>
        </ext>
      </extLst>
    </cfRule>
    <cfRule type="cellIs" dxfId="1186" priority="4" operator="equal">
      <formula>1</formula>
    </cfRule>
  </conditionalFormatting>
  <conditionalFormatting sqref="D18">
    <cfRule type="containsText" dxfId="1185" priority="2" operator="containsText" text="Buy">
      <formula>NOT(ISERROR(SEARCH("Buy",D18)))</formula>
    </cfRule>
    <cfRule type="containsText" dxfId="1184" priority="3" operator="containsText" text="Sell">
      <formula>NOT(ISERROR(SEARCH("Sell",D18)))</formula>
    </cfRule>
  </conditionalFormatting>
  <conditionalFormatting sqref="I4:J6">
    <cfRule type="dataBar" priority="18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{D7F9B3B1-4EAD-4F33-8897-C4AF33268F40}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7760-505A-4A72-9278-BDB2A8204A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2205E4A-0131-4E3D-A04E-291A73CA7E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604DA293-1A18-42AD-9FA6-F53DAC320E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DF9FEAB5-7286-4220-83BE-D34F765C93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08FA5772-4CBB-42FD-A120-8F9BE9E22D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92D59656-175D-4473-B533-1861A9307D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R5:W5</xm:sqref>
        </x14:conditionalFormatting>
        <x14:conditionalFormatting xmlns:xm="http://schemas.microsoft.com/office/excel/2006/main">
          <x14:cfRule type="dataBar" id="{48464AA4-1964-4CC4-84EE-1B450B6C3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EA03A64D-2D25-49D9-88BB-3ED985D77E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92840B4-2FF6-46CC-BF31-FB0098C7F9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4716A8CE-0483-4391-9CA0-BFD9CDE4E7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3A221F15-4D7E-4DAC-AB3E-8F8F949E4A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8FCAFC8F-6483-49BE-9ED2-3DC722B40B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85365D8B-8BB3-418D-89D3-747932494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0B646B53-A8C6-4952-8593-AE11B664D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1FFC7E8-FBD4-440A-945A-E7B12F12FC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18FFA2EB-3B2D-4C71-8790-74FAE9DEA1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45CD3C8-8703-4C29-BDAC-5D356FCE53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A531CE36-CD04-4DDA-B5F6-11A34E38FF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R5:X5</xm:sqref>
        </x14:conditionalFormatting>
        <x14:conditionalFormatting xmlns:xm="http://schemas.microsoft.com/office/excel/2006/main">
          <x14:cfRule type="dataBar" id="{501F9AA7-CF2B-4BCD-9734-77F8FF7B7F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BAB614FE-8406-48A7-80CC-0F5C27EE5B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0FD3F1B7-210C-4B49-9AC4-B313DE567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329B97CE-E297-45EE-ADC2-AFF5B3935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I5:J5</xm:sqref>
        </x14:conditionalFormatting>
        <x14:conditionalFormatting xmlns:xm="http://schemas.microsoft.com/office/excel/2006/main">
          <x14:cfRule type="dataBar" id="{7A6A3E7C-DC97-4634-AF05-F4C1BEB03F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ACBDD9FF-9BEB-4B53-96FC-B195DEDC7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E750B92-BF23-454C-8E5B-8768E99E36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</xm:sqref>
        </x14:conditionalFormatting>
        <x14:conditionalFormatting xmlns:xm="http://schemas.microsoft.com/office/excel/2006/main">
          <x14:cfRule type="dataBar" id="{27B529C0-EC80-4086-89DE-A5FF42E5F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42D098A9-8815-408C-977C-8CA4512113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R6:W6</xm:sqref>
        </x14:conditionalFormatting>
        <x14:conditionalFormatting xmlns:xm="http://schemas.microsoft.com/office/excel/2006/main">
          <x14:cfRule type="dataBar" id="{C69336FF-4B97-4639-ACD5-BFBFA2F387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45A143B0-90C3-4D89-9ABF-88FD8D43C6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6F044AE0-C0FA-440A-8BA2-48539364E4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E728F46-6A2D-4657-966A-3FD8AB81C6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CF14810F-CAA5-4442-A2BC-668B50890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16971015-5479-4458-A4F2-6B77804129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A591C258-6EF1-421A-AEAF-D1AAE4EA6C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R6:X6</xm:sqref>
        </x14:conditionalFormatting>
        <x14:conditionalFormatting xmlns:xm="http://schemas.microsoft.com/office/excel/2006/main">
          <x14:cfRule type="dataBar" id="{55B1439A-6268-4388-95A9-5967EF6ADE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I6:J6</xm:sqref>
        </x14:conditionalFormatting>
        <x14:conditionalFormatting xmlns:xm="http://schemas.microsoft.com/office/excel/2006/main">
          <x14:cfRule type="dataBar" id="{DDC50ABA-58C5-4DCF-A91A-ED991C344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028DE822-EA20-44D1-8F01-17E0AA45CE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EE48E746-DFC8-4499-BE4D-A6DB94BE95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  <x14:conditionalFormatting xmlns:xm="http://schemas.microsoft.com/office/excel/2006/main">
          <x14:cfRule type="dataBar" id="{C8BD0706-EE99-4282-BE19-B5317B9950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E236DEC2-7C1D-40B5-8DC2-A1C410D066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096E31DF-B8F9-4FEB-93C2-B9897084EA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5C77F85F-91BC-42E3-B491-2F091EAAF8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6369F2BC-323A-4EF8-8E56-B90D684734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59AF3A42-69D7-46E6-8B77-44F82B56B90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R4:W4</xm:sqref>
        </x14:conditionalFormatting>
        <x14:conditionalFormatting xmlns:xm="http://schemas.microsoft.com/office/excel/2006/main">
          <x14:cfRule type="dataBar" id="{1FCC7A2A-C359-4682-9F59-CE98C057E9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0AE4FB16-4AC1-4781-ACA6-30937204F7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BA5E0E1A-A4F4-4E25-A569-F3998494C1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7C3EBB5-6CD5-4E3D-8CBD-663FE26473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F998815F-4C64-4B30-9FE0-7983D9F24C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E19DAB3F-CCFD-4047-8808-EAB2FCC682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FC3E7A31-F7CC-4AF1-983F-8FF3BBB242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420DAA69-4D3C-4064-A350-27B694DEA7C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4992B5E3-1151-4656-94EA-96E12F4AC1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94A11E83-A44F-48AC-ACF0-070F65AD64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59C2A65-49F2-454F-A924-08D89D4165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R4:X4</xm:sqref>
        </x14:conditionalFormatting>
        <x14:conditionalFormatting xmlns:xm="http://schemas.microsoft.com/office/excel/2006/main">
          <x14:cfRule type="dataBar" id="{F689C9BF-9CCE-42DB-8002-766CCE8CF5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0EF71FF7-0241-4A1B-8505-2F0374B4E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I4:J4</xm:sqref>
        </x14:conditionalFormatting>
        <x14:conditionalFormatting xmlns:xm="http://schemas.microsoft.com/office/excel/2006/main">
          <x14:cfRule type="dataBar" id="{A644AF65-4E44-4C7E-99AC-4D9434F810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C6A7C759-8FC8-4456-ACB4-3759C2ABB6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ED6D492-6FB3-4D8D-B130-FA53B606A5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D7F9B3B1-4EAD-4F33-8897-C4AF33268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W353"/>
  <sheetViews>
    <sheetView workbookViewId="0">
      <selection activeCell="H10" sqref="H10"/>
    </sheetView>
  </sheetViews>
  <sheetFormatPr defaultRowHeight="12.75" x14ac:dyDescent="0.2"/>
  <cols>
    <col min="1" max="1" width="3.5703125" style="32" customWidth="1"/>
    <col min="2" max="2" width="22.42578125" style="32" customWidth="1"/>
    <col min="3" max="3" width="20.42578125" style="32" customWidth="1"/>
    <col min="4" max="4" width="10.42578125" style="32" customWidth="1"/>
    <col min="5" max="5" width="12" style="49" bestFit="1" customWidth="1"/>
    <col min="6" max="6" width="12.28515625" style="49" customWidth="1"/>
    <col min="7" max="7" width="10.5703125" style="32" customWidth="1"/>
    <col min="8" max="8" width="11.42578125" style="32" customWidth="1"/>
    <col min="9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2" style="32" customWidth="1"/>
    <col min="14" max="14" width="12.28515625" style="32" customWidth="1"/>
    <col min="15" max="15" width="11.42578125" style="32" customWidth="1"/>
    <col min="16" max="16" width="11.28515625" style="32" customWidth="1"/>
    <col min="17" max="17" width="12.5703125" style="32" customWidth="1"/>
    <col min="18" max="18" width="11.28515625" style="32" customWidth="1"/>
    <col min="19" max="19" width="12.85546875" style="32" customWidth="1"/>
    <col min="20" max="20" width="11.140625" style="32" customWidth="1"/>
    <col min="21" max="21" width="11.28515625" style="32" customWidth="1"/>
    <col min="22" max="22" width="9.85546875" style="32" customWidth="1"/>
    <col min="23" max="23" width="11" style="32" customWidth="1"/>
    <col min="24" max="16384" width="9.140625" style="32"/>
  </cols>
  <sheetData>
    <row r="1" spans="1:23" x14ac:dyDescent="0.2"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3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3" ht="73.5" customHeight="1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792</v>
      </c>
      <c r="I3" s="50" t="s">
        <v>793</v>
      </c>
      <c r="J3" s="50" t="s">
        <v>97</v>
      </c>
      <c r="K3" s="50" t="s">
        <v>137</v>
      </c>
      <c r="L3" s="50" t="s">
        <v>138</v>
      </c>
      <c r="M3" s="50" t="s">
        <v>117</v>
      </c>
      <c r="N3" s="50" t="s">
        <v>127</v>
      </c>
      <c r="O3" s="50" t="s">
        <v>116</v>
      </c>
      <c r="P3" s="50" t="s">
        <v>114</v>
      </c>
      <c r="Q3" s="50" t="s">
        <v>113</v>
      </c>
      <c r="R3" s="50" t="s">
        <v>112</v>
      </c>
      <c r="S3" s="50" t="s">
        <v>746</v>
      </c>
      <c r="T3" s="83" t="s">
        <v>128</v>
      </c>
      <c r="U3" s="83" t="s">
        <v>129</v>
      </c>
      <c r="V3" s="83" t="s">
        <v>778</v>
      </c>
      <c r="W3" s="83" t="s">
        <v>779</v>
      </c>
    </row>
    <row r="4" spans="1:23" s="429" customFormat="1" x14ac:dyDescent="0.2">
      <c r="A4" s="429" t="s">
        <v>673</v>
      </c>
      <c r="B4" s="116" t="s">
        <v>333</v>
      </c>
      <c r="C4" s="118" t="s">
        <v>332</v>
      </c>
      <c r="D4" s="119" t="e">
        <f t="shared" ref="D4:D14" ca="1" si="0">P4/$P$15</f>
        <v>#NAME?</v>
      </c>
      <c r="E4" s="120">
        <f>$F$58</f>
        <v>12000</v>
      </c>
      <c r="F4" s="181">
        <f>$H$58</f>
        <v>198.9</v>
      </c>
      <c r="G4" s="181" t="e">
        <f ca="1">_xll.BDP($C4,"PX_LAST")</f>
        <v>#NAME?</v>
      </c>
      <c r="H4" s="613" t="e">
        <f ca="1">_xll.BDP($C4,"BEST_TARGET_PRICE")</f>
        <v>#NAME?</v>
      </c>
      <c r="I4" s="614" t="e">
        <f ca="1">H4/G4-1</f>
        <v>#NAME?</v>
      </c>
      <c r="J4" s="122" t="e">
        <f ca="1">_xll.BDP($C4,"CRNCY")</f>
        <v>#NAME?</v>
      </c>
      <c r="K4" s="119" t="e">
        <f ca="1">G4/F4-1</f>
        <v>#NAME?</v>
      </c>
      <c r="L4" s="119" t="e">
        <f ca="1">P4/N4-1</f>
        <v>#NAME?</v>
      </c>
      <c r="M4" s="120">
        <f>E4*F4</f>
        <v>2386800</v>
      </c>
      <c r="N4" s="120" t="e">
        <f ca="1">$J$58</f>
        <v>#NAME?</v>
      </c>
      <c r="O4" s="120" t="e">
        <f ca="1">E4*G4</f>
        <v>#NAME?</v>
      </c>
      <c r="P4" s="203" t="e">
        <f ca="1">O4/$I$1</f>
        <v>#NAME?</v>
      </c>
      <c r="Q4" s="123" t="e">
        <f ca="1">O4-M4</f>
        <v>#NAME?</v>
      </c>
      <c r="R4" s="123" t="e">
        <f ca="1">P4-N4</f>
        <v>#NAME?</v>
      </c>
      <c r="S4" s="123" t="e">
        <f ca="1">_xll.BDP($C4,"EQY_DVD_YLD_EST")</f>
        <v>#NAME?</v>
      </c>
      <c r="T4" s="125" t="e">
        <f ca="1">_xll.BDP($C4,"CHG_PCT_YTD")</f>
        <v>#NAME?</v>
      </c>
      <c r="U4" s="125" t="e">
        <f ca="1">_xll.BDP($C4,"CHG_PCT_1YR")</f>
        <v>#NAME?</v>
      </c>
      <c r="V4" s="125" t="e">
        <f ca="1">_xll.BDP($C4,"EXPECTED_REPORT_DT")</f>
        <v>#NAME?</v>
      </c>
      <c r="W4" s="125" t="e">
        <f ca="1">_xll.BDP($C4,"BDVD_NEXT_EST_DECL_DT")</f>
        <v>#NAME?</v>
      </c>
    </row>
    <row r="5" spans="1:23" s="429" customFormat="1" x14ac:dyDescent="0.2">
      <c r="A5" s="429" t="s">
        <v>673</v>
      </c>
      <c r="B5" s="116" t="s">
        <v>96</v>
      </c>
      <c r="C5" s="118" t="s">
        <v>184</v>
      </c>
      <c r="D5" s="119" t="e">
        <f t="shared" ca="1" si="0"/>
        <v>#NAME?</v>
      </c>
      <c r="E5" s="120">
        <f>$F$52</f>
        <v>3800</v>
      </c>
      <c r="F5" s="181">
        <f>$H$52</f>
        <v>700</v>
      </c>
      <c r="G5" s="181" t="e">
        <f ca="1">_xll.BDP($C5,"PX_LAST")</f>
        <v>#NAME?</v>
      </c>
      <c r="H5" s="613" t="e">
        <f ca="1">_xll.BDP($C5,"BEST_TARGET_PRICE")</f>
        <v>#NAME?</v>
      </c>
      <c r="I5" s="614" t="e">
        <f ca="1">H5/G5-1</f>
        <v>#NAME?</v>
      </c>
      <c r="J5" s="122" t="e">
        <f ca="1">_xll.BDP($C5,"CRNCY")</f>
        <v>#NAME?</v>
      </c>
      <c r="K5" s="119" t="e">
        <f ca="1">G5/F5-1</f>
        <v>#NAME?</v>
      </c>
      <c r="L5" s="119" t="e">
        <f ca="1">P5/N5-1</f>
        <v>#NAME?</v>
      </c>
      <c r="M5" s="120">
        <f>E5*F5</f>
        <v>2660000</v>
      </c>
      <c r="N5" s="120" t="e">
        <f ca="1">$J$52</f>
        <v>#NAME?</v>
      </c>
      <c r="O5" s="120" t="e">
        <f ca="1">E5*G5</f>
        <v>#NAME?</v>
      </c>
      <c r="P5" s="203" t="e">
        <f ca="1">O5/$I$1</f>
        <v>#NAME?</v>
      </c>
      <c r="Q5" s="123" t="e">
        <f ca="1">O5-M5</f>
        <v>#NAME?</v>
      </c>
      <c r="R5" s="123" t="e">
        <f ca="1">P5-N5</f>
        <v>#NAME?</v>
      </c>
      <c r="S5" s="123" t="e">
        <f ca="1">_xll.BDP($C5,"EQY_DVD_YLD_EST")</f>
        <v>#NAME?</v>
      </c>
      <c r="T5" s="125" t="e">
        <f ca="1">_xll.BDP($C5,"CHG_PCT_YTD")</f>
        <v>#NAME?</v>
      </c>
      <c r="U5" s="125" t="e">
        <f ca="1">_xll.BDP($C5,"CHG_PCT_1YR")</f>
        <v>#NAME?</v>
      </c>
      <c r="V5" s="125" t="e">
        <f ca="1">_xll.BDP($C5,"EXPECTED_REPORT_DT")</f>
        <v>#NAME?</v>
      </c>
      <c r="W5" s="125" t="e">
        <f ca="1">_xll.BDP($C5,"BDVD_NEXT_EST_DECL_DT")</f>
        <v>#NAME?</v>
      </c>
    </row>
    <row r="6" spans="1:23" s="440" customFormat="1" x14ac:dyDescent="0.2">
      <c r="A6" s="493" t="s">
        <v>673</v>
      </c>
      <c r="B6" s="441" t="e">
        <f ca="1">_xll.BDP(C6,"SECURITY_NAME")</f>
        <v>#NAME?</v>
      </c>
      <c r="C6" s="440" t="str">
        <f>$C$30</f>
        <v>XS0555493203 Corp</v>
      </c>
      <c r="D6" s="442" t="e">
        <f t="shared" ca="1" si="0"/>
        <v>#NAME?</v>
      </c>
      <c r="E6" s="443">
        <f>$F$31</f>
        <v>230000</v>
      </c>
      <c r="F6" s="501">
        <f>$H$31</f>
        <v>106.5</v>
      </c>
      <c r="G6" s="444" t="e">
        <f ca="1">_xll.BDP(C6,"PX LAST")</f>
        <v>#NAME?</v>
      </c>
      <c r="J6" s="445" t="e">
        <f ca="1">_xll.BDP($C6,"CRNCY")</f>
        <v>#NAME?</v>
      </c>
      <c r="K6" s="442" t="e">
        <f t="shared" ref="K6:K12" ca="1" si="1">O6/M6-1</f>
        <v>#NAME?</v>
      </c>
      <c r="L6" s="442" t="e">
        <f t="shared" ref="L6:L13" ca="1" si="2">G6/F6-1</f>
        <v>#NAME?</v>
      </c>
      <c r="M6" s="443" t="e">
        <f ca="1">$K$31</f>
        <v>#NAME?</v>
      </c>
      <c r="N6" s="443">
        <f t="shared" ref="N6:N13" si="3">E6*F6/100</f>
        <v>244950</v>
      </c>
      <c r="O6" s="443" t="e">
        <f t="shared" ref="O6:O13" ca="1" si="4">E6*G6/100*$I$1</f>
        <v>#NAME?</v>
      </c>
      <c r="P6" s="443" t="e">
        <f t="shared" ref="P6:P13" ca="1" si="5">E6*G6/100</f>
        <v>#NAME?</v>
      </c>
      <c r="Q6" s="446" t="e">
        <f t="shared" ref="Q6:R12" ca="1" si="6">O6-M6</f>
        <v>#NAME?</v>
      </c>
      <c r="R6" s="446" t="e">
        <f t="shared" ca="1" si="6"/>
        <v>#NAME?</v>
      </c>
      <c r="S6" s="446" t="e">
        <f ca="1">_xll.BDP(C6,"YLD_YTM_MID")</f>
        <v>#NAME?</v>
      </c>
      <c r="T6" s="448" t="e">
        <f ca="1">_xll.BDP($C6,"CHG_PCT_YTD")</f>
        <v>#NAME?</v>
      </c>
      <c r="U6" s="448" t="e">
        <f ca="1">_xll.BDP($C6,"CHG_PCT_1YR")</f>
        <v>#NAME?</v>
      </c>
      <c r="V6" s="448"/>
    </row>
    <row r="7" spans="1:23" s="440" customFormat="1" x14ac:dyDescent="0.2">
      <c r="A7" s="493" t="s">
        <v>673</v>
      </c>
      <c r="B7" s="441" t="e">
        <f ca="1">_xll.BDP(C7,"SECURITY_NAME")</f>
        <v>#NAME?</v>
      </c>
      <c r="C7" s="440" t="str">
        <f>$C$33</f>
        <v>XS0918604496 Corp</v>
      </c>
      <c r="D7" s="442" t="e">
        <f t="shared" ca="1" si="0"/>
        <v>#NAME?</v>
      </c>
      <c r="E7" s="443">
        <f>$F$34</f>
        <v>300000</v>
      </c>
      <c r="F7" s="501">
        <f>$H$34</f>
        <v>91.75</v>
      </c>
      <c r="G7" s="444" t="e">
        <f ca="1">_xll.BDP(C7,"PX LAST")</f>
        <v>#NAME?</v>
      </c>
      <c r="J7" s="445" t="e">
        <f ca="1">_xll.BDP($C7,"CRNCY")</f>
        <v>#NAME?</v>
      </c>
      <c r="K7" s="442" t="e">
        <f t="shared" ca="1" si="1"/>
        <v>#NAME?</v>
      </c>
      <c r="L7" s="442" t="e">
        <f t="shared" ca="1" si="2"/>
        <v>#NAME?</v>
      </c>
      <c r="M7" s="443" t="e">
        <f ca="1">$K$34</f>
        <v>#NAME?</v>
      </c>
      <c r="N7" s="443">
        <f t="shared" si="3"/>
        <v>275250</v>
      </c>
      <c r="O7" s="443" t="e">
        <f t="shared" ca="1" si="4"/>
        <v>#NAME?</v>
      </c>
      <c r="P7" s="443" t="e">
        <f t="shared" ca="1" si="5"/>
        <v>#NAME?</v>
      </c>
      <c r="Q7" s="446" t="e">
        <f t="shared" ca="1" si="6"/>
        <v>#NAME?</v>
      </c>
      <c r="R7" s="446" t="e">
        <f t="shared" ca="1" si="6"/>
        <v>#NAME?</v>
      </c>
      <c r="S7" s="446" t="e">
        <f ca="1">_xll.BDP(C7,"YLD_YTM_MID")</f>
        <v>#NAME?</v>
      </c>
      <c r="T7" s="448" t="e">
        <f ca="1">_xll.BDP($C7,"CHG_PCT_YTD")</f>
        <v>#NAME?</v>
      </c>
      <c r="U7" s="448" t="e">
        <f ca="1">_xll.BDP($C7,"CHG_PCT_1YR")</f>
        <v>#NAME?</v>
      </c>
      <c r="V7" s="448"/>
    </row>
    <row r="8" spans="1:23" s="440" customFormat="1" x14ac:dyDescent="0.2">
      <c r="A8" s="493" t="s">
        <v>673</v>
      </c>
      <c r="B8" s="441" t="e">
        <f ca="1">_xll.BDP(C8,"SECURITY_NAME")</f>
        <v>#NAME?</v>
      </c>
      <c r="C8" s="483" t="s">
        <v>163</v>
      </c>
      <c r="D8" s="442" t="e">
        <f t="shared" ca="1" si="0"/>
        <v>#NAME?</v>
      </c>
      <c r="E8" s="443">
        <f>$F$61</f>
        <v>1303000</v>
      </c>
      <c r="F8" s="501">
        <f>$H$61</f>
        <v>100.35000000000001</v>
      </c>
      <c r="G8" s="444" t="e">
        <f ca="1">_xll.BDP(C8,"PX LAST")</f>
        <v>#NAME?</v>
      </c>
      <c r="J8" s="445" t="e">
        <f ca="1">_xll.BDP($C8,"CRNCY")</f>
        <v>#NAME?</v>
      </c>
      <c r="K8" s="442" t="e">
        <f ca="1">O8/M8-1</f>
        <v>#NAME?</v>
      </c>
      <c r="L8" s="442" t="e">
        <f t="shared" ca="1" si="2"/>
        <v>#NAME?</v>
      </c>
      <c r="M8" s="443" t="e">
        <f ca="1">$K$61</f>
        <v>#NAME?</v>
      </c>
      <c r="N8" s="443">
        <f t="shared" si="3"/>
        <v>1307560.5000000002</v>
      </c>
      <c r="O8" s="443" t="e">
        <f t="shared" ca="1" si="4"/>
        <v>#NAME?</v>
      </c>
      <c r="P8" s="443" t="e">
        <f t="shared" ca="1" si="5"/>
        <v>#NAME?</v>
      </c>
      <c r="Q8" s="446" t="e">
        <f ca="1">O8-M8</f>
        <v>#NAME?</v>
      </c>
      <c r="R8" s="446" t="e">
        <f ca="1">P8-N8</f>
        <v>#NAME?</v>
      </c>
      <c r="S8" s="446" t="e">
        <f ca="1">_xll.BDP(C8,"YLD_YTM_MID")</f>
        <v>#NAME?</v>
      </c>
      <c r="T8" s="448" t="e">
        <f ca="1">_xll.BDP($C8,"CHG_PCT_YTD")</f>
        <v>#NAME?</v>
      </c>
      <c r="U8" s="448" t="e">
        <f ca="1">_xll.BDP($C8,"CHG_PCT_1YR")</f>
        <v>#NAME?</v>
      </c>
      <c r="V8" s="448"/>
    </row>
    <row r="9" spans="1:23" s="440" customFormat="1" x14ac:dyDescent="0.2">
      <c r="A9" s="493" t="s">
        <v>673</v>
      </c>
      <c r="B9" s="441" t="e">
        <f ca="1">_xll.BDP(C9,"SECURITY_NAME")</f>
        <v>#NAME?</v>
      </c>
      <c r="C9" s="440" t="str">
        <f>$C$39</f>
        <v>XS0918297382 Corp</v>
      </c>
      <c r="D9" s="442" t="e">
        <f t="shared" ca="1" si="0"/>
        <v>#NAME?</v>
      </c>
      <c r="E9" s="443">
        <f>$F$40</f>
        <v>225000</v>
      </c>
      <c r="F9" s="501">
        <f>$H$40</f>
        <v>96.179999999999993</v>
      </c>
      <c r="G9" s="444" t="e">
        <f ca="1">_xll.BDP(C9,"PX LAST")</f>
        <v>#NAME?</v>
      </c>
      <c r="J9" s="445" t="e">
        <f ca="1">_xll.BDP($C9,"CRNCY")</f>
        <v>#NAME?</v>
      </c>
      <c r="K9" s="442" t="e">
        <f t="shared" ca="1" si="1"/>
        <v>#NAME?</v>
      </c>
      <c r="L9" s="442" t="e">
        <f t="shared" ca="1" si="2"/>
        <v>#NAME?</v>
      </c>
      <c r="M9" s="443" t="e">
        <f ca="1">$K$40</f>
        <v>#NAME?</v>
      </c>
      <c r="N9" s="443">
        <f t="shared" si="3"/>
        <v>216405</v>
      </c>
      <c r="O9" s="443" t="e">
        <f t="shared" ca="1" si="4"/>
        <v>#NAME?</v>
      </c>
      <c r="P9" s="443" t="e">
        <f t="shared" ca="1" si="5"/>
        <v>#NAME?</v>
      </c>
      <c r="Q9" s="446" t="e">
        <f t="shared" ca="1" si="6"/>
        <v>#NAME?</v>
      </c>
      <c r="R9" s="446" t="e">
        <f t="shared" ca="1" si="6"/>
        <v>#NAME?</v>
      </c>
      <c r="S9" s="446" t="e">
        <f ca="1">_xll.BDP(C9,"YLD_YTM_MID")</f>
        <v>#NAME?</v>
      </c>
      <c r="T9" s="448" t="e">
        <f ca="1">_xll.BDP($C9,"CHG_PCT_YTD")</f>
        <v>#NAME?</v>
      </c>
      <c r="U9" s="448" t="e">
        <f ca="1">_xll.BDP($C9,"CHG_PCT_1YR")</f>
        <v>#NAME?</v>
      </c>
      <c r="V9" s="448"/>
    </row>
    <row r="10" spans="1:23" s="440" customFormat="1" x14ac:dyDescent="0.2">
      <c r="A10" s="493" t="s">
        <v>673</v>
      </c>
      <c r="B10" s="441" t="e">
        <f ca="1">_xll.BDP(C10,"SECURITY_NAME")</f>
        <v>#NAME?</v>
      </c>
      <c r="C10" s="440" t="str">
        <f>$C$42</f>
        <v>XS0922301717 Corp</v>
      </c>
      <c r="D10" s="442" t="e">
        <f t="shared" ca="1" si="0"/>
        <v>#NAME?</v>
      </c>
      <c r="E10" s="443">
        <f>$F$43</f>
        <v>225000</v>
      </c>
      <c r="F10" s="501">
        <f>$H$43</f>
        <v>95</v>
      </c>
      <c r="G10" s="444" t="e">
        <f ca="1">_xll.BDP(C10,"PX LAST")</f>
        <v>#NAME?</v>
      </c>
      <c r="J10" s="445" t="e">
        <f ca="1">_xll.BDP($C10,"CRNCY")</f>
        <v>#NAME?</v>
      </c>
      <c r="K10" s="442" t="e">
        <f t="shared" ca="1" si="1"/>
        <v>#NAME?</v>
      </c>
      <c r="L10" s="442" t="e">
        <f t="shared" ca="1" si="2"/>
        <v>#NAME?</v>
      </c>
      <c r="M10" s="443" t="e">
        <f ca="1">$K$43</f>
        <v>#NAME?</v>
      </c>
      <c r="N10" s="443">
        <f t="shared" si="3"/>
        <v>213750</v>
      </c>
      <c r="O10" s="443" t="e">
        <f t="shared" ca="1" si="4"/>
        <v>#NAME?</v>
      </c>
      <c r="P10" s="443" t="e">
        <f t="shared" ca="1" si="5"/>
        <v>#NAME?</v>
      </c>
      <c r="Q10" s="446" t="e">
        <f t="shared" ca="1" si="6"/>
        <v>#NAME?</v>
      </c>
      <c r="R10" s="446" t="e">
        <f t="shared" ca="1" si="6"/>
        <v>#NAME?</v>
      </c>
      <c r="S10" s="446" t="e">
        <f ca="1">_xll.BDP(C10,"YLD_YTM_MID")</f>
        <v>#NAME?</v>
      </c>
      <c r="T10" s="448" t="e">
        <f ca="1">_xll.BDP($C10,"CHG_PCT_YTD")</f>
        <v>#NAME?</v>
      </c>
      <c r="U10" s="448" t="e">
        <f ca="1">_xll.BDP($C10,"CHG_PCT_1YR")</f>
        <v>#NAME?</v>
      </c>
      <c r="V10" s="448"/>
    </row>
    <row r="11" spans="1:23" s="440" customFormat="1" x14ac:dyDescent="0.2">
      <c r="A11" s="493" t="s">
        <v>673</v>
      </c>
      <c r="B11" s="441" t="e">
        <f ca="1">_xll.BDP(C11,"SECURITY_NAME")</f>
        <v>#NAME?</v>
      </c>
      <c r="C11" s="440" t="str">
        <f>$C$45</f>
        <v>XS0524610812 Corp</v>
      </c>
      <c r="D11" s="442" t="e">
        <f t="shared" ca="1" si="0"/>
        <v>#NAME?</v>
      </c>
      <c r="E11" s="443">
        <f>$F$46</f>
        <v>225000</v>
      </c>
      <c r="F11" s="501">
        <f>$H$46</f>
        <v>97</v>
      </c>
      <c r="G11" s="444" t="e">
        <f ca="1">_xll.BDP(C11,"PX LAST")</f>
        <v>#NAME?</v>
      </c>
      <c r="J11" s="445" t="e">
        <f ca="1">_xll.BDP($C11,"CRNCY")</f>
        <v>#NAME?</v>
      </c>
      <c r="K11" s="442" t="e">
        <f t="shared" ca="1" si="1"/>
        <v>#NAME?</v>
      </c>
      <c r="L11" s="442" t="e">
        <f t="shared" ca="1" si="2"/>
        <v>#NAME?</v>
      </c>
      <c r="M11" s="443" t="e">
        <f ca="1">$K$46</f>
        <v>#NAME?</v>
      </c>
      <c r="N11" s="443">
        <f t="shared" si="3"/>
        <v>218250</v>
      </c>
      <c r="O11" s="443" t="e">
        <f t="shared" ca="1" si="4"/>
        <v>#NAME?</v>
      </c>
      <c r="P11" s="443" t="e">
        <f t="shared" ca="1" si="5"/>
        <v>#NAME?</v>
      </c>
      <c r="Q11" s="446" t="e">
        <f t="shared" ca="1" si="6"/>
        <v>#NAME?</v>
      </c>
      <c r="R11" s="446" t="e">
        <f t="shared" ca="1" si="6"/>
        <v>#NAME?</v>
      </c>
      <c r="S11" s="446" t="e">
        <f ca="1">_xll.BDP(C11,"YLD_YTM_MID")</f>
        <v>#NAME?</v>
      </c>
      <c r="T11" s="448" t="e">
        <f ca="1">_xll.BDP($C11,"CHG_PCT_YTD")</f>
        <v>#NAME?</v>
      </c>
      <c r="U11" s="448" t="e">
        <f ca="1">_xll.BDP($C11,"CHG_PCT_1YR")</f>
        <v>#NAME?</v>
      </c>
      <c r="V11" s="448"/>
    </row>
    <row r="12" spans="1:23" s="440" customFormat="1" x14ac:dyDescent="0.2">
      <c r="A12" s="493" t="s">
        <v>673</v>
      </c>
      <c r="B12" s="441" t="e">
        <f ca="1">_xll.BDP(C12,"SECURITY_NAME")</f>
        <v>#NAME?</v>
      </c>
      <c r="C12" s="440" t="str">
        <f>$C$48</f>
        <v>XS0885733153 Corp</v>
      </c>
      <c r="D12" s="442" t="e">
        <f t="shared" ca="1" si="0"/>
        <v>#NAME?</v>
      </c>
      <c r="E12" s="443">
        <f>$F$49</f>
        <v>225000</v>
      </c>
      <c r="F12" s="501">
        <f>$H$49</f>
        <v>94.5</v>
      </c>
      <c r="G12" s="444" t="e">
        <f ca="1">_xll.BDP(C12,"PX LAST")</f>
        <v>#NAME?</v>
      </c>
      <c r="J12" s="445" t="e">
        <f ca="1">_xll.BDP($C12,"CRNCY")</f>
        <v>#NAME?</v>
      </c>
      <c r="K12" s="442" t="e">
        <f t="shared" ca="1" si="1"/>
        <v>#NAME?</v>
      </c>
      <c r="L12" s="442" t="e">
        <f t="shared" ca="1" si="2"/>
        <v>#NAME?</v>
      </c>
      <c r="M12" s="443" t="e">
        <f ca="1">$K$49</f>
        <v>#NAME?</v>
      </c>
      <c r="N12" s="443">
        <f t="shared" si="3"/>
        <v>212625</v>
      </c>
      <c r="O12" s="443" t="e">
        <f t="shared" ca="1" si="4"/>
        <v>#NAME?</v>
      </c>
      <c r="P12" s="443" t="e">
        <f t="shared" ca="1" si="5"/>
        <v>#NAME?</v>
      </c>
      <c r="Q12" s="446" t="e">
        <f t="shared" ca="1" si="6"/>
        <v>#NAME?</v>
      </c>
      <c r="R12" s="446" t="e">
        <f t="shared" ca="1" si="6"/>
        <v>#NAME?</v>
      </c>
      <c r="S12" s="446" t="e">
        <f ca="1">_xll.BDP(C12,"YLD_YTM_MID")</f>
        <v>#NAME?</v>
      </c>
      <c r="T12" s="448" t="e">
        <f ca="1">_xll.BDP($C12,"CHG_PCT_YTD")</f>
        <v>#NAME?</v>
      </c>
      <c r="U12" s="448" t="e">
        <f ca="1">_xll.BDP($C12,"CHG_PCT_1YR")</f>
        <v>#NAME?</v>
      </c>
      <c r="V12" s="448"/>
    </row>
    <row r="13" spans="1:23" s="440" customFormat="1" x14ac:dyDescent="0.2">
      <c r="A13" s="493" t="s">
        <v>673</v>
      </c>
      <c r="B13" s="441" t="e">
        <f ca="1">_xll.BDP(C13,"SECURITY_NAME")</f>
        <v>#NAME?</v>
      </c>
      <c r="C13" s="440" t="str">
        <f>$C$54</f>
        <v>XS1255387976 Corp</v>
      </c>
      <c r="D13" s="442" t="e">
        <f t="shared" ca="1" si="0"/>
        <v>#NAME?</v>
      </c>
      <c r="E13" s="443">
        <f>$F$54</f>
        <v>500000</v>
      </c>
      <c r="F13" s="501">
        <f>$H$54</f>
        <v>91.25</v>
      </c>
      <c r="G13" s="444" t="e">
        <f ca="1">_xll.BDP(C13,"PX LAST")</f>
        <v>#NAME?</v>
      </c>
      <c r="J13" s="445" t="e">
        <f ca="1">_xll.BDP($C13,"CRNCY")</f>
        <v>#NAME?</v>
      </c>
      <c r="K13" s="442" t="e">
        <f ca="1">O13/M13-1</f>
        <v>#NAME?</v>
      </c>
      <c r="L13" s="442" t="e">
        <f t="shared" ca="1" si="2"/>
        <v>#NAME?</v>
      </c>
      <c r="M13" s="443" t="e">
        <f ca="1">$K$54</f>
        <v>#NAME?</v>
      </c>
      <c r="N13" s="443">
        <f t="shared" si="3"/>
        <v>456250</v>
      </c>
      <c r="O13" s="443" t="e">
        <f t="shared" ca="1" si="4"/>
        <v>#NAME?</v>
      </c>
      <c r="P13" s="443" t="e">
        <f t="shared" ca="1" si="5"/>
        <v>#NAME?</v>
      </c>
      <c r="Q13" s="446" t="e">
        <f ca="1">O13-M13</f>
        <v>#NAME?</v>
      </c>
      <c r="R13" s="446" t="e">
        <f ca="1">P13-N13</f>
        <v>#NAME?</v>
      </c>
      <c r="S13" s="446" t="e">
        <f ca="1">_xll.BDP(C13,"YLD_YTM_MID")</f>
        <v>#NAME?</v>
      </c>
      <c r="T13" s="448" t="e">
        <f ca="1">_xll.BDP($C13,"CHG_PCT_YTD")</f>
        <v>#NAME?</v>
      </c>
      <c r="U13" s="448" t="e">
        <f ca="1">_xll.BDP($C13,"CHG_PCT_1YR")</f>
        <v>#NAME?</v>
      </c>
      <c r="V13" s="448"/>
    </row>
    <row r="14" spans="1:23" x14ac:dyDescent="0.2">
      <c r="B14" s="68" t="s">
        <v>106</v>
      </c>
      <c r="C14" s="68" t="s">
        <v>106</v>
      </c>
      <c r="D14" s="101" t="e">
        <f t="shared" ca="1" si="0"/>
        <v>#NAME?</v>
      </c>
      <c r="E14" s="101"/>
      <c r="F14" s="101"/>
      <c r="G14" s="66"/>
      <c r="H14" s="66"/>
      <c r="I14" s="66"/>
      <c r="J14" s="177"/>
      <c r="K14" s="179"/>
      <c r="L14" s="179"/>
      <c r="M14" s="64" t="e">
        <f ca="1">N14*$I$1</f>
        <v>#NAME?</v>
      </c>
      <c r="N14" s="187" t="e">
        <f ca="1">N15-SUM(N4:N13)</f>
        <v>#NAME?</v>
      </c>
      <c r="O14" s="64" t="e">
        <f ca="1">P14*$I$1</f>
        <v>#NAME?</v>
      </c>
      <c r="P14" s="64">
        <v>516300</v>
      </c>
      <c r="Q14" s="61"/>
      <c r="R14" s="61"/>
      <c r="S14" s="62"/>
      <c r="T14" s="177"/>
      <c r="U14" s="177"/>
      <c r="V14" s="177"/>
      <c r="W14" s="177"/>
    </row>
    <row r="15" spans="1:23" ht="13.5" customHeight="1" thickBot="1" x14ac:dyDescent="0.25">
      <c r="B15" s="175"/>
      <c r="C15" s="175"/>
      <c r="D15" s="59" t="e">
        <f ca="1">SUM(D6:D14)</f>
        <v>#NAME?</v>
      </c>
      <c r="E15" s="176"/>
      <c r="F15" s="176"/>
      <c r="G15" s="175"/>
      <c r="H15" s="175"/>
      <c r="I15" s="606" t="e">
        <f ca="1">SUMPRODUCT(D4:D5,I4:I5)</f>
        <v>#NAME?</v>
      </c>
      <c r="J15" s="55"/>
      <c r="K15" s="175"/>
      <c r="L15" s="175"/>
      <c r="M15" s="137" t="e">
        <f ca="1">SUM(M4:M14)</f>
        <v>#NAME?</v>
      </c>
      <c r="N15" s="137">
        <v>3724995</v>
      </c>
      <c r="O15" s="137" t="e">
        <f ca="1">SUM(O4:O14)</f>
        <v>#NAME?</v>
      </c>
      <c r="P15" s="137" t="e">
        <f ca="1">SUM(P4:P14)</f>
        <v>#NAME?</v>
      </c>
      <c r="Q15" s="138" t="e">
        <f ca="1">SUM(Q4:Q14)</f>
        <v>#NAME?</v>
      </c>
      <c r="R15" s="138" t="e">
        <f ca="1">SUM(R4:R14)</f>
        <v>#NAME?</v>
      </c>
      <c r="S15" s="516" t="e">
        <f ca="1">SUMPRODUCT(D4:D13,S4:S13)</f>
        <v>#NAME?</v>
      </c>
      <c r="T15" s="55"/>
      <c r="U15" s="55"/>
      <c r="V15" s="55"/>
      <c r="W15" s="55"/>
    </row>
    <row r="16" spans="1:23" ht="13.5" customHeight="1" x14ac:dyDescent="0.2">
      <c r="B16" s="35"/>
      <c r="C16" s="35"/>
      <c r="D16" s="54"/>
      <c r="E16" s="46"/>
      <c r="F16" s="46"/>
      <c r="G16" s="35"/>
      <c r="I16" s="830" t="s">
        <v>808</v>
      </c>
      <c r="J16" s="830"/>
      <c r="K16" s="40"/>
      <c r="L16" s="40"/>
      <c r="M16" s="42"/>
      <c r="N16" s="43"/>
      <c r="O16" s="208"/>
      <c r="P16" s="69"/>
      <c r="Q16" s="113" t="e">
        <f ca="1">O15/M15-1</f>
        <v>#NAME?</v>
      </c>
      <c r="R16" s="113" t="e">
        <f ca="1">P15/N15-1</f>
        <v>#NAME?</v>
      </c>
      <c r="S16" s="830" t="s">
        <v>809</v>
      </c>
      <c r="T16" s="830"/>
    </row>
    <row r="17" spans="2:20" x14ac:dyDescent="0.2">
      <c r="E17" s="155"/>
      <c r="I17" s="831"/>
      <c r="J17" s="831"/>
      <c r="K17" s="30"/>
      <c r="L17" s="148"/>
      <c r="M17" s="35"/>
      <c r="N17" s="34"/>
      <c r="O17" s="34"/>
      <c r="P17" s="30"/>
      <c r="S17" s="831"/>
      <c r="T17" s="831"/>
    </row>
    <row r="18" spans="2:20" x14ac:dyDescent="0.2">
      <c r="B18" s="32" t="s">
        <v>276</v>
      </c>
      <c r="E18" s="155"/>
      <c r="M18" s="35"/>
      <c r="N18" s="34"/>
      <c r="O18" s="34"/>
      <c r="P18" s="30"/>
    </row>
    <row r="19" spans="2:20" x14ac:dyDescent="0.2">
      <c r="M19" s="35"/>
      <c r="N19" s="34"/>
      <c r="O19" s="34"/>
      <c r="P19" s="30"/>
    </row>
    <row r="20" spans="2:20" ht="40.5" customHeight="1" x14ac:dyDescent="0.2">
      <c r="B20" s="51" t="s">
        <v>105</v>
      </c>
      <c r="C20" s="50" t="s">
        <v>104</v>
      </c>
      <c r="D20" s="50" t="s">
        <v>174</v>
      </c>
      <c r="E20" s="50" t="s">
        <v>173</v>
      </c>
      <c r="F20" s="50" t="s">
        <v>175</v>
      </c>
      <c r="G20" s="50" t="s">
        <v>172</v>
      </c>
      <c r="H20" s="50" t="s">
        <v>103</v>
      </c>
      <c r="I20" s="50" t="s">
        <v>102</v>
      </c>
      <c r="J20" s="50" t="s">
        <v>101</v>
      </c>
      <c r="K20" s="50" t="s">
        <v>100</v>
      </c>
      <c r="L20" s="50" t="s">
        <v>99</v>
      </c>
      <c r="M20" s="50" t="s">
        <v>98</v>
      </c>
      <c r="N20" s="50" t="s">
        <v>280</v>
      </c>
      <c r="O20" s="50" t="s">
        <v>97</v>
      </c>
      <c r="P20" s="50" t="s">
        <v>279</v>
      </c>
      <c r="Q20" s="50" t="s">
        <v>277</v>
      </c>
    </row>
    <row r="21" spans="2:20" s="33" customFormat="1" x14ac:dyDescent="0.2">
      <c r="B21" s="103" t="e">
        <f ca="1">_xll.BDP(C21,"SECURITY_NAME")</f>
        <v>#NAME?</v>
      </c>
      <c r="C21" s="118" t="str">
        <f>$C$36</f>
        <v>XS0618905219 Corp</v>
      </c>
      <c r="D21" s="73" t="s">
        <v>51</v>
      </c>
      <c r="E21" s="43" t="e">
        <f ca="1">F21*_xll.BDP(C21,"PX_LAST")/100</f>
        <v>#NAME?</v>
      </c>
      <c r="F21" s="43">
        <v>225000</v>
      </c>
      <c r="G21" s="43">
        <v>225000</v>
      </c>
      <c r="H21" s="47">
        <f>G21/F21</f>
        <v>1</v>
      </c>
      <c r="I21" s="43">
        <f>G21*K21/100</f>
        <v>219375</v>
      </c>
      <c r="J21" s="45">
        <f>G21*L21/100</f>
        <v>231792.1875</v>
      </c>
      <c r="K21" s="38">
        <v>97.5</v>
      </c>
      <c r="L21" s="38">
        <v>103.01875</v>
      </c>
      <c r="M21" s="44">
        <f>L21/K21-1</f>
        <v>5.6602564102564035E-2</v>
      </c>
      <c r="N21" s="43" t="e">
        <f>(J21-I21)*#REF!</f>
        <v>#REF!</v>
      </c>
      <c r="O21" s="106" t="e">
        <f ca="1">_xll.BDP($C21,"CRNCY")</f>
        <v>#NAME?</v>
      </c>
      <c r="P21" s="43" t="e">
        <f>N21/#REF!</f>
        <v>#REF!</v>
      </c>
      <c r="Q21" s="14">
        <v>42506</v>
      </c>
    </row>
    <row r="22" spans="2:20" x14ac:dyDescent="0.2">
      <c r="B22" s="35"/>
      <c r="C22" s="35"/>
      <c r="D22" s="40"/>
      <c r="G22" s="35"/>
      <c r="H22" s="35"/>
      <c r="I22" s="35"/>
      <c r="J22" s="35"/>
      <c r="K22" s="35"/>
      <c r="L22" s="46"/>
      <c r="N22" s="35" t="s">
        <v>94</v>
      </c>
      <c r="O22" s="34" t="s">
        <v>75</v>
      </c>
      <c r="P22" s="40" t="e">
        <f>SUM(P21:P21)</f>
        <v>#REF!</v>
      </c>
    </row>
    <row r="23" spans="2:20" x14ac:dyDescent="0.2">
      <c r="J23" s="105"/>
      <c r="K23" s="70"/>
      <c r="L23" s="155"/>
      <c r="M23" s="35"/>
      <c r="N23" s="30"/>
      <c r="O23" s="30"/>
      <c r="P23" s="34"/>
    </row>
    <row r="24" spans="2:20" x14ac:dyDescent="0.2">
      <c r="H24" s="105"/>
      <c r="I24" s="70"/>
      <c r="J24" s="151"/>
      <c r="K24" s="35"/>
      <c r="L24" s="148"/>
      <c r="M24" s="34"/>
    </row>
    <row r="25" spans="2:20" x14ac:dyDescent="0.2">
      <c r="B25" s="32" t="s">
        <v>93</v>
      </c>
      <c r="C25" s="151"/>
      <c r="D25" s="105"/>
      <c r="H25" s="105"/>
      <c r="I25" s="151"/>
      <c r="J25" s="151"/>
      <c r="K25" s="30"/>
    </row>
    <row r="26" spans="2:20" ht="13.5" thickBot="1" x14ac:dyDescent="0.25">
      <c r="C26" s="30"/>
      <c r="D26" s="30"/>
      <c r="G26" s="30"/>
      <c r="H26" s="151"/>
      <c r="I26" s="30"/>
      <c r="J26" s="151"/>
      <c r="K26" s="30"/>
    </row>
    <row r="27" spans="2:20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7"/>
      <c r="M27" s="26"/>
      <c r="N27" s="26"/>
      <c r="Q27" s="174"/>
      <c r="R27" s="174"/>
    </row>
    <row r="28" spans="2:20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4" t="s">
        <v>82</v>
      </c>
      <c r="M28" s="23" t="s">
        <v>81</v>
      </c>
      <c r="N28" s="23" t="s">
        <v>80</v>
      </c>
    </row>
    <row r="29" spans="2:20" x14ac:dyDescent="0.2">
      <c r="B29" s="160"/>
      <c r="D29" s="87"/>
      <c r="E29" s="87"/>
      <c r="F29" s="79"/>
      <c r="G29" s="87"/>
      <c r="H29" s="80"/>
      <c r="I29" s="79"/>
      <c r="J29" s="79"/>
      <c r="K29" s="79"/>
      <c r="L29" s="88"/>
      <c r="M29" s="158"/>
      <c r="N29" s="157"/>
    </row>
    <row r="30" spans="2:20" x14ac:dyDescent="0.2">
      <c r="B30" s="21" t="s">
        <v>418</v>
      </c>
      <c r="C30" s="118" t="s">
        <v>60</v>
      </c>
      <c r="D30" s="18" t="e">
        <f ca="1">_xll.BDP(C30,"SECURITY_NAME")</f>
        <v>#NAME?</v>
      </c>
      <c r="E30" s="18" t="s">
        <v>50</v>
      </c>
      <c r="F30" s="19">
        <v>230000</v>
      </c>
      <c r="G30" s="18" t="e">
        <f ca="1">_xll.BDP(C30,"CRNCY")</f>
        <v>#NAME?</v>
      </c>
      <c r="H30" s="22">
        <v>106.5</v>
      </c>
      <c r="I30" s="15">
        <f>F30*H30/100</f>
        <v>244950</v>
      </c>
      <c r="J30" s="16">
        <f>I30</f>
        <v>244950</v>
      </c>
      <c r="K30" s="15" t="e">
        <f ca="1">J30*L30</f>
        <v>#NAME?</v>
      </c>
      <c r="L30" s="140" t="e">
        <f ca="1">_xll.BDH("RUB curncy","PX_LAST",$N30)</f>
        <v>#NAME?</v>
      </c>
      <c r="M30" s="85" t="e">
        <f ca="1">1/_xll.BDH("RUB curncy","PX_LAST",$N30)</f>
        <v>#NAME?</v>
      </c>
      <c r="N30" s="14">
        <v>42417</v>
      </c>
    </row>
    <row r="31" spans="2:20" x14ac:dyDescent="0.2">
      <c r="B31" s="160"/>
      <c r="D31" s="87"/>
      <c r="E31" s="87"/>
      <c r="F31" s="79">
        <f>SUM(F30)</f>
        <v>230000</v>
      </c>
      <c r="G31" s="87"/>
      <c r="H31" s="80">
        <f>I31/F31*100</f>
        <v>106.5</v>
      </c>
      <c r="I31" s="79">
        <f>SUM(I30)</f>
        <v>244950</v>
      </c>
      <c r="J31" s="79">
        <f>SUM(J30)</f>
        <v>244950</v>
      </c>
      <c r="K31" s="79" t="e">
        <f ca="1">SUM(K30)</f>
        <v>#NAME?</v>
      </c>
      <c r="L31" s="88"/>
      <c r="M31" s="158"/>
      <c r="N31" s="157"/>
    </row>
    <row r="33" spans="2:14" x14ac:dyDescent="0.2">
      <c r="B33" s="21" t="s">
        <v>418</v>
      </c>
      <c r="C33" s="118" t="s">
        <v>321</v>
      </c>
      <c r="D33" s="18" t="e">
        <f ca="1">_xll.BDP(C33,"SECURITY_NAME")</f>
        <v>#NAME?</v>
      </c>
      <c r="E33" s="18" t="s">
        <v>50</v>
      </c>
      <c r="F33" s="19">
        <v>300000</v>
      </c>
      <c r="G33" s="18" t="e">
        <f ca="1">_xll.BDP(C33,"CRNCY")</f>
        <v>#NAME?</v>
      </c>
      <c r="H33" s="22">
        <v>91.75</v>
      </c>
      <c r="I33" s="15">
        <f>F33*H33/100</f>
        <v>275250</v>
      </c>
      <c r="J33" s="16">
        <f>I33</f>
        <v>275250</v>
      </c>
      <c r="K33" s="15" t="e">
        <f ca="1">J33*L33</f>
        <v>#NAME?</v>
      </c>
      <c r="L33" s="140" t="e">
        <f ca="1">_xll.BDH("RUB curncy","PX_LAST",$N33)</f>
        <v>#NAME?</v>
      </c>
      <c r="M33" s="85" t="e">
        <f ca="1">1/_xll.BDH("RUB curncy","PX_LAST",$N33)</f>
        <v>#NAME?</v>
      </c>
      <c r="N33" s="14">
        <v>42430</v>
      </c>
    </row>
    <row r="34" spans="2:14" x14ac:dyDescent="0.2">
      <c r="B34" s="160"/>
      <c r="D34" s="87"/>
      <c r="E34" s="87"/>
      <c r="F34" s="79">
        <f>SUM(F33)</f>
        <v>300000</v>
      </c>
      <c r="G34" s="87"/>
      <c r="H34" s="80">
        <f>I34/F34*100</f>
        <v>91.75</v>
      </c>
      <c r="I34" s="79">
        <f>SUM(I33)</f>
        <v>275250</v>
      </c>
      <c r="J34" s="79">
        <f>SUM(J33)</f>
        <v>275250</v>
      </c>
      <c r="K34" s="79" t="e">
        <f ca="1">SUM(K33)</f>
        <v>#NAME?</v>
      </c>
      <c r="L34" s="88"/>
      <c r="M34" s="158"/>
      <c r="N34" s="157"/>
    </row>
    <row r="35" spans="2:14" x14ac:dyDescent="0.2">
      <c r="B35" s="160"/>
      <c r="C35" s="159"/>
      <c r="D35" s="87"/>
      <c r="E35" s="87"/>
      <c r="F35" s="79"/>
      <c r="G35" s="87"/>
      <c r="H35" s="99"/>
      <c r="I35" s="79"/>
      <c r="J35" s="79"/>
      <c r="K35" s="79"/>
      <c r="L35" s="88"/>
      <c r="M35" s="158"/>
      <c r="N35" s="157"/>
    </row>
    <row r="36" spans="2:14" x14ac:dyDescent="0.2">
      <c r="B36" s="21" t="s">
        <v>418</v>
      </c>
      <c r="C36" s="118" t="s">
        <v>61</v>
      </c>
      <c r="D36" s="18" t="e">
        <f ca="1">_xll.BDP(C36,"SECURITY_NAME")</f>
        <v>#NAME?</v>
      </c>
      <c r="E36" s="18" t="s">
        <v>50</v>
      </c>
      <c r="F36" s="19">
        <v>225000</v>
      </c>
      <c r="G36" s="18" t="e">
        <f ca="1">_xll.BDP(C36,"CRNCY")</f>
        <v>#NAME?</v>
      </c>
      <c r="H36" s="22">
        <v>97.5</v>
      </c>
      <c r="I36" s="15">
        <f>F36*H36/100</f>
        <v>219375</v>
      </c>
      <c r="J36" s="16">
        <f>I36</f>
        <v>219375</v>
      </c>
      <c r="K36" s="15" t="e">
        <f ca="1">J36*L36</f>
        <v>#NAME?</v>
      </c>
      <c r="L36" s="140" t="e">
        <f ca="1">_xll.BDH("RUB curncy","PX_LAST",$N36)</f>
        <v>#NAME?</v>
      </c>
      <c r="M36" s="85" t="e">
        <f ca="1">1/_xll.BDH("RUB curncy","PX_LAST",$N36)</f>
        <v>#NAME?</v>
      </c>
      <c r="N36" s="14">
        <v>42394</v>
      </c>
    </row>
    <row r="37" spans="2:14" x14ac:dyDescent="0.2">
      <c r="B37" s="160"/>
      <c r="D37" s="87"/>
      <c r="E37" s="87"/>
      <c r="F37" s="79">
        <f>SUM(F36)</f>
        <v>225000</v>
      </c>
      <c r="G37" s="87"/>
      <c r="H37" s="80">
        <f>I37/F37*100</f>
        <v>97.5</v>
      </c>
      <c r="I37" s="79">
        <f>SUM(I36)</f>
        <v>219375</v>
      </c>
      <c r="J37" s="79">
        <f>SUM(J36)</f>
        <v>219375</v>
      </c>
      <c r="K37" s="79" t="e">
        <f ca="1">SUM(K36)</f>
        <v>#NAME?</v>
      </c>
      <c r="L37" s="88"/>
      <c r="M37" s="158"/>
      <c r="N37" s="157"/>
    </row>
    <row r="38" spans="2:14" x14ac:dyDescent="0.2">
      <c r="B38" s="160"/>
      <c r="C38" s="159"/>
      <c r="D38" s="87"/>
      <c r="E38" s="87"/>
      <c r="F38" s="79"/>
      <c r="G38" s="87"/>
      <c r="H38" s="99"/>
      <c r="I38" s="79"/>
      <c r="J38" s="79"/>
      <c r="K38" s="79"/>
      <c r="L38" s="88"/>
      <c r="M38" s="158"/>
      <c r="N38" s="157"/>
    </row>
    <row r="39" spans="2:14" x14ac:dyDescent="0.2">
      <c r="B39" s="21" t="s">
        <v>418</v>
      </c>
      <c r="C39" s="118" t="s">
        <v>217</v>
      </c>
      <c r="D39" s="18" t="e">
        <f ca="1">_xll.BDP(C39,"SECURITY_NAME")</f>
        <v>#NAME?</v>
      </c>
      <c r="E39" s="18" t="s">
        <v>50</v>
      </c>
      <c r="F39" s="19">
        <v>225000</v>
      </c>
      <c r="G39" s="18" t="e">
        <f ca="1">_xll.BDP(C39,"CRNCY")</f>
        <v>#NAME?</v>
      </c>
      <c r="H39" s="22">
        <v>96.18</v>
      </c>
      <c r="I39" s="15">
        <f>F39*H39/100</f>
        <v>216405</v>
      </c>
      <c r="J39" s="16">
        <f>I39</f>
        <v>216405</v>
      </c>
      <c r="K39" s="15" t="e">
        <f ca="1">J39*L39</f>
        <v>#NAME?</v>
      </c>
      <c r="L39" s="140" t="e">
        <f ca="1">_xll.BDH("RUB curncy","PX_LAST",$N39)</f>
        <v>#NAME?</v>
      </c>
      <c r="M39" s="85" t="e">
        <f ca="1">1/_xll.BDH("RUB curncy","PX_LAST",$N39)</f>
        <v>#NAME?</v>
      </c>
      <c r="N39" s="14">
        <v>42417</v>
      </c>
    </row>
    <row r="40" spans="2:14" x14ac:dyDescent="0.2">
      <c r="B40" s="160"/>
      <c r="D40" s="87"/>
      <c r="E40" s="87"/>
      <c r="F40" s="79">
        <f>SUM(F39)</f>
        <v>225000</v>
      </c>
      <c r="G40" s="87"/>
      <c r="H40" s="80">
        <f>I40/F40*100</f>
        <v>96.179999999999993</v>
      </c>
      <c r="I40" s="79">
        <f>SUM(I39)</f>
        <v>216405</v>
      </c>
      <c r="J40" s="79">
        <f>SUM(J39)</f>
        <v>216405</v>
      </c>
      <c r="K40" s="79" t="e">
        <f ca="1">SUM(K39)</f>
        <v>#NAME?</v>
      </c>
      <c r="L40" s="88"/>
      <c r="M40" s="158"/>
      <c r="N40" s="157"/>
    </row>
    <row r="41" spans="2:14" x14ac:dyDescent="0.2">
      <c r="B41" s="160"/>
      <c r="C41" s="159"/>
      <c r="D41" s="87"/>
      <c r="E41" s="87"/>
      <c r="F41" s="79"/>
      <c r="G41" s="87"/>
      <c r="H41" s="99"/>
      <c r="I41" s="79"/>
      <c r="J41" s="79"/>
      <c r="K41" s="79"/>
      <c r="L41" s="88"/>
      <c r="M41" s="158"/>
      <c r="N41" s="157"/>
    </row>
    <row r="42" spans="2:14" x14ac:dyDescent="0.2">
      <c r="B42" s="21" t="s">
        <v>418</v>
      </c>
      <c r="C42" s="118" t="s">
        <v>166</v>
      </c>
      <c r="D42" s="18" t="e">
        <f ca="1">_xll.BDP(C42,"SECURITY_NAME")</f>
        <v>#NAME?</v>
      </c>
      <c r="E42" s="18" t="s">
        <v>50</v>
      </c>
      <c r="F42" s="19">
        <v>225000</v>
      </c>
      <c r="G42" s="18" t="e">
        <f ca="1">_xll.BDP(C42,"CRNCY")</f>
        <v>#NAME?</v>
      </c>
      <c r="H42" s="22">
        <v>95</v>
      </c>
      <c r="I42" s="15">
        <f>F42*H42/100</f>
        <v>213750</v>
      </c>
      <c r="J42" s="16">
        <f>I42</f>
        <v>213750</v>
      </c>
      <c r="K42" s="15" t="e">
        <f ca="1">J42*L42</f>
        <v>#NAME?</v>
      </c>
      <c r="L42" s="140" t="e">
        <f ca="1">_xll.BDH("RUB curncy","PX_LAST",$N42)</f>
        <v>#NAME?</v>
      </c>
      <c r="M42" s="85" t="e">
        <f ca="1">1/_xll.BDH("RUB curncy","PX_LAST",$N42)</f>
        <v>#NAME?</v>
      </c>
      <c r="N42" s="14">
        <v>42409</v>
      </c>
    </row>
    <row r="43" spans="2:14" x14ac:dyDescent="0.2">
      <c r="B43" s="160"/>
      <c r="D43" s="87"/>
      <c r="E43" s="87"/>
      <c r="F43" s="79">
        <f>SUM(F42)</f>
        <v>225000</v>
      </c>
      <c r="G43" s="87"/>
      <c r="H43" s="80">
        <f>I43/F43*100</f>
        <v>95</v>
      </c>
      <c r="I43" s="79">
        <f>SUM(I42)</f>
        <v>213750</v>
      </c>
      <c r="J43" s="79">
        <f>SUM(J42)</f>
        <v>213750</v>
      </c>
      <c r="K43" s="79" t="e">
        <f ca="1">SUM(K42)</f>
        <v>#NAME?</v>
      </c>
      <c r="L43" s="88"/>
      <c r="M43" s="158"/>
      <c r="N43" s="157"/>
    </row>
    <row r="44" spans="2:14" x14ac:dyDescent="0.2">
      <c r="B44" s="160"/>
      <c r="C44" s="159"/>
      <c r="D44" s="87"/>
      <c r="E44" s="87"/>
      <c r="F44" s="79"/>
      <c r="G44" s="87"/>
      <c r="H44" s="99"/>
      <c r="I44" s="79"/>
      <c r="J44" s="79"/>
      <c r="K44" s="79"/>
      <c r="L44" s="88"/>
      <c r="M44" s="158"/>
      <c r="N44" s="157"/>
    </row>
    <row r="45" spans="2:14" x14ac:dyDescent="0.2">
      <c r="B45" s="21" t="s">
        <v>418</v>
      </c>
      <c r="C45" s="118" t="s">
        <v>373</v>
      </c>
      <c r="D45" s="18" t="e">
        <f ca="1">_xll.BDP(C45,"SECURITY_NAME")</f>
        <v>#NAME?</v>
      </c>
      <c r="E45" s="18" t="s">
        <v>50</v>
      </c>
      <c r="F45" s="19">
        <v>225000</v>
      </c>
      <c r="G45" s="18" t="e">
        <f ca="1">_xll.BDP(C45,"CRNCY")</f>
        <v>#NAME?</v>
      </c>
      <c r="H45" s="22">
        <v>95</v>
      </c>
      <c r="I45" s="15">
        <f>F45*H45/100</f>
        <v>213750</v>
      </c>
      <c r="J45" s="16">
        <f>I45</f>
        <v>213750</v>
      </c>
      <c r="K45" s="15" t="e">
        <f ca="1">J45*L45</f>
        <v>#NAME?</v>
      </c>
      <c r="L45" s="140" t="e">
        <f ca="1">_xll.BDH("RUB curncy","PX_LAST",$N45)</f>
        <v>#NAME?</v>
      </c>
      <c r="M45" s="85" t="e">
        <f ca="1">1/_xll.BDH("RUB curncy","PX_LAST",$N45)</f>
        <v>#NAME?</v>
      </c>
      <c r="N45" s="14">
        <v>42409</v>
      </c>
    </row>
    <row r="46" spans="2:14" x14ac:dyDescent="0.2">
      <c r="B46" s="160"/>
      <c r="D46" s="87"/>
      <c r="E46" s="87"/>
      <c r="F46" s="79">
        <f>SUM(F45)</f>
        <v>225000</v>
      </c>
      <c r="G46" s="87"/>
      <c r="H46" s="80">
        <v>97</v>
      </c>
      <c r="I46" s="79">
        <f>SUM(I45)</f>
        <v>213750</v>
      </c>
      <c r="J46" s="79">
        <f>SUM(J45)</f>
        <v>213750</v>
      </c>
      <c r="K46" s="79" t="e">
        <f ca="1">SUM(K45)</f>
        <v>#NAME?</v>
      </c>
      <c r="L46" s="88"/>
      <c r="M46" s="158"/>
      <c r="N46" s="157"/>
    </row>
    <row r="47" spans="2:14" x14ac:dyDescent="0.2">
      <c r="B47" s="160"/>
      <c r="C47" s="159"/>
      <c r="D47" s="87"/>
      <c r="E47" s="87"/>
      <c r="F47" s="79"/>
      <c r="G47" s="87"/>
      <c r="H47" s="99"/>
      <c r="I47" s="79"/>
      <c r="J47" s="79"/>
      <c r="K47" s="79"/>
      <c r="L47" s="88"/>
      <c r="M47" s="158"/>
      <c r="N47" s="157"/>
    </row>
    <row r="48" spans="2:14" x14ac:dyDescent="0.2">
      <c r="B48" s="21" t="s">
        <v>418</v>
      </c>
      <c r="C48" s="118" t="s">
        <v>653</v>
      </c>
      <c r="D48" s="18" t="e">
        <f ca="1">_xll.BDP(C48,"SECURITY_NAME")</f>
        <v>#NAME?</v>
      </c>
      <c r="E48" s="18" t="s">
        <v>50</v>
      </c>
      <c r="F48" s="19">
        <v>225000</v>
      </c>
      <c r="G48" s="18" t="e">
        <f ca="1">_xll.BDP(C48,"CRNCY")</f>
        <v>#NAME?</v>
      </c>
      <c r="H48" s="22">
        <v>94.5</v>
      </c>
      <c r="I48" s="15">
        <f>F48*H48/100</f>
        <v>212625</v>
      </c>
      <c r="J48" s="16">
        <f>I48</f>
        <v>212625</v>
      </c>
      <c r="K48" s="15" t="e">
        <f ca="1">J48*L48</f>
        <v>#NAME?</v>
      </c>
      <c r="L48" s="140" t="e">
        <f ca="1">_xll.BDH("RUB curncy","PX_LAST",$N48)</f>
        <v>#NAME?</v>
      </c>
      <c r="M48" s="85" t="e">
        <f ca="1">1/_xll.BDH("RUB curncy","PX_LAST",$N48)</f>
        <v>#NAME?</v>
      </c>
      <c r="N48" s="14">
        <v>42418</v>
      </c>
    </row>
    <row r="49" spans="2:14" x14ac:dyDescent="0.2">
      <c r="B49" s="160"/>
      <c r="D49" s="87"/>
      <c r="E49" s="87"/>
      <c r="F49" s="79">
        <f>SUM(F48)</f>
        <v>225000</v>
      </c>
      <c r="G49" s="87"/>
      <c r="H49" s="80">
        <f>I49/F49*100</f>
        <v>94.5</v>
      </c>
      <c r="I49" s="79">
        <f>SUM(I48)</f>
        <v>212625</v>
      </c>
      <c r="J49" s="79">
        <f>SUM(J48)</f>
        <v>212625</v>
      </c>
      <c r="K49" s="79" t="e">
        <f ca="1">SUM(K48)</f>
        <v>#NAME?</v>
      </c>
      <c r="L49" s="88"/>
      <c r="M49" s="158"/>
      <c r="N49" s="157"/>
    </row>
    <row r="50" spans="2:14" x14ac:dyDescent="0.2">
      <c r="B50" s="160"/>
      <c r="C50" s="159"/>
      <c r="D50" s="87"/>
      <c r="E50" s="87"/>
      <c r="F50" s="79"/>
      <c r="G50" s="87"/>
      <c r="H50" s="99"/>
      <c r="I50" s="79"/>
      <c r="J50" s="79"/>
      <c r="K50" s="79"/>
      <c r="L50" s="88"/>
      <c r="M50" s="158"/>
      <c r="N50" s="157"/>
    </row>
    <row r="51" spans="2:14" x14ac:dyDescent="0.2">
      <c r="B51" s="21" t="s">
        <v>418</v>
      </c>
      <c r="C51" s="20" t="s">
        <v>2</v>
      </c>
      <c r="D51" s="18" t="e">
        <f ca="1">_xll.BDP(C51,"SECURITY_NAME")</f>
        <v>#NAME?</v>
      </c>
      <c r="E51" s="18" t="s">
        <v>50</v>
      </c>
      <c r="F51" s="19">
        <v>3800</v>
      </c>
      <c r="G51" s="18" t="e">
        <f ca="1">_xll.BDP(C51,"CRNCY")</f>
        <v>#NAME?</v>
      </c>
      <c r="H51" s="22">
        <v>700</v>
      </c>
      <c r="I51" s="15">
        <f>F51*H51</f>
        <v>2660000</v>
      </c>
      <c r="J51" s="16" t="e">
        <f ca="1">I51/L51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42465</v>
      </c>
    </row>
    <row r="52" spans="2:14" x14ac:dyDescent="0.2">
      <c r="B52" s="71"/>
      <c r="C52" s="72"/>
      <c r="D52" s="73"/>
      <c r="E52" s="73"/>
      <c r="F52" s="79">
        <f>SUM(F51:F51)</f>
        <v>3800</v>
      </c>
      <c r="G52" s="73"/>
      <c r="H52" s="80">
        <f>I52/F52</f>
        <v>700</v>
      </c>
      <c r="I52" s="79">
        <f>SUM(I51:I51)</f>
        <v>2660000</v>
      </c>
      <c r="J52" s="79" t="e">
        <f ca="1">SUM(J51:J51)</f>
        <v>#NAME?</v>
      </c>
      <c r="K52" s="79" t="e">
        <f ca="1">SUM(K51:K51)</f>
        <v>#NAME?</v>
      </c>
      <c r="L52" s="75"/>
      <c r="M52" s="78"/>
      <c r="N52" s="14"/>
    </row>
    <row r="53" spans="2:14" x14ac:dyDescent="0.2">
      <c r="B53" s="160"/>
      <c r="C53" s="159"/>
      <c r="D53" s="87"/>
      <c r="E53" s="87"/>
      <c r="F53" s="79"/>
      <c r="G53" s="87"/>
      <c r="H53" s="99"/>
      <c r="I53" s="79"/>
      <c r="J53" s="79"/>
      <c r="K53" s="79"/>
      <c r="L53" s="88"/>
      <c r="M53" s="158"/>
      <c r="N53" s="157"/>
    </row>
    <row r="54" spans="2:14" x14ac:dyDescent="0.2">
      <c r="B54" s="21" t="s">
        <v>418</v>
      </c>
      <c r="C54" s="118" t="s">
        <v>697</v>
      </c>
      <c r="D54" s="18" t="e">
        <f ca="1">_xll.BDP(C54,"SECURITY_NAME")</f>
        <v>#NAME?</v>
      </c>
      <c r="E54" s="18" t="s">
        <v>50</v>
      </c>
      <c r="F54" s="19">
        <v>500000</v>
      </c>
      <c r="G54" s="18" t="e">
        <f ca="1">_xll.BDP(C54,"CRNCY")</f>
        <v>#NAME?</v>
      </c>
      <c r="H54" s="22">
        <v>91.25</v>
      </c>
      <c r="I54" s="15">
        <f>F54*H54/100</f>
        <v>456250</v>
      </c>
      <c r="J54" s="16">
        <f>I54</f>
        <v>456250</v>
      </c>
      <c r="K54" s="15" t="e">
        <f ca="1">J54*L54</f>
        <v>#NAME?</v>
      </c>
      <c r="L54" s="140" t="e">
        <f ca="1">_xll.BDH("RUB curncy","PX_LAST",$N54)</f>
        <v>#NAME?</v>
      </c>
      <c r="M54" s="85" t="e">
        <f ca="1">1/_xll.BDH("RUB curncy","PX_LAST",$N54)</f>
        <v>#NAME?</v>
      </c>
      <c r="N54" s="14">
        <v>42471</v>
      </c>
    </row>
    <row r="55" spans="2:14" x14ac:dyDescent="0.2">
      <c r="B55" s="160"/>
      <c r="D55" s="87"/>
      <c r="E55" s="87"/>
      <c r="F55" s="79">
        <f>SUM(F54)</f>
        <v>500000</v>
      </c>
      <c r="G55" s="87"/>
      <c r="H55" s="80">
        <f>I55/F55*100</f>
        <v>91.25</v>
      </c>
      <c r="I55" s="79">
        <f>SUM(I54)</f>
        <v>456250</v>
      </c>
      <c r="J55" s="79">
        <f>SUM(J54)</f>
        <v>456250</v>
      </c>
      <c r="K55" s="79" t="e">
        <f ca="1">SUM(K54)</f>
        <v>#NAME?</v>
      </c>
      <c r="L55" s="88"/>
      <c r="M55" s="158"/>
      <c r="N55" s="157"/>
    </row>
    <row r="56" spans="2:14" x14ac:dyDescent="0.2">
      <c r="B56" s="160"/>
      <c r="C56" s="159"/>
      <c r="D56" s="87"/>
      <c r="E56" s="87"/>
      <c r="F56" s="79"/>
      <c r="G56" s="87"/>
      <c r="H56" s="99"/>
      <c r="I56" s="79"/>
      <c r="J56" s="79"/>
      <c r="K56" s="79"/>
      <c r="L56" s="88"/>
      <c r="M56" s="158"/>
      <c r="N56" s="157"/>
    </row>
    <row r="57" spans="2:14" x14ac:dyDescent="0.2">
      <c r="B57" s="21" t="s">
        <v>418</v>
      </c>
      <c r="C57" s="20" t="s">
        <v>334</v>
      </c>
      <c r="D57" s="18" t="e">
        <f ca="1">_xll.BDP(C57,"SECURITY_NAME")</f>
        <v>#NAME?</v>
      </c>
      <c r="E57" s="18" t="s">
        <v>50</v>
      </c>
      <c r="F57" s="19">
        <v>12000</v>
      </c>
      <c r="G57" s="18" t="e">
        <f ca="1">_xll.BDP(C57,"CRNCY")</f>
        <v>#NAME?</v>
      </c>
      <c r="H57" s="22">
        <v>198.9</v>
      </c>
      <c r="I57" s="15">
        <f>F57*H57</f>
        <v>2386800</v>
      </c>
      <c r="J57" s="16" t="e">
        <f ca="1">I57/L57</f>
        <v>#NAME?</v>
      </c>
      <c r="K57" s="15" t="e">
        <f ca="1">J57*L57</f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42551</v>
      </c>
    </row>
    <row r="58" spans="2:14" x14ac:dyDescent="0.2">
      <c r="B58" s="71"/>
      <c r="C58" s="72"/>
      <c r="D58" s="73"/>
      <c r="E58" s="73"/>
      <c r="F58" s="79">
        <f>SUM(F57:F57)</f>
        <v>12000</v>
      </c>
      <c r="G58" s="73"/>
      <c r="H58" s="80">
        <f>I58/F58</f>
        <v>198.9</v>
      </c>
      <c r="I58" s="79">
        <f>SUM(I57:I57)</f>
        <v>2386800</v>
      </c>
      <c r="J58" s="79" t="e">
        <f ca="1">SUM(J57:J57)</f>
        <v>#NAME?</v>
      </c>
      <c r="K58" s="79" t="e">
        <f ca="1">SUM(K57:K57)</f>
        <v>#NAME?</v>
      </c>
      <c r="L58" s="75"/>
      <c r="M58" s="78"/>
      <c r="N58" s="14"/>
    </row>
    <row r="59" spans="2:14" x14ac:dyDescent="0.2">
      <c r="B59" s="160"/>
      <c r="C59" s="159"/>
      <c r="D59" s="87"/>
      <c r="E59" s="87"/>
      <c r="F59" s="79"/>
      <c r="G59" s="87"/>
      <c r="H59" s="99"/>
      <c r="I59" s="79"/>
      <c r="J59" s="79"/>
      <c r="K59" s="79"/>
      <c r="L59" s="88"/>
      <c r="M59" s="158"/>
      <c r="N59" s="157"/>
    </row>
    <row r="60" spans="2:14" x14ac:dyDescent="0.2">
      <c r="B60" s="21" t="s">
        <v>418</v>
      </c>
      <c r="C60" s="413" t="s">
        <v>163</v>
      </c>
      <c r="D60" s="18" t="e">
        <f ca="1">_xll.BDP(C60,"SECURITY_NAME")</f>
        <v>#NAME?</v>
      </c>
      <c r="E60" s="18" t="s">
        <v>50</v>
      </c>
      <c r="F60" s="19">
        <v>1303000</v>
      </c>
      <c r="G60" s="18" t="e">
        <f ca="1">_xll.BDP(C60,"CRNCY")</f>
        <v>#NAME?</v>
      </c>
      <c r="H60" s="22">
        <v>100.35</v>
      </c>
      <c r="I60" s="15">
        <f>F60*H60/100</f>
        <v>1307560.5</v>
      </c>
      <c r="J60" s="16">
        <f>I60</f>
        <v>1307560.5</v>
      </c>
      <c r="K60" s="15" t="e">
        <f ca="1">J60*L60</f>
        <v>#NAME?</v>
      </c>
      <c r="L60" s="140" t="e">
        <f ca="1">_xll.BDH("RUB curncy","PX_LAST",$N60)</f>
        <v>#NAME?</v>
      </c>
      <c r="M60" s="85" t="e">
        <f ca="1">1/_xll.BDH("RUB curncy","PX_LAST",$N60)</f>
        <v>#NAME?</v>
      </c>
      <c r="N60" s="14">
        <v>42544</v>
      </c>
    </row>
    <row r="61" spans="2:14" x14ac:dyDescent="0.2">
      <c r="B61" s="160"/>
      <c r="D61" s="87"/>
      <c r="E61" s="87"/>
      <c r="F61" s="79">
        <f>SUM(F60)</f>
        <v>1303000</v>
      </c>
      <c r="G61" s="87"/>
      <c r="H61" s="80">
        <f>I61/F61*100</f>
        <v>100.35000000000001</v>
      </c>
      <c r="I61" s="79">
        <f>SUM(I60)</f>
        <v>1307560.5</v>
      </c>
      <c r="J61" s="79">
        <f>SUM(J60)</f>
        <v>1307560.5</v>
      </c>
      <c r="K61" s="79" t="e">
        <f ca="1">SUM(K60)</f>
        <v>#NAME?</v>
      </c>
      <c r="L61" s="88"/>
      <c r="M61" s="158"/>
      <c r="N61" s="157"/>
    </row>
    <row r="62" spans="2:14" x14ac:dyDescent="0.2">
      <c r="B62" s="160"/>
      <c r="C62" s="159"/>
      <c r="D62" s="87"/>
      <c r="E62" s="87"/>
      <c r="F62" s="79"/>
      <c r="G62" s="87"/>
      <c r="H62" s="99"/>
      <c r="I62" s="79"/>
      <c r="J62" s="79"/>
      <c r="K62" s="79"/>
      <c r="L62" s="88"/>
      <c r="M62" s="158"/>
      <c r="N62" s="157"/>
    </row>
    <row r="63" spans="2:14" x14ac:dyDescent="0.2">
      <c r="B63" s="160"/>
      <c r="C63" s="159"/>
      <c r="D63" s="87"/>
      <c r="E63" s="87"/>
      <c r="F63" s="79"/>
      <c r="G63" s="87"/>
      <c r="H63" s="99"/>
      <c r="I63" s="79"/>
      <c r="J63" s="79"/>
      <c r="K63" s="79"/>
      <c r="L63" s="88"/>
      <c r="M63" s="158"/>
      <c r="N63" s="157"/>
    </row>
    <row r="64" spans="2:14" x14ac:dyDescent="0.2">
      <c r="B64" s="167"/>
      <c r="C64" s="166"/>
      <c r="D64" s="165"/>
      <c r="E64" s="165"/>
      <c r="F64" s="96"/>
      <c r="G64" s="165"/>
      <c r="H64" s="97"/>
      <c r="I64" s="163"/>
      <c r="J64" s="164"/>
      <c r="K64" s="163"/>
      <c r="L64" s="162"/>
      <c r="M64" s="161"/>
      <c r="N64" s="157"/>
    </row>
    <row r="65" spans="2:14" x14ac:dyDescent="0.2">
      <c r="B65" s="167"/>
      <c r="C65" s="166"/>
      <c r="D65" s="165"/>
      <c r="E65" s="165"/>
      <c r="F65" s="96"/>
      <c r="G65" s="165"/>
      <c r="H65" s="97"/>
      <c r="I65" s="163"/>
      <c r="J65" s="164"/>
      <c r="K65" s="163"/>
      <c r="L65" s="162"/>
      <c r="M65" s="161"/>
      <c r="N65" s="157"/>
    </row>
    <row r="66" spans="2:14" x14ac:dyDescent="0.2">
      <c r="B66" s="160"/>
      <c r="C66" s="159"/>
      <c r="D66" s="87"/>
      <c r="E66" s="87"/>
      <c r="F66" s="79"/>
      <c r="G66" s="87"/>
      <c r="H66" s="99"/>
      <c r="I66" s="79"/>
      <c r="J66" s="79"/>
      <c r="K66" s="79"/>
      <c r="L66" s="88"/>
      <c r="M66" s="158"/>
      <c r="N66" s="157"/>
    </row>
    <row r="68" spans="2:14" x14ac:dyDescent="0.2">
      <c r="B68" s="167"/>
      <c r="C68" s="166"/>
      <c r="D68" s="165"/>
      <c r="E68" s="165"/>
      <c r="F68" s="96"/>
      <c r="G68" s="165"/>
      <c r="H68" s="97"/>
      <c r="I68" s="163"/>
      <c r="J68" s="164"/>
      <c r="K68" s="163"/>
      <c r="L68" s="162"/>
      <c r="M68" s="161"/>
      <c r="N68" s="157"/>
    </row>
    <row r="69" spans="2:14" x14ac:dyDescent="0.2">
      <c r="B69" s="160"/>
      <c r="C69" s="159"/>
      <c r="D69" s="87"/>
      <c r="E69" s="87"/>
      <c r="F69" s="79"/>
      <c r="G69" s="87"/>
      <c r="H69" s="99"/>
      <c r="I69" s="79"/>
      <c r="J69" s="79"/>
      <c r="K69" s="79"/>
      <c r="L69" s="88"/>
      <c r="M69" s="158"/>
      <c r="N69" s="157"/>
    </row>
    <row r="71" spans="2:14" x14ac:dyDescent="0.2">
      <c r="B71" s="167"/>
      <c r="C71" s="166"/>
      <c r="D71" s="165"/>
      <c r="E71" s="165"/>
      <c r="F71" s="96"/>
      <c r="G71" s="165"/>
      <c r="H71" s="97"/>
      <c r="I71" s="163"/>
      <c r="J71" s="164"/>
      <c r="K71" s="163"/>
      <c r="L71" s="162"/>
      <c r="M71" s="161"/>
      <c r="N71" s="157"/>
    </row>
    <row r="72" spans="2:14" x14ac:dyDescent="0.2">
      <c r="B72" s="167"/>
      <c r="C72" s="166"/>
      <c r="D72" s="165"/>
      <c r="E72" s="165"/>
      <c r="F72" s="96"/>
      <c r="G72" s="165"/>
      <c r="H72" s="97"/>
      <c r="I72" s="163"/>
      <c r="J72" s="164"/>
      <c r="K72" s="163"/>
      <c r="L72" s="162"/>
      <c r="M72" s="161"/>
      <c r="N72" s="157"/>
    </row>
    <row r="73" spans="2:14" x14ac:dyDescent="0.2">
      <c r="B73" s="167"/>
      <c r="C73" s="166"/>
      <c r="D73" s="165"/>
      <c r="E73" s="165"/>
      <c r="F73" s="96"/>
      <c r="G73" s="165"/>
      <c r="H73" s="97"/>
      <c r="I73" s="163"/>
      <c r="J73" s="164"/>
      <c r="K73" s="163"/>
      <c r="L73" s="162"/>
      <c r="M73" s="161"/>
      <c r="N73" s="157"/>
    </row>
    <row r="74" spans="2:14" x14ac:dyDescent="0.2">
      <c r="B74" s="167"/>
      <c r="C74" s="166"/>
      <c r="D74" s="165"/>
      <c r="E74" s="165"/>
      <c r="F74" s="96"/>
      <c r="G74" s="165"/>
      <c r="H74" s="97"/>
      <c r="I74" s="163"/>
      <c r="J74" s="164"/>
      <c r="K74" s="163"/>
      <c r="L74" s="162"/>
      <c r="M74" s="161"/>
      <c r="N74" s="157"/>
    </row>
    <row r="75" spans="2:14" x14ac:dyDescent="0.2">
      <c r="B75" s="167"/>
      <c r="C75" s="166"/>
      <c r="D75" s="165"/>
      <c r="E75" s="165"/>
      <c r="F75" s="96"/>
      <c r="G75" s="165"/>
      <c r="H75" s="97"/>
      <c r="I75" s="163"/>
      <c r="J75" s="164"/>
      <c r="K75" s="163"/>
      <c r="L75" s="162"/>
      <c r="M75" s="161"/>
      <c r="N75" s="157"/>
    </row>
    <row r="76" spans="2:14" x14ac:dyDescent="0.2">
      <c r="B76" s="167"/>
      <c r="C76" s="166"/>
      <c r="D76" s="165"/>
      <c r="E76" s="165"/>
      <c r="F76" s="96"/>
      <c r="G76" s="165"/>
      <c r="H76" s="97"/>
      <c r="I76" s="163"/>
      <c r="J76" s="164"/>
      <c r="K76" s="163"/>
      <c r="L76" s="162"/>
      <c r="M76" s="161"/>
      <c r="N76" s="157"/>
    </row>
    <row r="77" spans="2:14" x14ac:dyDescent="0.2">
      <c r="B77" s="160"/>
      <c r="D77" s="87"/>
      <c r="E77" s="87"/>
      <c r="F77" s="79"/>
      <c r="G77" s="87"/>
      <c r="H77" s="80"/>
      <c r="I77" s="79"/>
      <c r="J77" s="79"/>
      <c r="K77" s="79"/>
      <c r="L77" s="88"/>
      <c r="M77" s="158"/>
      <c r="N77" s="157"/>
    </row>
    <row r="79" spans="2:14" x14ac:dyDescent="0.2">
      <c r="B79" s="167"/>
      <c r="C79" s="166"/>
      <c r="D79" s="165"/>
      <c r="E79" s="165"/>
      <c r="F79" s="96"/>
      <c r="G79" s="165"/>
      <c r="H79" s="97"/>
      <c r="I79" s="163"/>
      <c r="J79" s="164"/>
      <c r="K79" s="163"/>
      <c r="L79" s="162"/>
      <c r="M79" s="161"/>
      <c r="N79" s="157"/>
    </row>
    <row r="80" spans="2:14" x14ac:dyDescent="0.2">
      <c r="B80" s="160"/>
      <c r="C80" s="159"/>
      <c r="D80" s="87"/>
      <c r="E80" s="87"/>
      <c r="F80" s="79"/>
      <c r="G80" s="87"/>
      <c r="H80" s="99"/>
      <c r="I80" s="79"/>
      <c r="J80" s="79"/>
      <c r="K80" s="79"/>
      <c r="L80" s="88"/>
      <c r="M80" s="158"/>
      <c r="N80" s="157"/>
    </row>
    <row r="82" spans="2:14" x14ac:dyDescent="0.2">
      <c r="B82" s="167"/>
      <c r="C82" s="166"/>
      <c r="D82" s="165"/>
      <c r="E82" s="165"/>
      <c r="F82" s="96"/>
      <c r="G82" s="165"/>
      <c r="H82" s="97"/>
      <c r="I82" s="163"/>
      <c r="J82" s="164"/>
      <c r="K82" s="163"/>
      <c r="L82" s="162"/>
      <c r="M82" s="161"/>
      <c r="N82" s="157"/>
    </row>
    <row r="83" spans="2:14" x14ac:dyDescent="0.2">
      <c r="B83" s="160"/>
      <c r="C83" s="159"/>
      <c r="D83" s="87"/>
      <c r="E83" s="87"/>
      <c r="F83" s="79"/>
      <c r="G83" s="87"/>
      <c r="H83" s="99"/>
      <c r="I83" s="79"/>
      <c r="J83" s="79"/>
      <c r="K83" s="79"/>
      <c r="L83" s="88"/>
      <c r="M83" s="158"/>
      <c r="N83" s="157"/>
    </row>
    <row r="85" spans="2:14" x14ac:dyDescent="0.2">
      <c r="B85" s="167"/>
      <c r="C85" s="166"/>
      <c r="D85" s="165"/>
      <c r="E85" s="165"/>
      <c r="F85" s="96"/>
      <c r="G85" s="165"/>
      <c r="H85" s="97"/>
      <c r="I85" s="163"/>
      <c r="J85" s="164"/>
      <c r="K85" s="163"/>
      <c r="L85" s="162"/>
      <c r="M85" s="161"/>
      <c r="N85" s="157"/>
    </row>
    <row r="86" spans="2:14" x14ac:dyDescent="0.2">
      <c r="B86" s="160"/>
      <c r="C86" s="159"/>
      <c r="D86" s="87"/>
      <c r="E86" s="87"/>
      <c r="F86" s="79"/>
      <c r="G86" s="87"/>
      <c r="H86" s="99"/>
      <c r="I86" s="79"/>
      <c r="J86" s="79"/>
      <c r="K86" s="79"/>
      <c r="L86" s="88"/>
      <c r="M86" s="158"/>
      <c r="N86" s="157"/>
    </row>
    <row r="88" spans="2:14" x14ac:dyDescent="0.2">
      <c r="B88" s="167"/>
      <c r="C88" s="166"/>
      <c r="D88" s="165"/>
      <c r="E88" s="165"/>
      <c r="F88" s="96"/>
      <c r="G88" s="165"/>
      <c r="H88" s="97"/>
      <c r="I88" s="163"/>
      <c r="J88" s="164"/>
      <c r="K88" s="163"/>
      <c r="L88" s="162"/>
      <c r="M88" s="161"/>
      <c r="N88" s="157"/>
    </row>
    <row r="89" spans="2:14" x14ac:dyDescent="0.2">
      <c r="B89" s="160"/>
      <c r="C89" s="159"/>
      <c r="D89" s="87"/>
      <c r="E89" s="87"/>
      <c r="F89" s="79"/>
      <c r="G89" s="87"/>
      <c r="H89" s="100"/>
      <c r="I89" s="79"/>
      <c r="J89" s="79"/>
      <c r="K89" s="79"/>
      <c r="L89" s="88"/>
      <c r="M89" s="158"/>
      <c r="N89" s="157"/>
    </row>
    <row r="91" spans="2:14" x14ac:dyDescent="0.2">
      <c r="B91" s="167"/>
      <c r="C91" s="166"/>
      <c r="D91" s="165"/>
      <c r="E91" s="165"/>
      <c r="F91" s="96"/>
      <c r="G91" s="165"/>
      <c r="H91" s="97"/>
      <c r="I91" s="163"/>
      <c r="J91" s="164"/>
      <c r="K91" s="163"/>
      <c r="L91" s="162"/>
      <c r="M91" s="161"/>
      <c r="N91" s="157"/>
    </row>
    <row r="92" spans="2:14" x14ac:dyDescent="0.2">
      <c r="B92" s="160"/>
      <c r="D92" s="87"/>
      <c r="E92" s="87"/>
      <c r="F92" s="79"/>
      <c r="G92" s="87"/>
      <c r="H92" s="80"/>
      <c r="I92" s="79"/>
      <c r="J92" s="79"/>
      <c r="K92" s="79"/>
      <c r="L92" s="88"/>
      <c r="M92" s="158"/>
      <c r="N92" s="157"/>
    </row>
    <row r="94" spans="2:14" x14ac:dyDescent="0.2">
      <c r="B94" s="167"/>
      <c r="C94" s="166"/>
      <c r="D94" s="165"/>
      <c r="E94" s="165"/>
      <c r="F94" s="96"/>
      <c r="G94" s="165"/>
      <c r="H94" s="97"/>
      <c r="I94" s="163"/>
      <c r="J94" s="164"/>
      <c r="K94" s="163"/>
      <c r="L94" s="162"/>
      <c r="M94" s="161"/>
      <c r="N94" s="157"/>
    </row>
    <row r="95" spans="2:14" x14ac:dyDescent="0.2">
      <c r="B95" s="167"/>
      <c r="C95" s="166"/>
      <c r="D95" s="165"/>
      <c r="E95" s="165"/>
      <c r="F95" s="96"/>
      <c r="G95" s="165"/>
      <c r="H95" s="97"/>
      <c r="I95" s="163"/>
      <c r="J95" s="164"/>
      <c r="K95" s="163"/>
      <c r="L95" s="162"/>
      <c r="M95" s="161"/>
      <c r="N95" s="157"/>
    </row>
    <row r="96" spans="2:14" x14ac:dyDescent="0.2">
      <c r="B96" s="167"/>
      <c r="C96" s="166"/>
      <c r="D96" s="165"/>
      <c r="E96" s="165"/>
      <c r="F96" s="96"/>
      <c r="G96" s="165"/>
      <c r="H96" s="97"/>
      <c r="I96" s="163"/>
      <c r="J96" s="164"/>
      <c r="K96" s="163"/>
      <c r="L96" s="162"/>
      <c r="M96" s="161"/>
      <c r="N96" s="157"/>
    </row>
    <row r="97" spans="2:14" x14ac:dyDescent="0.2">
      <c r="B97" s="167"/>
      <c r="C97" s="166"/>
      <c r="D97" s="165"/>
      <c r="E97" s="165"/>
      <c r="F97" s="96"/>
      <c r="G97" s="165"/>
      <c r="H97" s="97"/>
      <c r="I97" s="163"/>
      <c r="J97" s="164"/>
      <c r="K97" s="163"/>
      <c r="L97" s="162"/>
      <c r="M97" s="161"/>
      <c r="N97" s="157"/>
    </row>
    <row r="98" spans="2:14" x14ac:dyDescent="0.2">
      <c r="B98" s="167"/>
      <c r="C98" s="166"/>
      <c r="D98" s="165"/>
      <c r="E98" s="165"/>
      <c r="F98" s="96"/>
      <c r="G98" s="165"/>
      <c r="H98" s="97"/>
      <c r="I98" s="163"/>
      <c r="J98" s="164"/>
      <c r="K98" s="163"/>
      <c r="L98" s="162"/>
      <c r="M98" s="161"/>
      <c r="N98" s="157"/>
    </row>
    <row r="99" spans="2:14" x14ac:dyDescent="0.2">
      <c r="B99" s="167"/>
      <c r="C99" s="166"/>
      <c r="D99" s="165"/>
      <c r="E99" s="165"/>
      <c r="F99" s="96"/>
      <c r="G99" s="165"/>
      <c r="H99" s="97"/>
      <c r="I99" s="163"/>
      <c r="J99" s="164"/>
      <c r="K99" s="163"/>
      <c r="L99" s="162"/>
      <c r="M99" s="161"/>
      <c r="N99" s="157"/>
    </row>
    <row r="100" spans="2:14" x14ac:dyDescent="0.2">
      <c r="F100" s="79"/>
      <c r="H100" s="80"/>
      <c r="I100" s="79"/>
      <c r="J100" s="79"/>
      <c r="K100" s="79"/>
    </row>
    <row r="102" spans="2:14" x14ac:dyDescent="0.2">
      <c r="B102" s="167"/>
      <c r="C102" s="166"/>
      <c r="D102" s="165"/>
      <c r="E102" s="165"/>
      <c r="F102" s="96"/>
      <c r="G102" s="165"/>
      <c r="H102" s="97"/>
      <c r="I102" s="163"/>
      <c r="J102" s="164"/>
      <c r="K102" s="163"/>
      <c r="L102" s="162"/>
      <c r="M102" s="161"/>
      <c r="N102" s="157"/>
    </row>
    <row r="103" spans="2:14" x14ac:dyDescent="0.2">
      <c r="B103" s="160"/>
      <c r="D103" s="87"/>
      <c r="E103" s="87"/>
      <c r="F103" s="79"/>
      <c r="G103" s="87"/>
      <c r="H103" s="80"/>
      <c r="I103" s="79"/>
      <c r="J103" s="79"/>
      <c r="K103" s="79"/>
      <c r="L103" s="88"/>
      <c r="M103" s="158"/>
      <c r="N103" s="157"/>
    </row>
    <row r="104" spans="2:14" x14ac:dyDescent="0.2">
      <c r="B104" s="160"/>
      <c r="D104" s="87"/>
      <c r="E104" s="87"/>
      <c r="F104" s="79"/>
      <c r="G104" s="87"/>
      <c r="H104" s="80"/>
      <c r="I104" s="79"/>
      <c r="J104" s="79"/>
      <c r="K104" s="79"/>
      <c r="L104" s="88"/>
      <c r="M104" s="158"/>
      <c r="N104" s="157"/>
    </row>
    <row r="105" spans="2:14" x14ac:dyDescent="0.2">
      <c r="B105" s="167"/>
      <c r="C105" s="166"/>
      <c r="D105" s="165"/>
      <c r="E105" s="165"/>
      <c r="F105" s="96"/>
      <c r="G105" s="165"/>
      <c r="H105" s="97"/>
      <c r="I105" s="163"/>
      <c r="J105" s="164"/>
      <c r="K105" s="163"/>
      <c r="L105" s="162"/>
      <c r="M105" s="161"/>
      <c r="N105" s="157"/>
    </row>
    <row r="106" spans="2:14" x14ac:dyDescent="0.2">
      <c r="B106" s="167"/>
      <c r="C106" s="166"/>
      <c r="D106" s="165"/>
      <c r="E106" s="165"/>
      <c r="F106" s="96"/>
      <c r="G106" s="165"/>
      <c r="H106" s="97"/>
      <c r="I106" s="163"/>
      <c r="J106" s="164"/>
      <c r="K106" s="163"/>
      <c r="L106" s="162"/>
      <c r="M106" s="161"/>
      <c r="N106" s="157"/>
    </row>
    <row r="107" spans="2:14" x14ac:dyDescent="0.2">
      <c r="B107" s="160"/>
      <c r="D107" s="87"/>
      <c r="E107" s="87"/>
      <c r="F107" s="79"/>
      <c r="G107" s="87"/>
      <c r="H107" s="80"/>
      <c r="I107" s="79"/>
      <c r="J107" s="79"/>
      <c r="K107" s="79"/>
      <c r="L107" s="88"/>
      <c r="M107" s="158"/>
      <c r="N107" s="157"/>
    </row>
    <row r="109" spans="2:14" x14ac:dyDescent="0.2">
      <c r="B109" s="167"/>
      <c r="C109" s="166"/>
      <c r="D109" s="165"/>
      <c r="E109" s="165"/>
      <c r="F109" s="96"/>
      <c r="G109" s="165"/>
      <c r="H109" s="97"/>
      <c r="I109" s="163"/>
      <c r="J109" s="164"/>
      <c r="K109" s="163"/>
      <c r="L109" s="162"/>
      <c r="M109" s="161"/>
      <c r="N109" s="157"/>
    </row>
    <row r="110" spans="2:14" x14ac:dyDescent="0.2">
      <c r="B110" s="167"/>
      <c r="C110" s="166"/>
      <c r="D110" s="165"/>
      <c r="E110" s="165"/>
      <c r="F110" s="96"/>
      <c r="G110" s="165"/>
      <c r="H110" s="97"/>
      <c r="I110" s="163"/>
      <c r="J110" s="164"/>
      <c r="K110" s="163"/>
      <c r="L110" s="162"/>
      <c r="M110" s="161"/>
      <c r="N110" s="157"/>
    </row>
    <row r="111" spans="2:14" x14ac:dyDescent="0.2">
      <c r="B111" s="167"/>
      <c r="C111" s="166"/>
      <c r="D111" s="165"/>
      <c r="E111" s="165"/>
      <c r="F111" s="96"/>
      <c r="G111" s="165"/>
      <c r="H111" s="97"/>
      <c r="I111" s="163"/>
      <c r="J111" s="164"/>
      <c r="K111" s="163"/>
      <c r="L111" s="162"/>
      <c r="M111" s="161"/>
      <c r="N111" s="157"/>
    </row>
    <row r="112" spans="2:14" x14ac:dyDescent="0.2">
      <c r="B112" s="167"/>
      <c r="C112" s="166"/>
      <c r="D112" s="165"/>
      <c r="E112" s="165"/>
      <c r="F112" s="96"/>
      <c r="G112" s="165"/>
      <c r="H112" s="97"/>
      <c r="I112" s="163"/>
      <c r="J112" s="164"/>
      <c r="K112" s="163"/>
      <c r="L112" s="162"/>
      <c r="M112" s="161"/>
      <c r="N112" s="157"/>
    </row>
    <row r="113" spans="2:14" x14ac:dyDescent="0.2">
      <c r="B113" s="167"/>
      <c r="C113" s="166"/>
      <c r="D113" s="165"/>
      <c r="E113" s="165"/>
      <c r="F113" s="96"/>
      <c r="G113" s="165"/>
      <c r="H113" s="97"/>
      <c r="I113" s="163"/>
      <c r="J113" s="164"/>
      <c r="K113" s="163"/>
      <c r="L113" s="162"/>
      <c r="M113" s="161"/>
      <c r="N113" s="157"/>
    </row>
    <row r="114" spans="2:14" x14ac:dyDescent="0.2">
      <c r="B114" s="167"/>
      <c r="C114" s="166"/>
      <c r="D114" s="165"/>
      <c r="E114" s="165"/>
      <c r="F114" s="96"/>
      <c r="G114" s="165"/>
      <c r="H114" s="97"/>
      <c r="I114" s="163"/>
      <c r="J114" s="164"/>
      <c r="K114" s="163"/>
      <c r="L114" s="162"/>
      <c r="M114" s="161"/>
      <c r="N114" s="157"/>
    </row>
    <row r="115" spans="2:14" x14ac:dyDescent="0.2">
      <c r="F115" s="79"/>
      <c r="H115" s="80"/>
      <c r="I115" s="79"/>
      <c r="J115" s="79"/>
      <c r="K115" s="79"/>
    </row>
    <row r="117" spans="2:14" x14ac:dyDescent="0.2">
      <c r="B117" s="167"/>
      <c r="C117" s="166"/>
      <c r="D117" s="165"/>
      <c r="E117" s="165"/>
      <c r="F117" s="96"/>
      <c r="G117" s="165"/>
      <c r="H117" s="97"/>
      <c r="I117" s="163"/>
      <c r="J117" s="164"/>
      <c r="K117" s="163"/>
      <c r="L117" s="162"/>
      <c r="M117" s="161"/>
      <c r="N117" s="157"/>
    </row>
    <row r="118" spans="2:14" x14ac:dyDescent="0.2">
      <c r="B118" s="167"/>
      <c r="C118" s="166"/>
      <c r="D118" s="165"/>
      <c r="E118" s="165"/>
      <c r="F118" s="96"/>
      <c r="G118" s="165"/>
      <c r="H118" s="97"/>
      <c r="I118" s="163"/>
      <c r="J118" s="164"/>
      <c r="K118" s="163"/>
      <c r="L118" s="162"/>
      <c r="M118" s="161"/>
      <c r="N118" s="157"/>
    </row>
    <row r="119" spans="2:14" x14ac:dyDescent="0.2">
      <c r="F119" s="79"/>
      <c r="G119" s="79"/>
      <c r="H119" s="80"/>
      <c r="I119" s="79"/>
      <c r="J119" s="79"/>
      <c r="K119" s="79"/>
    </row>
    <row r="120" spans="2:14" x14ac:dyDescent="0.2">
      <c r="G120" s="79"/>
      <c r="H120" s="80"/>
      <c r="I120" s="79"/>
      <c r="J120" s="79"/>
      <c r="K120" s="79"/>
    </row>
    <row r="121" spans="2:14" x14ac:dyDescent="0.2">
      <c r="B121" s="167"/>
      <c r="C121" s="166"/>
      <c r="D121" s="165"/>
      <c r="E121" s="165"/>
      <c r="F121" s="96"/>
      <c r="G121" s="165"/>
      <c r="H121" s="97"/>
      <c r="I121" s="163"/>
      <c r="J121" s="164"/>
      <c r="K121" s="163"/>
      <c r="L121" s="162"/>
      <c r="M121" s="161"/>
      <c r="N121" s="157"/>
    </row>
    <row r="122" spans="2:14" x14ac:dyDescent="0.2">
      <c r="B122" s="167"/>
      <c r="C122" s="166"/>
      <c r="D122" s="165"/>
      <c r="E122" s="165"/>
      <c r="F122" s="96"/>
      <c r="G122" s="165"/>
      <c r="H122" s="97"/>
      <c r="I122" s="163"/>
      <c r="J122" s="164"/>
      <c r="K122" s="163"/>
      <c r="L122" s="162"/>
      <c r="M122" s="161"/>
      <c r="N122" s="157"/>
    </row>
    <row r="123" spans="2:14" x14ac:dyDescent="0.2">
      <c r="B123" s="167"/>
      <c r="C123" s="166"/>
      <c r="D123" s="165"/>
      <c r="E123" s="165"/>
      <c r="F123" s="96"/>
      <c r="G123" s="165"/>
      <c r="H123" s="97"/>
      <c r="I123" s="163"/>
      <c r="J123" s="164"/>
      <c r="K123" s="163"/>
      <c r="L123" s="162"/>
      <c r="M123" s="161"/>
      <c r="N123" s="157"/>
    </row>
    <row r="124" spans="2:14" x14ac:dyDescent="0.2">
      <c r="B124" s="160"/>
      <c r="C124" s="159"/>
      <c r="D124" s="87"/>
      <c r="E124" s="87"/>
      <c r="F124" s="79"/>
      <c r="G124" s="87"/>
      <c r="H124" s="79"/>
      <c r="I124" s="79"/>
      <c r="J124" s="79"/>
      <c r="K124" s="79"/>
      <c r="L124" s="88"/>
      <c r="M124" s="158"/>
      <c r="N124" s="157"/>
    </row>
    <row r="126" spans="2:14" x14ac:dyDescent="0.2">
      <c r="B126" s="167"/>
      <c r="C126" s="166"/>
      <c r="D126" s="165"/>
      <c r="E126" s="165"/>
      <c r="F126" s="96"/>
      <c r="G126" s="165"/>
      <c r="H126" s="97"/>
      <c r="I126" s="163"/>
      <c r="J126" s="164"/>
      <c r="K126" s="163"/>
      <c r="L126" s="162"/>
      <c r="M126" s="161"/>
      <c r="N126" s="157"/>
    </row>
    <row r="127" spans="2:14" x14ac:dyDescent="0.2">
      <c r="B127" s="160"/>
      <c r="C127" s="159"/>
      <c r="D127" s="87"/>
      <c r="E127" s="87"/>
      <c r="F127" s="79"/>
      <c r="G127" s="87"/>
      <c r="H127" s="80"/>
      <c r="I127" s="79"/>
      <c r="J127" s="79"/>
      <c r="K127" s="79"/>
      <c r="L127" s="88"/>
      <c r="M127" s="158"/>
      <c r="N127" s="157"/>
    </row>
    <row r="129" spans="2:14" x14ac:dyDescent="0.2">
      <c r="B129" s="167"/>
      <c r="C129" s="166"/>
      <c r="D129" s="165"/>
      <c r="E129" s="165"/>
      <c r="F129" s="96"/>
      <c r="G129" s="165"/>
      <c r="H129" s="97"/>
      <c r="I129" s="163"/>
      <c r="J129" s="164"/>
      <c r="K129" s="163"/>
      <c r="L129" s="162"/>
      <c r="M129" s="161"/>
      <c r="N129" s="157"/>
    </row>
    <row r="130" spans="2:14" x14ac:dyDescent="0.2">
      <c r="B130" s="167"/>
      <c r="C130" s="166"/>
      <c r="D130" s="165"/>
      <c r="E130" s="165"/>
      <c r="F130" s="96"/>
      <c r="G130" s="165"/>
      <c r="H130" s="97"/>
      <c r="I130" s="163"/>
      <c r="J130" s="164"/>
      <c r="K130" s="163"/>
      <c r="L130" s="162"/>
      <c r="M130" s="161"/>
      <c r="N130" s="157"/>
    </row>
    <row r="131" spans="2:14" x14ac:dyDescent="0.2">
      <c r="B131" s="167"/>
      <c r="C131" s="166"/>
      <c r="D131" s="165"/>
      <c r="E131" s="165"/>
      <c r="F131" s="96"/>
      <c r="G131" s="165"/>
      <c r="H131" s="97"/>
      <c r="I131" s="163"/>
      <c r="J131" s="164"/>
      <c r="K131" s="163"/>
      <c r="L131" s="162"/>
      <c r="M131" s="161"/>
      <c r="N131" s="157"/>
    </row>
    <row r="132" spans="2:14" x14ac:dyDescent="0.2">
      <c r="B132" s="167"/>
      <c r="C132" s="166"/>
      <c r="D132" s="165"/>
      <c r="E132" s="165"/>
      <c r="F132" s="96"/>
      <c r="G132" s="165"/>
      <c r="H132" s="97"/>
      <c r="I132" s="163"/>
      <c r="J132" s="164"/>
      <c r="K132" s="163"/>
      <c r="L132" s="162"/>
      <c r="M132" s="161"/>
      <c r="N132" s="157"/>
    </row>
    <row r="133" spans="2:14" x14ac:dyDescent="0.2">
      <c r="B133" s="160"/>
      <c r="C133" s="159"/>
      <c r="D133" s="87"/>
      <c r="E133" s="87"/>
      <c r="F133" s="79"/>
      <c r="G133" s="87"/>
      <c r="H133" s="80"/>
      <c r="I133" s="79"/>
      <c r="J133" s="79"/>
      <c r="K133" s="79"/>
      <c r="L133" s="88"/>
      <c r="M133" s="158"/>
      <c r="N133" s="157"/>
    </row>
    <row r="135" spans="2:14" x14ac:dyDescent="0.2">
      <c r="B135" s="167"/>
      <c r="C135" s="166"/>
      <c r="D135" s="165"/>
      <c r="E135" s="165"/>
      <c r="F135" s="96"/>
      <c r="G135" s="165"/>
      <c r="H135" s="97"/>
      <c r="I135" s="163"/>
      <c r="J135" s="164"/>
      <c r="K135" s="163"/>
      <c r="L135" s="162"/>
      <c r="M135" s="161"/>
      <c r="N135" s="157"/>
    </row>
    <row r="136" spans="2:14" x14ac:dyDescent="0.2">
      <c r="B136" s="167"/>
      <c r="C136" s="166"/>
      <c r="D136" s="165"/>
      <c r="E136" s="165"/>
      <c r="F136" s="96"/>
      <c r="G136" s="165"/>
      <c r="H136" s="97"/>
      <c r="I136" s="163"/>
      <c r="J136" s="164"/>
      <c r="K136" s="163"/>
      <c r="L136" s="162"/>
      <c r="M136" s="161"/>
      <c r="N136" s="157"/>
    </row>
    <row r="137" spans="2:14" x14ac:dyDescent="0.2">
      <c r="B137" s="167"/>
      <c r="C137" s="166"/>
      <c r="D137" s="165"/>
      <c r="E137" s="165"/>
      <c r="F137" s="96"/>
      <c r="G137" s="165"/>
      <c r="H137" s="97"/>
      <c r="I137" s="163"/>
      <c r="J137" s="164"/>
      <c r="K137" s="163"/>
      <c r="L137" s="162"/>
      <c r="M137" s="161"/>
      <c r="N137" s="157"/>
    </row>
    <row r="138" spans="2:14" x14ac:dyDescent="0.2">
      <c r="B138" s="160"/>
      <c r="C138" s="159"/>
      <c r="D138" s="87"/>
      <c r="E138" s="87"/>
      <c r="F138" s="79"/>
      <c r="G138" s="87"/>
      <c r="H138" s="80"/>
      <c r="I138" s="79"/>
      <c r="J138" s="79"/>
      <c r="K138" s="79"/>
      <c r="L138" s="88"/>
      <c r="M138" s="158"/>
      <c r="N138" s="157"/>
    </row>
    <row r="140" spans="2:14" x14ac:dyDescent="0.2">
      <c r="B140" s="167"/>
      <c r="C140" s="166"/>
      <c r="D140" s="165"/>
      <c r="E140" s="165"/>
      <c r="F140" s="96"/>
      <c r="G140" s="165"/>
      <c r="H140" s="97"/>
      <c r="I140" s="163"/>
      <c r="J140" s="164"/>
      <c r="K140" s="163"/>
      <c r="L140" s="162"/>
      <c r="M140" s="161"/>
      <c r="N140" s="157"/>
    </row>
    <row r="141" spans="2:14" x14ac:dyDescent="0.2">
      <c r="B141" s="167"/>
      <c r="C141" s="166"/>
      <c r="D141" s="165"/>
      <c r="E141" s="165"/>
      <c r="F141" s="96"/>
      <c r="G141" s="165"/>
      <c r="H141" s="97"/>
      <c r="I141" s="163"/>
      <c r="J141" s="164"/>
      <c r="K141" s="163"/>
      <c r="L141" s="162"/>
      <c r="M141" s="161"/>
      <c r="N141" s="157"/>
    </row>
    <row r="142" spans="2:14" x14ac:dyDescent="0.2">
      <c r="B142" s="167"/>
      <c r="C142" s="166"/>
      <c r="D142" s="165"/>
      <c r="E142" s="165"/>
      <c r="F142" s="96"/>
      <c r="G142" s="165"/>
      <c r="H142" s="97"/>
      <c r="I142" s="163"/>
      <c r="J142" s="164"/>
      <c r="K142" s="163"/>
      <c r="L142" s="162"/>
      <c r="M142" s="161"/>
      <c r="N142" s="157"/>
    </row>
    <row r="143" spans="2:14" x14ac:dyDescent="0.2">
      <c r="B143" s="160"/>
      <c r="C143" s="159"/>
      <c r="D143" s="87"/>
      <c r="E143" s="87"/>
      <c r="F143" s="79"/>
      <c r="G143" s="87"/>
      <c r="H143" s="79"/>
      <c r="I143" s="79"/>
      <c r="J143" s="79"/>
      <c r="K143" s="79"/>
      <c r="L143" s="88"/>
      <c r="M143" s="158"/>
      <c r="N143" s="157"/>
    </row>
    <row r="144" spans="2:14" x14ac:dyDescent="0.2">
      <c r="B144" s="160"/>
      <c r="C144" s="159"/>
      <c r="D144" s="87"/>
      <c r="E144" s="87"/>
      <c r="F144" s="79"/>
      <c r="G144" s="87"/>
      <c r="H144" s="80"/>
      <c r="I144" s="79"/>
      <c r="J144" s="79"/>
      <c r="K144" s="79"/>
      <c r="L144" s="88"/>
      <c r="M144" s="158"/>
      <c r="N144" s="157"/>
    </row>
    <row r="145" spans="2:14" x14ac:dyDescent="0.2">
      <c r="B145" s="167"/>
      <c r="C145" s="166"/>
      <c r="D145" s="165"/>
      <c r="E145" s="165"/>
      <c r="F145" s="96"/>
      <c r="G145" s="165"/>
      <c r="H145" s="97"/>
      <c r="I145" s="163"/>
      <c r="J145" s="164"/>
      <c r="K145" s="163"/>
      <c r="L145" s="162"/>
      <c r="M145" s="161"/>
      <c r="N145" s="157"/>
    </row>
    <row r="146" spans="2:14" x14ac:dyDescent="0.2">
      <c r="B146" s="167"/>
      <c r="C146" s="166"/>
      <c r="D146" s="165"/>
      <c r="E146" s="165"/>
      <c r="F146" s="96"/>
      <c r="G146" s="165"/>
      <c r="H146" s="97"/>
      <c r="I146" s="163"/>
      <c r="J146" s="164"/>
      <c r="K146" s="163"/>
      <c r="L146" s="162"/>
      <c r="M146" s="161"/>
      <c r="N146" s="157"/>
    </row>
    <row r="147" spans="2:14" x14ac:dyDescent="0.2">
      <c r="B147" s="167"/>
      <c r="C147" s="166"/>
      <c r="D147" s="165"/>
      <c r="E147" s="165"/>
      <c r="F147" s="96"/>
      <c r="G147" s="165"/>
      <c r="H147" s="97"/>
      <c r="I147" s="163"/>
      <c r="J147" s="164"/>
      <c r="K147" s="163"/>
      <c r="L147" s="162"/>
      <c r="M147" s="161"/>
      <c r="N147" s="157"/>
    </row>
    <row r="148" spans="2:14" x14ac:dyDescent="0.2">
      <c r="B148" s="167"/>
      <c r="C148" s="166"/>
      <c r="D148" s="165"/>
      <c r="E148" s="165"/>
      <c r="F148" s="96"/>
      <c r="G148" s="165"/>
      <c r="H148" s="97"/>
      <c r="I148" s="163"/>
      <c r="J148" s="164"/>
      <c r="K148" s="163"/>
      <c r="L148" s="162"/>
      <c r="M148" s="161"/>
      <c r="N148" s="157"/>
    </row>
    <row r="149" spans="2:14" x14ac:dyDescent="0.2">
      <c r="B149" s="167"/>
      <c r="C149" s="166"/>
      <c r="D149" s="165"/>
      <c r="E149" s="165"/>
      <c r="F149" s="96"/>
      <c r="G149" s="165"/>
      <c r="H149" s="97"/>
      <c r="I149" s="163"/>
      <c r="J149" s="164"/>
      <c r="K149" s="163"/>
      <c r="L149" s="162"/>
      <c r="M149" s="161"/>
      <c r="N149" s="157"/>
    </row>
    <row r="150" spans="2:14" x14ac:dyDescent="0.2">
      <c r="B150" s="167"/>
      <c r="C150" s="166"/>
      <c r="D150" s="165"/>
      <c r="E150" s="165"/>
      <c r="F150" s="96"/>
      <c r="G150" s="165"/>
      <c r="H150" s="97"/>
      <c r="I150" s="163"/>
      <c r="J150" s="164"/>
      <c r="K150" s="163"/>
      <c r="L150" s="162"/>
      <c r="M150" s="161"/>
      <c r="N150" s="157"/>
    </row>
    <row r="151" spans="2:14" x14ac:dyDescent="0.2">
      <c r="B151" s="167"/>
      <c r="C151" s="166"/>
      <c r="D151" s="165"/>
      <c r="E151" s="165"/>
      <c r="F151" s="96"/>
      <c r="G151" s="165"/>
      <c r="H151" s="97"/>
      <c r="I151" s="163"/>
      <c r="J151" s="164"/>
      <c r="K151" s="163"/>
      <c r="L151" s="162"/>
      <c r="M151" s="161"/>
      <c r="N151" s="157"/>
    </row>
    <row r="152" spans="2:14" x14ac:dyDescent="0.2">
      <c r="B152" s="167"/>
      <c r="C152" s="166"/>
      <c r="D152" s="165"/>
      <c r="E152" s="165"/>
      <c r="F152" s="96"/>
      <c r="G152" s="165"/>
      <c r="H152" s="97"/>
      <c r="I152" s="163"/>
      <c r="J152" s="164"/>
      <c r="K152" s="163"/>
      <c r="L152" s="162"/>
      <c r="M152" s="161"/>
      <c r="N152" s="157"/>
    </row>
    <row r="153" spans="2:14" x14ac:dyDescent="0.2">
      <c r="B153" s="167"/>
      <c r="C153" s="166"/>
      <c r="D153" s="165"/>
      <c r="E153" s="165"/>
      <c r="F153" s="96"/>
      <c r="G153" s="165"/>
      <c r="H153" s="97"/>
      <c r="I153" s="163"/>
      <c r="J153" s="164"/>
      <c r="K153" s="163"/>
      <c r="L153" s="162"/>
      <c r="M153" s="161"/>
      <c r="N153" s="157"/>
    </row>
    <row r="154" spans="2:14" x14ac:dyDescent="0.2">
      <c r="B154" s="160"/>
      <c r="C154" s="159"/>
      <c r="D154" s="87"/>
      <c r="E154" s="87"/>
      <c r="F154" s="79"/>
      <c r="G154" s="87"/>
      <c r="H154" s="80"/>
      <c r="I154" s="79"/>
      <c r="J154" s="79"/>
      <c r="K154" s="79"/>
      <c r="L154" s="88"/>
      <c r="M154" s="158"/>
      <c r="N154" s="157"/>
    </row>
    <row r="155" spans="2:14" x14ac:dyDescent="0.2">
      <c r="B155" s="160"/>
      <c r="C155" s="159"/>
      <c r="D155" s="87"/>
      <c r="E155" s="87"/>
      <c r="F155" s="79"/>
      <c r="G155" s="87"/>
      <c r="H155" s="80"/>
      <c r="I155" s="79"/>
      <c r="J155" s="79"/>
      <c r="K155" s="79"/>
      <c r="L155" s="88"/>
      <c r="M155" s="158"/>
      <c r="N155" s="157"/>
    </row>
    <row r="156" spans="2:14" x14ac:dyDescent="0.2">
      <c r="B156" s="167"/>
      <c r="C156" s="166"/>
      <c r="D156" s="165"/>
      <c r="E156" s="165"/>
      <c r="F156" s="96"/>
      <c r="G156" s="165"/>
      <c r="H156" s="97"/>
      <c r="I156" s="163"/>
      <c r="J156" s="164"/>
      <c r="K156" s="163"/>
      <c r="L156" s="162"/>
      <c r="M156" s="161"/>
      <c r="N156" s="157"/>
    </row>
    <row r="157" spans="2:14" x14ac:dyDescent="0.2">
      <c r="B157" s="160"/>
      <c r="C157" s="159"/>
      <c r="D157" s="87"/>
      <c r="E157" s="87"/>
      <c r="F157" s="79"/>
      <c r="G157" s="87"/>
      <c r="H157" s="80"/>
      <c r="I157" s="79"/>
      <c r="J157" s="79"/>
      <c r="K157" s="79"/>
      <c r="L157" s="88"/>
      <c r="M157" s="158"/>
      <c r="N157" s="157"/>
    </row>
    <row r="159" spans="2:14" x14ac:dyDescent="0.2">
      <c r="B159" s="167"/>
      <c r="C159" s="166"/>
      <c r="D159" s="165"/>
      <c r="E159" s="165"/>
      <c r="F159" s="96"/>
      <c r="G159" s="165"/>
      <c r="H159" s="97"/>
      <c r="I159" s="163"/>
      <c r="J159" s="164"/>
      <c r="K159" s="163"/>
      <c r="L159" s="162"/>
      <c r="M159" s="161"/>
      <c r="N159" s="157"/>
    </row>
    <row r="160" spans="2:14" x14ac:dyDescent="0.2">
      <c r="B160" s="167"/>
      <c r="C160" s="166"/>
      <c r="D160" s="165"/>
      <c r="E160" s="165"/>
      <c r="F160" s="96"/>
      <c r="G160" s="165"/>
      <c r="H160" s="97"/>
      <c r="I160" s="163"/>
      <c r="J160" s="164"/>
      <c r="K160" s="163"/>
      <c r="L160" s="162"/>
      <c r="M160" s="161"/>
      <c r="N160" s="157"/>
    </row>
    <row r="161" spans="2:14" x14ac:dyDescent="0.2">
      <c r="B161" s="167"/>
      <c r="C161" s="166"/>
      <c r="D161" s="165"/>
      <c r="E161" s="165"/>
      <c r="F161" s="96"/>
      <c r="G161" s="165"/>
      <c r="H161" s="97"/>
      <c r="I161" s="163"/>
      <c r="J161" s="164"/>
      <c r="K161" s="163"/>
      <c r="L161" s="162"/>
      <c r="M161" s="161"/>
      <c r="N161" s="157"/>
    </row>
    <row r="162" spans="2:14" x14ac:dyDescent="0.2">
      <c r="B162" s="160"/>
      <c r="C162" s="159"/>
      <c r="D162" s="87"/>
      <c r="E162" s="87"/>
      <c r="F162" s="79"/>
      <c r="G162" s="87"/>
      <c r="H162" s="80"/>
      <c r="I162" s="79"/>
      <c r="J162" s="79"/>
      <c r="K162" s="79"/>
      <c r="L162" s="88"/>
      <c r="M162" s="158"/>
      <c r="N162" s="157"/>
    </row>
    <row r="164" spans="2:14" x14ac:dyDescent="0.2">
      <c r="B164" s="167"/>
      <c r="C164" s="166"/>
      <c r="D164" s="165"/>
      <c r="E164" s="165"/>
      <c r="F164" s="96"/>
      <c r="G164" s="165"/>
      <c r="H164" s="97"/>
      <c r="I164" s="163"/>
      <c r="J164" s="164"/>
      <c r="K164" s="163"/>
      <c r="L164" s="162"/>
      <c r="M164" s="161"/>
      <c r="N164" s="157"/>
    </row>
    <row r="165" spans="2:14" x14ac:dyDescent="0.2">
      <c r="B165" s="160"/>
      <c r="C165" s="159"/>
      <c r="D165" s="87"/>
      <c r="E165" s="87"/>
      <c r="F165" s="79"/>
      <c r="G165" s="87"/>
      <c r="H165" s="80"/>
      <c r="I165" s="79"/>
      <c r="J165" s="79"/>
      <c r="K165" s="79"/>
      <c r="L165" s="88"/>
      <c r="M165" s="158"/>
      <c r="N165" s="157"/>
    </row>
    <row r="166" spans="2:14" x14ac:dyDescent="0.2">
      <c r="B166" s="160"/>
      <c r="C166" s="159"/>
      <c r="D166" s="87"/>
      <c r="E166" s="87"/>
      <c r="F166" s="79"/>
      <c r="G166" s="87"/>
      <c r="H166" s="80"/>
      <c r="I166" s="79"/>
      <c r="J166" s="79"/>
      <c r="K166" s="79"/>
      <c r="L166" s="88"/>
      <c r="M166" s="158"/>
      <c r="N166" s="157"/>
    </row>
    <row r="167" spans="2:14" x14ac:dyDescent="0.2">
      <c r="B167" s="160"/>
      <c r="C167" s="159"/>
      <c r="D167" s="87"/>
      <c r="E167" s="87"/>
      <c r="F167" s="79"/>
      <c r="G167" s="87"/>
      <c r="H167" s="80"/>
      <c r="I167" s="79"/>
      <c r="J167" s="79"/>
      <c r="K167" s="79"/>
      <c r="L167" s="88"/>
      <c r="M167" s="158"/>
      <c r="N167" s="157"/>
    </row>
    <row r="168" spans="2:14" x14ac:dyDescent="0.2">
      <c r="B168" s="167"/>
      <c r="C168" s="166"/>
      <c r="D168" s="165"/>
      <c r="E168" s="165"/>
      <c r="F168" s="96"/>
      <c r="G168" s="165"/>
      <c r="H168" s="97"/>
      <c r="I168" s="163"/>
      <c r="J168" s="164"/>
      <c r="K168" s="163"/>
      <c r="L168" s="162"/>
      <c r="M168" s="161"/>
      <c r="N168" s="157"/>
    </row>
    <row r="169" spans="2:14" x14ac:dyDescent="0.2">
      <c r="B169" s="167"/>
      <c r="C169" s="166"/>
      <c r="D169" s="165"/>
      <c r="E169" s="165"/>
      <c r="F169" s="96"/>
      <c r="G169" s="165"/>
      <c r="H169" s="97"/>
      <c r="I169" s="163"/>
      <c r="J169" s="164"/>
      <c r="K169" s="163"/>
      <c r="L169" s="162"/>
      <c r="M169" s="161"/>
      <c r="N169" s="157"/>
    </row>
    <row r="170" spans="2:14" x14ac:dyDescent="0.2">
      <c r="B170" s="167"/>
      <c r="C170" s="166"/>
      <c r="D170" s="165"/>
      <c r="E170" s="165"/>
      <c r="F170" s="96"/>
      <c r="G170" s="165"/>
      <c r="H170" s="97"/>
      <c r="I170" s="163"/>
      <c r="J170" s="164"/>
      <c r="K170" s="163"/>
      <c r="L170" s="162"/>
      <c r="M170" s="161"/>
      <c r="N170" s="157"/>
    </row>
    <row r="171" spans="2:14" x14ac:dyDescent="0.2">
      <c r="B171" s="167"/>
      <c r="C171" s="166"/>
      <c r="D171" s="165"/>
      <c r="E171" s="165"/>
      <c r="F171" s="96"/>
      <c r="G171" s="165"/>
      <c r="H171" s="97"/>
      <c r="I171" s="163"/>
      <c r="J171" s="164"/>
      <c r="K171" s="163"/>
      <c r="L171" s="162"/>
      <c r="M171" s="161"/>
      <c r="N171" s="157"/>
    </row>
    <row r="172" spans="2:14" x14ac:dyDescent="0.2">
      <c r="B172" s="167"/>
      <c r="C172" s="166"/>
      <c r="D172" s="165"/>
      <c r="E172" s="165"/>
      <c r="F172" s="96"/>
      <c r="G172" s="165"/>
      <c r="H172" s="97"/>
      <c r="I172" s="163"/>
      <c r="J172" s="164"/>
      <c r="K172" s="163"/>
      <c r="L172" s="162"/>
      <c r="M172" s="161"/>
      <c r="N172" s="157"/>
    </row>
    <row r="173" spans="2:14" x14ac:dyDescent="0.2">
      <c r="B173" s="167"/>
      <c r="C173" s="166"/>
      <c r="D173" s="165"/>
      <c r="E173" s="165"/>
      <c r="F173" s="96"/>
      <c r="G173" s="165"/>
      <c r="H173" s="97"/>
      <c r="I173" s="163"/>
      <c r="J173" s="164"/>
      <c r="K173" s="163"/>
      <c r="L173" s="162"/>
      <c r="M173" s="161"/>
      <c r="N173" s="157"/>
    </row>
    <row r="174" spans="2:14" x14ac:dyDescent="0.2">
      <c r="B174" s="160"/>
      <c r="C174" s="159"/>
      <c r="D174" s="87"/>
      <c r="E174" s="87"/>
      <c r="F174" s="79"/>
      <c r="G174" s="87"/>
      <c r="H174" s="80"/>
      <c r="I174" s="79"/>
      <c r="J174" s="79"/>
      <c r="K174" s="79"/>
      <c r="L174" s="88"/>
      <c r="M174" s="158"/>
      <c r="N174" s="157"/>
    </row>
    <row r="175" spans="2:14" x14ac:dyDescent="0.2">
      <c r="B175" s="160"/>
      <c r="C175" s="159"/>
      <c r="D175" s="87"/>
      <c r="E175" s="87"/>
      <c r="F175" s="79"/>
      <c r="G175" s="87"/>
      <c r="H175" s="80"/>
      <c r="I175" s="79"/>
      <c r="J175" s="79"/>
      <c r="K175" s="79"/>
      <c r="L175" s="88"/>
      <c r="M175" s="158"/>
      <c r="N175" s="157"/>
    </row>
    <row r="176" spans="2:14" x14ac:dyDescent="0.2">
      <c r="B176" s="167"/>
      <c r="C176" s="166"/>
      <c r="D176" s="165"/>
      <c r="E176" s="165"/>
      <c r="F176" s="96"/>
      <c r="G176" s="165"/>
      <c r="H176" s="97"/>
      <c r="I176" s="163"/>
      <c r="J176" s="164"/>
      <c r="K176" s="163"/>
      <c r="L176" s="162"/>
      <c r="M176" s="161"/>
      <c r="N176" s="157"/>
    </row>
    <row r="177" spans="2:14" x14ac:dyDescent="0.2">
      <c r="B177" s="160"/>
      <c r="C177" s="159"/>
      <c r="D177" s="87"/>
      <c r="E177" s="87"/>
      <c r="F177" s="79"/>
      <c r="G177" s="87"/>
      <c r="H177" s="80"/>
      <c r="I177" s="79"/>
      <c r="J177" s="79"/>
      <c r="K177" s="79"/>
      <c r="L177" s="88"/>
      <c r="M177" s="158"/>
      <c r="N177" s="157"/>
    </row>
    <row r="179" spans="2:14" x14ac:dyDescent="0.2">
      <c r="B179" s="167"/>
      <c r="C179" s="166"/>
      <c r="D179" s="165"/>
      <c r="E179" s="165"/>
      <c r="F179" s="96"/>
      <c r="G179" s="165"/>
      <c r="H179" s="97"/>
      <c r="I179" s="163"/>
      <c r="J179" s="164"/>
      <c r="K179" s="163"/>
      <c r="L179" s="162"/>
      <c r="M179" s="161"/>
      <c r="N179" s="157"/>
    </row>
    <row r="180" spans="2:14" x14ac:dyDescent="0.2">
      <c r="F180" s="79"/>
      <c r="H180" s="88"/>
      <c r="I180" s="79"/>
      <c r="J180" s="79"/>
      <c r="K180" s="79"/>
    </row>
    <row r="182" spans="2:14" x14ac:dyDescent="0.2">
      <c r="B182" s="167"/>
      <c r="C182" s="166"/>
      <c r="D182" s="165"/>
      <c r="E182" s="165"/>
      <c r="F182" s="96"/>
      <c r="G182" s="165"/>
      <c r="H182" s="97"/>
      <c r="I182" s="163"/>
      <c r="J182" s="164"/>
      <c r="K182" s="163"/>
      <c r="L182" s="162"/>
      <c r="M182" s="161"/>
      <c r="N182" s="157"/>
    </row>
    <row r="183" spans="2:14" x14ac:dyDescent="0.2">
      <c r="B183" s="167"/>
      <c r="C183" s="166"/>
      <c r="D183" s="165"/>
      <c r="E183" s="165"/>
      <c r="F183" s="96"/>
      <c r="G183" s="165"/>
      <c r="H183" s="97"/>
      <c r="I183" s="163"/>
      <c r="J183" s="164"/>
      <c r="K183" s="163"/>
      <c r="L183" s="162"/>
      <c r="M183" s="161"/>
      <c r="N183" s="157"/>
    </row>
    <row r="184" spans="2:14" x14ac:dyDescent="0.2">
      <c r="B184" s="160"/>
      <c r="C184" s="159"/>
      <c r="D184" s="87"/>
      <c r="E184" s="87"/>
      <c r="F184" s="79"/>
      <c r="G184" s="87"/>
      <c r="H184" s="80"/>
      <c r="I184" s="79"/>
      <c r="J184" s="79"/>
      <c r="K184" s="79"/>
      <c r="L184" s="88"/>
      <c r="M184" s="173"/>
      <c r="N184" s="157"/>
    </row>
    <row r="185" spans="2:14" x14ac:dyDescent="0.2">
      <c r="B185" s="160"/>
      <c r="C185" s="159"/>
      <c r="D185" s="87"/>
      <c r="E185" s="87"/>
      <c r="F185" s="79"/>
      <c r="G185" s="87"/>
      <c r="H185" s="80"/>
      <c r="I185" s="79"/>
      <c r="J185" s="79"/>
      <c r="K185" s="79"/>
      <c r="L185" s="88"/>
      <c r="M185" s="173"/>
      <c r="N185" s="157"/>
    </row>
    <row r="186" spans="2:14" x14ac:dyDescent="0.2">
      <c r="B186" s="167"/>
      <c r="C186" s="166"/>
      <c r="D186" s="165"/>
      <c r="E186" s="165"/>
      <c r="F186" s="96"/>
      <c r="G186" s="165"/>
      <c r="H186" s="97"/>
      <c r="I186" s="163"/>
      <c r="J186" s="164"/>
      <c r="K186" s="163"/>
      <c r="L186" s="162"/>
      <c r="M186" s="161"/>
      <c r="N186" s="157"/>
    </row>
    <row r="187" spans="2:14" x14ac:dyDescent="0.2">
      <c r="B187" s="160"/>
      <c r="C187" s="159"/>
      <c r="D187" s="87"/>
      <c r="E187" s="87"/>
      <c r="F187" s="79"/>
      <c r="G187" s="87"/>
      <c r="H187" s="88"/>
      <c r="I187" s="79"/>
      <c r="J187" s="79"/>
      <c r="K187" s="79"/>
      <c r="L187" s="88"/>
      <c r="M187" s="173"/>
      <c r="N187" s="157"/>
    </row>
    <row r="188" spans="2:14" x14ac:dyDescent="0.2">
      <c r="B188" s="160"/>
      <c r="C188" s="159"/>
      <c r="D188" s="87"/>
      <c r="E188" s="87"/>
      <c r="F188" s="79"/>
      <c r="G188" s="87"/>
      <c r="H188" s="80"/>
      <c r="I188" s="79"/>
      <c r="J188" s="79"/>
      <c r="K188" s="79"/>
      <c r="L188" s="88"/>
      <c r="M188" s="173"/>
      <c r="N188" s="157"/>
    </row>
    <row r="189" spans="2:14" x14ac:dyDescent="0.2">
      <c r="B189" s="167"/>
      <c r="C189" s="166"/>
      <c r="D189" s="165"/>
      <c r="E189" s="165"/>
      <c r="F189" s="96"/>
      <c r="G189" s="165"/>
      <c r="H189" s="97"/>
      <c r="I189" s="163"/>
      <c r="J189" s="164"/>
      <c r="K189" s="163"/>
      <c r="L189" s="162"/>
      <c r="M189" s="161"/>
      <c r="N189" s="157"/>
    </row>
    <row r="190" spans="2:14" x14ac:dyDescent="0.2">
      <c r="B190" s="167"/>
      <c r="C190" s="166"/>
      <c r="D190" s="165"/>
      <c r="E190" s="165"/>
      <c r="F190" s="96"/>
      <c r="G190" s="165"/>
      <c r="H190" s="97"/>
      <c r="I190" s="163"/>
      <c r="J190" s="164"/>
      <c r="K190" s="163"/>
      <c r="L190" s="162"/>
      <c r="M190" s="161"/>
      <c r="N190" s="157"/>
    </row>
    <row r="191" spans="2:14" x14ac:dyDescent="0.2">
      <c r="B191" s="167"/>
      <c r="C191" s="166"/>
      <c r="D191" s="165"/>
      <c r="E191" s="165"/>
      <c r="F191" s="96"/>
      <c r="G191" s="165"/>
      <c r="H191" s="97"/>
      <c r="I191" s="163"/>
      <c r="J191" s="164"/>
      <c r="K191" s="163"/>
      <c r="L191" s="162"/>
      <c r="M191" s="161"/>
      <c r="N191" s="157"/>
    </row>
    <row r="192" spans="2:14" x14ac:dyDescent="0.2">
      <c r="B192" s="167"/>
      <c r="C192" s="166"/>
      <c r="D192" s="165"/>
      <c r="E192" s="165"/>
      <c r="F192" s="96"/>
      <c r="G192" s="165"/>
      <c r="H192" s="97"/>
      <c r="I192" s="163"/>
      <c r="J192" s="164"/>
      <c r="K192" s="163"/>
      <c r="L192" s="162"/>
      <c r="M192" s="161"/>
      <c r="N192" s="157"/>
    </row>
    <row r="193" spans="2:14" x14ac:dyDescent="0.2">
      <c r="B193" s="167"/>
      <c r="C193" s="166"/>
      <c r="D193" s="165"/>
      <c r="E193" s="165"/>
      <c r="F193" s="96"/>
      <c r="G193" s="165"/>
      <c r="H193" s="97"/>
      <c r="I193" s="163"/>
      <c r="J193" s="164"/>
      <c r="K193" s="163"/>
      <c r="L193" s="162"/>
      <c r="M193" s="161"/>
      <c r="N193" s="157"/>
    </row>
    <row r="194" spans="2:14" x14ac:dyDescent="0.2">
      <c r="B194" s="167"/>
      <c r="C194" s="166"/>
      <c r="D194" s="165"/>
      <c r="E194" s="165"/>
      <c r="F194" s="96"/>
      <c r="G194" s="165"/>
      <c r="H194" s="97"/>
      <c r="I194" s="163"/>
      <c r="J194" s="164"/>
      <c r="K194" s="163"/>
      <c r="L194" s="162"/>
      <c r="M194" s="161"/>
      <c r="N194" s="157"/>
    </row>
    <row r="195" spans="2:14" x14ac:dyDescent="0.2">
      <c r="B195" s="167"/>
      <c r="C195" s="166"/>
      <c r="D195" s="165"/>
      <c r="E195" s="165"/>
      <c r="F195" s="96"/>
      <c r="G195" s="165"/>
      <c r="H195" s="97"/>
      <c r="I195" s="163"/>
      <c r="J195" s="164"/>
      <c r="K195" s="163"/>
      <c r="L195" s="162"/>
      <c r="M195" s="161"/>
      <c r="N195" s="157"/>
    </row>
    <row r="196" spans="2:14" x14ac:dyDescent="0.2">
      <c r="B196" s="167"/>
      <c r="C196" s="166"/>
      <c r="D196" s="165"/>
      <c r="E196" s="165"/>
      <c r="F196" s="96"/>
      <c r="G196" s="165"/>
      <c r="H196" s="97"/>
      <c r="I196" s="163"/>
      <c r="J196" s="164"/>
      <c r="K196" s="163"/>
      <c r="L196" s="162"/>
      <c r="M196" s="161"/>
      <c r="N196" s="157"/>
    </row>
    <row r="197" spans="2:14" x14ac:dyDescent="0.2">
      <c r="B197" s="167"/>
      <c r="C197" s="166"/>
      <c r="D197" s="165"/>
      <c r="E197" s="165"/>
      <c r="F197" s="96"/>
      <c r="G197" s="165"/>
      <c r="H197" s="97"/>
      <c r="I197" s="163"/>
      <c r="J197" s="164"/>
      <c r="K197" s="163"/>
      <c r="L197" s="162"/>
      <c r="M197" s="161"/>
      <c r="N197" s="157"/>
    </row>
    <row r="198" spans="2:14" x14ac:dyDescent="0.2">
      <c r="B198" s="167"/>
      <c r="C198" s="166"/>
      <c r="D198" s="165"/>
      <c r="E198" s="165"/>
      <c r="F198" s="96"/>
      <c r="G198" s="165"/>
      <c r="H198" s="97"/>
      <c r="I198" s="163"/>
      <c r="J198" s="164"/>
      <c r="K198" s="163"/>
      <c r="L198" s="162"/>
      <c r="M198" s="161"/>
      <c r="N198" s="157"/>
    </row>
    <row r="199" spans="2:14" x14ac:dyDescent="0.2">
      <c r="B199" s="167"/>
      <c r="C199" s="166"/>
      <c r="D199" s="165"/>
      <c r="E199" s="165"/>
      <c r="F199" s="96"/>
      <c r="G199" s="165"/>
      <c r="H199" s="97"/>
      <c r="I199" s="163"/>
      <c r="J199" s="164"/>
      <c r="K199" s="163"/>
      <c r="L199" s="162"/>
      <c r="M199" s="161"/>
      <c r="N199" s="157"/>
    </row>
    <row r="200" spans="2:14" x14ac:dyDescent="0.2">
      <c r="B200" s="167"/>
      <c r="C200" s="166"/>
      <c r="D200" s="165"/>
      <c r="E200" s="165"/>
      <c r="F200" s="96"/>
      <c r="G200" s="165"/>
      <c r="H200" s="97"/>
      <c r="I200" s="163"/>
      <c r="J200" s="164"/>
      <c r="K200" s="163"/>
      <c r="L200" s="162"/>
      <c r="M200" s="161"/>
      <c r="N200" s="157"/>
    </row>
    <row r="201" spans="2:14" x14ac:dyDescent="0.2">
      <c r="B201" s="167"/>
      <c r="C201" s="166"/>
      <c r="D201" s="165"/>
      <c r="E201" s="165"/>
      <c r="F201" s="96"/>
      <c r="G201" s="165"/>
      <c r="H201" s="97"/>
      <c r="I201" s="163"/>
      <c r="J201" s="164"/>
      <c r="K201" s="163"/>
      <c r="L201" s="162"/>
      <c r="M201" s="161"/>
      <c r="N201" s="157"/>
    </row>
    <row r="202" spans="2:14" x14ac:dyDescent="0.2">
      <c r="B202" s="160"/>
      <c r="C202" s="159"/>
      <c r="D202" s="87"/>
      <c r="E202" s="87"/>
      <c r="F202" s="79"/>
      <c r="G202" s="87"/>
      <c r="H202" s="80"/>
      <c r="I202" s="79"/>
      <c r="J202" s="79"/>
      <c r="K202" s="79"/>
      <c r="L202" s="88"/>
      <c r="M202" s="158"/>
      <c r="N202" s="157"/>
    </row>
    <row r="203" spans="2:14" x14ac:dyDescent="0.2">
      <c r="B203" s="160"/>
      <c r="C203" s="159"/>
      <c r="D203" s="87"/>
      <c r="E203" s="87"/>
      <c r="F203" s="79"/>
      <c r="G203" s="87"/>
      <c r="H203" s="80"/>
      <c r="I203" s="168"/>
      <c r="J203" s="169"/>
      <c r="K203" s="168"/>
      <c r="L203" s="88"/>
      <c r="M203" s="158"/>
      <c r="N203" s="157"/>
    </row>
    <row r="204" spans="2:14" x14ac:dyDescent="0.2">
      <c r="B204" s="167"/>
      <c r="C204" s="166"/>
      <c r="D204" s="165"/>
      <c r="E204" s="165"/>
      <c r="F204" s="96"/>
      <c r="G204" s="165"/>
      <c r="H204" s="97"/>
      <c r="I204" s="163"/>
      <c r="J204" s="164"/>
      <c r="K204" s="163"/>
      <c r="L204" s="162"/>
      <c r="M204" s="161"/>
      <c r="N204" s="157"/>
    </row>
    <row r="205" spans="2:14" x14ac:dyDescent="0.2">
      <c r="B205" s="167"/>
      <c r="C205" s="166"/>
      <c r="D205" s="165"/>
      <c r="E205" s="165"/>
      <c r="F205" s="96"/>
      <c r="G205" s="165"/>
      <c r="H205" s="97"/>
      <c r="I205" s="163"/>
      <c r="J205" s="164"/>
      <c r="K205" s="163"/>
      <c r="L205" s="162"/>
      <c r="M205" s="161"/>
      <c r="N205" s="157"/>
    </row>
    <row r="206" spans="2:14" x14ac:dyDescent="0.2">
      <c r="B206" s="167"/>
      <c r="C206" s="166"/>
      <c r="D206" s="165"/>
      <c r="E206" s="165"/>
      <c r="F206" s="96"/>
      <c r="G206" s="165"/>
      <c r="H206" s="97"/>
      <c r="I206" s="163"/>
      <c r="J206" s="164"/>
      <c r="K206" s="163"/>
      <c r="L206" s="162"/>
      <c r="M206" s="161"/>
      <c r="N206" s="157"/>
    </row>
    <row r="207" spans="2:14" x14ac:dyDescent="0.2">
      <c r="B207" s="167"/>
      <c r="C207" s="166"/>
      <c r="D207" s="165"/>
      <c r="E207" s="165"/>
      <c r="F207" s="96"/>
      <c r="G207" s="165"/>
      <c r="H207" s="97"/>
      <c r="I207" s="163"/>
      <c r="J207" s="164"/>
      <c r="K207" s="163"/>
      <c r="L207" s="162"/>
      <c r="M207" s="161"/>
      <c r="N207" s="157"/>
    </row>
    <row r="208" spans="2:14" x14ac:dyDescent="0.2">
      <c r="B208" s="167"/>
      <c r="C208" s="166"/>
      <c r="D208" s="165"/>
      <c r="E208" s="165"/>
      <c r="F208" s="96"/>
      <c r="G208" s="165"/>
      <c r="H208" s="97"/>
      <c r="I208" s="163"/>
      <c r="J208" s="164"/>
      <c r="K208" s="163"/>
      <c r="L208" s="162"/>
      <c r="M208" s="161"/>
      <c r="N208" s="157"/>
    </row>
    <row r="209" spans="2:14" x14ac:dyDescent="0.2">
      <c r="B209" s="167"/>
      <c r="C209" s="166"/>
      <c r="D209" s="165"/>
      <c r="E209" s="165"/>
      <c r="F209" s="96"/>
      <c r="G209" s="165"/>
      <c r="H209" s="97"/>
      <c r="I209" s="163"/>
      <c r="J209" s="164"/>
      <c r="K209" s="163"/>
      <c r="L209" s="162"/>
      <c r="M209" s="161"/>
      <c r="N209" s="157"/>
    </row>
    <row r="210" spans="2:14" x14ac:dyDescent="0.2">
      <c r="B210" s="167"/>
      <c r="C210" s="166"/>
      <c r="D210" s="165"/>
      <c r="E210" s="165"/>
      <c r="F210" s="96"/>
      <c r="G210" s="165"/>
      <c r="H210" s="97"/>
      <c r="I210" s="163"/>
      <c r="J210" s="164"/>
      <c r="K210" s="163"/>
      <c r="L210" s="162"/>
      <c r="M210" s="161"/>
      <c r="N210" s="157"/>
    </row>
    <row r="211" spans="2:14" x14ac:dyDescent="0.2">
      <c r="B211" s="167"/>
      <c r="C211" s="166"/>
      <c r="D211" s="165"/>
      <c r="E211" s="165"/>
      <c r="F211" s="96"/>
      <c r="G211" s="165"/>
      <c r="H211" s="97"/>
      <c r="I211" s="163"/>
      <c r="J211" s="164"/>
      <c r="K211" s="163"/>
      <c r="L211" s="162"/>
      <c r="M211" s="161"/>
      <c r="N211" s="157"/>
    </row>
    <row r="212" spans="2:14" x14ac:dyDescent="0.2">
      <c r="B212" s="167"/>
      <c r="C212" s="166"/>
      <c r="D212" s="165"/>
      <c r="E212" s="165"/>
      <c r="F212" s="96"/>
      <c r="G212" s="165"/>
      <c r="H212" s="97"/>
      <c r="I212" s="163"/>
      <c r="J212" s="164"/>
      <c r="K212" s="163"/>
      <c r="L212" s="162"/>
      <c r="M212" s="161"/>
      <c r="N212" s="157"/>
    </row>
    <row r="213" spans="2:14" x14ac:dyDescent="0.2">
      <c r="B213" s="167"/>
      <c r="C213" s="166"/>
      <c r="D213" s="165"/>
      <c r="E213" s="165"/>
      <c r="F213" s="96"/>
      <c r="G213" s="165"/>
      <c r="H213" s="97"/>
      <c r="I213" s="163"/>
      <c r="J213" s="164"/>
      <c r="K213" s="163"/>
      <c r="L213" s="162"/>
      <c r="M213" s="161"/>
      <c r="N213" s="157"/>
    </row>
    <row r="214" spans="2:14" x14ac:dyDescent="0.2">
      <c r="B214" s="167"/>
      <c r="C214" s="166"/>
      <c r="D214" s="165"/>
      <c r="E214" s="165"/>
      <c r="F214" s="96"/>
      <c r="G214" s="165"/>
      <c r="H214" s="97"/>
      <c r="I214" s="163"/>
      <c r="J214" s="164"/>
      <c r="K214" s="163"/>
      <c r="L214" s="162"/>
      <c r="M214" s="161"/>
      <c r="N214" s="157"/>
    </row>
    <row r="215" spans="2:14" x14ac:dyDescent="0.2">
      <c r="B215" s="160"/>
      <c r="C215" s="159"/>
      <c r="D215" s="87"/>
      <c r="E215" s="87"/>
      <c r="F215" s="79"/>
      <c r="G215" s="87"/>
      <c r="H215" s="80"/>
      <c r="I215" s="79"/>
      <c r="J215" s="79"/>
      <c r="K215" s="79"/>
      <c r="L215" s="88"/>
      <c r="M215" s="173"/>
      <c r="N215" s="157"/>
    </row>
    <row r="216" spans="2:14" x14ac:dyDescent="0.2">
      <c r="B216" s="160"/>
      <c r="C216" s="159"/>
      <c r="D216" s="87"/>
      <c r="E216" s="87"/>
      <c r="F216" s="79"/>
      <c r="G216" s="87"/>
      <c r="H216" s="80"/>
      <c r="I216" s="79"/>
      <c r="J216" s="79"/>
      <c r="K216" s="79"/>
      <c r="L216" s="88"/>
      <c r="M216" s="173"/>
      <c r="N216" s="157"/>
    </row>
    <row r="217" spans="2:14" x14ac:dyDescent="0.2">
      <c r="B217" s="167"/>
      <c r="C217" s="166"/>
      <c r="D217" s="165"/>
      <c r="E217" s="165"/>
      <c r="F217" s="96"/>
      <c r="G217" s="165"/>
      <c r="H217" s="97"/>
      <c r="I217" s="163"/>
      <c r="J217" s="164"/>
      <c r="K217" s="163"/>
      <c r="L217" s="162"/>
      <c r="M217" s="161"/>
      <c r="N217" s="157"/>
    </row>
    <row r="218" spans="2:14" x14ac:dyDescent="0.2">
      <c r="B218" s="160"/>
      <c r="C218" s="159"/>
      <c r="D218" s="87"/>
      <c r="E218" s="87"/>
      <c r="F218" s="79"/>
      <c r="G218" s="87"/>
      <c r="H218" s="80"/>
      <c r="I218" s="79"/>
      <c r="J218" s="79"/>
      <c r="K218" s="79"/>
      <c r="L218" s="88"/>
      <c r="M218" s="158"/>
      <c r="N218" s="157"/>
    </row>
    <row r="219" spans="2:14" x14ac:dyDescent="0.2">
      <c r="B219" s="160"/>
      <c r="C219" s="159"/>
      <c r="D219" s="87"/>
      <c r="E219" s="87"/>
      <c r="F219" s="79"/>
      <c r="G219" s="87"/>
      <c r="H219" s="80"/>
      <c r="I219" s="168"/>
      <c r="J219" s="169"/>
      <c r="K219" s="168"/>
      <c r="L219" s="88"/>
      <c r="M219" s="158"/>
      <c r="N219" s="157"/>
    </row>
    <row r="220" spans="2:14" x14ac:dyDescent="0.2">
      <c r="B220" s="167"/>
      <c r="C220" s="166"/>
      <c r="D220" s="165"/>
      <c r="E220" s="165"/>
      <c r="F220" s="96"/>
      <c r="G220" s="165"/>
      <c r="H220" s="97"/>
      <c r="I220" s="163"/>
      <c r="J220" s="164"/>
      <c r="K220" s="163"/>
      <c r="L220" s="162"/>
      <c r="M220" s="161"/>
      <c r="N220" s="157"/>
    </row>
    <row r="221" spans="2:14" x14ac:dyDescent="0.2">
      <c r="B221" s="167"/>
      <c r="C221" s="166"/>
      <c r="D221" s="165"/>
      <c r="E221" s="165"/>
      <c r="F221" s="96"/>
      <c r="G221" s="165"/>
      <c r="H221" s="97"/>
      <c r="I221" s="163"/>
      <c r="J221" s="164"/>
      <c r="K221" s="163"/>
      <c r="L221" s="162"/>
      <c r="M221" s="161"/>
      <c r="N221" s="157"/>
    </row>
    <row r="222" spans="2:14" x14ac:dyDescent="0.2">
      <c r="B222" s="167"/>
      <c r="C222" s="166"/>
      <c r="D222" s="165"/>
      <c r="E222" s="165"/>
      <c r="F222" s="96"/>
      <c r="G222" s="165"/>
      <c r="H222" s="97"/>
      <c r="I222" s="163"/>
      <c r="J222" s="164"/>
      <c r="K222" s="163"/>
      <c r="L222" s="162"/>
      <c r="M222" s="161"/>
      <c r="N222" s="157"/>
    </row>
    <row r="223" spans="2:14" x14ac:dyDescent="0.2">
      <c r="B223" s="167"/>
      <c r="C223" s="166"/>
      <c r="D223" s="165"/>
      <c r="E223" s="165"/>
      <c r="F223" s="96"/>
      <c r="G223" s="165"/>
      <c r="H223" s="97"/>
      <c r="I223" s="163"/>
      <c r="J223" s="164"/>
      <c r="K223" s="163"/>
      <c r="L223" s="162"/>
      <c r="M223" s="161"/>
      <c r="N223" s="157"/>
    </row>
    <row r="224" spans="2:14" x14ac:dyDescent="0.2">
      <c r="B224" s="160"/>
      <c r="C224" s="159"/>
      <c r="D224" s="87"/>
      <c r="E224" s="87"/>
      <c r="F224" s="79"/>
      <c r="G224" s="87"/>
      <c r="H224" s="80"/>
      <c r="I224" s="79"/>
      <c r="J224" s="79"/>
      <c r="K224" s="79"/>
      <c r="L224" s="88"/>
      <c r="M224" s="173"/>
      <c r="N224" s="157"/>
    </row>
    <row r="225" spans="2:14" x14ac:dyDescent="0.2">
      <c r="B225" s="160"/>
      <c r="C225" s="159"/>
      <c r="D225" s="87"/>
      <c r="E225" s="87"/>
      <c r="F225" s="79"/>
      <c r="G225" s="87"/>
      <c r="H225" s="80"/>
      <c r="I225" s="79"/>
      <c r="J225" s="79"/>
      <c r="K225" s="79"/>
      <c r="L225" s="88"/>
      <c r="M225" s="173"/>
      <c r="N225" s="157"/>
    </row>
    <row r="226" spans="2:14" x14ac:dyDescent="0.2">
      <c r="B226" s="167"/>
      <c r="C226" s="166"/>
      <c r="D226" s="165"/>
      <c r="E226" s="165"/>
      <c r="F226" s="96"/>
      <c r="G226" s="165"/>
      <c r="H226" s="97"/>
      <c r="I226" s="163"/>
      <c r="J226" s="164"/>
      <c r="K226" s="163"/>
      <c r="L226" s="162"/>
      <c r="M226" s="161"/>
      <c r="N226" s="157"/>
    </row>
    <row r="227" spans="2:14" x14ac:dyDescent="0.2">
      <c r="B227" s="167"/>
      <c r="C227" s="166"/>
      <c r="D227" s="165"/>
      <c r="E227" s="165"/>
      <c r="F227" s="96"/>
      <c r="G227" s="165"/>
      <c r="H227" s="97"/>
      <c r="I227" s="163"/>
      <c r="J227" s="164"/>
      <c r="K227" s="163"/>
      <c r="L227" s="162"/>
      <c r="M227" s="161"/>
      <c r="N227" s="157"/>
    </row>
    <row r="228" spans="2:14" x14ac:dyDescent="0.2">
      <c r="B228" s="160"/>
      <c r="C228" s="159"/>
      <c r="D228" s="87"/>
      <c r="E228" s="87"/>
      <c r="F228" s="79"/>
      <c r="G228" s="87"/>
      <c r="H228" s="80"/>
      <c r="I228" s="79"/>
      <c r="J228" s="79"/>
      <c r="K228" s="79"/>
      <c r="L228" s="88"/>
      <c r="M228" s="173"/>
      <c r="N228" s="157"/>
    </row>
    <row r="229" spans="2:14" x14ac:dyDescent="0.2">
      <c r="B229" s="160"/>
      <c r="C229" s="159"/>
      <c r="D229" s="87"/>
      <c r="E229" s="87"/>
      <c r="F229" s="79"/>
      <c r="G229" s="87"/>
      <c r="H229" s="80"/>
      <c r="I229" s="79"/>
      <c r="J229" s="79"/>
      <c r="K229" s="79"/>
      <c r="L229" s="88"/>
      <c r="M229" s="173"/>
      <c r="N229" s="157"/>
    </row>
    <row r="230" spans="2:14" x14ac:dyDescent="0.2">
      <c r="B230" s="167"/>
      <c r="C230" s="166"/>
      <c r="D230" s="165"/>
      <c r="E230" s="165"/>
      <c r="F230" s="96"/>
      <c r="G230" s="165"/>
      <c r="H230" s="97"/>
      <c r="I230" s="163"/>
      <c r="J230" s="164"/>
      <c r="K230" s="163"/>
      <c r="L230" s="162"/>
      <c r="M230" s="161"/>
      <c r="N230" s="157"/>
    </row>
    <row r="231" spans="2:14" x14ac:dyDescent="0.2">
      <c r="B231" s="167"/>
      <c r="C231" s="166"/>
      <c r="D231" s="165"/>
      <c r="E231" s="165"/>
      <c r="F231" s="96"/>
      <c r="G231" s="165"/>
      <c r="H231" s="97"/>
      <c r="I231" s="163"/>
      <c r="J231" s="164"/>
      <c r="K231" s="163"/>
      <c r="L231" s="162"/>
      <c r="M231" s="161"/>
      <c r="N231" s="157"/>
    </row>
    <row r="232" spans="2:14" x14ac:dyDescent="0.2">
      <c r="B232" s="160"/>
      <c r="C232" s="159"/>
      <c r="D232" s="87"/>
      <c r="E232" s="87"/>
      <c r="F232" s="79"/>
      <c r="G232" s="87"/>
      <c r="H232" s="80"/>
      <c r="I232" s="79"/>
      <c r="J232" s="79"/>
      <c r="K232" s="79"/>
      <c r="L232" s="88"/>
      <c r="M232" s="173"/>
      <c r="N232" s="157"/>
    </row>
    <row r="233" spans="2:14" x14ac:dyDescent="0.2">
      <c r="B233" s="160"/>
      <c r="C233" s="159"/>
      <c r="D233" s="87"/>
      <c r="E233" s="87"/>
      <c r="F233" s="79"/>
      <c r="G233" s="87"/>
      <c r="H233" s="80"/>
      <c r="I233" s="79"/>
      <c r="J233" s="79"/>
      <c r="K233" s="79"/>
      <c r="L233" s="88"/>
      <c r="M233" s="173"/>
      <c r="N233" s="157"/>
    </row>
    <row r="234" spans="2:14" x14ac:dyDescent="0.2">
      <c r="B234" s="167"/>
      <c r="C234" s="166"/>
      <c r="D234" s="165"/>
      <c r="E234" s="165"/>
      <c r="F234" s="96"/>
      <c r="G234" s="165"/>
      <c r="H234" s="97"/>
      <c r="I234" s="163"/>
      <c r="J234" s="164"/>
      <c r="K234" s="163"/>
      <c r="L234" s="162"/>
      <c r="M234" s="161"/>
      <c r="N234" s="157"/>
    </row>
    <row r="235" spans="2:14" x14ac:dyDescent="0.2">
      <c r="B235" s="167"/>
      <c r="C235" s="166"/>
      <c r="D235" s="165"/>
      <c r="E235" s="165"/>
      <c r="F235" s="96"/>
      <c r="G235" s="165"/>
      <c r="H235" s="97"/>
      <c r="I235" s="163"/>
      <c r="J235" s="164"/>
      <c r="K235" s="163"/>
      <c r="L235" s="162"/>
      <c r="M235" s="161"/>
      <c r="N235" s="157"/>
    </row>
    <row r="236" spans="2:14" x14ac:dyDescent="0.2">
      <c r="B236" s="160"/>
      <c r="C236" s="159"/>
      <c r="D236" s="87"/>
      <c r="E236" s="87"/>
      <c r="F236" s="79"/>
      <c r="G236" s="87"/>
      <c r="H236" s="80"/>
      <c r="I236" s="79"/>
      <c r="J236" s="79"/>
      <c r="K236" s="79"/>
      <c r="L236" s="88"/>
      <c r="M236" s="158"/>
      <c r="N236" s="157"/>
    </row>
    <row r="237" spans="2:14" x14ac:dyDescent="0.2">
      <c r="B237" s="160"/>
      <c r="C237" s="159"/>
      <c r="D237" s="87"/>
      <c r="E237" s="87"/>
      <c r="F237" s="79"/>
      <c r="G237" s="87"/>
      <c r="H237" s="80"/>
      <c r="I237" s="168"/>
      <c r="J237" s="169"/>
      <c r="K237" s="168"/>
      <c r="L237" s="88"/>
      <c r="M237" s="173"/>
      <c r="N237" s="157"/>
    </row>
    <row r="238" spans="2:14" x14ac:dyDescent="0.2">
      <c r="B238" s="160"/>
      <c r="C238" s="159"/>
      <c r="D238" s="87"/>
      <c r="E238" s="87"/>
      <c r="F238" s="79"/>
      <c r="G238" s="87"/>
      <c r="H238" s="91"/>
      <c r="I238" s="79"/>
      <c r="J238" s="79"/>
      <c r="K238" s="79"/>
      <c r="L238" s="88"/>
      <c r="M238" s="158"/>
      <c r="N238" s="157"/>
    </row>
    <row r="239" spans="2:14" x14ac:dyDescent="0.2">
      <c r="B239" s="167"/>
      <c r="C239" s="166"/>
      <c r="D239" s="165"/>
      <c r="E239" s="165"/>
      <c r="F239" s="96"/>
      <c r="G239" s="165"/>
      <c r="H239" s="97"/>
      <c r="I239" s="163"/>
      <c r="J239" s="164"/>
      <c r="K239" s="163"/>
      <c r="L239" s="162"/>
      <c r="M239" s="161"/>
      <c r="N239" s="157"/>
    </row>
    <row r="240" spans="2:14" x14ac:dyDescent="0.2">
      <c r="B240" s="167"/>
      <c r="C240" s="166"/>
      <c r="D240" s="165"/>
      <c r="E240" s="165"/>
      <c r="F240" s="96"/>
      <c r="G240" s="165"/>
      <c r="H240" s="97"/>
      <c r="I240" s="163"/>
      <c r="J240" s="164"/>
      <c r="K240" s="163"/>
      <c r="L240" s="162"/>
      <c r="M240" s="161"/>
      <c r="N240" s="157"/>
    </row>
    <row r="241" spans="2:14" x14ac:dyDescent="0.2">
      <c r="B241" s="160"/>
      <c r="C241" s="159"/>
      <c r="D241" s="87"/>
      <c r="E241" s="87"/>
      <c r="F241" s="79"/>
      <c r="G241" s="87"/>
      <c r="H241" s="80"/>
      <c r="I241" s="79"/>
      <c r="J241" s="79"/>
      <c r="K241" s="79"/>
      <c r="L241" s="88"/>
      <c r="M241" s="158"/>
      <c r="N241" s="157"/>
    </row>
    <row r="242" spans="2:14" x14ac:dyDescent="0.2">
      <c r="B242" s="160"/>
      <c r="C242" s="159"/>
      <c r="D242" s="87"/>
      <c r="E242" s="87"/>
      <c r="F242" s="79"/>
      <c r="G242" s="87"/>
      <c r="H242" s="91"/>
      <c r="I242" s="79"/>
      <c r="J242" s="79"/>
      <c r="K242" s="79"/>
      <c r="L242" s="88"/>
      <c r="M242" s="158"/>
      <c r="N242" s="157"/>
    </row>
    <row r="243" spans="2:14" x14ac:dyDescent="0.2">
      <c r="B243" s="167"/>
      <c r="C243" s="166"/>
      <c r="D243" s="165"/>
      <c r="E243" s="165"/>
      <c r="F243" s="96"/>
      <c r="G243" s="165"/>
      <c r="H243" s="172"/>
      <c r="I243" s="163"/>
      <c r="J243" s="164"/>
      <c r="K243" s="163"/>
      <c r="L243" s="162"/>
      <c r="M243" s="161"/>
      <c r="N243" s="157"/>
    </row>
    <row r="244" spans="2:14" x14ac:dyDescent="0.2">
      <c r="B244" s="160"/>
      <c r="C244" s="159"/>
      <c r="D244" s="87"/>
      <c r="E244" s="87"/>
      <c r="F244" s="79"/>
      <c r="G244" s="87"/>
      <c r="H244" s="93"/>
      <c r="I244" s="79"/>
      <c r="J244" s="79"/>
      <c r="K244" s="79"/>
      <c r="L244" s="88"/>
      <c r="M244" s="158"/>
      <c r="N244" s="157"/>
    </row>
    <row r="245" spans="2:14" x14ac:dyDescent="0.2">
      <c r="B245" s="160"/>
      <c r="C245" s="159"/>
      <c r="D245" s="87"/>
      <c r="E245" s="87"/>
      <c r="F245" s="79"/>
      <c r="G245" s="87"/>
      <c r="H245" s="92"/>
      <c r="I245" s="79"/>
      <c r="J245" s="79"/>
      <c r="K245" s="79"/>
      <c r="L245" s="88"/>
      <c r="M245" s="158"/>
      <c r="N245" s="157"/>
    </row>
    <row r="246" spans="2:14" x14ac:dyDescent="0.2">
      <c r="B246" s="167"/>
      <c r="C246" s="166"/>
      <c r="D246" s="165"/>
      <c r="E246" s="165"/>
      <c r="F246" s="96"/>
      <c r="G246" s="165"/>
      <c r="H246" s="171"/>
      <c r="I246" s="163"/>
      <c r="J246" s="164"/>
      <c r="K246" s="163"/>
      <c r="L246" s="162"/>
      <c r="M246" s="161"/>
      <c r="N246" s="157"/>
    </row>
    <row r="247" spans="2:14" x14ac:dyDescent="0.2">
      <c r="B247" s="160"/>
      <c r="C247" s="159"/>
      <c r="D247" s="87"/>
      <c r="E247" s="87"/>
      <c r="F247" s="79"/>
      <c r="G247" s="87"/>
      <c r="H247" s="92"/>
      <c r="I247" s="79"/>
      <c r="J247" s="79"/>
      <c r="K247" s="79"/>
      <c r="L247" s="88"/>
      <c r="M247" s="158"/>
      <c r="N247" s="157"/>
    </row>
    <row r="248" spans="2:14" x14ac:dyDescent="0.2">
      <c r="B248" s="160"/>
      <c r="C248" s="159"/>
      <c r="D248" s="87"/>
      <c r="E248" s="87"/>
      <c r="F248" s="79"/>
      <c r="G248" s="87"/>
      <c r="H248" s="92"/>
      <c r="I248" s="79"/>
      <c r="J248" s="79"/>
      <c r="K248" s="79"/>
      <c r="L248" s="88"/>
      <c r="M248" s="158"/>
      <c r="N248" s="157"/>
    </row>
    <row r="249" spans="2:14" x14ac:dyDescent="0.2">
      <c r="B249" s="167"/>
      <c r="C249" s="166"/>
      <c r="D249" s="165"/>
      <c r="E249" s="165"/>
      <c r="F249" s="96"/>
      <c r="G249" s="165"/>
      <c r="H249" s="170"/>
      <c r="I249" s="163"/>
      <c r="J249" s="164"/>
      <c r="K249" s="163"/>
      <c r="L249" s="162"/>
      <c r="M249" s="161"/>
      <c r="N249" s="157"/>
    </row>
    <row r="250" spans="2:14" x14ac:dyDescent="0.2">
      <c r="B250" s="167"/>
      <c r="C250" s="166"/>
      <c r="D250" s="165"/>
      <c r="E250" s="165"/>
      <c r="F250" s="96"/>
      <c r="G250" s="165"/>
      <c r="H250" s="170"/>
      <c r="I250" s="163"/>
      <c r="J250" s="164"/>
      <c r="K250" s="163"/>
      <c r="L250" s="162"/>
      <c r="M250" s="161"/>
      <c r="N250" s="157"/>
    </row>
    <row r="251" spans="2:14" x14ac:dyDescent="0.2">
      <c r="B251" s="160"/>
      <c r="C251" s="159"/>
      <c r="D251" s="87"/>
      <c r="E251" s="87"/>
      <c r="F251" s="79"/>
      <c r="G251" s="87"/>
      <c r="H251" s="95"/>
      <c r="I251" s="79"/>
      <c r="J251" s="79"/>
      <c r="K251" s="79"/>
      <c r="L251" s="88"/>
      <c r="M251" s="158"/>
      <c r="N251" s="157"/>
    </row>
    <row r="252" spans="2:14" x14ac:dyDescent="0.2">
      <c r="B252" s="160"/>
      <c r="C252" s="159"/>
      <c r="D252" s="87"/>
      <c r="E252" s="87"/>
      <c r="F252" s="79"/>
      <c r="G252" s="87"/>
      <c r="H252" s="80"/>
      <c r="I252" s="168"/>
      <c r="J252" s="169"/>
      <c r="K252" s="168"/>
      <c r="L252" s="88"/>
      <c r="M252" s="158"/>
      <c r="N252" s="157"/>
    </row>
    <row r="253" spans="2:14" x14ac:dyDescent="0.2">
      <c r="B253" s="167"/>
      <c r="C253" s="166"/>
      <c r="D253" s="165"/>
      <c r="E253" s="165"/>
      <c r="F253" s="96"/>
      <c r="G253" s="165"/>
      <c r="H253" s="97"/>
      <c r="I253" s="163"/>
      <c r="J253" s="164"/>
      <c r="K253" s="163"/>
      <c r="L253" s="162"/>
      <c r="M253" s="161"/>
      <c r="N253" s="157"/>
    </row>
    <row r="254" spans="2:14" x14ac:dyDescent="0.2">
      <c r="B254" s="167"/>
      <c r="C254" s="166"/>
      <c r="D254" s="165"/>
      <c r="E254" s="165"/>
      <c r="F254" s="96"/>
      <c r="G254" s="165"/>
      <c r="H254" s="97"/>
      <c r="I254" s="163"/>
      <c r="J254" s="164"/>
      <c r="K254" s="163"/>
      <c r="L254" s="162"/>
      <c r="M254" s="161"/>
      <c r="N254" s="157"/>
    </row>
    <row r="255" spans="2:14" x14ac:dyDescent="0.2">
      <c r="B255" s="167"/>
      <c r="C255" s="166"/>
      <c r="D255" s="165"/>
      <c r="E255" s="165"/>
      <c r="F255" s="96"/>
      <c r="G255" s="165"/>
      <c r="H255" s="97"/>
      <c r="I255" s="163"/>
      <c r="J255" s="164"/>
      <c r="K255" s="163"/>
      <c r="L255" s="162"/>
      <c r="M255" s="161"/>
      <c r="N255" s="157"/>
    </row>
    <row r="256" spans="2:14" x14ac:dyDescent="0.2">
      <c r="B256" s="167"/>
      <c r="C256" s="166"/>
      <c r="D256" s="165"/>
      <c r="E256" s="165"/>
      <c r="F256" s="96"/>
      <c r="G256" s="165"/>
      <c r="H256" s="97"/>
      <c r="I256" s="163"/>
      <c r="J256" s="164"/>
      <c r="K256" s="163"/>
      <c r="L256" s="162"/>
      <c r="M256" s="161"/>
      <c r="N256" s="157"/>
    </row>
    <row r="257" spans="2:14" x14ac:dyDescent="0.2">
      <c r="B257" s="160"/>
      <c r="C257" s="159"/>
      <c r="D257" s="87"/>
      <c r="E257" s="87"/>
      <c r="F257" s="79"/>
      <c r="G257" s="87"/>
      <c r="H257" s="80"/>
      <c r="I257" s="79"/>
      <c r="J257" s="79"/>
      <c r="K257" s="79"/>
      <c r="L257" s="88"/>
      <c r="M257" s="158"/>
      <c r="N257" s="157"/>
    </row>
    <row r="258" spans="2:14" x14ac:dyDescent="0.2">
      <c r="B258" s="160"/>
      <c r="C258" s="159"/>
      <c r="D258" s="87"/>
      <c r="E258" s="87"/>
      <c r="F258" s="79"/>
      <c r="G258" s="87"/>
      <c r="H258" s="80"/>
      <c r="I258" s="168"/>
      <c r="J258" s="169"/>
      <c r="K258" s="168"/>
      <c r="L258" s="88"/>
      <c r="M258" s="158"/>
      <c r="N258" s="157"/>
    </row>
    <row r="259" spans="2:14" x14ac:dyDescent="0.2">
      <c r="B259" s="167"/>
      <c r="C259" s="166"/>
      <c r="D259" s="165"/>
      <c r="E259" s="165"/>
      <c r="F259" s="96"/>
      <c r="G259" s="165"/>
      <c r="H259" s="97"/>
      <c r="I259" s="163"/>
      <c r="J259" s="164"/>
      <c r="K259" s="163"/>
      <c r="L259" s="162"/>
      <c r="M259" s="161"/>
      <c r="N259" s="157"/>
    </row>
    <row r="260" spans="2:14" x14ac:dyDescent="0.2">
      <c r="B260" s="167"/>
      <c r="C260" s="166"/>
      <c r="D260" s="165"/>
      <c r="E260" s="165"/>
      <c r="F260" s="96"/>
      <c r="G260" s="165"/>
      <c r="H260" s="97"/>
      <c r="I260" s="163"/>
      <c r="J260" s="164"/>
      <c r="K260" s="163"/>
      <c r="L260" s="162"/>
      <c r="M260" s="161"/>
      <c r="N260" s="157"/>
    </row>
    <row r="261" spans="2:14" x14ac:dyDescent="0.2">
      <c r="B261" s="167"/>
      <c r="C261" s="166"/>
      <c r="D261" s="165"/>
      <c r="E261" s="165"/>
      <c r="F261" s="96"/>
      <c r="G261" s="165"/>
      <c r="H261" s="97"/>
      <c r="I261" s="163"/>
      <c r="J261" s="164"/>
      <c r="K261" s="163"/>
      <c r="L261" s="162"/>
      <c r="M261" s="161"/>
      <c r="N261" s="157"/>
    </row>
    <row r="262" spans="2:14" x14ac:dyDescent="0.2">
      <c r="B262" s="167"/>
      <c r="C262" s="166"/>
      <c r="D262" s="165"/>
      <c r="E262" s="165"/>
      <c r="F262" s="96"/>
      <c r="G262" s="165"/>
      <c r="H262" s="97"/>
      <c r="I262" s="163"/>
      <c r="J262" s="164"/>
      <c r="K262" s="163"/>
      <c r="L262" s="162"/>
      <c r="M262" s="161"/>
      <c r="N262" s="157"/>
    </row>
    <row r="263" spans="2:14" x14ac:dyDescent="0.2">
      <c r="B263" s="167"/>
      <c r="C263" s="166"/>
      <c r="D263" s="165"/>
      <c r="E263" s="165"/>
      <c r="F263" s="96"/>
      <c r="G263" s="165"/>
      <c r="H263" s="97"/>
      <c r="I263" s="163"/>
      <c r="J263" s="164"/>
      <c r="K263" s="163"/>
      <c r="L263" s="162"/>
      <c r="M263" s="161"/>
      <c r="N263" s="157"/>
    </row>
    <row r="264" spans="2:14" x14ac:dyDescent="0.2">
      <c r="B264" s="167"/>
      <c r="C264" s="166"/>
      <c r="D264" s="165"/>
      <c r="E264" s="165"/>
      <c r="F264" s="96"/>
      <c r="G264" s="165"/>
      <c r="H264" s="97"/>
      <c r="I264" s="163"/>
      <c r="J264" s="164"/>
      <c r="K264" s="163"/>
      <c r="L264" s="162"/>
      <c r="M264" s="161"/>
      <c r="N264" s="157"/>
    </row>
    <row r="265" spans="2:14" x14ac:dyDescent="0.2">
      <c r="B265" s="167"/>
      <c r="C265" s="166"/>
      <c r="D265" s="165"/>
      <c r="E265" s="165"/>
      <c r="F265" s="96"/>
      <c r="G265" s="165"/>
      <c r="H265" s="97"/>
      <c r="I265" s="163"/>
      <c r="J265" s="164"/>
      <c r="K265" s="163"/>
      <c r="L265" s="162"/>
      <c r="M265" s="161"/>
      <c r="N265" s="157"/>
    </row>
    <row r="266" spans="2:14" x14ac:dyDescent="0.2">
      <c r="B266" s="167"/>
      <c r="C266" s="166"/>
      <c r="D266" s="165"/>
      <c r="E266" s="165"/>
      <c r="F266" s="96"/>
      <c r="G266" s="165"/>
      <c r="H266" s="97"/>
      <c r="I266" s="163"/>
      <c r="J266" s="164"/>
      <c r="K266" s="163"/>
      <c r="L266" s="162"/>
      <c r="M266" s="161"/>
      <c r="N266" s="157"/>
    </row>
    <row r="267" spans="2:14" x14ac:dyDescent="0.2">
      <c r="B267" s="167"/>
      <c r="C267" s="166"/>
      <c r="D267" s="165"/>
      <c r="E267" s="165"/>
      <c r="F267" s="96"/>
      <c r="G267" s="165"/>
      <c r="H267" s="97"/>
      <c r="I267" s="163"/>
      <c r="J267" s="164"/>
      <c r="K267" s="163"/>
      <c r="L267" s="162"/>
      <c r="M267" s="161"/>
      <c r="N267" s="157"/>
    </row>
    <row r="268" spans="2:14" x14ac:dyDescent="0.2">
      <c r="B268" s="167"/>
      <c r="C268" s="166"/>
      <c r="D268" s="165"/>
      <c r="E268" s="165"/>
      <c r="F268" s="96"/>
      <c r="G268" s="165"/>
      <c r="H268" s="97"/>
      <c r="I268" s="163"/>
      <c r="J268" s="164"/>
      <c r="K268" s="163"/>
      <c r="L268" s="162"/>
      <c r="M268" s="161"/>
      <c r="N268" s="157"/>
    </row>
    <row r="269" spans="2:14" x14ac:dyDescent="0.2">
      <c r="B269" s="167"/>
      <c r="C269" s="166"/>
      <c r="D269" s="165"/>
      <c r="E269" s="165"/>
      <c r="F269" s="96"/>
      <c r="G269" s="165"/>
      <c r="H269" s="97"/>
      <c r="I269" s="163"/>
      <c r="J269" s="164"/>
      <c r="K269" s="163"/>
      <c r="L269" s="162"/>
      <c r="M269" s="161"/>
      <c r="N269" s="157"/>
    </row>
    <row r="270" spans="2:14" x14ac:dyDescent="0.2">
      <c r="B270" s="167"/>
      <c r="C270" s="166"/>
      <c r="D270" s="165"/>
      <c r="E270" s="165"/>
      <c r="F270" s="96"/>
      <c r="G270" s="165"/>
      <c r="H270" s="97"/>
      <c r="I270" s="163"/>
      <c r="J270" s="164"/>
      <c r="K270" s="163"/>
      <c r="L270" s="162"/>
      <c r="M270" s="161"/>
      <c r="N270" s="157"/>
    </row>
    <row r="271" spans="2:14" x14ac:dyDescent="0.2">
      <c r="B271" s="167"/>
      <c r="C271" s="166"/>
      <c r="D271" s="165"/>
      <c r="E271" s="165"/>
      <c r="F271" s="96"/>
      <c r="G271" s="165"/>
      <c r="H271" s="97"/>
      <c r="I271" s="163"/>
      <c r="J271" s="164"/>
      <c r="K271" s="163"/>
      <c r="L271" s="162"/>
      <c r="M271" s="161"/>
      <c r="N271" s="157"/>
    </row>
    <row r="272" spans="2:14" x14ac:dyDescent="0.2">
      <c r="B272" s="167"/>
      <c r="C272" s="166"/>
      <c r="D272" s="165"/>
      <c r="E272" s="165"/>
      <c r="F272" s="96"/>
      <c r="G272" s="165"/>
      <c r="H272" s="97"/>
      <c r="I272" s="163"/>
      <c r="J272" s="164"/>
      <c r="K272" s="163"/>
      <c r="L272" s="162"/>
      <c r="M272" s="161"/>
      <c r="N272" s="157"/>
    </row>
    <row r="273" spans="2:14" x14ac:dyDescent="0.2">
      <c r="B273" s="167"/>
      <c r="C273" s="166"/>
      <c r="D273" s="165"/>
      <c r="E273" s="165"/>
      <c r="F273" s="96"/>
      <c r="G273" s="165"/>
      <c r="H273" s="97"/>
      <c r="I273" s="163"/>
      <c r="J273" s="164"/>
      <c r="K273" s="163"/>
      <c r="L273" s="162"/>
      <c r="M273" s="161"/>
      <c r="N273" s="157"/>
    </row>
    <row r="274" spans="2:14" x14ac:dyDescent="0.2">
      <c r="B274" s="167"/>
      <c r="C274" s="166"/>
      <c r="D274" s="165"/>
      <c r="E274" s="165"/>
      <c r="F274" s="96"/>
      <c r="G274" s="165"/>
      <c r="H274" s="97"/>
      <c r="I274" s="96"/>
      <c r="J274" s="96"/>
      <c r="K274" s="96"/>
      <c r="L274" s="162"/>
      <c r="M274" s="161"/>
      <c r="N274" s="157"/>
    </row>
    <row r="275" spans="2:14" x14ac:dyDescent="0.2">
      <c r="B275" s="167"/>
      <c r="C275" s="166"/>
      <c r="D275" s="165"/>
      <c r="E275" s="165"/>
      <c r="F275" s="96"/>
      <c r="G275" s="165"/>
      <c r="H275" s="97"/>
      <c r="I275" s="96"/>
      <c r="J275" s="96"/>
      <c r="K275" s="96"/>
      <c r="L275" s="162"/>
      <c r="M275" s="161"/>
      <c r="N275" s="157"/>
    </row>
    <row r="276" spans="2:14" x14ac:dyDescent="0.2">
      <c r="B276" s="167"/>
      <c r="C276" s="166"/>
      <c r="D276" s="165"/>
      <c r="E276" s="165"/>
      <c r="F276" s="96"/>
      <c r="G276" s="165"/>
      <c r="H276" s="97"/>
      <c r="I276" s="163"/>
      <c r="J276" s="164"/>
      <c r="K276" s="163"/>
      <c r="L276" s="162"/>
      <c r="M276" s="161"/>
      <c r="N276" s="157"/>
    </row>
    <row r="277" spans="2:14" x14ac:dyDescent="0.2">
      <c r="B277" s="160"/>
      <c r="C277" s="159"/>
      <c r="D277" s="87"/>
      <c r="E277" s="87"/>
      <c r="F277" s="79"/>
      <c r="G277" s="87"/>
      <c r="H277" s="80"/>
      <c r="I277" s="79"/>
      <c r="J277" s="79"/>
      <c r="K277" s="79"/>
      <c r="L277" s="88"/>
      <c r="M277" s="158"/>
      <c r="N277" s="157"/>
    </row>
    <row r="278" spans="2:14" x14ac:dyDescent="0.2">
      <c r="B278" s="160"/>
      <c r="C278" s="159"/>
      <c r="D278" s="87"/>
      <c r="E278" s="87"/>
      <c r="F278" s="79"/>
      <c r="G278" s="87"/>
      <c r="H278" s="80"/>
      <c r="I278" s="79"/>
      <c r="J278" s="79"/>
      <c r="K278" s="79"/>
      <c r="L278" s="88"/>
      <c r="M278" s="158"/>
      <c r="N278" s="157"/>
    </row>
    <row r="279" spans="2:14" x14ac:dyDescent="0.2">
      <c r="B279" s="167"/>
      <c r="C279" s="166"/>
      <c r="D279" s="165"/>
      <c r="E279" s="165"/>
      <c r="F279" s="96"/>
      <c r="G279" s="165"/>
      <c r="H279" s="97"/>
      <c r="I279" s="163"/>
      <c r="J279" s="164"/>
      <c r="K279" s="163"/>
      <c r="L279" s="162"/>
      <c r="M279" s="161"/>
      <c r="N279" s="157"/>
    </row>
    <row r="280" spans="2:14" x14ac:dyDescent="0.2">
      <c r="B280" s="167"/>
      <c r="C280" s="166"/>
      <c r="D280" s="165"/>
      <c r="E280" s="165"/>
      <c r="F280" s="96"/>
      <c r="G280" s="165"/>
      <c r="H280" s="97"/>
      <c r="I280" s="163"/>
      <c r="J280" s="164"/>
      <c r="K280" s="163"/>
      <c r="L280" s="162"/>
      <c r="M280" s="161"/>
      <c r="N280" s="157"/>
    </row>
    <row r="281" spans="2:14" x14ac:dyDescent="0.2">
      <c r="B281" s="160"/>
      <c r="C281" s="159"/>
      <c r="D281" s="87"/>
      <c r="E281" s="87"/>
      <c r="F281" s="79"/>
      <c r="G281" s="87"/>
      <c r="H281" s="80"/>
      <c r="I281" s="79"/>
      <c r="J281" s="79"/>
      <c r="K281" s="79"/>
      <c r="L281" s="88"/>
      <c r="M281" s="158"/>
      <c r="N281" s="157"/>
    </row>
    <row r="282" spans="2:14" x14ac:dyDescent="0.2">
      <c r="B282" s="167"/>
      <c r="C282" s="166"/>
      <c r="D282" s="165"/>
      <c r="E282" s="165"/>
      <c r="F282" s="96"/>
      <c r="G282" s="165"/>
      <c r="H282" s="97"/>
      <c r="I282" s="163"/>
      <c r="J282" s="164"/>
      <c r="K282" s="163"/>
      <c r="L282" s="162"/>
      <c r="M282" s="161"/>
      <c r="N282" s="157"/>
    </row>
    <row r="283" spans="2:14" x14ac:dyDescent="0.2">
      <c r="B283" s="167"/>
      <c r="C283" s="166"/>
      <c r="D283" s="165"/>
      <c r="E283" s="165"/>
      <c r="F283" s="96"/>
      <c r="G283" s="165"/>
      <c r="H283" s="97"/>
      <c r="I283" s="163"/>
      <c r="J283" s="164"/>
      <c r="K283" s="163"/>
      <c r="L283" s="162"/>
      <c r="M283" s="161"/>
      <c r="N283" s="157"/>
    </row>
    <row r="284" spans="2:14" x14ac:dyDescent="0.2">
      <c r="B284" s="167"/>
      <c r="C284" s="166"/>
      <c r="D284" s="165"/>
      <c r="E284" s="165"/>
      <c r="F284" s="96"/>
      <c r="G284" s="165"/>
      <c r="H284" s="97"/>
      <c r="I284" s="163"/>
      <c r="J284" s="164"/>
      <c r="K284" s="163"/>
      <c r="L284" s="162"/>
      <c r="M284" s="161"/>
      <c r="N284" s="157"/>
    </row>
    <row r="285" spans="2:14" x14ac:dyDescent="0.2">
      <c r="B285" s="160"/>
      <c r="C285" s="159"/>
      <c r="D285" s="87"/>
      <c r="E285" s="87"/>
      <c r="F285" s="79"/>
      <c r="G285" s="87"/>
      <c r="H285" s="80"/>
      <c r="I285" s="79"/>
      <c r="J285" s="79"/>
      <c r="K285" s="79"/>
      <c r="L285" s="88"/>
      <c r="M285" s="158"/>
      <c r="N285" s="157"/>
    </row>
    <row r="286" spans="2:14" x14ac:dyDescent="0.2">
      <c r="B286" s="160"/>
      <c r="C286" s="159"/>
      <c r="D286" s="87"/>
      <c r="E286" s="87"/>
      <c r="F286" s="79"/>
      <c r="G286" s="87"/>
      <c r="H286" s="80"/>
      <c r="I286" s="79"/>
      <c r="J286" s="79"/>
      <c r="K286" s="79"/>
      <c r="L286" s="88"/>
      <c r="M286" s="158"/>
      <c r="N286" s="157"/>
    </row>
    <row r="287" spans="2:14" x14ac:dyDescent="0.2">
      <c r="B287" s="160"/>
      <c r="C287" s="166"/>
      <c r="D287" s="165"/>
      <c r="E287" s="165"/>
      <c r="F287" s="96"/>
      <c r="G287" s="165"/>
      <c r="H287" s="97"/>
      <c r="I287" s="163"/>
      <c r="J287" s="164"/>
      <c r="K287" s="163"/>
      <c r="L287" s="162"/>
      <c r="M287" s="161"/>
      <c r="N287" s="157"/>
    </row>
    <row r="288" spans="2:14" x14ac:dyDescent="0.2">
      <c r="B288" s="160"/>
      <c r="C288" s="166"/>
      <c r="D288" s="165"/>
      <c r="E288" s="165"/>
      <c r="F288" s="96"/>
      <c r="G288" s="165"/>
      <c r="H288" s="97"/>
      <c r="I288" s="163"/>
      <c r="J288" s="164"/>
      <c r="K288" s="163"/>
      <c r="L288" s="162"/>
      <c r="M288" s="161"/>
      <c r="N288" s="157"/>
    </row>
    <row r="289" spans="2:14" x14ac:dyDescent="0.2">
      <c r="B289" s="160"/>
      <c r="C289" s="166"/>
      <c r="D289" s="165"/>
      <c r="E289" s="165"/>
      <c r="F289" s="96"/>
      <c r="G289" s="165"/>
      <c r="H289" s="97"/>
      <c r="I289" s="163"/>
      <c r="J289" s="164"/>
      <c r="K289" s="163"/>
      <c r="L289" s="162"/>
      <c r="M289" s="161"/>
      <c r="N289" s="157"/>
    </row>
    <row r="290" spans="2:14" x14ac:dyDescent="0.2">
      <c r="B290" s="167"/>
      <c r="C290" s="166"/>
      <c r="D290" s="165"/>
      <c r="E290" s="165"/>
      <c r="F290" s="96"/>
      <c r="G290" s="165"/>
      <c r="H290" s="97"/>
      <c r="I290" s="163"/>
      <c r="J290" s="164"/>
      <c r="K290" s="163"/>
      <c r="L290" s="162"/>
      <c r="M290" s="161"/>
      <c r="N290" s="157"/>
    </row>
    <row r="291" spans="2:14" x14ac:dyDescent="0.2">
      <c r="B291" s="160"/>
      <c r="C291" s="159"/>
      <c r="D291" s="87"/>
      <c r="E291" s="87"/>
      <c r="F291" s="79"/>
      <c r="G291" s="87"/>
      <c r="H291" s="80"/>
      <c r="I291" s="79"/>
      <c r="J291" s="79"/>
      <c r="K291" s="79"/>
      <c r="L291" s="88"/>
      <c r="M291" s="158"/>
      <c r="N291" s="157"/>
    </row>
    <row r="292" spans="2:14" x14ac:dyDescent="0.2">
      <c r="B292" s="167"/>
      <c r="C292" s="166"/>
      <c r="D292" s="165"/>
      <c r="E292" s="165"/>
      <c r="F292" s="96"/>
      <c r="G292" s="165"/>
      <c r="H292" s="97"/>
      <c r="I292" s="163"/>
      <c r="J292" s="164"/>
      <c r="K292" s="163"/>
      <c r="L292" s="162"/>
      <c r="M292" s="161"/>
      <c r="N292" s="157"/>
    </row>
    <row r="293" spans="2:14" x14ac:dyDescent="0.2">
      <c r="B293" s="167"/>
      <c r="C293" s="166"/>
      <c r="D293" s="165"/>
      <c r="E293" s="165"/>
      <c r="F293" s="96"/>
      <c r="G293" s="165"/>
      <c r="H293" s="97"/>
      <c r="I293" s="163"/>
      <c r="J293" s="164"/>
      <c r="K293" s="163"/>
      <c r="L293" s="162"/>
      <c r="M293" s="161"/>
      <c r="N293" s="157"/>
    </row>
    <row r="294" spans="2:14" x14ac:dyDescent="0.2">
      <c r="B294" s="160"/>
      <c r="C294" s="159"/>
      <c r="D294" s="87"/>
      <c r="E294" s="87"/>
      <c r="F294" s="79"/>
      <c r="G294" s="87"/>
      <c r="H294" s="80"/>
      <c r="I294" s="79"/>
      <c r="J294" s="79"/>
      <c r="K294" s="79"/>
      <c r="L294" s="88"/>
      <c r="M294" s="158"/>
      <c r="N294" s="157"/>
    </row>
    <row r="295" spans="2:14" x14ac:dyDescent="0.2">
      <c r="B295" s="160"/>
      <c r="C295" s="159"/>
      <c r="D295" s="87"/>
      <c r="E295" s="87"/>
      <c r="F295" s="79"/>
      <c r="G295" s="87"/>
      <c r="H295" s="80"/>
      <c r="I295" s="79"/>
      <c r="J295" s="79"/>
      <c r="K295" s="79"/>
      <c r="L295" s="88"/>
      <c r="M295" s="158"/>
      <c r="N295" s="157"/>
    </row>
    <row r="296" spans="2:14" x14ac:dyDescent="0.2">
      <c r="B296" s="167"/>
      <c r="C296" s="166"/>
      <c r="D296" s="165"/>
      <c r="E296" s="165"/>
      <c r="F296" s="96"/>
      <c r="G296" s="165"/>
      <c r="H296" s="97"/>
      <c r="I296" s="163"/>
      <c r="J296" s="164"/>
      <c r="K296" s="163"/>
      <c r="L296" s="162"/>
      <c r="M296" s="161"/>
      <c r="N296" s="157"/>
    </row>
    <row r="297" spans="2:14" x14ac:dyDescent="0.2">
      <c r="B297" s="160"/>
      <c r="C297" s="159"/>
      <c r="D297" s="87"/>
      <c r="E297" s="87"/>
      <c r="F297" s="79"/>
      <c r="G297" s="87"/>
      <c r="H297" s="80"/>
      <c r="I297" s="79"/>
      <c r="J297" s="79"/>
      <c r="K297" s="79"/>
      <c r="L297" s="88"/>
      <c r="M297" s="158"/>
      <c r="N297" s="157"/>
    </row>
    <row r="298" spans="2:14" x14ac:dyDescent="0.2">
      <c r="B298" s="167"/>
      <c r="C298" s="166"/>
      <c r="D298" s="165"/>
      <c r="E298" s="165"/>
      <c r="F298" s="96"/>
      <c r="G298" s="165"/>
      <c r="H298" s="97"/>
      <c r="I298" s="163"/>
      <c r="J298" s="164"/>
      <c r="K298" s="163"/>
      <c r="L298" s="162"/>
      <c r="M298" s="161"/>
      <c r="N298" s="157"/>
    </row>
    <row r="299" spans="2:14" x14ac:dyDescent="0.2">
      <c r="B299" s="167"/>
      <c r="C299" s="166"/>
      <c r="D299" s="165"/>
      <c r="E299" s="165"/>
      <c r="F299" s="96"/>
      <c r="G299" s="165"/>
      <c r="H299" s="97"/>
      <c r="I299" s="163"/>
      <c r="J299" s="164"/>
      <c r="K299" s="163"/>
      <c r="L299" s="162"/>
      <c r="M299" s="161"/>
      <c r="N299" s="157"/>
    </row>
    <row r="300" spans="2:14" x14ac:dyDescent="0.2">
      <c r="B300" s="167"/>
      <c r="C300" s="166"/>
      <c r="D300" s="165"/>
      <c r="E300" s="165"/>
      <c r="F300" s="96"/>
      <c r="G300" s="165"/>
      <c r="H300" s="97"/>
      <c r="I300" s="163"/>
      <c r="J300" s="164"/>
      <c r="K300" s="163"/>
      <c r="L300" s="162"/>
      <c r="M300" s="161"/>
      <c r="N300" s="157"/>
    </row>
    <row r="301" spans="2:14" x14ac:dyDescent="0.2">
      <c r="B301" s="160"/>
      <c r="C301" s="159"/>
      <c r="D301" s="87"/>
      <c r="E301" s="87"/>
      <c r="F301" s="79"/>
      <c r="G301" s="87"/>
      <c r="H301" s="80"/>
      <c r="I301" s="79"/>
      <c r="J301" s="79"/>
      <c r="K301" s="79"/>
      <c r="L301" s="88"/>
      <c r="M301" s="158"/>
      <c r="N301" s="157"/>
    </row>
    <row r="302" spans="2:14" x14ac:dyDescent="0.2">
      <c r="B302" s="167"/>
      <c r="C302" s="166"/>
      <c r="D302" s="165"/>
      <c r="E302" s="165"/>
      <c r="F302" s="96"/>
      <c r="G302" s="165"/>
      <c r="H302" s="97"/>
      <c r="I302" s="163"/>
      <c r="J302" s="164"/>
      <c r="K302" s="163"/>
      <c r="L302" s="162"/>
      <c r="M302" s="161"/>
      <c r="N302" s="157"/>
    </row>
    <row r="303" spans="2:14" x14ac:dyDescent="0.2">
      <c r="B303" s="167"/>
      <c r="C303" s="166"/>
      <c r="D303" s="165"/>
      <c r="E303" s="165"/>
      <c r="F303" s="96"/>
      <c r="G303" s="165"/>
      <c r="H303" s="97"/>
      <c r="I303" s="163"/>
      <c r="J303" s="164"/>
      <c r="K303" s="163"/>
      <c r="L303" s="162"/>
      <c r="M303" s="161"/>
      <c r="N303" s="157"/>
    </row>
    <row r="304" spans="2:14" x14ac:dyDescent="0.2">
      <c r="B304" s="167"/>
      <c r="C304" s="166"/>
      <c r="D304" s="165"/>
      <c r="E304" s="165"/>
      <c r="F304" s="96"/>
      <c r="G304" s="165"/>
      <c r="H304" s="97"/>
      <c r="I304" s="163"/>
      <c r="J304" s="164"/>
      <c r="K304" s="163"/>
      <c r="L304" s="162"/>
      <c r="M304" s="161"/>
      <c r="N304" s="157"/>
    </row>
    <row r="305" spans="2:14" x14ac:dyDescent="0.2">
      <c r="B305" s="167"/>
      <c r="C305" s="166"/>
      <c r="D305" s="165"/>
      <c r="E305" s="165"/>
      <c r="F305" s="96"/>
      <c r="G305" s="165"/>
      <c r="H305" s="97"/>
      <c r="I305" s="163"/>
      <c r="J305" s="164"/>
      <c r="K305" s="163"/>
      <c r="L305" s="162"/>
      <c r="M305" s="161"/>
      <c r="N305" s="157"/>
    </row>
    <row r="306" spans="2:14" x14ac:dyDescent="0.2">
      <c r="B306" s="167"/>
      <c r="C306" s="166"/>
      <c r="D306" s="165"/>
      <c r="E306" s="165"/>
      <c r="F306" s="96"/>
      <c r="G306" s="165"/>
      <c r="H306" s="97"/>
      <c r="I306" s="163"/>
      <c r="J306" s="164"/>
      <c r="K306" s="163"/>
      <c r="L306" s="162"/>
      <c r="M306" s="161"/>
      <c r="N306" s="157"/>
    </row>
    <row r="307" spans="2:14" x14ac:dyDescent="0.2">
      <c r="B307" s="167"/>
      <c r="C307" s="166"/>
      <c r="D307" s="165"/>
      <c r="E307" s="165"/>
      <c r="F307" s="96"/>
      <c r="G307" s="165"/>
      <c r="H307" s="97"/>
      <c r="I307" s="163"/>
      <c r="J307" s="164"/>
      <c r="K307" s="163"/>
      <c r="L307" s="162"/>
      <c r="M307" s="161"/>
      <c r="N307" s="157"/>
    </row>
    <row r="308" spans="2:14" x14ac:dyDescent="0.2">
      <c r="B308" s="160"/>
      <c r="C308" s="159"/>
      <c r="D308" s="87"/>
      <c r="E308" s="87"/>
      <c r="F308" s="79"/>
      <c r="G308" s="87"/>
      <c r="H308" s="80"/>
      <c r="I308" s="79"/>
      <c r="J308" s="79"/>
      <c r="K308" s="79"/>
      <c r="L308" s="88"/>
      <c r="M308" s="158"/>
      <c r="N308" s="157"/>
    </row>
    <row r="309" spans="2:14" x14ac:dyDescent="0.2">
      <c r="B309" s="167"/>
      <c r="C309" s="166"/>
      <c r="D309" s="165"/>
      <c r="E309" s="165"/>
      <c r="F309" s="96"/>
      <c r="G309" s="165"/>
      <c r="H309" s="97"/>
      <c r="I309" s="163"/>
      <c r="J309" s="164"/>
      <c r="K309" s="163"/>
      <c r="L309" s="162"/>
      <c r="M309" s="161"/>
      <c r="N309" s="157"/>
    </row>
    <row r="310" spans="2:14" x14ac:dyDescent="0.2">
      <c r="B310" s="167"/>
      <c r="C310" s="166"/>
      <c r="D310" s="165"/>
      <c r="E310" s="165"/>
      <c r="F310" s="96"/>
      <c r="G310" s="165"/>
      <c r="H310" s="97"/>
      <c r="I310" s="163"/>
      <c r="J310" s="164"/>
      <c r="K310" s="163"/>
      <c r="L310" s="162"/>
      <c r="M310" s="161"/>
      <c r="N310" s="157"/>
    </row>
    <row r="311" spans="2:14" x14ac:dyDescent="0.2">
      <c r="B311" s="160"/>
      <c r="C311" s="159"/>
      <c r="D311" s="87"/>
      <c r="E311" s="87"/>
      <c r="F311" s="79"/>
      <c r="G311" s="87"/>
      <c r="H311" s="80"/>
      <c r="I311" s="79"/>
      <c r="J311" s="79"/>
      <c r="K311" s="79"/>
      <c r="L311" s="88"/>
      <c r="M311" s="158"/>
      <c r="N311" s="157"/>
    </row>
    <row r="312" spans="2:14" x14ac:dyDescent="0.2">
      <c r="B312" s="167"/>
      <c r="C312" s="166"/>
      <c r="D312" s="165"/>
      <c r="E312" s="165"/>
      <c r="F312" s="96"/>
      <c r="G312" s="165"/>
      <c r="H312" s="97"/>
      <c r="I312" s="163"/>
      <c r="J312" s="164"/>
      <c r="K312" s="163"/>
      <c r="L312" s="162"/>
      <c r="M312" s="161"/>
      <c r="N312" s="157"/>
    </row>
    <row r="313" spans="2:14" x14ac:dyDescent="0.2">
      <c r="B313" s="167"/>
      <c r="C313" s="166"/>
      <c r="D313" s="165"/>
      <c r="E313" s="165"/>
      <c r="F313" s="96"/>
      <c r="G313" s="165"/>
      <c r="H313" s="97"/>
      <c r="I313" s="163"/>
      <c r="J313" s="164"/>
      <c r="K313" s="163"/>
      <c r="L313" s="162"/>
      <c r="M313" s="161"/>
      <c r="N313" s="157"/>
    </row>
    <row r="314" spans="2:14" x14ac:dyDescent="0.2">
      <c r="B314" s="160"/>
      <c r="C314" s="159"/>
      <c r="D314" s="87"/>
      <c r="E314" s="87"/>
      <c r="F314" s="79"/>
      <c r="G314" s="87"/>
      <c r="H314" s="80"/>
      <c r="I314" s="79"/>
      <c r="J314" s="79"/>
      <c r="K314" s="79"/>
      <c r="L314" s="88"/>
      <c r="M314" s="158"/>
      <c r="N314" s="157"/>
    </row>
    <row r="315" spans="2:14" x14ac:dyDescent="0.2">
      <c r="B315" s="160"/>
      <c r="C315" s="159"/>
      <c r="D315" s="87"/>
      <c r="E315" s="87"/>
      <c r="F315" s="79"/>
      <c r="G315" s="87"/>
      <c r="H315" s="80"/>
      <c r="I315" s="168"/>
      <c r="J315" s="169"/>
      <c r="K315" s="168"/>
      <c r="L315" s="88"/>
      <c r="M315" s="158"/>
      <c r="N315" s="157"/>
    </row>
    <row r="316" spans="2:14" x14ac:dyDescent="0.2">
      <c r="B316" s="167"/>
      <c r="C316" s="166"/>
      <c r="D316" s="165"/>
      <c r="E316" s="165"/>
      <c r="F316" s="96"/>
      <c r="G316" s="165"/>
      <c r="H316" s="97"/>
      <c r="I316" s="163"/>
      <c r="J316" s="164"/>
      <c r="K316" s="163"/>
      <c r="L316" s="162"/>
      <c r="M316" s="161"/>
      <c r="N316" s="157"/>
    </row>
    <row r="317" spans="2:14" x14ac:dyDescent="0.2">
      <c r="B317" s="160"/>
      <c r="C317" s="159"/>
      <c r="D317" s="87"/>
      <c r="E317" s="87"/>
      <c r="F317" s="79"/>
      <c r="G317" s="87"/>
      <c r="H317" s="80"/>
      <c r="I317" s="79"/>
      <c r="J317" s="79"/>
      <c r="K317" s="79"/>
      <c r="L317" s="88"/>
      <c r="M317" s="158"/>
      <c r="N317" s="157"/>
    </row>
    <row r="318" spans="2:14" x14ac:dyDescent="0.2">
      <c r="B318" s="160"/>
      <c r="C318" s="159"/>
      <c r="D318" s="87"/>
      <c r="E318" s="87"/>
      <c r="F318" s="79"/>
      <c r="G318" s="87"/>
      <c r="H318" s="80"/>
      <c r="I318" s="168"/>
      <c r="J318" s="169"/>
      <c r="K318" s="168"/>
      <c r="L318" s="88"/>
      <c r="M318" s="158"/>
      <c r="N318" s="157"/>
    </row>
    <row r="319" spans="2:14" x14ac:dyDescent="0.2">
      <c r="B319" s="167"/>
      <c r="C319" s="166"/>
      <c r="D319" s="165"/>
      <c r="E319" s="165"/>
      <c r="F319" s="96"/>
      <c r="G319" s="165"/>
      <c r="H319" s="97"/>
      <c r="I319" s="163"/>
      <c r="J319" s="164"/>
      <c r="K319" s="163"/>
      <c r="L319" s="162"/>
      <c r="M319" s="161"/>
      <c r="N319" s="157"/>
    </row>
    <row r="320" spans="2:14" x14ac:dyDescent="0.2">
      <c r="B320" s="160"/>
      <c r="C320" s="159"/>
      <c r="D320" s="87"/>
      <c r="E320" s="87"/>
      <c r="F320" s="79"/>
      <c r="G320" s="87"/>
      <c r="H320" s="80"/>
      <c r="I320" s="79"/>
      <c r="J320" s="79"/>
      <c r="K320" s="79"/>
      <c r="L320" s="88"/>
      <c r="M320" s="158"/>
      <c r="N320" s="157"/>
    </row>
    <row r="321" spans="2:14" x14ac:dyDescent="0.2">
      <c r="B321" s="160"/>
      <c r="C321" s="159"/>
      <c r="D321" s="87"/>
      <c r="E321" s="87"/>
      <c r="F321" s="79"/>
      <c r="G321" s="87"/>
      <c r="H321" s="80"/>
      <c r="I321" s="79"/>
      <c r="J321" s="79"/>
      <c r="K321" s="79"/>
      <c r="L321" s="88"/>
      <c r="M321" s="158"/>
      <c r="N321" s="157"/>
    </row>
    <row r="322" spans="2:14" x14ac:dyDescent="0.2">
      <c r="B322" s="167"/>
      <c r="C322" s="166"/>
      <c r="D322" s="165"/>
      <c r="E322" s="165"/>
      <c r="F322" s="96"/>
      <c r="G322" s="165"/>
      <c r="H322" s="97"/>
      <c r="I322" s="163"/>
      <c r="J322" s="164"/>
      <c r="K322" s="163"/>
      <c r="L322" s="162"/>
      <c r="M322" s="161"/>
      <c r="N322" s="157"/>
    </row>
    <row r="323" spans="2:14" x14ac:dyDescent="0.2">
      <c r="B323" s="160"/>
      <c r="C323" s="159"/>
      <c r="D323" s="87"/>
      <c r="E323" s="87"/>
      <c r="F323" s="79"/>
      <c r="G323" s="87"/>
      <c r="H323" s="80"/>
      <c r="I323" s="79"/>
      <c r="J323" s="79"/>
      <c r="K323" s="79"/>
      <c r="L323" s="88"/>
      <c r="M323" s="158"/>
      <c r="N323" s="157"/>
    </row>
    <row r="324" spans="2:14" x14ac:dyDescent="0.2">
      <c r="B324" s="160"/>
      <c r="C324" s="159"/>
      <c r="D324" s="87"/>
      <c r="E324" s="87"/>
      <c r="F324" s="79"/>
      <c r="G324" s="87"/>
      <c r="H324" s="80"/>
      <c r="I324" s="168"/>
      <c r="J324" s="169"/>
      <c r="K324" s="168"/>
      <c r="L324" s="88"/>
      <c r="M324" s="158"/>
      <c r="N324" s="157"/>
    </row>
    <row r="325" spans="2:14" x14ac:dyDescent="0.2">
      <c r="B325" s="167"/>
      <c r="C325" s="166"/>
      <c r="D325" s="165"/>
      <c r="E325" s="165"/>
      <c r="F325" s="96"/>
      <c r="G325" s="165"/>
      <c r="H325" s="97"/>
      <c r="I325" s="163"/>
      <c r="J325" s="164"/>
      <c r="K325" s="163"/>
      <c r="L325" s="162"/>
      <c r="M325" s="161"/>
      <c r="N325" s="157"/>
    </row>
    <row r="326" spans="2:14" x14ac:dyDescent="0.2">
      <c r="B326" s="167"/>
      <c r="C326" s="166"/>
      <c r="D326" s="165"/>
      <c r="E326" s="165"/>
      <c r="F326" s="96"/>
      <c r="G326" s="165"/>
      <c r="H326" s="97"/>
      <c r="I326" s="163"/>
      <c r="J326" s="164"/>
      <c r="K326" s="163"/>
      <c r="L326" s="162"/>
      <c r="M326" s="161"/>
      <c r="N326" s="157"/>
    </row>
    <row r="327" spans="2:14" x14ac:dyDescent="0.2">
      <c r="B327" s="167"/>
      <c r="C327" s="166"/>
      <c r="D327" s="165"/>
      <c r="E327" s="165"/>
      <c r="F327" s="96"/>
      <c r="G327" s="165"/>
      <c r="H327" s="97"/>
      <c r="I327" s="163"/>
      <c r="J327" s="164"/>
      <c r="K327" s="163"/>
      <c r="L327" s="162"/>
      <c r="M327" s="161"/>
      <c r="N327" s="157"/>
    </row>
    <row r="328" spans="2:14" x14ac:dyDescent="0.2">
      <c r="B328" s="160"/>
      <c r="C328" s="159"/>
      <c r="D328" s="87"/>
      <c r="E328" s="87"/>
      <c r="F328" s="79"/>
      <c r="G328" s="87"/>
      <c r="H328" s="80"/>
      <c r="I328" s="79"/>
      <c r="J328" s="79"/>
      <c r="K328" s="79"/>
      <c r="L328" s="88"/>
      <c r="M328" s="158"/>
      <c r="N328" s="157"/>
    </row>
    <row r="329" spans="2:14" x14ac:dyDescent="0.2">
      <c r="B329" s="160"/>
      <c r="C329" s="159"/>
      <c r="D329" s="87"/>
      <c r="E329" s="87"/>
      <c r="F329" s="79"/>
      <c r="G329" s="87"/>
      <c r="H329" s="80"/>
      <c r="I329" s="168"/>
      <c r="J329" s="169"/>
      <c r="K329" s="168"/>
      <c r="L329" s="88"/>
      <c r="M329" s="158"/>
      <c r="N329" s="157"/>
    </row>
    <row r="330" spans="2:14" x14ac:dyDescent="0.2">
      <c r="B330" s="167"/>
      <c r="C330" s="166"/>
      <c r="D330" s="165"/>
      <c r="E330" s="165"/>
      <c r="F330" s="96"/>
      <c r="G330" s="165"/>
      <c r="H330" s="97"/>
      <c r="I330" s="163"/>
      <c r="J330" s="164"/>
      <c r="K330" s="163"/>
      <c r="L330" s="162"/>
      <c r="M330" s="161"/>
      <c r="N330" s="157"/>
    </row>
    <row r="331" spans="2:14" x14ac:dyDescent="0.2">
      <c r="B331" s="160"/>
      <c r="C331" s="159"/>
      <c r="D331" s="87"/>
      <c r="E331" s="87"/>
      <c r="F331" s="79"/>
      <c r="G331" s="87"/>
      <c r="H331" s="80"/>
      <c r="I331" s="79"/>
      <c r="J331" s="79"/>
      <c r="K331" s="79"/>
      <c r="L331" s="88"/>
      <c r="M331" s="158"/>
      <c r="N331" s="157"/>
    </row>
    <row r="332" spans="2:14" x14ac:dyDescent="0.2">
      <c r="B332" s="160"/>
      <c r="C332" s="159"/>
      <c r="D332" s="87"/>
      <c r="E332" s="87"/>
      <c r="F332" s="79"/>
      <c r="G332" s="87"/>
      <c r="H332" s="80"/>
      <c r="I332" s="168"/>
      <c r="J332" s="169"/>
      <c r="K332" s="168"/>
      <c r="L332" s="88"/>
      <c r="M332" s="158"/>
      <c r="N332" s="157"/>
    </row>
    <row r="333" spans="2:14" x14ac:dyDescent="0.2">
      <c r="B333" s="167"/>
      <c r="C333" s="166"/>
      <c r="D333" s="165"/>
      <c r="E333" s="165"/>
      <c r="F333" s="96"/>
      <c r="G333" s="165"/>
      <c r="H333" s="97"/>
      <c r="I333" s="163"/>
      <c r="J333" s="164"/>
      <c r="K333" s="163"/>
      <c r="L333" s="162"/>
      <c r="M333" s="161"/>
      <c r="N333" s="157"/>
    </row>
    <row r="334" spans="2:14" x14ac:dyDescent="0.2">
      <c r="B334" s="160"/>
      <c r="C334" s="159"/>
      <c r="D334" s="87"/>
      <c r="E334" s="87"/>
      <c r="F334" s="79"/>
      <c r="G334" s="87"/>
      <c r="H334" s="80"/>
      <c r="I334" s="79"/>
      <c r="J334" s="79"/>
      <c r="K334" s="79"/>
      <c r="L334" s="88"/>
      <c r="M334" s="158"/>
      <c r="N334" s="157"/>
    </row>
    <row r="335" spans="2:14" x14ac:dyDescent="0.2">
      <c r="B335" s="156"/>
      <c r="C335" s="156"/>
      <c r="D335" s="156"/>
      <c r="E335" s="102"/>
      <c r="F335" s="102"/>
      <c r="G335" s="156"/>
      <c r="H335" s="156"/>
      <c r="I335" s="156"/>
      <c r="J335" s="156"/>
      <c r="K335" s="156"/>
      <c r="L335" s="102"/>
      <c r="M335" s="156"/>
      <c r="N335" s="156"/>
    </row>
    <row r="336" spans="2:14" x14ac:dyDescent="0.2">
      <c r="H336" s="151"/>
    </row>
    <row r="337" spans="5:12" x14ac:dyDescent="0.2">
      <c r="E337" s="32"/>
      <c r="F337" s="32"/>
      <c r="H337" s="151"/>
    </row>
    <row r="339" spans="5:12" x14ac:dyDescent="0.2">
      <c r="E339" s="32"/>
      <c r="F339" s="32"/>
      <c r="H339" s="151"/>
    </row>
    <row r="340" spans="5:12" x14ac:dyDescent="0.2">
      <c r="E340" s="32"/>
      <c r="F340" s="32"/>
      <c r="H340" s="151"/>
    </row>
    <row r="341" spans="5:12" x14ac:dyDescent="0.2">
      <c r="E341" s="32"/>
      <c r="F341" s="32"/>
      <c r="L341" s="155"/>
    </row>
    <row r="342" spans="5:12" x14ac:dyDescent="0.2">
      <c r="E342" s="32"/>
      <c r="F342" s="32"/>
      <c r="L342" s="155"/>
    </row>
    <row r="343" spans="5:12" x14ac:dyDescent="0.2">
      <c r="E343" s="32"/>
      <c r="F343" s="32"/>
      <c r="L343" s="154"/>
    </row>
    <row r="345" spans="5:12" x14ac:dyDescent="0.2">
      <c r="E345" s="32"/>
      <c r="F345" s="32"/>
      <c r="L345" s="153"/>
    </row>
    <row r="349" spans="5:12" x14ac:dyDescent="0.2">
      <c r="E349" s="32"/>
      <c r="F349" s="32"/>
      <c r="G349" s="151"/>
    </row>
    <row r="350" spans="5:12" x14ac:dyDescent="0.2">
      <c r="E350" s="32"/>
      <c r="F350" s="32"/>
      <c r="G350" s="152"/>
    </row>
    <row r="353" spans="5:12" x14ac:dyDescent="0.2">
      <c r="E353" s="32"/>
      <c r="F353" s="32"/>
      <c r="G353" s="151"/>
      <c r="L353" s="32"/>
    </row>
  </sheetData>
  <mergeCells count="2">
    <mergeCell ref="I16:J17"/>
    <mergeCell ref="S16:T17"/>
  </mergeCells>
  <conditionalFormatting sqref="E184:E185 E232:E233 E225 E215:E216 E187:E188 E228:E229 E63 E236:E238 E29">
    <cfRule type="containsText" dxfId="1183" priority="503" operator="containsText" text="Buy">
      <formula>NOT(ISERROR(SEARCH("Buy",E29)))</formula>
    </cfRule>
    <cfRule type="containsText" dxfId="1182" priority="504" operator="containsText" text="Sell">
      <formula>NOT(ISERROR(SEARCH("Sell",E29)))</formula>
    </cfRule>
  </conditionalFormatting>
  <conditionalFormatting sqref="E257:E258 E247:E248 E252">
    <cfRule type="containsText" dxfId="1181" priority="501" operator="containsText" text="Buy">
      <formula>NOT(ISERROR(SEARCH("Buy",E247)))</formula>
    </cfRule>
    <cfRule type="containsText" dxfId="1180" priority="502" operator="containsText" text="Sell">
      <formula>NOT(ISERROR(SEARCH("Sell",E247)))</formula>
    </cfRule>
  </conditionalFormatting>
  <conditionalFormatting sqref="E273:E275 E332 E329 E324 E318 E315 E312 E309 E302 E298 E292 E282">
    <cfRule type="containsText" dxfId="1179" priority="499" operator="containsText" text="Buy">
      <formula>NOT(ISERROR(SEARCH("Buy",E273)))</formula>
    </cfRule>
    <cfRule type="containsText" dxfId="1178" priority="500" operator="containsText" text="Sell">
      <formula>NOT(ISERROR(SEARCH("Sell",E273)))</formula>
    </cfRule>
  </conditionalFormatting>
  <conditionalFormatting sqref="E272">
    <cfRule type="containsText" dxfId="1177" priority="497" operator="containsText" text="Buy">
      <formula>NOT(ISERROR(SEARCH("Buy",E272)))</formula>
    </cfRule>
    <cfRule type="containsText" dxfId="1176" priority="498" operator="containsText" text="Sell">
      <formula>NOT(ISERROR(SEARCH("Sell",E272)))</formula>
    </cfRule>
  </conditionalFormatting>
  <conditionalFormatting sqref="E271">
    <cfRule type="containsText" dxfId="1175" priority="495" operator="containsText" text="Buy">
      <formula>NOT(ISERROR(SEARCH("Buy",E271)))</formula>
    </cfRule>
    <cfRule type="containsText" dxfId="1174" priority="496" operator="containsText" text="Sell">
      <formula>NOT(ISERROR(SEARCH("Sell",E271)))</formula>
    </cfRule>
  </conditionalFormatting>
  <conditionalFormatting sqref="E270">
    <cfRule type="containsText" dxfId="1173" priority="493" operator="containsText" text="Buy">
      <formula>NOT(ISERROR(SEARCH("Buy",E270)))</formula>
    </cfRule>
    <cfRule type="containsText" dxfId="1172" priority="494" operator="containsText" text="Sell">
      <formula>NOT(ISERROR(SEARCH("Sell",E270)))</formula>
    </cfRule>
  </conditionalFormatting>
  <conditionalFormatting sqref="E183">
    <cfRule type="containsText" dxfId="1171" priority="491" operator="containsText" text="Buy">
      <formula>NOT(ISERROR(SEARCH("Buy",E183)))</formula>
    </cfRule>
    <cfRule type="containsText" dxfId="1170" priority="492" operator="containsText" text="Sell">
      <formula>NOT(ISERROR(SEARCH("Sell",E183)))</formula>
    </cfRule>
  </conditionalFormatting>
  <conditionalFormatting sqref="E182">
    <cfRule type="containsText" dxfId="1169" priority="489" operator="containsText" text="Buy">
      <formula>NOT(ISERROR(SEARCH("Buy",E182)))</formula>
    </cfRule>
    <cfRule type="containsText" dxfId="1168" priority="490" operator="containsText" text="Sell">
      <formula>NOT(ISERROR(SEARCH("Sell",E182)))</formula>
    </cfRule>
  </conditionalFormatting>
  <conditionalFormatting sqref="E231">
    <cfRule type="containsText" dxfId="1167" priority="487" operator="containsText" text="Buy">
      <formula>NOT(ISERROR(SEARCH("Buy",E231)))</formula>
    </cfRule>
    <cfRule type="containsText" dxfId="1166" priority="488" operator="containsText" text="Sell">
      <formula>NOT(ISERROR(SEARCH("Sell",E231)))</formula>
    </cfRule>
  </conditionalFormatting>
  <conditionalFormatting sqref="E230">
    <cfRule type="containsText" dxfId="1165" priority="485" operator="containsText" text="Buy">
      <formula>NOT(ISERROR(SEARCH("Buy",E230)))</formula>
    </cfRule>
    <cfRule type="containsText" dxfId="1164" priority="486" operator="containsText" text="Sell">
      <formula>NOT(ISERROR(SEARCH("Sell",E230)))</formula>
    </cfRule>
  </conditionalFormatting>
  <conditionalFormatting sqref="E217:E219">
    <cfRule type="containsText" dxfId="1163" priority="483" operator="containsText" text="Buy">
      <formula>NOT(ISERROR(SEARCH("Buy",E217)))</formula>
    </cfRule>
    <cfRule type="containsText" dxfId="1162" priority="484" operator="containsText" text="Sell">
      <formula>NOT(ISERROR(SEARCH("Sell",E217)))</formula>
    </cfRule>
  </conditionalFormatting>
  <conditionalFormatting sqref="E214">
    <cfRule type="containsText" dxfId="1161" priority="481" operator="containsText" text="Buy">
      <formula>NOT(ISERROR(SEARCH("Buy",E214)))</formula>
    </cfRule>
    <cfRule type="containsText" dxfId="1160" priority="482" operator="containsText" text="Sell">
      <formula>NOT(ISERROR(SEARCH("Sell",E214)))</formula>
    </cfRule>
  </conditionalFormatting>
  <conditionalFormatting sqref="E213">
    <cfRule type="containsText" dxfId="1159" priority="479" operator="containsText" text="Buy">
      <formula>NOT(ISERROR(SEARCH("Buy",E213)))</formula>
    </cfRule>
    <cfRule type="containsText" dxfId="1158" priority="480" operator="containsText" text="Sell">
      <formula>NOT(ISERROR(SEARCH("Sell",E213)))</formula>
    </cfRule>
  </conditionalFormatting>
  <conditionalFormatting sqref="E212">
    <cfRule type="containsText" dxfId="1157" priority="477" operator="containsText" text="Buy">
      <formula>NOT(ISERROR(SEARCH("Buy",E212)))</formula>
    </cfRule>
    <cfRule type="containsText" dxfId="1156" priority="478" operator="containsText" text="Sell">
      <formula>NOT(ISERROR(SEARCH("Sell",E212)))</formula>
    </cfRule>
  </conditionalFormatting>
  <conditionalFormatting sqref="E211">
    <cfRule type="containsText" dxfId="1155" priority="475" operator="containsText" text="Buy">
      <formula>NOT(ISERROR(SEARCH("Buy",E211)))</formula>
    </cfRule>
    <cfRule type="containsText" dxfId="1154" priority="476" operator="containsText" text="Sell">
      <formula>NOT(ISERROR(SEARCH("Sell",E211)))</formula>
    </cfRule>
  </conditionalFormatting>
  <conditionalFormatting sqref="E210">
    <cfRule type="containsText" dxfId="1153" priority="473" operator="containsText" text="Buy">
      <formula>NOT(ISERROR(SEARCH("Buy",E210)))</formula>
    </cfRule>
    <cfRule type="containsText" dxfId="1152" priority="474" operator="containsText" text="Sell">
      <formula>NOT(ISERROR(SEARCH("Sell",E210)))</formula>
    </cfRule>
  </conditionalFormatting>
  <conditionalFormatting sqref="E209">
    <cfRule type="containsText" dxfId="1151" priority="471" operator="containsText" text="Buy">
      <formula>NOT(ISERROR(SEARCH("Buy",E209)))</formula>
    </cfRule>
    <cfRule type="containsText" dxfId="1150" priority="472" operator="containsText" text="Sell">
      <formula>NOT(ISERROR(SEARCH("Sell",E209)))</formula>
    </cfRule>
  </conditionalFormatting>
  <conditionalFormatting sqref="E208">
    <cfRule type="containsText" dxfId="1149" priority="469" operator="containsText" text="Buy">
      <formula>NOT(ISERROR(SEARCH("Buy",E208)))</formula>
    </cfRule>
    <cfRule type="containsText" dxfId="1148" priority="470" operator="containsText" text="Sell">
      <formula>NOT(ISERROR(SEARCH("Sell",E208)))</formula>
    </cfRule>
  </conditionalFormatting>
  <conditionalFormatting sqref="E201:E203">
    <cfRule type="containsText" dxfId="1147" priority="467" operator="containsText" text="Buy">
      <formula>NOT(ISERROR(SEARCH("Buy",E201)))</formula>
    </cfRule>
    <cfRule type="containsText" dxfId="1146" priority="468" operator="containsText" text="Sell">
      <formula>NOT(ISERROR(SEARCH("Sell",E201)))</formula>
    </cfRule>
  </conditionalFormatting>
  <conditionalFormatting sqref="E200">
    <cfRule type="containsText" dxfId="1145" priority="465" operator="containsText" text="Buy">
      <formula>NOT(ISERROR(SEARCH("Buy",E200)))</formula>
    </cfRule>
    <cfRule type="containsText" dxfId="1144" priority="466" operator="containsText" text="Sell">
      <formula>NOT(ISERROR(SEARCH("Sell",E200)))</formula>
    </cfRule>
  </conditionalFormatting>
  <conditionalFormatting sqref="E199">
    <cfRule type="containsText" dxfId="1143" priority="463" operator="containsText" text="Buy">
      <formula>NOT(ISERROR(SEARCH("Buy",E199)))</formula>
    </cfRule>
    <cfRule type="containsText" dxfId="1142" priority="464" operator="containsText" text="Sell">
      <formula>NOT(ISERROR(SEARCH("Sell",E199)))</formula>
    </cfRule>
  </conditionalFormatting>
  <conditionalFormatting sqref="E198">
    <cfRule type="containsText" dxfId="1141" priority="461" operator="containsText" text="Buy">
      <formula>NOT(ISERROR(SEARCH("Buy",E198)))</formula>
    </cfRule>
    <cfRule type="containsText" dxfId="1140" priority="462" operator="containsText" text="Sell">
      <formula>NOT(ISERROR(SEARCH("Sell",E198)))</formula>
    </cfRule>
  </conditionalFormatting>
  <conditionalFormatting sqref="E197">
    <cfRule type="containsText" dxfId="1139" priority="459" operator="containsText" text="Buy">
      <formula>NOT(ISERROR(SEARCH("Buy",E197)))</formula>
    </cfRule>
    <cfRule type="containsText" dxfId="1138" priority="460" operator="containsText" text="Sell">
      <formula>NOT(ISERROR(SEARCH("Sell",E197)))</formula>
    </cfRule>
  </conditionalFormatting>
  <conditionalFormatting sqref="E196">
    <cfRule type="containsText" dxfId="1137" priority="457" operator="containsText" text="Buy">
      <formula>NOT(ISERROR(SEARCH("Buy",E196)))</formula>
    </cfRule>
    <cfRule type="containsText" dxfId="1136" priority="458" operator="containsText" text="Sell">
      <formula>NOT(ISERROR(SEARCH("Sell",E196)))</formula>
    </cfRule>
  </conditionalFormatting>
  <conditionalFormatting sqref="E195">
    <cfRule type="containsText" dxfId="1135" priority="455" operator="containsText" text="Buy">
      <formula>NOT(ISERROR(SEARCH("Buy",E195)))</formula>
    </cfRule>
    <cfRule type="containsText" dxfId="1134" priority="456" operator="containsText" text="Sell">
      <formula>NOT(ISERROR(SEARCH("Sell",E195)))</formula>
    </cfRule>
  </conditionalFormatting>
  <conditionalFormatting sqref="E194">
    <cfRule type="containsText" dxfId="1133" priority="453" operator="containsText" text="Buy">
      <formula>NOT(ISERROR(SEARCH("Buy",E194)))</formula>
    </cfRule>
    <cfRule type="containsText" dxfId="1132" priority="454" operator="containsText" text="Sell">
      <formula>NOT(ISERROR(SEARCH("Sell",E194)))</formula>
    </cfRule>
  </conditionalFormatting>
  <conditionalFormatting sqref="E193">
    <cfRule type="containsText" dxfId="1131" priority="451" operator="containsText" text="Buy">
      <formula>NOT(ISERROR(SEARCH("Buy",E193)))</formula>
    </cfRule>
    <cfRule type="containsText" dxfId="1130" priority="452" operator="containsText" text="Sell">
      <formula>NOT(ISERROR(SEARCH("Sell",E193)))</formula>
    </cfRule>
  </conditionalFormatting>
  <conditionalFormatting sqref="E192">
    <cfRule type="containsText" dxfId="1129" priority="449" operator="containsText" text="Buy">
      <formula>NOT(ISERROR(SEARCH("Buy",E192)))</formula>
    </cfRule>
    <cfRule type="containsText" dxfId="1128" priority="450" operator="containsText" text="Sell">
      <formula>NOT(ISERROR(SEARCH("Sell",E192)))</formula>
    </cfRule>
  </conditionalFormatting>
  <conditionalFormatting sqref="E191">
    <cfRule type="containsText" dxfId="1127" priority="447" operator="containsText" text="Buy">
      <formula>NOT(ISERROR(SEARCH("Buy",E191)))</formula>
    </cfRule>
    <cfRule type="containsText" dxfId="1126" priority="448" operator="containsText" text="Sell">
      <formula>NOT(ISERROR(SEARCH("Sell",E191)))</formula>
    </cfRule>
  </conditionalFormatting>
  <conditionalFormatting sqref="E190">
    <cfRule type="containsText" dxfId="1125" priority="445" operator="containsText" text="Buy">
      <formula>NOT(ISERROR(SEARCH("Buy",E190)))</formula>
    </cfRule>
    <cfRule type="containsText" dxfId="1124" priority="446" operator="containsText" text="Sell">
      <formula>NOT(ISERROR(SEARCH("Sell",E190)))</formula>
    </cfRule>
  </conditionalFormatting>
  <conditionalFormatting sqref="E186">
    <cfRule type="containsText" dxfId="1123" priority="443" operator="containsText" text="Buy">
      <formula>NOT(ISERROR(SEARCH("Buy",E186)))</formula>
    </cfRule>
    <cfRule type="containsText" dxfId="1122" priority="444" operator="containsText" text="Sell">
      <formula>NOT(ISERROR(SEARCH("Sell",E186)))</formula>
    </cfRule>
  </conditionalFormatting>
  <conditionalFormatting sqref="E246">
    <cfRule type="containsText" dxfId="1121" priority="441" operator="containsText" text="Buy">
      <formula>NOT(ISERROR(SEARCH("Buy",E246)))</formula>
    </cfRule>
    <cfRule type="containsText" dxfId="1120" priority="442" operator="containsText" text="Sell">
      <formula>NOT(ISERROR(SEARCH("Sell",E246)))</formula>
    </cfRule>
  </conditionalFormatting>
  <conditionalFormatting sqref="E245 E242">
    <cfRule type="containsText" dxfId="1119" priority="439" operator="containsText" text="Buy">
      <formula>NOT(ISERROR(SEARCH("Buy",E242)))</formula>
    </cfRule>
    <cfRule type="containsText" dxfId="1118" priority="440" operator="containsText" text="Sell">
      <formula>NOT(ISERROR(SEARCH("Sell",E242)))</formula>
    </cfRule>
  </conditionalFormatting>
  <conditionalFormatting sqref="E251">
    <cfRule type="containsText" dxfId="1117" priority="437" operator="containsText" text="Buy">
      <formula>NOT(ISERROR(SEARCH("Buy",E251)))</formula>
    </cfRule>
    <cfRule type="containsText" dxfId="1116" priority="438" operator="containsText" text="Sell">
      <formula>NOT(ISERROR(SEARCH("Sell",E251)))</formula>
    </cfRule>
  </conditionalFormatting>
  <conditionalFormatting sqref="E333:E334">
    <cfRule type="containsText" dxfId="1115" priority="435" operator="containsText" text="Buy">
      <formula>NOT(ISERROR(SEARCH("Buy",E333)))</formula>
    </cfRule>
    <cfRule type="containsText" dxfId="1114" priority="436" operator="containsText" text="Sell">
      <formula>NOT(ISERROR(SEARCH("Sell",E333)))</formula>
    </cfRule>
  </conditionalFormatting>
  <conditionalFormatting sqref="E244">
    <cfRule type="containsText" dxfId="1113" priority="433" operator="containsText" text="Buy">
      <formula>NOT(ISERROR(SEARCH("Buy",E244)))</formula>
    </cfRule>
    <cfRule type="containsText" dxfId="1112" priority="434" operator="containsText" text="Sell">
      <formula>NOT(ISERROR(SEARCH("Sell",E244)))</formula>
    </cfRule>
  </conditionalFormatting>
  <conditionalFormatting sqref="E241">
    <cfRule type="containsText" dxfId="1111" priority="431" operator="containsText" text="Buy">
      <formula>NOT(ISERROR(SEARCH("Buy",E241)))</formula>
    </cfRule>
    <cfRule type="containsText" dxfId="1110" priority="432" operator="containsText" text="Sell">
      <formula>NOT(ISERROR(SEARCH("Sell",E241)))</formula>
    </cfRule>
  </conditionalFormatting>
  <conditionalFormatting sqref="E240">
    <cfRule type="containsText" dxfId="1109" priority="429" operator="containsText" text="Buy">
      <formula>NOT(ISERROR(SEARCH("Buy",E240)))</formula>
    </cfRule>
    <cfRule type="containsText" dxfId="1108" priority="430" operator="containsText" text="Sell">
      <formula>NOT(ISERROR(SEARCH("Sell",E240)))</formula>
    </cfRule>
  </conditionalFormatting>
  <conditionalFormatting sqref="E227">
    <cfRule type="containsText" dxfId="1107" priority="427" operator="containsText" text="Buy">
      <formula>NOT(ISERROR(SEARCH("Buy",E227)))</formula>
    </cfRule>
    <cfRule type="containsText" dxfId="1106" priority="428" operator="containsText" text="Sell">
      <formula>NOT(ISERROR(SEARCH("Sell",E227)))</formula>
    </cfRule>
  </conditionalFormatting>
  <conditionalFormatting sqref="E164:E167 E177 E174:E175">
    <cfRule type="containsText" dxfId="1105" priority="425" operator="containsText" text="Buy">
      <formula>NOT(ISERROR(SEARCH("Buy",E164)))</formula>
    </cfRule>
    <cfRule type="containsText" dxfId="1104" priority="426" operator="containsText" text="Sell">
      <formula>NOT(ISERROR(SEARCH("Sell",E164)))</formula>
    </cfRule>
  </conditionalFormatting>
  <conditionalFormatting sqref="E330:E331">
    <cfRule type="containsText" dxfId="1103" priority="423" operator="containsText" text="Buy">
      <formula>NOT(ISERROR(SEARCH("Buy",E330)))</formula>
    </cfRule>
    <cfRule type="containsText" dxfId="1102" priority="424" operator="containsText" text="Sell">
      <formula>NOT(ISERROR(SEARCH("Sell",E330)))</formula>
    </cfRule>
  </conditionalFormatting>
  <conditionalFormatting sqref="E327:E328">
    <cfRule type="containsText" dxfId="1101" priority="421" operator="containsText" text="Buy">
      <formula>NOT(ISERROR(SEARCH("Buy",E327)))</formula>
    </cfRule>
    <cfRule type="containsText" dxfId="1100" priority="422" operator="containsText" text="Sell">
      <formula>NOT(ISERROR(SEARCH("Sell",E327)))</formula>
    </cfRule>
  </conditionalFormatting>
  <conditionalFormatting sqref="E325:E326">
    <cfRule type="containsText" dxfId="1099" priority="419" operator="containsText" text="Buy">
      <formula>NOT(ISERROR(SEARCH("Buy",E325)))</formula>
    </cfRule>
    <cfRule type="containsText" dxfId="1098" priority="420" operator="containsText" text="Sell">
      <formula>NOT(ISERROR(SEARCH("Sell",E325)))</formula>
    </cfRule>
  </conditionalFormatting>
  <conditionalFormatting sqref="E322:E323">
    <cfRule type="containsText" dxfId="1097" priority="417" operator="containsText" text="Buy">
      <formula>NOT(ISERROR(SEARCH("Buy",E322)))</formula>
    </cfRule>
    <cfRule type="containsText" dxfId="1096" priority="418" operator="containsText" text="Sell">
      <formula>NOT(ISERROR(SEARCH("Sell",E322)))</formula>
    </cfRule>
  </conditionalFormatting>
  <conditionalFormatting sqref="E319:E321">
    <cfRule type="containsText" dxfId="1095" priority="415" operator="containsText" text="Buy">
      <formula>NOT(ISERROR(SEARCH("Buy",E319)))</formula>
    </cfRule>
    <cfRule type="containsText" dxfId="1094" priority="416" operator="containsText" text="Sell">
      <formula>NOT(ISERROR(SEARCH("Sell",E319)))</formula>
    </cfRule>
  </conditionalFormatting>
  <conditionalFormatting sqref="E316:E317">
    <cfRule type="containsText" dxfId="1093" priority="413" operator="containsText" text="Buy">
      <formula>NOT(ISERROR(SEARCH("Buy",E316)))</formula>
    </cfRule>
    <cfRule type="containsText" dxfId="1092" priority="414" operator="containsText" text="Sell">
      <formula>NOT(ISERROR(SEARCH("Sell",E316)))</formula>
    </cfRule>
  </conditionalFormatting>
  <conditionalFormatting sqref="E313:E314">
    <cfRule type="containsText" dxfId="1091" priority="411" operator="containsText" text="Buy">
      <formula>NOT(ISERROR(SEARCH("Buy",E313)))</formula>
    </cfRule>
    <cfRule type="containsText" dxfId="1090" priority="412" operator="containsText" text="Sell">
      <formula>NOT(ISERROR(SEARCH("Sell",E313)))</formula>
    </cfRule>
  </conditionalFormatting>
  <conditionalFormatting sqref="E310:E311">
    <cfRule type="containsText" dxfId="1089" priority="409" operator="containsText" text="Buy">
      <formula>NOT(ISERROR(SEARCH("Buy",E310)))</formula>
    </cfRule>
    <cfRule type="containsText" dxfId="1088" priority="410" operator="containsText" text="Sell">
      <formula>NOT(ISERROR(SEARCH("Sell",E310)))</formula>
    </cfRule>
  </conditionalFormatting>
  <conditionalFormatting sqref="E306">
    <cfRule type="containsText" dxfId="1087" priority="405" operator="containsText" text="Buy">
      <formula>NOT(ISERROR(SEARCH("Buy",E306)))</formula>
    </cfRule>
    <cfRule type="containsText" dxfId="1086" priority="406" operator="containsText" text="Sell">
      <formula>NOT(ISERROR(SEARCH("Sell",E306)))</formula>
    </cfRule>
  </conditionalFormatting>
  <conditionalFormatting sqref="E307:E308">
    <cfRule type="containsText" dxfId="1085" priority="407" operator="containsText" text="Buy">
      <formula>NOT(ISERROR(SEARCH("Buy",E307)))</formula>
    </cfRule>
    <cfRule type="containsText" dxfId="1084" priority="408" operator="containsText" text="Sell">
      <formula>NOT(ISERROR(SEARCH("Sell",E307)))</formula>
    </cfRule>
  </conditionalFormatting>
  <conditionalFormatting sqref="E300:E301">
    <cfRule type="containsText" dxfId="1083" priority="403" operator="containsText" text="Buy">
      <formula>NOT(ISERROR(SEARCH("Buy",E300)))</formula>
    </cfRule>
    <cfRule type="containsText" dxfId="1082" priority="404" operator="containsText" text="Sell">
      <formula>NOT(ISERROR(SEARCH("Sell",E300)))</formula>
    </cfRule>
  </conditionalFormatting>
  <conditionalFormatting sqref="E296:E297">
    <cfRule type="containsText" dxfId="1081" priority="401" operator="containsText" text="Buy">
      <formula>NOT(ISERROR(SEARCH("Buy",E296)))</formula>
    </cfRule>
    <cfRule type="containsText" dxfId="1080" priority="402" operator="containsText" text="Sell">
      <formula>NOT(ISERROR(SEARCH("Sell",E296)))</formula>
    </cfRule>
  </conditionalFormatting>
  <conditionalFormatting sqref="E161:E162">
    <cfRule type="containsText" dxfId="1079" priority="399" operator="containsText" text="Buy">
      <formula>NOT(ISERROR(SEARCH("Buy",E161)))</formula>
    </cfRule>
    <cfRule type="containsText" dxfId="1078" priority="400" operator="containsText" text="Sell">
      <formula>NOT(ISERROR(SEARCH("Sell",E161)))</formula>
    </cfRule>
  </conditionalFormatting>
  <conditionalFormatting sqref="E156:E157">
    <cfRule type="containsText" dxfId="1077" priority="397" operator="containsText" text="Buy">
      <formula>NOT(ISERROR(SEARCH("Buy",E156)))</formula>
    </cfRule>
    <cfRule type="containsText" dxfId="1076" priority="398" operator="containsText" text="Sell">
      <formula>NOT(ISERROR(SEARCH("Sell",E156)))</formula>
    </cfRule>
  </conditionalFormatting>
  <conditionalFormatting sqref="E173">
    <cfRule type="containsText" dxfId="1075" priority="395" operator="containsText" text="Buy">
      <formula>NOT(ISERROR(SEARCH("Buy",E173)))</formula>
    </cfRule>
    <cfRule type="containsText" dxfId="1074" priority="396" operator="containsText" text="Sell">
      <formula>NOT(ISERROR(SEARCH("Sell",E173)))</formula>
    </cfRule>
  </conditionalFormatting>
  <conditionalFormatting sqref="E172">
    <cfRule type="containsText" dxfId="1073" priority="393" operator="containsText" text="Buy">
      <formula>NOT(ISERROR(SEARCH("Buy",E172)))</formula>
    </cfRule>
    <cfRule type="containsText" dxfId="1072" priority="394" operator="containsText" text="Sell">
      <formula>NOT(ISERROR(SEARCH("Sell",E172)))</formula>
    </cfRule>
  </conditionalFormatting>
  <conditionalFormatting sqref="E168">
    <cfRule type="containsText" dxfId="1071" priority="391" operator="containsText" text="Buy">
      <formula>NOT(ISERROR(SEARCH("Buy",E168)))</formula>
    </cfRule>
    <cfRule type="containsText" dxfId="1070" priority="392" operator="containsText" text="Sell">
      <formula>NOT(ISERROR(SEARCH("Sell",E168)))</formula>
    </cfRule>
  </conditionalFormatting>
  <conditionalFormatting sqref="E293:E295">
    <cfRule type="containsText" dxfId="1069" priority="389" operator="containsText" text="Buy">
      <formula>NOT(ISERROR(SEARCH("Buy",E293)))</formula>
    </cfRule>
    <cfRule type="containsText" dxfId="1068" priority="390" operator="containsText" text="Sell">
      <formula>NOT(ISERROR(SEARCH("Sell",E293)))</formula>
    </cfRule>
  </conditionalFormatting>
  <conditionalFormatting sqref="E290:E291">
    <cfRule type="containsText" dxfId="1067" priority="387" operator="containsText" text="Buy">
      <formula>NOT(ISERROR(SEARCH("Buy",E290)))</formula>
    </cfRule>
    <cfRule type="containsText" dxfId="1066" priority="388" operator="containsText" text="Sell">
      <formula>NOT(ISERROR(SEARCH("Sell",E290)))</formula>
    </cfRule>
  </conditionalFormatting>
  <conditionalFormatting sqref="E284:E286">
    <cfRule type="containsText" dxfId="1065" priority="385" operator="containsText" text="Buy">
      <formula>NOT(ISERROR(SEARCH("Buy",E284)))</formula>
    </cfRule>
    <cfRule type="containsText" dxfId="1064" priority="386" operator="containsText" text="Sell">
      <formula>NOT(ISERROR(SEARCH("Sell",E284)))</formula>
    </cfRule>
  </conditionalFormatting>
  <conditionalFormatting sqref="E280:E281">
    <cfRule type="containsText" dxfId="1063" priority="383" operator="containsText" text="Buy">
      <formula>NOT(ISERROR(SEARCH("Buy",E280)))</formula>
    </cfRule>
    <cfRule type="containsText" dxfId="1062" priority="384" operator="containsText" text="Sell">
      <formula>NOT(ISERROR(SEARCH("Sell",E280)))</formula>
    </cfRule>
  </conditionalFormatting>
  <conditionalFormatting sqref="E289">
    <cfRule type="containsText" dxfId="1061" priority="381" operator="containsText" text="Buy">
      <formula>NOT(ISERROR(SEARCH("Buy",E289)))</formula>
    </cfRule>
    <cfRule type="containsText" dxfId="1060" priority="382" operator="containsText" text="Sell">
      <formula>NOT(ISERROR(SEARCH("Sell",E289)))</formula>
    </cfRule>
  </conditionalFormatting>
  <conditionalFormatting sqref="E269">
    <cfRule type="containsText" dxfId="1059" priority="379" operator="containsText" text="Buy">
      <formula>NOT(ISERROR(SEARCH("Buy",E269)))</formula>
    </cfRule>
    <cfRule type="containsText" dxfId="1058" priority="380" operator="containsText" text="Sell">
      <formula>NOT(ISERROR(SEARCH("Sell",E269)))</formula>
    </cfRule>
  </conditionalFormatting>
  <conditionalFormatting sqref="E268">
    <cfRule type="containsText" dxfId="1057" priority="377" operator="containsText" text="Buy">
      <formula>NOT(ISERROR(SEARCH("Buy",E268)))</formula>
    </cfRule>
    <cfRule type="containsText" dxfId="1056" priority="378" operator="containsText" text="Sell">
      <formula>NOT(ISERROR(SEARCH("Sell",E268)))</formula>
    </cfRule>
  </conditionalFormatting>
  <conditionalFormatting sqref="E267">
    <cfRule type="containsText" dxfId="1055" priority="375" operator="containsText" text="Buy">
      <formula>NOT(ISERROR(SEARCH("Buy",E267)))</formula>
    </cfRule>
    <cfRule type="containsText" dxfId="1054" priority="376" operator="containsText" text="Sell">
      <formula>NOT(ISERROR(SEARCH("Sell",E267)))</formula>
    </cfRule>
  </conditionalFormatting>
  <conditionalFormatting sqref="E224">
    <cfRule type="containsText" dxfId="1053" priority="373" operator="containsText" text="Buy">
      <formula>NOT(ISERROR(SEARCH("Buy",E224)))</formula>
    </cfRule>
    <cfRule type="containsText" dxfId="1052" priority="374" operator="containsText" text="Sell">
      <formula>NOT(ISERROR(SEARCH("Sell",E224)))</formula>
    </cfRule>
  </conditionalFormatting>
  <conditionalFormatting sqref="E243">
    <cfRule type="containsText" dxfId="1051" priority="371" operator="containsText" text="Buy">
      <formula>NOT(ISERROR(SEARCH("Buy",E243)))</formula>
    </cfRule>
    <cfRule type="containsText" dxfId="1050" priority="372" operator="containsText" text="Sell">
      <formula>NOT(ISERROR(SEARCH("Sell",E243)))</formula>
    </cfRule>
  </conditionalFormatting>
  <conditionalFormatting sqref="E137:E138">
    <cfRule type="containsText" dxfId="1049" priority="369" operator="containsText" text="Buy">
      <formula>NOT(ISERROR(SEARCH("Buy",E137)))</formula>
    </cfRule>
    <cfRule type="containsText" dxfId="1048" priority="370" operator="containsText" text="Sell">
      <formula>NOT(ISERROR(SEARCH("Sell",E137)))</formula>
    </cfRule>
  </conditionalFormatting>
  <conditionalFormatting sqref="E266">
    <cfRule type="containsText" dxfId="1047" priority="365" operator="containsText" text="Buy">
      <formula>NOT(ISERROR(SEARCH("Buy",E266)))</formula>
    </cfRule>
    <cfRule type="containsText" dxfId="1046" priority="366" operator="containsText" text="Sell">
      <formula>NOT(ISERROR(SEARCH("Sell",E266)))</formula>
    </cfRule>
  </conditionalFormatting>
  <conditionalFormatting sqref="E176">
    <cfRule type="containsText" dxfId="1045" priority="367" operator="containsText" text="Buy">
      <formula>NOT(ISERROR(SEARCH("Buy",E176)))</formula>
    </cfRule>
    <cfRule type="containsText" dxfId="1044" priority="368" operator="containsText" text="Sell">
      <formula>NOT(ISERROR(SEARCH("Sell",E176)))</formula>
    </cfRule>
  </conditionalFormatting>
  <conditionalFormatting sqref="E265">
    <cfRule type="containsText" dxfId="1043" priority="363" operator="containsText" text="Buy">
      <formula>NOT(ISERROR(SEARCH("Buy",E265)))</formula>
    </cfRule>
    <cfRule type="containsText" dxfId="1042" priority="364" operator="containsText" text="Sell">
      <formula>NOT(ISERROR(SEARCH("Sell",E265)))</formula>
    </cfRule>
  </conditionalFormatting>
  <conditionalFormatting sqref="E264">
    <cfRule type="containsText" dxfId="1041" priority="361" operator="containsText" text="Buy">
      <formula>NOT(ISERROR(SEARCH("Buy",E264)))</formula>
    </cfRule>
    <cfRule type="containsText" dxfId="1040" priority="362" operator="containsText" text="Sell">
      <formula>NOT(ISERROR(SEARCH("Sell",E264)))</formula>
    </cfRule>
  </conditionalFormatting>
  <conditionalFormatting sqref="E263">
    <cfRule type="containsText" dxfId="1039" priority="359" operator="containsText" text="Buy">
      <formula>NOT(ISERROR(SEARCH("Buy",E263)))</formula>
    </cfRule>
    <cfRule type="containsText" dxfId="1038" priority="360" operator="containsText" text="Sell">
      <formula>NOT(ISERROR(SEARCH("Sell",E263)))</formula>
    </cfRule>
  </conditionalFormatting>
  <conditionalFormatting sqref="E262">
    <cfRule type="containsText" dxfId="1037" priority="357" operator="containsText" text="Buy">
      <formula>NOT(ISERROR(SEARCH("Buy",E262)))</formula>
    </cfRule>
    <cfRule type="containsText" dxfId="1036" priority="358" operator="containsText" text="Sell">
      <formula>NOT(ISERROR(SEARCH("Sell",E262)))</formula>
    </cfRule>
  </conditionalFormatting>
  <conditionalFormatting sqref="E142:E144 E155">
    <cfRule type="containsText" dxfId="1035" priority="355" operator="containsText" text="Buy">
      <formula>NOT(ISERROR(SEARCH("Buy",E142)))</formula>
    </cfRule>
    <cfRule type="containsText" dxfId="1034" priority="356" operator="containsText" text="Sell">
      <formula>NOT(ISERROR(SEARCH("Sell",E142)))</formula>
    </cfRule>
  </conditionalFormatting>
  <conditionalFormatting sqref="E132:E133">
    <cfRule type="containsText" dxfId="1033" priority="349" operator="containsText" text="Buy">
      <formula>NOT(ISERROR(SEARCH("Buy",E132)))</formula>
    </cfRule>
    <cfRule type="containsText" dxfId="1032" priority="350" operator="containsText" text="Sell">
      <formula>NOT(ISERROR(SEARCH("Sell",E132)))</formula>
    </cfRule>
  </conditionalFormatting>
  <conditionalFormatting sqref="E126:E127">
    <cfRule type="containsText" dxfId="1031" priority="347" operator="containsText" text="Buy">
      <formula>NOT(ISERROR(SEARCH("Buy",E126)))</formula>
    </cfRule>
    <cfRule type="containsText" dxfId="1030" priority="348" operator="containsText" text="Sell">
      <formula>NOT(ISERROR(SEARCH("Sell",E126)))</formula>
    </cfRule>
  </conditionalFormatting>
  <conditionalFormatting sqref="E153:E154">
    <cfRule type="containsText" dxfId="1029" priority="345" operator="containsText" text="Buy">
      <formula>NOT(ISERROR(SEARCH("Buy",E153)))</formula>
    </cfRule>
    <cfRule type="containsText" dxfId="1028" priority="346" operator="containsText" text="Sell">
      <formula>NOT(ISERROR(SEARCH("Sell",E153)))</formula>
    </cfRule>
  </conditionalFormatting>
  <conditionalFormatting sqref="E152">
    <cfRule type="containsText" dxfId="1027" priority="343" operator="containsText" text="Buy">
      <formula>NOT(ISERROR(SEARCH("Buy",E152)))</formula>
    </cfRule>
    <cfRule type="containsText" dxfId="1026" priority="344" operator="containsText" text="Sell">
      <formula>NOT(ISERROR(SEARCH("Sell",E152)))</formula>
    </cfRule>
  </conditionalFormatting>
  <conditionalFormatting sqref="E235">
    <cfRule type="containsText" dxfId="1025" priority="341" operator="containsText" text="Buy">
      <formula>NOT(ISERROR(SEARCH("Buy",E235)))</formula>
    </cfRule>
    <cfRule type="containsText" dxfId="1024" priority="342" operator="containsText" text="Sell">
      <formula>NOT(ISERROR(SEARCH("Sell",E235)))</formula>
    </cfRule>
  </conditionalFormatting>
  <conditionalFormatting sqref="E234">
    <cfRule type="containsText" dxfId="1023" priority="339" operator="containsText" text="Buy">
      <formula>NOT(ISERROR(SEARCH("Buy",E234)))</formula>
    </cfRule>
    <cfRule type="containsText" dxfId="1022" priority="340" operator="containsText" text="Sell">
      <formula>NOT(ISERROR(SEARCH("Sell",E234)))</formula>
    </cfRule>
  </conditionalFormatting>
  <conditionalFormatting sqref="E123:E124">
    <cfRule type="containsText" dxfId="1021" priority="337" operator="containsText" text="Buy">
      <formula>NOT(ISERROR(SEARCH("Buy",E123)))</formula>
    </cfRule>
    <cfRule type="containsText" dxfId="1020" priority="338" operator="containsText" text="Sell">
      <formula>NOT(ISERROR(SEARCH("Sell",E123)))</formula>
    </cfRule>
  </conditionalFormatting>
  <conditionalFormatting sqref="E122">
    <cfRule type="containsText" dxfId="1019" priority="335" operator="containsText" text="Buy">
      <formula>NOT(ISERROR(SEARCH("Buy",E122)))</formula>
    </cfRule>
    <cfRule type="containsText" dxfId="1018" priority="336" operator="containsText" text="Sell">
      <formula>NOT(ISERROR(SEARCH("Sell",E122)))</formula>
    </cfRule>
  </conditionalFormatting>
  <conditionalFormatting sqref="E121">
    <cfRule type="containsText" dxfId="1017" priority="333" operator="containsText" text="Buy">
      <formula>NOT(ISERROR(SEARCH("Buy",E121)))</formula>
    </cfRule>
    <cfRule type="containsText" dxfId="1016" priority="334" operator="containsText" text="Sell">
      <formula>NOT(ISERROR(SEARCH("Sell",E121)))</formula>
    </cfRule>
  </conditionalFormatting>
  <conditionalFormatting sqref="E118">
    <cfRule type="containsText" dxfId="1015" priority="331" operator="containsText" text="Buy">
      <formula>NOT(ISERROR(SEARCH("Buy",E118)))</formula>
    </cfRule>
    <cfRule type="containsText" dxfId="1014" priority="332" operator="containsText" text="Sell">
      <formula>NOT(ISERROR(SEARCH("Sell",E118)))</formula>
    </cfRule>
  </conditionalFormatting>
  <conditionalFormatting sqref="E117">
    <cfRule type="containsText" dxfId="1013" priority="329" operator="containsText" text="Buy">
      <formula>NOT(ISERROR(SEARCH("Buy",E117)))</formula>
    </cfRule>
    <cfRule type="containsText" dxfId="1012" priority="330" operator="containsText" text="Sell">
      <formula>NOT(ISERROR(SEARCH("Sell",E117)))</formula>
    </cfRule>
  </conditionalFormatting>
  <conditionalFormatting sqref="E114">
    <cfRule type="containsText" dxfId="1011" priority="327" operator="containsText" text="Buy">
      <formula>NOT(ISERROR(SEARCH("Buy",E114)))</formula>
    </cfRule>
    <cfRule type="containsText" dxfId="1010" priority="328" operator="containsText" text="Sell">
      <formula>NOT(ISERROR(SEARCH("Sell",E114)))</formula>
    </cfRule>
  </conditionalFormatting>
  <conditionalFormatting sqref="E113">
    <cfRule type="containsText" dxfId="1009" priority="325" operator="containsText" text="Buy">
      <formula>NOT(ISERROR(SEARCH("Buy",E113)))</formula>
    </cfRule>
    <cfRule type="containsText" dxfId="1008" priority="326" operator="containsText" text="Sell">
      <formula>NOT(ISERROR(SEARCH("Sell",E113)))</formula>
    </cfRule>
  </conditionalFormatting>
  <conditionalFormatting sqref="E112">
    <cfRule type="containsText" dxfId="1007" priority="323" operator="containsText" text="Buy">
      <formula>NOT(ISERROR(SEARCH("Buy",E112)))</formula>
    </cfRule>
    <cfRule type="containsText" dxfId="1006" priority="324" operator="containsText" text="Sell">
      <formula>NOT(ISERROR(SEARCH("Sell",E112)))</formula>
    </cfRule>
  </conditionalFormatting>
  <conditionalFormatting sqref="E110:E111">
    <cfRule type="containsText" dxfId="1005" priority="321" operator="containsText" text="Buy">
      <formula>NOT(ISERROR(SEARCH("Buy",E110)))</formula>
    </cfRule>
    <cfRule type="containsText" dxfId="1004" priority="322" operator="containsText" text="Sell">
      <formula>NOT(ISERROR(SEARCH("Sell",E110)))</formula>
    </cfRule>
  </conditionalFormatting>
  <conditionalFormatting sqref="E107 E103:E104">
    <cfRule type="containsText" dxfId="1003" priority="319" operator="containsText" text="Buy">
      <formula>NOT(ISERROR(SEARCH("Buy",E103)))</formula>
    </cfRule>
    <cfRule type="containsText" dxfId="1002" priority="320" operator="containsText" text="Sell">
      <formula>NOT(ISERROR(SEARCH("Sell",E103)))</formula>
    </cfRule>
  </conditionalFormatting>
  <conditionalFormatting sqref="E99">
    <cfRule type="containsText" dxfId="1001" priority="317" operator="containsText" text="Buy">
      <formula>NOT(ISERROR(SEARCH("Buy",E99)))</formula>
    </cfRule>
    <cfRule type="containsText" dxfId="1000" priority="318" operator="containsText" text="Sell">
      <formula>NOT(ISERROR(SEARCH("Sell",E99)))</formula>
    </cfRule>
  </conditionalFormatting>
  <conditionalFormatting sqref="E98">
    <cfRule type="containsText" dxfId="999" priority="315" operator="containsText" text="Buy">
      <formula>NOT(ISERROR(SEARCH("Buy",E98)))</formula>
    </cfRule>
    <cfRule type="containsText" dxfId="998" priority="316" operator="containsText" text="Sell">
      <formula>NOT(ISERROR(SEARCH("Sell",E98)))</formula>
    </cfRule>
  </conditionalFormatting>
  <conditionalFormatting sqref="E106">
    <cfRule type="containsText" dxfId="997" priority="313" operator="containsText" text="Buy">
      <formula>NOT(ISERROR(SEARCH("Buy",E106)))</formula>
    </cfRule>
    <cfRule type="containsText" dxfId="996" priority="314" operator="containsText" text="Sell">
      <formula>NOT(ISERROR(SEARCH("Sell",E106)))</formula>
    </cfRule>
  </conditionalFormatting>
  <conditionalFormatting sqref="E105">
    <cfRule type="containsText" dxfId="995" priority="311" operator="containsText" text="Buy">
      <formula>NOT(ISERROR(SEARCH("Buy",E105)))</formula>
    </cfRule>
    <cfRule type="containsText" dxfId="994" priority="312" operator="containsText" text="Sell">
      <formula>NOT(ISERROR(SEARCH("Sell",E105)))</formula>
    </cfRule>
  </conditionalFormatting>
  <conditionalFormatting sqref="E239">
    <cfRule type="containsText" dxfId="993" priority="309" operator="containsText" text="Buy">
      <formula>NOT(ISERROR(SEARCH("Buy",E239)))</formula>
    </cfRule>
    <cfRule type="containsText" dxfId="992" priority="310" operator="containsText" text="Sell">
      <formula>NOT(ISERROR(SEARCH("Sell",E239)))</formula>
    </cfRule>
  </conditionalFormatting>
  <conditionalFormatting sqref="E160">
    <cfRule type="containsText" dxfId="991" priority="307" operator="containsText" text="Buy">
      <formula>NOT(ISERROR(SEARCH("Buy",E160)))</formula>
    </cfRule>
    <cfRule type="containsText" dxfId="990" priority="308" operator="containsText" text="Sell">
      <formula>NOT(ISERROR(SEARCH("Sell",E160)))</formula>
    </cfRule>
  </conditionalFormatting>
  <conditionalFormatting sqref="E207">
    <cfRule type="containsText" dxfId="989" priority="305" operator="containsText" text="Buy">
      <formula>NOT(ISERROR(SEARCH("Buy",E207)))</formula>
    </cfRule>
    <cfRule type="containsText" dxfId="988" priority="306" operator="containsText" text="Sell">
      <formula>NOT(ISERROR(SEARCH("Sell",E207)))</formula>
    </cfRule>
  </conditionalFormatting>
  <conditionalFormatting sqref="E102">
    <cfRule type="containsText" dxfId="987" priority="303" operator="containsText" text="Buy">
      <formula>NOT(ISERROR(SEARCH("Buy",E102)))</formula>
    </cfRule>
    <cfRule type="containsText" dxfId="986" priority="304" operator="containsText" text="Sell">
      <formula>NOT(ISERROR(SEARCH("Sell",E102)))</formula>
    </cfRule>
  </conditionalFormatting>
  <conditionalFormatting sqref="E92">
    <cfRule type="containsText" dxfId="985" priority="301" operator="containsText" text="Buy">
      <formula>NOT(ISERROR(SEARCH("Buy",E92)))</formula>
    </cfRule>
    <cfRule type="containsText" dxfId="984" priority="302" operator="containsText" text="Sell">
      <formula>NOT(ISERROR(SEARCH("Sell",E92)))</formula>
    </cfRule>
  </conditionalFormatting>
  <conditionalFormatting sqref="E206">
    <cfRule type="containsText" dxfId="983" priority="299" operator="containsText" text="Buy">
      <formula>NOT(ISERROR(SEARCH("Buy",E206)))</formula>
    </cfRule>
    <cfRule type="containsText" dxfId="982" priority="300" operator="containsText" text="Sell">
      <formula>NOT(ISERROR(SEARCH("Sell",E206)))</formula>
    </cfRule>
  </conditionalFormatting>
  <conditionalFormatting sqref="E205">
    <cfRule type="containsText" dxfId="981" priority="297" operator="containsText" text="Buy">
      <formula>NOT(ISERROR(SEARCH("Buy",E205)))</formula>
    </cfRule>
    <cfRule type="containsText" dxfId="980" priority="298" operator="containsText" text="Sell">
      <formula>NOT(ISERROR(SEARCH("Sell",E205)))</formula>
    </cfRule>
  </conditionalFormatting>
  <conditionalFormatting sqref="E276:E278">
    <cfRule type="containsText" dxfId="979" priority="295" operator="containsText" text="Buy">
      <formula>NOT(ISERROR(SEARCH("Buy",E276)))</formula>
    </cfRule>
    <cfRule type="containsText" dxfId="978" priority="296" operator="containsText" text="Sell">
      <formula>NOT(ISERROR(SEARCH("Sell",E276)))</formula>
    </cfRule>
  </conditionalFormatting>
  <conditionalFormatting sqref="E261">
    <cfRule type="containsText" dxfId="977" priority="293" operator="containsText" text="Buy">
      <formula>NOT(ISERROR(SEARCH("Buy",E261)))</formula>
    </cfRule>
    <cfRule type="containsText" dxfId="976" priority="294" operator="containsText" text="Sell">
      <formula>NOT(ISERROR(SEARCH("Sell",E261)))</formula>
    </cfRule>
  </conditionalFormatting>
  <conditionalFormatting sqref="E260">
    <cfRule type="containsText" dxfId="975" priority="291" operator="containsText" text="Buy">
      <formula>NOT(ISERROR(SEARCH("Buy",E260)))</formula>
    </cfRule>
    <cfRule type="containsText" dxfId="974" priority="292" operator="containsText" text="Sell">
      <formula>NOT(ISERROR(SEARCH("Sell",E260)))</formula>
    </cfRule>
  </conditionalFormatting>
  <conditionalFormatting sqref="E97">
    <cfRule type="containsText" dxfId="973" priority="289" operator="containsText" text="Buy">
      <formula>NOT(ISERROR(SEARCH("Buy",E97)))</formula>
    </cfRule>
    <cfRule type="containsText" dxfId="972" priority="290" operator="containsText" text="Sell">
      <formula>NOT(ISERROR(SEARCH("Sell",E97)))</formula>
    </cfRule>
  </conditionalFormatting>
  <conditionalFormatting sqref="E226">
    <cfRule type="containsText" dxfId="971" priority="287" operator="containsText" text="Buy">
      <formula>NOT(ISERROR(SEARCH("Buy",E226)))</formula>
    </cfRule>
    <cfRule type="containsText" dxfId="970" priority="288" operator="containsText" text="Sell">
      <formula>NOT(ISERROR(SEARCH("Sell",E226)))</formula>
    </cfRule>
  </conditionalFormatting>
  <conditionalFormatting sqref="E223">
    <cfRule type="containsText" dxfId="969" priority="285" operator="containsText" text="Buy">
      <formula>NOT(ISERROR(SEARCH("Buy",E223)))</formula>
    </cfRule>
    <cfRule type="containsText" dxfId="968" priority="286" operator="containsText" text="Sell">
      <formula>NOT(ISERROR(SEARCH("Sell",E223)))</formula>
    </cfRule>
  </conditionalFormatting>
  <conditionalFormatting sqref="E88:E89">
    <cfRule type="containsText" dxfId="967" priority="283" operator="containsText" text="Buy">
      <formula>NOT(ISERROR(SEARCH("Buy",E88)))</formula>
    </cfRule>
    <cfRule type="containsText" dxfId="966" priority="284" operator="containsText" text="Sell">
      <formula>NOT(ISERROR(SEARCH("Sell",E88)))</formula>
    </cfRule>
  </conditionalFormatting>
  <conditionalFormatting sqref="E85:E86">
    <cfRule type="containsText" dxfId="965" priority="281" operator="containsText" text="Buy">
      <formula>NOT(ISERROR(SEARCH("Buy",E85)))</formula>
    </cfRule>
    <cfRule type="containsText" dxfId="964" priority="282" operator="containsText" text="Sell">
      <formula>NOT(ISERROR(SEARCH("Sell",E85)))</formula>
    </cfRule>
  </conditionalFormatting>
  <conditionalFormatting sqref="E259">
    <cfRule type="containsText" dxfId="963" priority="279" operator="containsText" text="Buy">
      <formula>NOT(ISERROR(SEARCH("Buy",E259)))</formula>
    </cfRule>
    <cfRule type="containsText" dxfId="962" priority="280" operator="containsText" text="Sell">
      <formula>NOT(ISERROR(SEARCH("Sell",E259)))</formula>
    </cfRule>
  </conditionalFormatting>
  <conditionalFormatting sqref="E82:E83">
    <cfRule type="containsText" dxfId="961" priority="277" operator="containsText" text="Buy">
      <formula>NOT(ISERROR(SEARCH("Buy",E82)))</formula>
    </cfRule>
    <cfRule type="containsText" dxfId="960" priority="278" operator="containsText" text="Sell">
      <formula>NOT(ISERROR(SEARCH("Sell",E82)))</formula>
    </cfRule>
  </conditionalFormatting>
  <conditionalFormatting sqref="E79:E80">
    <cfRule type="containsText" dxfId="959" priority="275" operator="containsText" text="Buy">
      <formula>NOT(ISERROR(SEARCH("Buy",E79)))</formula>
    </cfRule>
    <cfRule type="containsText" dxfId="958" priority="276" operator="containsText" text="Sell">
      <formula>NOT(ISERROR(SEARCH("Sell",E79)))</formula>
    </cfRule>
  </conditionalFormatting>
  <conditionalFormatting sqref="E151">
    <cfRule type="containsText" dxfId="957" priority="273" operator="containsText" text="Buy">
      <formula>NOT(ISERROR(SEARCH("Buy",E151)))</formula>
    </cfRule>
    <cfRule type="containsText" dxfId="956" priority="274" operator="containsText" text="Sell">
      <formula>NOT(ISERROR(SEARCH("Sell",E151)))</formula>
    </cfRule>
  </conditionalFormatting>
  <conditionalFormatting sqref="E77">
    <cfRule type="containsText" dxfId="955" priority="271" operator="containsText" text="Buy">
      <formula>NOT(ISERROR(SEARCH("Buy",E77)))</formula>
    </cfRule>
    <cfRule type="containsText" dxfId="954" priority="272" operator="containsText" text="Sell">
      <formula>NOT(ISERROR(SEARCH("Sell",E77)))</formula>
    </cfRule>
  </conditionalFormatting>
  <conditionalFormatting sqref="E76">
    <cfRule type="containsText" dxfId="953" priority="269" operator="containsText" text="Buy">
      <formula>NOT(ISERROR(SEARCH("Buy",E76)))</formula>
    </cfRule>
    <cfRule type="containsText" dxfId="952" priority="270" operator="containsText" text="Sell">
      <formula>NOT(ISERROR(SEARCH("Sell",E76)))</formula>
    </cfRule>
  </conditionalFormatting>
  <conditionalFormatting sqref="E288">
    <cfRule type="containsText" dxfId="951" priority="267" operator="containsText" text="Buy">
      <formula>NOT(ISERROR(SEARCH("Buy",E288)))</formula>
    </cfRule>
    <cfRule type="containsText" dxfId="950" priority="268" operator="containsText" text="Sell">
      <formula>NOT(ISERROR(SEARCH("Sell",E288)))</formula>
    </cfRule>
  </conditionalFormatting>
  <conditionalFormatting sqref="E305">
    <cfRule type="containsText" dxfId="949" priority="265" operator="containsText" text="Buy">
      <formula>NOT(ISERROR(SEARCH("Buy",E305)))</formula>
    </cfRule>
    <cfRule type="containsText" dxfId="948" priority="266" operator="containsText" text="Sell">
      <formula>NOT(ISERROR(SEARCH("Sell",E305)))</formula>
    </cfRule>
  </conditionalFormatting>
  <conditionalFormatting sqref="E68:E69">
    <cfRule type="containsText" dxfId="947" priority="263" operator="containsText" text="Buy">
      <formula>NOT(ISERROR(SEARCH("Buy",E68)))</formula>
    </cfRule>
    <cfRule type="containsText" dxfId="946" priority="264" operator="containsText" text="Sell">
      <formula>NOT(ISERROR(SEARCH("Sell",E68)))</formula>
    </cfRule>
  </conditionalFormatting>
  <conditionalFormatting sqref="E283">
    <cfRule type="containsText" dxfId="945" priority="261" operator="containsText" text="Buy">
      <formula>NOT(ISERROR(SEARCH("Buy",E283)))</formula>
    </cfRule>
    <cfRule type="containsText" dxfId="944" priority="262" operator="containsText" text="Sell">
      <formula>NOT(ISERROR(SEARCH("Sell",E283)))</formula>
    </cfRule>
  </conditionalFormatting>
  <conditionalFormatting sqref="E279">
    <cfRule type="containsText" dxfId="943" priority="259" operator="containsText" text="Buy">
      <formula>NOT(ISERROR(SEARCH("Buy",E279)))</formula>
    </cfRule>
    <cfRule type="containsText" dxfId="942" priority="260" operator="containsText" text="Sell">
      <formula>NOT(ISERROR(SEARCH("Sell",E279)))</formula>
    </cfRule>
  </conditionalFormatting>
  <conditionalFormatting sqref="E94">
    <cfRule type="containsText" dxfId="941" priority="249" operator="containsText" text="Buy">
      <formula>NOT(ISERROR(SEARCH("Buy",E94)))</formula>
    </cfRule>
    <cfRule type="containsText" dxfId="940" priority="250" operator="containsText" text="Sell">
      <formula>NOT(ISERROR(SEARCH("Sell",E94)))</formula>
    </cfRule>
  </conditionalFormatting>
  <conditionalFormatting sqref="E150">
    <cfRule type="containsText" dxfId="939" priority="255" operator="containsText" text="Buy">
      <formula>NOT(ISERROR(SEARCH("Buy",E150)))</formula>
    </cfRule>
    <cfRule type="containsText" dxfId="938" priority="256" operator="containsText" text="Sell">
      <formula>NOT(ISERROR(SEARCH("Sell",E150)))</formula>
    </cfRule>
  </conditionalFormatting>
  <conditionalFormatting sqref="E204">
    <cfRule type="containsText" dxfId="937" priority="253" operator="containsText" text="Buy">
      <formula>NOT(ISERROR(SEARCH("Buy",E204)))</formula>
    </cfRule>
    <cfRule type="containsText" dxfId="936" priority="254" operator="containsText" text="Sell">
      <formula>NOT(ISERROR(SEARCH("Sell",E204)))</formula>
    </cfRule>
  </conditionalFormatting>
  <conditionalFormatting sqref="E159">
    <cfRule type="containsText" dxfId="935" priority="251" operator="containsText" text="Buy">
      <formula>NOT(ISERROR(SEARCH("Buy",E159)))</formula>
    </cfRule>
    <cfRule type="containsText" dxfId="934" priority="252" operator="containsText" text="Sell">
      <formula>NOT(ISERROR(SEARCH("Sell",E159)))</formula>
    </cfRule>
  </conditionalFormatting>
  <conditionalFormatting sqref="E250">
    <cfRule type="containsText" dxfId="933" priority="247" operator="containsText" text="Buy">
      <formula>NOT(ISERROR(SEARCH("Buy",E250)))</formula>
    </cfRule>
    <cfRule type="containsText" dxfId="932" priority="248" operator="containsText" text="Sell">
      <formula>NOT(ISERROR(SEARCH("Sell",E250)))</formula>
    </cfRule>
  </conditionalFormatting>
  <conditionalFormatting sqref="E65:E66">
    <cfRule type="containsText" dxfId="931" priority="243" operator="containsText" text="Buy">
      <formula>NOT(ISERROR(SEARCH("Buy",E65)))</formula>
    </cfRule>
    <cfRule type="containsText" dxfId="930" priority="244" operator="containsText" text="Sell">
      <formula>NOT(ISERROR(SEARCH("Sell",E65)))</formula>
    </cfRule>
  </conditionalFormatting>
  <conditionalFormatting sqref="E304">
    <cfRule type="containsText" dxfId="929" priority="245" operator="containsText" text="Buy">
      <formula>NOT(ISERROR(SEARCH("Buy",E304)))</formula>
    </cfRule>
    <cfRule type="containsText" dxfId="928" priority="246" operator="containsText" text="Sell">
      <formula>NOT(ISERROR(SEARCH("Sell",E304)))</formula>
    </cfRule>
  </conditionalFormatting>
  <conditionalFormatting sqref="E149">
    <cfRule type="containsText" dxfId="927" priority="241" operator="containsText" text="Buy">
      <formula>NOT(ISERROR(SEARCH("Buy",E149)))</formula>
    </cfRule>
    <cfRule type="containsText" dxfId="926" priority="242" operator="containsText" text="Sell">
      <formula>NOT(ISERROR(SEARCH("Sell",E149)))</formula>
    </cfRule>
  </conditionalFormatting>
  <conditionalFormatting sqref="E62">
    <cfRule type="containsText" dxfId="925" priority="237" operator="containsText" text="Buy">
      <formula>NOT(ISERROR(SEARCH("Buy",E62)))</formula>
    </cfRule>
    <cfRule type="containsText" dxfId="924" priority="238" operator="containsText" text="Sell">
      <formula>NOT(ISERROR(SEARCH("Sell",E62)))</formula>
    </cfRule>
  </conditionalFormatting>
  <conditionalFormatting sqref="E222">
    <cfRule type="containsText" dxfId="923" priority="239" operator="containsText" text="Buy">
      <formula>NOT(ISERROR(SEARCH("Buy",E222)))</formula>
    </cfRule>
    <cfRule type="containsText" dxfId="922" priority="240" operator="containsText" text="Sell">
      <formula>NOT(ISERROR(SEARCH("Sell",E222)))</formula>
    </cfRule>
  </conditionalFormatting>
  <conditionalFormatting sqref="E299">
    <cfRule type="containsText" dxfId="921" priority="235" operator="containsText" text="Buy">
      <formula>NOT(ISERROR(SEARCH("Buy",E299)))</formula>
    </cfRule>
    <cfRule type="containsText" dxfId="920" priority="236" operator="containsText" text="Sell">
      <formula>NOT(ISERROR(SEARCH("Sell",E299)))</formula>
    </cfRule>
  </conditionalFormatting>
  <conditionalFormatting sqref="E59">
    <cfRule type="containsText" dxfId="919" priority="233" operator="containsText" text="Buy">
      <formula>NOT(ISERROR(SEARCH("Buy",E59)))</formula>
    </cfRule>
    <cfRule type="containsText" dxfId="918" priority="234" operator="containsText" text="Sell">
      <formula>NOT(ISERROR(SEARCH("Sell",E59)))</formula>
    </cfRule>
  </conditionalFormatting>
  <conditionalFormatting sqref="E56">
    <cfRule type="containsText" dxfId="917" priority="231" operator="containsText" text="Buy">
      <formula>NOT(ISERROR(SEARCH("Buy",E56)))</formula>
    </cfRule>
    <cfRule type="containsText" dxfId="916" priority="232" operator="containsText" text="Sell">
      <formula>NOT(ISERROR(SEARCH("Sell",E56)))</formula>
    </cfRule>
  </conditionalFormatting>
  <conditionalFormatting sqref="E189">
    <cfRule type="containsText" dxfId="915" priority="229" operator="containsText" text="Buy">
      <formula>NOT(ISERROR(SEARCH("Buy",E189)))</formula>
    </cfRule>
    <cfRule type="containsText" dxfId="914" priority="230" operator="containsText" text="Sell">
      <formula>NOT(ISERROR(SEARCH("Sell",E189)))</formula>
    </cfRule>
  </conditionalFormatting>
  <conditionalFormatting sqref="E303">
    <cfRule type="containsText" dxfId="913" priority="227" operator="containsText" text="Buy">
      <formula>NOT(ISERROR(SEARCH("Buy",E303)))</formula>
    </cfRule>
    <cfRule type="containsText" dxfId="912" priority="228" operator="containsText" text="Sell">
      <formula>NOT(ISERROR(SEARCH("Sell",E303)))</formula>
    </cfRule>
  </conditionalFormatting>
  <conditionalFormatting sqref="E287">
    <cfRule type="containsText" dxfId="911" priority="225" operator="containsText" text="Buy">
      <formula>NOT(ISERROR(SEARCH("Buy",E287)))</formula>
    </cfRule>
    <cfRule type="containsText" dxfId="910" priority="226" operator="containsText" text="Sell">
      <formula>NOT(ISERROR(SEARCH("Sell",E287)))</formula>
    </cfRule>
  </conditionalFormatting>
  <conditionalFormatting sqref="E64">
    <cfRule type="containsText" dxfId="909" priority="223" operator="containsText" text="Buy">
      <formula>NOT(ISERROR(SEARCH("Buy",E64)))</formula>
    </cfRule>
    <cfRule type="containsText" dxfId="908" priority="224" operator="containsText" text="Sell">
      <formula>NOT(ISERROR(SEARCH("Sell",E64)))</formula>
    </cfRule>
  </conditionalFormatting>
  <conditionalFormatting sqref="E53">
    <cfRule type="containsText" dxfId="907" priority="221" operator="containsText" text="Buy">
      <formula>NOT(ISERROR(SEARCH("Buy",E53)))</formula>
    </cfRule>
    <cfRule type="containsText" dxfId="906" priority="222" operator="containsText" text="Sell">
      <formula>NOT(ISERROR(SEARCH("Sell",E53)))</formula>
    </cfRule>
  </conditionalFormatting>
  <conditionalFormatting sqref="E47">
    <cfRule type="containsText" dxfId="905" priority="219" operator="containsText" text="Buy">
      <formula>NOT(ISERROR(SEARCH("Buy",E47)))</formula>
    </cfRule>
    <cfRule type="containsText" dxfId="904" priority="220" operator="containsText" text="Sell">
      <formula>NOT(ISERROR(SEARCH("Sell",E47)))</formula>
    </cfRule>
  </conditionalFormatting>
  <conditionalFormatting sqref="E71">
    <cfRule type="containsText" dxfId="903" priority="217" operator="containsText" text="Buy">
      <formula>NOT(ISERROR(SEARCH("Buy",E71)))</formula>
    </cfRule>
    <cfRule type="containsText" dxfId="902" priority="218" operator="containsText" text="Sell">
      <formula>NOT(ISERROR(SEARCH("Sell",E71)))</formula>
    </cfRule>
  </conditionalFormatting>
  <conditionalFormatting sqref="E249">
    <cfRule type="containsText" dxfId="901" priority="215" operator="containsText" text="Buy">
      <formula>NOT(ISERROR(SEARCH("Buy",E249)))</formula>
    </cfRule>
    <cfRule type="containsText" dxfId="900" priority="216" operator="containsText" text="Sell">
      <formula>NOT(ISERROR(SEARCH("Sell",E249)))</formula>
    </cfRule>
  </conditionalFormatting>
  <conditionalFormatting sqref="E220">
    <cfRule type="containsText" dxfId="899" priority="211" operator="containsText" text="Buy">
      <formula>NOT(ISERROR(SEARCH("Buy",E220)))</formula>
    </cfRule>
    <cfRule type="containsText" dxfId="898" priority="212" operator="containsText" text="Sell">
      <formula>NOT(ISERROR(SEARCH("Sell",E220)))</formula>
    </cfRule>
  </conditionalFormatting>
  <conditionalFormatting sqref="E179">
    <cfRule type="containsText" dxfId="897" priority="209" operator="containsText" text="Buy">
      <formula>NOT(ISERROR(SEARCH("Buy",E179)))</formula>
    </cfRule>
    <cfRule type="containsText" dxfId="896" priority="210" operator="containsText" text="Sell">
      <formula>NOT(ISERROR(SEARCH("Sell",E179)))</formula>
    </cfRule>
  </conditionalFormatting>
  <conditionalFormatting sqref="E221">
    <cfRule type="containsText" dxfId="895" priority="213" operator="containsText" text="Buy">
      <formula>NOT(ISERROR(SEARCH("Buy",E221)))</formula>
    </cfRule>
    <cfRule type="containsText" dxfId="894" priority="214" operator="containsText" text="Sell">
      <formula>NOT(ISERROR(SEARCH("Sell",E221)))</formula>
    </cfRule>
  </conditionalFormatting>
  <conditionalFormatting sqref="E109">
    <cfRule type="containsText" dxfId="893" priority="207" operator="containsText" text="Buy">
      <formula>NOT(ISERROR(SEARCH("Buy",E109)))</formula>
    </cfRule>
    <cfRule type="containsText" dxfId="892" priority="208" operator="containsText" text="Sell">
      <formula>NOT(ISERROR(SEARCH("Sell",E109)))</formula>
    </cfRule>
  </conditionalFormatting>
  <conditionalFormatting sqref="E38">
    <cfRule type="containsText" dxfId="891" priority="205" operator="containsText" text="Buy">
      <formula>NOT(ISERROR(SEARCH("Buy",E38)))</formula>
    </cfRule>
    <cfRule type="containsText" dxfId="890" priority="206" operator="containsText" text="Sell">
      <formula>NOT(ISERROR(SEARCH("Sell",E38)))</formula>
    </cfRule>
  </conditionalFormatting>
  <conditionalFormatting sqref="E35">
    <cfRule type="containsText" dxfId="889" priority="203" operator="containsText" text="Buy">
      <formula>NOT(ISERROR(SEARCH("Buy",E35)))</formula>
    </cfRule>
    <cfRule type="containsText" dxfId="888" priority="204" operator="containsText" text="Sell">
      <formula>NOT(ISERROR(SEARCH("Sell",E35)))</formula>
    </cfRule>
  </conditionalFormatting>
  <conditionalFormatting sqref="E50">
    <cfRule type="containsText" dxfId="887" priority="201" operator="containsText" text="Buy">
      <formula>NOT(ISERROR(SEARCH("Buy",E50)))</formula>
    </cfRule>
    <cfRule type="containsText" dxfId="886" priority="202" operator="containsText" text="Sell">
      <formula>NOT(ISERROR(SEARCH("Sell",E50)))</formula>
    </cfRule>
  </conditionalFormatting>
  <conditionalFormatting sqref="E91">
    <cfRule type="containsText" dxfId="885" priority="199" operator="containsText" text="Buy">
      <formula>NOT(ISERROR(SEARCH("Buy",E91)))</formula>
    </cfRule>
    <cfRule type="containsText" dxfId="884" priority="200" operator="containsText" text="Sell">
      <formula>NOT(ISERROR(SEARCH("Sell",E91)))</formula>
    </cfRule>
  </conditionalFormatting>
  <conditionalFormatting sqref="E41">
    <cfRule type="containsText" dxfId="883" priority="197" operator="containsText" text="Buy">
      <formula>NOT(ISERROR(SEARCH("Buy",E41)))</formula>
    </cfRule>
    <cfRule type="containsText" dxfId="882" priority="198" operator="containsText" text="Sell">
      <formula>NOT(ISERROR(SEARCH("Sell",E41)))</formula>
    </cfRule>
  </conditionalFormatting>
  <conditionalFormatting sqref="E44">
    <cfRule type="containsText" dxfId="881" priority="195" operator="containsText" text="Buy">
      <formula>NOT(ISERROR(SEARCH("Buy",E44)))</formula>
    </cfRule>
    <cfRule type="containsText" dxfId="880" priority="196" operator="containsText" text="Sell">
      <formula>NOT(ISERROR(SEARCH("Sell",E44)))</formula>
    </cfRule>
  </conditionalFormatting>
  <conditionalFormatting sqref="E256">
    <cfRule type="containsText" dxfId="879" priority="193" operator="containsText" text="Buy">
      <formula>NOT(ISERROR(SEARCH("Buy",E256)))</formula>
    </cfRule>
    <cfRule type="containsText" dxfId="878" priority="194" operator="containsText" text="Sell">
      <formula>NOT(ISERROR(SEARCH("Sell",E256)))</formula>
    </cfRule>
  </conditionalFormatting>
  <conditionalFormatting sqref="E75">
    <cfRule type="containsText" dxfId="877" priority="191" operator="containsText" text="Buy">
      <formula>NOT(ISERROR(SEARCH("Buy",E75)))</formula>
    </cfRule>
    <cfRule type="containsText" dxfId="876" priority="192" operator="containsText" text="Sell">
      <formula>NOT(ISERROR(SEARCH("Sell",E75)))</formula>
    </cfRule>
  </conditionalFormatting>
  <conditionalFormatting sqref="E74">
    <cfRule type="containsText" dxfId="875" priority="189" operator="containsText" text="Buy">
      <formula>NOT(ISERROR(SEARCH("Buy",E74)))</formula>
    </cfRule>
    <cfRule type="containsText" dxfId="874" priority="190" operator="containsText" text="Sell">
      <formula>NOT(ISERROR(SEARCH("Sell",E74)))</formula>
    </cfRule>
  </conditionalFormatting>
  <conditionalFormatting sqref="E73">
    <cfRule type="containsText" dxfId="873" priority="187" operator="containsText" text="Buy">
      <formula>NOT(ISERROR(SEARCH("Buy",E73)))</formula>
    </cfRule>
    <cfRule type="containsText" dxfId="872" priority="188" operator="containsText" text="Sell">
      <formula>NOT(ISERROR(SEARCH("Sell",E73)))</formula>
    </cfRule>
  </conditionalFormatting>
  <conditionalFormatting sqref="E72">
    <cfRule type="containsText" dxfId="871" priority="185" operator="containsText" text="Buy">
      <formula>NOT(ISERROR(SEARCH("Buy",E72)))</formula>
    </cfRule>
    <cfRule type="containsText" dxfId="870" priority="186" operator="containsText" text="Sell">
      <formula>NOT(ISERROR(SEARCH("Sell",E72)))</formula>
    </cfRule>
  </conditionalFormatting>
  <conditionalFormatting sqref="E95:E96">
    <cfRule type="containsText" dxfId="869" priority="183" operator="containsText" text="Buy">
      <formula>NOT(ISERROR(SEARCH("Buy",E95)))</formula>
    </cfRule>
    <cfRule type="containsText" dxfId="868" priority="184" operator="containsText" text="Sell">
      <formula>NOT(ISERROR(SEARCH("Sell",E95)))</formula>
    </cfRule>
  </conditionalFormatting>
  <conditionalFormatting sqref="E169:E171">
    <cfRule type="containsText" dxfId="867" priority="181" operator="containsText" text="Buy">
      <formula>NOT(ISERROR(SEARCH("Buy",E169)))</formula>
    </cfRule>
    <cfRule type="containsText" dxfId="866" priority="182" operator="containsText" text="Sell">
      <formula>NOT(ISERROR(SEARCH("Sell",E169)))</formula>
    </cfRule>
  </conditionalFormatting>
  <conditionalFormatting sqref="E148">
    <cfRule type="containsText" dxfId="865" priority="179" operator="containsText" text="Buy">
      <formula>NOT(ISERROR(SEARCH("Buy",E148)))</formula>
    </cfRule>
    <cfRule type="containsText" dxfId="864" priority="180" operator="containsText" text="Sell">
      <formula>NOT(ISERROR(SEARCH("Sell",E148)))</formula>
    </cfRule>
  </conditionalFormatting>
  <conditionalFormatting sqref="E147">
    <cfRule type="containsText" dxfId="863" priority="177" operator="containsText" text="Buy">
      <formula>NOT(ISERROR(SEARCH("Buy",E147)))</formula>
    </cfRule>
    <cfRule type="containsText" dxfId="862" priority="178" operator="containsText" text="Sell">
      <formula>NOT(ISERROR(SEARCH("Sell",E147)))</formula>
    </cfRule>
  </conditionalFormatting>
  <conditionalFormatting sqref="E141">
    <cfRule type="containsText" dxfId="861" priority="175" operator="containsText" text="Buy">
      <formula>NOT(ISERROR(SEARCH("Buy",E141)))</formula>
    </cfRule>
    <cfRule type="containsText" dxfId="860" priority="176" operator="containsText" text="Sell">
      <formula>NOT(ISERROR(SEARCH("Sell",E141)))</formula>
    </cfRule>
  </conditionalFormatting>
  <conditionalFormatting sqref="E146">
    <cfRule type="containsText" dxfId="859" priority="173" operator="containsText" text="Buy">
      <formula>NOT(ISERROR(SEARCH("Buy",E146)))</formula>
    </cfRule>
    <cfRule type="containsText" dxfId="858" priority="174" operator="containsText" text="Sell">
      <formula>NOT(ISERROR(SEARCH("Sell",E146)))</formula>
    </cfRule>
  </conditionalFormatting>
  <conditionalFormatting sqref="E145">
    <cfRule type="containsText" dxfId="857" priority="171" operator="containsText" text="Buy">
      <formula>NOT(ISERROR(SEARCH("Buy",E145)))</formula>
    </cfRule>
    <cfRule type="containsText" dxfId="856" priority="172" operator="containsText" text="Sell">
      <formula>NOT(ISERROR(SEARCH("Sell",E145)))</formula>
    </cfRule>
  </conditionalFormatting>
  <conditionalFormatting sqref="E255">
    <cfRule type="containsText" dxfId="855" priority="169" operator="containsText" text="Buy">
      <formula>NOT(ISERROR(SEARCH("Buy",E255)))</formula>
    </cfRule>
    <cfRule type="containsText" dxfId="854" priority="170" operator="containsText" text="Sell">
      <formula>NOT(ISERROR(SEARCH("Sell",E255)))</formula>
    </cfRule>
  </conditionalFormatting>
  <conditionalFormatting sqref="E130:E131">
    <cfRule type="containsText" dxfId="853" priority="167" operator="containsText" text="Buy">
      <formula>NOT(ISERROR(SEARCH("Buy",E130)))</formula>
    </cfRule>
    <cfRule type="containsText" dxfId="852" priority="168" operator="containsText" text="Sell">
      <formula>NOT(ISERROR(SEARCH("Sell",E130)))</formula>
    </cfRule>
  </conditionalFormatting>
  <conditionalFormatting sqref="E254">
    <cfRule type="containsText" dxfId="851" priority="165" operator="containsText" text="Buy">
      <formula>NOT(ISERROR(SEARCH("Buy",E254)))</formula>
    </cfRule>
    <cfRule type="containsText" dxfId="850" priority="166" operator="containsText" text="Sell">
      <formula>NOT(ISERROR(SEARCH("Sell",E254)))</formula>
    </cfRule>
  </conditionalFormatting>
  <conditionalFormatting sqref="E129">
    <cfRule type="containsText" dxfId="849" priority="163" operator="containsText" text="Buy">
      <formula>NOT(ISERROR(SEARCH("Buy",E129)))</formula>
    </cfRule>
    <cfRule type="containsText" dxfId="848" priority="164" operator="containsText" text="Sell">
      <formula>NOT(ISERROR(SEARCH("Sell",E129)))</formula>
    </cfRule>
  </conditionalFormatting>
  <conditionalFormatting sqref="E253">
    <cfRule type="containsText" dxfId="847" priority="161" operator="containsText" text="Buy">
      <formula>NOT(ISERROR(SEARCH("Buy",E253)))</formula>
    </cfRule>
    <cfRule type="containsText" dxfId="846" priority="162" operator="containsText" text="Sell">
      <formula>NOT(ISERROR(SEARCH("Sell",E253)))</formula>
    </cfRule>
  </conditionalFormatting>
  <conditionalFormatting sqref="E136">
    <cfRule type="containsText" dxfId="845" priority="159" operator="containsText" text="Buy">
      <formula>NOT(ISERROR(SEARCH("Buy",E136)))</formula>
    </cfRule>
    <cfRule type="containsText" dxfId="844" priority="160" operator="containsText" text="Sell">
      <formula>NOT(ISERROR(SEARCH("Sell",E136)))</formula>
    </cfRule>
  </conditionalFormatting>
  <conditionalFormatting sqref="E140">
    <cfRule type="containsText" dxfId="843" priority="157" operator="containsText" text="Buy">
      <formula>NOT(ISERROR(SEARCH("Buy",E140)))</formula>
    </cfRule>
    <cfRule type="containsText" dxfId="842" priority="158" operator="containsText" text="Sell">
      <formula>NOT(ISERROR(SEARCH("Sell",E140)))</formula>
    </cfRule>
  </conditionalFormatting>
  <conditionalFormatting sqref="E135">
    <cfRule type="containsText" dxfId="841" priority="155" operator="containsText" text="Buy">
      <formula>NOT(ISERROR(SEARCH("Buy",E135)))</formula>
    </cfRule>
    <cfRule type="containsText" dxfId="840" priority="156" operator="containsText" text="Sell">
      <formula>NOT(ISERROR(SEARCH("Sell",E135)))</formula>
    </cfRule>
  </conditionalFormatting>
  <conditionalFormatting sqref="T6:T7">
    <cfRule type="dataBar" priority="5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{6638F0FC-771B-44D2-B5BE-CA5676B2B78A}</x14:id>
        </ext>
      </extLst>
    </cfRule>
  </conditionalFormatting>
  <conditionalFormatting sqref="T9:T11">
    <cfRule type="dataBar" priority="5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{A740E91F-401A-4026-9DE3-73B72F218A0C}</x14:id>
        </ext>
      </extLst>
    </cfRule>
  </conditionalFormatting>
  <conditionalFormatting sqref="U9:U11 U6:U7">
    <cfRule type="dataBar" priority="5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{2433FF09-DF4D-44DB-B3EF-C2C881DC032F}</x14:id>
        </ext>
      </extLst>
    </cfRule>
  </conditionalFormatting>
  <conditionalFormatting sqref="V6:V7">
    <cfRule type="dataBar" priority="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{03059651-77C8-469B-9328-AD0AD2C49EF6}</x14:id>
        </ext>
      </extLst>
    </cfRule>
  </conditionalFormatting>
  <conditionalFormatting sqref="V9:V11">
    <cfRule type="dataBar" priority="5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{3019F640-99BA-4D73-A1AF-592002821356}</x14:id>
        </ext>
      </extLst>
    </cfRule>
  </conditionalFormatting>
  <conditionalFormatting sqref="K9:L11 K6:L7">
    <cfRule type="dataBar" priority="5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{5401E3BA-9E28-45A5-9AA3-7FCB7DAAFA87}</x14:id>
        </ext>
      </extLst>
    </cfRule>
  </conditionalFormatting>
  <conditionalFormatting sqref="K9:K11 K6:K7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{5BB54176-F8DD-4BF8-B5BA-AEF15C500AA9}</x14:id>
        </ext>
      </extLst>
    </cfRule>
  </conditionalFormatting>
  <conditionalFormatting sqref="L9:L11 L6:L7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{B9B40EA9-19A2-42E9-AABF-C203010F48C7}</x14:id>
        </ext>
      </extLst>
    </cfRule>
  </conditionalFormatting>
  <conditionalFormatting sqref="E30">
    <cfRule type="containsText" dxfId="839" priority="137" operator="containsText" text="Buy">
      <formula>NOT(ISERROR(SEARCH("Buy",E30)))</formula>
    </cfRule>
    <cfRule type="containsText" dxfId="838" priority="138" operator="containsText" text="Sell">
      <formula>NOT(ISERROR(SEARCH("Sell",E30)))</formula>
    </cfRule>
  </conditionalFormatting>
  <conditionalFormatting sqref="E31">
    <cfRule type="containsText" dxfId="837" priority="139" operator="containsText" text="Buy">
      <formula>NOT(ISERROR(SEARCH("Buy",E31)))</formula>
    </cfRule>
    <cfRule type="containsText" dxfId="836" priority="140" operator="containsText" text="Sell">
      <formula>NOT(ISERROR(SEARCH("Sell",E31)))</formula>
    </cfRule>
  </conditionalFormatting>
  <conditionalFormatting sqref="E33">
    <cfRule type="containsText" dxfId="835" priority="133" operator="containsText" text="Buy">
      <formula>NOT(ISERROR(SEARCH("Buy",E33)))</formula>
    </cfRule>
    <cfRule type="containsText" dxfId="834" priority="134" operator="containsText" text="Sell">
      <formula>NOT(ISERROR(SEARCH("Sell",E33)))</formula>
    </cfRule>
  </conditionalFormatting>
  <conditionalFormatting sqref="E34">
    <cfRule type="containsText" dxfId="833" priority="135" operator="containsText" text="Buy">
      <formula>NOT(ISERROR(SEARCH("Buy",E34)))</formula>
    </cfRule>
    <cfRule type="containsText" dxfId="832" priority="136" operator="containsText" text="Sell">
      <formula>NOT(ISERROR(SEARCH("Sell",E34)))</formula>
    </cfRule>
  </conditionalFormatting>
  <conditionalFormatting sqref="E36">
    <cfRule type="containsText" dxfId="831" priority="129" operator="containsText" text="Buy">
      <formula>NOT(ISERROR(SEARCH("Buy",E36)))</formula>
    </cfRule>
    <cfRule type="containsText" dxfId="830" priority="130" operator="containsText" text="Sell">
      <formula>NOT(ISERROR(SEARCH("Sell",E36)))</formula>
    </cfRule>
  </conditionalFormatting>
  <conditionalFormatting sqref="E37">
    <cfRule type="containsText" dxfId="829" priority="131" operator="containsText" text="Buy">
      <formula>NOT(ISERROR(SEARCH("Buy",E37)))</formula>
    </cfRule>
    <cfRule type="containsText" dxfId="828" priority="132" operator="containsText" text="Sell">
      <formula>NOT(ISERROR(SEARCH("Sell",E37)))</formula>
    </cfRule>
  </conditionalFormatting>
  <conditionalFormatting sqref="E39">
    <cfRule type="containsText" dxfId="827" priority="125" operator="containsText" text="Buy">
      <formula>NOT(ISERROR(SEARCH("Buy",E39)))</formula>
    </cfRule>
    <cfRule type="containsText" dxfId="826" priority="126" operator="containsText" text="Sell">
      <formula>NOT(ISERROR(SEARCH("Sell",E39)))</formula>
    </cfRule>
  </conditionalFormatting>
  <conditionalFormatting sqref="E40">
    <cfRule type="containsText" dxfId="825" priority="127" operator="containsText" text="Buy">
      <formula>NOT(ISERROR(SEARCH("Buy",E40)))</formula>
    </cfRule>
    <cfRule type="containsText" dxfId="824" priority="128" operator="containsText" text="Sell">
      <formula>NOT(ISERROR(SEARCH("Sell",E40)))</formula>
    </cfRule>
  </conditionalFormatting>
  <conditionalFormatting sqref="E42">
    <cfRule type="containsText" dxfId="823" priority="121" operator="containsText" text="Buy">
      <formula>NOT(ISERROR(SEARCH("Buy",E42)))</formula>
    </cfRule>
    <cfRule type="containsText" dxfId="822" priority="122" operator="containsText" text="Sell">
      <formula>NOT(ISERROR(SEARCH("Sell",E42)))</formula>
    </cfRule>
  </conditionalFormatting>
  <conditionalFormatting sqref="E43">
    <cfRule type="containsText" dxfId="821" priority="123" operator="containsText" text="Buy">
      <formula>NOT(ISERROR(SEARCH("Buy",E43)))</formula>
    </cfRule>
    <cfRule type="containsText" dxfId="820" priority="124" operator="containsText" text="Sell">
      <formula>NOT(ISERROR(SEARCH("Sell",E43)))</formula>
    </cfRule>
  </conditionalFormatting>
  <conditionalFormatting sqref="E45">
    <cfRule type="containsText" dxfId="819" priority="117" operator="containsText" text="Buy">
      <formula>NOT(ISERROR(SEARCH("Buy",E45)))</formula>
    </cfRule>
    <cfRule type="containsText" dxfId="818" priority="118" operator="containsText" text="Sell">
      <formula>NOT(ISERROR(SEARCH("Sell",E45)))</formula>
    </cfRule>
  </conditionalFormatting>
  <conditionalFormatting sqref="E46">
    <cfRule type="containsText" dxfId="817" priority="119" operator="containsText" text="Buy">
      <formula>NOT(ISERROR(SEARCH("Buy",E46)))</formula>
    </cfRule>
    <cfRule type="containsText" dxfId="816" priority="120" operator="containsText" text="Sell">
      <formula>NOT(ISERROR(SEARCH("Sell",E46)))</formula>
    </cfRule>
  </conditionalFormatting>
  <conditionalFormatting sqref="E48">
    <cfRule type="containsText" dxfId="815" priority="113" operator="containsText" text="Buy">
      <formula>NOT(ISERROR(SEARCH("Buy",E48)))</formula>
    </cfRule>
    <cfRule type="containsText" dxfId="814" priority="114" operator="containsText" text="Sell">
      <formula>NOT(ISERROR(SEARCH("Sell",E48)))</formula>
    </cfRule>
  </conditionalFormatting>
  <conditionalFormatting sqref="E49">
    <cfRule type="containsText" dxfId="813" priority="115" operator="containsText" text="Buy">
      <formula>NOT(ISERROR(SEARCH("Buy",E49)))</formula>
    </cfRule>
    <cfRule type="containsText" dxfId="812" priority="116" operator="containsText" text="Sell">
      <formula>NOT(ISERROR(SEARCH("Sell",E49)))</formula>
    </cfRule>
  </conditionalFormatting>
  <conditionalFormatting sqref="T12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{6F23CD11-446D-4C1A-A870-0E77E028907D}</x14:id>
        </ext>
      </extLst>
    </cfRule>
  </conditionalFormatting>
  <conditionalFormatting sqref="U12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{0007BAC1-1425-4A1A-809C-2964993921BC}</x14:id>
        </ext>
      </extLst>
    </cfRule>
  </conditionalFormatting>
  <conditionalFormatting sqref="V12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{A9A75FA7-6E18-4E53-B110-457040360A6A}</x14:id>
        </ext>
      </extLst>
    </cfRule>
  </conditionalFormatting>
  <conditionalFormatting sqref="K12:L12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{676130CD-1F68-4D62-BFE4-0094EC2266AD}</x14:id>
        </ext>
      </extLst>
    </cfRule>
  </conditionalFormatting>
  <conditionalFormatting sqref="K12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{E3DCB15B-F876-4A11-A21F-C8706D508499}</x14:id>
        </ext>
      </extLst>
    </cfRule>
  </conditionalFormatting>
  <conditionalFormatting sqref="L12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{767BB5D3-8A55-4D94-89E6-76AB3ECA9F76}</x14:id>
        </ext>
      </extLst>
    </cfRule>
  </conditionalFormatting>
  <conditionalFormatting sqref="W5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{830D8B92-4A3F-44A0-AA6A-A09AEA518E76}</x14:id>
        </ext>
      </extLst>
    </cfRule>
  </conditionalFormatting>
  <conditionalFormatting sqref="K5:L5">
    <cfRule type="dataBar" priority="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{57C588FA-890D-4CCA-B391-B16569B469EF}</x14:id>
        </ext>
      </extLst>
    </cfRule>
  </conditionalFormatting>
  <conditionalFormatting sqref="K5:L5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{1F0E434F-17BA-4D0B-8732-6BD095249F86}</x14:id>
        </ext>
      </extLst>
    </cfRule>
  </conditionalFormatting>
  <conditionalFormatting sqref="K5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{215D80A8-B467-46D5-82BC-5EA7893C4EAE}</x14:id>
        </ext>
      </extLst>
    </cfRule>
  </conditionalFormatting>
  <conditionalFormatting sqref="L5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{B4A98111-9C22-4FAD-9A77-D59799A365E2}</x14:id>
        </ext>
      </extLst>
    </cfRule>
  </conditionalFormatting>
  <conditionalFormatting sqref="T5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{4CA0BA97-3B7A-42EF-B675-E083A0CC2671}</x14:id>
        </ext>
      </extLst>
    </cfRule>
  </conditionalFormatting>
  <conditionalFormatting sqref="U5"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{B1812255-0873-4AC4-AEA9-28EDB093BA78}</x14:id>
        </ext>
      </extLst>
    </cfRule>
  </conditionalFormatting>
  <conditionalFormatting sqref="V5">
    <cfRule type="dataBar" priority="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{82C95FF2-1BBA-4853-B8AB-AFC97523ED95}</x14:id>
        </ext>
      </extLst>
    </cfRule>
  </conditionalFormatting>
  <conditionalFormatting sqref="K5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{5459B0ED-8845-46D0-AAAB-69A66687229E}</x14:id>
        </ext>
      </extLst>
    </cfRule>
  </conditionalFormatting>
  <conditionalFormatting sqref="L5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{0D92DE82-0F9F-45B5-B67F-638408CFFCC4}</x14:id>
        </ext>
      </extLst>
    </cfRule>
  </conditionalFormatting>
  <conditionalFormatting sqref="K5:L5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{58BEA899-90AD-4EEA-A015-5658AF423319}</x14:id>
        </ext>
      </extLst>
    </cfRule>
  </conditionalFormatting>
  <conditionalFormatting sqref="K5:L5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{104756D5-8F11-4E90-9879-7AD74BD56E56}</x14:id>
        </ext>
      </extLst>
    </cfRule>
  </conditionalFormatting>
  <conditionalFormatting sqref="E52">
    <cfRule type="containsText" dxfId="811" priority="74" operator="containsText" text="Buy">
      <formula>NOT(ISERROR(SEARCH("Buy",E52)))</formula>
    </cfRule>
    <cfRule type="containsText" dxfId="810" priority="75" operator="containsText" text="Sell">
      <formula>NOT(ISERROR(SEARCH("Sell",E52)))</formula>
    </cfRule>
  </conditionalFormatting>
  <conditionalFormatting sqref="E51">
    <cfRule type="containsText" dxfId="809" priority="72" operator="containsText" text="Buy">
      <formula>NOT(ISERROR(SEARCH("Buy",E51)))</formula>
    </cfRule>
    <cfRule type="containsText" dxfId="808" priority="73" operator="containsText" text="Sell">
      <formula>NOT(ISERROR(SEARCH("Sell",E51)))</formula>
    </cfRule>
  </conditionalFormatting>
  <conditionalFormatting sqref="T13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{BB79CFCA-E50B-4700-82AE-9EC4B7AC37C6}</x14:id>
        </ext>
      </extLst>
    </cfRule>
  </conditionalFormatting>
  <conditionalFormatting sqref="U13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{CA52B8B0-6E1E-413D-BCCD-81CA3C74E9E5}</x14:id>
        </ext>
      </extLst>
    </cfRule>
  </conditionalFormatting>
  <conditionalFormatting sqref="V13">
    <cfRule type="dataBar" priority="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{A24B4B7E-16EA-4EB2-9726-A865AFD5E93B}</x14:id>
        </ext>
      </extLst>
    </cfRule>
  </conditionalFormatting>
  <conditionalFormatting sqref="K13:L13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{27E44927-50A1-4855-9248-7083178AD75F}</x14:id>
        </ext>
      </extLst>
    </cfRule>
  </conditionalFormatting>
  <conditionalFormatting sqref="K13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{92BE112C-0E27-43BC-8772-45912D029B23}</x14:id>
        </ext>
      </extLst>
    </cfRule>
  </conditionalFormatting>
  <conditionalFormatting sqref="L1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{F541B62C-B4E2-4E30-ACDB-B7A6770F6264}</x14:id>
        </ext>
      </extLst>
    </cfRule>
  </conditionalFormatting>
  <conditionalFormatting sqref="E54">
    <cfRule type="containsText" dxfId="807" priority="54" operator="containsText" text="Buy">
      <formula>NOT(ISERROR(SEARCH("Buy",E54)))</formula>
    </cfRule>
    <cfRule type="containsText" dxfId="806" priority="55" operator="containsText" text="Sell">
      <formula>NOT(ISERROR(SEARCH("Sell",E54)))</formula>
    </cfRule>
  </conditionalFormatting>
  <conditionalFormatting sqref="E55">
    <cfRule type="containsText" dxfId="805" priority="56" operator="containsText" text="Buy">
      <formula>NOT(ISERROR(SEARCH("Buy",E55)))</formula>
    </cfRule>
    <cfRule type="containsText" dxfId="804" priority="57" operator="containsText" text="Sell">
      <formula>NOT(ISERROR(SEARCH("Sell",E55)))</formula>
    </cfRule>
  </conditionalFormatting>
  <conditionalFormatting sqref="W4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{ADA89E7C-F65E-4B65-ABD3-B3C529E078EE}</x14:id>
        </ext>
      </extLst>
    </cfRule>
  </conditionalFormatting>
  <conditionalFormatting sqref="K4:L4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{56DD17AB-830D-4FE6-99C4-113EFF56F3E5}</x14:id>
        </ext>
      </extLst>
    </cfRule>
  </conditionalFormatting>
  <conditionalFormatting sqref="K4:L4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{FC4AAF61-A530-41EB-99E6-501CE076EFE2}</x14:id>
        </ext>
      </extLst>
    </cfRule>
  </conditionalFormatting>
  <conditionalFormatting sqref="K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{9DEBD364-0954-4193-84F9-7122B77CA26E}</x14:id>
        </ext>
      </extLst>
    </cfRule>
  </conditionalFormatting>
  <conditionalFormatting sqref="L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{4E2CBC1E-3226-423E-BDB3-D3D6FD140B61}</x14:id>
        </ext>
      </extLst>
    </cfRule>
  </conditionalFormatting>
  <conditionalFormatting sqref="T4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{26E86BD8-A63F-42A2-8BB7-97770D3C8643}</x14:id>
        </ext>
      </extLst>
    </cfRule>
  </conditionalFormatting>
  <conditionalFormatting sqref="U4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{0959C843-0935-457B-B21D-B661001CA033}</x14:id>
        </ext>
      </extLst>
    </cfRule>
  </conditionalFormatting>
  <conditionalFormatting sqref="V4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{F2AF1E5B-1F82-48AF-B544-24389748A99E}</x14:id>
        </ext>
      </extLst>
    </cfRule>
  </conditionalFormatting>
  <conditionalFormatting sqref="K4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{6D01C8A2-01A2-491F-A527-B339A2F111EA}</x14:id>
        </ext>
      </extLst>
    </cfRule>
  </conditionalFormatting>
  <conditionalFormatting sqref="L4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{99894ABB-4FA0-4744-B0FF-09F65B852368}</x14:id>
        </ext>
      </extLst>
    </cfRule>
  </conditionalFormatting>
  <conditionalFormatting sqref="K4:L4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{D6C24BCA-CCBB-426C-835B-8CE95E4C3464}</x14:id>
        </ext>
      </extLst>
    </cfRule>
  </conditionalFormatting>
  <conditionalFormatting sqref="K4:L4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{692216E2-362D-4218-B6D6-103F3FCD70CC}</x14:id>
        </ext>
      </extLst>
    </cfRule>
  </conditionalFormatting>
  <conditionalFormatting sqref="E58">
    <cfRule type="containsText" dxfId="803" priority="29" operator="containsText" text="Buy">
      <formula>NOT(ISERROR(SEARCH("Buy",E58)))</formula>
    </cfRule>
    <cfRule type="containsText" dxfId="802" priority="30" operator="containsText" text="Sell">
      <formula>NOT(ISERROR(SEARCH("Sell",E58)))</formula>
    </cfRule>
  </conditionalFormatting>
  <conditionalFormatting sqref="E57">
    <cfRule type="containsText" dxfId="801" priority="27" operator="containsText" text="Buy">
      <formula>NOT(ISERROR(SEARCH("Buy",E57)))</formula>
    </cfRule>
    <cfRule type="containsText" dxfId="800" priority="28" operator="containsText" text="Sell">
      <formula>NOT(ISERROR(SEARCH("Sell",E57)))</formula>
    </cfRule>
  </conditionalFormatting>
  <conditionalFormatting sqref="T8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{D2D2C056-79F2-45E8-A37A-E05570B8E708}</x14:id>
        </ext>
      </extLst>
    </cfRule>
  </conditionalFormatting>
  <conditionalFormatting sqref="U8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{E376BEE4-4279-4684-9BE0-A5529D65A42F}</x14:id>
        </ext>
      </extLst>
    </cfRule>
  </conditionalFormatting>
  <conditionalFormatting sqref="V8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{AB5768D6-E841-4E8E-A0F2-7C0C8E47971C}</x14:id>
        </ext>
      </extLst>
    </cfRule>
  </conditionalFormatting>
  <conditionalFormatting sqref="K8:L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{C4CAC4D7-59F6-4749-8972-C66A2AD22151}</x14:id>
        </ext>
      </extLst>
    </cfRule>
  </conditionalFormatting>
  <conditionalFormatting sqref="K8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{504E5D31-AA27-477C-AFA5-D8F129992AF3}</x14:id>
        </ext>
      </extLst>
    </cfRule>
  </conditionalFormatting>
  <conditionalFormatting sqref="L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{FD3767AF-40AC-4100-ACBB-84CAED0C1959}</x14:id>
        </ext>
      </extLst>
    </cfRule>
  </conditionalFormatting>
  <conditionalFormatting sqref="E60">
    <cfRule type="containsText" dxfId="799" priority="9" operator="containsText" text="Buy">
      <formula>NOT(ISERROR(SEARCH("Buy",E60)))</formula>
    </cfRule>
    <cfRule type="containsText" dxfId="798" priority="10" operator="containsText" text="Sell">
      <formula>NOT(ISERROR(SEARCH("Sell",E60)))</formula>
    </cfRule>
  </conditionalFormatting>
  <conditionalFormatting sqref="E61">
    <cfRule type="containsText" dxfId="797" priority="11" operator="containsText" text="Buy">
      <formula>NOT(ISERROR(SEARCH("Buy",E61)))</formula>
    </cfRule>
    <cfRule type="containsText" dxfId="796" priority="12" operator="containsText" text="Sell">
      <formula>NOT(ISERROR(SEARCH("Sell",E61)))</formula>
    </cfRule>
  </conditionalFormatting>
  <conditionalFormatting sqref="H2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{CB87049F-DDC5-49CB-8A9A-25DCC141D757}</x14:id>
        </ext>
      </extLst>
    </cfRule>
    <cfRule type="cellIs" dxfId="795" priority="8" operator="equal">
      <formula>1</formula>
    </cfRule>
  </conditionalFormatting>
  <conditionalFormatting sqref="D21">
    <cfRule type="containsText" dxfId="794" priority="6" operator="containsText" text="Buy">
      <formula>NOT(ISERROR(SEARCH("Buy",D21)))</formula>
    </cfRule>
    <cfRule type="containsText" dxfId="793" priority="7" operator="containsText" text="Sell">
      <formula>NOT(ISERROR(SEARCH("Sell",D21)))</formula>
    </cfRule>
  </conditionalFormatting>
  <conditionalFormatting sqref="T9:U11 T6:U7">
    <cfRule type="dataBar" priority="310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{C3F8C678-C136-4B60-990D-9F4C1419C794}</x14:id>
        </ext>
      </extLst>
    </cfRule>
  </conditionalFormatting>
  <conditionalFormatting sqref="T12:U12">
    <cfRule type="dataBar" priority="310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{41C78831-5AA5-47C6-BDF9-DCA9D2B4E6C2}</x14:id>
        </ext>
      </extLst>
    </cfRule>
  </conditionalFormatting>
  <conditionalFormatting sqref="T5:U5">
    <cfRule type="dataBar" priority="310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{78F93B67-7958-485C-9DB4-750F90629131}</x14:id>
        </ext>
      </extLst>
    </cfRule>
  </conditionalFormatting>
  <conditionalFormatting sqref="T13:U13">
    <cfRule type="dataBar" priority="310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{62C26DB7-14C7-4383-B223-85AF4541F477}</x14:id>
        </ext>
      </extLst>
    </cfRule>
  </conditionalFormatting>
  <conditionalFormatting sqref="T4:U4">
    <cfRule type="dataBar" priority="310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{8684072C-4E05-4677-A8E7-B5231A35EA6D}</x14:id>
        </ext>
      </extLst>
    </cfRule>
  </conditionalFormatting>
  <conditionalFormatting sqref="T8:U8">
    <cfRule type="dataBar" priority="310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{1DF2EAF5-CF4C-4BC0-A598-5D4AEDFF0C02}</x14:id>
        </ext>
      </extLst>
    </cfRule>
  </conditionalFormatting>
  <conditionalFormatting sqref="T9:U11 T6:U7">
    <cfRule type="dataBar" priority="3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{F3B78086-E26D-4C51-8E63-0851431BA386}</x14:id>
        </ext>
      </extLst>
    </cfRule>
  </conditionalFormatting>
  <conditionalFormatting sqref="T12:U12">
    <cfRule type="dataBar" priority="310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{9067424D-0B1C-4EAD-A385-92962DD80D15}</x14:id>
        </ext>
      </extLst>
    </cfRule>
  </conditionalFormatting>
  <conditionalFormatting sqref="T5:U5">
    <cfRule type="dataBar" priority="3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{A31E1088-E03D-4B5C-8996-BED14C5126C0}</x14:id>
        </ext>
      </extLst>
    </cfRule>
  </conditionalFormatting>
  <conditionalFormatting sqref="T13:U13">
    <cfRule type="dataBar" priority="3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{9CF605E0-B915-4D14-8DFF-E7239D0CB98E}</x14:id>
        </ext>
      </extLst>
    </cfRule>
  </conditionalFormatting>
  <conditionalFormatting sqref="T4:U4">
    <cfRule type="dataBar" priority="3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{EB63821B-0CEA-4521-8ECB-866DC2406742}</x14:id>
        </ext>
      </extLst>
    </cfRule>
  </conditionalFormatting>
  <conditionalFormatting sqref="T8:U8">
    <cfRule type="dataBar" priority="3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{B473DDB9-E97E-4515-B15F-BF20BED552EB}</x14:id>
        </ext>
      </extLst>
    </cfRule>
  </conditionalFormatting>
  <conditionalFormatting sqref="T4:U1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{992BE8FB-15EC-4667-B7FC-624BF2FB9A2C}</x14:id>
        </ext>
      </extLst>
    </cfRule>
  </conditionalFormatting>
  <conditionalFormatting sqref="K4:L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{F6AA28DE-199A-49FC-B174-66C4A5B1B0D3}</x14:id>
        </ext>
      </extLst>
    </cfRule>
  </conditionalFormatting>
  <conditionalFormatting sqref="I4:I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{F91E9E4E-1BE7-4CB9-B626-89DA59E43A02}</x14:id>
        </ext>
      </extLst>
    </cfRule>
  </conditionalFormatting>
  <conditionalFormatting sqref="S4:S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{B76B49AD-2271-47BE-BA32-59AB893369A4}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38F0FC-771B-44D2-B5BE-CA5676B2B7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T6:T7</xm:sqref>
        </x14:conditionalFormatting>
        <x14:conditionalFormatting xmlns:xm="http://schemas.microsoft.com/office/excel/2006/main">
          <x14:cfRule type="dataBar" id="{A740E91F-401A-4026-9DE3-73B72F218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T9:T11</xm:sqref>
        </x14:conditionalFormatting>
        <x14:conditionalFormatting xmlns:xm="http://schemas.microsoft.com/office/excel/2006/main">
          <x14:cfRule type="dataBar" id="{2433FF09-DF4D-44DB-B3EF-C2C881DC0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 U6:U7</xm:sqref>
        </x14:conditionalFormatting>
        <x14:conditionalFormatting xmlns:xm="http://schemas.microsoft.com/office/excel/2006/main">
          <x14:cfRule type="dataBar" id="{03059651-77C8-469B-9328-AD0AD2C49E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V6:V7</xm:sqref>
        </x14:conditionalFormatting>
        <x14:conditionalFormatting xmlns:xm="http://schemas.microsoft.com/office/excel/2006/main">
          <x14:cfRule type="dataBar" id="{3019F640-99BA-4D73-A1AF-5920028213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</xm:sqref>
        </x14:conditionalFormatting>
        <x14:conditionalFormatting xmlns:xm="http://schemas.microsoft.com/office/excel/2006/main">
          <x14:cfRule type="dataBar" id="{5401E3BA-9E28-45A5-9AA3-7FCB7DAAF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K9:L11 K6:L7</xm:sqref>
        </x14:conditionalFormatting>
        <x14:conditionalFormatting xmlns:xm="http://schemas.microsoft.com/office/excel/2006/main">
          <x14:cfRule type="dataBar" id="{5BB54176-F8DD-4BF8-B5BA-AEF15C500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K9:K11 K6:K7</xm:sqref>
        </x14:conditionalFormatting>
        <x14:conditionalFormatting xmlns:xm="http://schemas.microsoft.com/office/excel/2006/main">
          <x14:cfRule type="dataBar" id="{B9B40EA9-19A2-42E9-AABF-C203010F4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L9:L11 L6:L7</xm:sqref>
        </x14:conditionalFormatting>
        <x14:conditionalFormatting xmlns:xm="http://schemas.microsoft.com/office/excel/2006/main">
          <x14:cfRule type="dataBar" id="{6F23CD11-446D-4C1A-A870-0E77E02890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0007BAC1-1425-4A1A-809C-296499392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A9A75FA7-6E18-4E53-B110-457040360A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676130CD-1F68-4D62-BFE4-0094EC2266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3DCB15B-F876-4A11-A21F-C8706D508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767BB5D3-8A55-4D94-89E6-76AB3ECA9F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830D8B92-4A3F-44A0-AA6A-A09AEA518E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57C588FA-890D-4CCA-B391-B16569B469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F0E434F-17BA-4D0B-8732-6BD095249F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215D80A8-B467-46D5-82BC-5EA7893C4E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B4A98111-9C22-4FAD-9A77-D59799A3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4CA0BA97-3B7A-42EF-B675-E083A0CC26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1812255-0873-4AC4-AEA9-28EDB093BA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2C95FF2-1BBA-4853-B8AB-AFC97523E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5459B0ED-8845-46D0-AAAB-69A6668722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D92DE82-0F9F-45B5-B67F-638408CFFC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8BEA899-90AD-4EEA-A015-5658AF423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104756D5-8F11-4E90-9879-7AD74BD56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K5:L5</xm:sqref>
        </x14:conditionalFormatting>
        <x14:conditionalFormatting xmlns:xm="http://schemas.microsoft.com/office/excel/2006/main">
          <x14:cfRule type="dataBar" id="{BB79CFCA-E50B-4700-82AE-9EC4B7AC37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A52B8B0-6E1E-413D-BCCD-81CA3C74E9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A24B4B7E-16EA-4EB2-9726-A865AFD5E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27E44927-50A1-4855-9248-7083178AD7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K13:L13</xm:sqref>
        </x14:conditionalFormatting>
        <x14:conditionalFormatting xmlns:xm="http://schemas.microsoft.com/office/excel/2006/main">
          <x14:cfRule type="dataBar" id="{92BE112C-0E27-43BC-8772-45912D029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</xm:sqref>
        </x14:conditionalFormatting>
        <x14:conditionalFormatting xmlns:xm="http://schemas.microsoft.com/office/excel/2006/main">
          <x14:cfRule type="dataBar" id="{F541B62C-B4E2-4E30-ACDB-B7A6770F6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ADA89E7C-F65E-4B65-ABD3-B3C529E078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6DD17AB-830D-4FE6-99C4-113EFF56F3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FC4AAF61-A530-41EB-99E6-501CE076EF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9DEBD364-0954-4193-84F9-7122B77CA2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4E2CBC1E-3226-423E-BDB3-D3D6FD140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E86BD8-A63F-42A2-8BB7-97770D3C86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0959C843-0935-457B-B21D-B661001CA0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F2AF1E5B-1F82-48AF-B544-24389748A9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D01C8A2-01A2-491F-A527-B339A2F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99894ABB-4FA0-4744-B0FF-09F65B8523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D6C24BCA-CCBB-426C-835B-8CE95E4C34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692216E2-362D-4218-B6D6-103F3FCD7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K4:L4</xm:sqref>
        </x14:conditionalFormatting>
        <x14:conditionalFormatting xmlns:xm="http://schemas.microsoft.com/office/excel/2006/main">
          <x14:cfRule type="dataBar" id="{D2D2C056-79F2-45E8-A37A-E05570B8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E376BEE4-4279-4684-9BE0-A5529D65A4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AB5768D6-E841-4E8E-A0F2-7C0C8E4797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4CAC4D7-59F6-4749-8972-C66A2AD22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504E5D31-AA27-477C-AFA5-D8F129992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FD3767AF-40AC-4100-ACBB-84CAED0C19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B87049F-DDC5-49CB-8A9A-25DCC141D7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C3F8C678-C136-4B60-990D-9F4C1419C7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41C78831-5AA5-47C6-BDF9-DCA9D2B4E6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78F93B67-7958-485C-9DB4-750F906291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62C26DB7-14C7-4383-B223-85AF4541F4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8684072C-4E05-4677-A8E7-B5231A35EA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1DF2EAF5-CF4C-4BC0-A598-5D4AEDFF0C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F3B78086-E26D-4C51-8E63-0851431BA3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T9:U11 T6:U7</xm:sqref>
        </x14:conditionalFormatting>
        <x14:conditionalFormatting xmlns:xm="http://schemas.microsoft.com/office/excel/2006/main">
          <x14:cfRule type="dataBar" id="{9067424D-0B1C-4EAD-A385-92962DD80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T12:U12</xm:sqref>
        </x14:conditionalFormatting>
        <x14:conditionalFormatting xmlns:xm="http://schemas.microsoft.com/office/excel/2006/main">
          <x14:cfRule type="dataBar" id="{A31E1088-E03D-4B5C-8996-BED14C512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9CF605E0-B915-4D14-8DFF-E7239D0CB9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T13:U13</xm:sqref>
        </x14:conditionalFormatting>
        <x14:conditionalFormatting xmlns:xm="http://schemas.microsoft.com/office/excel/2006/main">
          <x14:cfRule type="dataBar" id="{EB63821B-0CEA-4521-8ECB-866DC2406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B473DDB9-E97E-4515-B15F-BF20BED552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T8:U8</xm:sqref>
        </x14:conditionalFormatting>
        <x14:conditionalFormatting xmlns:xm="http://schemas.microsoft.com/office/excel/2006/main">
          <x14:cfRule type="dataBar" id="{992BE8FB-15EC-4667-B7FC-624BF2FB9A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T4:U13</xm:sqref>
        </x14:conditionalFormatting>
        <x14:conditionalFormatting xmlns:xm="http://schemas.microsoft.com/office/excel/2006/main">
          <x14:cfRule type="dataBar" id="{F6AA28DE-199A-49FC-B174-66C4A5B1B0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K4:L13</xm:sqref>
        </x14:conditionalFormatting>
        <x14:conditionalFormatting xmlns:xm="http://schemas.microsoft.com/office/excel/2006/main">
          <x14:cfRule type="dataBar" id="{F91E9E4E-1BE7-4CB9-B626-89DA59E43A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I4:I15</xm:sqref>
        </x14:conditionalFormatting>
        <x14:conditionalFormatting xmlns:xm="http://schemas.microsoft.com/office/excel/2006/main">
          <x14:cfRule type="dataBar" id="{B76B49AD-2271-47BE-BA32-59AB893369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S4:S15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50"/>
    <pageSetUpPr fitToPage="1"/>
  </sheetPr>
  <dimension ref="A1:Y101"/>
  <sheetViews>
    <sheetView showGridLines="0" zoomScale="90" zoomScaleNormal="90" workbookViewId="0">
      <pane ySplit="3" topLeftCell="A4" activePane="bottomLeft" state="frozen"/>
      <selection pane="bottomLeft" activeCell="C8" sqref="C8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20.7109375" style="9" customWidth="1"/>
    <col min="5" max="5" width="12" style="9" bestFit="1" customWidth="1"/>
    <col min="6" max="6" width="13.425781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0.5703125" style="9" customWidth="1"/>
    <col min="17" max="17" width="12.5703125" style="9" customWidth="1"/>
    <col min="18" max="18" width="11.5703125" style="9" customWidth="1"/>
    <col min="19" max="19" width="13.7109375" style="9" customWidth="1"/>
    <col min="20" max="20" width="11.42578125" style="9" customWidth="1"/>
    <col min="21" max="21" width="11.28515625" style="9" customWidth="1"/>
    <col min="22" max="16384" width="9.140625" style="9"/>
  </cols>
  <sheetData>
    <row r="1" spans="1:25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5" s="621" customFormat="1" ht="102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394" t="s">
        <v>792</v>
      </c>
      <c r="I3" s="394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407</v>
      </c>
      <c r="O3" s="394" t="s">
        <v>127</v>
      </c>
      <c r="P3" s="394" t="s">
        <v>115</v>
      </c>
      <c r="Q3" s="394" t="s">
        <v>114</v>
      </c>
      <c r="R3" s="394" t="s">
        <v>111</v>
      </c>
      <c r="S3" s="394" t="s">
        <v>112</v>
      </c>
      <c r="T3" s="394" t="s">
        <v>746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5" s="409" customFormat="1" x14ac:dyDescent="0.2">
      <c r="A4" s="409" t="s">
        <v>345</v>
      </c>
      <c r="B4" s="116" t="s">
        <v>205</v>
      </c>
      <c r="C4" s="118" t="s">
        <v>204</v>
      </c>
      <c r="D4" s="119" t="e">
        <f t="shared" ref="D4:D12" ca="1" si="0">P4/$P$13</f>
        <v>#NAME?</v>
      </c>
      <c r="E4" s="120">
        <f>$F$49</f>
        <v>12300</v>
      </c>
      <c r="F4" s="121">
        <f>$H$49</f>
        <v>3.1730999999999998</v>
      </c>
      <c r="G4" s="121" t="e">
        <f ca="1">_xll.BDP($C4,"PX_LAST")</f>
        <v>#NAME?</v>
      </c>
      <c r="H4" s="612" t="e">
        <f ca="1">_xll.BDP($C4,"BEST_TARGET_PRICE")</f>
        <v>#NAME?</v>
      </c>
      <c r="I4" s="611" t="e">
        <f t="shared" ref="I4:I9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G4/F4-1</f>
        <v>#NAME?</v>
      </c>
      <c r="N4" s="120" t="e">
        <f ca="1">$K$49</f>
        <v>#NAME?</v>
      </c>
      <c r="O4" s="120">
        <f>E4*F4</f>
        <v>39029.129999999997</v>
      </c>
      <c r="P4" s="120" t="e">
        <f ca="1">E4*G4*$I$1</f>
        <v>#NAME?</v>
      </c>
      <c r="Q4" s="203" t="e">
        <f t="shared" ref="Q4:Q11" ca="1" si="2">P4/$I$1</f>
        <v>#NAME?</v>
      </c>
      <c r="R4" s="727" t="e">
        <f t="shared" ref="R4:S11" ca="1" si="3">P4-N4</f>
        <v>#NAME?</v>
      </c>
      <c r="S4" s="123" t="e">
        <f t="shared" ca="1" si="3"/>
        <v>#NAME?</v>
      </c>
      <c r="T4" s="123" t="e">
        <f ca="1">_xll.BDP($C4,"EQY_DVD_YLD_EST")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5" s="409" customFormat="1" x14ac:dyDescent="0.2">
      <c r="A5" s="409" t="s">
        <v>345</v>
      </c>
      <c r="B5" s="116" t="s">
        <v>196</v>
      </c>
      <c r="C5" s="118" t="s">
        <v>335</v>
      </c>
      <c r="D5" s="119" t="e">
        <f t="shared" ca="1" si="0"/>
        <v>#NAME?</v>
      </c>
      <c r="E5" s="120">
        <f>$F$56</f>
        <v>3112</v>
      </c>
      <c r="F5" s="121" t="e">
        <f ca="1">$H$56</f>
        <v>#NAME?</v>
      </c>
      <c r="G5" s="121" t="e">
        <f ca="1">_xll.BDP($C5,"PX_LAST")</f>
        <v>#NAME?</v>
      </c>
      <c r="H5" s="612" t="e">
        <f ca="1">_xll.BDP($C5,"BEST_TARGET_PRICE")</f>
        <v>#NAME?</v>
      </c>
      <c r="I5" s="611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G5/F5-1</f>
        <v>#NAME?</v>
      </c>
      <c r="M5" s="119" t="e">
        <f t="shared" ref="M5:M9" ca="1" si="4">Q5/O5-1</f>
        <v>#NAME?</v>
      </c>
      <c r="N5" s="120" t="e">
        <f ca="1">E5*F5</f>
        <v>#NAME?</v>
      </c>
      <c r="O5" s="120" t="e">
        <f ca="1">$J$56</f>
        <v>#NAME?</v>
      </c>
      <c r="P5" s="120" t="e">
        <f ca="1">E5*G5</f>
        <v>#NAME?</v>
      </c>
      <c r="Q5" s="203" t="e">
        <f t="shared" ca="1" si="2"/>
        <v>#NAME?</v>
      </c>
      <c r="R5" s="727" t="e">
        <f t="shared" ca="1" si="3"/>
        <v>#NAME?</v>
      </c>
      <c r="S5" s="123" t="e">
        <f t="shared" ca="1" si="3"/>
        <v>#NAME?</v>
      </c>
      <c r="T5" s="123" t="e">
        <f ca="1">_xll.BDP($C5,"EQY_DVD_YLD_EST")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5" s="409" customFormat="1" x14ac:dyDescent="0.2">
      <c r="A6" s="409" t="s">
        <v>345</v>
      </c>
      <c r="B6" s="116" t="s">
        <v>96</v>
      </c>
      <c r="C6" s="118" t="s">
        <v>184</v>
      </c>
      <c r="D6" s="119" t="e">
        <f t="shared" ca="1" si="0"/>
        <v>#NAME?</v>
      </c>
      <c r="E6" s="120">
        <f>$F$85</f>
        <v>3600</v>
      </c>
      <c r="F6" s="121">
        <f>$H$85</f>
        <v>700</v>
      </c>
      <c r="G6" s="121" t="e">
        <f ca="1">_xll.BDP($C6,"PX_LAST")</f>
        <v>#NAME?</v>
      </c>
      <c r="H6" s="612" t="e">
        <f ca="1">_xll.BDP($C6,"BEST_TARGET_PRICE")</f>
        <v>#NAME?</v>
      </c>
      <c r="I6" s="611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G6/F6-1</f>
        <v>#NAME?</v>
      </c>
      <c r="M6" s="119" t="e">
        <f t="shared" ca="1" si="4"/>
        <v>#NAME?</v>
      </c>
      <c r="N6" s="120">
        <f>E6*F6</f>
        <v>2520000</v>
      </c>
      <c r="O6" s="120" t="e">
        <f ca="1">$J$85</f>
        <v>#NAME?</v>
      </c>
      <c r="P6" s="120" t="e">
        <f ca="1">E6*G6</f>
        <v>#NAME?</v>
      </c>
      <c r="Q6" s="203" t="e">
        <f t="shared" ca="1" si="2"/>
        <v>#NAME?</v>
      </c>
      <c r="R6" s="727" t="e">
        <f t="shared" ca="1" si="3"/>
        <v>#NAME?</v>
      </c>
      <c r="S6" s="123" t="e">
        <f t="shared" ca="1" si="3"/>
        <v>#NAME?</v>
      </c>
      <c r="T6" s="123" t="e">
        <f ca="1">_xll.BDP($C6,"EQY_DVD_YLD_EST")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5" s="409" customFormat="1" x14ac:dyDescent="0.2">
      <c r="A7" s="409" t="s">
        <v>345</v>
      </c>
      <c r="B7" s="116" t="s">
        <v>399</v>
      </c>
      <c r="C7" s="118" t="s">
        <v>194</v>
      </c>
      <c r="D7" s="119" t="e">
        <f t="shared" ca="1" si="0"/>
        <v>#NAME?</v>
      </c>
      <c r="E7" s="120">
        <f>$F$53</f>
        <v>20714</v>
      </c>
      <c r="F7" s="121">
        <f>$H$53</f>
        <v>0.69307159409095298</v>
      </c>
      <c r="G7" s="121" t="e">
        <f ca="1">_xll.BDP($C7,"PX_LAST")/100</f>
        <v>#NAME?</v>
      </c>
      <c r="H7" s="612" t="e">
        <f ca="1">_xll.BDP($C7,"BEST_TARGET_PRICE")/100</f>
        <v>#NAME?</v>
      </c>
      <c r="I7" s="611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t="shared" ca="1" si="4"/>
        <v>#NAME?</v>
      </c>
      <c r="N7" s="120" t="e">
        <f ca="1">$K$53</f>
        <v>#NAME?</v>
      </c>
      <c r="O7" s="120" t="e">
        <f ca="1">$J$53</f>
        <v>#NAME?</v>
      </c>
      <c r="P7" s="120" t="e">
        <f ca="1">E7*G7*$K$1*$I$1</f>
        <v>#NAME?</v>
      </c>
      <c r="Q7" s="203" t="e">
        <f t="shared" ca="1" si="2"/>
        <v>#NAME?</v>
      </c>
      <c r="R7" s="727" t="e">
        <f t="shared" ca="1" si="3"/>
        <v>#NAME?</v>
      </c>
      <c r="S7" s="123" t="e">
        <f t="shared" ca="1" si="3"/>
        <v>#NAME?</v>
      </c>
      <c r="T7" s="123" t="e">
        <f ca="1">_xll.BDP($C7,"EQY_DVD_YLD_EST")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5" s="409" customFormat="1" x14ac:dyDescent="0.2">
      <c r="A8" s="409" t="s">
        <v>345</v>
      </c>
      <c r="B8" s="116" t="s">
        <v>153</v>
      </c>
      <c r="C8" s="118" t="s">
        <v>54</v>
      </c>
      <c r="D8" s="119" t="e">
        <f t="shared" ca="1" si="0"/>
        <v>#NAME?</v>
      </c>
      <c r="E8" s="120">
        <f>$F$82</f>
        <v>20700</v>
      </c>
      <c r="F8" s="381">
        <f>$H$82</f>
        <v>148.4</v>
      </c>
      <c r="G8" s="381" t="e">
        <f ca="1">_xll.BDP($C8,"PX_LAST")</f>
        <v>#NAME?</v>
      </c>
      <c r="H8" s="612" t="e">
        <f ca="1">_xll.BDP($C8,"BEST_TARGET_PRICE")</f>
        <v>#NAME?</v>
      </c>
      <c r="I8" s="611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G8/F8-1</f>
        <v>#NAME?</v>
      </c>
      <c r="M8" s="119" t="e">
        <f t="shared" ca="1" si="4"/>
        <v>#NAME?</v>
      </c>
      <c r="N8" s="120">
        <f>E8*F8</f>
        <v>3071880</v>
      </c>
      <c r="O8" s="120" t="e">
        <f ca="1">$J$82</f>
        <v>#NAME?</v>
      </c>
      <c r="P8" s="120" t="e">
        <f ca="1">E8*G8</f>
        <v>#NAME?</v>
      </c>
      <c r="Q8" s="203" t="e">
        <f t="shared" ca="1" si="2"/>
        <v>#NAME?</v>
      </c>
      <c r="R8" s="727" t="e">
        <f t="shared" ca="1" si="3"/>
        <v>#NAME?</v>
      </c>
      <c r="S8" s="123" t="e">
        <f t="shared" ca="1" si="3"/>
        <v>#NAME?</v>
      </c>
      <c r="T8" s="123" t="e">
        <f ca="1">_xll.BDP($C8,"EQY_DVD_YLD_EST")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5" s="409" customFormat="1" x14ac:dyDescent="0.2">
      <c r="A9" s="409" t="s">
        <v>345</v>
      </c>
      <c r="B9" s="116" t="s">
        <v>293</v>
      </c>
      <c r="C9" s="118" t="s">
        <v>58</v>
      </c>
      <c r="D9" s="119" t="e">
        <f t="shared" ca="1" si="0"/>
        <v>#NAME?</v>
      </c>
      <c r="E9" s="120">
        <f>$F$79</f>
        <v>19590</v>
      </c>
      <c r="F9" s="121">
        <f>$H$79</f>
        <v>153.68014293006635</v>
      </c>
      <c r="G9" s="121" t="e">
        <f ca="1">_xll.BDP($C9,"PX_LAST")</f>
        <v>#NAME?</v>
      </c>
      <c r="H9" s="612" t="e">
        <f ca="1">_xll.BDP($C9,"BEST_TARGET_PRICE")</f>
        <v>#NAME?</v>
      </c>
      <c r="I9" s="611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t="shared" ca="1" si="4"/>
        <v>#NAME?</v>
      </c>
      <c r="N9" s="120">
        <f>E9*F9</f>
        <v>3010594</v>
      </c>
      <c r="O9" s="120" t="e">
        <f ca="1">$J$79</f>
        <v>#NAME?</v>
      </c>
      <c r="P9" s="120" t="e">
        <f ca="1">E9*G9</f>
        <v>#NAME?</v>
      </c>
      <c r="Q9" s="203" t="e">
        <f t="shared" ca="1" si="2"/>
        <v>#NAME?</v>
      </c>
      <c r="R9" s="727" t="e">
        <f t="shared" ca="1" si="3"/>
        <v>#NAME?</v>
      </c>
      <c r="S9" s="123" t="e">
        <f t="shared" ca="1" si="3"/>
        <v>#NAME?</v>
      </c>
      <c r="T9" s="123" t="e">
        <f ca="1">_xll.BDP($C9,"EQY_DVD_YLD_EST")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5" s="409" customFormat="1" x14ac:dyDescent="0.2">
      <c r="A10" s="409" t="s">
        <v>345</v>
      </c>
      <c r="B10" s="116" t="s">
        <v>333</v>
      </c>
      <c r="C10" s="118" t="s">
        <v>332</v>
      </c>
      <c r="D10" s="119" t="e">
        <f t="shared" ca="1" si="0"/>
        <v>#NAME?</v>
      </c>
      <c r="E10" s="120">
        <f>$F$60</f>
        <v>12000</v>
      </c>
      <c r="F10" s="121">
        <f>$H$60</f>
        <v>252.69166666666666</v>
      </c>
      <c r="G10" s="121" t="e">
        <f ca="1">_xll.BDP($C10,"PX_LAST")</f>
        <v>#NAME?</v>
      </c>
      <c r="H10" s="612" t="e">
        <f ca="1">_xll.BDP($C10,"BEST_TARGET_PRICE")</f>
        <v>#NAME?</v>
      </c>
      <c r="I10" s="611" t="e">
        <f ca="1">H10/G10-1</f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G10/F10-1</f>
        <v>#NAME?</v>
      </c>
      <c r="M10" s="119" t="e">
        <f ca="1">Q10/O10-1</f>
        <v>#NAME?</v>
      </c>
      <c r="N10" s="120">
        <f>E10*F10</f>
        <v>3032300</v>
      </c>
      <c r="O10" s="120" t="e">
        <f ca="1">$J$60</f>
        <v>#NAME?</v>
      </c>
      <c r="P10" s="120" t="e">
        <f ca="1">E10*G10</f>
        <v>#NAME?</v>
      </c>
      <c r="Q10" s="203" t="e">
        <f ca="1">P10/$I$1</f>
        <v>#NAME?</v>
      </c>
      <c r="R10" s="727" t="e">
        <f ca="1">P10-N10</f>
        <v>#NAME?</v>
      </c>
      <c r="S10" s="123" t="e">
        <f ca="1">Q10-O10</f>
        <v>#NAME?</v>
      </c>
      <c r="T10" s="123" t="e">
        <f ca="1">_xll.BDP($C10,"EQY_DVD_YLD_EST")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5" s="450" customFormat="1" x14ac:dyDescent="0.2">
      <c r="A11" s="460" t="s">
        <v>744</v>
      </c>
      <c r="B11" s="441" t="e">
        <f ca="1">_xll.BDP(C11,"SECURITY_NAME")</f>
        <v>#NAME?</v>
      </c>
      <c r="C11" s="440" t="s">
        <v>697</v>
      </c>
      <c r="D11" s="442" t="e">
        <f t="shared" ca="1" si="0"/>
        <v>#NAME?</v>
      </c>
      <c r="E11" s="443">
        <f>$F$88</f>
        <v>200000</v>
      </c>
      <c r="F11" s="444">
        <f>$H$88</f>
        <v>95.5</v>
      </c>
      <c r="G11" s="444" t="e">
        <f ca="1">_xll.BDP(C11,"PX_ASK")</f>
        <v>#NAME?</v>
      </c>
      <c r="H11" s="445"/>
      <c r="I11" s="442"/>
      <c r="K11" s="445" t="e">
        <f ca="1">_xll.BDP($C11,"CRNCY")</f>
        <v>#NAME?</v>
      </c>
      <c r="L11" s="442" t="e">
        <f ca="1">P11/N11-1</f>
        <v>#NAME?</v>
      </c>
      <c r="M11" s="442" t="e">
        <f ca="1">G11/F11-1</f>
        <v>#NAME?</v>
      </c>
      <c r="N11" s="443" t="e">
        <f ca="1">$K$88</f>
        <v>#NAME?</v>
      </c>
      <c r="O11" s="443">
        <f>E11*F11/100</f>
        <v>191000</v>
      </c>
      <c r="P11" s="443" t="e">
        <f ca="1">E11*G11/100 *$I$1</f>
        <v>#NAME?</v>
      </c>
      <c r="Q11" s="443" t="e">
        <f t="shared" ca="1" si="2"/>
        <v>#NAME?</v>
      </c>
      <c r="R11" s="443" t="e">
        <f t="shared" ca="1" si="3"/>
        <v>#NAME?</v>
      </c>
      <c r="S11" s="446" t="e">
        <f t="shared" ca="1" si="3"/>
        <v>#NAME?</v>
      </c>
      <c r="T11" s="513" t="e">
        <f ca="1">_xll.BDP(C11,"YLD_CNV_BID")</f>
        <v>#NAME?</v>
      </c>
      <c r="U11" s="451" t="e">
        <f ca="1">E11*_xll.BDP(C11,"PX_GROSS_MID")/100</f>
        <v>#NAME?</v>
      </c>
      <c r="V11" s="440"/>
      <c r="W11" s="440"/>
      <c r="X11" s="448" t="e">
        <f ca="1">_xll.BDP($C11,"CHG_PCT_YTD")</f>
        <v>#NAME?</v>
      </c>
      <c r="Y11" s="448" t="e">
        <f ca="1">_xll.BDP($C11,"CHG_PCT_1YR")</f>
        <v>#NAME?</v>
      </c>
    </row>
    <row r="12" spans="1:25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0"/>
      <c r="K12" s="60"/>
      <c r="L12" s="65"/>
      <c r="M12" s="65"/>
      <c r="N12" s="64"/>
      <c r="O12" s="64"/>
      <c r="P12" s="64" t="e">
        <f ca="1">10605000+347600*$I$1</f>
        <v>#NAME?</v>
      </c>
      <c r="Q12" s="63" t="e">
        <f t="shared" ref="Q12" ca="1" si="5">P12/$I$1</f>
        <v>#NAME?</v>
      </c>
      <c r="R12" s="62"/>
      <c r="S12" s="61"/>
      <c r="T12" s="61"/>
      <c r="U12" s="60"/>
      <c r="V12" s="60"/>
      <c r="W12" s="60"/>
      <c r="X12" s="60"/>
    </row>
    <row r="13" spans="1:25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SUMPRODUCT($D$4:$D$11,I4:I11)</f>
        <v>#NAME?</v>
      </c>
      <c r="J13" s="55"/>
      <c r="K13" s="55"/>
      <c r="L13" s="58"/>
      <c r="M13" s="58"/>
      <c r="N13" s="57">
        <v>30000000</v>
      </c>
      <c r="O13" s="137" t="e">
        <f ca="1">SUM(O4:O12)</f>
        <v>#NAME?</v>
      </c>
      <c r="P13" s="133" t="e">
        <f ca="1">SUM(P4:P12)</f>
        <v>#NAME?</v>
      </c>
      <c r="Q13" s="184" t="e">
        <f ca="1">SUM(Q4:Q12)</f>
        <v>#NAME?</v>
      </c>
      <c r="R13" s="184" t="e">
        <f ca="1">SUM(R4:R11)</f>
        <v>#NAME?</v>
      </c>
      <c r="S13" s="184"/>
      <c r="T13" s="610" t="e">
        <f ca="1">SUMPRODUCT($D$4:$D$11,T4:T11)</f>
        <v>#NAME?</v>
      </c>
      <c r="U13" s="55"/>
      <c r="V13" s="55"/>
      <c r="W13" s="55"/>
      <c r="X13" s="55"/>
    </row>
    <row r="14" spans="1:25" ht="13.5" customHeight="1" x14ac:dyDescent="0.2">
      <c r="B14" s="41"/>
      <c r="C14" s="41"/>
      <c r="D14" s="54"/>
      <c r="E14" s="41"/>
      <c r="F14" s="41"/>
      <c r="G14" s="41"/>
      <c r="I14" s="699" t="s">
        <v>806</v>
      </c>
      <c r="K14" s="699"/>
      <c r="L14" s="40"/>
      <c r="M14" s="40"/>
      <c r="N14" s="40"/>
      <c r="O14" s="40"/>
      <c r="P14" s="52"/>
      <c r="Q14" s="53"/>
      <c r="R14" s="132" t="e">
        <f ca="1">P13/N13-1</f>
        <v>#NAME?</v>
      </c>
      <c r="T14" s="843" t="s">
        <v>807</v>
      </c>
      <c r="U14" s="843"/>
    </row>
    <row r="15" spans="1:25" x14ac:dyDescent="0.2">
      <c r="E15" s="10"/>
      <c r="I15" s="700"/>
      <c r="J15" s="700"/>
      <c r="K15" s="29"/>
      <c r="L15" s="29"/>
      <c r="M15" s="39"/>
      <c r="N15" s="34"/>
      <c r="O15" s="34"/>
      <c r="P15" s="30"/>
      <c r="S15" s="700"/>
      <c r="T15" s="844"/>
      <c r="U15" s="844"/>
    </row>
    <row r="16" spans="1:25" x14ac:dyDescent="0.2">
      <c r="B16" s="32" t="s">
        <v>276</v>
      </c>
      <c r="E16" s="10"/>
      <c r="M16" s="39"/>
      <c r="N16" s="34"/>
      <c r="O16" s="34"/>
      <c r="P16" s="30"/>
      <c r="T16" s="844"/>
      <c r="U16" s="844"/>
    </row>
    <row r="17" spans="2:18" x14ac:dyDescent="0.2"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280</v>
      </c>
      <c r="O18" s="50" t="s">
        <v>97</v>
      </c>
      <c r="P18" s="50" t="s">
        <v>279</v>
      </c>
      <c r="Q18" s="50" t="s">
        <v>277</v>
      </c>
      <c r="R18" s="50" t="s">
        <v>278</v>
      </c>
    </row>
    <row r="19" spans="2:18" x14ac:dyDescent="0.2">
      <c r="B19" s="46" t="s">
        <v>176</v>
      </c>
      <c r="C19" s="103" t="s">
        <v>5</v>
      </c>
      <c r="D19" s="73" t="s">
        <v>51</v>
      </c>
      <c r="E19" s="43" t="e">
        <f ca="1">F19*_xll.BDP(C19,"PX_LAST")</f>
        <v>#NAME?</v>
      </c>
      <c r="F19" s="43">
        <v>80000</v>
      </c>
      <c r="G19" s="43">
        <v>80000</v>
      </c>
      <c r="H19" s="47">
        <f>G19/F19</f>
        <v>1</v>
      </c>
      <c r="I19" s="43">
        <f>G19*K19</f>
        <v>3024000</v>
      </c>
      <c r="J19" s="45">
        <f>G19*L19</f>
        <v>3760000</v>
      </c>
      <c r="K19" s="105">
        <v>37.799999999999997</v>
      </c>
      <c r="L19" s="105">
        <v>47</v>
      </c>
      <c r="M19" s="44">
        <f>L19/K19-1</f>
        <v>0.24338624338624348</v>
      </c>
      <c r="N19" s="43">
        <f>J19-I19</f>
        <v>736000</v>
      </c>
      <c r="O19" s="106" t="e">
        <f ca="1">_xll.BDP($C19,"CRNCY")</f>
        <v>#NAME?</v>
      </c>
      <c r="P19" s="43" t="e">
        <f ca="1">N19/R19</f>
        <v>#NAME?</v>
      </c>
      <c r="Q19" s="14">
        <v>42291</v>
      </c>
      <c r="R19" s="22" t="e">
        <f ca="1">_xll.BDH("RUB curncy","PX_LAST",$Q19)</f>
        <v>#NAME?</v>
      </c>
    </row>
    <row r="20" spans="2:18" x14ac:dyDescent="0.2">
      <c r="B20" s="46" t="s">
        <v>259</v>
      </c>
      <c r="C20" s="103" t="s">
        <v>257</v>
      </c>
      <c r="D20" s="73" t="s">
        <v>51</v>
      </c>
      <c r="E20" s="43" t="e">
        <f ca="1">F20*_xll.BDP(C20,"PX_LAST")</f>
        <v>#NAME?</v>
      </c>
      <c r="F20" s="43">
        <v>20000</v>
      </c>
      <c r="G20" s="43">
        <v>20000</v>
      </c>
      <c r="H20" s="47">
        <f>G20/F20</f>
        <v>1</v>
      </c>
      <c r="I20" s="43">
        <f>G20*K20</f>
        <v>29800</v>
      </c>
      <c r="J20" s="45">
        <f>G20*L20</f>
        <v>62000</v>
      </c>
      <c r="K20" s="105">
        <v>1.49</v>
      </c>
      <c r="L20" s="105">
        <v>3.1</v>
      </c>
      <c r="M20" s="44">
        <f>L20/K20-1</f>
        <v>1.0805369127516777</v>
      </c>
      <c r="N20" s="43">
        <f>J20-I20</f>
        <v>32200</v>
      </c>
      <c r="O20" s="106" t="e">
        <f ca="1">_xll.BDP($C20,"CRNCY")</f>
        <v>#NAME?</v>
      </c>
      <c r="P20" s="43" t="e">
        <f ca="1">N20/R20</f>
        <v>#NAME?</v>
      </c>
      <c r="Q20" s="14">
        <v>42305</v>
      </c>
      <c r="R20" s="22" t="e">
        <f ca="1">_xll.BDH("RUB curncy","PX_LAST",$Q20)</f>
        <v>#NAME?</v>
      </c>
    </row>
    <row r="21" spans="2:18" x14ac:dyDescent="0.2">
      <c r="B21" s="46" t="s">
        <v>191</v>
      </c>
      <c r="C21" s="103" t="s">
        <v>49</v>
      </c>
      <c r="D21" s="73" t="s">
        <v>51</v>
      </c>
      <c r="E21" s="43" t="e">
        <f ca="1">F21*_xll.BDP(C21,"PX_LAST")</f>
        <v>#NAME?</v>
      </c>
      <c r="F21" s="43">
        <v>1632</v>
      </c>
      <c r="G21" s="43">
        <v>1632</v>
      </c>
      <c r="H21" s="47">
        <f>G21/F21</f>
        <v>1</v>
      </c>
      <c r="I21" s="43">
        <f>G21*K21</f>
        <v>17429.759999999998</v>
      </c>
      <c r="J21" s="45">
        <f>G21*L21</f>
        <v>19176</v>
      </c>
      <c r="K21" s="105">
        <v>10.68</v>
      </c>
      <c r="L21" s="105">
        <v>11.75</v>
      </c>
      <c r="M21" s="44">
        <f>L21/K21-1</f>
        <v>0.10018726591760307</v>
      </c>
      <c r="N21" s="43">
        <f>J21-I21</f>
        <v>1746.2400000000016</v>
      </c>
      <c r="O21" s="106" t="e">
        <f ca="1">_xll.BDP($C21,"CRNCY")</f>
        <v>#NAME?</v>
      </c>
      <c r="P21" s="43">
        <f>N21</f>
        <v>1746.2400000000016</v>
      </c>
      <c r="Q21" s="14">
        <v>42335</v>
      </c>
      <c r="R21" s="22" t="e">
        <f ca="1">_xll.BDH("RUB curncy","PX_LAST",$Q21)</f>
        <v>#NAME?</v>
      </c>
    </row>
    <row r="22" spans="2:18" x14ac:dyDescent="0.2">
      <c r="B22" s="46" t="e">
        <f ca="1">_xll.BDP(C22,"SECURITY_NAME")</f>
        <v>#NAME?</v>
      </c>
      <c r="C22" s="41" t="s">
        <v>267</v>
      </c>
      <c r="D22" s="73" t="s">
        <v>51</v>
      </c>
      <c r="E22" s="43" t="e">
        <f ca="1">F22*_xll.BDP(C22,"PX_LAST")/100</f>
        <v>#NAME?</v>
      </c>
      <c r="F22" s="43">
        <v>10000000</v>
      </c>
      <c r="G22" s="43">
        <v>10000000</v>
      </c>
      <c r="H22" s="47">
        <f>G22/F22</f>
        <v>1</v>
      </c>
      <c r="I22" s="43">
        <f>G22*K22/100</f>
        <v>9350000</v>
      </c>
      <c r="J22" s="45">
        <f>G22*L22/100</f>
        <v>10000000</v>
      </c>
      <c r="K22" s="105">
        <v>93.5</v>
      </c>
      <c r="L22" s="105">
        <v>100</v>
      </c>
      <c r="M22" s="44">
        <f>L22/K22-1</f>
        <v>6.9518716577540163E-2</v>
      </c>
      <c r="N22" s="43">
        <f>(J22-I22)</f>
        <v>650000</v>
      </c>
      <c r="O22" s="106" t="e">
        <f ca="1">_xll.BDP($C22,"CRNCY")</f>
        <v>#NAME?</v>
      </c>
      <c r="P22" s="43" t="e">
        <f ca="1">N22/R22</f>
        <v>#NAME?</v>
      </c>
      <c r="Q22" s="14">
        <v>42576</v>
      </c>
      <c r="R22" s="22" t="e">
        <f ca="1">_xll.BDH("RUB curncy","PX_LAST",$Q22)</f>
        <v>#NAME?</v>
      </c>
    </row>
    <row r="23" spans="2:18" x14ac:dyDescent="0.2">
      <c r="B23" s="46"/>
      <c r="C23" s="103"/>
      <c r="D23" s="73"/>
      <c r="E23" s="43"/>
      <c r="F23" s="43"/>
      <c r="G23" s="43"/>
      <c r="H23" s="47"/>
      <c r="I23" s="43"/>
      <c r="J23" s="45"/>
      <c r="K23" s="105"/>
      <c r="L23" s="105"/>
      <c r="M23" s="44"/>
      <c r="N23" s="35" t="s">
        <v>94</v>
      </c>
      <c r="O23" s="34" t="s">
        <v>75</v>
      </c>
      <c r="P23" s="40" t="e">
        <f ca="1">SUM(P19:P22)</f>
        <v>#NAME?</v>
      </c>
      <c r="Q23" s="14"/>
      <c r="R23" s="75"/>
    </row>
    <row r="24" spans="2:18" x14ac:dyDescent="0.2">
      <c r="B24" s="46"/>
      <c r="C24" s="103"/>
      <c r="D24" s="73"/>
      <c r="E24" s="43"/>
      <c r="F24" s="43"/>
      <c r="G24" s="43"/>
      <c r="H24" s="47"/>
      <c r="I24" s="43"/>
      <c r="J24" s="45"/>
      <c r="K24" s="105"/>
      <c r="L24" s="105"/>
      <c r="M24" s="44"/>
      <c r="N24" s="35"/>
      <c r="O24" s="34"/>
      <c r="P24" s="40"/>
      <c r="Q24" s="14"/>
      <c r="R24" s="75"/>
    </row>
    <row r="25" spans="2:18" x14ac:dyDescent="0.2">
      <c r="B25" s="32" t="s">
        <v>276</v>
      </c>
      <c r="E25" s="10"/>
      <c r="M25" s="39"/>
      <c r="N25" s="34"/>
      <c r="O25" s="34"/>
      <c r="P25" s="30"/>
    </row>
    <row r="26" spans="2:18" x14ac:dyDescent="0.2">
      <c r="B26" s="33">
        <v>2016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41"/>
      <c r="N26" s="34"/>
      <c r="O26" s="34"/>
      <c r="P26" s="30"/>
    </row>
    <row r="27" spans="2:18" ht="51" x14ac:dyDescent="0.2">
      <c r="B27" s="51" t="s">
        <v>105</v>
      </c>
      <c r="C27" s="50" t="s">
        <v>104</v>
      </c>
      <c r="D27" s="50" t="s">
        <v>174</v>
      </c>
      <c r="E27" s="50" t="s">
        <v>173</v>
      </c>
      <c r="F27" s="50" t="s">
        <v>175</v>
      </c>
      <c r="G27" s="50" t="s">
        <v>172</v>
      </c>
      <c r="H27" s="50" t="s">
        <v>103</v>
      </c>
      <c r="I27" s="50" t="s">
        <v>102</v>
      </c>
      <c r="J27" s="50" t="s">
        <v>101</v>
      </c>
      <c r="K27" s="50" t="s">
        <v>100</v>
      </c>
      <c r="L27" s="50" t="s">
        <v>99</v>
      </c>
      <c r="M27" s="50" t="s">
        <v>98</v>
      </c>
      <c r="N27" s="50" t="s">
        <v>280</v>
      </c>
      <c r="O27" s="50" t="s">
        <v>97</v>
      </c>
      <c r="P27" s="50" t="s">
        <v>279</v>
      </c>
      <c r="Q27" s="50" t="s">
        <v>277</v>
      </c>
      <c r="R27" s="50" t="s">
        <v>278</v>
      </c>
    </row>
    <row r="28" spans="2:18" x14ac:dyDescent="0.2">
      <c r="B28" s="46" t="s">
        <v>227</v>
      </c>
      <c r="C28" s="103" t="s">
        <v>343</v>
      </c>
      <c r="D28" s="73" t="s">
        <v>51</v>
      </c>
      <c r="E28" s="43" t="e">
        <f ca="1">F28*_xll.BDP(C28,"PX_LAST")</f>
        <v>#NAME?</v>
      </c>
      <c r="F28" s="43">
        <v>3200</v>
      </c>
      <c r="G28" s="43">
        <v>3200</v>
      </c>
      <c r="H28" s="47">
        <f>G28/F28</f>
        <v>1</v>
      </c>
      <c r="I28" s="43">
        <f>G28*K28</f>
        <v>3030400</v>
      </c>
      <c r="J28" s="45">
        <f>G28*L28</f>
        <v>4128000</v>
      </c>
      <c r="K28" s="38">
        <v>947</v>
      </c>
      <c r="L28" s="38">
        <v>1290</v>
      </c>
      <c r="M28" s="44">
        <f>L28/K28-1</f>
        <v>0.36219640971488909</v>
      </c>
      <c r="N28" s="43">
        <f>J28-I28</f>
        <v>1097600</v>
      </c>
      <c r="O28" s="106" t="e">
        <f ca="1">_xll.BDP($C28,"CRNCY")</f>
        <v>#NAME?</v>
      </c>
      <c r="P28" s="43" t="e">
        <f ca="1">N28/R28</f>
        <v>#NAME?</v>
      </c>
      <c r="Q28" s="14">
        <v>42514</v>
      </c>
      <c r="R28" s="22" t="e">
        <f ca="1">_xll.BDH("RUB curncy","PX_LAST",$Q28)</f>
        <v>#NAME?</v>
      </c>
    </row>
    <row r="29" spans="2:18" x14ac:dyDescent="0.2">
      <c r="B29" s="46" t="s">
        <v>196</v>
      </c>
      <c r="C29" s="103" t="s">
        <v>336</v>
      </c>
      <c r="D29" s="73" t="s">
        <v>51</v>
      </c>
      <c r="E29" s="43" t="e">
        <f ca="1">F29*_xll.BDP(C29,"PX_LAST")</f>
        <v>#NAME?</v>
      </c>
      <c r="F29" s="43">
        <v>3060</v>
      </c>
      <c r="G29" s="43">
        <v>3060</v>
      </c>
      <c r="H29" s="47">
        <f>G29/F29</f>
        <v>1</v>
      </c>
      <c r="I29" s="43">
        <f>G29*K29</f>
        <v>1499400</v>
      </c>
      <c r="J29" s="45" t="e">
        <f ca="1">G29*L29</f>
        <v>#NAME?</v>
      </c>
      <c r="K29" s="38">
        <v>490</v>
      </c>
      <c r="L29" s="38" t="e">
        <f ca="1">_xll.BDH(C29,"PX_LAST",Q29)</f>
        <v>#NAME?</v>
      </c>
      <c r="M29" s="44" t="e">
        <f ca="1">L29/K29-1</f>
        <v>#NAME?</v>
      </c>
      <c r="N29" s="43" t="e">
        <f ca="1">J29-I29</f>
        <v>#NAME?</v>
      </c>
      <c r="O29" s="106" t="e">
        <f ca="1">_xll.BDP($C29,"CRNCY")</f>
        <v>#NAME?</v>
      </c>
      <c r="P29" s="43" t="e">
        <f ca="1">N29/R29</f>
        <v>#NAME?</v>
      </c>
      <c r="Q29" s="14">
        <v>42559</v>
      </c>
      <c r="R29" s="22" t="e">
        <f ca="1">_xll.BDH("RUB curncy","PX_LAST",$Q29)</f>
        <v>#NAME?</v>
      </c>
    </row>
    <row r="30" spans="2:18" x14ac:dyDescent="0.2">
      <c r="B30" s="46" t="s">
        <v>95</v>
      </c>
      <c r="C30" s="103" t="s">
        <v>18</v>
      </c>
      <c r="D30" s="73" t="s">
        <v>51</v>
      </c>
      <c r="E30" s="43" t="e">
        <f ca="1">F30*_xll.BDP(C30,"PX_LAST")</f>
        <v>#NAME?</v>
      </c>
      <c r="F30" s="43">
        <v>6000</v>
      </c>
      <c r="G30" s="43">
        <v>6000</v>
      </c>
      <c r="H30" s="47">
        <f>G30/F30</f>
        <v>1</v>
      </c>
      <c r="I30" s="43">
        <f>G30*K30</f>
        <v>1500000</v>
      </c>
      <c r="J30" s="45">
        <f>G30*L30</f>
        <v>1506000</v>
      </c>
      <c r="K30" s="38">
        <v>250</v>
      </c>
      <c r="L30" s="38">
        <v>251</v>
      </c>
      <c r="M30" s="44">
        <f>L30/K30-1</f>
        <v>4.0000000000000036E-3</v>
      </c>
      <c r="N30" s="43">
        <f>J30-I30</f>
        <v>6000</v>
      </c>
      <c r="O30" s="106" t="e">
        <f ca="1">_xll.BDP($C30,"CRNCY")</f>
        <v>#NAME?</v>
      </c>
      <c r="P30" s="43" t="e">
        <f ca="1">N30/R30</f>
        <v>#NAME?</v>
      </c>
      <c r="Q30" s="14">
        <v>42712</v>
      </c>
      <c r="R30" s="22" t="e">
        <f ca="1">_xll.BDH("RUB curncy","PX_LAST",$Q30)</f>
        <v>#NAME?</v>
      </c>
    </row>
    <row r="31" spans="2:18" x14ac:dyDescent="0.2">
      <c r="B31" s="46" t="s">
        <v>223</v>
      </c>
      <c r="C31" s="103" t="s">
        <v>34</v>
      </c>
      <c r="D31" s="73" t="s">
        <v>51</v>
      </c>
      <c r="E31" s="43" t="e">
        <f ca="1">F31*_xll.BDP(C31,"PX_LAST")</f>
        <v>#NAME?</v>
      </c>
      <c r="F31" s="43">
        <v>40000</v>
      </c>
      <c r="G31" s="43">
        <v>40000</v>
      </c>
      <c r="H31" s="47">
        <f>G31/F31</f>
        <v>1</v>
      </c>
      <c r="I31" s="43">
        <f>G31*K31</f>
        <v>2000000</v>
      </c>
      <c r="J31" s="45">
        <f>G31*L31</f>
        <v>3160000</v>
      </c>
      <c r="K31" s="38">
        <v>50</v>
      </c>
      <c r="L31" s="38">
        <v>79</v>
      </c>
      <c r="M31" s="44">
        <f>L31/K31-1</f>
        <v>0.58000000000000007</v>
      </c>
      <c r="N31" s="43">
        <f>J31-I31</f>
        <v>1160000</v>
      </c>
      <c r="O31" s="106" t="e">
        <f ca="1">_xll.BDP($C31,"CRNCY")</f>
        <v>#NAME?</v>
      </c>
      <c r="P31" s="43" t="e">
        <f ca="1">N31/R31</f>
        <v>#NAME?</v>
      </c>
      <c r="Q31" s="14">
        <v>42712</v>
      </c>
      <c r="R31" s="22" t="e">
        <f ca="1">_xll.BDH("RUB curncy","PX_LAST",$Q31)</f>
        <v>#NAME?</v>
      </c>
    </row>
    <row r="32" spans="2:18" x14ac:dyDescent="0.2">
      <c r="B32" s="46"/>
      <c r="C32" s="103"/>
      <c r="D32" s="73"/>
      <c r="E32" s="43"/>
      <c r="F32" s="43"/>
      <c r="G32" s="43"/>
      <c r="H32" s="47"/>
      <c r="I32" s="43"/>
      <c r="J32" s="45"/>
      <c r="K32" s="38"/>
      <c r="L32" s="38"/>
      <c r="M32" s="44"/>
      <c r="N32" s="35" t="s">
        <v>94</v>
      </c>
      <c r="O32" s="34" t="s">
        <v>75</v>
      </c>
      <c r="P32" s="40" t="e">
        <f ca="1">SUM(P28:P31)</f>
        <v>#NAME?</v>
      </c>
      <c r="Q32" s="14"/>
      <c r="R32" s="75"/>
    </row>
    <row r="33" spans="2:18" x14ac:dyDescent="0.2">
      <c r="B33" s="33"/>
      <c r="C33" s="33"/>
      <c r="D33" s="33"/>
      <c r="G33" s="33"/>
      <c r="H33" s="33"/>
      <c r="I33" s="33"/>
      <c r="J33" s="38"/>
      <c r="K33" s="37"/>
      <c r="L33" s="36"/>
      <c r="M33" s="35"/>
      <c r="N33" s="30"/>
      <c r="O33" s="30"/>
      <c r="P33" s="34"/>
      <c r="R33" s="39"/>
    </row>
    <row r="34" spans="2:18" x14ac:dyDescent="0.2">
      <c r="B34" s="33"/>
      <c r="C34" s="33"/>
      <c r="D34" s="33"/>
      <c r="G34" s="33"/>
      <c r="H34" s="33"/>
      <c r="I34" s="33"/>
      <c r="J34" s="38"/>
      <c r="K34" s="37"/>
      <c r="L34" s="36"/>
      <c r="M34" s="35"/>
      <c r="N34" s="30"/>
      <c r="O34" s="30"/>
      <c r="P34" s="34"/>
      <c r="R34" s="39"/>
    </row>
    <row r="35" spans="2:18" x14ac:dyDescent="0.2">
      <c r="B35" s="33"/>
      <c r="C35" s="33"/>
      <c r="D35" s="33"/>
      <c r="E35" s="33"/>
      <c r="F35" s="33"/>
      <c r="G35" s="33"/>
      <c r="H35" s="38"/>
      <c r="I35" s="37"/>
      <c r="J35" s="36"/>
      <c r="K35" s="35"/>
      <c r="L35" s="30"/>
      <c r="M35" s="34"/>
      <c r="N35" s="33"/>
    </row>
    <row r="36" spans="2:18" x14ac:dyDescent="0.2">
      <c r="B36" s="32" t="s">
        <v>93</v>
      </c>
      <c r="C36" s="10"/>
      <c r="D36" s="31"/>
      <c r="H36" s="31"/>
      <c r="I36" s="10"/>
      <c r="J36" s="10"/>
      <c r="K36" s="29"/>
    </row>
    <row r="37" spans="2:18" ht="13.5" thickBot="1" x14ac:dyDescent="0.25">
      <c r="C37" s="29"/>
      <c r="D37" s="29"/>
      <c r="G37" s="29"/>
      <c r="H37" s="10"/>
      <c r="I37" s="30"/>
      <c r="J37" s="10"/>
      <c r="K37" s="29"/>
    </row>
    <row r="38" spans="2:18" ht="15" x14ac:dyDescent="0.35">
      <c r="B38" s="26"/>
      <c r="C38" s="26"/>
      <c r="D38" s="26"/>
      <c r="E38" s="26"/>
      <c r="F38" s="26"/>
      <c r="G38" s="26"/>
      <c r="H38" s="28" t="s">
        <v>92</v>
      </c>
      <c r="I38" s="27" t="s">
        <v>91</v>
      </c>
      <c r="J38" s="27" t="s">
        <v>90</v>
      </c>
      <c r="K38" s="27"/>
      <c r="L38" s="26"/>
      <c r="M38" s="26"/>
      <c r="N38" s="26"/>
      <c r="Q38" s="129"/>
    </row>
    <row r="39" spans="2:18" ht="15" x14ac:dyDescent="0.35">
      <c r="B39" s="23" t="s">
        <v>89</v>
      </c>
      <c r="C39" s="23" t="s">
        <v>88</v>
      </c>
      <c r="D39" s="23" t="s">
        <v>87</v>
      </c>
      <c r="E39" s="23" t="s">
        <v>86</v>
      </c>
      <c r="F39" s="23" t="s">
        <v>85</v>
      </c>
      <c r="G39" s="23" t="s">
        <v>84</v>
      </c>
      <c r="H39" s="25" t="s">
        <v>83</v>
      </c>
      <c r="I39" s="24" t="s">
        <v>83</v>
      </c>
      <c r="J39" s="24" t="s">
        <v>75</v>
      </c>
      <c r="K39" s="24" t="s">
        <v>73</v>
      </c>
      <c r="L39" s="23" t="s">
        <v>82</v>
      </c>
      <c r="M39" s="23" t="s">
        <v>81</v>
      </c>
      <c r="N39" s="23" t="s">
        <v>80</v>
      </c>
    </row>
    <row r="41" spans="2:18" x14ac:dyDescent="0.2">
      <c r="B41" s="21" t="s">
        <v>345</v>
      </c>
      <c r="C41" s="20" t="s">
        <v>257</v>
      </c>
      <c r="D41" s="18" t="e">
        <f ca="1">_xll.BDP(C41,"SECURITY_NAME")</f>
        <v>#NAME?</v>
      </c>
      <c r="E41" s="18" t="s">
        <v>50</v>
      </c>
      <c r="F41" s="19">
        <v>20000</v>
      </c>
      <c r="G41" s="18" t="e">
        <f ca="1">_xll.BDP(C41,"CRNCY")</f>
        <v>#NAME?</v>
      </c>
      <c r="H41" s="22">
        <v>1.49</v>
      </c>
      <c r="I41" s="15">
        <f>F41*H41</f>
        <v>29800</v>
      </c>
      <c r="J41" s="16" t="e">
        <f ca="1">I41/L41</f>
        <v>#NAME?</v>
      </c>
      <c r="K41" s="15" t="e">
        <f ca="1">J41*L41</f>
        <v>#NAME?</v>
      </c>
      <c r="L41" s="22" t="e">
        <f ca="1">_xll.BDH("RUB curncy","PX_LAST",$N41)</f>
        <v>#NAME?</v>
      </c>
      <c r="M41" s="85" t="e">
        <f ca="1">1/_xll.BDH("RUB curncy","PX_LAST",$N41)</f>
        <v>#NAME?</v>
      </c>
      <c r="N41" s="14">
        <v>42108</v>
      </c>
    </row>
    <row r="42" spans="2:18" x14ac:dyDescent="0.2">
      <c r="B42" s="71"/>
      <c r="C42" s="33"/>
      <c r="D42" s="73"/>
      <c r="E42" s="73"/>
      <c r="F42" s="79">
        <f>SUM(F41:F41)</f>
        <v>20000</v>
      </c>
      <c r="G42" s="73"/>
      <c r="H42" s="80">
        <f>I42/F42</f>
        <v>1.49</v>
      </c>
      <c r="I42" s="79">
        <f>SUM(I41:I41)</f>
        <v>29800</v>
      </c>
      <c r="J42" s="79" t="e">
        <f ca="1">SUM(J41:J41)</f>
        <v>#NAME?</v>
      </c>
      <c r="K42" s="79" t="e">
        <f ca="1">SUM(K41:K41)</f>
        <v>#NAME?</v>
      </c>
      <c r="L42" s="75"/>
      <c r="M42" s="86"/>
      <c r="N42" s="14"/>
    </row>
    <row r="43" spans="2:18" x14ac:dyDescent="0.2">
      <c r="B43" s="71"/>
      <c r="C43" s="33"/>
      <c r="D43" s="73"/>
      <c r="E43" s="73"/>
      <c r="F43" s="79"/>
      <c r="G43" s="73"/>
      <c r="H43" s="80"/>
      <c r="I43" s="79"/>
      <c r="J43" s="79"/>
      <c r="K43" s="79"/>
      <c r="L43" s="75"/>
      <c r="M43" s="86"/>
      <c r="N43" s="14"/>
    </row>
    <row r="44" spans="2:18" x14ac:dyDescent="0.2">
      <c r="B44" s="21" t="s">
        <v>345</v>
      </c>
      <c r="C44" s="20" t="s">
        <v>49</v>
      </c>
      <c r="D44" s="18" t="e">
        <f ca="1">_xll.BDP(C44,"SECURITY_NAME")</f>
        <v>#NAME?</v>
      </c>
      <c r="E44" s="18" t="s">
        <v>50</v>
      </c>
      <c r="F44" s="19">
        <v>816</v>
      </c>
      <c r="G44" s="18" t="e">
        <f ca="1">_xll.BDP(C44,"CRNCY")</f>
        <v>#NAME?</v>
      </c>
      <c r="H44" s="22">
        <v>9.1232349999999993</v>
      </c>
      <c r="I44" s="15">
        <f>F44*H44</f>
        <v>7444.5597599999992</v>
      </c>
      <c r="J44" s="16">
        <f>I44</f>
        <v>7444.5597599999992</v>
      </c>
      <c r="K44" s="15" t="e">
        <f ca="1">J44*M44</f>
        <v>#NAME?</v>
      </c>
      <c r="L44" s="22" t="e">
        <f ca="1">_xll.BDH("GBP curncy","PX_LAST",$N44)</f>
        <v>#NAME?</v>
      </c>
      <c r="M44" s="85" t="e">
        <f ca="1">_xll.BDH("RUB curncy","PX_LAST",$N44)</f>
        <v>#NAME?</v>
      </c>
      <c r="N44" s="14">
        <v>42277</v>
      </c>
    </row>
    <row r="45" spans="2:18" x14ac:dyDescent="0.2">
      <c r="B45" s="21" t="s">
        <v>345</v>
      </c>
      <c r="C45" s="20" t="s">
        <v>49</v>
      </c>
      <c r="D45" s="18" t="e">
        <f ca="1">_xll.BDP(C45,"SECURITY_NAME")</f>
        <v>#NAME?</v>
      </c>
      <c r="E45" s="18" t="s">
        <v>50</v>
      </c>
      <c r="F45" s="19">
        <v>816</v>
      </c>
      <c r="G45" s="18" t="e">
        <f ca="1">_xll.BDP(C45,"CRNCY")</f>
        <v>#NAME?</v>
      </c>
      <c r="H45" s="22">
        <v>12.24</v>
      </c>
      <c r="I45" s="15">
        <f>F45*H45</f>
        <v>9987.84</v>
      </c>
      <c r="J45" s="16">
        <f>I45</f>
        <v>9987.84</v>
      </c>
      <c r="K45" s="15" t="e">
        <f ca="1">J45*M45</f>
        <v>#NAME?</v>
      </c>
      <c r="L45" s="22" t="e">
        <f ca="1">_xll.BDH("GBP curncy","PX_LAST",$N45)</f>
        <v>#NAME?</v>
      </c>
      <c r="M45" s="85" t="e">
        <f ca="1">_xll.BDH("RUB curncy","PX_LAST",$N45)</f>
        <v>#NAME?</v>
      </c>
      <c r="N45" s="14">
        <v>42254</v>
      </c>
    </row>
    <row r="46" spans="2:18" x14ac:dyDescent="0.2">
      <c r="B46" s="71"/>
      <c r="C46" s="33"/>
      <c r="D46" s="73"/>
      <c r="E46" s="73"/>
      <c r="F46" s="79">
        <f>SUM(F44:F45)</f>
        <v>1632</v>
      </c>
      <c r="G46" s="73"/>
      <c r="H46" s="80">
        <f>I46/F46</f>
        <v>10.6816175</v>
      </c>
      <c r="I46" s="79">
        <f>SUM(I44:I45)</f>
        <v>17432.39976</v>
      </c>
      <c r="J46" s="79">
        <f>SUM(J44:J45)</f>
        <v>17432.39976</v>
      </c>
      <c r="K46" s="79" t="e">
        <f ca="1">SUM(K44:K45)</f>
        <v>#NAME?</v>
      </c>
      <c r="L46" s="75"/>
      <c r="M46" s="86"/>
      <c r="N46" s="14"/>
    </row>
    <row r="47" spans="2:18" x14ac:dyDescent="0.2">
      <c r="B47" s="71"/>
      <c r="C47" s="33"/>
      <c r="D47" s="73"/>
      <c r="E47" s="73"/>
      <c r="F47" s="79"/>
      <c r="G47" s="73"/>
      <c r="H47" s="80"/>
      <c r="I47" s="79"/>
      <c r="J47" s="79"/>
      <c r="K47" s="79"/>
      <c r="L47" s="75"/>
      <c r="M47" s="86"/>
      <c r="N47" s="14"/>
    </row>
    <row r="48" spans="2:18" x14ac:dyDescent="0.2">
      <c r="B48" s="21" t="s">
        <v>345</v>
      </c>
      <c r="C48" s="20" t="s">
        <v>42</v>
      </c>
      <c r="D48" s="18" t="e">
        <f ca="1">_xll.BDP(C48,"SECURITY_NAME")</f>
        <v>#NAME?</v>
      </c>
      <c r="E48" s="18" t="s">
        <v>50</v>
      </c>
      <c r="F48" s="19">
        <v>12300</v>
      </c>
      <c r="G48" s="18" t="e">
        <f ca="1">_xll.BDP(C48,"CRNCY")</f>
        <v>#NAME?</v>
      </c>
      <c r="H48" s="22">
        <v>3.1730999999999998</v>
      </c>
      <c r="I48" s="15">
        <f>F48*H48</f>
        <v>39029.129999999997</v>
      </c>
      <c r="J48" s="16">
        <f>I48</f>
        <v>39029.129999999997</v>
      </c>
      <c r="K48" s="15" t="e">
        <f ca="1">J48*M48</f>
        <v>#NAME?</v>
      </c>
      <c r="L48" s="22" t="e">
        <f ca="1">_xll.BDH("GBP curncy","PX_LAST",$N48)</f>
        <v>#NAME?</v>
      </c>
      <c r="M48" s="85" t="e">
        <f ca="1">_xll.BDH("RUB curncy","PX_LAST",$N48)</f>
        <v>#NAME?</v>
      </c>
      <c r="N48" s="14">
        <v>42396</v>
      </c>
    </row>
    <row r="49" spans="2:14" x14ac:dyDescent="0.2">
      <c r="B49" s="71"/>
      <c r="C49" s="33"/>
      <c r="D49" s="73"/>
      <c r="E49" s="73"/>
      <c r="F49" s="79">
        <f>SUM(F48)</f>
        <v>12300</v>
      </c>
      <c r="G49" s="73"/>
      <c r="H49" s="80">
        <f>I49/F49</f>
        <v>3.1730999999999998</v>
      </c>
      <c r="I49" s="79">
        <f>SUM(I48)</f>
        <v>39029.129999999997</v>
      </c>
      <c r="J49" s="79">
        <f>SUM(J48)</f>
        <v>39029.129999999997</v>
      </c>
      <c r="K49" s="79" t="e">
        <f ca="1">SUM(K48)</f>
        <v>#NAME?</v>
      </c>
      <c r="L49" s="75"/>
      <c r="M49" s="86"/>
      <c r="N49" s="14"/>
    </row>
    <row r="50" spans="2:14" x14ac:dyDescent="0.2">
      <c r="B50" s="71"/>
      <c r="C50" s="33"/>
      <c r="D50" s="73"/>
      <c r="E50" s="73"/>
      <c r="F50" s="79"/>
      <c r="G50" s="73"/>
      <c r="H50" s="80"/>
      <c r="I50" s="79"/>
      <c r="J50" s="79"/>
      <c r="K50" s="79"/>
      <c r="L50" s="75"/>
      <c r="M50" s="86"/>
      <c r="N50" s="14"/>
    </row>
    <row r="51" spans="2:14" x14ac:dyDescent="0.2">
      <c r="B51" s="21" t="s">
        <v>345</v>
      </c>
      <c r="C51" s="20" t="s">
        <v>134</v>
      </c>
      <c r="D51" s="18" t="e">
        <f ca="1">_xll.BDP(C51,"SECURITY_NAME")</f>
        <v>#NAME?</v>
      </c>
      <c r="E51" s="18" t="s">
        <v>50</v>
      </c>
      <c r="F51" s="19">
        <v>7419</v>
      </c>
      <c r="G51" s="18" t="e">
        <f ca="1">_xll.BDP(C51,"CRNCY")</f>
        <v>#NAME?</v>
      </c>
      <c r="H51" s="22">
        <v>1.0525</v>
      </c>
      <c r="I51" s="15">
        <f>F51*H51</f>
        <v>7808.4974999999995</v>
      </c>
      <c r="J51" s="16" t="e">
        <f ca="1">I51*L51</f>
        <v>#NAME?</v>
      </c>
      <c r="K51" s="15" t="e">
        <f ca="1">J51*M51</f>
        <v>#NAME?</v>
      </c>
      <c r="L51" s="22" t="e">
        <f ca="1">_xll.BDH("GBP curncy","PX_LAST",$N51)</f>
        <v>#NAME?</v>
      </c>
      <c r="M51" s="85" t="e">
        <f ca="1">_xll.BDH("RUB curncy","PX_LAST",$N51)</f>
        <v>#NAME?</v>
      </c>
      <c r="N51" s="14">
        <v>42564</v>
      </c>
    </row>
    <row r="52" spans="2:14" x14ac:dyDescent="0.2">
      <c r="B52" s="21" t="s">
        <v>345</v>
      </c>
      <c r="C52" s="20" t="s">
        <v>134</v>
      </c>
      <c r="D52" s="18" t="e">
        <f ca="1">_xll.BDP(C52,"SECURITY_NAME")</f>
        <v>#NAME?</v>
      </c>
      <c r="E52" s="18" t="s">
        <v>50</v>
      </c>
      <c r="F52" s="19">
        <v>13295</v>
      </c>
      <c r="G52" s="18" t="e">
        <f ca="1">_xll.BDP(C52,"CRNCY")</f>
        <v>#NAME?</v>
      </c>
      <c r="H52" s="22">
        <v>0.49249999999999999</v>
      </c>
      <c r="I52" s="15">
        <f>F52*H52</f>
        <v>6547.7875000000004</v>
      </c>
      <c r="J52" s="16" t="e">
        <f ca="1">I52*L52</f>
        <v>#NAME?</v>
      </c>
      <c r="K52" s="15" t="e">
        <f ca="1">J52*M52</f>
        <v>#NAME?</v>
      </c>
      <c r="L52" s="22" t="e">
        <f ca="1">_xll.BDH("GBP curncy","PX_LAST",$N52)</f>
        <v>#NAME?</v>
      </c>
      <c r="M52" s="85" t="e">
        <f ca="1">_xll.BDH("RUB curncy","PX_LAST",$N52)</f>
        <v>#NAME?</v>
      </c>
      <c r="N52" s="14">
        <v>42254</v>
      </c>
    </row>
    <row r="53" spans="2:14" x14ac:dyDescent="0.2">
      <c r="B53" s="71"/>
      <c r="C53" s="33"/>
      <c r="D53" s="73"/>
      <c r="E53" s="73"/>
      <c r="F53" s="79">
        <f>SUM(F51:F52)</f>
        <v>20714</v>
      </c>
      <c r="G53" s="73"/>
      <c r="H53" s="80">
        <f>I53/F53</f>
        <v>0.69307159409095298</v>
      </c>
      <c r="I53" s="79">
        <f>SUM(I51:I52)</f>
        <v>14356.285</v>
      </c>
      <c r="J53" s="79" t="e">
        <f ca="1">SUM(J51:J52)</f>
        <v>#NAME?</v>
      </c>
      <c r="K53" s="79" t="e">
        <f ca="1">SUM(K51:K52)</f>
        <v>#NAME?</v>
      </c>
      <c r="L53" s="75"/>
      <c r="M53" s="86"/>
      <c r="N53" s="14"/>
    </row>
    <row r="54" spans="2:14" x14ac:dyDescent="0.2">
      <c r="B54" s="71"/>
      <c r="C54" s="33"/>
      <c r="D54" s="73"/>
      <c r="E54" s="73"/>
      <c r="F54" s="79"/>
      <c r="G54" s="73"/>
      <c r="H54" s="80"/>
      <c r="I54" s="79"/>
      <c r="J54" s="79"/>
      <c r="K54" s="79"/>
      <c r="L54" s="75"/>
      <c r="M54" s="86"/>
      <c r="N54" s="14"/>
    </row>
    <row r="55" spans="2:14" x14ac:dyDescent="0.2">
      <c r="B55" s="21" t="s">
        <v>345</v>
      </c>
      <c r="C55" s="20" t="s">
        <v>336</v>
      </c>
      <c r="D55" s="18" t="e">
        <f ca="1">_xll.BDP(C55,"SECURITY_NAME")</f>
        <v>#NAME?</v>
      </c>
      <c r="E55" s="18" t="s">
        <v>50</v>
      </c>
      <c r="F55" s="19">
        <v>3112</v>
      </c>
      <c r="G55" s="18" t="e">
        <f ca="1">_xll.BDP(C55,"CRNCY")</f>
        <v>#NAME?</v>
      </c>
      <c r="H55" s="22" t="e">
        <f ca="1">_xll.BDH(C55,"PX_LAST",N55)</f>
        <v>#NAME?</v>
      </c>
      <c r="I55" s="15" t="e">
        <f ca="1">F55*H55</f>
        <v>#NAME?</v>
      </c>
      <c r="J55" s="16" t="e">
        <f ca="1">I55/L55</f>
        <v>#NAME?</v>
      </c>
      <c r="K55" s="15" t="e">
        <f ca="1">J55*L55</f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42655</v>
      </c>
    </row>
    <row r="56" spans="2:14" x14ac:dyDescent="0.2">
      <c r="B56" s="71"/>
      <c r="C56" s="72"/>
      <c r="D56" s="73"/>
      <c r="E56" s="73"/>
      <c r="F56" s="79">
        <f>SUM(F55:F55)</f>
        <v>3112</v>
      </c>
      <c r="G56" s="87"/>
      <c r="H56" s="99" t="e">
        <f ca="1">I56/F56</f>
        <v>#NAME?</v>
      </c>
      <c r="I56" s="79" t="e">
        <f ca="1">SUM(I55:I55)</f>
        <v>#NAME?</v>
      </c>
      <c r="J56" s="79" t="e">
        <f ca="1">SUM(J55:J55)</f>
        <v>#NAME?</v>
      </c>
      <c r="K56" s="79" t="e">
        <f ca="1">SUM(K55:K55)</f>
        <v>#NAME?</v>
      </c>
      <c r="L56" s="75"/>
      <c r="M56" s="86"/>
      <c r="N56" s="14"/>
    </row>
    <row r="57" spans="2:14" x14ac:dyDescent="0.2">
      <c r="B57" s="71"/>
      <c r="C57" s="33"/>
      <c r="D57" s="73"/>
      <c r="E57" s="73"/>
      <c r="F57" s="79"/>
      <c r="G57" s="73"/>
      <c r="H57" s="80"/>
      <c r="I57" s="79"/>
      <c r="J57" s="79"/>
      <c r="K57" s="79"/>
      <c r="L57" s="75"/>
      <c r="M57" s="86"/>
      <c r="N57" s="14"/>
    </row>
    <row r="58" spans="2:14" x14ac:dyDescent="0.2">
      <c r="B58" s="21" t="s">
        <v>345</v>
      </c>
      <c r="C58" s="20" t="s">
        <v>412</v>
      </c>
      <c r="D58" s="18" t="e">
        <f ca="1">_xll.BDP(C58,"SECURITY_NAME")</f>
        <v>#NAME?</v>
      </c>
      <c r="E58" s="18" t="s">
        <v>50</v>
      </c>
      <c r="F58" s="19">
        <v>7000</v>
      </c>
      <c r="G58" s="18" t="e">
        <f ca="1">_xll.BDP(C58,"CRNCY")</f>
        <v>#NAME?</v>
      </c>
      <c r="H58" s="22">
        <v>218.9</v>
      </c>
      <c r="I58" s="15">
        <f>F58*H58</f>
        <v>1532300</v>
      </c>
      <c r="J58" s="16" t="e">
        <f ca="1">I58/L58</f>
        <v>#NAME?</v>
      </c>
      <c r="K58" s="15" t="e">
        <f ca="1">J58*L58</f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42362</v>
      </c>
    </row>
    <row r="59" spans="2:14" x14ac:dyDescent="0.2">
      <c r="B59" s="21" t="s">
        <v>345</v>
      </c>
      <c r="C59" s="20" t="s">
        <v>412</v>
      </c>
      <c r="D59" s="18" t="e">
        <f ca="1">_xll.BDP(C59,"SECURITY_NAME")</f>
        <v>#NAME?</v>
      </c>
      <c r="E59" s="18" t="s">
        <v>50</v>
      </c>
      <c r="F59" s="19">
        <v>5000</v>
      </c>
      <c r="G59" s="18" t="e">
        <f ca="1">_xll.BDP(C59,"CRNCY")</f>
        <v>#NAME?</v>
      </c>
      <c r="H59" s="22">
        <v>300</v>
      </c>
      <c r="I59" s="15">
        <f>F59*H59</f>
        <v>1500000</v>
      </c>
      <c r="J59" s="16" t="e">
        <f ca="1">I59/L59</f>
        <v>#NAME?</v>
      </c>
      <c r="K59" s="15" t="e">
        <f ca="1">J59*L59</f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42255</v>
      </c>
    </row>
    <row r="60" spans="2:14" x14ac:dyDescent="0.2">
      <c r="B60" s="71"/>
      <c r="C60" s="72"/>
      <c r="D60" s="73"/>
      <c r="E60" s="73"/>
      <c r="F60" s="79">
        <f>SUM(F58:F59)</f>
        <v>12000</v>
      </c>
      <c r="G60" s="87"/>
      <c r="H60" s="99">
        <f>I60/F60</f>
        <v>252.69166666666666</v>
      </c>
      <c r="I60" s="79">
        <f>SUM(I58:I59)</f>
        <v>3032300</v>
      </c>
      <c r="J60" s="79" t="e">
        <f ca="1">SUM(J58:J59)</f>
        <v>#NAME?</v>
      </c>
      <c r="K60" s="79" t="e">
        <f ca="1">SUM(K58:K59)</f>
        <v>#NAME?</v>
      </c>
      <c r="L60" s="75"/>
      <c r="M60" s="86"/>
      <c r="N60" s="14"/>
    </row>
    <row r="62" spans="2:14" x14ac:dyDescent="0.2">
      <c r="B62" s="21" t="s">
        <v>345</v>
      </c>
      <c r="C62" s="20" t="s">
        <v>343</v>
      </c>
      <c r="D62" s="18" t="e">
        <f ca="1">_xll.BDP(C62,"SECURITY_NAME")</f>
        <v>#NAME?</v>
      </c>
      <c r="E62" s="18" t="s">
        <v>50</v>
      </c>
      <c r="F62" s="19">
        <v>3200</v>
      </c>
      <c r="G62" s="18" t="e">
        <f ca="1">_xll.BDP(C62,"CRNCY")</f>
        <v>#NAME?</v>
      </c>
      <c r="H62" s="22">
        <v>947</v>
      </c>
      <c r="I62" s="15">
        <f>F62*H62</f>
        <v>3030400</v>
      </c>
      <c r="J62" s="16" t="e">
        <f ca="1">I62/L62</f>
        <v>#NAME?</v>
      </c>
      <c r="K62" s="15" t="e">
        <f ca="1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42108</v>
      </c>
    </row>
    <row r="63" spans="2:14" x14ac:dyDescent="0.2">
      <c r="B63" s="71"/>
      <c r="C63" s="72"/>
      <c r="D63" s="73"/>
      <c r="E63" s="73"/>
      <c r="F63" s="79">
        <f>SUM(F62:F62)</f>
        <v>3200</v>
      </c>
      <c r="G63" s="87"/>
      <c r="H63" s="99">
        <f>I63/F63</f>
        <v>947</v>
      </c>
      <c r="I63" s="79">
        <f>SUM(I62:I62)</f>
        <v>3030400</v>
      </c>
      <c r="J63" s="79" t="e">
        <f ca="1">SUM(J62:J62)</f>
        <v>#NAME?</v>
      </c>
      <c r="K63" s="79" t="e">
        <f ca="1">SUM(K62:K62)</f>
        <v>#NAME?</v>
      </c>
      <c r="L63" s="75"/>
      <c r="M63" s="86"/>
      <c r="N63" s="14"/>
    </row>
    <row r="64" spans="2:14" x14ac:dyDescent="0.2">
      <c r="B64" s="71"/>
      <c r="C64" s="72"/>
      <c r="D64" s="73"/>
      <c r="E64" s="73"/>
      <c r="F64" s="79"/>
      <c r="G64" s="87"/>
      <c r="H64" s="99"/>
      <c r="I64" s="79"/>
      <c r="J64" s="79"/>
      <c r="K64" s="79"/>
      <c r="L64" s="75"/>
      <c r="M64" s="86"/>
      <c r="N64" s="14"/>
    </row>
    <row r="65" spans="2:14" x14ac:dyDescent="0.2">
      <c r="B65" s="21" t="s">
        <v>345</v>
      </c>
      <c r="C65" s="20" t="s">
        <v>267</v>
      </c>
      <c r="D65" s="18" t="e">
        <f ca="1">_xll.BDP(C65,"SECURITY_NAME")</f>
        <v>#NAME?</v>
      </c>
      <c r="E65" s="18" t="s">
        <v>50</v>
      </c>
      <c r="F65" s="19">
        <v>10000000</v>
      </c>
      <c r="G65" s="18" t="e">
        <f ca="1">_xll.BDP(C65,"CRNCY")</f>
        <v>#NAME?</v>
      </c>
      <c r="H65" s="22">
        <v>93.5</v>
      </c>
      <c r="I65" s="15">
        <f>F65*H65/100</f>
        <v>9350000</v>
      </c>
      <c r="J65" s="16" t="e">
        <f ca="1">I65/L65</f>
        <v>#NAME?</v>
      </c>
      <c r="K65" s="15" t="e">
        <f ca="1">J65*L65</f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42108</v>
      </c>
    </row>
    <row r="66" spans="2:14" x14ac:dyDescent="0.2">
      <c r="B66" s="71"/>
      <c r="C66" s="72"/>
      <c r="D66" s="73"/>
      <c r="E66" s="73"/>
      <c r="F66" s="79">
        <f>SUM(F65)</f>
        <v>10000000</v>
      </c>
      <c r="G66" s="87"/>
      <c r="H66" s="99">
        <f>I66/F66*100</f>
        <v>93.5</v>
      </c>
      <c r="I66" s="79">
        <f>SUM(I65)</f>
        <v>9350000</v>
      </c>
      <c r="J66" s="79" t="e">
        <f ca="1">SUM(J65)</f>
        <v>#NAME?</v>
      </c>
      <c r="K66" s="79" t="e">
        <f ca="1">SUM(K65)</f>
        <v>#NAME?</v>
      </c>
      <c r="L66" s="75"/>
      <c r="M66" s="86"/>
      <c r="N66" s="14"/>
    </row>
    <row r="67" spans="2:14" x14ac:dyDescent="0.2">
      <c r="B67" s="71"/>
      <c r="C67" s="72"/>
      <c r="D67" s="73"/>
      <c r="E67" s="73"/>
      <c r="F67" s="79"/>
      <c r="G67" s="87"/>
      <c r="H67" s="99"/>
      <c r="I67" s="79"/>
      <c r="J67" s="79"/>
      <c r="K67" s="79"/>
      <c r="L67" s="75"/>
      <c r="M67" s="86"/>
      <c r="N67" s="14"/>
    </row>
    <row r="68" spans="2:14" x14ac:dyDescent="0.2">
      <c r="B68" s="21" t="s">
        <v>345</v>
      </c>
      <c r="C68" s="20" t="s">
        <v>34</v>
      </c>
      <c r="D68" s="18" t="e">
        <f ca="1">_xll.BDP(C68,"SECURITY_NAME")</f>
        <v>#NAME?</v>
      </c>
      <c r="E68" s="18" t="s">
        <v>50</v>
      </c>
      <c r="F68" s="19">
        <v>40000</v>
      </c>
      <c r="G68" s="18" t="e">
        <f ca="1">_xll.BDP(C68,"CRNCY")</f>
        <v>#NAME?</v>
      </c>
      <c r="H68" s="22">
        <v>50</v>
      </c>
      <c r="I68" s="15">
        <f>F68*H68</f>
        <v>2000000</v>
      </c>
      <c r="J68" s="16" t="e">
        <f ca="1">I68/L68</f>
        <v>#NAME?</v>
      </c>
      <c r="K68" s="15" t="e">
        <f ca="1">J68*L68</f>
        <v>#NAME?</v>
      </c>
      <c r="L68" s="22" t="e">
        <f ca="1">_xll.BDH("RUB curncy","PX_LAST",$N68)</f>
        <v>#NAME?</v>
      </c>
      <c r="M68" s="85" t="e">
        <f ca="1">1/_xll.BDH("RUB curncy","PX_LAST",$N68)</f>
        <v>#NAME?</v>
      </c>
      <c r="N68" s="14">
        <v>42108</v>
      </c>
    </row>
    <row r="69" spans="2:14" x14ac:dyDescent="0.2">
      <c r="B69" s="71"/>
      <c r="C69" s="33"/>
      <c r="D69" s="73"/>
      <c r="E69" s="73"/>
      <c r="F69" s="79">
        <f>SUM(F68:F68)</f>
        <v>40000</v>
      </c>
      <c r="G69" s="73"/>
      <c r="H69" s="80">
        <f>I69/F69</f>
        <v>50</v>
      </c>
      <c r="I69" s="79">
        <f>SUM(I68:I68)</f>
        <v>2000000</v>
      </c>
      <c r="J69" s="79" t="e">
        <f ca="1">SUM(J68:J68)</f>
        <v>#NAME?</v>
      </c>
      <c r="K69" s="79" t="e">
        <f ca="1">SUM(K68:K68)</f>
        <v>#NAME?</v>
      </c>
      <c r="L69" s="75"/>
      <c r="M69" s="86"/>
      <c r="N69" s="14"/>
    </row>
    <row r="71" spans="2:14" x14ac:dyDescent="0.2">
      <c r="B71" s="21" t="s">
        <v>345</v>
      </c>
      <c r="C71" s="20" t="s">
        <v>5</v>
      </c>
      <c r="D71" s="18" t="e">
        <f ca="1">_xll.BDP(C71,"SECURITY_NAME")</f>
        <v>#NAME?</v>
      </c>
      <c r="E71" s="18" t="s">
        <v>50</v>
      </c>
      <c r="F71" s="19">
        <v>80000</v>
      </c>
      <c r="G71" s="18" t="e">
        <f ca="1">_xll.BDP(C71,"CRNCY")</f>
        <v>#NAME?</v>
      </c>
      <c r="H71" s="22">
        <v>37.79</v>
      </c>
      <c r="I71" s="15">
        <f>F71*H71</f>
        <v>3023200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42108</v>
      </c>
    </row>
    <row r="72" spans="2:14" x14ac:dyDescent="0.2">
      <c r="F72" s="79">
        <f>SUM(F71:F71)</f>
        <v>80000</v>
      </c>
      <c r="G72" s="79"/>
      <c r="H72" s="80">
        <f>I72/F72</f>
        <v>37.79</v>
      </c>
      <c r="I72" s="79">
        <f>SUM(I71:I71)</f>
        <v>3023200</v>
      </c>
      <c r="J72" s="79" t="e">
        <f ca="1">SUM(J71:J71)</f>
        <v>#NAME?</v>
      </c>
      <c r="K72" s="79" t="e">
        <f ca="1">SUM(K71:K71)</f>
        <v>#NAME?</v>
      </c>
    </row>
    <row r="73" spans="2:14" x14ac:dyDescent="0.2">
      <c r="G73" s="79"/>
      <c r="H73" s="80"/>
      <c r="I73" s="79"/>
      <c r="J73" s="79"/>
      <c r="K73" s="79"/>
    </row>
    <row r="74" spans="2:14" x14ac:dyDescent="0.2">
      <c r="B74" s="21" t="s">
        <v>345</v>
      </c>
      <c r="C74" s="20" t="s">
        <v>27</v>
      </c>
      <c r="D74" s="18" t="e">
        <f ca="1">_xll.BDP(C74,"SECURITY_NAME")</f>
        <v>#NAME?</v>
      </c>
      <c r="E74" s="18" t="s">
        <v>50</v>
      </c>
      <c r="F74" s="19">
        <v>3910</v>
      </c>
      <c r="G74" s="18" t="e">
        <f ca="1">_xll.BDP(C74,"CRNCY")</f>
        <v>#NAME?</v>
      </c>
      <c r="H74" s="22">
        <v>153.69999999999999</v>
      </c>
      <c r="I74" s="15">
        <f>F74*H74</f>
        <v>600967</v>
      </c>
      <c r="J74" s="16" t="e">
        <f ca="1">I74/L74</f>
        <v>#NAME?</v>
      </c>
      <c r="K74" s="15" t="e">
        <f ca="1">J74*L74</f>
        <v>#NAME?</v>
      </c>
      <c r="L74" s="22" t="e">
        <f ca="1">_xll.BDH("RUB curncy","PX_LAST",$N74)</f>
        <v>#NAME?</v>
      </c>
      <c r="M74" s="85" t="e">
        <f ca="1">1/_xll.BDH("RUB curncy","PX_LAST",$N74)</f>
        <v>#NAME?</v>
      </c>
      <c r="N74" s="14">
        <v>42103</v>
      </c>
    </row>
    <row r="75" spans="2:14" x14ac:dyDescent="0.2">
      <c r="B75" s="21" t="s">
        <v>345</v>
      </c>
      <c r="C75" s="20" t="s">
        <v>27</v>
      </c>
      <c r="D75" s="18" t="e">
        <f ca="1">_xll.BDP(C75,"SECURITY_NAME")</f>
        <v>#NAME?</v>
      </c>
      <c r="E75" s="18" t="s">
        <v>50</v>
      </c>
      <c r="F75" s="19">
        <v>3910</v>
      </c>
      <c r="G75" s="18" t="e">
        <f ca="1">_xll.BDP(C75,"CRNCY")</f>
        <v>#NAME?</v>
      </c>
      <c r="H75" s="22">
        <v>153.69999999999999</v>
      </c>
      <c r="I75" s="15">
        <f>F75*H75</f>
        <v>600967</v>
      </c>
      <c r="J75" s="16" t="e">
        <f ca="1">I75/L75</f>
        <v>#NAME?</v>
      </c>
      <c r="K75" s="15" t="e">
        <f ca="1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42103</v>
      </c>
    </row>
    <row r="76" spans="2:14" x14ac:dyDescent="0.2">
      <c r="B76" s="21" t="s">
        <v>345</v>
      </c>
      <c r="C76" s="20" t="s">
        <v>27</v>
      </c>
      <c r="D76" s="18" t="e">
        <f ca="1">_xll.BDP(C76,"SECURITY_NAME")</f>
        <v>#NAME?</v>
      </c>
      <c r="E76" s="18" t="s">
        <v>50</v>
      </c>
      <c r="F76" s="19">
        <v>3950</v>
      </c>
      <c r="G76" s="18" t="e">
        <f ca="1">_xll.BDP(C76,"CRNCY")</f>
        <v>#NAME?</v>
      </c>
      <c r="H76" s="22">
        <v>154</v>
      </c>
      <c r="I76" s="15">
        <f>F76*H76</f>
        <v>608300</v>
      </c>
      <c r="J76" s="16" t="e">
        <f ca="1">I76/L76</f>
        <v>#NAME?</v>
      </c>
      <c r="K76" s="15" t="e">
        <f ca="1">J76*L76</f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42103</v>
      </c>
    </row>
    <row r="77" spans="2:14" x14ac:dyDescent="0.2">
      <c r="B77" s="21" t="s">
        <v>345</v>
      </c>
      <c r="C77" s="20" t="s">
        <v>27</v>
      </c>
      <c r="D77" s="18" t="e">
        <f ca="1">_xll.BDP(C77,"SECURITY_NAME")</f>
        <v>#NAME?</v>
      </c>
      <c r="E77" s="18" t="s">
        <v>50</v>
      </c>
      <c r="F77" s="19">
        <v>3920</v>
      </c>
      <c r="G77" s="18" t="e">
        <f ca="1">_xll.BDP(C77,"CRNCY")</f>
        <v>#NAME?</v>
      </c>
      <c r="H77" s="22">
        <v>153</v>
      </c>
      <c r="I77" s="15">
        <f>F77*H77</f>
        <v>599760</v>
      </c>
      <c r="J77" s="16" t="e">
        <f ca="1">I77/L77</f>
        <v>#NAME?</v>
      </c>
      <c r="K77" s="15" t="e">
        <f ca="1">J77*L77</f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42103</v>
      </c>
    </row>
    <row r="78" spans="2:14" x14ac:dyDescent="0.2">
      <c r="B78" s="21" t="s">
        <v>345</v>
      </c>
      <c r="C78" s="20" t="s">
        <v>27</v>
      </c>
      <c r="D78" s="18" t="e">
        <f ca="1">_xll.BDP(C78,"SECURITY_NAME")</f>
        <v>#NAME?</v>
      </c>
      <c r="E78" s="18" t="s">
        <v>50</v>
      </c>
      <c r="F78" s="19">
        <v>3900</v>
      </c>
      <c r="G78" s="18" t="e">
        <f ca="1">_xll.BDP(C78,"CRNCY")</f>
        <v>#NAME?</v>
      </c>
      <c r="H78" s="22">
        <v>154</v>
      </c>
      <c r="I78" s="15">
        <f>F78*H78</f>
        <v>600600</v>
      </c>
      <c r="J78" s="16" t="e">
        <f ca="1">I78/L78</f>
        <v>#NAME?</v>
      </c>
      <c r="K78" s="15" t="e">
        <f ca="1">J78*L78</f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42103</v>
      </c>
    </row>
    <row r="79" spans="2:14" x14ac:dyDescent="0.2">
      <c r="B79" s="71"/>
      <c r="C79" s="72"/>
      <c r="D79" s="73"/>
      <c r="E79" s="73"/>
      <c r="F79" s="79">
        <f>SUM(F74:F78)</f>
        <v>19590</v>
      </c>
      <c r="G79" s="87"/>
      <c r="H79" s="80">
        <f>I79/F79</f>
        <v>153.68014293006635</v>
      </c>
      <c r="I79" s="79">
        <f>SUM(I74:I78)</f>
        <v>3010594</v>
      </c>
      <c r="J79" s="79" t="e">
        <f ca="1">SUM(J74:J78)</f>
        <v>#NAME?</v>
      </c>
      <c r="K79" s="79" t="e">
        <f ca="1">SUM(K74:K78)</f>
        <v>#NAME?</v>
      </c>
      <c r="L79" s="75"/>
      <c r="M79" s="86"/>
      <c r="N79" s="14"/>
    </row>
    <row r="81" spans="2:14" x14ac:dyDescent="0.2">
      <c r="B81" s="21" t="s">
        <v>345</v>
      </c>
      <c r="C81" s="20" t="s">
        <v>7</v>
      </c>
      <c r="D81" s="18" t="e">
        <f ca="1">_xll.BDP(C81,"SECURITY_NAME")</f>
        <v>#NAME?</v>
      </c>
      <c r="E81" s="18" t="s">
        <v>50</v>
      </c>
      <c r="F81" s="19">
        <v>20700</v>
      </c>
      <c r="G81" s="18" t="e">
        <f ca="1">_xll.BDP(C81,"CRNCY")</f>
        <v>#NAME?</v>
      </c>
      <c r="H81" s="22">
        <v>148.4</v>
      </c>
      <c r="I81" s="15">
        <f>F81*H81</f>
        <v>3071880</v>
      </c>
      <c r="J81" s="16" t="e">
        <f ca="1">I81/L81</f>
        <v>#NAME?</v>
      </c>
      <c r="K81" s="15" t="e">
        <f ca="1">J81*L81</f>
        <v>#NAME?</v>
      </c>
      <c r="L81" s="22" t="e">
        <f ca="1">_xll.BDH("RUB curncy","PX_LAST",$N81)</f>
        <v>#NAME?</v>
      </c>
      <c r="M81" s="85" t="e">
        <f ca="1">1/_xll.BDH("RUB curncy","PX_LAST",$N81)</f>
        <v>#NAME?</v>
      </c>
      <c r="N81" s="14">
        <v>42108</v>
      </c>
    </row>
    <row r="82" spans="2:14" x14ac:dyDescent="0.2">
      <c r="F82" s="79">
        <f>SUM(F81:F81)</f>
        <v>20700</v>
      </c>
      <c r="H82" s="88">
        <f>I82/F82</f>
        <v>148.4</v>
      </c>
      <c r="I82" s="79">
        <f>SUM(I81:I81)</f>
        <v>3071880</v>
      </c>
      <c r="J82" s="79" t="e">
        <f ca="1">SUM(J81:J81)</f>
        <v>#NAME?</v>
      </c>
      <c r="K82" s="79" t="e">
        <f ca="1">SUM(K81:K81)</f>
        <v>#NAME?</v>
      </c>
    </row>
    <row r="84" spans="2:14" x14ac:dyDescent="0.2">
      <c r="B84" s="21" t="s">
        <v>345</v>
      </c>
      <c r="C84" s="20" t="s">
        <v>2</v>
      </c>
      <c r="D84" s="18" t="e">
        <f ca="1">_xll.BDP(C84,"SECURITY_NAME")</f>
        <v>#NAME?</v>
      </c>
      <c r="E84" s="18" t="s">
        <v>50</v>
      </c>
      <c r="F84" s="19">
        <v>3600</v>
      </c>
      <c r="G84" s="18" t="e">
        <f ca="1">_xll.BDP(C84,"CRNCY")</f>
        <v>#NAME?</v>
      </c>
      <c r="H84" s="22">
        <v>700</v>
      </c>
      <c r="I84" s="15">
        <f>F84*H84</f>
        <v>2520000</v>
      </c>
      <c r="J84" s="16" t="e">
        <f ca="1">I84/L84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42465</v>
      </c>
    </row>
    <row r="85" spans="2:14" x14ac:dyDescent="0.2">
      <c r="B85" s="71"/>
      <c r="C85" s="72"/>
      <c r="D85" s="73"/>
      <c r="E85" s="73"/>
      <c r="F85" s="79">
        <f>SUM(F84:F84)</f>
        <v>3600</v>
      </c>
      <c r="G85" s="73"/>
      <c r="H85" s="80">
        <f>I85/F85</f>
        <v>700</v>
      </c>
      <c r="I85" s="79">
        <f>SUM(I84:I84)</f>
        <v>2520000</v>
      </c>
      <c r="J85" s="79" t="e">
        <f ca="1">SUM(J84:J84)</f>
        <v>#NAME?</v>
      </c>
      <c r="K85" s="79" t="e">
        <f ca="1">SUM(K84:K84)</f>
        <v>#NAME?</v>
      </c>
      <c r="L85" s="75"/>
      <c r="M85" s="78"/>
      <c r="N85" s="14"/>
    </row>
    <row r="87" spans="2:14" x14ac:dyDescent="0.2">
      <c r="B87" s="21" t="s">
        <v>345</v>
      </c>
      <c r="C87" s="118" t="s">
        <v>697</v>
      </c>
      <c r="D87" s="18" t="e">
        <f ca="1">_xll.BDP(C87,"SECURITY_NAME")</f>
        <v>#NAME?</v>
      </c>
      <c r="E87" s="18" t="s">
        <v>50</v>
      </c>
      <c r="F87" s="19">
        <v>200000</v>
      </c>
      <c r="G87" s="18" t="e">
        <f ca="1">_xll.BDP(C87,"CRNCY")</f>
        <v>#NAME?</v>
      </c>
      <c r="H87" s="22">
        <v>95.5</v>
      </c>
      <c r="I87" s="15">
        <f>F87*H87/100</f>
        <v>191000</v>
      </c>
      <c r="J87" s="16">
        <f>I87</f>
        <v>191000</v>
      </c>
      <c r="K87" s="15" t="e">
        <f ca="1">J87*L87</f>
        <v>#NAME?</v>
      </c>
      <c r="L87" s="22" t="e">
        <f ca="1">_xll.BDH("RUB curncy","PX_LAST",$N87)</f>
        <v>#NAME?</v>
      </c>
      <c r="M87" s="85" t="e">
        <f ca="1">1/_xll.BDH("RUB curncy","PX_LAST",$N87)</f>
        <v>#NAME?</v>
      </c>
      <c r="N87" s="14">
        <v>42713</v>
      </c>
    </row>
    <row r="88" spans="2:14" x14ac:dyDescent="0.2">
      <c r="B88" s="71"/>
      <c r="C88" s="72"/>
      <c r="D88" s="73"/>
      <c r="E88" s="73"/>
      <c r="F88" s="79">
        <f>SUM(F87:F87)</f>
        <v>200000</v>
      </c>
      <c r="G88" s="87"/>
      <c r="H88" s="99">
        <f>I88/F88*100</f>
        <v>95.5</v>
      </c>
      <c r="I88" s="79">
        <f>SUM(I87:I87)</f>
        <v>191000</v>
      </c>
      <c r="J88" s="79">
        <f>SUM(J87:J87)</f>
        <v>191000</v>
      </c>
      <c r="K88" s="79" t="e">
        <f ca="1">SUM(K87:K87)</f>
        <v>#NAME?</v>
      </c>
      <c r="L88" s="75"/>
      <c r="M88" s="86"/>
      <c r="N88" s="14"/>
    </row>
    <row r="89" spans="2:14" x14ac:dyDescent="0.2">
      <c r="L89" s="10"/>
    </row>
    <row r="90" spans="2:14" x14ac:dyDescent="0.2">
      <c r="L90" s="10"/>
    </row>
    <row r="91" spans="2:14" x14ac:dyDescent="0.2">
      <c r="L91" s="13"/>
    </row>
    <row r="93" spans="2:14" x14ac:dyDescent="0.2">
      <c r="L93" s="12"/>
    </row>
    <row r="97" spans="7:7" x14ac:dyDescent="0.2">
      <c r="G97" s="10"/>
    </row>
    <row r="98" spans="7:7" x14ac:dyDescent="0.2">
      <c r="G98" s="11"/>
    </row>
    <row r="101" spans="7:7" x14ac:dyDescent="0.2">
      <c r="G101" s="10"/>
    </row>
  </sheetData>
  <sortState ref="A4:W11">
    <sortCondition descending="1" ref="I4:I11"/>
  </sortState>
  <mergeCells count="1">
    <mergeCell ref="T14:U16"/>
  </mergeCells>
  <conditionalFormatting sqref="E62">
    <cfRule type="containsText" dxfId="792" priority="804" operator="containsText" text="Buy">
      <formula>NOT(ISERROR(SEARCH("Buy",E62)))</formula>
    </cfRule>
    <cfRule type="containsText" dxfId="791" priority="805" operator="containsText" text="Sell">
      <formula>NOT(ISERROR(SEARCH("Sell",E62)))</formula>
    </cfRule>
  </conditionalFormatting>
  <conditionalFormatting sqref="E78:E79">
    <cfRule type="containsText" dxfId="790" priority="654" operator="containsText" text="Buy">
      <formula>NOT(ISERROR(SEARCH("Buy",E78)))</formula>
    </cfRule>
    <cfRule type="containsText" dxfId="789" priority="655" operator="containsText" text="Sell">
      <formula>NOT(ISERROR(SEARCH("Sell",E78)))</formula>
    </cfRule>
  </conditionalFormatting>
  <conditionalFormatting sqref="H19">
    <cfRule type="dataBar" priority="6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{76EDC34D-591E-4429-A70E-94E8E025D2C5}</x14:id>
        </ext>
      </extLst>
    </cfRule>
    <cfRule type="cellIs" dxfId="788" priority="635" operator="equal">
      <formula>1</formula>
    </cfRule>
  </conditionalFormatting>
  <conditionalFormatting sqref="D19">
    <cfRule type="containsText" dxfId="787" priority="633" operator="containsText" text="Buy">
      <formula>NOT(ISERROR(SEARCH("Buy",D19)))</formula>
    </cfRule>
    <cfRule type="containsText" dxfId="786" priority="634" operator="containsText" text="Sell">
      <formula>NOT(ISERROR(SEARCH("Sell",D19)))</formula>
    </cfRule>
  </conditionalFormatting>
  <conditionalFormatting sqref="E71">
    <cfRule type="containsText" dxfId="785" priority="597" operator="containsText" text="Buy">
      <formula>NOT(ISERROR(SEARCH("Buy",E71)))</formula>
    </cfRule>
    <cfRule type="containsText" dxfId="784" priority="598" operator="containsText" text="Sell">
      <formula>NOT(ISERROR(SEARCH("Sell",E71)))</formula>
    </cfRule>
  </conditionalFormatting>
  <conditionalFormatting sqref="E69">
    <cfRule type="containsText" dxfId="783" priority="521" operator="containsText" text="Buy">
      <formula>NOT(ISERROR(SEARCH("Buy",E69)))</formula>
    </cfRule>
    <cfRule type="containsText" dxfId="782" priority="522" operator="containsText" text="Sell">
      <formula>NOT(ISERROR(SEARCH("Sell",E69)))</formula>
    </cfRule>
  </conditionalFormatting>
  <conditionalFormatting sqref="E68">
    <cfRule type="containsText" dxfId="781" priority="519" operator="containsText" text="Buy">
      <formula>NOT(ISERROR(SEARCH("Buy",E68)))</formula>
    </cfRule>
    <cfRule type="containsText" dxfId="780" priority="520" operator="containsText" text="Sell">
      <formula>NOT(ISERROR(SEARCH("Sell",E68)))</formula>
    </cfRule>
  </conditionalFormatting>
  <conditionalFormatting sqref="E63:E64">
    <cfRule type="containsText" dxfId="779" priority="503" operator="containsText" text="Buy">
      <formula>NOT(ISERROR(SEARCH("Buy",E63)))</formula>
    </cfRule>
    <cfRule type="containsText" dxfId="778" priority="504" operator="containsText" text="Sell">
      <formula>NOT(ISERROR(SEARCH("Sell",E63)))</formula>
    </cfRule>
  </conditionalFormatting>
  <conditionalFormatting sqref="E81">
    <cfRule type="containsText" dxfId="777" priority="447" operator="containsText" text="Buy">
      <formula>NOT(ISERROR(SEARCH("Buy",E81)))</formula>
    </cfRule>
    <cfRule type="containsText" dxfId="776" priority="448" operator="containsText" text="Sell">
      <formula>NOT(ISERROR(SEARCH("Sell",E81)))</formula>
    </cfRule>
  </conditionalFormatting>
  <conditionalFormatting sqref="E41">
    <cfRule type="containsText" dxfId="775" priority="443" operator="containsText" text="Buy">
      <formula>NOT(ISERROR(SEARCH("Buy",E41)))</formula>
    </cfRule>
    <cfRule type="containsText" dxfId="774" priority="444" operator="containsText" text="Sell">
      <formula>NOT(ISERROR(SEARCH("Sell",E41)))</formula>
    </cfRule>
  </conditionalFormatting>
  <conditionalFormatting sqref="E42:E43 E50">
    <cfRule type="containsText" dxfId="773" priority="445" operator="containsText" text="Buy">
      <formula>NOT(ISERROR(SEARCH("Buy",E42)))</formula>
    </cfRule>
    <cfRule type="containsText" dxfId="772" priority="446" operator="containsText" text="Sell">
      <formula>NOT(ISERROR(SEARCH("Sell",E42)))</formula>
    </cfRule>
  </conditionalFormatting>
  <conditionalFormatting sqref="E65:E67">
    <cfRule type="containsText" dxfId="771" priority="399" operator="containsText" text="Buy">
      <formula>NOT(ISERROR(SEARCH("Buy",E65)))</formula>
    </cfRule>
    <cfRule type="containsText" dxfId="770" priority="400" operator="containsText" text="Sell">
      <formula>NOT(ISERROR(SEARCH("Sell",E65)))</formula>
    </cfRule>
  </conditionalFormatting>
  <conditionalFormatting sqref="E74:E77">
    <cfRule type="containsText" dxfId="769" priority="246" operator="containsText" text="Buy">
      <formula>NOT(ISERROR(SEARCH("Buy",E74)))</formula>
    </cfRule>
    <cfRule type="containsText" dxfId="768" priority="247" operator="containsText" text="Sell">
      <formula>NOT(ISERROR(SEARCH("Sell",E74)))</formula>
    </cfRule>
  </conditionalFormatting>
  <conditionalFormatting sqref="M5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{F08DEFA0-C3C6-4C33-981F-7683AEB2CBBA}</x14:id>
        </ext>
      </extLst>
    </cfRule>
  </conditionalFormatting>
  <conditionalFormatting sqref="M5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{B348C0A8-426C-4C42-BD2E-B8EC3C40EEC1}</x14:id>
        </ext>
      </extLst>
    </cfRule>
  </conditionalFormatting>
  <conditionalFormatting sqref="E52">
    <cfRule type="containsText" dxfId="767" priority="222" operator="containsText" text="Buy">
      <formula>NOT(ISERROR(SEARCH("Buy",E52)))</formula>
    </cfRule>
    <cfRule type="containsText" dxfId="766" priority="223" operator="containsText" text="Sell">
      <formula>NOT(ISERROR(SEARCH("Sell",E52)))</formula>
    </cfRule>
  </conditionalFormatting>
  <conditionalFormatting sqref="E53:E54 E57">
    <cfRule type="containsText" dxfId="765" priority="224" operator="containsText" text="Buy">
      <formula>NOT(ISERROR(SEARCH("Buy",E53)))</formula>
    </cfRule>
    <cfRule type="containsText" dxfId="764" priority="225" operator="containsText" text="Sell">
      <formula>NOT(ISERROR(SEARCH("Sell",E53)))</formula>
    </cfRule>
  </conditionalFormatting>
  <conditionalFormatting sqref="E45">
    <cfRule type="containsText" dxfId="763" priority="218" operator="containsText" text="Buy">
      <formula>NOT(ISERROR(SEARCH("Buy",E45)))</formula>
    </cfRule>
    <cfRule type="containsText" dxfId="762" priority="219" operator="containsText" text="Sell">
      <formula>NOT(ISERROR(SEARCH("Sell",E45)))</formula>
    </cfRule>
  </conditionalFormatting>
  <conditionalFormatting sqref="E46:E47">
    <cfRule type="containsText" dxfId="761" priority="220" operator="containsText" text="Buy">
      <formula>NOT(ISERROR(SEARCH("Buy",E46)))</formula>
    </cfRule>
    <cfRule type="containsText" dxfId="760" priority="221" operator="containsText" text="Sell">
      <formula>NOT(ISERROR(SEARCH("Sell",E46)))</formula>
    </cfRule>
  </conditionalFormatting>
  <conditionalFormatting sqref="L8:M8">
    <cfRule type="dataBar" priority="2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{7DA427C9-0F3D-4AAC-A6C5-5AE0425A5F19}</x14:id>
        </ext>
      </extLst>
    </cfRule>
  </conditionalFormatting>
  <conditionalFormatting sqref="L8:M8">
    <cfRule type="dataBar" priority="2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{23DAF228-1DC0-4365-89B8-ABB9139286F9}</x14:id>
        </ext>
      </extLst>
    </cfRule>
  </conditionalFormatting>
  <conditionalFormatting sqref="L8">
    <cfRule type="dataBar" priority="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{119D80C3-6142-450E-AA09-A8AE4B8B9A05}</x14:id>
        </ext>
      </extLst>
    </cfRule>
  </conditionalFormatting>
  <conditionalFormatting sqref="M8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{9C7D8322-E690-445D-BFD4-EA3C5F23D0A5}</x14:id>
        </ext>
      </extLst>
    </cfRule>
  </conditionalFormatting>
  <conditionalFormatting sqref="U8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{F06A8F14-B5F5-4479-975C-A3A534CBA667}</x14:id>
        </ext>
      </extLst>
    </cfRule>
  </conditionalFormatting>
  <conditionalFormatting sqref="V8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{89813E81-7A9F-4F6F-8604-40ED465B8A94}</x14:id>
        </ext>
      </extLst>
    </cfRule>
  </conditionalFormatting>
  <conditionalFormatting sqref="L8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{637590E3-7EF9-4D58-87CC-584DE9E5C8E6}</x14:id>
        </ext>
      </extLst>
    </cfRule>
  </conditionalFormatting>
  <conditionalFormatting sqref="M8">
    <cfRule type="dataBar" priority="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{0B8C1178-26BD-4814-964A-95A7EA1BBEEB}</x14:id>
        </ext>
      </extLst>
    </cfRule>
  </conditionalFormatting>
  <conditionalFormatting sqref="E59">
    <cfRule type="containsText" dxfId="759" priority="195" operator="containsText" text="Buy">
      <formula>NOT(ISERROR(SEARCH("Buy",E59)))</formula>
    </cfRule>
    <cfRule type="containsText" dxfId="758" priority="196" operator="containsText" text="Sell">
      <formula>NOT(ISERROR(SEARCH("Sell",E59)))</formula>
    </cfRule>
  </conditionalFormatting>
  <conditionalFormatting sqref="E60">
    <cfRule type="containsText" dxfId="757" priority="193" operator="containsText" text="Buy">
      <formula>NOT(ISERROR(SEARCH("Buy",E60)))</formula>
    </cfRule>
    <cfRule type="containsText" dxfId="756" priority="194" operator="containsText" text="Sell">
      <formula>NOT(ISERROR(SEARCH("Sell",E60)))</formula>
    </cfRule>
  </conditionalFormatting>
  <conditionalFormatting sqref="L6:M6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{45223FA2-694C-40B4-BEB2-9E905FA11689}</x14:id>
        </ext>
      </extLst>
    </cfRule>
  </conditionalFormatting>
  <conditionalFormatting sqref="L6:M6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{25872D2D-3A61-47A2-8292-95487DE2A9DC}</x14:id>
        </ext>
      </extLst>
    </cfRule>
  </conditionalFormatting>
  <conditionalFormatting sqref="L6">
    <cfRule type="dataBar" priority="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{45217F2B-4EC5-40E9-82C2-BAC066876870}</x14:id>
        </ext>
      </extLst>
    </cfRule>
  </conditionalFormatting>
  <conditionalFormatting sqref="M6">
    <cfRule type="dataBar" priority="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{5E23E2D6-D7F9-48D0-87EA-94A80327C6DA}</x14:id>
        </ext>
      </extLst>
    </cfRule>
  </conditionalFormatting>
  <conditionalFormatting sqref="U6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{DE19992A-0F26-4722-B338-33CC3BE312B3}</x14:id>
        </ext>
      </extLst>
    </cfRule>
  </conditionalFormatting>
  <conditionalFormatting sqref="V6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{70CD242F-0DFE-4449-BE65-9626566EFB78}</x14:id>
        </ext>
      </extLst>
    </cfRule>
  </conditionalFormatting>
  <conditionalFormatting sqref="L6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{B8214DCD-4F3F-433F-B8A3-8D74D888F794}</x14:id>
        </ext>
      </extLst>
    </cfRule>
  </conditionalFormatting>
  <conditionalFormatting sqref="M6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{FB6D9FAB-8E40-4653-9CA5-C16049BAC4EF}</x14:id>
        </ext>
      </extLst>
    </cfRule>
  </conditionalFormatting>
  <conditionalFormatting sqref="E55">
    <cfRule type="containsText" dxfId="755" priority="170" operator="containsText" text="Buy">
      <formula>NOT(ISERROR(SEARCH("Buy",E55)))</formula>
    </cfRule>
    <cfRule type="containsText" dxfId="754" priority="171" operator="containsText" text="Sell">
      <formula>NOT(ISERROR(SEARCH("Sell",E55)))</formula>
    </cfRule>
  </conditionalFormatting>
  <conditionalFormatting sqref="E56">
    <cfRule type="containsText" dxfId="753" priority="168" operator="containsText" text="Buy">
      <formula>NOT(ISERROR(SEARCH("Buy",E56)))</formula>
    </cfRule>
    <cfRule type="containsText" dxfId="752" priority="169" operator="containsText" text="Sell">
      <formula>NOT(ISERROR(SEARCH("Sell",E56)))</formula>
    </cfRule>
  </conditionalFormatting>
  <conditionalFormatting sqref="E44">
    <cfRule type="containsText" dxfId="751" priority="166" operator="containsText" text="Buy">
      <formula>NOT(ISERROR(SEARCH("Buy",E44)))</formula>
    </cfRule>
    <cfRule type="containsText" dxfId="750" priority="167" operator="containsText" text="Sell">
      <formula>NOT(ISERROR(SEARCH("Sell",E44)))</formula>
    </cfRule>
  </conditionalFormatting>
  <conditionalFormatting sqref="H20">
    <cfRule type="dataBar" priority="1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{AD435C95-296F-49DD-806F-251D25060D8A}</x14:id>
        </ext>
      </extLst>
    </cfRule>
    <cfRule type="cellIs" dxfId="749" priority="164" operator="equal">
      <formula>1</formula>
    </cfRule>
  </conditionalFormatting>
  <conditionalFormatting sqref="D20">
    <cfRule type="containsText" dxfId="748" priority="162" operator="containsText" text="Buy">
      <formula>NOT(ISERROR(SEARCH("Buy",D20)))</formula>
    </cfRule>
    <cfRule type="containsText" dxfId="747" priority="163" operator="containsText" text="Sell">
      <formula>NOT(ISERROR(SEARCH("Sell",D20)))</formula>
    </cfRule>
  </conditionalFormatting>
  <conditionalFormatting sqref="H23:H24 H21">
    <cfRule type="dataBar" priority="1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{745867ED-4CD6-4D78-939E-F1F8ABC9C8D0}</x14:id>
        </ext>
      </extLst>
    </cfRule>
    <cfRule type="cellIs" dxfId="746" priority="160" operator="equal">
      <formula>1</formula>
    </cfRule>
  </conditionalFormatting>
  <conditionalFormatting sqref="D21 D23:D24">
    <cfRule type="containsText" dxfId="745" priority="158" operator="containsText" text="Buy">
      <formula>NOT(ISERROR(SEARCH("Buy",D21)))</formula>
    </cfRule>
    <cfRule type="containsText" dxfId="744" priority="159" operator="containsText" text="Sell">
      <formula>NOT(ISERROR(SEARCH("Sell",D21)))</formula>
    </cfRule>
  </conditionalFormatting>
  <conditionalFormatting sqref="L5:M5">
    <cfRule type="dataBar" priority="117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{560B546C-029E-4303-9934-4FC12522B8F7}</x14:id>
        </ext>
      </extLst>
    </cfRule>
  </conditionalFormatting>
  <conditionalFormatting sqref="L5">
    <cfRule type="dataBar" priority="11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{2925108C-ACAB-4941-B771-F6659F7B12C9}</x14:id>
        </ext>
      </extLst>
    </cfRule>
  </conditionalFormatting>
  <conditionalFormatting sqref="U5">
    <cfRule type="dataBar" priority="117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{6FF6F4A2-11BA-493D-9A1D-5C71056F9424}</x14:id>
        </ext>
      </extLst>
    </cfRule>
  </conditionalFormatting>
  <conditionalFormatting sqref="V5">
    <cfRule type="dataBar" priority="117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{47ECE4C7-655E-4F3D-855E-63337E33E0C8}</x14:id>
        </ext>
      </extLst>
    </cfRule>
  </conditionalFormatting>
  <conditionalFormatting sqref="E58">
    <cfRule type="containsText" dxfId="743" priority="155" operator="containsText" text="Buy">
      <formula>NOT(ISERROR(SEARCH("Buy",E58)))</formula>
    </cfRule>
    <cfRule type="containsText" dxfId="742" priority="156" operator="containsText" text="Sell">
      <formula>NOT(ISERROR(SEARCH("Sell",E58)))</formula>
    </cfRule>
  </conditionalFormatting>
  <conditionalFormatting sqref="E48">
    <cfRule type="containsText" dxfId="741" priority="130" operator="containsText" text="Buy">
      <formula>NOT(ISERROR(SEARCH("Buy",E48)))</formula>
    </cfRule>
    <cfRule type="containsText" dxfId="740" priority="131" operator="containsText" text="Sell">
      <formula>NOT(ISERROR(SEARCH("Sell",E48)))</formula>
    </cfRule>
  </conditionalFormatting>
  <conditionalFormatting sqref="E49">
    <cfRule type="containsText" dxfId="739" priority="132" operator="containsText" text="Buy">
      <formula>NOT(ISERROR(SEARCH("Buy",E49)))</formula>
    </cfRule>
    <cfRule type="containsText" dxfId="738" priority="133" operator="containsText" text="Sell">
      <formula>NOT(ISERROR(SEARCH("Sell",E49)))</formula>
    </cfRule>
  </conditionalFormatting>
  <conditionalFormatting sqref="L10:M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{BC0D375D-4416-4132-B907-7B7100D3514E}</x14:id>
        </ext>
      </extLst>
    </cfRule>
  </conditionalFormatting>
  <conditionalFormatting sqref="L10:M10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{809EF610-4307-44E2-A473-DE06FDB71E13}</x14:id>
        </ext>
      </extLst>
    </cfRule>
  </conditionalFormatting>
  <conditionalFormatting sqref="L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{B4ED601B-FCE4-4E97-9ED2-C7AE5BB54F0E}</x14:id>
        </ext>
      </extLst>
    </cfRule>
  </conditionalFormatting>
  <conditionalFormatting sqref="M10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{85211163-8250-404F-A349-49F4E09DFD63}</x14:id>
        </ext>
      </extLst>
    </cfRule>
  </conditionalFormatting>
  <conditionalFormatting sqref="U10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{7E9893C5-F198-4321-A82A-7ABB616C542C}</x14:id>
        </ext>
      </extLst>
    </cfRule>
  </conditionalFormatting>
  <conditionalFormatting sqref="V10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{F76F27A5-FE9E-4181-9572-F8589D247F7D}</x14:id>
        </ext>
      </extLst>
    </cfRule>
  </conditionalFormatting>
  <conditionalFormatting sqref="L10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{95BDEC15-8941-4518-A9D5-D8840FD767CF}</x14:id>
        </ext>
      </extLst>
    </cfRule>
  </conditionalFormatting>
  <conditionalFormatting sqref="M10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{FAD57237-E64D-43F4-ABA5-92C881242697}</x14:id>
        </ext>
      </extLst>
    </cfRule>
  </conditionalFormatting>
  <conditionalFormatting sqref="L10:M10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{259AD6A4-C260-49DB-9675-18AC584145B2}</x14:id>
        </ext>
      </extLst>
    </cfRule>
  </conditionalFormatting>
  <conditionalFormatting sqref="L10: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{B0A3E2D3-50E9-4792-9686-CD776E65E0C0}</x14:id>
        </ext>
      </extLst>
    </cfRule>
  </conditionalFormatting>
  <conditionalFormatting sqref="E85">
    <cfRule type="containsText" dxfId="737" priority="104" operator="containsText" text="Buy">
      <formula>NOT(ISERROR(SEARCH("Buy",E85)))</formula>
    </cfRule>
    <cfRule type="containsText" dxfId="736" priority="105" operator="containsText" text="Sell">
      <formula>NOT(ISERROR(SEARCH("Sell",E85)))</formula>
    </cfRule>
  </conditionalFormatting>
  <conditionalFormatting sqref="E84">
    <cfRule type="containsText" dxfId="735" priority="102" operator="containsText" text="Buy">
      <formula>NOT(ISERROR(SEARCH("Buy",E84)))</formula>
    </cfRule>
    <cfRule type="containsText" dxfId="734" priority="103" operator="containsText" text="Sell">
      <formula>NOT(ISERROR(SEARCH("Sell",E84)))</formula>
    </cfRule>
  </conditionalFormatting>
  <conditionalFormatting sqref="H28 H32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{1A4C8CCC-5904-4C17-9A0A-A0B2298FB612}</x14:id>
        </ext>
      </extLst>
    </cfRule>
    <cfRule type="cellIs" dxfId="733" priority="101" operator="equal">
      <formula>1</formula>
    </cfRule>
  </conditionalFormatting>
  <conditionalFormatting sqref="D28 D32">
    <cfRule type="containsText" dxfId="732" priority="99" operator="containsText" text="Buy">
      <formula>NOT(ISERROR(SEARCH("Buy",D28)))</formula>
    </cfRule>
    <cfRule type="containsText" dxfId="731" priority="100" operator="containsText" text="Sell">
      <formula>NOT(ISERROR(SEARCH("Sell",D28)))</formula>
    </cfRule>
  </conditionalFormatting>
  <conditionalFormatting sqref="X4:X10">
    <cfRule type="dataBar" priority="15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{79D57872-774E-4FD5-934E-B43757F5C930}</x14:id>
        </ext>
      </extLst>
    </cfRule>
  </conditionalFormatting>
  <conditionalFormatting sqref="L9:M9">
    <cfRule type="dataBar" priority="155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{2D2A15B3-010A-4674-A55E-0B0AC9CE6B59}</x14:id>
        </ext>
      </extLst>
    </cfRule>
  </conditionalFormatting>
  <conditionalFormatting sqref="L9:M9 L4:M4 L7:M7">
    <cfRule type="dataBar" priority="155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{8CB5D206-624E-4D6D-8797-6E6BE38237D7}</x14:id>
        </ext>
      </extLst>
    </cfRule>
  </conditionalFormatting>
  <conditionalFormatting sqref="D22">
    <cfRule type="containsText" dxfId="730" priority="94" operator="containsText" text="Buy">
      <formula>NOT(ISERROR(SEARCH("Buy",D22)))</formula>
    </cfRule>
    <cfRule type="containsText" dxfId="729" priority="95" operator="containsText" text="Sell">
      <formula>NOT(ISERROR(SEARCH("Sell",D22)))</formula>
    </cfRule>
  </conditionalFormatting>
  <conditionalFormatting sqref="H22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{CBF053BB-A912-4ABF-B990-2A404218ACB6}</x14:id>
        </ext>
      </extLst>
    </cfRule>
    <cfRule type="cellIs" dxfId="728" priority="97" operator="equal">
      <formula>1</formula>
    </cfRule>
  </conditionalFormatting>
  <conditionalFormatting sqref="L4 L9 L7">
    <cfRule type="dataBar" priority="18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{338B389E-A5E0-4EA0-A4CB-5B4813777D1C}</x14:id>
        </ext>
      </extLst>
    </cfRule>
  </conditionalFormatting>
  <conditionalFormatting sqref="M4 M9 M7">
    <cfRule type="dataBar" priority="18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{B6D1DA7A-ACE0-42BC-8622-A8F0DAA0D5D2}</x14:id>
        </ext>
      </extLst>
    </cfRule>
  </conditionalFormatting>
  <conditionalFormatting sqref="U7 U9">
    <cfRule type="dataBar" priority="185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{21732A2E-0076-4D01-800B-AF12663EAFB1}</x14:id>
        </ext>
      </extLst>
    </cfRule>
  </conditionalFormatting>
  <conditionalFormatting sqref="U4">
    <cfRule type="dataBar" priority="185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{251CB2DE-C7EA-4131-85C2-8B38FC5B2ADB}</x14:id>
        </ext>
      </extLst>
    </cfRule>
  </conditionalFormatting>
  <conditionalFormatting sqref="V4 V9 V7">
    <cfRule type="dataBar" priority="185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{2208E252-1550-4B09-9455-14F9D3529EC2}</x14:id>
        </ext>
      </extLst>
    </cfRule>
  </conditionalFormatting>
  <conditionalFormatting sqref="W4:W10">
    <cfRule type="dataBar" priority="18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{C3190D77-56FE-4C3F-A5A4-D4E798525644}</x14:id>
        </ext>
      </extLst>
    </cfRule>
  </conditionalFormatting>
  <conditionalFormatting sqref="L9 L7 L4">
    <cfRule type="dataBar" priority="18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{3F950251-7C91-458B-BAFD-F2A58705DC18}</x14:id>
        </ext>
      </extLst>
    </cfRule>
  </conditionalFormatting>
  <conditionalFormatting sqref="M9 M7 M4">
    <cfRule type="dataBar" priority="18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{F689279F-CD1B-40CE-9297-977B3C12AC0D}</x14:id>
        </ext>
      </extLst>
    </cfRule>
  </conditionalFormatting>
  <conditionalFormatting sqref="U7:V7">
    <cfRule type="dataBar" priority="309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{26E234AC-7855-47E9-B901-905B40EB49E4}</x14:id>
        </ext>
      </extLst>
    </cfRule>
  </conditionalFormatting>
  <conditionalFormatting sqref="U9:V9">
    <cfRule type="dataBar" priority="309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{929F2196-B88F-42B1-BC0B-9C7C51596512}</x14:id>
        </ext>
      </extLst>
    </cfRule>
  </conditionalFormatting>
  <conditionalFormatting sqref="U4:V4">
    <cfRule type="dataBar" priority="30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{7E1D1B26-8CDF-4F98-92EF-500ED0742B92}</x14:id>
        </ext>
      </extLst>
    </cfRule>
  </conditionalFormatting>
  <conditionalFormatting sqref="U8:V8">
    <cfRule type="dataBar" priority="309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{458E8CE9-1418-4E33-B74D-4A2910AC7D67}</x14:id>
        </ext>
      </extLst>
    </cfRule>
  </conditionalFormatting>
  <conditionalFormatting sqref="U6:V6">
    <cfRule type="dataBar" priority="309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{61457B35-9AB5-4F82-8FE5-F3B265F1CF6B}</x14:id>
        </ext>
      </extLst>
    </cfRule>
  </conditionalFormatting>
  <conditionalFormatting sqref="U5:V5">
    <cfRule type="dataBar" priority="309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{BCD510BD-32E5-48B4-8EB4-44A6DD415CBF}</x14:id>
        </ext>
      </extLst>
    </cfRule>
  </conditionalFormatting>
  <conditionalFormatting sqref="U10:V10">
    <cfRule type="dataBar" priority="309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{8D7C86B4-DBFF-40B2-8194-06C005F19494}</x14:id>
        </ext>
      </extLst>
    </cfRule>
  </conditionalFormatting>
  <conditionalFormatting sqref="U9:V9 U7:V7">
    <cfRule type="dataBar" priority="309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{0DF36D7A-EF32-4C21-B95C-5F8A06A5B7CB}</x14:id>
        </ext>
      </extLst>
    </cfRule>
  </conditionalFormatting>
  <conditionalFormatting sqref="U8:V8">
    <cfRule type="dataBar" priority="30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{E4973F2F-6B8A-4F02-9460-EDC390A67546}</x14:id>
        </ext>
      </extLst>
    </cfRule>
  </conditionalFormatting>
  <conditionalFormatting sqref="U6:V6">
    <cfRule type="dataBar" priority="30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{15647AA0-ECFC-444B-BAA1-3517CF7EB651}</x14:id>
        </ext>
      </extLst>
    </cfRule>
  </conditionalFormatting>
  <conditionalFormatting sqref="U5:V5">
    <cfRule type="dataBar" priority="309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{837935AF-36B6-484E-B811-204CCE278478}</x14:id>
        </ext>
      </extLst>
    </cfRule>
  </conditionalFormatting>
  <conditionalFormatting sqref="U10:V10">
    <cfRule type="dataBar" priority="30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{A2F28851-9820-493D-90DF-5D9ACA588D55}</x14:id>
        </ext>
      </extLst>
    </cfRule>
  </conditionalFormatting>
  <conditionalFormatting sqref="U9:V9 U7:V7 U4:V4">
    <cfRule type="dataBar" priority="30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{9491E3AF-0601-4CE1-BCC9-106CEDB03ACB}</x14:id>
        </ext>
      </extLst>
    </cfRule>
  </conditionalFormatting>
  <conditionalFormatting sqref="E51">
    <cfRule type="containsText" dxfId="727" priority="90" operator="containsText" text="Buy">
      <formula>NOT(ISERROR(SEARCH("Buy",E51)))</formula>
    </cfRule>
    <cfRule type="containsText" dxfId="726" priority="91" operator="containsText" text="Sell">
      <formula>NOT(ISERROR(SEARCH("Sell",E51)))</formula>
    </cfRule>
  </conditionalFormatting>
  <conditionalFormatting sqref="H29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{00C752F8-923C-47C9-A1B4-C46F6DC29B2F}</x14:id>
        </ext>
      </extLst>
    </cfRule>
    <cfRule type="cellIs" dxfId="725" priority="85" operator="equal">
      <formula>1</formula>
    </cfRule>
  </conditionalFormatting>
  <conditionalFormatting sqref="D29">
    <cfRule type="containsText" dxfId="724" priority="83" operator="containsText" text="Buy">
      <formula>NOT(ISERROR(SEARCH("Buy",D29)))</formula>
    </cfRule>
    <cfRule type="containsText" dxfId="723" priority="84" operator="containsText" text="Sell">
      <formula>NOT(ISERROR(SEARCH("Sell",D29)))</formula>
    </cfRule>
  </conditionalFormatting>
  <conditionalFormatting sqref="H30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{A75BF36D-AEFD-4EF1-A893-9EB8CA4EE337}</x14:id>
        </ext>
      </extLst>
    </cfRule>
    <cfRule type="cellIs" dxfId="722" priority="81" operator="equal">
      <formula>1</formula>
    </cfRule>
  </conditionalFormatting>
  <conditionalFormatting sqref="D30">
    <cfRule type="containsText" dxfId="721" priority="79" operator="containsText" text="Buy">
      <formula>NOT(ISERROR(SEARCH("Buy",D30)))</formula>
    </cfRule>
    <cfRule type="containsText" dxfId="720" priority="80" operator="containsText" text="Sell">
      <formula>NOT(ISERROR(SEARCH("Sell",D30)))</formula>
    </cfRule>
  </conditionalFormatting>
  <conditionalFormatting sqref="H31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{55ABA157-2B45-49FC-85CC-195B3C9F2D6C}</x14:id>
        </ext>
      </extLst>
    </cfRule>
    <cfRule type="cellIs" dxfId="719" priority="75" operator="equal">
      <formula>1</formula>
    </cfRule>
  </conditionalFormatting>
  <conditionalFormatting sqref="D31">
    <cfRule type="containsText" dxfId="718" priority="73" operator="containsText" text="Buy">
      <formula>NOT(ISERROR(SEARCH("Buy",D31)))</formula>
    </cfRule>
    <cfRule type="containsText" dxfId="717" priority="74" operator="containsText" text="Sell">
      <formula>NOT(ISERROR(SEARCH("Sell",D31)))</formula>
    </cfRule>
  </conditionalFormatting>
  <conditionalFormatting sqref="L4:M9">
    <cfRule type="dataBar" priority="33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{C9CB6192-09F4-4DD0-B3A6-CF53FE37D703}</x14:id>
        </ext>
      </extLst>
    </cfRule>
  </conditionalFormatting>
  <conditionalFormatting sqref="I4:I10">
    <cfRule type="dataBar" priority="33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{B70F1B97-0702-4427-815C-A414F904D7E9}</x14:id>
        </ext>
      </extLst>
    </cfRule>
  </conditionalFormatting>
  <conditionalFormatting sqref="L4:M1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{DA7E9C8F-61D5-4BC3-91C9-4DD323423803}</x14:id>
        </ext>
      </extLst>
    </cfRule>
  </conditionalFormatting>
  <conditionalFormatting sqref="U4:V1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{C8CC513F-AD2F-478B-B07C-8C082BC444C9}</x14:id>
        </ext>
      </extLst>
    </cfRule>
  </conditionalFormatting>
  <conditionalFormatting sqref="I11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{700F9C1E-E0D4-45C7-B81C-16CF998E2727}</x14:id>
        </ext>
      </extLst>
    </cfRule>
  </conditionalFormatting>
  <conditionalFormatting sqref="Y11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{27B3BAFA-F8BA-4B13-9BC9-997726B33EAF}</x14:id>
        </ext>
      </extLst>
    </cfRule>
  </conditionalFormatting>
  <conditionalFormatting sqref="V11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{99088FD0-88B6-45C2-A9B9-C50696412E61}</x14:id>
        </ext>
      </extLst>
    </cfRule>
  </conditionalFormatting>
  <conditionalFormatting sqref="W11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{F1200B75-0F8F-4B55-96CE-A83B03282F95}</x14:id>
        </ext>
      </extLst>
    </cfRule>
  </conditionalFormatting>
  <conditionalFormatting sqref="X11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{45B77B2C-D592-4E13-AB4D-FF161ECFE258}</x14:id>
        </ext>
      </extLst>
    </cfRule>
  </conditionalFormatting>
  <conditionalFormatting sqref="K11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{E2F4E185-D4ED-4A4B-8075-061CC999B542}</x14:id>
        </ext>
      </extLst>
    </cfRule>
  </conditionalFormatting>
  <conditionalFormatting sqref="I11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{91F24F1E-46FC-494A-A470-851FE21E2B9B}</x14:id>
        </ext>
      </extLst>
    </cfRule>
  </conditionalFormatting>
  <conditionalFormatting sqref="K11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{B3A47B9B-DCDB-4F96-A947-F946893D8C65}</x14:id>
        </ext>
      </extLst>
    </cfRule>
  </conditionalFormatting>
  <conditionalFormatting sqref="I11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{3B355E4C-6C9D-49AF-B869-16C67E2C13F0}</x14:id>
        </ext>
      </extLst>
    </cfRule>
  </conditionalFormatting>
  <conditionalFormatting sqref="K11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{9BE0F12D-2079-49DC-93BD-837815BBCD82}</x14:id>
        </ext>
      </extLst>
    </cfRule>
  </conditionalFormatting>
  <conditionalFormatting sqref="I11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{A7D720A7-22A5-411B-9316-3730B0837BBE}</x14:id>
        </ext>
      </extLst>
    </cfRule>
  </conditionalFormatting>
  <conditionalFormatting sqref="K1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{F1F6C05F-C9F3-43B0-821C-58CA46347C4D}</x14:id>
        </ext>
      </extLst>
    </cfRule>
  </conditionalFormatting>
  <conditionalFormatting sqref="V11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{044B2361-091C-4647-ADEA-29E9F34BDFED}</x14:id>
        </ext>
      </extLst>
    </cfRule>
  </conditionalFormatting>
  <conditionalFormatting sqref="W1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{89BBB585-B4A3-4A99-92AC-3B29A0CB08DC}</x14:id>
        </ext>
      </extLst>
    </cfRule>
  </conditionalFormatting>
  <conditionalFormatting sqref="X11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{6FA09240-259A-42A6-A9C4-42E35C6FF1B0}</x14:id>
        </ext>
      </extLst>
    </cfRule>
  </conditionalFormatting>
  <conditionalFormatting sqref="Y11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{3DAB0A19-5AC1-4135-99FD-B7DF3586928C}</x14:id>
        </ext>
      </extLst>
    </cfRule>
  </conditionalFormatting>
  <conditionalFormatting sqref="V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{D73079B6-A052-4023-8032-45BB9E421DD2}</x14:id>
        </ext>
      </extLst>
    </cfRule>
  </conditionalFormatting>
  <conditionalFormatting sqref="W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{F42BD70E-BBA4-4B6F-A2C8-07F0228B65B0}</x14:id>
        </ext>
      </extLst>
    </cfRule>
  </conditionalFormatting>
  <conditionalFormatting sqref="X11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{FA69560A-BF8D-4857-8A5A-A180EFE62D23}</x14:id>
        </ext>
      </extLst>
    </cfRule>
  </conditionalFormatting>
  <conditionalFormatting sqref="Y11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{8F8391B2-A028-4CFD-8870-677AD9BAE66A}</x14:id>
        </ext>
      </extLst>
    </cfRule>
  </conditionalFormatting>
  <conditionalFormatting sqref="V11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{DB36CB22-149F-41F8-9554-C49F0A22BE3A}</x14:id>
        </ext>
      </extLst>
    </cfRule>
  </conditionalFormatting>
  <conditionalFormatting sqref="W11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{A67637D9-BF53-4D75-81E2-174EF1B9FECB}</x14:id>
        </ext>
      </extLst>
    </cfRule>
  </conditionalFormatting>
  <conditionalFormatting sqref="X1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{09DAC03C-80C1-4C5B-B36D-4CB22E4FDFF5}</x14:id>
        </ext>
      </extLst>
    </cfRule>
  </conditionalFormatting>
  <conditionalFormatting sqref="Y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{4C0982CC-9791-490C-89ED-FC8A0134F188}</x14:id>
        </ext>
      </extLst>
    </cfRule>
  </conditionalFormatting>
  <conditionalFormatting sqref="L11:M11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{A5A0EA21-18A2-4DD8-B9D0-36C42E792AC4}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{C01C3F8F-D7AE-40D9-88A8-CAE4E15BB4F0}</x14:id>
        </ext>
      </extLst>
    </cfRule>
  </conditionalFormatting>
  <conditionalFormatting sqref="X1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{49990243-D06A-405C-96BC-4A1E9004876E}</x14:id>
        </ext>
      </extLst>
    </cfRule>
  </conditionalFormatting>
  <conditionalFormatting sqref="Y1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{A64E31D1-1292-4988-9D2F-7B5C31D5398F}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{18572060-D813-4069-87B5-88227D86DE87}</x14:id>
        </ext>
      </extLst>
    </cfRule>
  </conditionalFormatting>
  <conditionalFormatting sqref="L11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{A0463726-358F-4052-88F2-0144AB9E581C}</x14:id>
        </ext>
      </extLst>
    </cfRule>
  </conditionalFormatting>
  <conditionalFormatting sqref="M11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{F173A35F-85E6-42F0-A123-02941464F5C2}</x14:id>
        </ext>
      </extLst>
    </cfRule>
  </conditionalFormatting>
  <conditionalFormatting sqref="L11:M11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{84F66DC6-BC46-4087-B3E9-9DE422557551}</x14:id>
        </ext>
      </extLst>
    </cfRule>
  </conditionalFormatting>
  <conditionalFormatting sqref="L11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{BB5B9223-19C9-41E6-B657-965816BD8ABF}</x14:id>
        </ext>
      </extLst>
    </cfRule>
  </conditionalFormatting>
  <conditionalFormatting sqref="M11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{DE0AE440-EDFE-4B99-A18B-F20598FDFEE6}</x14:id>
        </ext>
      </extLst>
    </cfRule>
  </conditionalFormatting>
  <conditionalFormatting sqref="L11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{307AD7A5-5287-4248-918B-6F28348CABB0}</x14:id>
        </ext>
      </extLst>
    </cfRule>
  </conditionalFormatting>
  <conditionalFormatting sqref="M1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{B69AEDB3-1745-4A89-9D0E-9FBF49BA95D5}</x14:id>
        </ext>
      </extLst>
    </cfRule>
  </conditionalFormatting>
  <conditionalFormatting sqref="T1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{4C62190A-A70F-463A-9F90-E31F98DA02AC}</x14:id>
        </ext>
      </extLst>
    </cfRule>
  </conditionalFormatting>
  <conditionalFormatting sqref="T11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{E110461E-1565-4A00-A7BC-F2B389334D78}</x14:id>
        </ext>
      </extLst>
    </cfRule>
  </conditionalFormatting>
  <conditionalFormatting sqref="T11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{E6E1E71B-8E7B-4B85-AFD8-00EDC3276B3C}</x14:id>
        </ext>
      </extLst>
    </cfRule>
  </conditionalFormatting>
  <conditionalFormatting sqref="X1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{97CA2A5E-F75C-4A28-A5B2-33F88AF7AE78}</x14:id>
        </ext>
      </extLst>
    </cfRule>
  </conditionalFormatting>
  <conditionalFormatting sqref="Y1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{270E9E38-F0FC-4920-B743-B865A3471A1F}</x14:id>
        </ext>
      </extLst>
    </cfRule>
  </conditionalFormatting>
  <conditionalFormatting sqref="X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{D711B6A5-C4E9-406C-8A34-2F9568FC4F99}</x14:id>
        </ext>
      </extLst>
    </cfRule>
  </conditionalFormatting>
  <conditionalFormatting sqref="Y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{A1F5DA25-253E-40D1-A705-83075303BC80}</x14:id>
        </ext>
      </extLst>
    </cfRule>
  </conditionalFormatting>
  <conditionalFormatting sqref="X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{1A3B9193-F3F5-4160-8B6C-1C520F00483F}</x14:id>
        </ext>
      </extLst>
    </cfRule>
  </conditionalFormatting>
  <conditionalFormatting sqref="Y1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{933B632C-49E9-4312-9F81-0F0603BF5AC1}</x14:id>
        </ext>
      </extLst>
    </cfRule>
  </conditionalFormatting>
  <conditionalFormatting sqref="V11:Y11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{13E1CDDA-38C6-4674-B590-764D1FCEF712}</x14:id>
        </ext>
      </extLst>
    </cfRule>
  </conditionalFormatting>
  <conditionalFormatting sqref="V11:Y1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{6CAAEFF1-6974-4C5C-82C6-091F15CE0DB9}</x14:id>
        </ext>
      </extLst>
    </cfRule>
  </conditionalFormatting>
  <conditionalFormatting sqref="V11:Y11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{3AD09543-2C0F-4B8A-BE86-2122C86D7FE0}</x14:id>
        </ext>
      </extLst>
    </cfRule>
  </conditionalFormatting>
  <conditionalFormatting sqref="I11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{B18422E8-BBB1-4190-AB21-2960878E572E}</x14:id>
        </ext>
      </extLst>
    </cfRule>
  </conditionalFormatting>
  <conditionalFormatting sqref="I11 K11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{9B821FA7-9D75-444B-8283-580D329BE4F0}</x14:id>
        </ext>
      </extLst>
    </cfRule>
  </conditionalFormatting>
  <conditionalFormatting sqref="K11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{F0C2E772-1AF3-41B2-B8D2-3D049826A1A4}</x14:id>
        </ext>
      </extLst>
    </cfRule>
  </conditionalFormatting>
  <conditionalFormatting sqref="L11:M11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{179F4DBA-73F0-4D83-A483-F993DAB73D9A}</x14:id>
        </ext>
      </extLst>
    </cfRule>
  </conditionalFormatting>
  <conditionalFormatting sqref="I11 K11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{98C10180-A074-4F7E-ADD2-530F6B2C1064}</x14:id>
        </ext>
      </extLst>
    </cfRule>
  </conditionalFormatting>
  <conditionalFormatting sqref="L11:M11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{D04623FA-27C9-44D4-BD42-9811B2F5738B}</x14:id>
        </ext>
      </extLst>
    </cfRule>
  </conditionalFormatting>
  <conditionalFormatting sqref="I11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{5E8B0251-29DD-48CA-BE68-0D9EF6DDD1B3}</x14:id>
        </ext>
      </extLst>
    </cfRule>
  </conditionalFormatting>
  <conditionalFormatting sqref="L11:M11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{6B82F018-333C-45FB-9819-FB885CEEA8DF}</x14:id>
        </ext>
      </extLst>
    </cfRule>
  </conditionalFormatting>
  <conditionalFormatting sqref="X11:Y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{27142250-48D0-4854-84CB-CB5EE311126B}</x14:id>
        </ext>
      </extLst>
    </cfRule>
  </conditionalFormatting>
  <conditionalFormatting sqref="I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{1EB87A93-8886-40AC-A083-C3D4FCD099BE}</x14:id>
        </ext>
      </extLst>
    </cfRule>
  </conditionalFormatting>
  <conditionalFormatting sqref="L11:M1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{901373A6-23BB-4D48-BDC0-2DCAB64ED702}</x14:id>
        </ext>
      </extLst>
    </cfRule>
  </conditionalFormatting>
  <conditionalFormatting sqref="T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{A9964D43-36B4-4CB0-8078-5DA61DCFF6A8}</x14:id>
        </ext>
      </extLst>
    </cfRule>
  </conditionalFormatting>
  <conditionalFormatting sqref="T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{339DB516-CE5B-4495-B0D1-227E7D462BFC}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{AD0AD701-D3AA-4708-9DFA-88F634554393}</x14:id>
        </ext>
      </extLst>
    </cfRule>
  </conditionalFormatting>
  <conditionalFormatting sqref="I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{2DAB4657-D02B-4603-8260-C606BB198C3A}</x14:id>
        </ext>
      </extLst>
    </cfRule>
  </conditionalFormatting>
  <conditionalFormatting sqref="I11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{BE6D7517-E90D-4E1D-87D9-018371670FA5}</x14:id>
        </ext>
      </extLst>
    </cfRule>
  </conditionalFormatting>
  <conditionalFormatting sqref="L11:M11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{DFBDFA27-8701-4F0B-8468-91B113A7DB29}</x14:id>
        </ext>
      </extLst>
    </cfRule>
  </conditionalFormatting>
  <conditionalFormatting sqref="T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{8E567E5B-632F-4027-8C59-7658264D72F0}</x14:id>
        </ext>
      </extLst>
    </cfRule>
  </conditionalFormatting>
  <conditionalFormatting sqref="X11:Y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{0C7F82BD-38FE-48BC-8AB9-8D9820D9D4F3}</x14:id>
        </ext>
      </extLst>
    </cfRule>
  </conditionalFormatting>
  <conditionalFormatting sqref="T12:T13 T4:T10">
    <cfRule type="dataBar" priority="33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{4E61FE50-9545-4D8C-AB9F-561789176E3E}</x14:id>
        </ext>
      </extLst>
    </cfRule>
  </conditionalFormatting>
  <conditionalFormatting sqref="I12:I13 I4:I10">
    <cfRule type="dataBar" priority="33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{C93D463B-2737-4C82-84AB-16791E41A2EC}</x14:id>
        </ext>
      </extLst>
    </cfRule>
  </conditionalFormatting>
  <conditionalFormatting sqref="E87:E88">
    <cfRule type="containsText" dxfId="716" priority="1" operator="containsText" text="Buy">
      <formula>NOT(ISERROR(SEARCH("Buy",E87)))</formula>
    </cfRule>
    <cfRule type="containsText" dxfId="715" priority="2" operator="containsText" text="Sell">
      <formula>NOT(ISERROR(SEARCH("Sell",E87)))</formula>
    </cfRule>
  </conditionalFormatting>
  <pageMargins left="0.25" right="0.25" top="0.75" bottom="0.75" header="0.3" footer="0.3"/>
  <pageSetup paperSize="9" scale="4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EDC34D-591E-4429-A70E-94E8E025D2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08DEFA0-C3C6-4C33-981F-7683AEB2CB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B348C0A8-426C-4C42-BD2E-B8EC3C40E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7DA427C9-0F3D-4AAC-A6C5-5AE0425A5F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3DAF228-1DC0-4365-89B8-ABB9139286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119D80C3-6142-450E-AA09-A8AE4B8B9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C7D8322-E690-445D-BFD4-EA3C5F23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F06A8F14-B5F5-4479-975C-A3A534CBA6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89813E81-7A9F-4F6F-8604-40ED465B8A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37590E3-7EF9-4D58-87CC-584DE9E5C8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0B8C1178-26BD-4814-964A-95A7EA1BBE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45223FA2-694C-40B4-BEB2-9E905FA116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25872D2D-3A61-47A2-8292-95487DE2A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45217F2B-4EC5-40E9-82C2-BAC0668768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23E2D6-D7F9-48D0-87EA-94A80327C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DE19992A-0F26-4722-B338-33CC3BE312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70CD242F-0DFE-4449-BE65-9626566EFB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B8214DCD-4F3F-433F-B8A3-8D74D888F7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FB6D9FAB-8E40-4653-9CA5-C16049BAC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AD435C95-296F-49DD-806F-251D25060D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745867ED-4CD6-4D78-939E-F1F8ABC9C8D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H23:H24 H21</xm:sqref>
        </x14:conditionalFormatting>
        <x14:conditionalFormatting xmlns:xm="http://schemas.microsoft.com/office/excel/2006/main">
          <x14:cfRule type="dataBar" id="{560B546C-029E-4303-9934-4FC12522B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2925108C-ACAB-4941-B771-F6659F7B1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FF6F4A2-11BA-493D-9A1D-5C71056F94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47ECE4C7-655E-4F3D-855E-63337E33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C0D375D-4416-4132-B907-7B7100D3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9EF610-4307-44E2-A473-DE06FDB71E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4ED601B-FCE4-4E97-9ED2-C7AE5BB54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5211163-8250-404F-A349-49F4E09DFD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7E9893C5-F198-4321-A82A-7ABB616C5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F76F27A5-FE9E-4181-9572-F8589D247F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5BDEC15-8941-4518-A9D5-D8840FD767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AD57237-E64D-43F4-ABA5-92C881242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259AD6A4-C260-49DB-9675-18AC584145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0A3E2D3-50E9-4792-9686-CD776E65E0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1A4C8CCC-5904-4C17-9A0A-A0B2298FB6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 H32</xm:sqref>
        </x14:conditionalFormatting>
        <x14:conditionalFormatting xmlns:xm="http://schemas.microsoft.com/office/excel/2006/main">
          <x14:cfRule type="dataBar" id="{79D57872-774E-4FD5-934E-B43757F5C9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X4:X10</xm:sqref>
        </x14:conditionalFormatting>
        <x14:conditionalFormatting xmlns:xm="http://schemas.microsoft.com/office/excel/2006/main">
          <x14:cfRule type="dataBar" id="{2D2A15B3-010A-4674-A55E-0B0AC9CE6B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8CB5D206-624E-4D6D-8797-6E6BE3823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 L4:M4 L7:M7</xm:sqref>
        </x14:conditionalFormatting>
        <x14:conditionalFormatting xmlns:xm="http://schemas.microsoft.com/office/excel/2006/main">
          <x14:cfRule type="dataBar" id="{CBF053BB-A912-4ABF-B990-2A404218AC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338B389E-A5E0-4EA0-A4CB-5B4813777D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 L9 L7</xm:sqref>
        </x14:conditionalFormatting>
        <x14:conditionalFormatting xmlns:xm="http://schemas.microsoft.com/office/excel/2006/main">
          <x14:cfRule type="dataBar" id="{B6D1DA7A-ACE0-42BC-8622-A8F0DAA0D5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 M9 M7</xm:sqref>
        </x14:conditionalFormatting>
        <x14:conditionalFormatting xmlns:xm="http://schemas.microsoft.com/office/excel/2006/main">
          <x14:cfRule type="dataBar" id="{21732A2E-0076-4D01-800B-AF12663EAF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 U9</xm:sqref>
        </x14:conditionalFormatting>
        <x14:conditionalFormatting xmlns:xm="http://schemas.microsoft.com/office/excel/2006/main">
          <x14:cfRule type="dataBar" id="{251CB2DE-C7EA-4131-85C2-8B38FC5B2A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208E252-1550-4B09-9455-14F9D3529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 V9 V7</xm:sqref>
        </x14:conditionalFormatting>
        <x14:conditionalFormatting xmlns:xm="http://schemas.microsoft.com/office/excel/2006/main">
          <x14:cfRule type="dataBar" id="{C3190D77-56FE-4C3F-A5A4-D4E7985256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W4:W10</xm:sqref>
        </x14:conditionalFormatting>
        <x14:conditionalFormatting xmlns:xm="http://schemas.microsoft.com/office/excel/2006/main">
          <x14:cfRule type="dataBar" id="{3F950251-7C91-458B-BAFD-F2A58705DC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 L7 L4</xm:sqref>
        </x14:conditionalFormatting>
        <x14:conditionalFormatting xmlns:xm="http://schemas.microsoft.com/office/excel/2006/main">
          <x14:cfRule type="dataBar" id="{F689279F-CD1B-40CE-9297-977B3C12AC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 M7 M4</xm:sqref>
        </x14:conditionalFormatting>
        <x14:conditionalFormatting xmlns:xm="http://schemas.microsoft.com/office/excel/2006/main">
          <x14:cfRule type="dataBar" id="{26E234AC-7855-47E9-B901-905B40EB49E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929F2196-B88F-42B1-BC0B-9C7C515965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7E1D1B26-8CDF-4F98-92EF-500ED0742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58E8CE9-1418-4E33-B74D-4A2910AC7D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61457B35-9AB5-4F82-8FE5-F3B265F1CF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D510BD-32E5-48B4-8EB4-44A6DD415C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D7C86B4-DBFF-40B2-8194-06C005F19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DF36D7A-EF32-4C21-B95C-5F8A06A5B7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 U7:V7</xm:sqref>
        </x14:conditionalFormatting>
        <x14:conditionalFormatting xmlns:xm="http://schemas.microsoft.com/office/excel/2006/main">
          <x14:cfRule type="dataBar" id="{E4973F2F-6B8A-4F02-9460-EDC390A67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5647AA0-ECFC-444B-BAA1-3517CF7EB6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837935AF-36B6-484E-B811-204CCE278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A2F28851-9820-493D-90DF-5D9ACA588D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491E3AF-0601-4CE1-BCC9-106CEDB03A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 U7:V7 U4:V4</xm:sqref>
        </x14:conditionalFormatting>
        <x14:conditionalFormatting xmlns:xm="http://schemas.microsoft.com/office/excel/2006/main">
          <x14:cfRule type="dataBar" id="{00C752F8-923C-47C9-A1B4-C46F6DC29B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A75BF36D-AEFD-4EF1-A893-9EB8CA4EE3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55ABA157-2B45-49FC-85CC-195B3C9F2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9CB6192-09F4-4DD0-B3A6-CF53FE37D7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L4:M9</xm:sqref>
        </x14:conditionalFormatting>
        <x14:conditionalFormatting xmlns:xm="http://schemas.microsoft.com/office/excel/2006/main">
          <x14:cfRule type="dataBar" id="{B70F1B97-0702-4427-815C-A414F904D7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DA7E9C8F-61D5-4BC3-91C9-4DD3234238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L4:M10</xm:sqref>
        </x14:conditionalFormatting>
        <x14:conditionalFormatting xmlns:xm="http://schemas.microsoft.com/office/excel/2006/main">
          <x14:cfRule type="dataBar" id="{C8CC513F-AD2F-478B-B07C-8C082BC444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U4:V10</xm:sqref>
        </x14:conditionalFormatting>
        <x14:conditionalFormatting xmlns:xm="http://schemas.microsoft.com/office/excel/2006/main">
          <x14:cfRule type="dataBar" id="{700F9C1E-E0D4-45C7-B81C-16CF998E27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7B3BAFA-F8BA-4B13-9BC9-997726B33E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99088FD0-88B6-45C2-A9B9-C50696412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1200B75-0F8F-4B55-96CE-A83B03282F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5B77B2C-D592-4E13-AB4D-FF161ECFE2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E2F4E185-D4ED-4A4B-8075-061CC999B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1F24F1E-46FC-494A-A470-851FE21E2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3A47B9B-DCDB-4F96-A947-F946893D8C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3B355E4C-6C9D-49AF-B869-16C67E2C13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E0F12D-2079-49DC-93BD-837815BBCD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A7D720A7-22A5-411B-9316-3730B0837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F1F6C05F-C9F3-43B0-821C-58CA46347C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044B2361-091C-4647-ADEA-29E9F34BDF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89BBB585-B4A3-4A99-92AC-3B29A0CB08D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6FA09240-259A-42A6-A9C4-42E35C6FF1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3DAB0A19-5AC1-4135-99FD-B7DF358692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3079B6-A052-4023-8032-45BB9E421D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42BD70E-BBA4-4B6F-A2C8-07F0228B65B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FA69560A-BF8D-4857-8A5A-A180EFE62D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8F8391B2-A028-4CFD-8870-677AD9BAE6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B36CB22-149F-41F8-9554-C49F0A22BE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A67637D9-BF53-4D75-81E2-174EF1B9FE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09DAC03C-80C1-4C5B-B36D-4CB22E4FD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0982CC-9791-490C-89ED-FC8A0134F1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5A0EA21-18A2-4DD8-B9D0-36C42E792A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01C3F8F-D7AE-40D9-88A8-CAE4E15BB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9990243-D06A-405C-96BC-4A1E900487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64E31D1-1292-4988-9D2F-7B5C31D539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8572060-D813-4069-87B5-88227D86DE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A0463726-358F-4052-88F2-0144AB9E5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F173A35F-85E6-42F0-A123-02941464F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84F66DC6-BC46-4087-B3E9-9DE4225575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B5B9223-19C9-41E6-B657-965816BD8A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E0AE440-EDFE-4B99-A18B-F20598FDF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07AD7A5-5287-4248-918B-6F28348CA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B69AEDB3-1745-4A89-9D0E-9FBF49BA95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4C62190A-A70F-463A-9F90-E31F98DA0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110461E-1565-4A00-A7BC-F2B389334D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6E1E71B-8E7B-4B85-AFD8-00EDC3276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7CA2A5E-F75C-4A28-A5B2-33F88AF7AE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270E9E38-F0FC-4920-B743-B865A3471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D711B6A5-C4E9-406C-8A34-2F9568FC4F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A1F5DA25-253E-40D1-A705-83075303BC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A3B9193-F3F5-4160-8B6C-1C520F0048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933B632C-49E9-4312-9F81-0F0603BF5A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13E1CDDA-38C6-4674-B590-764D1FCEF7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6CAAEFF1-6974-4C5C-82C6-091F15CE0D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3AD09543-2C0F-4B8A-BE86-2122C86D7F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V11:Y11</xm:sqref>
        </x14:conditionalFormatting>
        <x14:conditionalFormatting xmlns:xm="http://schemas.microsoft.com/office/excel/2006/main">
          <x14:cfRule type="dataBar" id="{B18422E8-BBB1-4190-AB21-2960878E57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B821FA7-9D75-444B-8283-580D329BE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F0C2E772-1AF3-41B2-B8D2-3D049826A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179F4DBA-73F0-4D83-A483-F993DAB73D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8C10180-A074-4F7E-ADD2-530F6B2C10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 K11</xm:sqref>
        </x14:conditionalFormatting>
        <x14:conditionalFormatting xmlns:xm="http://schemas.microsoft.com/office/excel/2006/main">
          <x14:cfRule type="dataBar" id="{D04623FA-27C9-44D4-BD42-9811B2F573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5E8B0251-29DD-48CA-BE68-0D9EF6DDD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6B82F018-333C-45FB-9819-FB885CEEA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7142250-48D0-4854-84CB-CB5EE31112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1EB87A93-8886-40AC-A083-C3D4FCD099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01373A6-23BB-4D48-BDC0-2DCAB64ED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9964D43-36B4-4CB0-8078-5DA61DCFF6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39DB516-CE5B-4495-B0D1-227E7D462B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D0AD701-D3AA-4708-9DFA-88F6345543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DAB4657-D02B-4603-8260-C606BB198C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BE6D7517-E90D-4E1D-87D9-018371670F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DFBDFA27-8701-4F0B-8468-91B113A7DB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E567E5B-632F-4027-8C59-7658264D72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C7F82BD-38FE-48BC-8AB9-8D9820D9D4F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X11:Y11</xm:sqref>
        </x14:conditionalFormatting>
        <x14:conditionalFormatting xmlns:xm="http://schemas.microsoft.com/office/excel/2006/main">
          <x14:cfRule type="dataBar" id="{4E61FE50-9545-4D8C-AB9F-561789176E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T4:T10</xm:sqref>
        </x14:conditionalFormatting>
        <x14:conditionalFormatting xmlns:xm="http://schemas.microsoft.com/office/excel/2006/main">
          <x14:cfRule type="dataBar" id="{C93D463B-2737-4C82-84AB-16791E41A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I4:I10</xm:sqref>
        </x14:conditionalFormatting>
        <x14:conditionalFormatting xmlns:xm="http://schemas.microsoft.com/office/excel/2006/main">
          <x14:cfRule type="iconSet" priority="77" id="{F0AEACED-9A5E-48DE-8186-4FEB043E02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3133" id="{492B7441-05C9-4906-AAEF-793ABF58E4C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J5:J10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50"/>
    <pageSetUpPr fitToPage="1"/>
  </sheetPr>
  <dimension ref="A1:X380"/>
  <sheetViews>
    <sheetView workbookViewId="0">
      <selection activeCell="Q13" sqref="Q13"/>
    </sheetView>
  </sheetViews>
  <sheetFormatPr defaultRowHeight="12.75" x14ac:dyDescent="0.2"/>
  <cols>
    <col min="1" max="1" width="3.5703125" style="32" customWidth="1"/>
    <col min="2" max="2" width="15.140625" style="32" customWidth="1"/>
    <col min="3" max="3" width="18.28515625" style="32" customWidth="1"/>
    <col min="4" max="4" width="16.85546875" style="32" customWidth="1"/>
    <col min="5" max="5" width="12" style="49" bestFit="1" customWidth="1"/>
    <col min="6" max="6" width="12.28515625" style="49" customWidth="1"/>
    <col min="7" max="7" width="10.5703125" style="32" customWidth="1"/>
    <col min="8" max="9" width="13" style="32" customWidth="1"/>
    <col min="10" max="10" width="12.85546875" style="32" customWidth="1"/>
    <col min="11" max="11" width="13.28515625" style="32" customWidth="1"/>
    <col min="12" max="12" width="10.7109375" style="49" customWidth="1"/>
    <col min="13" max="13" width="14.140625" style="32" bestFit="1" customWidth="1"/>
    <col min="14" max="14" width="12.28515625" style="32" customWidth="1"/>
    <col min="15" max="15" width="11.42578125" style="32" customWidth="1"/>
    <col min="16" max="16" width="10.140625" style="32" customWidth="1"/>
    <col min="17" max="17" width="12.5703125" style="32" customWidth="1"/>
    <col min="18" max="18" width="11.5703125" style="32" customWidth="1"/>
    <col min="19" max="19" width="13.28515625" style="32" customWidth="1"/>
    <col min="20" max="20" width="11.42578125" style="32" customWidth="1"/>
    <col min="21" max="21" width="11.140625" style="32" customWidth="1"/>
    <col min="22" max="22" width="11.28515625" style="32" customWidth="1"/>
    <col min="23" max="23" width="15.5703125" style="32" bestFit="1" customWidth="1"/>
    <col min="24" max="16384" width="9.140625" style="32"/>
  </cols>
  <sheetData>
    <row r="1" spans="1:24" x14ac:dyDescent="0.2">
      <c r="B1" s="146" t="s">
        <v>652</v>
      </c>
      <c r="D1" s="49" t="s">
        <v>298</v>
      </c>
      <c r="E1" s="32" t="e">
        <f ca="1">_xll.BDP($D$1,"PX last")</f>
        <v>#NAME?</v>
      </c>
      <c r="F1" s="49" t="s">
        <v>203</v>
      </c>
      <c r="G1" s="32" t="e">
        <f ca="1">_xll.BDP($F$1,"PX last")</f>
        <v>#NAME?</v>
      </c>
      <c r="H1" s="32" t="s">
        <v>122</v>
      </c>
      <c r="I1" s="32" t="e">
        <f ca="1">_xll.BDP($H$1,"PX last")</f>
        <v>#NAME?</v>
      </c>
      <c r="J1" s="32" t="s">
        <v>195</v>
      </c>
      <c r="K1" s="32" t="e">
        <f ca="1">_xll.BDP($J$1,"PX last")</f>
        <v>#NAME?</v>
      </c>
      <c r="M1" s="32" t="s">
        <v>121</v>
      </c>
      <c r="O1" s="32" t="s">
        <v>178</v>
      </c>
      <c r="P1" s="32" t="e">
        <f ca="1">_xll.BDP($O$1,"PX last")</f>
        <v>#NAME?</v>
      </c>
    </row>
    <row r="2" spans="1:24" x14ac:dyDescent="0.2">
      <c r="E2" s="49" t="s">
        <v>395</v>
      </c>
      <c r="F2" s="180">
        <v>7.7526999999999999</v>
      </c>
      <c r="G2" s="9" t="s">
        <v>394</v>
      </c>
      <c r="H2" s="9">
        <v>59.345799999999997</v>
      </c>
    </row>
    <row r="3" spans="1:24" s="558" customFormat="1" ht="92.25" customHeight="1" x14ac:dyDescent="0.2">
      <c r="A3" s="558" t="s">
        <v>416</v>
      </c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792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746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284</v>
      </c>
    </row>
    <row r="4" spans="1:24" s="505" customFormat="1" x14ac:dyDescent="0.2">
      <c r="A4" s="505" t="s">
        <v>650</v>
      </c>
      <c r="B4" s="506" t="s">
        <v>205</v>
      </c>
      <c r="C4" s="505" t="s">
        <v>204</v>
      </c>
      <c r="D4" s="507" t="e">
        <f t="shared" ref="D4:D15" ca="1" si="0">O4/$O$16</f>
        <v>#NAME?</v>
      </c>
      <c r="E4" s="508">
        <f>$F$44</f>
        <v>12550</v>
      </c>
      <c r="F4" s="509">
        <f>$H$44</f>
        <v>3.3809939999999998</v>
      </c>
      <c r="G4" s="509" t="e">
        <f ca="1">_xll.BDP($C4,"PX_LAST")</f>
        <v>#NAME?</v>
      </c>
      <c r="H4" s="509" t="e">
        <f ca="1">_xll.BDP($C4,"BEST_TARGET_PRICE")</f>
        <v>#NAME?</v>
      </c>
      <c r="I4" s="607" t="e">
        <f t="shared" ref="I4:I14" ca="1" si="1">H4/G4-1</f>
        <v>#NAME?</v>
      </c>
      <c r="J4" s="510" t="e">
        <f ca="1">_xll.BDP($C4,"CRNCY")</f>
        <v>#NAME?</v>
      </c>
      <c r="K4" s="507" t="e">
        <f ca="1">O4/M4-1</f>
        <v>#NAME?</v>
      </c>
      <c r="L4" s="507" t="e">
        <f ca="1">G4/F4-1</f>
        <v>#NAME?</v>
      </c>
      <c r="M4" s="508" t="e">
        <f ca="1">$K$44</f>
        <v>#NAME?</v>
      </c>
      <c r="N4" s="508">
        <f>E4*F4</f>
        <v>42431.474699999999</v>
      </c>
      <c r="O4" s="508" t="e">
        <f ca="1">E4*G4*$I$1</f>
        <v>#NAME?</v>
      </c>
      <c r="P4" s="508" t="e">
        <f t="shared" ref="P4:P15" ca="1" si="2">O4/$I$1</f>
        <v>#NAME?</v>
      </c>
      <c r="Q4" s="508" t="e">
        <f t="shared" ref="Q4:Q14" ca="1" si="3">O4-M4</f>
        <v>#NAME?</v>
      </c>
      <c r="R4" s="508" t="e">
        <f t="shared" ref="R4:R14" ca="1" si="4">P4-N4</f>
        <v>#NAME?</v>
      </c>
      <c r="S4" s="508" t="e">
        <f ca="1">_xll.BDP($C4,"EQY_DVD_YLD_EST")</f>
        <v>#NAME?</v>
      </c>
      <c r="T4" s="511" t="e">
        <f t="shared" ref="T4:T15" ca="1" si="5">P4</f>
        <v>#NAME?</v>
      </c>
      <c r="U4" s="512" t="e">
        <f ca="1">_xll.BDP($C4,"CHG_PCT_YTD")</f>
        <v>#NAME?</v>
      </c>
      <c r="V4" s="512" t="e">
        <f ca="1">_xll.BDP($C4,"CHG_PCT_1YR")</f>
        <v>#NAME?</v>
      </c>
      <c r="W4" s="512" t="e">
        <f ca="1">_xll.BDP($C4,"EXPECTED_REPORT_DT")</f>
        <v>#NAME?</v>
      </c>
      <c r="X4" s="512" t="e">
        <f ca="1">_xll.BDP($C4,"DVD_EX_DT")</f>
        <v>#NAME?</v>
      </c>
    </row>
    <row r="5" spans="1:24" s="505" customFormat="1" x14ac:dyDescent="0.2">
      <c r="A5" s="505" t="s">
        <v>650</v>
      </c>
      <c r="B5" s="506" t="s">
        <v>349</v>
      </c>
      <c r="C5" s="505" t="s">
        <v>331</v>
      </c>
      <c r="D5" s="507" t="e">
        <f t="shared" ca="1" si="0"/>
        <v>#NAME?</v>
      </c>
      <c r="E5" s="508">
        <f>$F$62</f>
        <v>6180</v>
      </c>
      <c r="F5" s="509">
        <f>$H$62</f>
        <v>7.5</v>
      </c>
      <c r="G5" s="509" t="e">
        <f ca="1">_xll.BDP($C5,"PX_LAST")</f>
        <v>#NAME?</v>
      </c>
      <c r="H5" s="509" t="e">
        <f ca="1">_xll.BDP($C5,"BEST_TARGET_PRICE")</f>
        <v>#NAME?</v>
      </c>
      <c r="I5" s="607" t="e">
        <f t="shared" ca="1" si="1"/>
        <v>#NAME?</v>
      </c>
      <c r="J5" s="510" t="e">
        <f ca="1">_xll.BDP($C5,"CRNCY")</f>
        <v>#NAME?</v>
      </c>
      <c r="K5" s="507" t="e">
        <f ca="1">O5/M5-1</f>
        <v>#NAME?</v>
      </c>
      <c r="L5" s="507" t="e">
        <f ca="1">G5/F5-1</f>
        <v>#NAME?</v>
      </c>
      <c r="M5" s="508" t="e">
        <f ca="1">$K$62</f>
        <v>#NAME?</v>
      </c>
      <c r="N5" s="508">
        <f>E5*F5</f>
        <v>46350</v>
      </c>
      <c r="O5" s="508" t="e">
        <f ca="1">E5*G5*$I$1</f>
        <v>#NAME?</v>
      </c>
      <c r="P5" s="508" t="e">
        <f t="shared" ca="1" si="2"/>
        <v>#NAME?</v>
      </c>
      <c r="Q5" s="508" t="e">
        <f t="shared" ca="1" si="3"/>
        <v>#NAME?</v>
      </c>
      <c r="R5" s="508" t="e">
        <f t="shared" ca="1" si="4"/>
        <v>#NAME?</v>
      </c>
      <c r="S5" s="508" t="e">
        <f ca="1">_xll.BDP($C5,"EQY_DVD_YLD_EST")</f>
        <v>#NAME?</v>
      </c>
      <c r="T5" s="511" t="e">
        <f t="shared" ca="1" si="5"/>
        <v>#NAME?</v>
      </c>
      <c r="U5" s="512" t="e">
        <f ca="1">_xll.BDP($C5,"CHG_PCT_YTD")</f>
        <v>#NAME?</v>
      </c>
      <c r="V5" s="512" t="e">
        <f ca="1">_xll.BDP($C5,"CHG_PCT_1YR")</f>
        <v>#NAME?</v>
      </c>
      <c r="W5" s="512" t="e">
        <f ca="1">_xll.BDP($C5,"EXPECTED_REPORT_DT")</f>
        <v>#NAME?</v>
      </c>
      <c r="X5" s="512" t="e">
        <f ca="1">_xll.BDP($C5,"DVD_EX_DT")</f>
        <v>#NAME?</v>
      </c>
    </row>
    <row r="6" spans="1:24" s="505" customFormat="1" x14ac:dyDescent="0.2">
      <c r="A6" s="505" t="s">
        <v>650</v>
      </c>
      <c r="B6" s="506" t="s">
        <v>381</v>
      </c>
      <c r="C6" s="505" t="s">
        <v>658</v>
      </c>
      <c r="D6" s="507" t="e">
        <f t="shared" ca="1" si="0"/>
        <v>#NAME?</v>
      </c>
      <c r="E6" s="508">
        <f>$F$50</f>
        <v>170000</v>
      </c>
      <c r="F6" s="509">
        <f>$H$50</f>
        <v>17.647879</v>
      </c>
      <c r="G6" s="509" t="e">
        <f ca="1">_xll.BDP($C6,"PX_LAST")</f>
        <v>#NAME?</v>
      </c>
      <c r="H6" s="509" t="e">
        <f ca="1">_xll.BDP($C6,"BEST_TARGET_PRICE")</f>
        <v>#NAME?</v>
      </c>
      <c r="I6" s="607" t="e">
        <f t="shared" ca="1" si="1"/>
        <v>#NAME?</v>
      </c>
      <c r="J6" s="510" t="e">
        <f ca="1">_xll.BDP($C6,"CRNCY")</f>
        <v>#NAME?</v>
      </c>
      <c r="K6" s="507" t="e">
        <f ca="1">G6/F6-1</f>
        <v>#NAME?</v>
      </c>
      <c r="L6" s="507" t="e">
        <f ca="1">P6/N6-1</f>
        <v>#NAME?</v>
      </c>
      <c r="M6" s="508">
        <f>E6*F6</f>
        <v>3000139.43</v>
      </c>
      <c r="N6" s="508" t="e">
        <f ca="1">$J$50</f>
        <v>#NAME?</v>
      </c>
      <c r="O6" s="508" t="e">
        <f ca="1">E6*G6</f>
        <v>#NAME?</v>
      </c>
      <c r="P6" s="508" t="e">
        <f t="shared" ca="1" si="2"/>
        <v>#NAME?</v>
      </c>
      <c r="Q6" s="508" t="e">
        <f t="shared" ca="1" si="3"/>
        <v>#NAME?</v>
      </c>
      <c r="R6" s="508" t="e">
        <f t="shared" ca="1" si="4"/>
        <v>#NAME?</v>
      </c>
      <c r="S6" s="508" t="e">
        <f ca="1">_xll.BDP($C6,"EQY_DVD_YLD_EST")</f>
        <v>#NAME?</v>
      </c>
      <c r="T6" s="511" t="e">
        <f t="shared" ca="1" si="5"/>
        <v>#NAME?</v>
      </c>
      <c r="U6" s="512" t="e">
        <f ca="1">_xll.BDP($C6,"CHG_PCT_YTD")</f>
        <v>#NAME?</v>
      </c>
      <c r="V6" s="512" t="e">
        <f ca="1">_xll.BDP($C6,"CHG_PCT_1YR")</f>
        <v>#NAME?</v>
      </c>
      <c r="W6" s="512" t="e">
        <f ca="1">_xll.BDP($C6,"EXPECTED_REPORT_DT")</f>
        <v>#NAME?</v>
      </c>
      <c r="X6" s="512" t="e">
        <f ca="1">_xll.BDP($C6,"DVD_EX_DT")</f>
        <v>#NAME?</v>
      </c>
    </row>
    <row r="7" spans="1:24" s="505" customFormat="1" x14ac:dyDescent="0.2">
      <c r="A7" s="505" t="s">
        <v>650</v>
      </c>
      <c r="B7" s="506" t="s">
        <v>725</v>
      </c>
      <c r="C7" s="505" t="s">
        <v>745</v>
      </c>
      <c r="D7" s="507" t="e">
        <f t="shared" ca="1" si="0"/>
        <v>#NAME?</v>
      </c>
      <c r="E7" s="508">
        <f>$F$65</f>
        <v>907</v>
      </c>
      <c r="F7" s="509">
        <f>$H$65</f>
        <v>50.6</v>
      </c>
      <c r="G7" s="509" t="e">
        <f ca="1">_xll.BDP($C7,"PX_LAST")</f>
        <v>#NAME?</v>
      </c>
      <c r="H7" s="509" t="e">
        <f ca="1">_xll.BDP($C7,"BEST_TARGET_PRICE")</f>
        <v>#NAME?</v>
      </c>
      <c r="I7" s="607" t="e">
        <f t="shared" ca="1" si="1"/>
        <v>#NAME?</v>
      </c>
      <c r="J7" s="510" t="e">
        <f ca="1">_xll.BDP($C7,"CRNCY")</f>
        <v>#NAME?</v>
      </c>
      <c r="K7" s="507" t="e">
        <f ca="1">O7/M7-1</f>
        <v>#NAME?</v>
      </c>
      <c r="L7" s="507" t="e">
        <f ca="1">G7/F7-1</f>
        <v>#NAME?</v>
      </c>
      <c r="M7" s="508" t="e">
        <f ca="1">$K$65</f>
        <v>#NAME?</v>
      </c>
      <c r="N7" s="508">
        <f>E7*F7</f>
        <v>45894.200000000004</v>
      </c>
      <c r="O7" s="508" t="e">
        <f ca="1">E7*G7*$I$1</f>
        <v>#NAME?</v>
      </c>
      <c r="P7" s="508" t="e">
        <f t="shared" ca="1" si="2"/>
        <v>#NAME?</v>
      </c>
      <c r="Q7" s="508" t="e">
        <f t="shared" ca="1" si="3"/>
        <v>#NAME?</v>
      </c>
      <c r="R7" s="508" t="e">
        <f t="shared" ca="1" si="4"/>
        <v>#NAME?</v>
      </c>
      <c r="S7" s="508" t="e">
        <f ca="1">_xll.BDP($C7,"EQY_DVD_YLD_EST")</f>
        <v>#NAME?</v>
      </c>
      <c r="T7" s="511" t="e">
        <f t="shared" ca="1" si="5"/>
        <v>#NAME?</v>
      </c>
      <c r="U7" s="512" t="e">
        <f ca="1">_xll.BDP($C7,"CHG_PCT_YTD")</f>
        <v>#NAME?</v>
      </c>
      <c r="V7" s="512" t="e">
        <f ca="1">_xll.BDP($C7,"CHG_PCT_1YR")</f>
        <v>#NAME?</v>
      </c>
      <c r="W7" s="512" t="e">
        <f ca="1">_xll.BDP($C7,"EXPECTED_REPORT_DT")</f>
        <v>#NAME?</v>
      </c>
      <c r="X7" s="512" t="e">
        <f ca="1">_xll.BDP($C7,"DVD_EX_DT")</f>
        <v>#NAME?</v>
      </c>
    </row>
    <row r="8" spans="1:24" s="505" customFormat="1" x14ac:dyDescent="0.2">
      <c r="A8" s="505" t="s">
        <v>650</v>
      </c>
      <c r="B8" s="506" t="s">
        <v>170</v>
      </c>
      <c r="C8" s="505" t="s">
        <v>169</v>
      </c>
      <c r="D8" s="507" t="e">
        <f t="shared" ca="1" si="0"/>
        <v>#NAME?</v>
      </c>
      <c r="E8" s="508">
        <f>$F$56</f>
        <v>27315</v>
      </c>
      <c r="F8" s="509">
        <f>$H$56</f>
        <v>1.74</v>
      </c>
      <c r="G8" s="509" t="e">
        <f ca="1">_xll.BDP($C8,"PX_LAST")</f>
        <v>#NAME?</v>
      </c>
      <c r="H8" s="509" t="e">
        <f ca="1">_xll.BDP($C8,"BEST_TARGET_PRICE")</f>
        <v>#NAME?</v>
      </c>
      <c r="I8" s="607" t="e">
        <f t="shared" ca="1" si="1"/>
        <v>#NAME?</v>
      </c>
      <c r="J8" s="510" t="e">
        <f ca="1">_xll.BDP($C8,"CRNCY")</f>
        <v>#NAME?</v>
      </c>
      <c r="K8" s="507" t="e">
        <f ca="1">O8/M8-1</f>
        <v>#NAME?</v>
      </c>
      <c r="L8" s="507" t="e">
        <f ca="1">G8/F8-1</f>
        <v>#NAME?</v>
      </c>
      <c r="M8" s="508" t="e">
        <f ca="1">$K$56</f>
        <v>#NAME?</v>
      </c>
      <c r="N8" s="508">
        <f>E8*F8</f>
        <v>47528.1</v>
      </c>
      <c r="O8" s="508" t="e">
        <f ca="1">E8*G8*$I$1</f>
        <v>#NAME?</v>
      </c>
      <c r="P8" s="508" t="e">
        <f t="shared" ca="1" si="2"/>
        <v>#NAME?</v>
      </c>
      <c r="Q8" s="508" t="e">
        <f t="shared" ca="1" si="3"/>
        <v>#NAME?</v>
      </c>
      <c r="R8" s="508" t="e">
        <f t="shared" ca="1" si="4"/>
        <v>#NAME?</v>
      </c>
      <c r="S8" s="508" t="e">
        <f ca="1">_xll.BDP($C8,"EQY_DVD_YLD_EST")</f>
        <v>#NAME?</v>
      </c>
      <c r="T8" s="511" t="e">
        <f t="shared" ca="1" si="5"/>
        <v>#NAME?</v>
      </c>
      <c r="U8" s="512" t="e">
        <f ca="1">_xll.BDP($C8,"CHG_PCT_YTD")</f>
        <v>#NAME?</v>
      </c>
      <c r="V8" s="512" t="e">
        <f ca="1">_xll.BDP($C8,"CHG_PCT_1YR")</f>
        <v>#NAME?</v>
      </c>
      <c r="W8" s="512" t="e">
        <f ca="1">_xll.BDP($C8,"EXPECTED_REPORT_DT")</f>
        <v>#NAME?</v>
      </c>
      <c r="X8" s="512" t="e">
        <f ca="1">_xll.BDP($C8,"DVD_EX_DT")</f>
        <v>#NAME?</v>
      </c>
    </row>
    <row r="9" spans="1:24" s="505" customFormat="1" x14ac:dyDescent="0.2">
      <c r="A9" s="505" t="s">
        <v>650</v>
      </c>
      <c r="B9" s="506" t="s">
        <v>196</v>
      </c>
      <c r="C9" s="505" t="s">
        <v>335</v>
      </c>
      <c r="D9" s="507" t="e">
        <f t="shared" ca="1" si="0"/>
        <v>#NAME?</v>
      </c>
      <c r="E9" s="508">
        <f>$F$59</f>
        <v>4630</v>
      </c>
      <c r="F9" s="509">
        <f>$H$59</f>
        <v>655.48920099999998</v>
      </c>
      <c r="G9" s="509" t="e">
        <f ca="1">_xll.BDP($C9,"PX_LAST")</f>
        <v>#NAME?</v>
      </c>
      <c r="H9" s="509" t="e">
        <f ca="1">_xll.BDP($C9,"BEST_TARGET_PRICE")</f>
        <v>#NAME?</v>
      </c>
      <c r="I9" s="607" t="e">
        <f t="shared" ca="1" si="1"/>
        <v>#NAME?</v>
      </c>
      <c r="J9" s="510" t="e">
        <f ca="1">_xll.BDP($C9,"CRNCY")</f>
        <v>#NAME?</v>
      </c>
      <c r="K9" s="507" t="e">
        <f ca="1">G9/F9-1</f>
        <v>#NAME?</v>
      </c>
      <c r="L9" s="507" t="e">
        <f ca="1">P9/N9-1</f>
        <v>#NAME?</v>
      </c>
      <c r="M9" s="508">
        <f>E9*F9</f>
        <v>3034915.0006299997</v>
      </c>
      <c r="N9" s="508" t="e">
        <f ca="1">$J$59</f>
        <v>#NAME?</v>
      </c>
      <c r="O9" s="508" t="e">
        <f ca="1">E9*G9</f>
        <v>#NAME?</v>
      </c>
      <c r="P9" s="508" t="e">
        <f t="shared" ca="1" si="2"/>
        <v>#NAME?</v>
      </c>
      <c r="Q9" s="508" t="e">
        <f t="shared" ca="1" si="3"/>
        <v>#NAME?</v>
      </c>
      <c r="R9" s="508" t="e">
        <f t="shared" ca="1" si="4"/>
        <v>#NAME?</v>
      </c>
      <c r="S9" s="508" t="e">
        <f ca="1">_xll.BDP($C9,"EQY_DVD_YLD_EST")</f>
        <v>#NAME?</v>
      </c>
      <c r="T9" s="511" t="e">
        <f t="shared" ca="1" si="5"/>
        <v>#NAME?</v>
      </c>
      <c r="U9" s="512" t="e">
        <f ca="1">_xll.BDP($C9,"CHG_PCT_YTD")</f>
        <v>#NAME?</v>
      </c>
      <c r="V9" s="512" t="e">
        <f ca="1">_xll.BDP($C9,"CHG_PCT_1YR")</f>
        <v>#NAME?</v>
      </c>
      <c r="W9" s="512" t="e">
        <f ca="1">_xll.BDP($C9,"EXPECTED_REPORT_DT")</f>
        <v>#NAME?</v>
      </c>
      <c r="X9" s="512" t="e">
        <f ca="1">_xll.BDP($C9,"DVD_EX_DT")</f>
        <v>#NAME?</v>
      </c>
    </row>
    <row r="10" spans="1:24" s="505" customFormat="1" x14ac:dyDescent="0.2">
      <c r="A10" s="505" t="s">
        <v>650</v>
      </c>
      <c r="B10" s="506" t="s">
        <v>96</v>
      </c>
      <c r="C10" s="505" t="s">
        <v>184</v>
      </c>
      <c r="D10" s="507" t="e">
        <f t="shared" ca="1" si="0"/>
        <v>#NAME?</v>
      </c>
      <c r="E10" s="508">
        <f>$F$47</f>
        <v>3680</v>
      </c>
      <c r="F10" s="509">
        <f>$H$47</f>
        <v>815</v>
      </c>
      <c r="G10" s="509" t="e">
        <f ca="1">_xll.BDP($C10,"PX_LAST")</f>
        <v>#NAME?</v>
      </c>
      <c r="H10" s="509" t="e">
        <f ca="1">_xll.BDP($C10,"BEST_TARGET_PRICE")</f>
        <v>#NAME?</v>
      </c>
      <c r="I10" s="607" t="e">
        <f t="shared" ca="1" si="1"/>
        <v>#NAME?</v>
      </c>
      <c r="J10" s="510" t="e">
        <f ca="1">_xll.BDP($C10,"CRNCY")</f>
        <v>#NAME?</v>
      </c>
      <c r="K10" s="507" t="e">
        <f ca="1">G10/F10-1</f>
        <v>#NAME?</v>
      </c>
      <c r="L10" s="507" t="e">
        <f ca="1">P10/N10-1</f>
        <v>#NAME?</v>
      </c>
      <c r="M10" s="508">
        <f>E10*F10</f>
        <v>2999200</v>
      </c>
      <c r="N10" s="508" t="e">
        <f ca="1">$J$47</f>
        <v>#NAME?</v>
      </c>
      <c r="O10" s="508" t="e">
        <f ca="1">E10*G10</f>
        <v>#NAME?</v>
      </c>
      <c r="P10" s="508" t="e">
        <f t="shared" ca="1" si="2"/>
        <v>#NAME?</v>
      </c>
      <c r="Q10" s="508" t="e">
        <f t="shared" ca="1" si="3"/>
        <v>#NAME?</v>
      </c>
      <c r="R10" s="508" t="e">
        <f t="shared" ca="1" si="4"/>
        <v>#NAME?</v>
      </c>
      <c r="S10" s="508" t="e">
        <f ca="1">_xll.BDP($C10,"EQY_DVD_YLD_EST")</f>
        <v>#NAME?</v>
      </c>
      <c r="T10" s="511" t="e">
        <f t="shared" ca="1" si="5"/>
        <v>#NAME?</v>
      </c>
      <c r="U10" s="512" t="e">
        <f ca="1">_xll.BDP($C10,"CHG_PCT_YTD")</f>
        <v>#NAME?</v>
      </c>
      <c r="V10" s="512" t="e">
        <f ca="1">_xll.BDP($C10,"CHG_PCT_1YR")</f>
        <v>#NAME?</v>
      </c>
      <c r="W10" s="512" t="e">
        <f ca="1">_xll.BDP($C10,"EXPECTED_REPORT_DT")</f>
        <v>#NAME?</v>
      </c>
      <c r="X10" s="512" t="e">
        <f ca="1">_xll.BDP($C10,"DVD_EX_DT")</f>
        <v>#NAME?</v>
      </c>
    </row>
    <row r="11" spans="1:24" s="505" customFormat="1" x14ac:dyDescent="0.2">
      <c r="A11" s="505" t="s">
        <v>650</v>
      </c>
      <c r="B11" s="506" t="s">
        <v>208</v>
      </c>
      <c r="C11" s="505" t="s">
        <v>209</v>
      </c>
      <c r="D11" s="507" t="e">
        <f t="shared" ca="1" si="0"/>
        <v>#NAME?</v>
      </c>
      <c r="E11" s="508">
        <f>$F$35</f>
        <v>30000</v>
      </c>
      <c r="F11" s="509">
        <f>$H$35</f>
        <v>49.9191</v>
      </c>
      <c r="G11" s="509" t="e">
        <f ca="1">_xll.BDP($C11,"PX_LAST")</f>
        <v>#NAME?</v>
      </c>
      <c r="H11" s="509" t="e">
        <f ca="1">_xll.BDP($C11,"BEST_TARGET_PRICE")</f>
        <v>#NAME?</v>
      </c>
      <c r="I11" s="607" t="e">
        <f t="shared" ca="1" si="1"/>
        <v>#NAME?</v>
      </c>
      <c r="J11" s="510" t="e">
        <f ca="1">_xll.BDP($C11,"CRNCY")</f>
        <v>#NAME?</v>
      </c>
      <c r="K11" s="507" t="e">
        <f ca="1">G11/F11-1</f>
        <v>#NAME?</v>
      </c>
      <c r="L11" s="507" t="e">
        <f ca="1">P11/N11-1</f>
        <v>#NAME?</v>
      </c>
      <c r="M11" s="508">
        <f>E11*F11</f>
        <v>1497573</v>
      </c>
      <c r="N11" s="508" t="e">
        <f ca="1">$J$35</f>
        <v>#NAME?</v>
      </c>
      <c r="O11" s="508" t="e">
        <f ca="1">E11*G11</f>
        <v>#NAME?</v>
      </c>
      <c r="P11" s="508" t="e">
        <f t="shared" ca="1" si="2"/>
        <v>#NAME?</v>
      </c>
      <c r="Q11" s="508" t="e">
        <f t="shared" ca="1" si="3"/>
        <v>#NAME?</v>
      </c>
      <c r="R11" s="508" t="e">
        <f t="shared" ca="1" si="4"/>
        <v>#NAME?</v>
      </c>
      <c r="S11" s="508" t="e">
        <f ca="1">_xll.BDP($C11,"EQY_DVD_YLD_EST")</f>
        <v>#NAME?</v>
      </c>
      <c r="T11" s="511" t="e">
        <f t="shared" ca="1" si="5"/>
        <v>#NAME?</v>
      </c>
      <c r="U11" s="512" t="e">
        <f ca="1">_xll.BDP($C11,"CHG_PCT_YTD")</f>
        <v>#NAME?</v>
      </c>
      <c r="V11" s="512" t="e">
        <f ca="1">_xll.BDP($C11,"CHG_PCT_1YR")</f>
        <v>#NAME?</v>
      </c>
      <c r="W11" s="512" t="e">
        <f ca="1">_xll.BDP($C11,"EXPECTED_REPORT_DT")</f>
        <v>#NAME?</v>
      </c>
      <c r="X11" s="512" t="e">
        <f ca="1">_xll.BDP($C11,"DVD_EX_DT")</f>
        <v>#NAME?</v>
      </c>
    </row>
    <row r="12" spans="1:24" s="505" customFormat="1" x14ac:dyDescent="0.2">
      <c r="A12" s="505" t="s">
        <v>650</v>
      </c>
      <c r="B12" s="506" t="s">
        <v>333</v>
      </c>
      <c r="C12" s="505" t="s">
        <v>332</v>
      </c>
      <c r="D12" s="507" t="e">
        <f t="shared" ca="1" si="0"/>
        <v>#NAME?</v>
      </c>
      <c r="E12" s="508">
        <f>$F$41</f>
        <v>13600</v>
      </c>
      <c r="F12" s="509">
        <f>$H$41</f>
        <v>219.65258</v>
      </c>
      <c r="G12" s="509" t="e">
        <f ca="1">_xll.BDP($C12,"PX_LAST")</f>
        <v>#NAME?</v>
      </c>
      <c r="H12" s="509" t="e">
        <f ca="1">_xll.BDP($C12,"BEST_TARGET_PRICE")</f>
        <v>#NAME?</v>
      </c>
      <c r="I12" s="607" t="e">
        <f t="shared" ca="1" si="1"/>
        <v>#NAME?</v>
      </c>
      <c r="J12" s="510" t="e">
        <f ca="1">_xll.BDP($C12,"CRNCY")</f>
        <v>#NAME?</v>
      </c>
      <c r="K12" s="507" t="e">
        <f ca="1">G12/F12-1</f>
        <v>#NAME?</v>
      </c>
      <c r="L12" s="507" t="e">
        <f ca="1">P12/N12-1</f>
        <v>#NAME?</v>
      </c>
      <c r="M12" s="508">
        <f>E12*F12</f>
        <v>2987275.088</v>
      </c>
      <c r="N12" s="508" t="e">
        <f ca="1">$J$41</f>
        <v>#NAME?</v>
      </c>
      <c r="O12" s="508" t="e">
        <f ca="1">E12*G12</f>
        <v>#NAME?</v>
      </c>
      <c r="P12" s="508" t="e">
        <f t="shared" ca="1" si="2"/>
        <v>#NAME?</v>
      </c>
      <c r="Q12" s="508" t="e">
        <f t="shared" ca="1" si="3"/>
        <v>#NAME?</v>
      </c>
      <c r="R12" s="508" t="e">
        <f t="shared" ca="1" si="4"/>
        <v>#NAME?</v>
      </c>
      <c r="S12" s="508" t="e">
        <f ca="1">_xll.BDP($C12,"EQY_DVD_YLD_EST")</f>
        <v>#NAME?</v>
      </c>
      <c r="T12" s="511" t="e">
        <f t="shared" ca="1" si="5"/>
        <v>#NAME?</v>
      </c>
      <c r="U12" s="512" t="e">
        <f ca="1">_xll.BDP($C12,"CHG_PCT_YTD")</f>
        <v>#NAME?</v>
      </c>
      <c r="V12" s="512" t="e">
        <f ca="1">_xll.BDP($C12,"CHG_PCT_1YR")</f>
        <v>#NAME?</v>
      </c>
      <c r="W12" s="512" t="e">
        <f ca="1">_xll.BDP($C12,"EXPECTED_REPORT_DT")</f>
        <v>#NAME?</v>
      </c>
      <c r="X12" s="512" t="e">
        <f ca="1">_xll.BDP($C12,"DVD_EX_DT")</f>
        <v>#NAME?</v>
      </c>
    </row>
    <row r="13" spans="1:24" s="505" customFormat="1" x14ac:dyDescent="0.2">
      <c r="A13" s="505" t="s">
        <v>650</v>
      </c>
      <c r="B13" s="506" t="s">
        <v>390</v>
      </c>
      <c r="C13" s="505" t="s">
        <v>182</v>
      </c>
      <c r="D13" s="507" t="e">
        <f t="shared" ca="1" si="0"/>
        <v>#NAME?</v>
      </c>
      <c r="E13" s="508">
        <f>$F$53</f>
        <v>79000</v>
      </c>
      <c r="F13" s="509">
        <f>$H$53</f>
        <v>38.1</v>
      </c>
      <c r="G13" s="509" t="e">
        <f ca="1">_xll.BDP($C13,"PX_LAST")</f>
        <v>#NAME?</v>
      </c>
      <c r="H13" s="509" t="e">
        <f ca="1">_xll.BDP($C13,"BEST_TARGET_PRICE")</f>
        <v>#NAME?</v>
      </c>
      <c r="I13" s="607" t="e">
        <f t="shared" ca="1" si="1"/>
        <v>#NAME?</v>
      </c>
      <c r="J13" s="510" t="e">
        <f ca="1">_xll.BDP($C13,"CRNCY")</f>
        <v>#NAME?</v>
      </c>
      <c r="K13" s="507" t="e">
        <f ca="1">G13/F13-1</f>
        <v>#NAME?</v>
      </c>
      <c r="L13" s="507" t="e">
        <f ca="1">P13/N13-1</f>
        <v>#NAME?</v>
      </c>
      <c r="M13" s="508">
        <f>E13*F13</f>
        <v>3009900</v>
      </c>
      <c r="N13" s="508" t="e">
        <f ca="1">$J$53</f>
        <v>#NAME?</v>
      </c>
      <c r="O13" s="508" t="e">
        <f ca="1">E13*G13</f>
        <v>#NAME?</v>
      </c>
      <c r="P13" s="508" t="e">
        <f t="shared" ca="1" si="2"/>
        <v>#NAME?</v>
      </c>
      <c r="Q13" s="508" t="e">
        <f t="shared" ca="1" si="3"/>
        <v>#NAME?</v>
      </c>
      <c r="R13" s="508" t="e">
        <f t="shared" ca="1" si="4"/>
        <v>#NAME?</v>
      </c>
      <c r="S13" s="508" t="e">
        <f ca="1">_xll.BDP($C13,"EQY_DVD_YLD_EST")</f>
        <v>#NAME?</v>
      </c>
      <c r="T13" s="511" t="e">
        <f t="shared" ca="1" si="5"/>
        <v>#NAME?</v>
      </c>
      <c r="U13" s="512" t="e">
        <f ca="1">_xll.BDP($C13,"CHG_PCT_YTD")</f>
        <v>#NAME?</v>
      </c>
      <c r="V13" s="512" t="e">
        <f ca="1">_xll.BDP($C13,"CHG_PCT_1YR")</f>
        <v>#NAME?</v>
      </c>
      <c r="W13" s="512" t="e">
        <f ca="1">_xll.BDP($C13,"EXPECTED_REPORT_DT")</f>
        <v>#NAME?</v>
      </c>
      <c r="X13" s="512" t="e">
        <f ca="1">_xll.BDP($C13,"DVD_EX_DT")</f>
        <v>#NAME?</v>
      </c>
    </row>
    <row r="14" spans="1:24" s="505" customFormat="1" x14ac:dyDescent="0.2">
      <c r="A14" s="505" t="s">
        <v>650</v>
      </c>
      <c r="B14" s="506" t="s">
        <v>358</v>
      </c>
      <c r="C14" s="505" t="s">
        <v>357</v>
      </c>
      <c r="D14" s="507" t="e">
        <f t="shared" ca="1" si="0"/>
        <v>#NAME?</v>
      </c>
      <c r="E14" s="508">
        <f>$F$38</f>
        <v>1580</v>
      </c>
      <c r="F14" s="509">
        <f>$H$38</f>
        <v>15.815899999999999</v>
      </c>
      <c r="G14" s="509" t="e">
        <f ca="1">_xll.BDP($C14,"PX_LAST")</f>
        <v>#NAME?</v>
      </c>
      <c r="H14" s="509" t="e">
        <f ca="1">_xll.BDP($C14,"BEST_TARGET_PRICE")</f>
        <v>#NAME?</v>
      </c>
      <c r="I14" s="607" t="e">
        <f t="shared" ca="1" si="1"/>
        <v>#NAME?</v>
      </c>
      <c r="J14" s="510" t="e">
        <f ca="1">_xll.BDP($C14,"CRNCY")</f>
        <v>#NAME?</v>
      </c>
      <c r="K14" s="507" t="e">
        <f ca="1">O14/M14-1</f>
        <v>#NAME?</v>
      </c>
      <c r="L14" s="507" t="e">
        <f ca="1">G14/F14-1</f>
        <v>#NAME?</v>
      </c>
      <c r="M14" s="508" t="e">
        <f ca="1">$K$38</f>
        <v>#NAME?</v>
      </c>
      <c r="N14" s="508">
        <f>E14*F14</f>
        <v>24989.121999999999</v>
      </c>
      <c r="O14" s="508" t="e">
        <f ca="1">E14*G14*$I$1</f>
        <v>#NAME?</v>
      </c>
      <c r="P14" s="508" t="e">
        <f t="shared" ca="1" si="2"/>
        <v>#NAME?</v>
      </c>
      <c r="Q14" s="508" t="e">
        <f t="shared" ca="1" si="3"/>
        <v>#NAME?</v>
      </c>
      <c r="R14" s="508" t="e">
        <f t="shared" ca="1" si="4"/>
        <v>#NAME?</v>
      </c>
      <c r="S14" s="508" t="e">
        <f ca="1">_xll.BDP($C14,"EQY_DVD_YLD_EST")</f>
        <v>#NAME?</v>
      </c>
      <c r="T14" s="511" t="e">
        <f t="shared" ca="1" si="5"/>
        <v>#NAME?</v>
      </c>
      <c r="U14" s="512" t="e">
        <f ca="1">_xll.BDP($C14,"CHG_PCT_YTD")</f>
        <v>#NAME?</v>
      </c>
      <c r="V14" s="512" t="e">
        <f ca="1">_xll.BDP($C14,"CHG_PCT_1YR")</f>
        <v>#NAME?</v>
      </c>
      <c r="W14" s="512" t="e">
        <f ca="1">_xll.BDP($C14,"EXPECTED_REPORT_DT")</f>
        <v>#NAME?</v>
      </c>
      <c r="X14" s="512" t="e">
        <f ca="1">_xll.BDP($C14,"DVD_EX_DT")</f>
        <v>#NAME?</v>
      </c>
    </row>
    <row r="15" spans="1:24" x14ac:dyDescent="0.2">
      <c r="B15" s="68" t="s">
        <v>106</v>
      </c>
      <c r="C15" s="68" t="s">
        <v>106</v>
      </c>
      <c r="D15" s="262" t="e">
        <f t="shared" ca="1" si="0"/>
        <v>#NAME?</v>
      </c>
      <c r="E15" s="262"/>
      <c r="F15" s="262"/>
      <c r="G15" s="66"/>
      <c r="H15" s="66"/>
      <c r="I15" s="66"/>
      <c r="J15" s="177"/>
      <c r="K15" s="179"/>
      <c r="L15" s="179"/>
      <c r="M15" s="64"/>
      <c r="N15" s="322"/>
      <c r="O15" s="64" t="e">
        <f ca="1">66426*$I$1+250000</f>
        <v>#NAME?</v>
      </c>
      <c r="P15" s="64" t="e">
        <f t="shared" ca="1" si="2"/>
        <v>#NAME?</v>
      </c>
      <c r="Q15" s="61"/>
      <c r="R15" s="61"/>
      <c r="S15" s="61"/>
      <c r="T15" s="503" t="e">
        <f t="shared" ca="1" si="5"/>
        <v>#NAME?</v>
      </c>
      <c r="U15" s="177"/>
      <c r="V15" s="177"/>
      <c r="W15" s="177"/>
      <c r="X15" s="177"/>
    </row>
    <row r="16" spans="1:24" ht="13.5" customHeight="1" thickBot="1" x14ac:dyDescent="0.25">
      <c r="B16" s="175"/>
      <c r="C16" s="175"/>
      <c r="D16" s="59" t="e">
        <f ca="1">SUM(D4:D15)</f>
        <v>#NAME?</v>
      </c>
      <c r="E16" s="176"/>
      <c r="F16" s="176"/>
      <c r="G16" s="175"/>
      <c r="H16" s="175"/>
      <c r="I16" s="606" t="e">
        <f ca="1">SUMPRODUCT(D4:D14,I4:I14)</f>
        <v>#NAME?</v>
      </c>
      <c r="J16" s="55"/>
      <c r="K16" s="175"/>
      <c r="L16" s="175"/>
      <c r="M16" s="184" t="e">
        <f ca="1">30000000+$M$14</f>
        <v>#NAME?</v>
      </c>
      <c r="N16" s="184" t="e">
        <f ca="1">SUM(N4:N15)</f>
        <v>#NAME?</v>
      </c>
      <c r="O16" s="184" t="e">
        <f ca="1">SUM(O4:O15)</f>
        <v>#NAME?</v>
      </c>
      <c r="P16" s="184" t="e">
        <f ca="1">SUM(P4:P15)</f>
        <v>#NAME?</v>
      </c>
      <c r="Q16" s="184" t="e">
        <f ca="1">SUM(Q4:Q15)</f>
        <v>#NAME?</v>
      </c>
      <c r="R16" s="184" t="e">
        <f ca="1">SUM(R4:R15)</f>
        <v>#NAME?</v>
      </c>
      <c r="S16" s="133" t="e">
        <f ca="1">SUMPRODUCT($D$4:$D$14,S4:S14)</f>
        <v>#NAME?</v>
      </c>
      <c r="T16" s="504" t="e">
        <f ca="1">SUM(T4:T15)</f>
        <v>#NAME?</v>
      </c>
      <c r="U16" s="55"/>
      <c r="V16" s="55"/>
      <c r="W16" s="55"/>
      <c r="X16" s="55"/>
    </row>
    <row r="17" spans="2:20" s="429" customFormat="1" ht="13.5" customHeight="1" x14ac:dyDescent="0.2">
      <c r="B17" s="116"/>
      <c r="C17" s="116"/>
      <c r="D17" s="425"/>
      <c r="E17" s="116"/>
      <c r="F17" s="116"/>
      <c r="G17" s="116"/>
      <c r="I17" s="474" t="s">
        <v>805</v>
      </c>
      <c r="J17" s="116"/>
      <c r="K17" s="426"/>
      <c r="L17" s="426"/>
      <c r="M17" s="426"/>
      <c r="N17" s="426"/>
      <c r="O17" s="427"/>
      <c r="P17" s="124"/>
      <c r="Q17" s="608" t="e">
        <f ca="1">$O$16/M16-1</f>
        <v>#NAME?</v>
      </c>
      <c r="R17" s="608" t="e">
        <f ca="1">$P$16/N16-1</f>
        <v>#NAME?</v>
      </c>
      <c r="S17" s="828" t="s">
        <v>771</v>
      </c>
      <c r="T17" s="828"/>
    </row>
    <row r="18" spans="2:20" s="429" customFormat="1" x14ac:dyDescent="0.2">
      <c r="E18" s="430"/>
      <c r="K18" s="431"/>
      <c r="L18" s="431"/>
      <c r="M18" s="116"/>
      <c r="N18" s="432"/>
      <c r="O18" s="609"/>
      <c r="P18" s="431"/>
      <c r="Q18" s="519"/>
      <c r="R18" s="519"/>
      <c r="S18" s="829"/>
      <c r="T18" s="829"/>
    </row>
    <row r="19" spans="2:20" s="429" customFormat="1" x14ac:dyDescent="0.2">
      <c r="B19" s="429" t="s">
        <v>276</v>
      </c>
      <c r="E19" s="430"/>
      <c r="M19" s="116"/>
      <c r="N19" s="432"/>
      <c r="O19" s="432"/>
      <c r="P19" s="431"/>
      <c r="Q19" s="519"/>
      <c r="R19" s="519"/>
      <c r="S19" s="829"/>
      <c r="T19" s="829"/>
    </row>
    <row r="20" spans="2:20" s="429" customFormat="1" x14ac:dyDescent="0.2">
      <c r="B20" s="433">
        <v>2016</v>
      </c>
      <c r="M20" s="116"/>
      <c r="N20" s="432"/>
      <c r="O20" s="432"/>
      <c r="P20" s="431"/>
      <c r="Q20" s="519"/>
      <c r="R20" s="519"/>
    </row>
    <row r="21" spans="2:20" ht="40.5" customHeight="1" x14ac:dyDescent="0.2">
      <c r="B21" s="51" t="s">
        <v>105</v>
      </c>
      <c r="C21" s="50" t="s">
        <v>104</v>
      </c>
      <c r="D21" s="50" t="s">
        <v>174</v>
      </c>
      <c r="E21" s="50" t="s">
        <v>173</v>
      </c>
      <c r="F21" s="50" t="s">
        <v>175</v>
      </c>
      <c r="G21" s="50" t="s">
        <v>172</v>
      </c>
      <c r="H21" s="50" t="s">
        <v>103</v>
      </c>
      <c r="I21" s="50" t="s">
        <v>102</v>
      </c>
      <c r="J21" s="50" t="s">
        <v>101</v>
      </c>
      <c r="K21" s="50" t="s">
        <v>100</v>
      </c>
      <c r="L21" s="50" t="s">
        <v>99</v>
      </c>
      <c r="M21" s="50" t="s">
        <v>98</v>
      </c>
      <c r="N21" s="50" t="s">
        <v>280</v>
      </c>
      <c r="O21" s="50" t="s">
        <v>97</v>
      </c>
      <c r="P21" s="50" t="s">
        <v>279</v>
      </c>
      <c r="Q21" s="50" t="s">
        <v>277</v>
      </c>
      <c r="R21" s="50" t="s">
        <v>278</v>
      </c>
    </row>
    <row r="22" spans="2:20" x14ac:dyDescent="0.2">
      <c r="B22" s="251" t="e">
        <f ca="1">_xll.BDP(C22,"SECURITY_NAME")</f>
        <v>#NAME?</v>
      </c>
      <c r="C22" s="196" t="s">
        <v>651</v>
      </c>
      <c r="D22" s="244" t="s">
        <v>51</v>
      </c>
      <c r="E22" s="43" t="e">
        <f ca="1">F22*_xll.BDP(C22,"PX_LAST")</f>
        <v>#NAME?</v>
      </c>
      <c r="F22" s="43">
        <v>80000</v>
      </c>
      <c r="G22" s="43">
        <v>80000</v>
      </c>
      <c r="H22" s="47">
        <f>G22/F22</f>
        <v>1</v>
      </c>
      <c r="I22" s="43">
        <f>G22*K22</f>
        <v>8000000</v>
      </c>
      <c r="J22" s="45">
        <f>G22*L22</f>
        <v>8028000</v>
      </c>
      <c r="K22" s="38">
        <v>100</v>
      </c>
      <c r="L22" s="38">
        <v>100.35</v>
      </c>
      <c r="M22" s="44">
        <f>L22/K22-1</f>
        <v>3.4999999999998366E-3</v>
      </c>
      <c r="N22" s="43">
        <f>J22-I22</f>
        <v>28000</v>
      </c>
      <c r="O22" s="106" t="e">
        <f ca="1">_xll.BDP($C22,"CRNCY")</f>
        <v>#NAME?</v>
      </c>
      <c r="P22" s="43" t="e">
        <f ca="1">N22/R22</f>
        <v>#NAME?</v>
      </c>
      <c r="Q22" s="239">
        <v>42443</v>
      </c>
      <c r="R22" s="250" t="e">
        <f ca="1">_xll.BDH("RUB curncy","PX_LAST",$Q22)</f>
        <v>#NAME?</v>
      </c>
    </row>
    <row r="23" spans="2:20" x14ac:dyDescent="0.2">
      <c r="B23" s="103" t="s">
        <v>223</v>
      </c>
      <c r="C23" s="103" t="s">
        <v>34</v>
      </c>
      <c r="D23" s="73" t="s">
        <v>51</v>
      </c>
      <c r="E23" s="43" t="e">
        <f ca="1">F23*_xll.BDP(C23,"PX_LAST")</f>
        <v>#NAME?</v>
      </c>
      <c r="F23" s="43">
        <v>68000</v>
      </c>
      <c r="G23" s="43">
        <v>68000</v>
      </c>
      <c r="H23" s="47">
        <f>G23/F23</f>
        <v>1</v>
      </c>
      <c r="I23" s="43">
        <f>G23*K23</f>
        <v>2998800</v>
      </c>
      <c r="J23" s="45">
        <f>G23*L23</f>
        <v>4171800</v>
      </c>
      <c r="K23" s="38">
        <v>44.1</v>
      </c>
      <c r="L23" s="38">
        <v>61.35</v>
      </c>
      <c r="M23" s="44">
        <f>L23/K23-1</f>
        <v>0.39115646258503389</v>
      </c>
      <c r="N23" s="43">
        <f>J23-I23</f>
        <v>1173000</v>
      </c>
      <c r="O23" s="106" t="e">
        <f ca="1">_xll.BDP($C23,"CRNCY")</f>
        <v>#NAME?</v>
      </c>
      <c r="P23" s="43" t="e">
        <f ca="1">N23/R23</f>
        <v>#NAME?</v>
      </c>
      <c r="Q23" s="14">
        <v>42636</v>
      </c>
      <c r="R23" s="22" t="e">
        <f ca="1">_xll.BDH("RUB curncy","PX_LAST",$Q23)</f>
        <v>#NAME?</v>
      </c>
    </row>
    <row r="24" spans="2:20" x14ac:dyDescent="0.2">
      <c r="B24" s="35"/>
      <c r="C24" s="35"/>
      <c r="D24" s="40"/>
      <c r="G24" s="35"/>
      <c r="H24" s="35"/>
      <c r="I24" s="35"/>
      <c r="J24" s="35"/>
      <c r="K24" s="35"/>
      <c r="L24" s="46"/>
      <c r="M24" s="35" t="s">
        <v>94</v>
      </c>
      <c r="N24" s="40">
        <f>SUM(N22:N23)</f>
        <v>1201000</v>
      </c>
      <c r="O24" s="34" t="s">
        <v>75</v>
      </c>
      <c r="P24" s="40" t="e">
        <f ca="1">SUM(P22:P23)</f>
        <v>#NAME?</v>
      </c>
    </row>
    <row r="25" spans="2:20" x14ac:dyDescent="0.2">
      <c r="J25" s="105"/>
      <c r="K25" s="70"/>
      <c r="L25" s="155"/>
      <c r="M25" s="35"/>
      <c r="N25" s="30"/>
      <c r="O25" s="30"/>
      <c r="P25" s="34"/>
      <c r="R25" s="35"/>
    </row>
    <row r="26" spans="2:20" x14ac:dyDescent="0.2">
      <c r="H26" s="105"/>
      <c r="I26" s="70"/>
      <c r="J26" s="151"/>
      <c r="K26" s="35"/>
      <c r="L26" s="148"/>
      <c r="M26" s="34"/>
    </row>
    <row r="27" spans="2:20" x14ac:dyDescent="0.2">
      <c r="B27" s="32" t="s">
        <v>93</v>
      </c>
      <c r="C27" s="151"/>
      <c r="D27" s="105"/>
      <c r="H27" s="105"/>
      <c r="I27" s="151"/>
      <c r="J27" s="151"/>
      <c r="K27" s="30"/>
    </row>
    <row r="28" spans="2:20" ht="13.5" thickBot="1" x14ac:dyDescent="0.25">
      <c r="C28" s="30"/>
      <c r="D28" s="30"/>
      <c r="G28" s="30"/>
      <c r="H28" s="151"/>
      <c r="I28" s="30"/>
      <c r="J28" s="151"/>
      <c r="K28" s="30"/>
    </row>
    <row r="29" spans="2:20" ht="15" x14ac:dyDescent="0.35">
      <c r="B29" s="258"/>
      <c r="C29" s="258"/>
      <c r="D29" s="258"/>
      <c r="E29" s="258"/>
      <c r="F29" s="258"/>
      <c r="G29" s="258"/>
      <c r="H29" s="260" t="s">
        <v>92</v>
      </c>
      <c r="I29" s="259" t="s">
        <v>91</v>
      </c>
      <c r="J29" s="259" t="s">
        <v>90</v>
      </c>
      <c r="K29" s="259"/>
      <c r="L29" s="259"/>
      <c r="M29" s="258"/>
      <c r="N29" s="258"/>
      <c r="Q29" s="174"/>
    </row>
    <row r="30" spans="2:20" ht="15" x14ac:dyDescent="0.35">
      <c r="B30" s="255" t="s">
        <v>89</v>
      </c>
      <c r="C30" s="255" t="s">
        <v>88</v>
      </c>
      <c r="D30" s="255" t="s">
        <v>87</v>
      </c>
      <c r="E30" s="255" t="s">
        <v>86</v>
      </c>
      <c r="F30" s="255" t="s">
        <v>85</v>
      </c>
      <c r="G30" s="255" t="s">
        <v>84</v>
      </c>
      <c r="H30" s="257" t="s">
        <v>83</v>
      </c>
      <c r="I30" s="256" t="s">
        <v>83</v>
      </c>
      <c r="J30" s="256" t="s">
        <v>75</v>
      </c>
      <c r="K30" s="256" t="s">
        <v>73</v>
      </c>
      <c r="L30" s="256" t="s">
        <v>82</v>
      </c>
      <c r="M30" s="255" t="s">
        <v>81</v>
      </c>
      <c r="N30" s="255" t="s">
        <v>80</v>
      </c>
    </row>
    <row r="31" spans="2:20" s="33" customFormat="1" ht="15" customHeight="1" x14ac:dyDescent="0.2">
      <c r="B31" s="226" t="s">
        <v>650</v>
      </c>
      <c r="C31" s="253" t="s">
        <v>651</v>
      </c>
      <c r="D31" s="251" t="e">
        <f ca="1">_xll.BDP(C31,"SECURITY_NAME")</f>
        <v>#NAME?</v>
      </c>
      <c r="E31" s="251" t="s">
        <v>50</v>
      </c>
      <c r="F31" s="252">
        <v>8000000</v>
      </c>
      <c r="G31" s="251" t="e">
        <f ca="1">_xll.BDP(C31,"CRNCY")</f>
        <v>#NAME?</v>
      </c>
      <c r="H31" s="250">
        <v>100</v>
      </c>
      <c r="I31" s="248">
        <f>F31*H31/100</f>
        <v>8000000</v>
      </c>
      <c r="J31" s="249" t="e">
        <f ca="1">I31/L31</f>
        <v>#NAME?</v>
      </c>
      <c r="K31" s="248" t="e">
        <f ca="1">J31*L31</f>
        <v>#NAME?</v>
      </c>
      <c r="L31" s="247" t="e">
        <f ca="1">_xll.BDH("RUB curncy","PX_LAST",$N31)</f>
        <v>#NAME?</v>
      </c>
      <c r="M31" s="246" t="e">
        <f ca="1">1/_xll.BDH("RUB curncy","PX_LAST",$N31)</f>
        <v>#NAME?</v>
      </c>
      <c r="N31" s="239">
        <v>41975</v>
      </c>
    </row>
    <row r="32" spans="2:20" ht="15" customHeight="1" x14ac:dyDescent="0.2">
      <c r="B32" s="217"/>
      <c r="D32" s="215"/>
      <c r="E32" s="215"/>
      <c r="F32" s="213">
        <f>SUM(F31)</f>
        <v>8000000</v>
      </c>
      <c r="G32" s="215"/>
      <c r="H32" s="214">
        <f>I32/F32*100</f>
        <v>100</v>
      </c>
      <c r="I32" s="213">
        <f>SUM(I31)</f>
        <v>8000000</v>
      </c>
      <c r="J32" s="213" t="e">
        <f ca="1">SUM(J31)</f>
        <v>#NAME?</v>
      </c>
      <c r="K32" s="213" t="e">
        <f ca="1">SUM(K31)</f>
        <v>#NAME?</v>
      </c>
      <c r="L32" s="212"/>
      <c r="M32" s="211"/>
      <c r="N32" s="210"/>
      <c r="O32" s="33"/>
    </row>
    <row r="33" spans="2:15" ht="15" customHeight="1" x14ac:dyDescent="0.2">
      <c r="B33" s="217"/>
      <c r="D33" s="215"/>
      <c r="E33" s="215"/>
      <c r="F33" s="213"/>
      <c r="G33" s="215"/>
      <c r="H33" s="214"/>
      <c r="I33" s="213"/>
      <c r="J33" s="213"/>
      <c r="K33" s="213"/>
      <c r="L33" s="212"/>
      <c r="M33" s="211"/>
      <c r="N33" s="210"/>
      <c r="O33" s="33"/>
    </row>
    <row r="34" spans="2:15" x14ac:dyDescent="0.2">
      <c r="B34" s="226" t="s">
        <v>650</v>
      </c>
      <c r="C34" s="253" t="s">
        <v>209</v>
      </c>
      <c r="D34" s="251" t="e">
        <f ca="1">_xll.BDP(C34,"SECURITY_NAME")</f>
        <v>#NAME?</v>
      </c>
      <c r="E34" s="251" t="s">
        <v>50</v>
      </c>
      <c r="F34" s="252">
        <v>30000</v>
      </c>
      <c r="G34" s="251" t="e">
        <f ca="1">_xll.BDP(C34,"CRNCY")</f>
        <v>#NAME?</v>
      </c>
      <c r="H34" s="250">
        <v>49.9191</v>
      </c>
      <c r="I34" s="248">
        <f>F34*H34</f>
        <v>1497573</v>
      </c>
      <c r="J34" s="249" t="e">
        <f ca="1">I34/L34</f>
        <v>#NAME?</v>
      </c>
      <c r="K34" s="248" t="e">
        <f ca="1">J34*L34</f>
        <v>#NAME?</v>
      </c>
      <c r="L34" s="247" t="e">
        <f ca="1">_xll.BDH("RUB curncy","PX_LAST",$N34)</f>
        <v>#NAME?</v>
      </c>
      <c r="M34" s="246" t="e">
        <f ca="1">1/_xll.BDH("RUB curncy","PX_LAST",$N34)</f>
        <v>#NAME?</v>
      </c>
      <c r="N34" s="239">
        <v>42348</v>
      </c>
    </row>
    <row r="35" spans="2:15" x14ac:dyDescent="0.2">
      <c r="B35" s="217"/>
      <c r="D35" s="215"/>
      <c r="E35" s="215"/>
      <c r="F35" s="213">
        <f>SUM(F34)</f>
        <v>30000</v>
      </c>
      <c r="G35" s="215"/>
      <c r="H35" s="214">
        <f>I35/F35</f>
        <v>49.9191</v>
      </c>
      <c r="I35" s="213">
        <f>SUM(I34)</f>
        <v>1497573</v>
      </c>
      <c r="J35" s="213" t="e">
        <f ca="1">SUM(J34)</f>
        <v>#NAME?</v>
      </c>
      <c r="K35" s="213" t="e">
        <f ca="1">SUM(K34)</f>
        <v>#NAME?</v>
      </c>
      <c r="L35" s="212"/>
      <c r="M35" s="211"/>
      <c r="N35" s="210"/>
    </row>
    <row r="37" spans="2:15" x14ac:dyDescent="0.2">
      <c r="B37" s="226" t="s">
        <v>650</v>
      </c>
      <c r="C37" s="253" t="s">
        <v>357</v>
      </c>
      <c r="D37" s="251" t="e">
        <f ca="1">_xll.BDP(C37,"SECURITY_NAME")</f>
        <v>#NAME?</v>
      </c>
      <c r="E37" s="251" t="s">
        <v>50</v>
      </c>
      <c r="F37" s="252">
        <v>1580</v>
      </c>
      <c r="G37" s="251" t="e">
        <f ca="1">_xll.BDP(C37,"CRNCY")</f>
        <v>#NAME?</v>
      </c>
      <c r="H37" s="250">
        <v>15.815899999999999</v>
      </c>
      <c r="I37" s="248">
        <f>F37*H37</f>
        <v>24989.121999999999</v>
      </c>
      <c r="J37" s="249">
        <f>I37</f>
        <v>24989.121999999999</v>
      </c>
      <c r="K37" s="248" t="e">
        <f ca="1">J37*L37</f>
        <v>#NAME?</v>
      </c>
      <c r="L37" s="247" t="e">
        <f ca="1">_xll.BDH("RUB curncy","PX_LAST",$N37)</f>
        <v>#NAME?</v>
      </c>
      <c r="M37" s="246" t="e">
        <f ca="1">1/_xll.BDH("RUB curncy","PX_LAST",$N37)</f>
        <v>#NAME?</v>
      </c>
      <c r="N37" s="239">
        <v>42193</v>
      </c>
    </row>
    <row r="38" spans="2:15" x14ac:dyDescent="0.2">
      <c r="B38" s="217"/>
      <c r="D38" s="215"/>
      <c r="E38" s="215"/>
      <c r="F38" s="213">
        <f>SUM(F37)</f>
        <v>1580</v>
      </c>
      <c r="G38" s="215"/>
      <c r="H38" s="214">
        <f>I38/F38</f>
        <v>15.815899999999999</v>
      </c>
      <c r="I38" s="213">
        <f>SUM(I37)</f>
        <v>24989.121999999999</v>
      </c>
      <c r="J38" s="213">
        <f>SUM(J37)</f>
        <v>24989.121999999999</v>
      </c>
      <c r="K38" s="213" t="e">
        <f ca="1">SUM(K37)</f>
        <v>#NAME?</v>
      </c>
      <c r="L38" s="212"/>
      <c r="M38" s="211"/>
      <c r="N38" s="210"/>
    </row>
    <row r="39" spans="2:15" x14ac:dyDescent="0.2">
      <c r="B39" s="217"/>
      <c r="C39" s="216"/>
      <c r="D39" s="215"/>
      <c r="E39" s="215"/>
      <c r="F39" s="213"/>
      <c r="G39" s="215"/>
      <c r="H39" s="238"/>
      <c r="I39" s="213"/>
      <c r="J39" s="213"/>
      <c r="K39" s="213"/>
      <c r="L39" s="212"/>
      <c r="M39" s="211"/>
      <c r="N39" s="210"/>
    </row>
    <row r="40" spans="2:15" x14ac:dyDescent="0.2">
      <c r="B40" s="226" t="s">
        <v>650</v>
      </c>
      <c r="C40" s="253" t="s">
        <v>332</v>
      </c>
      <c r="D40" s="251" t="e">
        <f ca="1">_xll.BDP(C40,"SECURITY_NAME")</f>
        <v>#NAME?</v>
      </c>
      <c r="E40" s="251" t="s">
        <v>50</v>
      </c>
      <c r="F40" s="252">
        <v>13600</v>
      </c>
      <c r="G40" s="251" t="e">
        <f ca="1">_xll.BDP(C40,"CRNCY")</f>
        <v>#NAME?</v>
      </c>
      <c r="H40" s="250">
        <v>219.65258</v>
      </c>
      <c r="I40" s="248">
        <f>F40*H40</f>
        <v>2987275.088</v>
      </c>
      <c r="J40" s="249" t="e">
        <f ca="1">I40/L40</f>
        <v>#NAME?</v>
      </c>
      <c r="K40" s="248" t="e">
        <f ca="1">J40*L40</f>
        <v>#NAME?</v>
      </c>
      <c r="L40" s="247" t="e">
        <f ca="1">_xll.BDH("RUB curncy","PX_LAST",$N40)</f>
        <v>#NAME?</v>
      </c>
      <c r="M40" s="246" t="e">
        <f ca="1">1/_xll.BDH("RUB curncy","PX_LAST",$N40)</f>
        <v>#NAME?</v>
      </c>
      <c r="N40" s="239">
        <v>42359</v>
      </c>
    </row>
    <row r="41" spans="2:15" x14ac:dyDescent="0.2">
      <c r="B41" s="217"/>
      <c r="D41" s="215"/>
      <c r="E41" s="215"/>
      <c r="F41" s="213">
        <f>SUM(F40)</f>
        <v>13600</v>
      </c>
      <c r="G41" s="215"/>
      <c r="H41" s="214">
        <f>I41/F41</f>
        <v>219.65258</v>
      </c>
      <c r="I41" s="213">
        <f>SUM(I40)</f>
        <v>2987275.088</v>
      </c>
      <c r="J41" s="213" t="e">
        <f ca="1">SUM(J40)</f>
        <v>#NAME?</v>
      </c>
      <c r="K41" s="213" t="e">
        <f ca="1">SUM(K40)</f>
        <v>#NAME?</v>
      </c>
      <c r="L41" s="212"/>
      <c r="M41" s="211"/>
      <c r="N41" s="210"/>
    </row>
    <row r="42" spans="2:15" x14ac:dyDescent="0.2">
      <c r="B42" s="226"/>
      <c r="C42" s="225"/>
      <c r="D42" s="223"/>
      <c r="E42" s="223"/>
      <c r="F42" s="224"/>
      <c r="G42" s="223"/>
      <c r="H42" s="222"/>
      <c r="I42" s="220"/>
      <c r="J42" s="221"/>
      <c r="K42" s="220"/>
      <c r="L42" s="219"/>
      <c r="M42" s="218"/>
      <c r="N42" s="210"/>
    </row>
    <row r="43" spans="2:15" x14ac:dyDescent="0.2">
      <c r="B43" s="226" t="s">
        <v>650</v>
      </c>
      <c r="C43" s="253" t="s">
        <v>204</v>
      </c>
      <c r="D43" s="251" t="e">
        <f ca="1">_xll.BDP(C43,"SECURITY_NAME")</f>
        <v>#NAME?</v>
      </c>
      <c r="E43" s="251" t="s">
        <v>50</v>
      </c>
      <c r="F43" s="252">
        <v>12550</v>
      </c>
      <c r="G43" s="251" t="e">
        <f ca="1">_xll.BDP(C43,"CRNCY")</f>
        <v>#NAME?</v>
      </c>
      <c r="H43" s="250">
        <v>3.3809939999999998</v>
      </c>
      <c r="I43" s="248">
        <f>F43*H43</f>
        <v>42431.474699999999</v>
      </c>
      <c r="J43" s="249">
        <f>I43</f>
        <v>42431.474699999999</v>
      </c>
      <c r="K43" s="248" t="e">
        <f ca="1">J43*L43</f>
        <v>#NAME?</v>
      </c>
      <c r="L43" s="247" t="e">
        <f ca="1">_xll.BDH("RUB curncy","PX_LAST",$N43)</f>
        <v>#NAME?</v>
      </c>
      <c r="M43" s="246" t="e">
        <f ca="1">1/_xll.BDH("RUB curncy","PX_LAST",$N43)</f>
        <v>#NAME?</v>
      </c>
      <c r="N43" s="239">
        <v>42359</v>
      </c>
    </row>
    <row r="44" spans="2:15" x14ac:dyDescent="0.2">
      <c r="B44" s="217"/>
      <c r="D44" s="215"/>
      <c r="E44" s="215"/>
      <c r="F44" s="213">
        <f>SUM(F43)</f>
        <v>12550</v>
      </c>
      <c r="G44" s="215"/>
      <c r="H44" s="214">
        <f>I44/F44</f>
        <v>3.3809939999999998</v>
      </c>
      <c r="I44" s="213">
        <f>SUM(I43)</f>
        <v>42431.474699999999</v>
      </c>
      <c r="J44" s="213">
        <f>SUM(J43)</f>
        <v>42431.474699999999</v>
      </c>
      <c r="K44" s="213" t="e">
        <f ca="1">SUM(K43)</f>
        <v>#NAME?</v>
      </c>
      <c r="L44" s="212"/>
      <c r="M44" s="211"/>
      <c r="N44" s="210"/>
    </row>
    <row r="45" spans="2:15" x14ac:dyDescent="0.2">
      <c r="B45" s="226"/>
      <c r="C45" s="225"/>
      <c r="D45" s="223"/>
      <c r="E45" s="223"/>
      <c r="F45" s="224"/>
      <c r="G45" s="223"/>
      <c r="H45" s="222"/>
      <c r="I45" s="220"/>
      <c r="J45" s="221"/>
      <c r="K45" s="220"/>
      <c r="L45" s="219"/>
      <c r="M45" s="218"/>
      <c r="N45" s="210"/>
    </row>
    <row r="46" spans="2:15" x14ac:dyDescent="0.2">
      <c r="B46" s="226" t="s">
        <v>650</v>
      </c>
      <c r="C46" s="253" t="s">
        <v>184</v>
      </c>
      <c r="D46" s="251" t="e">
        <f ca="1">_xll.BDP(C46,"SECURITY_NAME")</f>
        <v>#NAME?</v>
      </c>
      <c r="E46" s="251" t="s">
        <v>50</v>
      </c>
      <c r="F46" s="252">
        <v>3680</v>
      </c>
      <c r="G46" s="251" t="e">
        <f ca="1">_xll.BDP(C46,"CRNCY")</f>
        <v>#NAME?</v>
      </c>
      <c r="H46" s="250">
        <v>815</v>
      </c>
      <c r="I46" s="248">
        <f>F46*H46</f>
        <v>2999200</v>
      </c>
      <c r="J46" s="249" t="e">
        <f ca="1">I46/L46</f>
        <v>#NAME?</v>
      </c>
      <c r="K46" s="248" t="e">
        <f ca="1">J46*L46</f>
        <v>#NAME?</v>
      </c>
      <c r="L46" s="247" t="e">
        <f ca="1">_xll.BDH("RUB curncy","PX_LAST",$N46)</f>
        <v>#NAME?</v>
      </c>
      <c r="M46" s="246" t="e">
        <f ca="1">1/_xll.BDH("RUB curncy","PX_LAST",$N46)</f>
        <v>#NAME?</v>
      </c>
      <c r="N46" s="239">
        <v>42394</v>
      </c>
    </row>
    <row r="47" spans="2:15" x14ac:dyDescent="0.2">
      <c r="B47" s="217"/>
      <c r="D47" s="215"/>
      <c r="E47" s="215"/>
      <c r="F47" s="213">
        <f>SUM(F46)</f>
        <v>3680</v>
      </c>
      <c r="G47" s="215"/>
      <c r="H47" s="214">
        <f>I47/F47</f>
        <v>815</v>
      </c>
      <c r="I47" s="213">
        <f>SUM(I46)</f>
        <v>2999200</v>
      </c>
      <c r="J47" s="213" t="e">
        <f ca="1">SUM(J46)</f>
        <v>#NAME?</v>
      </c>
      <c r="K47" s="213" t="e">
        <f ca="1">SUM(K46)</f>
        <v>#NAME?</v>
      </c>
      <c r="L47" s="212"/>
      <c r="M47" s="211"/>
      <c r="N47" s="210"/>
    </row>
    <row r="48" spans="2:15" x14ac:dyDescent="0.2">
      <c r="B48" s="217"/>
      <c r="C48" s="216"/>
      <c r="D48" s="215"/>
      <c r="E48" s="215"/>
      <c r="F48" s="213"/>
      <c r="G48" s="215"/>
      <c r="H48" s="238"/>
      <c r="I48" s="213"/>
      <c r="J48" s="213"/>
      <c r="K48" s="213"/>
      <c r="L48" s="212"/>
      <c r="M48" s="211"/>
      <c r="N48" s="210"/>
    </row>
    <row r="49" spans="2:14" x14ac:dyDescent="0.2">
      <c r="B49" s="226" t="s">
        <v>650</v>
      </c>
      <c r="C49" s="253" t="s">
        <v>658</v>
      </c>
      <c r="D49" s="251" t="e">
        <f ca="1">_xll.BDP(C49,"SECURITY_NAME")</f>
        <v>#NAME?</v>
      </c>
      <c r="E49" s="251" t="s">
        <v>50</v>
      </c>
      <c r="F49" s="252">
        <v>170000</v>
      </c>
      <c r="G49" s="251" t="e">
        <f ca="1">_xll.BDP(C49,"CRNCY")</f>
        <v>#NAME?</v>
      </c>
      <c r="H49" s="250">
        <v>17.647879</v>
      </c>
      <c r="I49" s="248">
        <f>F49*H49</f>
        <v>3000139.43</v>
      </c>
      <c r="J49" s="249" t="e">
        <f ca="1">I49/L49</f>
        <v>#NAME?</v>
      </c>
      <c r="K49" s="248" t="e">
        <f ca="1">J49*L49</f>
        <v>#NAME?</v>
      </c>
      <c r="L49" s="247" t="e">
        <f ca="1">_xll.BDH("RUB curncy","PX_LAST",$N49)</f>
        <v>#NAME?</v>
      </c>
      <c r="M49" s="246" t="e">
        <f ca="1">1/_xll.BDH("RUB curncy","PX_LAST",$N49)</f>
        <v>#NAME?</v>
      </c>
      <c r="N49" s="239">
        <v>42394</v>
      </c>
    </row>
    <row r="50" spans="2:14" x14ac:dyDescent="0.2">
      <c r="B50" s="217"/>
      <c r="D50" s="215"/>
      <c r="E50" s="215"/>
      <c r="F50" s="213">
        <f>SUM(F49)</f>
        <v>170000</v>
      </c>
      <c r="G50" s="215"/>
      <c r="H50" s="214">
        <f>I50/F50</f>
        <v>17.647879</v>
      </c>
      <c r="I50" s="213">
        <f>SUM(I49)</f>
        <v>3000139.43</v>
      </c>
      <c r="J50" s="213" t="e">
        <f ca="1">SUM(J49)</f>
        <v>#NAME?</v>
      </c>
      <c r="K50" s="213" t="e">
        <f ca="1">SUM(K49)</f>
        <v>#NAME?</v>
      </c>
      <c r="L50" s="212"/>
      <c r="M50" s="211"/>
      <c r="N50" s="210"/>
    </row>
    <row r="51" spans="2:14" x14ac:dyDescent="0.2">
      <c r="B51" s="217"/>
      <c r="C51" s="216"/>
      <c r="D51" s="215"/>
      <c r="E51" s="215"/>
      <c r="F51" s="213"/>
      <c r="G51" s="215"/>
      <c r="H51" s="238"/>
      <c r="I51" s="213"/>
      <c r="J51" s="213"/>
      <c r="K51" s="213"/>
      <c r="L51" s="212"/>
      <c r="M51" s="211"/>
      <c r="N51" s="210"/>
    </row>
    <row r="52" spans="2:14" x14ac:dyDescent="0.2">
      <c r="B52" s="226" t="s">
        <v>650</v>
      </c>
      <c r="C52" s="253" t="s">
        <v>182</v>
      </c>
      <c r="D52" s="251" t="e">
        <f ca="1">_xll.BDP(C52,"SECURITY_NAME")</f>
        <v>#NAME?</v>
      </c>
      <c r="E52" s="251" t="s">
        <v>50</v>
      </c>
      <c r="F52" s="252">
        <v>79000</v>
      </c>
      <c r="G52" s="251" t="e">
        <f ca="1">_xll.BDP(C52,"CRNCY")</f>
        <v>#NAME?</v>
      </c>
      <c r="H52" s="250">
        <v>38.1</v>
      </c>
      <c r="I52" s="248">
        <f>F52*H52</f>
        <v>3009900</v>
      </c>
      <c r="J52" s="249" t="e">
        <f ca="1">I52/L52</f>
        <v>#NAME?</v>
      </c>
      <c r="K52" s="248" t="e">
        <f ca="1">J52*L52</f>
        <v>#NAME?</v>
      </c>
      <c r="L52" s="247" t="e">
        <f ca="1">_xll.BDH("RUB curncy","PX_LAST",$N52)</f>
        <v>#NAME?</v>
      </c>
      <c r="M52" s="246" t="e">
        <f ca="1">1/_xll.BDH("RUB curncy","PX_LAST",$N52)</f>
        <v>#NAME?</v>
      </c>
      <c r="N52" s="239">
        <v>42536</v>
      </c>
    </row>
    <row r="53" spans="2:14" x14ac:dyDescent="0.2">
      <c r="B53" s="217"/>
      <c r="D53" s="215"/>
      <c r="E53" s="215"/>
      <c r="F53" s="213">
        <f>SUM(F52)</f>
        <v>79000</v>
      </c>
      <c r="G53" s="215"/>
      <c r="H53" s="214">
        <f>I53/F53</f>
        <v>38.1</v>
      </c>
      <c r="I53" s="213">
        <f>SUM(I52)</f>
        <v>3009900</v>
      </c>
      <c r="J53" s="213" t="e">
        <f ca="1">SUM(J52)</f>
        <v>#NAME?</v>
      </c>
      <c r="K53" s="213" t="e">
        <f ca="1">SUM(K52)</f>
        <v>#NAME?</v>
      </c>
      <c r="L53" s="212"/>
      <c r="M53" s="211"/>
      <c r="N53" s="210"/>
    </row>
    <row r="54" spans="2:14" x14ac:dyDescent="0.2">
      <c r="B54" s="217"/>
      <c r="C54" s="216"/>
      <c r="D54" s="215"/>
      <c r="E54" s="215"/>
      <c r="F54" s="213"/>
      <c r="G54" s="215"/>
      <c r="H54" s="238"/>
      <c r="I54" s="213"/>
      <c r="J54" s="213"/>
      <c r="K54" s="213"/>
      <c r="L54" s="212"/>
      <c r="M54" s="211"/>
      <c r="N54" s="210"/>
    </row>
    <row r="55" spans="2:14" x14ac:dyDescent="0.2">
      <c r="B55" s="226" t="s">
        <v>650</v>
      </c>
      <c r="C55" s="253" t="s">
        <v>169</v>
      </c>
      <c r="D55" s="251" t="e">
        <f ca="1">_xll.BDP(C55,"SECURITY_NAME")</f>
        <v>#NAME?</v>
      </c>
      <c r="E55" s="251" t="s">
        <v>50</v>
      </c>
      <c r="F55" s="252">
        <v>27315</v>
      </c>
      <c r="G55" s="251" t="e">
        <f ca="1">_xll.BDP(C55,"CRNCY")</f>
        <v>#NAME?</v>
      </c>
      <c r="H55" s="250">
        <v>1.74</v>
      </c>
      <c r="I55" s="248">
        <f>F55*H55</f>
        <v>47528.1</v>
      </c>
      <c r="J55" s="249">
        <f>I55</f>
        <v>47528.1</v>
      </c>
      <c r="K55" s="248" t="e">
        <f ca="1">J55*L55</f>
        <v>#NAME?</v>
      </c>
      <c r="L55" s="247" t="e">
        <f ca="1">_xll.BDH("RUB curncy","PX_LAST",$N55)</f>
        <v>#NAME?</v>
      </c>
      <c r="M55" s="246" t="e">
        <f ca="1">1/_xll.BDH("RUB curncy","PX_LAST",$N55)</f>
        <v>#NAME?</v>
      </c>
      <c r="N55" s="239">
        <v>42436</v>
      </c>
    </row>
    <row r="56" spans="2:14" x14ac:dyDescent="0.2">
      <c r="B56" s="217"/>
      <c r="D56" s="215"/>
      <c r="E56" s="215"/>
      <c r="F56" s="213">
        <f>SUM(F55)</f>
        <v>27315</v>
      </c>
      <c r="G56" s="215"/>
      <c r="H56" s="214">
        <f>I56/F56</f>
        <v>1.74</v>
      </c>
      <c r="I56" s="213">
        <f>SUM(I55)</f>
        <v>47528.1</v>
      </c>
      <c r="J56" s="213">
        <f>SUM(J55)</f>
        <v>47528.1</v>
      </c>
      <c r="K56" s="213" t="e">
        <f ca="1">SUM(K55)</f>
        <v>#NAME?</v>
      </c>
      <c r="L56" s="212"/>
      <c r="M56" s="211"/>
      <c r="N56" s="210"/>
    </row>
    <row r="57" spans="2:14" x14ac:dyDescent="0.2">
      <c r="B57" s="217"/>
      <c r="C57" s="216"/>
      <c r="D57" s="215"/>
      <c r="E57" s="215"/>
      <c r="F57" s="213"/>
      <c r="G57" s="215"/>
      <c r="H57" s="238"/>
      <c r="I57" s="213"/>
      <c r="J57" s="213"/>
      <c r="K57" s="213"/>
      <c r="L57" s="212"/>
      <c r="M57" s="211"/>
      <c r="N57" s="210"/>
    </row>
    <row r="58" spans="2:14" x14ac:dyDescent="0.2">
      <c r="B58" s="226" t="s">
        <v>650</v>
      </c>
      <c r="C58" s="253" t="s">
        <v>335</v>
      </c>
      <c r="D58" s="251" t="e">
        <f ca="1">_xll.BDP(C58,"SECURITY_NAME")</f>
        <v>#NAME?</v>
      </c>
      <c r="E58" s="251" t="s">
        <v>50</v>
      </c>
      <c r="F58" s="252">
        <v>4630</v>
      </c>
      <c r="G58" s="251" t="e">
        <f ca="1">_xll.BDP(C58,"CRNCY")</f>
        <v>#NAME?</v>
      </c>
      <c r="H58" s="250">
        <v>655.48920099999998</v>
      </c>
      <c r="I58" s="248">
        <f>F58*H58</f>
        <v>3034915.0006299997</v>
      </c>
      <c r="J58" s="249" t="e">
        <f ca="1">I58/L58</f>
        <v>#NAME?</v>
      </c>
      <c r="K58" s="248" t="e">
        <f ca="1">J58*L58</f>
        <v>#NAME?</v>
      </c>
      <c r="L58" s="247" t="e">
        <f ca="1">_xll.BDH("RUB curncy","PX_LAST",$N58)</f>
        <v>#NAME?</v>
      </c>
      <c r="M58" s="246" t="e">
        <f ca="1">1/_xll.BDH("RUB curncy","PX_LAST",$N58)</f>
        <v>#NAME?</v>
      </c>
      <c r="N58" s="239">
        <v>42655</v>
      </c>
    </row>
    <row r="59" spans="2:14" x14ac:dyDescent="0.2">
      <c r="B59" s="217"/>
      <c r="D59" s="215"/>
      <c r="E59" s="215"/>
      <c r="F59" s="213">
        <f>SUM(F58)</f>
        <v>4630</v>
      </c>
      <c r="G59" s="215"/>
      <c r="H59" s="214">
        <f>I59/F59</f>
        <v>655.48920099999998</v>
      </c>
      <c r="I59" s="213">
        <f>SUM(I58)</f>
        <v>3034915.0006299997</v>
      </c>
      <c r="J59" s="213" t="e">
        <f ca="1">SUM(J58)</f>
        <v>#NAME?</v>
      </c>
      <c r="K59" s="213" t="e">
        <f ca="1">SUM(K58)</f>
        <v>#NAME?</v>
      </c>
      <c r="L59" s="212"/>
      <c r="M59" s="211"/>
      <c r="N59" s="210"/>
    </row>
    <row r="60" spans="2:14" x14ac:dyDescent="0.2">
      <c r="B60" s="217"/>
      <c r="C60" s="216"/>
      <c r="D60" s="215"/>
      <c r="E60" s="215"/>
      <c r="F60" s="213"/>
      <c r="G60" s="215"/>
      <c r="H60" s="238"/>
      <c r="I60" s="213"/>
      <c r="J60" s="213"/>
      <c r="K60" s="213"/>
      <c r="L60" s="212"/>
      <c r="M60" s="211"/>
      <c r="N60" s="210"/>
    </row>
    <row r="61" spans="2:14" x14ac:dyDescent="0.2">
      <c r="B61" s="226" t="s">
        <v>650</v>
      </c>
      <c r="C61" s="253" t="s">
        <v>331</v>
      </c>
      <c r="D61" s="251" t="e">
        <f ca="1">_xll.BDP(C61,"SECURITY_NAME")</f>
        <v>#NAME?</v>
      </c>
      <c r="E61" s="251" t="s">
        <v>50</v>
      </c>
      <c r="F61" s="252">
        <v>6180</v>
      </c>
      <c r="G61" s="251" t="e">
        <f ca="1">_xll.BDP(C61,"CRNCY")</f>
        <v>#NAME?</v>
      </c>
      <c r="H61" s="250">
        <v>7.5</v>
      </c>
      <c r="I61" s="248">
        <f>F61*H61</f>
        <v>46350</v>
      </c>
      <c r="J61" s="249">
        <f>I61</f>
        <v>46350</v>
      </c>
      <c r="K61" s="248" t="e">
        <f ca="1">J61*L61</f>
        <v>#NAME?</v>
      </c>
      <c r="L61" s="247" t="e">
        <f ca="1">_xll.BDH("RUB curncy","PX_LAST",$N61)</f>
        <v>#NAME?</v>
      </c>
      <c r="M61" s="246" t="e">
        <f ca="1">1/_xll.BDH("RUB curncy","PX_LAST",$N61)</f>
        <v>#NAME?</v>
      </c>
      <c r="N61" s="239">
        <v>42436</v>
      </c>
    </row>
    <row r="62" spans="2:14" x14ac:dyDescent="0.2">
      <c r="B62" s="217"/>
      <c r="D62" s="215"/>
      <c r="E62" s="215"/>
      <c r="F62" s="213">
        <f>SUM(F61)</f>
        <v>6180</v>
      </c>
      <c r="G62" s="215"/>
      <c r="H62" s="214">
        <f>I62/F62</f>
        <v>7.5</v>
      </c>
      <c r="I62" s="213">
        <f>SUM(I61)</f>
        <v>46350</v>
      </c>
      <c r="J62" s="213">
        <f>SUM(J61)</f>
        <v>46350</v>
      </c>
      <c r="K62" s="213" t="e">
        <f ca="1">SUM(K61)</f>
        <v>#NAME?</v>
      </c>
      <c r="L62" s="212"/>
      <c r="M62" s="211"/>
      <c r="N62" s="210"/>
    </row>
    <row r="63" spans="2:14" x14ac:dyDescent="0.2">
      <c r="B63" s="217"/>
      <c r="C63" s="216"/>
      <c r="D63" s="215"/>
      <c r="E63" s="215"/>
      <c r="F63" s="213"/>
      <c r="G63" s="215"/>
      <c r="H63" s="238"/>
      <c r="I63" s="213"/>
      <c r="J63" s="213"/>
      <c r="K63" s="213"/>
      <c r="L63" s="212"/>
      <c r="M63" s="211"/>
      <c r="N63" s="210"/>
    </row>
    <row r="64" spans="2:14" x14ac:dyDescent="0.2">
      <c r="B64" s="226" t="s">
        <v>650</v>
      </c>
      <c r="C64" s="253" t="s">
        <v>745</v>
      </c>
      <c r="D64" s="251" t="e">
        <f ca="1">_xll.BDP(C64,"SECURITY_NAME")</f>
        <v>#NAME?</v>
      </c>
      <c r="E64" s="251" t="s">
        <v>50</v>
      </c>
      <c r="F64" s="252">
        <v>907</v>
      </c>
      <c r="G64" s="251" t="e">
        <f ca="1">_xll.BDP(C64,"CRNCY")</f>
        <v>#NAME?</v>
      </c>
      <c r="H64" s="250">
        <v>50.6</v>
      </c>
      <c r="I64" s="248">
        <f>F64*H64</f>
        <v>45894.200000000004</v>
      </c>
      <c r="J64" s="249">
        <f>I64</f>
        <v>45894.200000000004</v>
      </c>
      <c r="K64" s="248" t="e">
        <f ca="1">J64*L64</f>
        <v>#NAME?</v>
      </c>
      <c r="L64" s="247" t="e">
        <f ca="1">_xll.BDH("RUB curncy","PX_LAST",$N64)</f>
        <v>#NAME?</v>
      </c>
      <c r="M64" s="246" t="e">
        <f ca="1">1/_xll.BDH("RUB curncy","PX_LAST",$N64)</f>
        <v>#NAME?</v>
      </c>
      <c r="N64" s="239">
        <v>42607</v>
      </c>
    </row>
    <row r="65" spans="2:14" x14ac:dyDescent="0.2">
      <c r="B65" s="217"/>
      <c r="D65" s="215"/>
      <c r="E65" s="215"/>
      <c r="F65" s="213">
        <f>SUM(F64)</f>
        <v>907</v>
      </c>
      <c r="G65" s="215"/>
      <c r="H65" s="214">
        <f>I65/F65</f>
        <v>50.6</v>
      </c>
      <c r="I65" s="213">
        <f>SUM(I64)</f>
        <v>45894.200000000004</v>
      </c>
      <c r="J65" s="213">
        <f>SUM(J64)</f>
        <v>45894.200000000004</v>
      </c>
      <c r="K65" s="213" t="e">
        <f ca="1">SUM(K64)</f>
        <v>#NAME?</v>
      </c>
      <c r="L65" s="212"/>
      <c r="M65" s="211"/>
      <c r="N65" s="210"/>
    </row>
    <row r="66" spans="2:14" x14ac:dyDescent="0.2">
      <c r="B66" s="217"/>
      <c r="C66" s="216"/>
      <c r="D66" s="215"/>
      <c r="E66" s="215"/>
      <c r="F66" s="213"/>
      <c r="G66" s="215"/>
      <c r="H66" s="238"/>
      <c r="I66" s="213"/>
      <c r="J66" s="213"/>
      <c r="K66" s="213"/>
      <c r="L66" s="212"/>
      <c r="M66" s="211"/>
      <c r="N66" s="210"/>
    </row>
    <row r="67" spans="2:14" x14ac:dyDescent="0.2">
      <c r="B67" s="226"/>
      <c r="C67" s="225"/>
      <c r="D67" s="223"/>
      <c r="E67" s="223"/>
      <c r="F67" s="224"/>
      <c r="G67" s="223"/>
      <c r="H67" s="222"/>
      <c r="I67" s="220"/>
      <c r="J67" s="221"/>
      <c r="K67" s="220"/>
      <c r="L67" s="219"/>
      <c r="M67" s="218"/>
      <c r="N67" s="210"/>
    </row>
    <row r="68" spans="2:14" x14ac:dyDescent="0.2">
      <c r="B68" s="217"/>
      <c r="C68" s="216"/>
      <c r="D68" s="215"/>
      <c r="E68" s="215"/>
      <c r="F68" s="213"/>
      <c r="G68" s="215"/>
      <c r="H68" s="238"/>
      <c r="I68" s="213"/>
      <c r="J68" s="213"/>
      <c r="K68" s="213"/>
      <c r="L68" s="212"/>
      <c r="M68" s="211"/>
      <c r="N68" s="210"/>
    </row>
    <row r="69" spans="2:14" x14ac:dyDescent="0.2">
      <c r="B69" s="217"/>
      <c r="C69" s="216"/>
      <c r="D69" s="215"/>
      <c r="E69" s="215"/>
      <c r="F69" s="213"/>
      <c r="G69" s="215"/>
      <c r="H69" s="238"/>
      <c r="I69" s="213"/>
      <c r="J69" s="213"/>
      <c r="K69" s="213"/>
      <c r="L69" s="212"/>
      <c r="M69" s="211"/>
      <c r="N69" s="210"/>
    </row>
    <row r="70" spans="2:14" x14ac:dyDescent="0.2">
      <c r="B70" s="226"/>
      <c r="C70" s="225"/>
      <c r="D70" s="223"/>
      <c r="E70" s="223"/>
      <c r="F70" s="224"/>
      <c r="G70" s="223"/>
      <c r="H70" s="222"/>
      <c r="I70" s="220"/>
      <c r="J70" s="221"/>
      <c r="K70" s="220"/>
      <c r="L70" s="219"/>
      <c r="M70" s="218"/>
      <c r="N70" s="210"/>
    </row>
    <row r="71" spans="2:14" x14ac:dyDescent="0.2">
      <c r="B71" s="217"/>
      <c r="C71" s="216"/>
      <c r="D71" s="215"/>
      <c r="E71" s="215"/>
      <c r="F71" s="213"/>
      <c r="G71" s="215"/>
      <c r="H71" s="238"/>
      <c r="I71" s="213"/>
      <c r="J71" s="213"/>
      <c r="K71" s="213"/>
      <c r="L71" s="212"/>
      <c r="M71" s="211"/>
      <c r="N71" s="210"/>
    </row>
    <row r="72" spans="2:14" x14ac:dyDescent="0.2">
      <c r="B72" s="217"/>
      <c r="C72" s="216"/>
      <c r="D72" s="215"/>
      <c r="E72" s="215"/>
      <c r="F72" s="213"/>
      <c r="G72" s="215"/>
      <c r="H72" s="238"/>
      <c r="I72" s="213"/>
      <c r="J72" s="213"/>
      <c r="K72" s="213"/>
      <c r="L72" s="212"/>
      <c r="M72" s="211"/>
      <c r="N72" s="210"/>
    </row>
    <row r="73" spans="2:14" x14ac:dyDescent="0.2">
      <c r="B73" s="226"/>
      <c r="C73" s="225"/>
      <c r="D73" s="223"/>
      <c r="E73" s="223"/>
      <c r="F73" s="224"/>
      <c r="G73" s="223"/>
      <c r="H73" s="222"/>
      <c r="I73" s="220"/>
      <c r="J73" s="221"/>
      <c r="K73" s="220"/>
      <c r="L73" s="219"/>
      <c r="M73" s="218"/>
      <c r="N73" s="210"/>
    </row>
    <row r="74" spans="2:14" x14ac:dyDescent="0.2">
      <c r="B74" s="217"/>
      <c r="C74" s="216"/>
      <c r="D74" s="215"/>
      <c r="E74" s="215"/>
      <c r="F74" s="213"/>
      <c r="G74" s="215"/>
      <c r="H74" s="238"/>
      <c r="I74" s="213"/>
      <c r="J74" s="213"/>
      <c r="K74" s="213"/>
      <c r="L74" s="212"/>
      <c r="M74" s="211"/>
      <c r="N74" s="210"/>
    </row>
    <row r="75" spans="2:14" x14ac:dyDescent="0.2">
      <c r="B75" s="217"/>
      <c r="C75" s="216"/>
      <c r="D75" s="215"/>
      <c r="E75" s="215"/>
      <c r="F75" s="213"/>
      <c r="G75" s="215"/>
      <c r="H75" s="238"/>
      <c r="I75" s="213"/>
      <c r="J75" s="213"/>
      <c r="K75" s="213"/>
      <c r="L75" s="212"/>
      <c r="M75" s="211"/>
      <c r="N75" s="210"/>
    </row>
    <row r="76" spans="2:14" x14ac:dyDescent="0.2">
      <c r="B76" s="226"/>
      <c r="C76" s="225"/>
      <c r="D76" s="223"/>
      <c r="E76" s="223"/>
      <c r="F76" s="224"/>
      <c r="G76" s="223"/>
      <c r="H76" s="222"/>
      <c r="I76" s="220"/>
      <c r="J76" s="221"/>
      <c r="K76" s="220"/>
      <c r="L76" s="219"/>
      <c r="M76" s="218"/>
      <c r="N76" s="210"/>
    </row>
    <row r="77" spans="2:14" x14ac:dyDescent="0.2">
      <c r="B77" s="217"/>
      <c r="C77" s="216"/>
      <c r="D77" s="215"/>
      <c r="E77" s="215"/>
      <c r="F77" s="213"/>
      <c r="G77" s="215"/>
      <c r="H77" s="238"/>
      <c r="I77" s="213"/>
      <c r="J77" s="213"/>
      <c r="K77" s="213"/>
      <c r="L77" s="212"/>
      <c r="M77" s="211"/>
      <c r="N77" s="210"/>
    </row>
    <row r="78" spans="2:14" x14ac:dyDescent="0.2">
      <c r="B78" s="217"/>
      <c r="C78" s="216"/>
      <c r="D78" s="215"/>
      <c r="E78" s="215"/>
      <c r="F78" s="213"/>
      <c r="G78" s="215"/>
      <c r="H78" s="238"/>
      <c r="I78" s="213"/>
      <c r="J78" s="213"/>
      <c r="K78" s="213"/>
      <c r="L78" s="212"/>
      <c r="M78" s="211"/>
      <c r="N78" s="210"/>
    </row>
    <row r="79" spans="2:14" x14ac:dyDescent="0.2">
      <c r="B79" s="226"/>
      <c r="C79" s="225"/>
      <c r="D79" s="223"/>
      <c r="E79" s="223"/>
      <c r="F79" s="224"/>
      <c r="G79" s="223"/>
      <c r="H79" s="222"/>
      <c r="I79" s="220"/>
      <c r="J79" s="221"/>
      <c r="K79" s="220"/>
      <c r="L79" s="219"/>
      <c r="M79" s="218"/>
      <c r="N79" s="210"/>
    </row>
    <row r="80" spans="2:14" x14ac:dyDescent="0.2">
      <c r="B80" s="217"/>
      <c r="C80" s="216"/>
      <c r="D80" s="215"/>
      <c r="E80" s="215"/>
      <c r="F80" s="213"/>
      <c r="G80" s="215"/>
      <c r="H80" s="238"/>
      <c r="I80" s="213"/>
      <c r="J80" s="213"/>
      <c r="K80" s="213"/>
      <c r="L80" s="212"/>
      <c r="M80" s="211"/>
      <c r="N80" s="210"/>
    </row>
    <row r="81" spans="2:14" x14ac:dyDescent="0.2">
      <c r="B81" s="217"/>
      <c r="C81" s="216"/>
      <c r="D81" s="215"/>
      <c r="E81" s="215"/>
      <c r="F81" s="213"/>
      <c r="G81" s="215"/>
      <c r="H81" s="238"/>
      <c r="I81" s="213"/>
      <c r="J81" s="213"/>
      <c r="K81" s="213"/>
      <c r="L81" s="212"/>
      <c r="M81" s="211"/>
      <c r="N81" s="210"/>
    </row>
    <row r="82" spans="2:14" x14ac:dyDescent="0.2">
      <c r="B82" s="226"/>
      <c r="C82" s="225"/>
      <c r="D82" s="223"/>
      <c r="E82" s="223"/>
      <c r="F82" s="224"/>
      <c r="G82" s="223"/>
      <c r="H82" s="222"/>
      <c r="I82" s="220"/>
      <c r="J82" s="221"/>
      <c r="K82" s="220"/>
      <c r="L82" s="219"/>
      <c r="M82" s="218"/>
      <c r="N82" s="210"/>
    </row>
    <row r="83" spans="2:14" x14ac:dyDescent="0.2">
      <c r="B83" s="217"/>
      <c r="C83" s="216"/>
      <c r="D83" s="215"/>
      <c r="E83" s="215"/>
      <c r="F83" s="213"/>
      <c r="G83" s="215"/>
      <c r="H83" s="238"/>
      <c r="I83" s="213"/>
      <c r="J83" s="213"/>
      <c r="K83" s="213"/>
      <c r="L83" s="212"/>
      <c r="M83" s="211"/>
      <c r="N83" s="210"/>
    </row>
    <row r="84" spans="2:14" x14ac:dyDescent="0.2">
      <c r="B84" s="217"/>
      <c r="C84" s="216"/>
      <c r="D84" s="215"/>
      <c r="E84" s="215"/>
      <c r="F84" s="213"/>
      <c r="G84" s="215"/>
      <c r="H84" s="238"/>
      <c r="I84" s="213"/>
      <c r="J84" s="213"/>
      <c r="K84" s="213"/>
      <c r="L84" s="212"/>
      <c r="M84" s="211"/>
      <c r="N84" s="210"/>
    </row>
    <row r="85" spans="2:14" x14ac:dyDescent="0.2">
      <c r="B85" s="226"/>
      <c r="C85" s="225"/>
      <c r="D85" s="223"/>
      <c r="E85" s="223"/>
      <c r="F85" s="224"/>
      <c r="G85" s="223"/>
      <c r="H85" s="222"/>
      <c r="I85" s="220"/>
      <c r="J85" s="221"/>
      <c r="K85" s="220"/>
      <c r="L85" s="219"/>
      <c r="M85" s="218"/>
      <c r="N85" s="210"/>
    </row>
    <row r="86" spans="2:14" x14ac:dyDescent="0.2">
      <c r="B86" s="217"/>
      <c r="C86" s="216"/>
      <c r="D86" s="215"/>
      <c r="E86" s="215"/>
      <c r="F86" s="213"/>
      <c r="G86" s="215"/>
      <c r="H86" s="238"/>
      <c r="I86" s="213"/>
      <c r="J86" s="213"/>
      <c r="K86" s="213"/>
      <c r="L86" s="212"/>
      <c r="M86" s="211"/>
      <c r="N86" s="210"/>
    </row>
    <row r="87" spans="2:14" x14ac:dyDescent="0.2">
      <c r="B87" s="217"/>
      <c r="C87" s="216"/>
      <c r="D87" s="215"/>
      <c r="E87" s="215"/>
      <c r="F87" s="213"/>
      <c r="G87" s="215"/>
      <c r="H87" s="238"/>
      <c r="I87" s="213"/>
      <c r="J87" s="213"/>
      <c r="K87" s="213"/>
      <c r="L87" s="212"/>
      <c r="M87" s="211"/>
      <c r="N87" s="210"/>
    </row>
    <row r="88" spans="2:14" x14ac:dyDescent="0.2">
      <c r="B88" s="226"/>
      <c r="C88" s="225"/>
      <c r="D88" s="223"/>
      <c r="E88" s="223"/>
      <c r="F88" s="224"/>
      <c r="G88" s="223"/>
      <c r="H88" s="222"/>
      <c r="I88" s="220"/>
      <c r="J88" s="221"/>
      <c r="K88" s="220"/>
      <c r="L88" s="219"/>
      <c r="M88" s="218"/>
      <c r="N88" s="210"/>
    </row>
    <row r="89" spans="2:14" x14ac:dyDescent="0.2">
      <c r="B89" s="217"/>
      <c r="C89" s="216"/>
      <c r="D89" s="215"/>
      <c r="E89" s="215"/>
      <c r="F89" s="213"/>
      <c r="G89" s="215"/>
      <c r="H89" s="238"/>
      <c r="I89" s="213"/>
      <c r="J89" s="213"/>
      <c r="K89" s="213"/>
      <c r="L89" s="212"/>
      <c r="M89" s="211"/>
      <c r="N89" s="210"/>
    </row>
    <row r="90" spans="2:14" x14ac:dyDescent="0.2">
      <c r="B90" s="217"/>
      <c r="C90" s="216"/>
      <c r="D90" s="215"/>
      <c r="E90" s="215"/>
      <c r="F90" s="213"/>
      <c r="G90" s="215"/>
      <c r="H90" s="238"/>
      <c r="I90" s="213"/>
      <c r="J90" s="213"/>
      <c r="K90" s="213"/>
      <c r="L90" s="212"/>
      <c r="M90" s="211"/>
      <c r="N90" s="210"/>
    </row>
    <row r="91" spans="2:14" x14ac:dyDescent="0.2">
      <c r="B91" s="226"/>
      <c r="C91" s="225"/>
      <c r="D91" s="223"/>
      <c r="E91" s="223"/>
      <c r="F91" s="224"/>
      <c r="G91" s="223"/>
      <c r="H91" s="222"/>
      <c r="I91" s="220"/>
      <c r="J91" s="221"/>
      <c r="K91" s="220"/>
      <c r="L91" s="219"/>
      <c r="M91" s="218"/>
      <c r="N91" s="210"/>
    </row>
    <row r="92" spans="2:14" x14ac:dyDescent="0.2">
      <c r="B92" s="226"/>
      <c r="C92" s="225"/>
      <c r="D92" s="223"/>
      <c r="E92" s="223"/>
      <c r="F92" s="224"/>
      <c r="G92" s="223"/>
      <c r="H92" s="222"/>
      <c r="I92" s="220"/>
      <c r="J92" s="221"/>
      <c r="K92" s="220"/>
      <c r="L92" s="219"/>
      <c r="M92" s="218"/>
      <c r="N92" s="210"/>
    </row>
    <row r="93" spans="2:14" x14ac:dyDescent="0.2">
      <c r="B93" s="217"/>
      <c r="C93" s="216"/>
      <c r="D93" s="215"/>
      <c r="E93" s="215"/>
      <c r="F93" s="213"/>
      <c r="G93" s="215"/>
      <c r="H93" s="238"/>
      <c r="I93" s="213"/>
      <c r="J93" s="213"/>
      <c r="K93" s="213"/>
      <c r="L93" s="212"/>
      <c r="M93" s="211"/>
      <c r="N93" s="210"/>
    </row>
    <row r="95" spans="2:14" x14ac:dyDescent="0.2">
      <c r="B95" s="226"/>
      <c r="C95" s="225"/>
      <c r="D95" s="223"/>
      <c r="E95" s="223"/>
      <c r="F95" s="224"/>
      <c r="G95" s="223"/>
      <c r="H95" s="222"/>
      <c r="I95" s="220"/>
      <c r="J95" s="221"/>
      <c r="K95" s="220"/>
      <c r="L95" s="219"/>
      <c r="M95" s="218"/>
      <c r="N95" s="210"/>
    </row>
    <row r="96" spans="2:14" x14ac:dyDescent="0.2">
      <c r="B96" s="217"/>
      <c r="C96" s="216"/>
      <c r="D96" s="215"/>
      <c r="E96" s="215"/>
      <c r="F96" s="213"/>
      <c r="G96" s="215"/>
      <c r="H96" s="238"/>
      <c r="I96" s="213"/>
      <c r="J96" s="213"/>
      <c r="K96" s="213"/>
      <c r="L96" s="212"/>
      <c r="M96" s="211"/>
      <c r="N96" s="210"/>
    </row>
    <row r="98" spans="2:14" x14ac:dyDescent="0.2">
      <c r="B98" s="226"/>
      <c r="C98" s="225"/>
      <c r="D98" s="223"/>
      <c r="E98" s="223"/>
      <c r="F98" s="224"/>
      <c r="G98" s="223"/>
      <c r="H98" s="222"/>
      <c r="I98" s="220"/>
      <c r="J98" s="221"/>
      <c r="K98" s="220"/>
      <c r="L98" s="219"/>
      <c r="M98" s="218"/>
      <c r="N98" s="210"/>
    </row>
    <row r="99" spans="2:14" x14ac:dyDescent="0.2">
      <c r="B99" s="226"/>
      <c r="C99" s="225"/>
      <c r="D99" s="223"/>
      <c r="E99" s="223"/>
      <c r="F99" s="224"/>
      <c r="G99" s="223"/>
      <c r="H99" s="222"/>
      <c r="I99" s="220"/>
      <c r="J99" s="221"/>
      <c r="K99" s="220"/>
      <c r="L99" s="219"/>
      <c r="M99" s="218"/>
      <c r="N99" s="210"/>
    </row>
    <row r="100" spans="2:14" x14ac:dyDescent="0.2">
      <c r="B100" s="226"/>
      <c r="C100" s="225"/>
      <c r="D100" s="223"/>
      <c r="E100" s="223"/>
      <c r="F100" s="224"/>
      <c r="G100" s="223"/>
      <c r="H100" s="222"/>
      <c r="I100" s="220"/>
      <c r="J100" s="221"/>
      <c r="K100" s="220"/>
      <c r="L100" s="219"/>
      <c r="M100" s="218"/>
      <c r="N100" s="210"/>
    </row>
    <row r="101" spans="2:14" x14ac:dyDescent="0.2">
      <c r="B101" s="226"/>
      <c r="C101" s="225"/>
      <c r="D101" s="223"/>
      <c r="E101" s="223"/>
      <c r="F101" s="224"/>
      <c r="G101" s="223"/>
      <c r="H101" s="222"/>
      <c r="I101" s="220"/>
      <c r="J101" s="221"/>
      <c r="K101" s="220"/>
      <c r="L101" s="219"/>
      <c r="M101" s="218"/>
      <c r="N101" s="210"/>
    </row>
    <row r="102" spans="2:14" x14ac:dyDescent="0.2">
      <c r="B102" s="226"/>
      <c r="C102" s="225"/>
      <c r="D102" s="223"/>
      <c r="E102" s="223"/>
      <c r="F102" s="224"/>
      <c r="G102" s="223"/>
      <c r="H102" s="222"/>
      <c r="I102" s="220"/>
      <c r="J102" s="221"/>
      <c r="K102" s="220"/>
      <c r="L102" s="219"/>
      <c r="M102" s="218"/>
      <c r="N102" s="210"/>
    </row>
    <row r="103" spans="2:14" x14ac:dyDescent="0.2">
      <c r="B103" s="226"/>
      <c r="C103" s="225"/>
      <c r="D103" s="223"/>
      <c r="E103" s="223"/>
      <c r="F103" s="224"/>
      <c r="G103" s="223"/>
      <c r="H103" s="222"/>
      <c r="I103" s="220"/>
      <c r="J103" s="221"/>
      <c r="K103" s="220"/>
      <c r="L103" s="219"/>
      <c r="M103" s="218"/>
      <c r="N103" s="210"/>
    </row>
    <row r="104" spans="2:14" x14ac:dyDescent="0.2">
      <c r="B104" s="217"/>
      <c r="D104" s="215"/>
      <c r="E104" s="215"/>
      <c r="F104" s="213"/>
      <c r="G104" s="215"/>
      <c r="H104" s="214"/>
      <c r="I104" s="213"/>
      <c r="J104" s="213"/>
      <c r="K104" s="213"/>
      <c r="L104" s="212"/>
      <c r="M104" s="211"/>
      <c r="N104" s="210"/>
    </row>
    <row r="106" spans="2:14" x14ac:dyDescent="0.2">
      <c r="B106" s="226"/>
      <c r="C106" s="225"/>
      <c r="D106" s="223"/>
      <c r="E106" s="223"/>
      <c r="F106" s="224"/>
      <c r="G106" s="223"/>
      <c r="H106" s="222"/>
      <c r="I106" s="220"/>
      <c r="J106" s="221"/>
      <c r="K106" s="220"/>
      <c r="L106" s="219"/>
      <c r="M106" s="218"/>
      <c r="N106" s="210"/>
    </row>
    <row r="107" spans="2:14" x14ac:dyDescent="0.2">
      <c r="B107" s="217"/>
      <c r="C107" s="216"/>
      <c r="D107" s="215"/>
      <c r="E107" s="215"/>
      <c r="F107" s="213"/>
      <c r="G107" s="215"/>
      <c r="H107" s="238"/>
      <c r="I107" s="213"/>
      <c r="J107" s="213"/>
      <c r="K107" s="213"/>
      <c r="L107" s="212"/>
      <c r="M107" s="211"/>
      <c r="N107" s="210"/>
    </row>
    <row r="109" spans="2:14" x14ac:dyDescent="0.2">
      <c r="B109" s="226"/>
      <c r="C109" s="225"/>
      <c r="D109" s="223"/>
      <c r="E109" s="223"/>
      <c r="F109" s="224"/>
      <c r="G109" s="223"/>
      <c r="H109" s="222"/>
      <c r="I109" s="220"/>
      <c r="J109" s="221"/>
      <c r="K109" s="220"/>
      <c r="L109" s="219"/>
      <c r="M109" s="218"/>
      <c r="N109" s="210"/>
    </row>
    <row r="110" spans="2:14" x14ac:dyDescent="0.2">
      <c r="B110" s="217"/>
      <c r="C110" s="216"/>
      <c r="D110" s="215"/>
      <c r="E110" s="215"/>
      <c r="F110" s="213"/>
      <c r="G110" s="215"/>
      <c r="H110" s="238"/>
      <c r="I110" s="213"/>
      <c r="J110" s="213"/>
      <c r="K110" s="213"/>
      <c r="L110" s="212"/>
      <c r="M110" s="211"/>
      <c r="N110" s="210"/>
    </row>
    <row r="112" spans="2:14" x14ac:dyDescent="0.2">
      <c r="B112" s="226"/>
      <c r="C112" s="225"/>
      <c r="D112" s="223"/>
      <c r="E112" s="223"/>
      <c r="F112" s="224"/>
      <c r="G112" s="223"/>
      <c r="H112" s="222"/>
      <c r="I112" s="220"/>
      <c r="J112" s="221"/>
      <c r="K112" s="220"/>
      <c r="L112" s="219"/>
      <c r="M112" s="218"/>
      <c r="N112" s="210"/>
    </row>
    <row r="113" spans="2:14" x14ac:dyDescent="0.2">
      <c r="B113" s="217"/>
      <c r="C113" s="216"/>
      <c r="D113" s="215"/>
      <c r="E113" s="215"/>
      <c r="F113" s="213"/>
      <c r="G113" s="215"/>
      <c r="H113" s="238"/>
      <c r="I113" s="213"/>
      <c r="J113" s="213"/>
      <c r="K113" s="213"/>
      <c r="L113" s="212"/>
      <c r="M113" s="211"/>
      <c r="N113" s="210"/>
    </row>
    <row r="115" spans="2:14" x14ac:dyDescent="0.2">
      <c r="B115" s="226"/>
      <c r="C115" s="225"/>
      <c r="D115" s="223"/>
      <c r="E115" s="223"/>
      <c r="F115" s="224"/>
      <c r="G115" s="223"/>
      <c r="H115" s="222"/>
      <c r="I115" s="220"/>
      <c r="J115" s="221"/>
      <c r="K115" s="220"/>
      <c r="L115" s="219"/>
      <c r="M115" s="218"/>
      <c r="N115" s="210"/>
    </row>
    <row r="116" spans="2:14" x14ac:dyDescent="0.2">
      <c r="B116" s="217"/>
      <c r="C116" s="216"/>
      <c r="D116" s="215"/>
      <c r="E116" s="215"/>
      <c r="F116" s="213"/>
      <c r="G116" s="215"/>
      <c r="H116" s="237"/>
      <c r="I116" s="213"/>
      <c r="J116" s="213"/>
      <c r="K116" s="213"/>
      <c r="L116" s="212"/>
      <c r="M116" s="211"/>
      <c r="N116" s="210"/>
    </row>
    <row r="118" spans="2:14" x14ac:dyDescent="0.2">
      <c r="B118" s="226"/>
      <c r="C118" s="225"/>
      <c r="D118" s="223"/>
      <c r="E118" s="223"/>
      <c r="F118" s="224"/>
      <c r="G118" s="223"/>
      <c r="H118" s="222"/>
      <c r="I118" s="220"/>
      <c r="J118" s="221"/>
      <c r="K118" s="220"/>
      <c r="L118" s="219"/>
      <c r="M118" s="218"/>
      <c r="N118" s="210"/>
    </row>
    <row r="119" spans="2:14" x14ac:dyDescent="0.2">
      <c r="B119" s="217"/>
      <c r="D119" s="215"/>
      <c r="E119" s="215"/>
      <c r="F119" s="213"/>
      <c r="G119" s="215"/>
      <c r="H119" s="214"/>
      <c r="I119" s="213"/>
      <c r="J119" s="213"/>
      <c r="K119" s="213"/>
      <c r="L119" s="212"/>
      <c r="M119" s="211"/>
      <c r="N119" s="210"/>
    </row>
    <row r="121" spans="2:14" x14ac:dyDescent="0.2">
      <c r="B121" s="226"/>
      <c r="C121" s="225"/>
      <c r="D121" s="223"/>
      <c r="E121" s="223"/>
      <c r="F121" s="224"/>
      <c r="G121" s="223"/>
      <c r="H121" s="222"/>
      <c r="I121" s="220"/>
      <c r="J121" s="221"/>
      <c r="K121" s="220"/>
      <c r="L121" s="219"/>
      <c r="M121" s="218"/>
      <c r="N121" s="210"/>
    </row>
    <row r="122" spans="2:14" x14ac:dyDescent="0.2">
      <c r="B122" s="226"/>
      <c r="C122" s="225"/>
      <c r="D122" s="223"/>
      <c r="E122" s="223"/>
      <c r="F122" s="224"/>
      <c r="G122" s="223"/>
      <c r="H122" s="222"/>
      <c r="I122" s="220"/>
      <c r="J122" s="221"/>
      <c r="K122" s="220"/>
      <c r="L122" s="219"/>
      <c r="M122" s="218"/>
      <c r="N122" s="210"/>
    </row>
    <row r="123" spans="2:14" x14ac:dyDescent="0.2">
      <c r="B123" s="226"/>
      <c r="C123" s="225"/>
      <c r="D123" s="223"/>
      <c r="E123" s="223"/>
      <c r="F123" s="224"/>
      <c r="G123" s="223"/>
      <c r="H123" s="222"/>
      <c r="I123" s="220"/>
      <c r="J123" s="221"/>
      <c r="K123" s="220"/>
      <c r="L123" s="219"/>
      <c r="M123" s="218"/>
      <c r="N123" s="210"/>
    </row>
    <row r="124" spans="2:14" x14ac:dyDescent="0.2">
      <c r="B124" s="226"/>
      <c r="C124" s="225"/>
      <c r="D124" s="223"/>
      <c r="E124" s="223"/>
      <c r="F124" s="224"/>
      <c r="G124" s="223"/>
      <c r="H124" s="222"/>
      <c r="I124" s="220"/>
      <c r="J124" s="221"/>
      <c r="K124" s="220"/>
      <c r="L124" s="219"/>
      <c r="M124" s="218"/>
      <c r="N124" s="210"/>
    </row>
    <row r="125" spans="2:14" x14ac:dyDescent="0.2">
      <c r="B125" s="226"/>
      <c r="C125" s="225"/>
      <c r="D125" s="223"/>
      <c r="E125" s="223"/>
      <c r="F125" s="224"/>
      <c r="G125" s="223"/>
      <c r="H125" s="222"/>
      <c r="I125" s="220"/>
      <c r="J125" s="221"/>
      <c r="K125" s="220"/>
      <c r="L125" s="219"/>
      <c r="M125" s="218"/>
      <c r="N125" s="210"/>
    </row>
    <row r="126" spans="2:14" x14ac:dyDescent="0.2">
      <c r="B126" s="226"/>
      <c r="C126" s="225"/>
      <c r="D126" s="223"/>
      <c r="E126" s="223"/>
      <c r="F126" s="224"/>
      <c r="G126" s="223"/>
      <c r="H126" s="222"/>
      <c r="I126" s="220"/>
      <c r="J126" s="221"/>
      <c r="K126" s="220"/>
      <c r="L126" s="219"/>
      <c r="M126" s="218"/>
      <c r="N126" s="210"/>
    </row>
    <row r="127" spans="2:14" x14ac:dyDescent="0.2">
      <c r="F127" s="213"/>
      <c r="H127" s="214"/>
      <c r="I127" s="213"/>
      <c r="J127" s="213"/>
      <c r="K127" s="213"/>
    </row>
    <row r="129" spans="2:14" x14ac:dyDescent="0.2">
      <c r="B129" s="226"/>
      <c r="C129" s="225"/>
      <c r="D129" s="223"/>
      <c r="E129" s="223"/>
      <c r="F129" s="224"/>
      <c r="G129" s="223"/>
      <c r="H129" s="222"/>
      <c r="I129" s="220"/>
      <c r="J129" s="221"/>
      <c r="K129" s="220"/>
      <c r="L129" s="219"/>
      <c r="M129" s="218"/>
      <c r="N129" s="210"/>
    </row>
    <row r="130" spans="2:14" x14ac:dyDescent="0.2">
      <c r="B130" s="217"/>
      <c r="D130" s="215"/>
      <c r="E130" s="215"/>
      <c r="F130" s="213"/>
      <c r="G130" s="215"/>
      <c r="H130" s="214"/>
      <c r="I130" s="213"/>
      <c r="J130" s="213"/>
      <c r="K130" s="213"/>
      <c r="L130" s="212"/>
      <c r="M130" s="211"/>
      <c r="N130" s="210"/>
    </row>
    <row r="131" spans="2:14" x14ac:dyDescent="0.2">
      <c r="B131" s="217"/>
      <c r="D131" s="215"/>
      <c r="E131" s="215"/>
      <c r="F131" s="213"/>
      <c r="G131" s="215"/>
      <c r="H131" s="214"/>
      <c r="I131" s="213"/>
      <c r="J131" s="213"/>
      <c r="K131" s="213"/>
      <c r="L131" s="212"/>
      <c r="M131" s="211"/>
      <c r="N131" s="210"/>
    </row>
    <row r="132" spans="2:14" x14ac:dyDescent="0.2">
      <c r="B132" s="226"/>
      <c r="C132" s="225"/>
      <c r="D132" s="223"/>
      <c r="E132" s="223"/>
      <c r="F132" s="224"/>
      <c r="G132" s="223"/>
      <c r="H132" s="222"/>
      <c r="I132" s="220"/>
      <c r="J132" s="221"/>
      <c r="K132" s="220"/>
      <c r="L132" s="219"/>
      <c r="M132" s="218"/>
      <c r="N132" s="210"/>
    </row>
    <row r="133" spans="2:14" x14ac:dyDescent="0.2">
      <c r="B133" s="226"/>
      <c r="C133" s="225"/>
      <c r="D133" s="223"/>
      <c r="E133" s="223"/>
      <c r="F133" s="224"/>
      <c r="G133" s="223"/>
      <c r="H133" s="222"/>
      <c r="I133" s="220"/>
      <c r="J133" s="221"/>
      <c r="K133" s="220"/>
      <c r="L133" s="219"/>
      <c r="M133" s="218"/>
      <c r="N133" s="210"/>
    </row>
    <row r="134" spans="2:14" x14ac:dyDescent="0.2">
      <c r="B134" s="217"/>
      <c r="D134" s="215"/>
      <c r="E134" s="215"/>
      <c r="F134" s="213"/>
      <c r="G134" s="215"/>
      <c r="H134" s="214"/>
      <c r="I134" s="213"/>
      <c r="J134" s="213"/>
      <c r="K134" s="213"/>
      <c r="L134" s="212"/>
      <c r="M134" s="211"/>
      <c r="N134" s="210"/>
    </row>
    <row r="136" spans="2:14" x14ac:dyDescent="0.2">
      <c r="B136" s="226"/>
      <c r="C136" s="225"/>
      <c r="D136" s="223"/>
      <c r="E136" s="223"/>
      <c r="F136" s="224"/>
      <c r="G136" s="223"/>
      <c r="H136" s="222"/>
      <c r="I136" s="220"/>
      <c r="J136" s="221"/>
      <c r="K136" s="220"/>
      <c r="L136" s="219"/>
      <c r="M136" s="218"/>
      <c r="N136" s="210"/>
    </row>
    <row r="137" spans="2:14" x14ac:dyDescent="0.2">
      <c r="B137" s="226"/>
      <c r="C137" s="225"/>
      <c r="D137" s="223"/>
      <c r="E137" s="223"/>
      <c r="F137" s="224"/>
      <c r="G137" s="223"/>
      <c r="H137" s="222"/>
      <c r="I137" s="220"/>
      <c r="J137" s="221"/>
      <c r="K137" s="220"/>
      <c r="L137" s="219"/>
      <c r="M137" s="218"/>
      <c r="N137" s="210"/>
    </row>
    <row r="138" spans="2:14" x14ac:dyDescent="0.2">
      <c r="B138" s="226"/>
      <c r="C138" s="225"/>
      <c r="D138" s="223"/>
      <c r="E138" s="223"/>
      <c r="F138" s="224"/>
      <c r="G138" s="223"/>
      <c r="H138" s="222"/>
      <c r="I138" s="220"/>
      <c r="J138" s="221"/>
      <c r="K138" s="220"/>
      <c r="L138" s="219"/>
      <c r="M138" s="218"/>
      <c r="N138" s="210"/>
    </row>
    <row r="139" spans="2:14" x14ac:dyDescent="0.2">
      <c r="B139" s="226"/>
      <c r="C139" s="225"/>
      <c r="D139" s="223"/>
      <c r="E139" s="223"/>
      <c r="F139" s="224"/>
      <c r="G139" s="223"/>
      <c r="H139" s="222"/>
      <c r="I139" s="220"/>
      <c r="J139" s="221"/>
      <c r="K139" s="220"/>
      <c r="L139" s="219"/>
      <c r="M139" s="218"/>
      <c r="N139" s="210"/>
    </row>
    <row r="140" spans="2:14" x14ac:dyDescent="0.2">
      <c r="B140" s="226"/>
      <c r="C140" s="225"/>
      <c r="D140" s="223"/>
      <c r="E140" s="223"/>
      <c r="F140" s="224"/>
      <c r="G140" s="223"/>
      <c r="H140" s="222"/>
      <c r="I140" s="220"/>
      <c r="J140" s="221"/>
      <c r="K140" s="220"/>
      <c r="L140" s="219"/>
      <c r="M140" s="218"/>
      <c r="N140" s="210"/>
    </row>
    <row r="141" spans="2:14" x14ac:dyDescent="0.2">
      <c r="B141" s="226"/>
      <c r="C141" s="225"/>
      <c r="D141" s="223"/>
      <c r="E141" s="223"/>
      <c r="F141" s="224"/>
      <c r="G141" s="223"/>
      <c r="H141" s="222"/>
      <c r="I141" s="220"/>
      <c r="J141" s="221"/>
      <c r="K141" s="220"/>
      <c r="L141" s="219"/>
      <c r="M141" s="218"/>
      <c r="N141" s="210"/>
    </row>
    <row r="142" spans="2:14" x14ac:dyDescent="0.2">
      <c r="F142" s="213"/>
      <c r="H142" s="214"/>
      <c r="I142" s="213"/>
      <c r="J142" s="213"/>
      <c r="K142" s="213"/>
    </row>
    <row r="144" spans="2:14" x14ac:dyDescent="0.2">
      <c r="B144" s="226"/>
      <c r="C144" s="225"/>
      <c r="D144" s="223"/>
      <c r="E144" s="223"/>
      <c r="F144" s="224"/>
      <c r="G144" s="223"/>
      <c r="H144" s="222"/>
      <c r="I144" s="220"/>
      <c r="J144" s="221"/>
      <c r="K144" s="220"/>
      <c r="L144" s="219"/>
      <c r="M144" s="218"/>
      <c r="N144" s="210"/>
    </row>
    <row r="145" spans="2:14" x14ac:dyDescent="0.2">
      <c r="B145" s="226"/>
      <c r="C145" s="225"/>
      <c r="D145" s="223"/>
      <c r="E145" s="223"/>
      <c r="F145" s="224"/>
      <c r="G145" s="223"/>
      <c r="H145" s="222"/>
      <c r="I145" s="220"/>
      <c r="J145" s="221"/>
      <c r="K145" s="220"/>
      <c r="L145" s="219"/>
      <c r="M145" s="218"/>
      <c r="N145" s="210"/>
    </row>
    <row r="146" spans="2:14" x14ac:dyDescent="0.2">
      <c r="F146" s="213"/>
      <c r="G146" s="213"/>
      <c r="H146" s="214"/>
      <c r="I146" s="213"/>
      <c r="J146" s="213"/>
      <c r="K146" s="213"/>
    </row>
    <row r="147" spans="2:14" x14ac:dyDescent="0.2">
      <c r="G147" s="213"/>
      <c r="H147" s="214"/>
      <c r="I147" s="213"/>
      <c r="J147" s="213"/>
      <c r="K147" s="213"/>
    </row>
    <row r="148" spans="2:14" x14ac:dyDescent="0.2">
      <c r="B148" s="226"/>
      <c r="C148" s="225"/>
      <c r="D148" s="223"/>
      <c r="E148" s="223"/>
      <c r="F148" s="224"/>
      <c r="G148" s="223"/>
      <c r="H148" s="222"/>
      <c r="I148" s="220"/>
      <c r="J148" s="221"/>
      <c r="K148" s="220"/>
      <c r="L148" s="219"/>
      <c r="M148" s="218"/>
      <c r="N148" s="210"/>
    </row>
    <row r="149" spans="2:14" x14ac:dyDescent="0.2">
      <c r="B149" s="226"/>
      <c r="C149" s="225"/>
      <c r="D149" s="223"/>
      <c r="E149" s="223"/>
      <c r="F149" s="224"/>
      <c r="G149" s="223"/>
      <c r="H149" s="222"/>
      <c r="I149" s="220"/>
      <c r="J149" s="221"/>
      <c r="K149" s="220"/>
      <c r="L149" s="219"/>
      <c r="M149" s="218"/>
      <c r="N149" s="210"/>
    </row>
    <row r="150" spans="2:14" x14ac:dyDescent="0.2">
      <c r="B150" s="226"/>
      <c r="C150" s="225"/>
      <c r="D150" s="223"/>
      <c r="E150" s="223"/>
      <c r="F150" s="224"/>
      <c r="G150" s="223"/>
      <c r="H150" s="222"/>
      <c r="I150" s="220"/>
      <c r="J150" s="221"/>
      <c r="K150" s="220"/>
      <c r="L150" s="219"/>
      <c r="M150" s="218"/>
      <c r="N150" s="210"/>
    </row>
    <row r="151" spans="2:14" x14ac:dyDescent="0.2">
      <c r="B151" s="217"/>
      <c r="C151" s="216"/>
      <c r="D151" s="215"/>
      <c r="E151" s="215"/>
      <c r="F151" s="213"/>
      <c r="G151" s="215"/>
      <c r="H151" s="213"/>
      <c r="I151" s="213"/>
      <c r="J151" s="213"/>
      <c r="K151" s="213"/>
      <c r="L151" s="212"/>
      <c r="M151" s="211"/>
      <c r="N151" s="210"/>
    </row>
    <row r="153" spans="2:14" x14ac:dyDescent="0.2">
      <c r="B153" s="226"/>
      <c r="C153" s="225"/>
      <c r="D153" s="223"/>
      <c r="E153" s="223"/>
      <c r="F153" s="224"/>
      <c r="G153" s="223"/>
      <c r="H153" s="222"/>
      <c r="I153" s="220"/>
      <c r="J153" s="221"/>
      <c r="K153" s="220"/>
      <c r="L153" s="219"/>
      <c r="M153" s="218"/>
      <c r="N153" s="210"/>
    </row>
    <row r="154" spans="2:14" x14ac:dyDescent="0.2">
      <c r="B154" s="217"/>
      <c r="C154" s="216"/>
      <c r="D154" s="215"/>
      <c r="E154" s="215"/>
      <c r="F154" s="213"/>
      <c r="G154" s="215"/>
      <c r="H154" s="214"/>
      <c r="I154" s="213"/>
      <c r="J154" s="213"/>
      <c r="K154" s="213"/>
      <c r="L154" s="212"/>
      <c r="M154" s="211"/>
      <c r="N154" s="210"/>
    </row>
    <row r="156" spans="2:14" x14ac:dyDescent="0.2">
      <c r="B156" s="226"/>
      <c r="C156" s="225"/>
      <c r="D156" s="223"/>
      <c r="E156" s="223"/>
      <c r="F156" s="224"/>
      <c r="G156" s="223"/>
      <c r="H156" s="222"/>
      <c r="I156" s="220"/>
      <c r="J156" s="221"/>
      <c r="K156" s="220"/>
      <c r="L156" s="219"/>
      <c r="M156" s="218"/>
      <c r="N156" s="210"/>
    </row>
    <row r="157" spans="2:14" x14ac:dyDescent="0.2">
      <c r="B157" s="226"/>
      <c r="C157" s="225"/>
      <c r="D157" s="223"/>
      <c r="E157" s="223"/>
      <c r="F157" s="224"/>
      <c r="G157" s="223"/>
      <c r="H157" s="222"/>
      <c r="I157" s="220"/>
      <c r="J157" s="221"/>
      <c r="K157" s="220"/>
      <c r="L157" s="219"/>
      <c r="M157" s="218"/>
      <c r="N157" s="210"/>
    </row>
    <row r="158" spans="2:14" x14ac:dyDescent="0.2">
      <c r="B158" s="226"/>
      <c r="C158" s="225"/>
      <c r="D158" s="223"/>
      <c r="E158" s="223"/>
      <c r="F158" s="224"/>
      <c r="G158" s="223"/>
      <c r="H158" s="222"/>
      <c r="I158" s="220"/>
      <c r="J158" s="221"/>
      <c r="K158" s="220"/>
      <c r="L158" s="219"/>
      <c r="M158" s="218"/>
      <c r="N158" s="210"/>
    </row>
    <row r="159" spans="2:14" x14ac:dyDescent="0.2">
      <c r="B159" s="226"/>
      <c r="C159" s="225"/>
      <c r="D159" s="223"/>
      <c r="E159" s="223"/>
      <c r="F159" s="224"/>
      <c r="G159" s="223"/>
      <c r="H159" s="222"/>
      <c r="I159" s="220"/>
      <c r="J159" s="221"/>
      <c r="K159" s="220"/>
      <c r="L159" s="219"/>
      <c r="M159" s="218"/>
      <c r="N159" s="210"/>
    </row>
    <row r="160" spans="2:14" x14ac:dyDescent="0.2">
      <c r="B160" s="217"/>
      <c r="C160" s="216"/>
      <c r="D160" s="215"/>
      <c r="E160" s="215"/>
      <c r="F160" s="213"/>
      <c r="G160" s="215"/>
      <c r="H160" s="214"/>
      <c r="I160" s="213"/>
      <c r="J160" s="213"/>
      <c r="K160" s="213"/>
      <c r="L160" s="212"/>
      <c r="M160" s="211"/>
      <c r="N160" s="210"/>
    </row>
    <row r="162" spans="2:14" x14ac:dyDescent="0.2">
      <c r="B162" s="226"/>
      <c r="C162" s="225"/>
      <c r="D162" s="223"/>
      <c r="E162" s="223"/>
      <c r="F162" s="224"/>
      <c r="G162" s="223"/>
      <c r="H162" s="222"/>
      <c r="I162" s="220"/>
      <c r="J162" s="221"/>
      <c r="K162" s="220"/>
      <c r="L162" s="219"/>
      <c r="M162" s="218"/>
      <c r="N162" s="210"/>
    </row>
    <row r="163" spans="2:14" x14ac:dyDescent="0.2">
      <c r="B163" s="226"/>
      <c r="C163" s="225"/>
      <c r="D163" s="223"/>
      <c r="E163" s="223"/>
      <c r="F163" s="224"/>
      <c r="G163" s="223"/>
      <c r="H163" s="222"/>
      <c r="I163" s="220"/>
      <c r="J163" s="221"/>
      <c r="K163" s="220"/>
      <c r="L163" s="219"/>
      <c r="M163" s="218"/>
      <c r="N163" s="210"/>
    </row>
    <row r="164" spans="2:14" x14ac:dyDescent="0.2">
      <c r="B164" s="226"/>
      <c r="C164" s="225"/>
      <c r="D164" s="223"/>
      <c r="E164" s="223"/>
      <c r="F164" s="224"/>
      <c r="G164" s="223"/>
      <c r="H164" s="222"/>
      <c r="I164" s="220"/>
      <c r="J164" s="221"/>
      <c r="K164" s="220"/>
      <c r="L164" s="219"/>
      <c r="M164" s="218"/>
      <c r="N164" s="210"/>
    </row>
    <row r="165" spans="2:14" x14ac:dyDescent="0.2">
      <c r="B165" s="217"/>
      <c r="C165" s="216"/>
      <c r="D165" s="215"/>
      <c r="E165" s="215"/>
      <c r="F165" s="213"/>
      <c r="G165" s="215"/>
      <c r="H165" s="214"/>
      <c r="I165" s="213"/>
      <c r="J165" s="213"/>
      <c r="K165" s="213"/>
      <c r="L165" s="212"/>
      <c r="M165" s="211"/>
      <c r="N165" s="210"/>
    </row>
    <row r="167" spans="2:14" x14ac:dyDescent="0.2">
      <c r="B167" s="226"/>
      <c r="C167" s="225"/>
      <c r="D167" s="223"/>
      <c r="E167" s="223"/>
      <c r="F167" s="224"/>
      <c r="G167" s="223"/>
      <c r="H167" s="222"/>
      <c r="I167" s="220"/>
      <c r="J167" s="221"/>
      <c r="K167" s="220"/>
      <c r="L167" s="219"/>
      <c r="M167" s="218"/>
      <c r="N167" s="210"/>
    </row>
    <row r="168" spans="2:14" x14ac:dyDescent="0.2">
      <c r="B168" s="226"/>
      <c r="C168" s="225"/>
      <c r="D168" s="223"/>
      <c r="E168" s="223"/>
      <c r="F168" s="224"/>
      <c r="G168" s="223"/>
      <c r="H168" s="222"/>
      <c r="I168" s="220"/>
      <c r="J168" s="221"/>
      <c r="K168" s="220"/>
      <c r="L168" s="219"/>
      <c r="M168" s="218"/>
      <c r="N168" s="210"/>
    </row>
    <row r="169" spans="2:14" x14ac:dyDescent="0.2">
      <c r="B169" s="226"/>
      <c r="C169" s="225"/>
      <c r="D169" s="223"/>
      <c r="E169" s="223"/>
      <c r="F169" s="224"/>
      <c r="G169" s="223"/>
      <c r="H169" s="222"/>
      <c r="I169" s="220"/>
      <c r="J169" s="221"/>
      <c r="K169" s="220"/>
      <c r="L169" s="219"/>
      <c r="M169" s="218"/>
      <c r="N169" s="210"/>
    </row>
    <row r="170" spans="2:14" x14ac:dyDescent="0.2">
      <c r="B170" s="217"/>
      <c r="C170" s="216"/>
      <c r="D170" s="215"/>
      <c r="E170" s="215"/>
      <c r="F170" s="213"/>
      <c r="G170" s="215"/>
      <c r="H170" s="213"/>
      <c r="I170" s="213"/>
      <c r="J170" s="213"/>
      <c r="K170" s="213"/>
      <c r="L170" s="212"/>
      <c r="M170" s="211"/>
      <c r="N170" s="210"/>
    </row>
    <row r="171" spans="2:14" x14ac:dyDescent="0.2">
      <c r="B171" s="217"/>
      <c r="C171" s="216"/>
      <c r="D171" s="215"/>
      <c r="E171" s="215"/>
      <c r="F171" s="213"/>
      <c r="G171" s="215"/>
      <c r="H171" s="214"/>
      <c r="I171" s="213"/>
      <c r="J171" s="213"/>
      <c r="K171" s="213"/>
      <c r="L171" s="212"/>
      <c r="M171" s="211"/>
      <c r="N171" s="210"/>
    </row>
    <row r="172" spans="2:14" x14ac:dyDescent="0.2">
      <c r="B172" s="226"/>
      <c r="C172" s="225"/>
      <c r="D172" s="223"/>
      <c r="E172" s="223"/>
      <c r="F172" s="224"/>
      <c r="G172" s="223"/>
      <c r="H172" s="222"/>
      <c r="I172" s="220"/>
      <c r="J172" s="221"/>
      <c r="K172" s="220"/>
      <c r="L172" s="219"/>
      <c r="M172" s="218"/>
      <c r="N172" s="210"/>
    </row>
    <row r="173" spans="2:14" x14ac:dyDescent="0.2">
      <c r="B173" s="226"/>
      <c r="C173" s="225"/>
      <c r="D173" s="223"/>
      <c r="E173" s="223"/>
      <c r="F173" s="224"/>
      <c r="G173" s="223"/>
      <c r="H173" s="222"/>
      <c r="I173" s="220"/>
      <c r="J173" s="221"/>
      <c r="K173" s="220"/>
      <c r="L173" s="219"/>
      <c r="M173" s="218"/>
      <c r="N173" s="210"/>
    </row>
    <row r="174" spans="2:14" x14ac:dyDescent="0.2">
      <c r="B174" s="226"/>
      <c r="C174" s="225"/>
      <c r="D174" s="223"/>
      <c r="E174" s="223"/>
      <c r="F174" s="224"/>
      <c r="G174" s="223"/>
      <c r="H174" s="222"/>
      <c r="I174" s="220"/>
      <c r="J174" s="221"/>
      <c r="K174" s="220"/>
      <c r="L174" s="219"/>
      <c r="M174" s="218"/>
      <c r="N174" s="210"/>
    </row>
    <row r="175" spans="2:14" x14ac:dyDescent="0.2">
      <c r="B175" s="226"/>
      <c r="C175" s="225"/>
      <c r="D175" s="223"/>
      <c r="E175" s="223"/>
      <c r="F175" s="224"/>
      <c r="G175" s="223"/>
      <c r="H175" s="222"/>
      <c r="I175" s="220"/>
      <c r="J175" s="221"/>
      <c r="K175" s="220"/>
      <c r="L175" s="219"/>
      <c r="M175" s="218"/>
      <c r="N175" s="210"/>
    </row>
    <row r="176" spans="2:14" x14ac:dyDescent="0.2">
      <c r="B176" s="226"/>
      <c r="C176" s="225"/>
      <c r="D176" s="223"/>
      <c r="E176" s="223"/>
      <c r="F176" s="224"/>
      <c r="G176" s="223"/>
      <c r="H176" s="222"/>
      <c r="I176" s="220"/>
      <c r="J176" s="221"/>
      <c r="K176" s="220"/>
      <c r="L176" s="219"/>
      <c r="M176" s="218"/>
      <c r="N176" s="210"/>
    </row>
    <row r="177" spans="2:14" x14ac:dyDescent="0.2">
      <c r="B177" s="226"/>
      <c r="C177" s="225"/>
      <c r="D177" s="223"/>
      <c r="E177" s="223"/>
      <c r="F177" s="224"/>
      <c r="G177" s="223"/>
      <c r="H177" s="222"/>
      <c r="I177" s="220"/>
      <c r="J177" s="221"/>
      <c r="K177" s="220"/>
      <c r="L177" s="219"/>
      <c r="M177" s="218"/>
      <c r="N177" s="210"/>
    </row>
    <row r="178" spans="2:14" x14ac:dyDescent="0.2">
      <c r="B178" s="226"/>
      <c r="C178" s="225"/>
      <c r="D178" s="223"/>
      <c r="E178" s="223"/>
      <c r="F178" s="224"/>
      <c r="G178" s="223"/>
      <c r="H178" s="222"/>
      <c r="I178" s="220"/>
      <c r="J178" s="221"/>
      <c r="K178" s="220"/>
      <c r="L178" s="219"/>
      <c r="M178" s="218"/>
      <c r="N178" s="210"/>
    </row>
    <row r="179" spans="2:14" x14ac:dyDescent="0.2">
      <c r="B179" s="226"/>
      <c r="C179" s="225"/>
      <c r="D179" s="223"/>
      <c r="E179" s="223"/>
      <c r="F179" s="224"/>
      <c r="G179" s="223"/>
      <c r="H179" s="222"/>
      <c r="I179" s="220"/>
      <c r="J179" s="221"/>
      <c r="K179" s="220"/>
      <c r="L179" s="219"/>
      <c r="M179" s="218"/>
      <c r="N179" s="210"/>
    </row>
    <row r="180" spans="2:14" x14ac:dyDescent="0.2">
      <c r="B180" s="226"/>
      <c r="C180" s="225"/>
      <c r="D180" s="223"/>
      <c r="E180" s="223"/>
      <c r="F180" s="224"/>
      <c r="G180" s="223"/>
      <c r="H180" s="222"/>
      <c r="I180" s="220"/>
      <c r="J180" s="221"/>
      <c r="K180" s="220"/>
      <c r="L180" s="219"/>
      <c r="M180" s="218"/>
      <c r="N180" s="210"/>
    </row>
    <row r="181" spans="2:14" x14ac:dyDescent="0.2">
      <c r="B181" s="217"/>
      <c r="C181" s="216"/>
      <c r="D181" s="215"/>
      <c r="E181" s="215"/>
      <c r="F181" s="213"/>
      <c r="G181" s="215"/>
      <c r="H181" s="214"/>
      <c r="I181" s="213"/>
      <c r="J181" s="213"/>
      <c r="K181" s="213"/>
      <c r="L181" s="212"/>
      <c r="M181" s="211"/>
      <c r="N181" s="210"/>
    </row>
    <row r="182" spans="2:14" x14ac:dyDescent="0.2">
      <c r="B182" s="217"/>
      <c r="C182" s="216"/>
      <c r="D182" s="215"/>
      <c r="E182" s="215"/>
      <c r="F182" s="213"/>
      <c r="G182" s="215"/>
      <c r="H182" s="214"/>
      <c r="I182" s="213"/>
      <c r="J182" s="213"/>
      <c r="K182" s="213"/>
      <c r="L182" s="212"/>
      <c r="M182" s="211"/>
      <c r="N182" s="210"/>
    </row>
    <row r="183" spans="2:14" x14ac:dyDescent="0.2">
      <c r="B183" s="226"/>
      <c r="C183" s="225"/>
      <c r="D183" s="223"/>
      <c r="E183" s="223"/>
      <c r="F183" s="224"/>
      <c r="G183" s="223"/>
      <c r="H183" s="222"/>
      <c r="I183" s="220"/>
      <c r="J183" s="221"/>
      <c r="K183" s="220"/>
      <c r="L183" s="219"/>
      <c r="M183" s="218"/>
      <c r="N183" s="210"/>
    </row>
    <row r="184" spans="2:14" x14ac:dyDescent="0.2">
      <c r="B184" s="217"/>
      <c r="C184" s="216"/>
      <c r="D184" s="215"/>
      <c r="E184" s="215"/>
      <c r="F184" s="213"/>
      <c r="G184" s="215"/>
      <c r="H184" s="214"/>
      <c r="I184" s="213"/>
      <c r="J184" s="213"/>
      <c r="K184" s="213"/>
      <c r="L184" s="212"/>
      <c r="M184" s="211"/>
      <c r="N184" s="210"/>
    </row>
    <row r="186" spans="2:14" x14ac:dyDescent="0.2">
      <c r="B186" s="226"/>
      <c r="C186" s="225"/>
      <c r="D186" s="223"/>
      <c r="E186" s="223"/>
      <c r="F186" s="224"/>
      <c r="G186" s="223"/>
      <c r="H186" s="222"/>
      <c r="I186" s="220"/>
      <c r="J186" s="221"/>
      <c r="K186" s="220"/>
      <c r="L186" s="219"/>
      <c r="M186" s="218"/>
      <c r="N186" s="210"/>
    </row>
    <row r="187" spans="2:14" x14ac:dyDescent="0.2">
      <c r="B187" s="226"/>
      <c r="C187" s="225"/>
      <c r="D187" s="223"/>
      <c r="E187" s="223"/>
      <c r="F187" s="224"/>
      <c r="G187" s="223"/>
      <c r="H187" s="222"/>
      <c r="I187" s="220"/>
      <c r="J187" s="221"/>
      <c r="K187" s="220"/>
      <c r="L187" s="219"/>
      <c r="M187" s="218"/>
      <c r="N187" s="210"/>
    </row>
    <row r="188" spans="2:14" x14ac:dyDescent="0.2">
      <c r="B188" s="226"/>
      <c r="C188" s="225"/>
      <c r="D188" s="223"/>
      <c r="E188" s="223"/>
      <c r="F188" s="224"/>
      <c r="G188" s="223"/>
      <c r="H188" s="222"/>
      <c r="I188" s="220"/>
      <c r="J188" s="221"/>
      <c r="K188" s="220"/>
      <c r="L188" s="219"/>
      <c r="M188" s="218"/>
      <c r="N188" s="210"/>
    </row>
    <row r="189" spans="2:14" x14ac:dyDescent="0.2">
      <c r="B189" s="217"/>
      <c r="C189" s="216"/>
      <c r="D189" s="215"/>
      <c r="E189" s="215"/>
      <c r="F189" s="213"/>
      <c r="G189" s="215"/>
      <c r="H189" s="214"/>
      <c r="I189" s="213"/>
      <c r="J189" s="213"/>
      <c r="K189" s="213"/>
      <c r="L189" s="212"/>
      <c r="M189" s="211"/>
      <c r="N189" s="210"/>
    </row>
    <row r="191" spans="2:14" x14ac:dyDescent="0.2">
      <c r="B191" s="226"/>
      <c r="C191" s="225"/>
      <c r="D191" s="223"/>
      <c r="E191" s="223"/>
      <c r="F191" s="224"/>
      <c r="G191" s="223"/>
      <c r="H191" s="222"/>
      <c r="I191" s="220"/>
      <c r="J191" s="221"/>
      <c r="K191" s="220"/>
      <c r="L191" s="219"/>
      <c r="M191" s="218"/>
      <c r="N191" s="210"/>
    </row>
    <row r="192" spans="2:14" x14ac:dyDescent="0.2">
      <c r="B192" s="217"/>
      <c r="C192" s="216"/>
      <c r="D192" s="215"/>
      <c r="E192" s="215"/>
      <c r="F192" s="213"/>
      <c r="G192" s="215"/>
      <c r="H192" s="214"/>
      <c r="I192" s="213"/>
      <c r="J192" s="213"/>
      <c r="K192" s="213"/>
      <c r="L192" s="212"/>
      <c r="M192" s="211"/>
      <c r="N192" s="210"/>
    </row>
    <row r="193" spans="2:14" x14ac:dyDescent="0.2">
      <c r="B193" s="217"/>
      <c r="C193" s="216"/>
      <c r="D193" s="215"/>
      <c r="E193" s="215"/>
      <c r="F193" s="213"/>
      <c r="G193" s="215"/>
      <c r="H193" s="214"/>
      <c r="I193" s="213"/>
      <c r="J193" s="213"/>
      <c r="K193" s="213"/>
      <c r="L193" s="212"/>
      <c r="M193" s="211"/>
      <c r="N193" s="210"/>
    </row>
    <row r="194" spans="2:14" x14ac:dyDescent="0.2">
      <c r="B194" s="217"/>
      <c r="C194" s="216"/>
      <c r="D194" s="215"/>
      <c r="E194" s="215"/>
      <c r="F194" s="213"/>
      <c r="G194" s="215"/>
      <c r="H194" s="214"/>
      <c r="I194" s="213"/>
      <c r="J194" s="213"/>
      <c r="K194" s="213"/>
      <c r="L194" s="212"/>
      <c r="M194" s="211"/>
      <c r="N194" s="210"/>
    </row>
    <row r="195" spans="2:14" x14ac:dyDescent="0.2">
      <c r="B195" s="226"/>
      <c r="C195" s="225"/>
      <c r="D195" s="223"/>
      <c r="E195" s="223"/>
      <c r="F195" s="224"/>
      <c r="G195" s="223"/>
      <c r="H195" s="222"/>
      <c r="I195" s="220"/>
      <c r="J195" s="221"/>
      <c r="K195" s="220"/>
      <c r="L195" s="219"/>
      <c r="M195" s="218"/>
      <c r="N195" s="210"/>
    </row>
    <row r="196" spans="2:14" x14ac:dyDescent="0.2">
      <c r="B196" s="226"/>
      <c r="C196" s="225"/>
      <c r="D196" s="223"/>
      <c r="E196" s="223"/>
      <c r="F196" s="224"/>
      <c r="G196" s="223"/>
      <c r="H196" s="222"/>
      <c r="I196" s="220"/>
      <c r="J196" s="221"/>
      <c r="K196" s="220"/>
      <c r="L196" s="219"/>
      <c r="M196" s="218"/>
      <c r="N196" s="210"/>
    </row>
    <row r="197" spans="2:14" x14ac:dyDescent="0.2">
      <c r="B197" s="226"/>
      <c r="C197" s="225"/>
      <c r="D197" s="223"/>
      <c r="E197" s="223"/>
      <c r="F197" s="224"/>
      <c r="G197" s="223"/>
      <c r="H197" s="222"/>
      <c r="I197" s="220"/>
      <c r="J197" s="221"/>
      <c r="K197" s="220"/>
      <c r="L197" s="219"/>
      <c r="M197" s="218"/>
      <c r="N197" s="210"/>
    </row>
    <row r="198" spans="2:14" x14ac:dyDescent="0.2">
      <c r="B198" s="226"/>
      <c r="C198" s="225"/>
      <c r="D198" s="223"/>
      <c r="E198" s="223"/>
      <c r="F198" s="224"/>
      <c r="G198" s="223"/>
      <c r="H198" s="222"/>
      <c r="I198" s="220"/>
      <c r="J198" s="221"/>
      <c r="K198" s="220"/>
      <c r="L198" s="219"/>
      <c r="M198" s="218"/>
      <c r="N198" s="210"/>
    </row>
    <row r="199" spans="2:14" x14ac:dyDescent="0.2">
      <c r="B199" s="226"/>
      <c r="C199" s="225"/>
      <c r="D199" s="223"/>
      <c r="E199" s="223"/>
      <c r="F199" s="224"/>
      <c r="G199" s="223"/>
      <c r="H199" s="222"/>
      <c r="I199" s="220"/>
      <c r="J199" s="221"/>
      <c r="K199" s="220"/>
      <c r="L199" s="219"/>
      <c r="M199" s="218"/>
      <c r="N199" s="210"/>
    </row>
    <row r="200" spans="2:14" x14ac:dyDescent="0.2">
      <c r="B200" s="226"/>
      <c r="C200" s="225"/>
      <c r="D200" s="223"/>
      <c r="E200" s="223"/>
      <c r="F200" s="224"/>
      <c r="G200" s="223"/>
      <c r="H200" s="222"/>
      <c r="I200" s="220"/>
      <c r="J200" s="221"/>
      <c r="K200" s="220"/>
      <c r="L200" s="219"/>
      <c r="M200" s="218"/>
      <c r="N200" s="210"/>
    </row>
    <row r="201" spans="2:14" x14ac:dyDescent="0.2">
      <c r="B201" s="217"/>
      <c r="C201" s="216"/>
      <c r="D201" s="215"/>
      <c r="E201" s="215"/>
      <c r="F201" s="213"/>
      <c r="G201" s="215"/>
      <c r="H201" s="214"/>
      <c r="I201" s="213"/>
      <c r="J201" s="213"/>
      <c r="K201" s="213"/>
      <c r="L201" s="212"/>
      <c r="M201" s="211"/>
      <c r="N201" s="210"/>
    </row>
    <row r="202" spans="2:14" x14ac:dyDescent="0.2">
      <c r="B202" s="217"/>
      <c r="C202" s="216"/>
      <c r="D202" s="215"/>
      <c r="E202" s="215"/>
      <c r="F202" s="213"/>
      <c r="G202" s="215"/>
      <c r="H202" s="214"/>
      <c r="I202" s="213"/>
      <c r="J202" s="213"/>
      <c r="K202" s="213"/>
      <c r="L202" s="212"/>
      <c r="M202" s="211"/>
      <c r="N202" s="210"/>
    </row>
    <row r="203" spans="2:14" x14ac:dyDescent="0.2">
      <c r="B203" s="226"/>
      <c r="C203" s="225"/>
      <c r="D203" s="223"/>
      <c r="E203" s="223"/>
      <c r="F203" s="224"/>
      <c r="G203" s="223"/>
      <c r="H203" s="222"/>
      <c r="I203" s="220"/>
      <c r="J203" s="221"/>
      <c r="K203" s="220"/>
      <c r="L203" s="219"/>
      <c r="M203" s="218"/>
      <c r="N203" s="210"/>
    </row>
    <row r="204" spans="2:14" x14ac:dyDescent="0.2">
      <c r="B204" s="217"/>
      <c r="C204" s="216"/>
      <c r="D204" s="215"/>
      <c r="E204" s="215"/>
      <c r="F204" s="213"/>
      <c r="G204" s="215"/>
      <c r="H204" s="214"/>
      <c r="I204" s="213"/>
      <c r="J204" s="213"/>
      <c r="K204" s="213"/>
      <c r="L204" s="212"/>
      <c r="M204" s="211"/>
      <c r="N204" s="210"/>
    </row>
    <row r="206" spans="2:14" x14ac:dyDescent="0.2">
      <c r="B206" s="226"/>
      <c r="C206" s="225"/>
      <c r="D206" s="223"/>
      <c r="E206" s="223"/>
      <c r="F206" s="224"/>
      <c r="G206" s="223"/>
      <c r="H206" s="222"/>
      <c r="I206" s="220"/>
      <c r="J206" s="221"/>
      <c r="K206" s="220"/>
      <c r="L206" s="219"/>
      <c r="M206" s="218"/>
      <c r="N206" s="210"/>
    </row>
    <row r="207" spans="2:14" x14ac:dyDescent="0.2">
      <c r="F207" s="213"/>
      <c r="H207" s="212"/>
      <c r="I207" s="213"/>
      <c r="J207" s="213"/>
      <c r="K207" s="213"/>
    </row>
    <row r="209" spans="2:14" x14ac:dyDescent="0.2">
      <c r="B209" s="226"/>
      <c r="C209" s="225"/>
      <c r="D209" s="223"/>
      <c r="E209" s="223"/>
      <c r="F209" s="224"/>
      <c r="G209" s="223"/>
      <c r="H209" s="222"/>
      <c r="I209" s="220"/>
      <c r="J209" s="221"/>
      <c r="K209" s="220"/>
      <c r="L209" s="219"/>
      <c r="M209" s="218"/>
      <c r="N209" s="210"/>
    </row>
    <row r="210" spans="2:14" x14ac:dyDescent="0.2">
      <c r="B210" s="226"/>
      <c r="C210" s="225"/>
      <c r="D210" s="223"/>
      <c r="E210" s="223"/>
      <c r="F210" s="224"/>
      <c r="G210" s="223"/>
      <c r="H210" s="222"/>
      <c r="I210" s="220"/>
      <c r="J210" s="221"/>
      <c r="K210" s="220"/>
      <c r="L210" s="219"/>
      <c r="M210" s="218"/>
      <c r="N210" s="210"/>
    </row>
    <row r="211" spans="2:14" x14ac:dyDescent="0.2">
      <c r="B211" s="217"/>
      <c r="C211" s="216"/>
      <c r="D211" s="215"/>
      <c r="E211" s="215"/>
      <c r="F211" s="213"/>
      <c r="G211" s="215"/>
      <c r="H211" s="214"/>
      <c r="I211" s="213"/>
      <c r="J211" s="213"/>
      <c r="K211" s="213"/>
      <c r="L211" s="212"/>
      <c r="M211" s="236"/>
      <c r="N211" s="210"/>
    </row>
    <row r="212" spans="2:14" x14ac:dyDescent="0.2">
      <c r="B212" s="217"/>
      <c r="C212" s="216"/>
      <c r="D212" s="215"/>
      <c r="E212" s="215"/>
      <c r="F212" s="213"/>
      <c r="G212" s="215"/>
      <c r="H212" s="214"/>
      <c r="I212" s="213"/>
      <c r="J212" s="213"/>
      <c r="K212" s="213"/>
      <c r="L212" s="212"/>
      <c r="M212" s="236"/>
      <c r="N212" s="210"/>
    </row>
    <row r="213" spans="2:14" x14ac:dyDescent="0.2">
      <c r="B213" s="226"/>
      <c r="C213" s="225"/>
      <c r="D213" s="223"/>
      <c r="E213" s="223"/>
      <c r="F213" s="224"/>
      <c r="G213" s="223"/>
      <c r="H213" s="222"/>
      <c r="I213" s="220"/>
      <c r="J213" s="221"/>
      <c r="K213" s="220"/>
      <c r="L213" s="219"/>
      <c r="M213" s="218"/>
      <c r="N213" s="210"/>
    </row>
    <row r="214" spans="2:14" x14ac:dyDescent="0.2">
      <c r="B214" s="217"/>
      <c r="C214" s="216"/>
      <c r="D214" s="215"/>
      <c r="E214" s="215"/>
      <c r="F214" s="213"/>
      <c r="G214" s="215"/>
      <c r="H214" s="212"/>
      <c r="I214" s="213"/>
      <c r="J214" s="213"/>
      <c r="K214" s="213"/>
      <c r="L214" s="212"/>
      <c r="M214" s="236"/>
      <c r="N214" s="210"/>
    </row>
    <row r="215" spans="2:14" x14ac:dyDescent="0.2">
      <c r="B215" s="217"/>
      <c r="C215" s="216"/>
      <c r="D215" s="215"/>
      <c r="E215" s="215"/>
      <c r="F215" s="213"/>
      <c r="G215" s="215"/>
      <c r="H215" s="214"/>
      <c r="I215" s="213"/>
      <c r="J215" s="213"/>
      <c r="K215" s="213"/>
      <c r="L215" s="212"/>
      <c r="M215" s="236"/>
      <c r="N215" s="210"/>
    </row>
    <row r="216" spans="2:14" x14ac:dyDescent="0.2">
      <c r="B216" s="226"/>
      <c r="C216" s="225"/>
      <c r="D216" s="223"/>
      <c r="E216" s="223"/>
      <c r="F216" s="224"/>
      <c r="G216" s="223"/>
      <c r="H216" s="222"/>
      <c r="I216" s="220"/>
      <c r="J216" s="221"/>
      <c r="K216" s="220"/>
      <c r="L216" s="219"/>
      <c r="M216" s="218"/>
      <c r="N216" s="210"/>
    </row>
    <row r="217" spans="2:14" x14ac:dyDescent="0.2">
      <c r="B217" s="226"/>
      <c r="C217" s="225"/>
      <c r="D217" s="223"/>
      <c r="E217" s="223"/>
      <c r="F217" s="224"/>
      <c r="G217" s="223"/>
      <c r="H217" s="222"/>
      <c r="I217" s="220"/>
      <c r="J217" s="221"/>
      <c r="K217" s="220"/>
      <c r="L217" s="219"/>
      <c r="M217" s="218"/>
      <c r="N217" s="210"/>
    </row>
    <row r="218" spans="2:14" x14ac:dyDescent="0.2">
      <c r="B218" s="226"/>
      <c r="C218" s="225"/>
      <c r="D218" s="223"/>
      <c r="E218" s="223"/>
      <c r="F218" s="224"/>
      <c r="G218" s="223"/>
      <c r="H218" s="222"/>
      <c r="I218" s="220"/>
      <c r="J218" s="221"/>
      <c r="K218" s="220"/>
      <c r="L218" s="219"/>
      <c r="M218" s="218"/>
      <c r="N218" s="210"/>
    </row>
    <row r="219" spans="2:14" x14ac:dyDescent="0.2">
      <c r="B219" s="226"/>
      <c r="C219" s="225"/>
      <c r="D219" s="223"/>
      <c r="E219" s="223"/>
      <c r="F219" s="224"/>
      <c r="G219" s="223"/>
      <c r="H219" s="222"/>
      <c r="I219" s="220"/>
      <c r="J219" s="221"/>
      <c r="K219" s="220"/>
      <c r="L219" s="219"/>
      <c r="M219" s="218"/>
      <c r="N219" s="210"/>
    </row>
    <row r="220" spans="2:14" x14ac:dyDescent="0.2">
      <c r="B220" s="226"/>
      <c r="C220" s="225"/>
      <c r="D220" s="223"/>
      <c r="E220" s="223"/>
      <c r="F220" s="224"/>
      <c r="G220" s="223"/>
      <c r="H220" s="222"/>
      <c r="I220" s="220"/>
      <c r="J220" s="221"/>
      <c r="K220" s="220"/>
      <c r="L220" s="219"/>
      <c r="M220" s="218"/>
      <c r="N220" s="210"/>
    </row>
    <row r="221" spans="2:14" x14ac:dyDescent="0.2">
      <c r="B221" s="226"/>
      <c r="C221" s="225"/>
      <c r="D221" s="223"/>
      <c r="E221" s="223"/>
      <c r="F221" s="224"/>
      <c r="G221" s="223"/>
      <c r="H221" s="222"/>
      <c r="I221" s="220"/>
      <c r="J221" s="221"/>
      <c r="K221" s="220"/>
      <c r="L221" s="219"/>
      <c r="M221" s="218"/>
      <c r="N221" s="210"/>
    </row>
    <row r="222" spans="2:14" x14ac:dyDescent="0.2">
      <c r="B222" s="226"/>
      <c r="C222" s="225"/>
      <c r="D222" s="223"/>
      <c r="E222" s="223"/>
      <c r="F222" s="224"/>
      <c r="G222" s="223"/>
      <c r="H222" s="222"/>
      <c r="I222" s="220"/>
      <c r="J222" s="221"/>
      <c r="K222" s="220"/>
      <c r="L222" s="219"/>
      <c r="M222" s="218"/>
      <c r="N222" s="210"/>
    </row>
    <row r="223" spans="2:14" x14ac:dyDescent="0.2">
      <c r="B223" s="226"/>
      <c r="C223" s="225"/>
      <c r="D223" s="223"/>
      <c r="E223" s="223"/>
      <c r="F223" s="224"/>
      <c r="G223" s="223"/>
      <c r="H223" s="222"/>
      <c r="I223" s="220"/>
      <c r="J223" s="221"/>
      <c r="K223" s="220"/>
      <c r="L223" s="219"/>
      <c r="M223" s="218"/>
      <c r="N223" s="210"/>
    </row>
    <row r="224" spans="2:14" x14ac:dyDescent="0.2">
      <c r="B224" s="226"/>
      <c r="C224" s="225"/>
      <c r="D224" s="223"/>
      <c r="E224" s="223"/>
      <c r="F224" s="224"/>
      <c r="G224" s="223"/>
      <c r="H224" s="222"/>
      <c r="I224" s="220"/>
      <c r="J224" s="221"/>
      <c r="K224" s="220"/>
      <c r="L224" s="219"/>
      <c r="M224" s="218"/>
      <c r="N224" s="210"/>
    </row>
    <row r="225" spans="2:14" x14ac:dyDescent="0.2">
      <c r="B225" s="226"/>
      <c r="C225" s="225"/>
      <c r="D225" s="223"/>
      <c r="E225" s="223"/>
      <c r="F225" s="224"/>
      <c r="G225" s="223"/>
      <c r="H225" s="222"/>
      <c r="I225" s="220"/>
      <c r="J225" s="221"/>
      <c r="K225" s="220"/>
      <c r="L225" s="219"/>
      <c r="M225" s="218"/>
      <c r="N225" s="210"/>
    </row>
    <row r="226" spans="2:14" x14ac:dyDescent="0.2">
      <c r="B226" s="226"/>
      <c r="C226" s="225"/>
      <c r="D226" s="223"/>
      <c r="E226" s="223"/>
      <c r="F226" s="224"/>
      <c r="G226" s="223"/>
      <c r="H226" s="222"/>
      <c r="I226" s="220"/>
      <c r="J226" s="221"/>
      <c r="K226" s="220"/>
      <c r="L226" s="219"/>
      <c r="M226" s="218"/>
      <c r="N226" s="210"/>
    </row>
    <row r="227" spans="2:14" x14ac:dyDescent="0.2">
      <c r="B227" s="226"/>
      <c r="C227" s="225"/>
      <c r="D227" s="223"/>
      <c r="E227" s="223"/>
      <c r="F227" s="224"/>
      <c r="G227" s="223"/>
      <c r="H227" s="222"/>
      <c r="I227" s="220"/>
      <c r="J227" s="221"/>
      <c r="K227" s="220"/>
      <c r="L227" s="219"/>
      <c r="M227" s="218"/>
      <c r="N227" s="210"/>
    </row>
    <row r="228" spans="2:14" x14ac:dyDescent="0.2">
      <c r="B228" s="226"/>
      <c r="C228" s="225"/>
      <c r="D228" s="223"/>
      <c r="E228" s="223"/>
      <c r="F228" s="224"/>
      <c r="G228" s="223"/>
      <c r="H228" s="222"/>
      <c r="I228" s="220"/>
      <c r="J228" s="221"/>
      <c r="K228" s="220"/>
      <c r="L228" s="219"/>
      <c r="M228" s="218"/>
      <c r="N228" s="210"/>
    </row>
    <row r="229" spans="2:14" x14ac:dyDescent="0.2">
      <c r="B229" s="217"/>
      <c r="C229" s="216"/>
      <c r="D229" s="215"/>
      <c r="E229" s="215"/>
      <c r="F229" s="213"/>
      <c r="G229" s="215"/>
      <c r="H229" s="214"/>
      <c r="I229" s="213"/>
      <c r="J229" s="213"/>
      <c r="K229" s="213"/>
      <c r="L229" s="212"/>
      <c r="M229" s="211"/>
      <c r="N229" s="210"/>
    </row>
    <row r="230" spans="2:14" x14ac:dyDescent="0.2">
      <c r="B230" s="217"/>
      <c r="C230" s="216"/>
      <c r="D230" s="215"/>
      <c r="E230" s="215"/>
      <c r="F230" s="213"/>
      <c r="G230" s="215"/>
      <c r="H230" s="214"/>
      <c r="I230" s="227"/>
      <c r="J230" s="228"/>
      <c r="K230" s="227"/>
      <c r="L230" s="212"/>
      <c r="M230" s="211"/>
      <c r="N230" s="210"/>
    </row>
    <row r="231" spans="2:14" x14ac:dyDescent="0.2">
      <c r="B231" s="226"/>
      <c r="C231" s="225"/>
      <c r="D231" s="223"/>
      <c r="E231" s="223"/>
      <c r="F231" s="224"/>
      <c r="G231" s="223"/>
      <c r="H231" s="222"/>
      <c r="I231" s="220"/>
      <c r="J231" s="221"/>
      <c r="K231" s="220"/>
      <c r="L231" s="219"/>
      <c r="M231" s="218"/>
      <c r="N231" s="210"/>
    </row>
    <row r="232" spans="2:14" x14ac:dyDescent="0.2">
      <c r="B232" s="226"/>
      <c r="C232" s="225"/>
      <c r="D232" s="223"/>
      <c r="E232" s="223"/>
      <c r="F232" s="224"/>
      <c r="G232" s="223"/>
      <c r="H232" s="222"/>
      <c r="I232" s="220"/>
      <c r="J232" s="221"/>
      <c r="K232" s="220"/>
      <c r="L232" s="219"/>
      <c r="M232" s="218"/>
      <c r="N232" s="210"/>
    </row>
    <row r="233" spans="2:14" x14ac:dyDescent="0.2">
      <c r="B233" s="226"/>
      <c r="C233" s="225"/>
      <c r="D233" s="223"/>
      <c r="E233" s="223"/>
      <c r="F233" s="224"/>
      <c r="G233" s="223"/>
      <c r="H233" s="222"/>
      <c r="I233" s="220"/>
      <c r="J233" s="221"/>
      <c r="K233" s="220"/>
      <c r="L233" s="219"/>
      <c r="M233" s="218"/>
      <c r="N233" s="210"/>
    </row>
    <row r="234" spans="2:14" x14ac:dyDescent="0.2">
      <c r="B234" s="226"/>
      <c r="C234" s="225"/>
      <c r="D234" s="223"/>
      <c r="E234" s="223"/>
      <c r="F234" s="224"/>
      <c r="G234" s="223"/>
      <c r="H234" s="222"/>
      <c r="I234" s="220"/>
      <c r="J234" s="221"/>
      <c r="K234" s="220"/>
      <c r="L234" s="219"/>
      <c r="M234" s="218"/>
      <c r="N234" s="210"/>
    </row>
    <row r="235" spans="2:14" x14ac:dyDescent="0.2">
      <c r="B235" s="226"/>
      <c r="C235" s="225"/>
      <c r="D235" s="223"/>
      <c r="E235" s="223"/>
      <c r="F235" s="224"/>
      <c r="G235" s="223"/>
      <c r="H235" s="222"/>
      <c r="I235" s="220"/>
      <c r="J235" s="221"/>
      <c r="K235" s="220"/>
      <c r="L235" s="219"/>
      <c r="M235" s="218"/>
      <c r="N235" s="210"/>
    </row>
    <row r="236" spans="2:14" x14ac:dyDescent="0.2">
      <c r="B236" s="226"/>
      <c r="C236" s="225"/>
      <c r="D236" s="223"/>
      <c r="E236" s="223"/>
      <c r="F236" s="224"/>
      <c r="G236" s="223"/>
      <c r="H236" s="222"/>
      <c r="I236" s="220"/>
      <c r="J236" s="221"/>
      <c r="K236" s="220"/>
      <c r="L236" s="219"/>
      <c r="M236" s="218"/>
      <c r="N236" s="210"/>
    </row>
    <row r="237" spans="2:14" x14ac:dyDescent="0.2">
      <c r="B237" s="226"/>
      <c r="C237" s="225"/>
      <c r="D237" s="223"/>
      <c r="E237" s="223"/>
      <c r="F237" s="224"/>
      <c r="G237" s="223"/>
      <c r="H237" s="222"/>
      <c r="I237" s="220"/>
      <c r="J237" s="221"/>
      <c r="K237" s="220"/>
      <c r="L237" s="219"/>
      <c r="M237" s="218"/>
      <c r="N237" s="210"/>
    </row>
    <row r="238" spans="2:14" x14ac:dyDescent="0.2">
      <c r="B238" s="226"/>
      <c r="C238" s="225"/>
      <c r="D238" s="223"/>
      <c r="E238" s="223"/>
      <c r="F238" s="224"/>
      <c r="G238" s="223"/>
      <c r="H238" s="222"/>
      <c r="I238" s="220"/>
      <c r="J238" s="221"/>
      <c r="K238" s="220"/>
      <c r="L238" s="219"/>
      <c r="M238" s="218"/>
      <c r="N238" s="210"/>
    </row>
    <row r="239" spans="2:14" x14ac:dyDescent="0.2">
      <c r="B239" s="226"/>
      <c r="C239" s="225"/>
      <c r="D239" s="223"/>
      <c r="E239" s="223"/>
      <c r="F239" s="224"/>
      <c r="G239" s="223"/>
      <c r="H239" s="222"/>
      <c r="I239" s="220"/>
      <c r="J239" s="221"/>
      <c r="K239" s="220"/>
      <c r="L239" s="219"/>
      <c r="M239" s="218"/>
      <c r="N239" s="210"/>
    </row>
    <row r="240" spans="2:14" x14ac:dyDescent="0.2">
      <c r="B240" s="226"/>
      <c r="C240" s="225"/>
      <c r="D240" s="223"/>
      <c r="E240" s="223"/>
      <c r="F240" s="224"/>
      <c r="G240" s="223"/>
      <c r="H240" s="222"/>
      <c r="I240" s="220"/>
      <c r="J240" s="221"/>
      <c r="K240" s="220"/>
      <c r="L240" s="219"/>
      <c r="M240" s="218"/>
      <c r="N240" s="210"/>
    </row>
    <row r="241" spans="2:14" x14ac:dyDescent="0.2">
      <c r="B241" s="226"/>
      <c r="C241" s="225"/>
      <c r="D241" s="223"/>
      <c r="E241" s="223"/>
      <c r="F241" s="224"/>
      <c r="G241" s="223"/>
      <c r="H241" s="222"/>
      <c r="I241" s="220"/>
      <c r="J241" s="221"/>
      <c r="K241" s="220"/>
      <c r="L241" s="219"/>
      <c r="M241" s="218"/>
      <c r="N241" s="210"/>
    </row>
    <row r="242" spans="2:14" x14ac:dyDescent="0.2">
      <c r="B242" s="217"/>
      <c r="C242" s="216"/>
      <c r="D242" s="215"/>
      <c r="E242" s="215"/>
      <c r="F242" s="213"/>
      <c r="G242" s="215"/>
      <c r="H242" s="214"/>
      <c r="I242" s="213"/>
      <c r="J242" s="213"/>
      <c r="K242" s="213"/>
      <c r="L242" s="212"/>
      <c r="M242" s="236"/>
      <c r="N242" s="210"/>
    </row>
    <row r="243" spans="2:14" x14ac:dyDescent="0.2">
      <c r="B243" s="217"/>
      <c r="C243" s="216"/>
      <c r="D243" s="215"/>
      <c r="E243" s="215"/>
      <c r="F243" s="213"/>
      <c r="G243" s="215"/>
      <c r="H243" s="214"/>
      <c r="I243" s="213"/>
      <c r="J243" s="213"/>
      <c r="K243" s="213"/>
      <c r="L243" s="212"/>
      <c r="M243" s="236"/>
      <c r="N243" s="210"/>
    </row>
    <row r="244" spans="2:14" x14ac:dyDescent="0.2">
      <c r="B244" s="226"/>
      <c r="C244" s="225"/>
      <c r="D244" s="223"/>
      <c r="E244" s="223"/>
      <c r="F244" s="224"/>
      <c r="G244" s="223"/>
      <c r="H244" s="222"/>
      <c r="I244" s="220"/>
      <c r="J244" s="221"/>
      <c r="K244" s="220"/>
      <c r="L244" s="219"/>
      <c r="M244" s="218"/>
      <c r="N244" s="210"/>
    </row>
    <row r="245" spans="2:14" x14ac:dyDescent="0.2">
      <c r="B245" s="217"/>
      <c r="C245" s="216"/>
      <c r="D245" s="215"/>
      <c r="E245" s="215"/>
      <c r="F245" s="213"/>
      <c r="G245" s="215"/>
      <c r="H245" s="214"/>
      <c r="I245" s="213"/>
      <c r="J245" s="213"/>
      <c r="K245" s="213"/>
      <c r="L245" s="212"/>
      <c r="M245" s="211"/>
      <c r="N245" s="210"/>
    </row>
    <row r="246" spans="2:14" x14ac:dyDescent="0.2">
      <c r="B246" s="217"/>
      <c r="C246" s="216"/>
      <c r="D246" s="215"/>
      <c r="E246" s="215"/>
      <c r="F246" s="213"/>
      <c r="G246" s="215"/>
      <c r="H246" s="214"/>
      <c r="I246" s="227"/>
      <c r="J246" s="228"/>
      <c r="K246" s="227"/>
      <c r="L246" s="212"/>
      <c r="M246" s="211"/>
      <c r="N246" s="210"/>
    </row>
    <row r="247" spans="2:14" x14ac:dyDescent="0.2">
      <c r="B247" s="226"/>
      <c r="C247" s="225"/>
      <c r="D247" s="223"/>
      <c r="E247" s="223"/>
      <c r="F247" s="224"/>
      <c r="G247" s="223"/>
      <c r="H247" s="222"/>
      <c r="I247" s="220"/>
      <c r="J247" s="221"/>
      <c r="K247" s="220"/>
      <c r="L247" s="219"/>
      <c r="M247" s="218"/>
      <c r="N247" s="210"/>
    </row>
    <row r="248" spans="2:14" x14ac:dyDescent="0.2">
      <c r="B248" s="226"/>
      <c r="C248" s="225"/>
      <c r="D248" s="223"/>
      <c r="E248" s="223"/>
      <c r="F248" s="224"/>
      <c r="G248" s="223"/>
      <c r="H248" s="222"/>
      <c r="I248" s="220"/>
      <c r="J248" s="221"/>
      <c r="K248" s="220"/>
      <c r="L248" s="219"/>
      <c r="M248" s="218"/>
      <c r="N248" s="210"/>
    </row>
    <row r="249" spans="2:14" x14ac:dyDescent="0.2">
      <c r="B249" s="226"/>
      <c r="C249" s="225"/>
      <c r="D249" s="223"/>
      <c r="E249" s="223"/>
      <c r="F249" s="224"/>
      <c r="G249" s="223"/>
      <c r="H249" s="222"/>
      <c r="I249" s="220"/>
      <c r="J249" s="221"/>
      <c r="K249" s="220"/>
      <c r="L249" s="219"/>
      <c r="M249" s="218"/>
      <c r="N249" s="210"/>
    </row>
    <row r="250" spans="2:14" x14ac:dyDescent="0.2">
      <c r="B250" s="226"/>
      <c r="C250" s="225"/>
      <c r="D250" s="223"/>
      <c r="E250" s="223"/>
      <c r="F250" s="224"/>
      <c r="G250" s="223"/>
      <c r="H250" s="222"/>
      <c r="I250" s="220"/>
      <c r="J250" s="221"/>
      <c r="K250" s="220"/>
      <c r="L250" s="219"/>
      <c r="M250" s="218"/>
      <c r="N250" s="210"/>
    </row>
    <row r="251" spans="2:14" x14ac:dyDescent="0.2">
      <c r="B251" s="217"/>
      <c r="C251" s="216"/>
      <c r="D251" s="215"/>
      <c r="E251" s="215"/>
      <c r="F251" s="213"/>
      <c r="G251" s="215"/>
      <c r="H251" s="214"/>
      <c r="I251" s="213"/>
      <c r="J251" s="213"/>
      <c r="K251" s="213"/>
      <c r="L251" s="212"/>
      <c r="M251" s="236"/>
      <c r="N251" s="210"/>
    </row>
    <row r="252" spans="2:14" x14ac:dyDescent="0.2">
      <c r="B252" s="217"/>
      <c r="C252" s="216"/>
      <c r="D252" s="215"/>
      <c r="E252" s="215"/>
      <c r="F252" s="213"/>
      <c r="G252" s="215"/>
      <c r="H252" s="214"/>
      <c r="I252" s="213"/>
      <c r="J252" s="213"/>
      <c r="K252" s="213"/>
      <c r="L252" s="212"/>
      <c r="M252" s="236"/>
      <c r="N252" s="210"/>
    </row>
    <row r="253" spans="2:14" x14ac:dyDescent="0.2">
      <c r="B253" s="226"/>
      <c r="C253" s="225"/>
      <c r="D253" s="223"/>
      <c r="E253" s="223"/>
      <c r="F253" s="224"/>
      <c r="G253" s="223"/>
      <c r="H253" s="222"/>
      <c r="I253" s="220"/>
      <c r="J253" s="221"/>
      <c r="K253" s="220"/>
      <c r="L253" s="219"/>
      <c r="M253" s="218"/>
      <c r="N253" s="210"/>
    </row>
    <row r="254" spans="2:14" x14ac:dyDescent="0.2">
      <c r="B254" s="226"/>
      <c r="C254" s="225"/>
      <c r="D254" s="223"/>
      <c r="E254" s="223"/>
      <c r="F254" s="224"/>
      <c r="G254" s="223"/>
      <c r="H254" s="222"/>
      <c r="I254" s="220"/>
      <c r="J254" s="221"/>
      <c r="K254" s="220"/>
      <c r="L254" s="219"/>
      <c r="M254" s="218"/>
      <c r="N254" s="210"/>
    </row>
    <row r="255" spans="2:14" x14ac:dyDescent="0.2">
      <c r="B255" s="217"/>
      <c r="C255" s="216"/>
      <c r="D255" s="215"/>
      <c r="E255" s="215"/>
      <c r="F255" s="213"/>
      <c r="G255" s="215"/>
      <c r="H255" s="214"/>
      <c r="I255" s="213"/>
      <c r="J255" s="213"/>
      <c r="K255" s="213"/>
      <c r="L255" s="212"/>
      <c r="M255" s="236"/>
      <c r="N255" s="210"/>
    </row>
    <row r="256" spans="2:14" x14ac:dyDescent="0.2">
      <c r="B256" s="217"/>
      <c r="C256" s="216"/>
      <c r="D256" s="215"/>
      <c r="E256" s="215"/>
      <c r="F256" s="213"/>
      <c r="G256" s="215"/>
      <c r="H256" s="214"/>
      <c r="I256" s="213"/>
      <c r="J256" s="213"/>
      <c r="K256" s="213"/>
      <c r="L256" s="212"/>
      <c r="M256" s="236"/>
      <c r="N256" s="210"/>
    </row>
    <row r="257" spans="2:14" x14ac:dyDescent="0.2">
      <c r="B257" s="226"/>
      <c r="C257" s="225"/>
      <c r="D257" s="223"/>
      <c r="E257" s="223"/>
      <c r="F257" s="224"/>
      <c r="G257" s="223"/>
      <c r="H257" s="222"/>
      <c r="I257" s="220"/>
      <c r="J257" s="221"/>
      <c r="K257" s="220"/>
      <c r="L257" s="219"/>
      <c r="M257" s="218"/>
      <c r="N257" s="210"/>
    </row>
    <row r="258" spans="2:14" x14ac:dyDescent="0.2">
      <c r="B258" s="226"/>
      <c r="C258" s="225"/>
      <c r="D258" s="223"/>
      <c r="E258" s="223"/>
      <c r="F258" s="224"/>
      <c r="G258" s="223"/>
      <c r="H258" s="222"/>
      <c r="I258" s="220"/>
      <c r="J258" s="221"/>
      <c r="K258" s="220"/>
      <c r="L258" s="219"/>
      <c r="M258" s="218"/>
      <c r="N258" s="210"/>
    </row>
    <row r="259" spans="2:14" x14ac:dyDescent="0.2">
      <c r="B259" s="217"/>
      <c r="C259" s="216"/>
      <c r="D259" s="215"/>
      <c r="E259" s="215"/>
      <c r="F259" s="213"/>
      <c r="G259" s="215"/>
      <c r="H259" s="214"/>
      <c r="I259" s="213"/>
      <c r="J259" s="213"/>
      <c r="K259" s="213"/>
      <c r="L259" s="212"/>
      <c r="M259" s="236"/>
      <c r="N259" s="210"/>
    </row>
    <row r="260" spans="2:14" x14ac:dyDescent="0.2">
      <c r="B260" s="217"/>
      <c r="C260" s="216"/>
      <c r="D260" s="215"/>
      <c r="E260" s="215"/>
      <c r="F260" s="213"/>
      <c r="G260" s="215"/>
      <c r="H260" s="214"/>
      <c r="I260" s="213"/>
      <c r="J260" s="213"/>
      <c r="K260" s="213"/>
      <c r="L260" s="212"/>
      <c r="M260" s="236"/>
      <c r="N260" s="210"/>
    </row>
    <row r="261" spans="2:14" x14ac:dyDescent="0.2">
      <c r="B261" s="226"/>
      <c r="C261" s="225"/>
      <c r="D261" s="223"/>
      <c r="E261" s="223"/>
      <c r="F261" s="224"/>
      <c r="G261" s="223"/>
      <c r="H261" s="222"/>
      <c r="I261" s="220"/>
      <c r="J261" s="221"/>
      <c r="K261" s="220"/>
      <c r="L261" s="219"/>
      <c r="M261" s="218"/>
      <c r="N261" s="210"/>
    </row>
    <row r="262" spans="2:14" x14ac:dyDescent="0.2">
      <c r="B262" s="226"/>
      <c r="C262" s="225"/>
      <c r="D262" s="223"/>
      <c r="E262" s="223"/>
      <c r="F262" s="224"/>
      <c r="G262" s="223"/>
      <c r="H262" s="222"/>
      <c r="I262" s="220"/>
      <c r="J262" s="221"/>
      <c r="K262" s="220"/>
      <c r="L262" s="219"/>
      <c r="M262" s="218"/>
      <c r="N262" s="210"/>
    </row>
    <row r="263" spans="2:14" x14ac:dyDescent="0.2">
      <c r="B263" s="217"/>
      <c r="C263" s="216"/>
      <c r="D263" s="215"/>
      <c r="E263" s="215"/>
      <c r="F263" s="213"/>
      <c r="G263" s="215"/>
      <c r="H263" s="214"/>
      <c r="I263" s="213"/>
      <c r="J263" s="213"/>
      <c r="K263" s="213"/>
      <c r="L263" s="212"/>
      <c r="M263" s="211"/>
      <c r="N263" s="210"/>
    </row>
    <row r="264" spans="2:14" x14ac:dyDescent="0.2">
      <c r="B264" s="217"/>
      <c r="C264" s="216"/>
      <c r="D264" s="215"/>
      <c r="E264" s="215"/>
      <c r="F264" s="213"/>
      <c r="G264" s="215"/>
      <c r="H264" s="214"/>
      <c r="I264" s="227"/>
      <c r="J264" s="228"/>
      <c r="K264" s="227"/>
      <c r="L264" s="212"/>
      <c r="M264" s="236"/>
      <c r="N264" s="210"/>
    </row>
    <row r="265" spans="2:14" x14ac:dyDescent="0.2">
      <c r="B265" s="217"/>
      <c r="C265" s="216"/>
      <c r="D265" s="215"/>
      <c r="E265" s="215"/>
      <c r="F265" s="213"/>
      <c r="G265" s="215"/>
      <c r="H265" s="235"/>
      <c r="I265" s="213"/>
      <c r="J265" s="213"/>
      <c r="K265" s="213"/>
      <c r="L265" s="212"/>
      <c r="M265" s="211"/>
      <c r="N265" s="210"/>
    </row>
    <row r="266" spans="2:14" x14ac:dyDescent="0.2">
      <c r="B266" s="226"/>
      <c r="C266" s="225"/>
      <c r="D266" s="223"/>
      <c r="E266" s="223"/>
      <c r="F266" s="224"/>
      <c r="G266" s="223"/>
      <c r="H266" s="222"/>
      <c r="I266" s="220"/>
      <c r="J266" s="221"/>
      <c r="K266" s="220"/>
      <c r="L266" s="219"/>
      <c r="M266" s="218"/>
      <c r="N266" s="210"/>
    </row>
    <row r="267" spans="2:14" x14ac:dyDescent="0.2">
      <c r="B267" s="226"/>
      <c r="C267" s="225"/>
      <c r="D267" s="223"/>
      <c r="E267" s="223"/>
      <c r="F267" s="224"/>
      <c r="G267" s="223"/>
      <c r="H267" s="222"/>
      <c r="I267" s="220"/>
      <c r="J267" s="221"/>
      <c r="K267" s="220"/>
      <c r="L267" s="219"/>
      <c r="M267" s="218"/>
      <c r="N267" s="210"/>
    </row>
    <row r="268" spans="2:14" x14ac:dyDescent="0.2">
      <c r="B268" s="217"/>
      <c r="C268" s="216"/>
      <c r="D268" s="215"/>
      <c r="E268" s="215"/>
      <c r="F268" s="213"/>
      <c r="G268" s="215"/>
      <c r="H268" s="214"/>
      <c r="I268" s="213"/>
      <c r="J268" s="213"/>
      <c r="K268" s="213"/>
      <c r="L268" s="212"/>
      <c r="M268" s="211"/>
      <c r="N268" s="210"/>
    </row>
    <row r="269" spans="2:14" x14ac:dyDescent="0.2">
      <c r="B269" s="217"/>
      <c r="C269" s="216"/>
      <c r="D269" s="215"/>
      <c r="E269" s="215"/>
      <c r="F269" s="213"/>
      <c r="G269" s="215"/>
      <c r="H269" s="235"/>
      <c r="I269" s="213"/>
      <c r="J269" s="213"/>
      <c r="K269" s="213"/>
      <c r="L269" s="212"/>
      <c r="M269" s="211"/>
      <c r="N269" s="210"/>
    </row>
    <row r="270" spans="2:14" x14ac:dyDescent="0.2">
      <c r="B270" s="226"/>
      <c r="C270" s="225"/>
      <c r="D270" s="223"/>
      <c r="E270" s="223"/>
      <c r="F270" s="224"/>
      <c r="G270" s="223"/>
      <c r="H270" s="234"/>
      <c r="I270" s="220"/>
      <c r="J270" s="221"/>
      <c r="K270" s="220"/>
      <c r="L270" s="219"/>
      <c r="M270" s="218"/>
      <c r="N270" s="210"/>
    </row>
    <row r="271" spans="2:14" x14ac:dyDescent="0.2">
      <c r="B271" s="217"/>
      <c r="C271" s="216"/>
      <c r="D271" s="215"/>
      <c r="E271" s="215"/>
      <c r="F271" s="213"/>
      <c r="G271" s="215"/>
      <c r="H271" s="233"/>
      <c r="I271" s="213"/>
      <c r="J271" s="213"/>
      <c r="K271" s="213"/>
      <c r="L271" s="212"/>
      <c r="M271" s="211"/>
      <c r="N271" s="210"/>
    </row>
    <row r="272" spans="2:14" x14ac:dyDescent="0.2">
      <c r="B272" s="217"/>
      <c r="C272" s="216"/>
      <c r="D272" s="215"/>
      <c r="E272" s="215"/>
      <c r="F272" s="213"/>
      <c r="G272" s="215"/>
      <c r="H272" s="231"/>
      <c r="I272" s="213"/>
      <c r="J272" s="213"/>
      <c r="K272" s="213"/>
      <c r="L272" s="212"/>
      <c r="M272" s="211"/>
      <c r="N272" s="210"/>
    </row>
    <row r="273" spans="2:14" x14ac:dyDescent="0.2">
      <c r="B273" s="226"/>
      <c r="C273" s="225"/>
      <c r="D273" s="223"/>
      <c r="E273" s="223"/>
      <c r="F273" s="224"/>
      <c r="G273" s="223"/>
      <c r="H273" s="232"/>
      <c r="I273" s="220"/>
      <c r="J273" s="221"/>
      <c r="K273" s="220"/>
      <c r="L273" s="219"/>
      <c r="M273" s="218"/>
      <c r="N273" s="210"/>
    </row>
    <row r="274" spans="2:14" x14ac:dyDescent="0.2">
      <c r="B274" s="217"/>
      <c r="C274" s="216"/>
      <c r="D274" s="215"/>
      <c r="E274" s="215"/>
      <c r="F274" s="213"/>
      <c r="G274" s="215"/>
      <c r="H274" s="231"/>
      <c r="I274" s="213"/>
      <c r="J274" s="213"/>
      <c r="K274" s="213"/>
      <c r="L274" s="212"/>
      <c r="M274" s="211"/>
      <c r="N274" s="210"/>
    </row>
    <row r="275" spans="2:14" x14ac:dyDescent="0.2">
      <c r="B275" s="217"/>
      <c r="C275" s="216"/>
      <c r="D275" s="215"/>
      <c r="E275" s="215"/>
      <c r="F275" s="213"/>
      <c r="G275" s="215"/>
      <c r="H275" s="231"/>
      <c r="I275" s="213"/>
      <c r="J275" s="213"/>
      <c r="K275" s="213"/>
      <c r="L275" s="212"/>
      <c r="M275" s="211"/>
      <c r="N275" s="210"/>
    </row>
    <row r="276" spans="2:14" x14ac:dyDescent="0.2">
      <c r="B276" s="226"/>
      <c r="C276" s="225"/>
      <c r="D276" s="223"/>
      <c r="E276" s="223"/>
      <c r="F276" s="224"/>
      <c r="G276" s="223"/>
      <c r="H276" s="230"/>
      <c r="I276" s="220"/>
      <c r="J276" s="221"/>
      <c r="K276" s="220"/>
      <c r="L276" s="219"/>
      <c r="M276" s="218"/>
      <c r="N276" s="210"/>
    </row>
    <row r="277" spans="2:14" x14ac:dyDescent="0.2">
      <c r="B277" s="226"/>
      <c r="C277" s="225"/>
      <c r="D277" s="223"/>
      <c r="E277" s="223"/>
      <c r="F277" s="224"/>
      <c r="G277" s="223"/>
      <c r="H277" s="230"/>
      <c r="I277" s="220"/>
      <c r="J277" s="221"/>
      <c r="K277" s="220"/>
      <c r="L277" s="219"/>
      <c r="M277" s="218"/>
      <c r="N277" s="210"/>
    </row>
    <row r="278" spans="2:14" x14ac:dyDescent="0.2">
      <c r="B278" s="217"/>
      <c r="C278" s="216"/>
      <c r="D278" s="215"/>
      <c r="E278" s="215"/>
      <c r="F278" s="213"/>
      <c r="G278" s="215"/>
      <c r="H278" s="229"/>
      <c r="I278" s="213"/>
      <c r="J278" s="213"/>
      <c r="K278" s="213"/>
      <c r="L278" s="212"/>
      <c r="M278" s="211"/>
      <c r="N278" s="210"/>
    </row>
    <row r="279" spans="2:14" x14ac:dyDescent="0.2">
      <c r="B279" s="217"/>
      <c r="C279" s="216"/>
      <c r="D279" s="215"/>
      <c r="E279" s="215"/>
      <c r="F279" s="213"/>
      <c r="G279" s="215"/>
      <c r="H279" s="214"/>
      <c r="I279" s="227"/>
      <c r="J279" s="228"/>
      <c r="K279" s="227"/>
      <c r="L279" s="212"/>
      <c r="M279" s="211"/>
      <c r="N279" s="210"/>
    </row>
    <row r="280" spans="2:14" x14ac:dyDescent="0.2">
      <c r="B280" s="226"/>
      <c r="C280" s="225"/>
      <c r="D280" s="223"/>
      <c r="E280" s="223"/>
      <c r="F280" s="224"/>
      <c r="G280" s="223"/>
      <c r="H280" s="222"/>
      <c r="I280" s="220"/>
      <c r="J280" s="221"/>
      <c r="K280" s="220"/>
      <c r="L280" s="219"/>
      <c r="M280" s="218"/>
      <c r="N280" s="210"/>
    </row>
    <row r="281" spans="2:14" x14ac:dyDescent="0.2">
      <c r="B281" s="226"/>
      <c r="C281" s="225"/>
      <c r="D281" s="223"/>
      <c r="E281" s="223"/>
      <c r="F281" s="224"/>
      <c r="G281" s="223"/>
      <c r="H281" s="222"/>
      <c r="I281" s="220"/>
      <c r="J281" s="221"/>
      <c r="K281" s="220"/>
      <c r="L281" s="219"/>
      <c r="M281" s="218"/>
      <c r="N281" s="210"/>
    </row>
    <row r="282" spans="2:14" x14ac:dyDescent="0.2">
      <c r="B282" s="226"/>
      <c r="C282" s="225"/>
      <c r="D282" s="223"/>
      <c r="E282" s="223"/>
      <c r="F282" s="224"/>
      <c r="G282" s="223"/>
      <c r="H282" s="222"/>
      <c r="I282" s="220"/>
      <c r="J282" s="221"/>
      <c r="K282" s="220"/>
      <c r="L282" s="219"/>
      <c r="M282" s="218"/>
      <c r="N282" s="210"/>
    </row>
    <row r="283" spans="2:14" x14ac:dyDescent="0.2">
      <c r="B283" s="226"/>
      <c r="C283" s="225"/>
      <c r="D283" s="223"/>
      <c r="E283" s="223"/>
      <c r="F283" s="224"/>
      <c r="G283" s="223"/>
      <c r="H283" s="222"/>
      <c r="I283" s="220"/>
      <c r="J283" s="221"/>
      <c r="K283" s="220"/>
      <c r="L283" s="219"/>
      <c r="M283" s="218"/>
      <c r="N283" s="210"/>
    </row>
    <row r="284" spans="2:14" x14ac:dyDescent="0.2">
      <c r="B284" s="217"/>
      <c r="C284" s="216"/>
      <c r="D284" s="215"/>
      <c r="E284" s="215"/>
      <c r="F284" s="213"/>
      <c r="G284" s="215"/>
      <c r="H284" s="214"/>
      <c r="I284" s="213"/>
      <c r="J284" s="213"/>
      <c r="K284" s="213"/>
      <c r="L284" s="212"/>
      <c r="M284" s="211"/>
      <c r="N284" s="210"/>
    </row>
    <row r="285" spans="2:14" x14ac:dyDescent="0.2">
      <c r="B285" s="217"/>
      <c r="C285" s="216"/>
      <c r="D285" s="215"/>
      <c r="E285" s="215"/>
      <c r="F285" s="213"/>
      <c r="G285" s="215"/>
      <c r="H285" s="214"/>
      <c r="I285" s="227"/>
      <c r="J285" s="228"/>
      <c r="K285" s="227"/>
      <c r="L285" s="212"/>
      <c r="M285" s="211"/>
      <c r="N285" s="210"/>
    </row>
    <row r="286" spans="2:14" x14ac:dyDescent="0.2">
      <c r="B286" s="226"/>
      <c r="C286" s="225"/>
      <c r="D286" s="223"/>
      <c r="E286" s="223"/>
      <c r="F286" s="224"/>
      <c r="G286" s="223"/>
      <c r="H286" s="222"/>
      <c r="I286" s="220"/>
      <c r="J286" s="221"/>
      <c r="K286" s="220"/>
      <c r="L286" s="219"/>
      <c r="M286" s="218"/>
      <c r="N286" s="210"/>
    </row>
    <row r="287" spans="2:14" x14ac:dyDescent="0.2">
      <c r="B287" s="226"/>
      <c r="C287" s="225"/>
      <c r="D287" s="223"/>
      <c r="E287" s="223"/>
      <c r="F287" s="224"/>
      <c r="G287" s="223"/>
      <c r="H287" s="222"/>
      <c r="I287" s="220"/>
      <c r="J287" s="221"/>
      <c r="K287" s="220"/>
      <c r="L287" s="219"/>
      <c r="M287" s="218"/>
      <c r="N287" s="210"/>
    </row>
    <row r="288" spans="2:14" x14ac:dyDescent="0.2">
      <c r="B288" s="226"/>
      <c r="C288" s="225"/>
      <c r="D288" s="223"/>
      <c r="E288" s="223"/>
      <c r="F288" s="224"/>
      <c r="G288" s="223"/>
      <c r="H288" s="222"/>
      <c r="I288" s="220"/>
      <c r="J288" s="221"/>
      <c r="K288" s="220"/>
      <c r="L288" s="219"/>
      <c r="M288" s="218"/>
      <c r="N288" s="210"/>
    </row>
    <row r="289" spans="2:14" x14ac:dyDescent="0.2">
      <c r="B289" s="226"/>
      <c r="C289" s="225"/>
      <c r="D289" s="223"/>
      <c r="E289" s="223"/>
      <c r="F289" s="224"/>
      <c r="G289" s="223"/>
      <c r="H289" s="222"/>
      <c r="I289" s="220"/>
      <c r="J289" s="221"/>
      <c r="K289" s="220"/>
      <c r="L289" s="219"/>
      <c r="M289" s="218"/>
      <c r="N289" s="210"/>
    </row>
    <row r="290" spans="2:14" x14ac:dyDescent="0.2">
      <c r="B290" s="226"/>
      <c r="C290" s="225"/>
      <c r="D290" s="223"/>
      <c r="E290" s="223"/>
      <c r="F290" s="224"/>
      <c r="G290" s="223"/>
      <c r="H290" s="222"/>
      <c r="I290" s="220"/>
      <c r="J290" s="221"/>
      <c r="K290" s="220"/>
      <c r="L290" s="219"/>
      <c r="M290" s="218"/>
      <c r="N290" s="210"/>
    </row>
    <row r="291" spans="2:14" x14ac:dyDescent="0.2">
      <c r="B291" s="226"/>
      <c r="C291" s="225"/>
      <c r="D291" s="223"/>
      <c r="E291" s="223"/>
      <c r="F291" s="224"/>
      <c r="G291" s="223"/>
      <c r="H291" s="222"/>
      <c r="I291" s="220"/>
      <c r="J291" s="221"/>
      <c r="K291" s="220"/>
      <c r="L291" s="219"/>
      <c r="M291" s="218"/>
      <c r="N291" s="210"/>
    </row>
    <row r="292" spans="2:14" x14ac:dyDescent="0.2">
      <c r="B292" s="226"/>
      <c r="C292" s="225"/>
      <c r="D292" s="223"/>
      <c r="E292" s="223"/>
      <c r="F292" s="224"/>
      <c r="G292" s="223"/>
      <c r="H292" s="222"/>
      <c r="I292" s="220"/>
      <c r="J292" s="221"/>
      <c r="K292" s="220"/>
      <c r="L292" s="219"/>
      <c r="M292" s="218"/>
      <c r="N292" s="210"/>
    </row>
    <row r="293" spans="2:14" x14ac:dyDescent="0.2">
      <c r="B293" s="226"/>
      <c r="C293" s="225"/>
      <c r="D293" s="223"/>
      <c r="E293" s="223"/>
      <c r="F293" s="224"/>
      <c r="G293" s="223"/>
      <c r="H293" s="222"/>
      <c r="I293" s="220"/>
      <c r="J293" s="221"/>
      <c r="K293" s="220"/>
      <c r="L293" s="219"/>
      <c r="M293" s="218"/>
      <c r="N293" s="210"/>
    </row>
    <row r="294" spans="2:14" x14ac:dyDescent="0.2">
      <c r="B294" s="226"/>
      <c r="C294" s="225"/>
      <c r="D294" s="223"/>
      <c r="E294" s="223"/>
      <c r="F294" s="224"/>
      <c r="G294" s="223"/>
      <c r="H294" s="222"/>
      <c r="I294" s="220"/>
      <c r="J294" s="221"/>
      <c r="K294" s="220"/>
      <c r="L294" s="219"/>
      <c r="M294" s="218"/>
      <c r="N294" s="210"/>
    </row>
    <row r="295" spans="2:14" x14ac:dyDescent="0.2">
      <c r="B295" s="226"/>
      <c r="C295" s="225"/>
      <c r="D295" s="223"/>
      <c r="E295" s="223"/>
      <c r="F295" s="224"/>
      <c r="G295" s="223"/>
      <c r="H295" s="222"/>
      <c r="I295" s="220"/>
      <c r="J295" s="221"/>
      <c r="K295" s="220"/>
      <c r="L295" s="219"/>
      <c r="M295" s="218"/>
      <c r="N295" s="210"/>
    </row>
    <row r="296" spans="2:14" x14ac:dyDescent="0.2">
      <c r="B296" s="226"/>
      <c r="C296" s="225"/>
      <c r="D296" s="223"/>
      <c r="E296" s="223"/>
      <c r="F296" s="224"/>
      <c r="G296" s="223"/>
      <c r="H296" s="222"/>
      <c r="I296" s="220"/>
      <c r="J296" s="221"/>
      <c r="K296" s="220"/>
      <c r="L296" s="219"/>
      <c r="M296" s="218"/>
      <c r="N296" s="210"/>
    </row>
    <row r="297" spans="2:14" x14ac:dyDescent="0.2">
      <c r="B297" s="226"/>
      <c r="C297" s="225"/>
      <c r="D297" s="223"/>
      <c r="E297" s="223"/>
      <c r="F297" s="224"/>
      <c r="G297" s="223"/>
      <c r="H297" s="222"/>
      <c r="I297" s="220"/>
      <c r="J297" s="221"/>
      <c r="K297" s="220"/>
      <c r="L297" s="219"/>
      <c r="M297" s="218"/>
      <c r="N297" s="210"/>
    </row>
    <row r="298" spans="2:14" x14ac:dyDescent="0.2">
      <c r="B298" s="226"/>
      <c r="C298" s="225"/>
      <c r="D298" s="223"/>
      <c r="E298" s="223"/>
      <c r="F298" s="224"/>
      <c r="G298" s="223"/>
      <c r="H298" s="222"/>
      <c r="I298" s="220"/>
      <c r="J298" s="221"/>
      <c r="K298" s="220"/>
      <c r="L298" s="219"/>
      <c r="M298" s="218"/>
      <c r="N298" s="210"/>
    </row>
    <row r="299" spans="2:14" x14ac:dyDescent="0.2">
      <c r="B299" s="226"/>
      <c r="C299" s="225"/>
      <c r="D299" s="223"/>
      <c r="E299" s="223"/>
      <c r="F299" s="224"/>
      <c r="G299" s="223"/>
      <c r="H299" s="222"/>
      <c r="I299" s="220"/>
      <c r="J299" s="221"/>
      <c r="K299" s="220"/>
      <c r="L299" s="219"/>
      <c r="M299" s="218"/>
      <c r="N299" s="210"/>
    </row>
    <row r="300" spans="2:14" x14ac:dyDescent="0.2">
      <c r="B300" s="226"/>
      <c r="C300" s="225"/>
      <c r="D300" s="223"/>
      <c r="E300" s="223"/>
      <c r="F300" s="224"/>
      <c r="G300" s="223"/>
      <c r="H300" s="222"/>
      <c r="I300" s="220"/>
      <c r="J300" s="221"/>
      <c r="K300" s="220"/>
      <c r="L300" s="219"/>
      <c r="M300" s="218"/>
      <c r="N300" s="210"/>
    </row>
    <row r="301" spans="2:14" x14ac:dyDescent="0.2">
      <c r="B301" s="226"/>
      <c r="C301" s="225"/>
      <c r="D301" s="223"/>
      <c r="E301" s="223"/>
      <c r="F301" s="224"/>
      <c r="G301" s="223"/>
      <c r="H301" s="222"/>
      <c r="I301" s="224"/>
      <c r="J301" s="224"/>
      <c r="K301" s="224"/>
      <c r="L301" s="219"/>
      <c r="M301" s="218"/>
      <c r="N301" s="210"/>
    </row>
    <row r="302" spans="2:14" x14ac:dyDescent="0.2">
      <c r="B302" s="226"/>
      <c r="C302" s="225"/>
      <c r="D302" s="223"/>
      <c r="E302" s="223"/>
      <c r="F302" s="224"/>
      <c r="G302" s="223"/>
      <c r="H302" s="222"/>
      <c r="I302" s="224"/>
      <c r="J302" s="224"/>
      <c r="K302" s="224"/>
      <c r="L302" s="219"/>
      <c r="M302" s="218"/>
      <c r="N302" s="210"/>
    </row>
    <row r="303" spans="2:14" x14ac:dyDescent="0.2">
      <c r="B303" s="226"/>
      <c r="C303" s="225"/>
      <c r="D303" s="223"/>
      <c r="E303" s="223"/>
      <c r="F303" s="224"/>
      <c r="G303" s="223"/>
      <c r="H303" s="222"/>
      <c r="I303" s="220"/>
      <c r="J303" s="221"/>
      <c r="K303" s="220"/>
      <c r="L303" s="219"/>
      <c r="M303" s="218"/>
      <c r="N303" s="210"/>
    </row>
    <row r="304" spans="2:14" x14ac:dyDescent="0.2">
      <c r="B304" s="217"/>
      <c r="C304" s="216"/>
      <c r="D304" s="215"/>
      <c r="E304" s="215"/>
      <c r="F304" s="213"/>
      <c r="G304" s="215"/>
      <c r="H304" s="214"/>
      <c r="I304" s="213"/>
      <c r="J304" s="213"/>
      <c r="K304" s="213"/>
      <c r="L304" s="212"/>
      <c r="M304" s="211"/>
      <c r="N304" s="210"/>
    </row>
    <row r="305" spans="2:14" x14ac:dyDescent="0.2">
      <c r="B305" s="217"/>
      <c r="C305" s="216"/>
      <c r="D305" s="215"/>
      <c r="E305" s="215"/>
      <c r="F305" s="213"/>
      <c r="G305" s="215"/>
      <c r="H305" s="214"/>
      <c r="I305" s="213"/>
      <c r="J305" s="213"/>
      <c r="K305" s="213"/>
      <c r="L305" s="212"/>
      <c r="M305" s="211"/>
      <c r="N305" s="210"/>
    </row>
    <row r="306" spans="2:14" x14ac:dyDescent="0.2">
      <c r="B306" s="226"/>
      <c r="C306" s="225"/>
      <c r="D306" s="223"/>
      <c r="E306" s="223"/>
      <c r="F306" s="224"/>
      <c r="G306" s="223"/>
      <c r="H306" s="222"/>
      <c r="I306" s="220"/>
      <c r="J306" s="221"/>
      <c r="K306" s="220"/>
      <c r="L306" s="219"/>
      <c r="M306" s="218"/>
      <c r="N306" s="210"/>
    </row>
    <row r="307" spans="2:14" x14ac:dyDescent="0.2">
      <c r="B307" s="226"/>
      <c r="C307" s="225"/>
      <c r="D307" s="223"/>
      <c r="E307" s="223"/>
      <c r="F307" s="224"/>
      <c r="G307" s="223"/>
      <c r="H307" s="222"/>
      <c r="I307" s="220"/>
      <c r="J307" s="221"/>
      <c r="K307" s="220"/>
      <c r="L307" s="219"/>
      <c r="M307" s="218"/>
      <c r="N307" s="210"/>
    </row>
    <row r="308" spans="2:14" x14ac:dyDescent="0.2">
      <c r="B308" s="217"/>
      <c r="C308" s="216"/>
      <c r="D308" s="215"/>
      <c r="E308" s="215"/>
      <c r="F308" s="213"/>
      <c r="G308" s="215"/>
      <c r="H308" s="214"/>
      <c r="I308" s="213"/>
      <c r="J308" s="213"/>
      <c r="K308" s="213"/>
      <c r="L308" s="212"/>
      <c r="M308" s="211"/>
      <c r="N308" s="210"/>
    </row>
    <row r="309" spans="2:14" x14ac:dyDescent="0.2">
      <c r="B309" s="226"/>
      <c r="C309" s="225"/>
      <c r="D309" s="223"/>
      <c r="E309" s="223"/>
      <c r="F309" s="224"/>
      <c r="G309" s="223"/>
      <c r="H309" s="222"/>
      <c r="I309" s="220"/>
      <c r="J309" s="221"/>
      <c r="K309" s="220"/>
      <c r="L309" s="219"/>
      <c r="M309" s="218"/>
      <c r="N309" s="210"/>
    </row>
    <row r="310" spans="2:14" x14ac:dyDescent="0.2">
      <c r="B310" s="226"/>
      <c r="C310" s="225"/>
      <c r="D310" s="223"/>
      <c r="E310" s="223"/>
      <c r="F310" s="224"/>
      <c r="G310" s="223"/>
      <c r="H310" s="222"/>
      <c r="I310" s="220"/>
      <c r="J310" s="221"/>
      <c r="K310" s="220"/>
      <c r="L310" s="219"/>
      <c r="M310" s="218"/>
      <c r="N310" s="210"/>
    </row>
    <row r="311" spans="2:14" x14ac:dyDescent="0.2">
      <c r="B311" s="226"/>
      <c r="C311" s="225"/>
      <c r="D311" s="223"/>
      <c r="E311" s="223"/>
      <c r="F311" s="224"/>
      <c r="G311" s="223"/>
      <c r="H311" s="222"/>
      <c r="I311" s="220"/>
      <c r="J311" s="221"/>
      <c r="K311" s="220"/>
      <c r="L311" s="219"/>
      <c r="M311" s="218"/>
      <c r="N311" s="210"/>
    </row>
    <row r="312" spans="2:14" x14ac:dyDescent="0.2">
      <c r="B312" s="217"/>
      <c r="C312" s="216"/>
      <c r="D312" s="215"/>
      <c r="E312" s="215"/>
      <c r="F312" s="213"/>
      <c r="G312" s="215"/>
      <c r="H312" s="214"/>
      <c r="I312" s="213"/>
      <c r="J312" s="213"/>
      <c r="K312" s="213"/>
      <c r="L312" s="212"/>
      <c r="M312" s="211"/>
      <c r="N312" s="210"/>
    </row>
    <row r="313" spans="2:14" x14ac:dyDescent="0.2">
      <c r="B313" s="217"/>
      <c r="C313" s="216"/>
      <c r="D313" s="215"/>
      <c r="E313" s="215"/>
      <c r="F313" s="213"/>
      <c r="G313" s="215"/>
      <c r="H313" s="214"/>
      <c r="I313" s="213"/>
      <c r="J313" s="213"/>
      <c r="K313" s="213"/>
      <c r="L313" s="212"/>
      <c r="M313" s="211"/>
      <c r="N313" s="210"/>
    </row>
    <row r="314" spans="2:14" x14ac:dyDescent="0.2">
      <c r="B314" s="217"/>
      <c r="C314" s="225"/>
      <c r="D314" s="223"/>
      <c r="E314" s="223"/>
      <c r="F314" s="224"/>
      <c r="G314" s="223"/>
      <c r="H314" s="222"/>
      <c r="I314" s="220"/>
      <c r="J314" s="221"/>
      <c r="K314" s="220"/>
      <c r="L314" s="219"/>
      <c r="M314" s="218"/>
      <c r="N314" s="210"/>
    </row>
    <row r="315" spans="2:14" x14ac:dyDescent="0.2">
      <c r="B315" s="217"/>
      <c r="C315" s="225"/>
      <c r="D315" s="223"/>
      <c r="E315" s="223"/>
      <c r="F315" s="224"/>
      <c r="G315" s="223"/>
      <c r="H315" s="222"/>
      <c r="I315" s="220"/>
      <c r="J315" s="221"/>
      <c r="K315" s="220"/>
      <c r="L315" s="219"/>
      <c r="M315" s="218"/>
      <c r="N315" s="210"/>
    </row>
    <row r="316" spans="2:14" x14ac:dyDescent="0.2">
      <c r="B316" s="217"/>
      <c r="C316" s="225"/>
      <c r="D316" s="223"/>
      <c r="E316" s="223"/>
      <c r="F316" s="224"/>
      <c r="G316" s="223"/>
      <c r="H316" s="222"/>
      <c r="I316" s="220"/>
      <c r="J316" s="221"/>
      <c r="K316" s="220"/>
      <c r="L316" s="219"/>
      <c r="M316" s="218"/>
      <c r="N316" s="210"/>
    </row>
    <row r="317" spans="2:14" x14ac:dyDescent="0.2">
      <c r="B317" s="226"/>
      <c r="C317" s="225"/>
      <c r="D317" s="223"/>
      <c r="E317" s="223"/>
      <c r="F317" s="224"/>
      <c r="G317" s="223"/>
      <c r="H317" s="222"/>
      <c r="I317" s="220"/>
      <c r="J317" s="221"/>
      <c r="K317" s="220"/>
      <c r="L317" s="219"/>
      <c r="M317" s="218"/>
      <c r="N317" s="210"/>
    </row>
    <row r="318" spans="2:14" x14ac:dyDescent="0.2">
      <c r="B318" s="217"/>
      <c r="C318" s="216"/>
      <c r="D318" s="215"/>
      <c r="E318" s="215"/>
      <c r="F318" s="213"/>
      <c r="G318" s="215"/>
      <c r="H318" s="214"/>
      <c r="I318" s="213"/>
      <c r="J318" s="213"/>
      <c r="K318" s="213"/>
      <c r="L318" s="212"/>
      <c r="M318" s="211"/>
      <c r="N318" s="210"/>
    </row>
    <row r="319" spans="2:14" x14ac:dyDescent="0.2">
      <c r="B319" s="226"/>
      <c r="C319" s="225"/>
      <c r="D319" s="223"/>
      <c r="E319" s="223"/>
      <c r="F319" s="224"/>
      <c r="G319" s="223"/>
      <c r="H319" s="222"/>
      <c r="I319" s="220"/>
      <c r="J319" s="221"/>
      <c r="K319" s="220"/>
      <c r="L319" s="219"/>
      <c r="M319" s="218"/>
      <c r="N319" s="210"/>
    </row>
    <row r="320" spans="2:14" x14ac:dyDescent="0.2">
      <c r="B320" s="226"/>
      <c r="C320" s="225"/>
      <c r="D320" s="223"/>
      <c r="E320" s="223"/>
      <c r="F320" s="224"/>
      <c r="G320" s="223"/>
      <c r="H320" s="222"/>
      <c r="I320" s="220"/>
      <c r="J320" s="221"/>
      <c r="K320" s="220"/>
      <c r="L320" s="219"/>
      <c r="M320" s="218"/>
      <c r="N320" s="210"/>
    </row>
    <row r="321" spans="2:14" x14ac:dyDescent="0.2">
      <c r="B321" s="217"/>
      <c r="C321" s="216"/>
      <c r="D321" s="215"/>
      <c r="E321" s="215"/>
      <c r="F321" s="213"/>
      <c r="G321" s="215"/>
      <c r="H321" s="214"/>
      <c r="I321" s="213"/>
      <c r="J321" s="213"/>
      <c r="K321" s="213"/>
      <c r="L321" s="212"/>
      <c r="M321" s="211"/>
      <c r="N321" s="210"/>
    </row>
    <row r="322" spans="2:14" x14ac:dyDescent="0.2">
      <c r="B322" s="217"/>
      <c r="C322" s="216"/>
      <c r="D322" s="215"/>
      <c r="E322" s="215"/>
      <c r="F322" s="213"/>
      <c r="G322" s="215"/>
      <c r="H322" s="214"/>
      <c r="I322" s="213"/>
      <c r="J322" s="213"/>
      <c r="K322" s="213"/>
      <c r="L322" s="212"/>
      <c r="M322" s="211"/>
      <c r="N322" s="210"/>
    </row>
    <row r="323" spans="2:14" x14ac:dyDescent="0.2">
      <c r="B323" s="226"/>
      <c r="C323" s="225"/>
      <c r="D323" s="223"/>
      <c r="E323" s="223"/>
      <c r="F323" s="224"/>
      <c r="G323" s="223"/>
      <c r="H323" s="222"/>
      <c r="I323" s="220"/>
      <c r="J323" s="221"/>
      <c r="K323" s="220"/>
      <c r="L323" s="219"/>
      <c r="M323" s="218"/>
      <c r="N323" s="210"/>
    </row>
    <row r="324" spans="2:14" x14ac:dyDescent="0.2">
      <c r="B324" s="217"/>
      <c r="C324" s="216"/>
      <c r="D324" s="215"/>
      <c r="E324" s="215"/>
      <c r="F324" s="213"/>
      <c r="G324" s="215"/>
      <c r="H324" s="214"/>
      <c r="I324" s="213"/>
      <c r="J324" s="213"/>
      <c r="K324" s="213"/>
      <c r="L324" s="212"/>
      <c r="M324" s="211"/>
      <c r="N324" s="210"/>
    </row>
    <row r="325" spans="2:14" x14ac:dyDescent="0.2">
      <c r="B325" s="226"/>
      <c r="C325" s="225"/>
      <c r="D325" s="223"/>
      <c r="E325" s="223"/>
      <c r="F325" s="224"/>
      <c r="G325" s="223"/>
      <c r="H325" s="222"/>
      <c r="I325" s="220"/>
      <c r="J325" s="221"/>
      <c r="K325" s="220"/>
      <c r="L325" s="219"/>
      <c r="M325" s="218"/>
      <c r="N325" s="210"/>
    </row>
    <row r="326" spans="2:14" x14ac:dyDescent="0.2">
      <c r="B326" s="226"/>
      <c r="C326" s="225"/>
      <c r="D326" s="223"/>
      <c r="E326" s="223"/>
      <c r="F326" s="224"/>
      <c r="G326" s="223"/>
      <c r="H326" s="222"/>
      <c r="I326" s="220"/>
      <c r="J326" s="221"/>
      <c r="K326" s="220"/>
      <c r="L326" s="219"/>
      <c r="M326" s="218"/>
      <c r="N326" s="210"/>
    </row>
    <row r="327" spans="2:14" x14ac:dyDescent="0.2">
      <c r="B327" s="226"/>
      <c r="C327" s="225"/>
      <c r="D327" s="223"/>
      <c r="E327" s="223"/>
      <c r="F327" s="224"/>
      <c r="G327" s="223"/>
      <c r="H327" s="222"/>
      <c r="I327" s="220"/>
      <c r="J327" s="221"/>
      <c r="K327" s="220"/>
      <c r="L327" s="219"/>
      <c r="M327" s="218"/>
      <c r="N327" s="210"/>
    </row>
    <row r="328" spans="2:14" x14ac:dyDescent="0.2">
      <c r="B328" s="217"/>
      <c r="C328" s="216"/>
      <c r="D328" s="215"/>
      <c r="E328" s="215"/>
      <c r="F328" s="213"/>
      <c r="G328" s="215"/>
      <c r="H328" s="214"/>
      <c r="I328" s="213"/>
      <c r="J328" s="213"/>
      <c r="K328" s="213"/>
      <c r="L328" s="212"/>
      <c r="M328" s="211"/>
      <c r="N328" s="210"/>
    </row>
    <row r="329" spans="2:14" x14ac:dyDescent="0.2">
      <c r="B329" s="226"/>
      <c r="C329" s="225"/>
      <c r="D329" s="223"/>
      <c r="E329" s="223"/>
      <c r="F329" s="224"/>
      <c r="G329" s="223"/>
      <c r="H329" s="222"/>
      <c r="I329" s="220"/>
      <c r="J329" s="221"/>
      <c r="K329" s="220"/>
      <c r="L329" s="219"/>
      <c r="M329" s="218"/>
      <c r="N329" s="210"/>
    </row>
    <row r="330" spans="2:14" x14ac:dyDescent="0.2">
      <c r="B330" s="226"/>
      <c r="C330" s="225"/>
      <c r="D330" s="223"/>
      <c r="E330" s="223"/>
      <c r="F330" s="224"/>
      <c r="G330" s="223"/>
      <c r="H330" s="222"/>
      <c r="I330" s="220"/>
      <c r="J330" s="221"/>
      <c r="K330" s="220"/>
      <c r="L330" s="219"/>
      <c r="M330" s="218"/>
      <c r="N330" s="210"/>
    </row>
    <row r="331" spans="2:14" x14ac:dyDescent="0.2">
      <c r="B331" s="226"/>
      <c r="C331" s="225"/>
      <c r="D331" s="223"/>
      <c r="E331" s="223"/>
      <c r="F331" s="224"/>
      <c r="G331" s="223"/>
      <c r="H331" s="222"/>
      <c r="I331" s="220"/>
      <c r="J331" s="221"/>
      <c r="K331" s="220"/>
      <c r="L331" s="219"/>
      <c r="M331" s="218"/>
      <c r="N331" s="210"/>
    </row>
    <row r="332" spans="2:14" x14ac:dyDescent="0.2">
      <c r="B332" s="226"/>
      <c r="C332" s="225"/>
      <c r="D332" s="223"/>
      <c r="E332" s="223"/>
      <c r="F332" s="224"/>
      <c r="G332" s="223"/>
      <c r="H332" s="222"/>
      <c r="I332" s="220"/>
      <c r="J332" s="221"/>
      <c r="K332" s="220"/>
      <c r="L332" s="219"/>
      <c r="M332" s="218"/>
      <c r="N332" s="210"/>
    </row>
    <row r="333" spans="2:14" x14ac:dyDescent="0.2">
      <c r="B333" s="226"/>
      <c r="C333" s="225"/>
      <c r="D333" s="223"/>
      <c r="E333" s="223"/>
      <c r="F333" s="224"/>
      <c r="G333" s="223"/>
      <c r="H333" s="222"/>
      <c r="I333" s="220"/>
      <c r="J333" s="221"/>
      <c r="K333" s="220"/>
      <c r="L333" s="219"/>
      <c r="M333" s="218"/>
      <c r="N333" s="210"/>
    </row>
    <row r="334" spans="2:14" x14ac:dyDescent="0.2">
      <c r="B334" s="226"/>
      <c r="C334" s="225"/>
      <c r="D334" s="223"/>
      <c r="E334" s="223"/>
      <c r="F334" s="224"/>
      <c r="G334" s="223"/>
      <c r="H334" s="222"/>
      <c r="I334" s="220"/>
      <c r="J334" s="221"/>
      <c r="K334" s="220"/>
      <c r="L334" s="219"/>
      <c r="M334" s="218"/>
      <c r="N334" s="210"/>
    </row>
    <row r="335" spans="2:14" x14ac:dyDescent="0.2">
      <c r="B335" s="217"/>
      <c r="C335" s="216"/>
      <c r="D335" s="215"/>
      <c r="E335" s="215"/>
      <c r="F335" s="213"/>
      <c r="G335" s="215"/>
      <c r="H335" s="214"/>
      <c r="I335" s="213"/>
      <c r="J335" s="213"/>
      <c r="K335" s="213"/>
      <c r="L335" s="212"/>
      <c r="M335" s="211"/>
      <c r="N335" s="210"/>
    </row>
    <row r="336" spans="2:14" x14ac:dyDescent="0.2">
      <c r="B336" s="226"/>
      <c r="C336" s="225"/>
      <c r="D336" s="223"/>
      <c r="E336" s="223"/>
      <c r="F336" s="224"/>
      <c r="G336" s="223"/>
      <c r="H336" s="222"/>
      <c r="I336" s="220"/>
      <c r="J336" s="221"/>
      <c r="K336" s="220"/>
      <c r="L336" s="219"/>
      <c r="M336" s="218"/>
      <c r="N336" s="210"/>
    </row>
    <row r="337" spans="2:14" x14ac:dyDescent="0.2">
      <c r="B337" s="226"/>
      <c r="C337" s="225"/>
      <c r="D337" s="223"/>
      <c r="E337" s="223"/>
      <c r="F337" s="224"/>
      <c r="G337" s="223"/>
      <c r="H337" s="222"/>
      <c r="I337" s="220"/>
      <c r="J337" s="221"/>
      <c r="K337" s="220"/>
      <c r="L337" s="219"/>
      <c r="M337" s="218"/>
      <c r="N337" s="210"/>
    </row>
    <row r="338" spans="2:14" x14ac:dyDescent="0.2">
      <c r="B338" s="217"/>
      <c r="C338" s="216"/>
      <c r="D338" s="215"/>
      <c r="E338" s="215"/>
      <c r="F338" s="213"/>
      <c r="G338" s="215"/>
      <c r="H338" s="214"/>
      <c r="I338" s="213"/>
      <c r="J338" s="213"/>
      <c r="K338" s="213"/>
      <c r="L338" s="212"/>
      <c r="M338" s="211"/>
      <c r="N338" s="210"/>
    </row>
    <row r="339" spans="2:14" x14ac:dyDescent="0.2">
      <c r="B339" s="226"/>
      <c r="C339" s="225"/>
      <c r="D339" s="223"/>
      <c r="E339" s="223"/>
      <c r="F339" s="224"/>
      <c r="G339" s="223"/>
      <c r="H339" s="222"/>
      <c r="I339" s="220"/>
      <c r="J339" s="221"/>
      <c r="K339" s="220"/>
      <c r="L339" s="219"/>
      <c r="M339" s="218"/>
      <c r="N339" s="210"/>
    </row>
    <row r="340" spans="2:14" x14ac:dyDescent="0.2">
      <c r="B340" s="226"/>
      <c r="C340" s="225"/>
      <c r="D340" s="223"/>
      <c r="E340" s="223"/>
      <c r="F340" s="224"/>
      <c r="G340" s="223"/>
      <c r="H340" s="222"/>
      <c r="I340" s="220"/>
      <c r="J340" s="221"/>
      <c r="K340" s="220"/>
      <c r="L340" s="219"/>
      <c r="M340" s="218"/>
      <c r="N340" s="210"/>
    </row>
    <row r="341" spans="2:14" x14ac:dyDescent="0.2">
      <c r="B341" s="217"/>
      <c r="C341" s="216"/>
      <c r="D341" s="215"/>
      <c r="E341" s="215"/>
      <c r="F341" s="213"/>
      <c r="G341" s="215"/>
      <c r="H341" s="214"/>
      <c r="I341" s="213"/>
      <c r="J341" s="213"/>
      <c r="K341" s="213"/>
      <c r="L341" s="212"/>
      <c r="M341" s="211"/>
      <c r="N341" s="210"/>
    </row>
    <row r="342" spans="2:14" x14ac:dyDescent="0.2">
      <c r="B342" s="217"/>
      <c r="C342" s="216"/>
      <c r="D342" s="215"/>
      <c r="E342" s="215"/>
      <c r="F342" s="213"/>
      <c r="G342" s="215"/>
      <c r="H342" s="214"/>
      <c r="I342" s="227"/>
      <c r="J342" s="228"/>
      <c r="K342" s="227"/>
      <c r="L342" s="212"/>
      <c r="M342" s="211"/>
      <c r="N342" s="210"/>
    </row>
    <row r="343" spans="2:14" x14ac:dyDescent="0.2">
      <c r="B343" s="226"/>
      <c r="C343" s="225"/>
      <c r="D343" s="223"/>
      <c r="E343" s="223"/>
      <c r="F343" s="224"/>
      <c r="G343" s="223"/>
      <c r="H343" s="222"/>
      <c r="I343" s="220"/>
      <c r="J343" s="221"/>
      <c r="K343" s="220"/>
      <c r="L343" s="219"/>
      <c r="M343" s="218"/>
      <c r="N343" s="210"/>
    </row>
    <row r="344" spans="2:14" x14ac:dyDescent="0.2">
      <c r="B344" s="217"/>
      <c r="C344" s="216"/>
      <c r="D344" s="215"/>
      <c r="E344" s="215"/>
      <c r="F344" s="213"/>
      <c r="G344" s="215"/>
      <c r="H344" s="214"/>
      <c r="I344" s="213"/>
      <c r="J344" s="213"/>
      <c r="K344" s="213"/>
      <c r="L344" s="212"/>
      <c r="M344" s="211"/>
      <c r="N344" s="210"/>
    </row>
    <row r="345" spans="2:14" x14ac:dyDescent="0.2">
      <c r="B345" s="217"/>
      <c r="C345" s="216"/>
      <c r="D345" s="215"/>
      <c r="E345" s="215"/>
      <c r="F345" s="213"/>
      <c r="G345" s="215"/>
      <c r="H345" s="214"/>
      <c r="I345" s="227"/>
      <c r="J345" s="228"/>
      <c r="K345" s="227"/>
      <c r="L345" s="212"/>
      <c r="M345" s="211"/>
      <c r="N345" s="210"/>
    </row>
    <row r="346" spans="2:14" x14ac:dyDescent="0.2">
      <c r="B346" s="226"/>
      <c r="C346" s="225"/>
      <c r="D346" s="223"/>
      <c r="E346" s="223"/>
      <c r="F346" s="224"/>
      <c r="G346" s="223"/>
      <c r="H346" s="222"/>
      <c r="I346" s="220"/>
      <c r="J346" s="221"/>
      <c r="K346" s="220"/>
      <c r="L346" s="219"/>
      <c r="M346" s="218"/>
      <c r="N346" s="210"/>
    </row>
    <row r="347" spans="2:14" x14ac:dyDescent="0.2">
      <c r="B347" s="217"/>
      <c r="C347" s="216"/>
      <c r="D347" s="215"/>
      <c r="E347" s="215"/>
      <c r="F347" s="213"/>
      <c r="G347" s="215"/>
      <c r="H347" s="214"/>
      <c r="I347" s="213"/>
      <c r="J347" s="213"/>
      <c r="K347" s="213"/>
      <c r="L347" s="212"/>
      <c r="M347" s="211"/>
      <c r="N347" s="210"/>
    </row>
    <row r="348" spans="2:14" x14ac:dyDescent="0.2">
      <c r="B348" s="217"/>
      <c r="C348" s="216"/>
      <c r="D348" s="215"/>
      <c r="E348" s="215"/>
      <c r="F348" s="213"/>
      <c r="G348" s="215"/>
      <c r="H348" s="214"/>
      <c r="I348" s="213"/>
      <c r="J348" s="213"/>
      <c r="K348" s="213"/>
      <c r="L348" s="212"/>
      <c r="M348" s="211"/>
      <c r="N348" s="210"/>
    </row>
    <row r="349" spans="2:14" x14ac:dyDescent="0.2">
      <c r="B349" s="226"/>
      <c r="C349" s="225"/>
      <c r="D349" s="223"/>
      <c r="E349" s="223"/>
      <c r="F349" s="224"/>
      <c r="G349" s="223"/>
      <c r="H349" s="222"/>
      <c r="I349" s="220"/>
      <c r="J349" s="221"/>
      <c r="K349" s="220"/>
      <c r="L349" s="219"/>
      <c r="M349" s="218"/>
      <c r="N349" s="210"/>
    </row>
    <row r="350" spans="2:14" x14ac:dyDescent="0.2">
      <c r="B350" s="217"/>
      <c r="C350" s="216"/>
      <c r="D350" s="215"/>
      <c r="E350" s="215"/>
      <c r="F350" s="213"/>
      <c r="G350" s="215"/>
      <c r="H350" s="214"/>
      <c r="I350" s="213"/>
      <c r="J350" s="213"/>
      <c r="K350" s="213"/>
      <c r="L350" s="212"/>
      <c r="M350" s="211"/>
      <c r="N350" s="210"/>
    </row>
    <row r="351" spans="2:14" x14ac:dyDescent="0.2">
      <c r="B351" s="217"/>
      <c r="C351" s="216"/>
      <c r="D351" s="215"/>
      <c r="E351" s="215"/>
      <c r="F351" s="213"/>
      <c r="G351" s="215"/>
      <c r="H351" s="214"/>
      <c r="I351" s="227"/>
      <c r="J351" s="228"/>
      <c r="K351" s="227"/>
      <c r="L351" s="212"/>
      <c r="M351" s="211"/>
      <c r="N351" s="210"/>
    </row>
    <row r="352" spans="2:14" x14ac:dyDescent="0.2">
      <c r="B352" s="226"/>
      <c r="C352" s="225"/>
      <c r="D352" s="223"/>
      <c r="E352" s="223"/>
      <c r="F352" s="224"/>
      <c r="G352" s="223"/>
      <c r="H352" s="222"/>
      <c r="I352" s="220"/>
      <c r="J352" s="221"/>
      <c r="K352" s="220"/>
      <c r="L352" s="219"/>
      <c r="M352" s="218"/>
      <c r="N352" s="210"/>
    </row>
    <row r="353" spans="2:14" x14ac:dyDescent="0.2">
      <c r="B353" s="226"/>
      <c r="C353" s="225"/>
      <c r="D353" s="223"/>
      <c r="E353" s="223"/>
      <c r="F353" s="224"/>
      <c r="G353" s="223"/>
      <c r="H353" s="222"/>
      <c r="I353" s="220"/>
      <c r="J353" s="221"/>
      <c r="K353" s="220"/>
      <c r="L353" s="219"/>
      <c r="M353" s="218"/>
      <c r="N353" s="210"/>
    </row>
    <row r="354" spans="2:14" x14ac:dyDescent="0.2">
      <c r="B354" s="226"/>
      <c r="C354" s="225"/>
      <c r="D354" s="223"/>
      <c r="E354" s="223"/>
      <c r="F354" s="224"/>
      <c r="G354" s="223"/>
      <c r="H354" s="222"/>
      <c r="I354" s="220"/>
      <c r="J354" s="221"/>
      <c r="K354" s="220"/>
      <c r="L354" s="219"/>
      <c r="M354" s="218"/>
      <c r="N354" s="210"/>
    </row>
    <row r="355" spans="2:14" x14ac:dyDescent="0.2">
      <c r="B355" s="217"/>
      <c r="C355" s="216"/>
      <c r="D355" s="215"/>
      <c r="E355" s="215"/>
      <c r="F355" s="213"/>
      <c r="G355" s="215"/>
      <c r="H355" s="214"/>
      <c r="I355" s="213"/>
      <c r="J355" s="213"/>
      <c r="K355" s="213"/>
      <c r="L355" s="212"/>
      <c r="M355" s="211"/>
      <c r="N355" s="210"/>
    </row>
    <row r="356" spans="2:14" x14ac:dyDescent="0.2">
      <c r="B356" s="217"/>
      <c r="C356" s="216"/>
      <c r="D356" s="215"/>
      <c r="E356" s="215"/>
      <c r="F356" s="213"/>
      <c r="G356" s="215"/>
      <c r="H356" s="214"/>
      <c r="I356" s="227"/>
      <c r="J356" s="228"/>
      <c r="K356" s="227"/>
      <c r="L356" s="212"/>
      <c r="M356" s="211"/>
      <c r="N356" s="210"/>
    </row>
    <row r="357" spans="2:14" x14ac:dyDescent="0.2">
      <c r="B357" s="226"/>
      <c r="C357" s="225"/>
      <c r="D357" s="223"/>
      <c r="E357" s="223"/>
      <c r="F357" s="224"/>
      <c r="G357" s="223"/>
      <c r="H357" s="222"/>
      <c r="I357" s="220"/>
      <c r="J357" s="221"/>
      <c r="K357" s="220"/>
      <c r="L357" s="219"/>
      <c r="M357" s="218"/>
      <c r="N357" s="210"/>
    </row>
    <row r="358" spans="2:14" x14ac:dyDescent="0.2">
      <c r="B358" s="217"/>
      <c r="C358" s="216"/>
      <c r="D358" s="215"/>
      <c r="E358" s="215"/>
      <c r="F358" s="213"/>
      <c r="G358" s="215"/>
      <c r="H358" s="214"/>
      <c r="I358" s="213"/>
      <c r="J358" s="213"/>
      <c r="K358" s="213"/>
      <c r="L358" s="212"/>
      <c r="M358" s="211"/>
      <c r="N358" s="210"/>
    </row>
    <row r="359" spans="2:14" x14ac:dyDescent="0.2">
      <c r="B359" s="217"/>
      <c r="C359" s="216"/>
      <c r="D359" s="215"/>
      <c r="E359" s="215"/>
      <c r="F359" s="213"/>
      <c r="G359" s="215"/>
      <c r="H359" s="214"/>
      <c r="I359" s="227"/>
      <c r="J359" s="228"/>
      <c r="K359" s="227"/>
      <c r="L359" s="212"/>
      <c r="M359" s="211"/>
      <c r="N359" s="210"/>
    </row>
    <row r="360" spans="2:14" x14ac:dyDescent="0.2">
      <c r="B360" s="226"/>
      <c r="C360" s="225"/>
      <c r="D360" s="223"/>
      <c r="E360" s="223"/>
      <c r="F360" s="224"/>
      <c r="G360" s="223"/>
      <c r="H360" s="222"/>
      <c r="I360" s="220"/>
      <c r="J360" s="221"/>
      <c r="K360" s="220"/>
      <c r="L360" s="219"/>
      <c r="M360" s="218"/>
      <c r="N360" s="210"/>
    </row>
    <row r="361" spans="2:14" x14ac:dyDescent="0.2">
      <c r="B361" s="217"/>
      <c r="C361" s="216"/>
      <c r="D361" s="215"/>
      <c r="E361" s="215"/>
      <c r="F361" s="213"/>
      <c r="G361" s="215"/>
      <c r="H361" s="214"/>
      <c r="I361" s="213"/>
      <c r="J361" s="213"/>
      <c r="K361" s="213"/>
      <c r="L361" s="212"/>
      <c r="M361" s="211"/>
      <c r="N361" s="210"/>
    </row>
    <row r="362" spans="2:14" x14ac:dyDescent="0.2">
      <c r="B362" s="156"/>
      <c r="C362" s="156"/>
      <c r="D362" s="156"/>
      <c r="E362" s="102"/>
      <c r="F362" s="102"/>
      <c r="G362" s="156"/>
      <c r="H362" s="156"/>
      <c r="I362" s="156"/>
      <c r="J362" s="156"/>
      <c r="K362" s="156"/>
      <c r="L362" s="102"/>
      <c r="M362" s="156"/>
      <c r="N362" s="156"/>
    </row>
    <row r="363" spans="2:14" x14ac:dyDescent="0.2">
      <c r="H363" s="151"/>
    </row>
    <row r="364" spans="2:14" x14ac:dyDescent="0.2">
      <c r="H364" s="151"/>
    </row>
    <row r="366" spans="2:14" x14ac:dyDescent="0.2">
      <c r="H366" s="151"/>
    </row>
    <row r="367" spans="2:14" x14ac:dyDescent="0.2">
      <c r="H367" s="151"/>
    </row>
    <row r="368" spans="2:14" x14ac:dyDescent="0.2">
      <c r="E368" s="32"/>
      <c r="F368" s="32"/>
      <c r="L368" s="155"/>
    </row>
    <row r="369" spans="5:12" x14ac:dyDescent="0.2">
      <c r="E369" s="32"/>
      <c r="F369" s="32"/>
      <c r="L369" s="155"/>
    </row>
    <row r="370" spans="5:12" x14ac:dyDescent="0.2">
      <c r="E370" s="32"/>
      <c r="F370" s="32"/>
      <c r="L370" s="154"/>
    </row>
    <row r="372" spans="5:12" x14ac:dyDescent="0.2">
      <c r="E372" s="32"/>
      <c r="F372" s="32"/>
      <c r="L372" s="209"/>
    </row>
    <row r="376" spans="5:12" x14ac:dyDescent="0.2">
      <c r="E376" s="32"/>
      <c r="F376" s="32"/>
      <c r="G376" s="151"/>
    </row>
    <row r="377" spans="5:12" x14ac:dyDescent="0.2">
      <c r="E377" s="32"/>
      <c r="F377" s="32"/>
      <c r="G377" s="152"/>
    </row>
    <row r="380" spans="5:12" x14ac:dyDescent="0.2">
      <c r="E380" s="32"/>
      <c r="F380" s="32"/>
      <c r="G380" s="151"/>
      <c r="L380" s="32"/>
    </row>
  </sheetData>
  <sortState ref="A4:X14">
    <sortCondition descending="1" ref="I4:I14"/>
  </sortState>
  <mergeCells count="1">
    <mergeCell ref="S17:T19"/>
  </mergeCells>
  <conditionalFormatting sqref="E211:E212 E259:E260 E252 E242:E243 E214:E215 E255:E256 E90 E72 E263:E265">
    <cfRule type="containsText" dxfId="714" priority="648" operator="containsText" text="Buy">
      <formula>NOT(ISERROR(SEARCH("Buy",E72)))</formula>
    </cfRule>
    <cfRule type="containsText" dxfId="713" priority="649" operator="containsText" text="Sell">
      <formula>NOT(ISERROR(SEARCH("Sell",E72)))</formula>
    </cfRule>
  </conditionalFormatting>
  <conditionalFormatting sqref="E284:E285 E274:E275 E279">
    <cfRule type="containsText" dxfId="712" priority="646" operator="containsText" text="Buy">
      <formula>NOT(ISERROR(SEARCH("Buy",E274)))</formula>
    </cfRule>
    <cfRule type="containsText" dxfId="711" priority="647" operator="containsText" text="Sell">
      <formula>NOT(ISERROR(SEARCH("Sell",E274)))</formula>
    </cfRule>
  </conditionalFormatting>
  <conditionalFormatting sqref="E300:E302 E359 E356 E351 E345 E342 E339 E336 E329 E325 E319 E309">
    <cfRule type="containsText" dxfId="710" priority="644" operator="containsText" text="Buy">
      <formula>NOT(ISERROR(SEARCH("Buy",E300)))</formula>
    </cfRule>
    <cfRule type="containsText" dxfId="709" priority="645" operator="containsText" text="Sell">
      <formula>NOT(ISERROR(SEARCH("Sell",E300)))</formula>
    </cfRule>
  </conditionalFormatting>
  <conditionalFormatting sqref="E299">
    <cfRule type="containsText" dxfId="708" priority="642" operator="containsText" text="Buy">
      <formula>NOT(ISERROR(SEARCH("Buy",E299)))</formula>
    </cfRule>
    <cfRule type="containsText" dxfId="707" priority="643" operator="containsText" text="Sell">
      <formula>NOT(ISERROR(SEARCH("Sell",E299)))</formula>
    </cfRule>
  </conditionalFormatting>
  <conditionalFormatting sqref="E298">
    <cfRule type="containsText" dxfId="706" priority="640" operator="containsText" text="Buy">
      <formula>NOT(ISERROR(SEARCH("Buy",E298)))</formula>
    </cfRule>
    <cfRule type="containsText" dxfId="705" priority="641" operator="containsText" text="Sell">
      <formula>NOT(ISERROR(SEARCH("Sell",E298)))</formula>
    </cfRule>
  </conditionalFormatting>
  <conditionalFormatting sqref="E297">
    <cfRule type="containsText" dxfId="704" priority="638" operator="containsText" text="Buy">
      <formula>NOT(ISERROR(SEARCH("Buy",E297)))</formula>
    </cfRule>
    <cfRule type="containsText" dxfId="703" priority="639" operator="containsText" text="Sell">
      <formula>NOT(ISERROR(SEARCH("Sell",E297)))</formula>
    </cfRule>
  </conditionalFormatting>
  <conditionalFormatting sqref="E210">
    <cfRule type="containsText" dxfId="702" priority="636" operator="containsText" text="Buy">
      <formula>NOT(ISERROR(SEARCH("Buy",E210)))</formula>
    </cfRule>
    <cfRule type="containsText" dxfId="701" priority="637" operator="containsText" text="Sell">
      <formula>NOT(ISERROR(SEARCH("Sell",E210)))</formula>
    </cfRule>
  </conditionalFormatting>
  <conditionalFormatting sqref="E209">
    <cfRule type="containsText" dxfId="700" priority="634" operator="containsText" text="Buy">
      <formula>NOT(ISERROR(SEARCH("Buy",E209)))</formula>
    </cfRule>
    <cfRule type="containsText" dxfId="699" priority="635" operator="containsText" text="Sell">
      <formula>NOT(ISERROR(SEARCH("Sell",E209)))</formula>
    </cfRule>
  </conditionalFormatting>
  <conditionalFormatting sqref="E258">
    <cfRule type="containsText" dxfId="698" priority="632" operator="containsText" text="Buy">
      <formula>NOT(ISERROR(SEARCH("Buy",E258)))</formula>
    </cfRule>
    <cfRule type="containsText" dxfId="697" priority="633" operator="containsText" text="Sell">
      <formula>NOT(ISERROR(SEARCH("Sell",E258)))</formula>
    </cfRule>
  </conditionalFormatting>
  <conditionalFormatting sqref="E257">
    <cfRule type="containsText" dxfId="696" priority="630" operator="containsText" text="Buy">
      <formula>NOT(ISERROR(SEARCH("Buy",E257)))</formula>
    </cfRule>
    <cfRule type="containsText" dxfId="695" priority="631" operator="containsText" text="Sell">
      <formula>NOT(ISERROR(SEARCH("Sell",E257)))</formula>
    </cfRule>
  </conditionalFormatting>
  <conditionalFormatting sqref="E244:E246">
    <cfRule type="containsText" dxfId="694" priority="628" operator="containsText" text="Buy">
      <formula>NOT(ISERROR(SEARCH("Buy",E244)))</formula>
    </cfRule>
    <cfRule type="containsText" dxfId="693" priority="629" operator="containsText" text="Sell">
      <formula>NOT(ISERROR(SEARCH("Sell",E244)))</formula>
    </cfRule>
  </conditionalFormatting>
  <conditionalFormatting sqref="E241">
    <cfRule type="containsText" dxfId="692" priority="626" operator="containsText" text="Buy">
      <formula>NOT(ISERROR(SEARCH("Buy",E241)))</formula>
    </cfRule>
    <cfRule type="containsText" dxfId="691" priority="627" operator="containsText" text="Sell">
      <formula>NOT(ISERROR(SEARCH("Sell",E241)))</formula>
    </cfRule>
  </conditionalFormatting>
  <conditionalFormatting sqref="E240">
    <cfRule type="containsText" dxfId="690" priority="624" operator="containsText" text="Buy">
      <formula>NOT(ISERROR(SEARCH("Buy",E240)))</formula>
    </cfRule>
    <cfRule type="containsText" dxfId="689" priority="625" operator="containsText" text="Sell">
      <formula>NOT(ISERROR(SEARCH("Sell",E240)))</formula>
    </cfRule>
  </conditionalFormatting>
  <conditionalFormatting sqref="E239">
    <cfRule type="containsText" dxfId="688" priority="622" operator="containsText" text="Buy">
      <formula>NOT(ISERROR(SEARCH("Buy",E239)))</formula>
    </cfRule>
    <cfRule type="containsText" dxfId="687" priority="623" operator="containsText" text="Sell">
      <formula>NOT(ISERROR(SEARCH("Sell",E239)))</formula>
    </cfRule>
  </conditionalFormatting>
  <conditionalFormatting sqref="E238">
    <cfRule type="containsText" dxfId="686" priority="620" operator="containsText" text="Buy">
      <formula>NOT(ISERROR(SEARCH("Buy",E238)))</formula>
    </cfRule>
    <cfRule type="containsText" dxfId="685" priority="621" operator="containsText" text="Sell">
      <formula>NOT(ISERROR(SEARCH("Sell",E238)))</formula>
    </cfRule>
  </conditionalFormatting>
  <conditionalFormatting sqref="E237">
    <cfRule type="containsText" dxfId="684" priority="618" operator="containsText" text="Buy">
      <formula>NOT(ISERROR(SEARCH("Buy",E237)))</formula>
    </cfRule>
    <cfRule type="containsText" dxfId="683" priority="619" operator="containsText" text="Sell">
      <formula>NOT(ISERROR(SEARCH("Sell",E237)))</formula>
    </cfRule>
  </conditionalFormatting>
  <conditionalFormatting sqref="E236">
    <cfRule type="containsText" dxfId="682" priority="616" operator="containsText" text="Buy">
      <formula>NOT(ISERROR(SEARCH("Buy",E236)))</formula>
    </cfRule>
    <cfRule type="containsText" dxfId="681" priority="617" operator="containsText" text="Sell">
      <formula>NOT(ISERROR(SEARCH("Sell",E236)))</formula>
    </cfRule>
  </conditionalFormatting>
  <conditionalFormatting sqref="E235">
    <cfRule type="containsText" dxfId="680" priority="614" operator="containsText" text="Buy">
      <formula>NOT(ISERROR(SEARCH("Buy",E235)))</formula>
    </cfRule>
    <cfRule type="containsText" dxfId="679" priority="615" operator="containsText" text="Sell">
      <formula>NOT(ISERROR(SEARCH("Sell",E235)))</formula>
    </cfRule>
  </conditionalFormatting>
  <conditionalFormatting sqref="E228:E230">
    <cfRule type="containsText" dxfId="678" priority="612" operator="containsText" text="Buy">
      <formula>NOT(ISERROR(SEARCH("Buy",E228)))</formula>
    </cfRule>
    <cfRule type="containsText" dxfId="677" priority="613" operator="containsText" text="Sell">
      <formula>NOT(ISERROR(SEARCH("Sell",E228)))</formula>
    </cfRule>
  </conditionalFormatting>
  <conditionalFormatting sqref="E227">
    <cfRule type="containsText" dxfId="676" priority="610" operator="containsText" text="Buy">
      <formula>NOT(ISERROR(SEARCH("Buy",E227)))</formula>
    </cfRule>
    <cfRule type="containsText" dxfId="675" priority="611" operator="containsText" text="Sell">
      <formula>NOT(ISERROR(SEARCH("Sell",E227)))</formula>
    </cfRule>
  </conditionalFormatting>
  <conditionalFormatting sqref="E226">
    <cfRule type="containsText" dxfId="674" priority="608" operator="containsText" text="Buy">
      <formula>NOT(ISERROR(SEARCH("Buy",E226)))</formula>
    </cfRule>
    <cfRule type="containsText" dxfId="673" priority="609" operator="containsText" text="Sell">
      <formula>NOT(ISERROR(SEARCH("Sell",E226)))</formula>
    </cfRule>
  </conditionalFormatting>
  <conditionalFormatting sqref="E225">
    <cfRule type="containsText" dxfId="672" priority="606" operator="containsText" text="Buy">
      <formula>NOT(ISERROR(SEARCH("Buy",E225)))</formula>
    </cfRule>
    <cfRule type="containsText" dxfId="671" priority="607" operator="containsText" text="Sell">
      <formula>NOT(ISERROR(SEARCH("Sell",E225)))</formula>
    </cfRule>
  </conditionalFormatting>
  <conditionalFormatting sqref="E224">
    <cfRule type="containsText" dxfId="670" priority="604" operator="containsText" text="Buy">
      <formula>NOT(ISERROR(SEARCH("Buy",E224)))</formula>
    </cfRule>
    <cfRule type="containsText" dxfId="669" priority="605" operator="containsText" text="Sell">
      <formula>NOT(ISERROR(SEARCH("Sell",E224)))</formula>
    </cfRule>
  </conditionalFormatting>
  <conditionalFormatting sqref="E223">
    <cfRule type="containsText" dxfId="668" priority="602" operator="containsText" text="Buy">
      <formula>NOT(ISERROR(SEARCH("Buy",E223)))</formula>
    </cfRule>
    <cfRule type="containsText" dxfId="667" priority="603" operator="containsText" text="Sell">
      <formula>NOT(ISERROR(SEARCH("Sell",E223)))</formula>
    </cfRule>
  </conditionalFormatting>
  <conditionalFormatting sqref="E222">
    <cfRule type="containsText" dxfId="666" priority="600" operator="containsText" text="Buy">
      <formula>NOT(ISERROR(SEARCH("Buy",E222)))</formula>
    </cfRule>
    <cfRule type="containsText" dxfId="665" priority="601" operator="containsText" text="Sell">
      <formula>NOT(ISERROR(SEARCH("Sell",E222)))</formula>
    </cfRule>
  </conditionalFormatting>
  <conditionalFormatting sqref="E221">
    <cfRule type="containsText" dxfId="664" priority="598" operator="containsText" text="Buy">
      <formula>NOT(ISERROR(SEARCH("Buy",E221)))</formula>
    </cfRule>
    <cfRule type="containsText" dxfId="663" priority="599" operator="containsText" text="Sell">
      <formula>NOT(ISERROR(SEARCH("Sell",E221)))</formula>
    </cfRule>
  </conditionalFormatting>
  <conditionalFormatting sqref="E220">
    <cfRule type="containsText" dxfId="662" priority="596" operator="containsText" text="Buy">
      <formula>NOT(ISERROR(SEARCH("Buy",E220)))</formula>
    </cfRule>
    <cfRule type="containsText" dxfId="661" priority="597" operator="containsText" text="Sell">
      <formula>NOT(ISERROR(SEARCH("Sell",E220)))</formula>
    </cfRule>
  </conditionalFormatting>
  <conditionalFormatting sqref="E219">
    <cfRule type="containsText" dxfId="660" priority="594" operator="containsText" text="Buy">
      <formula>NOT(ISERROR(SEARCH("Buy",E219)))</formula>
    </cfRule>
    <cfRule type="containsText" dxfId="659" priority="595" operator="containsText" text="Sell">
      <formula>NOT(ISERROR(SEARCH("Sell",E219)))</formula>
    </cfRule>
  </conditionalFormatting>
  <conditionalFormatting sqref="E218">
    <cfRule type="containsText" dxfId="658" priority="592" operator="containsText" text="Buy">
      <formula>NOT(ISERROR(SEARCH("Buy",E218)))</formula>
    </cfRule>
    <cfRule type="containsText" dxfId="657" priority="593" operator="containsText" text="Sell">
      <formula>NOT(ISERROR(SEARCH("Sell",E218)))</formula>
    </cfRule>
  </conditionalFormatting>
  <conditionalFormatting sqref="E217">
    <cfRule type="containsText" dxfId="656" priority="590" operator="containsText" text="Buy">
      <formula>NOT(ISERROR(SEARCH("Buy",E217)))</formula>
    </cfRule>
    <cfRule type="containsText" dxfId="655" priority="591" operator="containsText" text="Sell">
      <formula>NOT(ISERROR(SEARCH("Sell",E217)))</formula>
    </cfRule>
  </conditionalFormatting>
  <conditionalFormatting sqref="E213">
    <cfRule type="containsText" dxfId="654" priority="588" operator="containsText" text="Buy">
      <formula>NOT(ISERROR(SEARCH("Buy",E213)))</formula>
    </cfRule>
    <cfRule type="containsText" dxfId="653" priority="589" operator="containsText" text="Sell">
      <formula>NOT(ISERROR(SEARCH("Sell",E213)))</formula>
    </cfRule>
  </conditionalFormatting>
  <conditionalFormatting sqref="E273">
    <cfRule type="containsText" dxfId="652" priority="586" operator="containsText" text="Buy">
      <formula>NOT(ISERROR(SEARCH("Buy",E273)))</formula>
    </cfRule>
    <cfRule type="containsText" dxfId="651" priority="587" operator="containsText" text="Sell">
      <formula>NOT(ISERROR(SEARCH("Sell",E273)))</formula>
    </cfRule>
  </conditionalFormatting>
  <conditionalFormatting sqref="E272 E269">
    <cfRule type="containsText" dxfId="650" priority="584" operator="containsText" text="Buy">
      <formula>NOT(ISERROR(SEARCH("Buy",E269)))</formula>
    </cfRule>
    <cfRule type="containsText" dxfId="649" priority="585" operator="containsText" text="Sell">
      <formula>NOT(ISERROR(SEARCH("Sell",E269)))</formula>
    </cfRule>
  </conditionalFormatting>
  <conditionalFormatting sqref="E278">
    <cfRule type="containsText" dxfId="648" priority="582" operator="containsText" text="Buy">
      <formula>NOT(ISERROR(SEARCH("Buy",E278)))</formula>
    </cfRule>
    <cfRule type="containsText" dxfId="647" priority="583" operator="containsText" text="Sell">
      <formula>NOT(ISERROR(SEARCH("Sell",E278)))</formula>
    </cfRule>
  </conditionalFormatting>
  <conditionalFormatting sqref="E360:E361">
    <cfRule type="containsText" dxfId="646" priority="580" operator="containsText" text="Buy">
      <formula>NOT(ISERROR(SEARCH("Buy",E360)))</formula>
    </cfRule>
    <cfRule type="containsText" dxfId="645" priority="581" operator="containsText" text="Sell">
      <formula>NOT(ISERROR(SEARCH("Sell",E360)))</formula>
    </cfRule>
  </conditionalFormatting>
  <conditionalFormatting sqref="E271">
    <cfRule type="containsText" dxfId="644" priority="578" operator="containsText" text="Buy">
      <formula>NOT(ISERROR(SEARCH("Buy",E271)))</formula>
    </cfRule>
    <cfRule type="containsText" dxfId="643" priority="579" operator="containsText" text="Sell">
      <formula>NOT(ISERROR(SEARCH("Sell",E271)))</formula>
    </cfRule>
  </conditionalFormatting>
  <conditionalFormatting sqref="E268">
    <cfRule type="containsText" dxfId="642" priority="576" operator="containsText" text="Buy">
      <formula>NOT(ISERROR(SEARCH("Buy",E268)))</formula>
    </cfRule>
    <cfRule type="containsText" dxfId="641" priority="577" operator="containsText" text="Sell">
      <formula>NOT(ISERROR(SEARCH("Sell",E268)))</formula>
    </cfRule>
  </conditionalFormatting>
  <conditionalFormatting sqref="E267">
    <cfRule type="containsText" dxfId="640" priority="574" operator="containsText" text="Buy">
      <formula>NOT(ISERROR(SEARCH("Buy",E267)))</formula>
    </cfRule>
    <cfRule type="containsText" dxfId="639" priority="575" operator="containsText" text="Sell">
      <formula>NOT(ISERROR(SEARCH("Sell",E267)))</formula>
    </cfRule>
  </conditionalFormatting>
  <conditionalFormatting sqref="E254">
    <cfRule type="containsText" dxfId="638" priority="572" operator="containsText" text="Buy">
      <formula>NOT(ISERROR(SEARCH("Buy",E254)))</formula>
    </cfRule>
    <cfRule type="containsText" dxfId="637" priority="573" operator="containsText" text="Sell">
      <formula>NOT(ISERROR(SEARCH("Sell",E254)))</formula>
    </cfRule>
  </conditionalFormatting>
  <conditionalFormatting sqref="E191:E194 E204 E201:E202">
    <cfRule type="containsText" dxfId="636" priority="570" operator="containsText" text="Buy">
      <formula>NOT(ISERROR(SEARCH("Buy",E191)))</formula>
    </cfRule>
    <cfRule type="containsText" dxfId="635" priority="571" operator="containsText" text="Sell">
      <formula>NOT(ISERROR(SEARCH("Sell",E191)))</formula>
    </cfRule>
  </conditionalFormatting>
  <conditionalFormatting sqref="E357:E358">
    <cfRule type="containsText" dxfId="634" priority="568" operator="containsText" text="Buy">
      <formula>NOT(ISERROR(SEARCH("Buy",E357)))</formula>
    </cfRule>
    <cfRule type="containsText" dxfId="633" priority="569" operator="containsText" text="Sell">
      <formula>NOT(ISERROR(SEARCH("Sell",E357)))</formula>
    </cfRule>
  </conditionalFormatting>
  <conditionalFormatting sqref="E354:E355">
    <cfRule type="containsText" dxfId="632" priority="566" operator="containsText" text="Buy">
      <formula>NOT(ISERROR(SEARCH("Buy",E354)))</formula>
    </cfRule>
    <cfRule type="containsText" dxfId="631" priority="567" operator="containsText" text="Sell">
      <formula>NOT(ISERROR(SEARCH("Sell",E354)))</formula>
    </cfRule>
  </conditionalFormatting>
  <conditionalFormatting sqref="E352:E353">
    <cfRule type="containsText" dxfId="630" priority="564" operator="containsText" text="Buy">
      <formula>NOT(ISERROR(SEARCH("Buy",E352)))</formula>
    </cfRule>
    <cfRule type="containsText" dxfId="629" priority="565" operator="containsText" text="Sell">
      <formula>NOT(ISERROR(SEARCH("Sell",E352)))</formula>
    </cfRule>
  </conditionalFormatting>
  <conditionalFormatting sqref="E349:E350">
    <cfRule type="containsText" dxfId="628" priority="562" operator="containsText" text="Buy">
      <formula>NOT(ISERROR(SEARCH("Buy",E349)))</formula>
    </cfRule>
    <cfRule type="containsText" dxfId="627" priority="563" operator="containsText" text="Sell">
      <formula>NOT(ISERROR(SEARCH("Sell",E349)))</formula>
    </cfRule>
  </conditionalFormatting>
  <conditionalFormatting sqref="E346:E348">
    <cfRule type="containsText" dxfId="626" priority="560" operator="containsText" text="Buy">
      <formula>NOT(ISERROR(SEARCH("Buy",E346)))</formula>
    </cfRule>
    <cfRule type="containsText" dxfId="625" priority="561" operator="containsText" text="Sell">
      <formula>NOT(ISERROR(SEARCH("Sell",E346)))</formula>
    </cfRule>
  </conditionalFormatting>
  <conditionalFormatting sqref="E343:E344">
    <cfRule type="containsText" dxfId="624" priority="558" operator="containsText" text="Buy">
      <formula>NOT(ISERROR(SEARCH("Buy",E343)))</formula>
    </cfRule>
    <cfRule type="containsText" dxfId="623" priority="559" operator="containsText" text="Sell">
      <formula>NOT(ISERROR(SEARCH("Sell",E343)))</formula>
    </cfRule>
  </conditionalFormatting>
  <conditionalFormatting sqref="E340:E341">
    <cfRule type="containsText" dxfId="622" priority="556" operator="containsText" text="Buy">
      <formula>NOT(ISERROR(SEARCH("Buy",E340)))</formula>
    </cfRule>
    <cfRule type="containsText" dxfId="621" priority="557" operator="containsText" text="Sell">
      <formula>NOT(ISERROR(SEARCH("Sell",E340)))</formula>
    </cfRule>
  </conditionalFormatting>
  <conditionalFormatting sqref="E337:E338">
    <cfRule type="containsText" dxfId="620" priority="554" operator="containsText" text="Buy">
      <formula>NOT(ISERROR(SEARCH("Buy",E337)))</formula>
    </cfRule>
    <cfRule type="containsText" dxfId="619" priority="555" operator="containsText" text="Sell">
      <formula>NOT(ISERROR(SEARCH("Sell",E337)))</formula>
    </cfRule>
  </conditionalFormatting>
  <conditionalFormatting sqref="E333">
    <cfRule type="containsText" dxfId="618" priority="550" operator="containsText" text="Buy">
      <formula>NOT(ISERROR(SEARCH("Buy",E333)))</formula>
    </cfRule>
    <cfRule type="containsText" dxfId="617" priority="551" operator="containsText" text="Sell">
      <formula>NOT(ISERROR(SEARCH("Sell",E333)))</formula>
    </cfRule>
  </conditionalFormatting>
  <conditionalFormatting sqref="E334:E335">
    <cfRule type="containsText" dxfId="616" priority="552" operator="containsText" text="Buy">
      <formula>NOT(ISERROR(SEARCH("Buy",E334)))</formula>
    </cfRule>
    <cfRule type="containsText" dxfId="615" priority="553" operator="containsText" text="Sell">
      <formula>NOT(ISERROR(SEARCH("Sell",E334)))</formula>
    </cfRule>
  </conditionalFormatting>
  <conditionalFormatting sqref="E327:E328">
    <cfRule type="containsText" dxfId="614" priority="548" operator="containsText" text="Buy">
      <formula>NOT(ISERROR(SEARCH("Buy",E327)))</formula>
    </cfRule>
    <cfRule type="containsText" dxfId="613" priority="549" operator="containsText" text="Sell">
      <formula>NOT(ISERROR(SEARCH("Sell",E327)))</formula>
    </cfRule>
  </conditionalFormatting>
  <conditionalFormatting sqref="E323:E324">
    <cfRule type="containsText" dxfId="612" priority="546" operator="containsText" text="Buy">
      <formula>NOT(ISERROR(SEARCH("Buy",E323)))</formula>
    </cfRule>
    <cfRule type="containsText" dxfId="611" priority="547" operator="containsText" text="Sell">
      <formula>NOT(ISERROR(SEARCH("Sell",E323)))</formula>
    </cfRule>
  </conditionalFormatting>
  <conditionalFormatting sqref="E188:E189">
    <cfRule type="containsText" dxfId="610" priority="544" operator="containsText" text="Buy">
      <formula>NOT(ISERROR(SEARCH("Buy",E188)))</formula>
    </cfRule>
    <cfRule type="containsText" dxfId="609" priority="545" operator="containsText" text="Sell">
      <formula>NOT(ISERROR(SEARCH("Sell",E188)))</formula>
    </cfRule>
  </conditionalFormatting>
  <conditionalFormatting sqref="E183:E184">
    <cfRule type="containsText" dxfId="608" priority="542" operator="containsText" text="Buy">
      <formula>NOT(ISERROR(SEARCH("Buy",E183)))</formula>
    </cfRule>
    <cfRule type="containsText" dxfId="607" priority="543" operator="containsText" text="Sell">
      <formula>NOT(ISERROR(SEARCH("Sell",E183)))</formula>
    </cfRule>
  </conditionalFormatting>
  <conditionalFormatting sqref="E200">
    <cfRule type="containsText" dxfId="606" priority="540" operator="containsText" text="Buy">
      <formula>NOT(ISERROR(SEARCH("Buy",E200)))</formula>
    </cfRule>
    <cfRule type="containsText" dxfId="605" priority="541" operator="containsText" text="Sell">
      <formula>NOT(ISERROR(SEARCH("Sell",E200)))</formula>
    </cfRule>
  </conditionalFormatting>
  <conditionalFormatting sqref="E199">
    <cfRule type="containsText" dxfId="604" priority="538" operator="containsText" text="Buy">
      <formula>NOT(ISERROR(SEARCH("Buy",E199)))</formula>
    </cfRule>
    <cfRule type="containsText" dxfId="603" priority="539" operator="containsText" text="Sell">
      <formula>NOT(ISERROR(SEARCH("Sell",E199)))</formula>
    </cfRule>
  </conditionalFormatting>
  <conditionalFormatting sqref="E195">
    <cfRule type="containsText" dxfId="602" priority="536" operator="containsText" text="Buy">
      <formula>NOT(ISERROR(SEARCH("Buy",E195)))</formula>
    </cfRule>
    <cfRule type="containsText" dxfId="601" priority="537" operator="containsText" text="Sell">
      <formula>NOT(ISERROR(SEARCH("Sell",E195)))</formula>
    </cfRule>
  </conditionalFormatting>
  <conditionalFormatting sqref="E320:E322">
    <cfRule type="containsText" dxfId="600" priority="534" operator="containsText" text="Buy">
      <formula>NOT(ISERROR(SEARCH("Buy",E320)))</formula>
    </cfRule>
    <cfRule type="containsText" dxfId="599" priority="535" operator="containsText" text="Sell">
      <formula>NOT(ISERROR(SEARCH("Sell",E320)))</formula>
    </cfRule>
  </conditionalFormatting>
  <conditionalFormatting sqref="E317:E318">
    <cfRule type="containsText" dxfId="598" priority="532" operator="containsText" text="Buy">
      <formula>NOT(ISERROR(SEARCH("Buy",E317)))</formula>
    </cfRule>
    <cfRule type="containsText" dxfId="597" priority="533" operator="containsText" text="Sell">
      <formula>NOT(ISERROR(SEARCH("Sell",E317)))</formula>
    </cfRule>
  </conditionalFormatting>
  <conditionalFormatting sqref="E311:E313">
    <cfRule type="containsText" dxfId="596" priority="530" operator="containsText" text="Buy">
      <formula>NOT(ISERROR(SEARCH("Buy",E311)))</formula>
    </cfRule>
    <cfRule type="containsText" dxfId="595" priority="531" operator="containsText" text="Sell">
      <formula>NOT(ISERROR(SEARCH("Sell",E311)))</formula>
    </cfRule>
  </conditionalFormatting>
  <conditionalFormatting sqref="E307:E308">
    <cfRule type="containsText" dxfId="594" priority="528" operator="containsText" text="Buy">
      <formula>NOT(ISERROR(SEARCH("Buy",E307)))</formula>
    </cfRule>
    <cfRule type="containsText" dxfId="593" priority="529" operator="containsText" text="Sell">
      <formula>NOT(ISERROR(SEARCH("Sell",E307)))</formula>
    </cfRule>
  </conditionalFormatting>
  <conditionalFormatting sqref="E316">
    <cfRule type="containsText" dxfId="592" priority="526" operator="containsText" text="Buy">
      <formula>NOT(ISERROR(SEARCH("Buy",E316)))</formula>
    </cfRule>
    <cfRule type="containsText" dxfId="591" priority="527" operator="containsText" text="Sell">
      <formula>NOT(ISERROR(SEARCH("Sell",E316)))</formula>
    </cfRule>
  </conditionalFormatting>
  <conditionalFormatting sqref="E296">
    <cfRule type="containsText" dxfId="590" priority="524" operator="containsText" text="Buy">
      <formula>NOT(ISERROR(SEARCH("Buy",E296)))</formula>
    </cfRule>
    <cfRule type="containsText" dxfId="589" priority="525" operator="containsText" text="Sell">
      <formula>NOT(ISERROR(SEARCH("Sell",E296)))</formula>
    </cfRule>
  </conditionalFormatting>
  <conditionalFormatting sqref="E295">
    <cfRule type="containsText" dxfId="588" priority="522" operator="containsText" text="Buy">
      <formula>NOT(ISERROR(SEARCH("Buy",E295)))</formula>
    </cfRule>
    <cfRule type="containsText" dxfId="587" priority="523" operator="containsText" text="Sell">
      <formula>NOT(ISERROR(SEARCH("Sell",E295)))</formula>
    </cfRule>
  </conditionalFormatting>
  <conditionalFormatting sqref="E294">
    <cfRule type="containsText" dxfId="586" priority="520" operator="containsText" text="Buy">
      <formula>NOT(ISERROR(SEARCH("Buy",E294)))</formula>
    </cfRule>
    <cfRule type="containsText" dxfId="585" priority="521" operator="containsText" text="Sell">
      <formula>NOT(ISERROR(SEARCH("Sell",E294)))</formula>
    </cfRule>
  </conditionalFormatting>
  <conditionalFormatting sqref="E251">
    <cfRule type="containsText" dxfId="584" priority="518" operator="containsText" text="Buy">
      <formula>NOT(ISERROR(SEARCH("Buy",E251)))</formula>
    </cfRule>
    <cfRule type="containsText" dxfId="583" priority="519" operator="containsText" text="Sell">
      <formula>NOT(ISERROR(SEARCH("Sell",E251)))</formula>
    </cfRule>
  </conditionalFormatting>
  <conditionalFormatting sqref="E270">
    <cfRule type="containsText" dxfId="582" priority="516" operator="containsText" text="Buy">
      <formula>NOT(ISERROR(SEARCH("Buy",E270)))</formula>
    </cfRule>
    <cfRule type="containsText" dxfId="581" priority="517" operator="containsText" text="Sell">
      <formula>NOT(ISERROR(SEARCH("Sell",E270)))</formula>
    </cfRule>
  </conditionalFormatting>
  <conditionalFormatting sqref="E164:E165">
    <cfRule type="containsText" dxfId="580" priority="514" operator="containsText" text="Buy">
      <formula>NOT(ISERROR(SEARCH("Buy",E164)))</formula>
    </cfRule>
    <cfRule type="containsText" dxfId="579" priority="515" operator="containsText" text="Sell">
      <formula>NOT(ISERROR(SEARCH("Sell",E164)))</formula>
    </cfRule>
  </conditionalFormatting>
  <conditionalFormatting sqref="E293">
    <cfRule type="containsText" dxfId="578" priority="510" operator="containsText" text="Buy">
      <formula>NOT(ISERROR(SEARCH("Buy",E293)))</formula>
    </cfRule>
    <cfRule type="containsText" dxfId="577" priority="511" operator="containsText" text="Sell">
      <formula>NOT(ISERROR(SEARCH("Sell",E293)))</formula>
    </cfRule>
  </conditionalFormatting>
  <conditionalFormatting sqref="E203">
    <cfRule type="containsText" dxfId="576" priority="512" operator="containsText" text="Buy">
      <formula>NOT(ISERROR(SEARCH("Buy",E203)))</formula>
    </cfRule>
    <cfRule type="containsText" dxfId="575" priority="513" operator="containsText" text="Sell">
      <formula>NOT(ISERROR(SEARCH("Sell",E203)))</formula>
    </cfRule>
  </conditionalFormatting>
  <conditionalFormatting sqref="E292">
    <cfRule type="containsText" dxfId="574" priority="508" operator="containsText" text="Buy">
      <formula>NOT(ISERROR(SEARCH("Buy",E292)))</formula>
    </cfRule>
    <cfRule type="containsText" dxfId="573" priority="509" operator="containsText" text="Sell">
      <formula>NOT(ISERROR(SEARCH("Sell",E292)))</formula>
    </cfRule>
  </conditionalFormatting>
  <conditionalFormatting sqref="E291">
    <cfRule type="containsText" dxfId="572" priority="506" operator="containsText" text="Buy">
      <formula>NOT(ISERROR(SEARCH("Buy",E291)))</formula>
    </cfRule>
    <cfRule type="containsText" dxfId="571" priority="507" operator="containsText" text="Sell">
      <formula>NOT(ISERROR(SEARCH("Sell",E291)))</formula>
    </cfRule>
  </conditionalFormatting>
  <conditionalFormatting sqref="E290">
    <cfRule type="containsText" dxfId="570" priority="504" operator="containsText" text="Buy">
      <formula>NOT(ISERROR(SEARCH("Buy",E290)))</formula>
    </cfRule>
    <cfRule type="containsText" dxfId="569" priority="505" operator="containsText" text="Sell">
      <formula>NOT(ISERROR(SEARCH("Sell",E290)))</formula>
    </cfRule>
  </conditionalFormatting>
  <conditionalFormatting sqref="E289">
    <cfRule type="containsText" dxfId="568" priority="502" operator="containsText" text="Buy">
      <formula>NOT(ISERROR(SEARCH("Buy",E289)))</formula>
    </cfRule>
    <cfRule type="containsText" dxfId="567" priority="503" operator="containsText" text="Sell">
      <formula>NOT(ISERROR(SEARCH("Sell",E289)))</formula>
    </cfRule>
  </conditionalFormatting>
  <conditionalFormatting sqref="E169:E171 E182">
    <cfRule type="containsText" dxfId="566" priority="500" operator="containsText" text="Buy">
      <formula>NOT(ISERROR(SEARCH("Buy",E169)))</formula>
    </cfRule>
    <cfRule type="containsText" dxfId="565" priority="501" operator="containsText" text="Sell">
      <formula>NOT(ISERROR(SEARCH("Sell",E169)))</formula>
    </cfRule>
  </conditionalFormatting>
  <conditionalFormatting sqref="E159:E160">
    <cfRule type="containsText" dxfId="564" priority="498" operator="containsText" text="Buy">
      <formula>NOT(ISERROR(SEARCH("Buy",E159)))</formula>
    </cfRule>
    <cfRule type="containsText" dxfId="563" priority="499" operator="containsText" text="Sell">
      <formula>NOT(ISERROR(SEARCH("Sell",E159)))</formula>
    </cfRule>
  </conditionalFormatting>
  <conditionalFormatting sqref="E153:E154">
    <cfRule type="containsText" dxfId="562" priority="496" operator="containsText" text="Buy">
      <formula>NOT(ISERROR(SEARCH("Buy",E153)))</formula>
    </cfRule>
    <cfRule type="containsText" dxfId="561" priority="497" operator="containsText" text="Sell">
      <formula>NOT(ISERROR(SEARCH("Sell",E153)))</formula>
    </cfRule>
  </conditionalFormatting>
  <conditionalFormatting sqref="E180:E181">
    <cfRule type="containsText" dxfId="560" priority="494" operator="containsText" text="Buy">
      <formula>NOT(ISERROR(SEARCH("Buy",E180)))</formula>
    </cfRule>
    <cfRule type="containsText" dxfId="559" priority="495" operator="containsText" text="Sell">
      <formula>NOT(ISERROR(SEARCH("Sell",E180)))</formula>
    </cfRule>
  </conditionalFormatting>
  <conditionalFormatting sqref="E179">
    <cfRule type="containsText" dxfId="558" priority="492" operator="containsText" text="Buy">
      <formula>NOT(ISERROR(SEARCH("Buy",E179)))</formula>
    </cfRule>
    <cfRule type="containsText" dxfId="557" priority="493" operator="containsText" text="Sell">
      <formula>NOT(ISERROR(SEARCH("Sell",E179)))</formula>
    </cfRule>
  </conditionalFormatting>
  <conditionalFormatting sqref="E262">
    <cfRule type="containsText" dxfId="556" priority="490" operator="containsText" text="Buy">
      <formula>NOT(ISERROR(SEARCH("Buy",E262)))</formula>
    </cfRule>
    <cfRule type="containsText" dxfId="555" priority="491" operator="containsText" text="Sell">
      <formula>NOT(ISERROR(SEARCH("Sell",E262)))</formula>
    </cfRule>
  </conditionalFormatting>
  <conditionalFormatting sqref="E261">
    <cfRule type="containsText" dxfId="554" priority="488" operator="containsText" text="Buy">
      <formula>NOT(ISERROR(SEARCH("Buy",E261)))</formula>
    </cfRule>
    <cfRule type="containsText" dxfId="553" priority="489" operator="containsText" text="Sell">
      <formula>NOT(ISERROR(SEARCH("Sell",E261)))</formula>
    </cfRule>
  </conditionalFormatting>
  <conditionalFormatting sqref="E150:E151">
    <cfRule type="containsText" dxfId="552" priority="486" operator="containsText" text="Buy">
      <formula>NOT(ISERROR(SEARCH("Buy",E150)))</formula>
    </cfRule>
    <cfRule type="containsText" dxfId="551" priority="487" operator="containsText" text="Sell">
      <formula>NOT(ISERROR(SEARCH("Sell",E150)))</formula>
    </cfRule>
  </conditionalFormatting>
  <conditionalFormatting sqref="E149">
    <cfRule type="containsText" dxfId="550" priority="484" operator="containsText" text="Buy">
      <formula>NOT(ISERROR(SEARCH("Buy",E149)))</formula>
    </cfRule>
    <cfRule type="containsText" dxfId="549" priority="485" operator="containsText" text="Sell">
      <formula>NOT(ISERROR(SEARCH("Sell",E149)))</formula>
    </cfRule>
  </conditionalFormatting>
  <conditionalFormatting sqref="E148">
    <cfRule type="containsText" dxfId="548" priority="482" operator="containsText" text="Buy">
      <formula>NOT(ISERROR(SEARCH("Buy",E148)))</formula>
    </cfRule>
    <cfRule type="containsText" dxfId="547" priority="483" operator="containsText" text="Sell">
      <formula>NOT(ISERROR(SEARCH("Sell",E148)))</formula>
    </cfRule>
  </conditionalFormatting>
  <conditionalFormatting sqref="E145">
    <cfRule type="containsText" dxfId="546" priority="480" operator="containsText" text="Buy">
      <formula>NOT(ISERROR(SEARCH("Buy",E145)))</formula>
    </cfRule>
    <cfRule type="containsText" dxfId="545" priority="481" operator="containsText" text="Sell">
      <formula>NOT(ISERROR(SEARCH("Sell",E145)))</formula>
    </cfRule>
  </conditionalFormatting>
  <conditionalFormatting sqref="E144">
    <cfRule type="containsText" dxfId="544" priority="478" operator="containsText" text="Buy">
      <formula>NOT(ISERROR(SEARCH("Buy",E144)))</formula>
    </cfRule>
    <cfRule type="containsText" dxfId="543" priority="479" operator="containsText" text="Sell">
      <formula>NOT(ISERROR(SEARCH("Sell",E144)))</formula>
    </cfRule>
  </conditionalFormatting>
  <conditionalFormatting sqref="E141">
    <cfRule type="containsText" dxfId="542" priority="476" operator="containsText" text="Buy">
      <formula>NOT(ISERROR(SEARCH("Buy",E141)))</formula>
    </cfRule>
    <cfRule type="containsText" dxfId="541" priority="477" operator="containsText" text="Sell">
      <formula>NOT(ISERROR(SEARCH("Sell",E141)))</formula>
    </cfRule>
  </conditionalFormatting>
  <conditionalFormatting sqref="E140">
    <cfRule type="containsText" dxfId="540" priority="474" operator="containsText" text="Buy">
      <formula>NOT(ISERROR(SEARCH("Buy",E140)))</formula>
    </cfRule>
    <cfRule type="containsText" dxfId="539" priority="475" operator="containsText" text="Sell">
      <formula>NOT(ISERROR(SEARCH("Sell",E140)))</formula>
    </cfRule>
  </conditionalFormatting>
  <conditionalFormatting sqref="E139">
    <cfRule type="containsText" dxfId="538" priority="472" operator="containsText" text="Buy">
      <formula>NOT(ISERROR(SEARCH("Buy",E139)))</formula>
    </cfRule>
    <cfRule type="containsText" dxfId="537" priority="473" operator="containsText" text="Sell">
      <formula>NOT(ISERROR(SEARCH("Sell",E139)))</formula>
    </cfRule>
  </conditionalFormatting>
  <conditionalFormatting sqref="E137:E138">
    <cfRule type="containsText" dxfId="536" priority="470" operator="containsText" text="Buy">
      <formula>NOT(ISERROR(SEARCH("Buy",E137)))</formula>
    </cfRule>
    <cfRule type="containsText" dxfId="535" priority="471" operator="containsText" text="Sell">
      <formula>NOT(ISERROR(SEARCH("Sell",E137)))</formula>
    </cfRule>
  </conditionalFormatting>
  <conditionalFormatting sqref="E134 E130:E131">
    <cfRule type="containsText" dxfId="534" priority="468" operator="containsText" text="Buy">
      <formula>NOT(ISERROR(SEARCH("Buy",E130)))</formula>
    </cfRule>
    <cfRule type="containsText" dxfId="533" priority="469" operator="containsText" text="Sell">
      <formula>NOT(ISERROR(SEARCH("Sell",E130)))</formula>
    </cfRule>
  </conditionalFormatting>
  <conditionalFormatting sqref="E126">
    <cfRule type="containsText" dxfId="532" priority="466" operator="containsText" text="Buy">
      <formula>NOT(ISERROR(SEARCH("Buy",E126)))</formula>
    </cfRule>
    <cfRule type="containsText" dxfId="531" priority="467" operator="containsText" text="Sell">
      <formula>NOT(ISERROR(SEARCH("Sell",E126)))</formula>
    </cfRule>
  </conditionalFormatting>
  <conditionalFormatting sqref="E125">
    <cfRule type="containsText" dxfId="530" priority="464" operator="containsText" text="Buy">
      <formula>NOT(ISERROR(SEARCH("Buy",E125)))</formula>
    </cfRule>
    <cfRule type="containsText" dxfId="529" priority="465" operator="containsText" text="Sell">
      <formula>NOT(ISERROR(SEARCH("Sell",E125)))</formula>
    </cfRule>
  </conditionalFormatting>
  <conditionalFormatting sqref="E133">
    <cfRule type="containsText" dxfId="528" priority="462" operator="containsText" text="Buy">
      <formula>NOT(ISERROR(SEARCH("Buy",E133)))</formula>
    </cfRule>
    <cfRule type="containsText" dxfId="527" priority="463" operator="containsText" text="Sell">
      <formula>NOT(ISERROR(SEARCH("Sell",E133)))</formula>
    </cfRule>
  </conditionalFormatting>
  <conditionalFormatting sqref="E132">
    <cfRule type="containsText" dxfId="526" priority="460" operator="containsText" text="Buy">
      <formula>NOT(ISERROR(SEARCH("Buy",E132)))</formula>
    </cfRule>
    <cfRule type="containsText" dxfId="525" priority="461" operator="containsText" text="Sell">
      <formula>NOT(ISERROR(SEARCH("Sell",E132)))</formula>
    </cfRule>
  </conditionalFormatting>
  <conditionalFormatting sqref="E266">
    <cfRule type="containsText" dxfId="524" priority="458" operator="containsText" text="Buy">
      <formula>NOT(ISERROR(SEARCH("Buy",E266)))</formula>
    </cfRule>
    <cfRule type="containsText" dxfId="523" priority="459" operator="containsText" text="Sell">
      <formula>NOT(ISERROR(SEARCH("Sell",E266)))</formula>
    </cfRule>
  </conditionalFormatting>
  <conditionalFormatting sqref="E187">
    <cfRule type="containsText" dxfId="522" priority="456" operator="containsText" text="Buy">
      <formula>NOT(ISERROR(SEARCH("Buy",E187)))</formula>
    </cfRule>
    <cfRule type="containsText" dxfId="521" priority="457" operator="containsText" text="Sell">
      <formula>NOT(ISERROR(SEARCH("Sell",E187)))</formula>
    </cfRule>
  </conditionalFormatting>
  <conditionalFormatting sqref="E234">
    <cfRule type="containsText" dxfId="520" priority="454" operator="containsText" text="Buy">
      <formula>NOT(ISERROR(SEARCH("Buy",E234)))</formula>
    </cfRule>
    <cfRule type="containsText" dxfId="519" priority="455" operator="containsText" text="Sell">
      <formula>NOT(ISERROR(SEARCH("Sell",E234)))</formula>
    </cfRule>
  </conditionalFormatting>
  <conditionalFormatting sqref="E129">
    <cfRule type="containsText" dxfId="518" priority="452" operator="containsText" text="Buy">
      <formula>NOT(ISERROR(SEARCH("Buy",E129)))</formula>
    </cfRule>
    <cfRule type="containsText" dxfId="517" priority="453" operator="containsText" text="Sell">
      <formula>NOT(ISERROR(SEARCH("Sell",E129)))</formula>
    </cfRule>
  </conditionalFormatting>
  <conditionalFormatting sqref="E119">
    <cfRule type="containsText" dxfId="516" priority="450" operator="containsText" text="Buy">
      <formula>NOT(ISERROR(SEARCH("Buy",E119)))</formula>
    </cfRule>
    <cfRule type="containsText" dxfId="515" priority="451" operator="containsText" text="Sell">
      <formula>NOT(ISERROR(SEARCH("Sell",E119)))</formula>
    </cfRule>
  </conditionalFormatting>
  <conditionalFormatting sqref="E233">
    <cfRule type="containsText" dxfId="514" priority="448" operator="containsText" text="Buy">
      <formula>NOT(ISERROR(SEARCH("Buy",E233)))</formula>
    </cfRule>
    <cfRule type="containsText" dxfId="513" priority="449" operator="containsText" text="Sell">
      <formula>NOT(ISERROR(SEARCH("Sell",E233)))</formula>
    </cfRule>
  </conditionalFormatting>
  <conditionalFormatting sqref="E232">
    <cfRule type="containsText" dxfId="512" priority="446" operator="containsText" text="Buy">
      <formula>NOT(ISERROR(SEARCH("Buy",E232)))</formula>
    </cfRule>
    <cfRule type="containsText" dxfId="511" priority="447" operator="containsText" text="Sell">
      <formula>NOT(ISERROR(SEARCH("Sell",E232)))</formula>
    </cfRule>
  </conditionalFormatting>
  <conditionalFormatting sqref="E303:E305">
    <cfRule type="containsText" dxfId="510" priority="444" operator="containsText" text="Buy">
      <formula>NOT(ISERROR(SEARCH("Buy",E303)))</formula>
    </cfRule>
    <cfRule type="containsText" dxfId="509" priority="445" operator="containsText" text="Sell">
      <formula>NOT(ISERROR(SEARCH("Sell",E303)))</formula>
    </cfRule>
  </conditionalFormatting>
  <conditionalFormatting sqref="E288">
    <cfRule type="containsText" dxfId="508" priority="442" operator="containsText" text="Buy">
      <formula>NOT(ISERROR(SEARCH("Buy",E288)))</formula>
    </cfRule>
    <cfRule type="containsText" dxfId="507" priority="443" operator="containsText" text="Sell">
      <formula>NOT(ISERROR(SEARCH("Sell",E288)))</formula>
    </cfRule>
  </conditionalFormatting>
  <conditionalFormatting sqref="E287">
    <cfRule type="containsText" dxfId="506" priority="440" operator="containsText" text="Buy">
      <formula>NOT(ISERROR(SEARCH("Buy",E287)))</formula>
    </cfRule>
    <cfRule type="containsText" dxfId="505" priority="441" operator="containsText" text="Sell">
      <formula>NOT(ISERROR(SEARCH("Sell",E287)))</formula>
    </cfRule>
  </conditionalFormatting>
  <conditionalFormatting sqref="E124">
    <cfRule type="containsText" dxfId="504" priority="438" operator="containsText" text="Buy">
      <formula>NOT(ISERROR(SEARCH("Buy",E124)))</formula>
    </cfRule>
    <cfRule type="containsText" dxfId="503" priority="439" operator="containsText" text="Sell">
      <formula>NOT(ISERROR(SEARCH("Sell",E124)))</formula>
    </cfRule>
  </conditionalFormatting>
  <conditionalFormatting sqref="E253">
    <cfRule type="containsText" dxfId="502" priority="436" operator="containsText" text="Buy">
      <formula>NOT(ISERROR(SEARCH("Buy",E253)))</formula>
    </cfRule>
    <cfRule type="containsText" dxfId="501" priority="437" operator="containsText" text="Sell">
      <formula>NOT(ISERROR(SEARCH("Sell",E253)))</formula>
    </cfRule>
  </conditionalFormatting>
  <conditionalFormatting sqref="E250">
    <cfRule type="containsText" dxfId="500" priority="434" operator="containsText" text="Buy">
      <formula>NOT(ISERROR(SEARCH("Buy",E250)))</formula>
    </cfRule>
    <cfRule type="containsText" dxfId="499" priority="435" operator="containsText" text="Sell">
      <formula>NOT(ISERROR(SEARCH("Sell",E250)))</formula>
    </cfRule>
  </conditionalFormatting>
  <conditionalFormatting sqref="E115:E116">
    <cfRule type="containsText" dxfId="498" priority="432" operator="containsText" text="Buy">
      <formula>NOT(ISERROR(SEARCH("Buy",E115)))</formula>
    </cfRule>
    <cfRule type="containsText" dxfId="497" priority="433" operator="containsText" text="Sell">
      <formula>NOT(ISERROR(SEARCH("Sell",E115)))</formula>
    </cfRule>
  </conditionalFormatting>
  <conditionalFormatting sqref="E112:E113">
    <cfRule type="containsText" dxfId="496" priority="430" operator="containsText" text="Buy">
      <formula>NOT(ISERROR(SEARCH("Buy",E112)))</formula>
    </cfRule>
    <cfRule type="containsText" dxfId="495" priority="431" operator="containsText" text="Sell">
      <formula>NOT(ISERROR(SEARCH("Sell",E112)))</formula>
    </cfRule>
  </conditionalFormatting>
  <conditionalFormatting sqref="E286">
    <cfRule type="containsText" dxfId="494" priority="428" operator="containsText" text="Buy">
      <formula>NOT(ISERROR(SEARCH("Buy",E286)))</formula>
    </cfRule>
    <cfRule type="containsText" dxfId="493" priority="429" operator="containsText" text="Sell">
      <formula>NOT(ISERROR(SEARCH("Sell",E286)))</formula>
    </cfRule>
  </conditionalFormatting>
  <conditionalFormatting sqref="E109:E110">
    <cfRule type="containsText" dxfId="492" priority="426" operator="containsText" text="Buy">
      <formula>NOT(ISERROR(SEARCH("Buy",E109)))</formula>
    </cfRule>
    <cfRule type="containsText" dxfId="491" priority="427" operator="containsText" text="Sell">
      <formula>NOT(ISERROR(SEARCH("Sell",E109)))</formula>
    </cfRule>
  </conditionalFormatting>
  <conditionalFormatting sqref="E106:E107">
    <cfRule type="containsText" dxfId="490" priority="424" operator="containsText" text="Buy">
      <formula>NOT(ISERROR(SEARCH("Buy",E106)))</formula>
    </cfRule>
    <cfRule type="containsText" dxfId="489" priority="425" operator="containsText" text="Sell">
      <formula>NOT(ISERROR(SEARCH("Sell",E106)))</formula>
    </cfRule>
  </conditionalFormatting>
  <conditionalFormatting sqref="E178">
    <cfRule type="containsText" dxfId="488" priority="422" operator="containsText" text="Buy">
      <formula>NOT(ISERROR(SEARCH("Buy",E178)))</formula>
    </cfRule>
    <cfRule type="containsText" dxfId="487" priority="423" operator="containsText" text="Sell">
      <formula>NOT(ISERROR(SEARCH("Sell",E178)))</formula>
    </cfRule>
  </conditionalFormatting>
  <conditionalFormatting sqref="E104">
    <cfRule type="containsText" dxfId="486" priority="420" operator="containsText" text="Buy">
      <formula>NOT(ISERROR(SEARCH("Buy",E104)))</formula>
    </cfRule>
    <cfRule type="containsText" dxfId="485" priority="421" operator="containsText" text="Sell">
      <formula>NOT(ISERROR(SEARCH("Sell",E104)))</formula>
    </cfRule>
  </conditionalFormatting>
  <conditionalFormatting sqref="E103">
    <cfRule type="containsText" dxfId="484" priority="418" operator="containsText" text="Buy">
      <formula>NOT(ISERROR(SEARCH("Buy",E103)))</formula>
    </cfRule>
    <cfRule type="containsText" dxfId="483" priority="419" operator="containsText" text="Sell">
      <formula>NOT(ISERROR(SEARCH("Sell",E103)))</formula>
    </cfRule>
  </conditionalFormatting>
  <conditionalFormatting sqref="E315">
    <cfRule type="containsText" dxfId="482" priority="416" operator="containsText" text="Buy">
      <formula>NOT(ISERROR(SEARCH("Buy",E315)))</formula>
    </cfRule>
    <cfRule type="containsText" dxfId="481" priority="417" operator="containsText" text="Sell">
      <formula>NOT(ISERROR(SEARCH("Sell",E315)))</formula>
    </cfRule>
  </conditionalFormatting>
  <conditionalFormatting sqref="E332">
    <cfRule type="containsText" dxfId="480" priority="414" operator="containsText" text="Buy">
      <formula>NOT(ISERROR(SEARCH("Buy",E332)))</formula>
    </cfRule>
    <cfRule type="containsText" dxfId="479" priority="415" operator="containsText" text="Sell">
      <formula>NOT(ISERROR(SEARCH("Sell",E332)))</formula>
    </cfRule>
  </conditionalFormatting>
  <conditionalFormatting sqref="E95:E96">
    <cfRule type="containsText" dxfId="478" priority="412" operator="containsText" text="Buy">
      <formula>NOT(ISERROR(SEARCH("Buy",E95)))</formula>
    </cfRule>
    <cfRule type="containsText" dxfId="477" priority="413" operator="containsText" text="Sell">
      <formula>NOT(ISERROR(SEARCH("Sell",E95)))</formula>
    </cfRule>
  </conditionalFormatting>
  <conditionalFormatting sqref="E310">
    <cfRule type="containsText" dxfId="476" priority="410" operator="containsText" text="Buy">
      <formula>NOT(ISERROR(SEARCH("Buy",E310)))</formula>
    </cfRule>
    <cfRule type="containsText" dxfId="475" priority="411" operator="containsText" text="Sell">
      <formula>NOT(ISERROR(SEARCH("Sell",E310)))</formula>
    </cfRule>
  </conditionalFormatting>
  <conditionalFormatting sqref="E306">
    <cfRule type="containsText" dxfId="474" priority="408" operator="containsText" text="Buy">
      <formula>NOT(ISERROR(SEARCH("Buy",E306)))</formula>
    </cfRule>
    <cfRule type="containsText" dxfId="473" priority="409" operator="containsText" text="Sell">
      <formula>NOT(ISERROR(SEARCH("Sell",E306)))</formula>
    </cfRule>
  </conditionalFormatting>
  <conditionalFormatting sqref="E48 E87 E84 E81 E78 E69 E51 E63">
    <cfRule type="containsText" dxfId="472" priority="406" operator="containsText" text="Buy">
      <formula>NOT(ISERROR(SEARCH("Buy",E48)))</formula>
    </cfRule>
    <cfRule type="containsText" dxfId="471" priority="407" operator="containsText" text="Sell">
      <formula>NOT(ISERROR(SEARCH("Sell",E48)))</formula>
    </cfRule>
  </conditionalFormatting>
  <conditionalFormatting sqref="E177">
    <cfRule type="containsText" dxfId="470" priority="404" operator="containsText" text="Buy">
      <formula>NOT(ISERROR(SEARCH("Buy",E177)))</formula>
    </cfRule>
    <cfRule type="containsText" dxfId="469" priority="405" operator="containsText" text="Sell">
      <formula>NOT(ISERROR(SEARCH("Sell",E177)))</formula>
    </cfRule>
  </conditionalFormatting>
  <conditionalFormatting sqref="E231">
    <cfRule type="containsText" dxfId="468" priority="402" operator="containsText" text="Buy">
      <formula>NOT(ISERROR(SEARCH("Buy",E231)))</formula>
    </cfRule>
    <cfRule type="containsText" dxfId="467" priority="403" operator="containsText" text="Sell">
      <formula>NOT(ISERROR(SEARCH("Sell",E231)))</formula>
    </cfRule>
  </conditionalFormatting>
  <conditionalFormatting sqref="E186">
    <cfRule type="containsText" dxfId="466" priority="400" operator="containsText" text="Buy">
      <formula>NOT(ISERROR(SEARCH("Buy",E186)))</formula>
    </cfRule>
    <cfRule type="containsText" dxfId="465" priority="401" operator="containsText" text="Sell">
      <formula>NOT(ISERROR(SEARCH("Sell",E186)))</formula>
    </cfRule>
  </conditionalFormatting>
  <conditionalFormatting sqref="E121">
    <cfRule type="containsText" dxfId="464" priority="398" operator="containsText" text="Buy">
      <formula>NOT(ISERROR(SEARCH("Buy",E121)))</formula>
    </cfRule>
    <cfRule type="containsText" dxfId="463" priority="399" operator="containsText" text="Sell">
      <formula>NOT(ISERROR(SEARCH("Sell",E121)))</formula>
    </cfRule>
  </conditionalFormatting>
  <conditionalFormatting sqref="E277">
    <cfRule type="containsText" dxfId="462" priority="396" operator="containsText" text="Buy">
      <formula>NOT(ISERROR(SEARCH("Buy",E277)))</formula>
    </cfRule>
    <cfRule type="containsText" dxfId="461" priority="397" operator="containsText" text="Sell">
      <formula>NOT(ISERROR(SEARCH("Sell",E277)))</formula>
    </cfRule>
  </conditionalFormatting>
  <conditionalFormatting sqref="E45">
    <cfRule type="containsText" dxfId="460" priority="394" operator="containsText" text="Buy">
      <formula>NOT(ISERROR(SEARCH("Buy",E45)))</formula>
    </cfRule>
    <cfRule type="containsText" dxfId="459" priority="395" operator="containsText" text="Sell">
      <formula>NOT(ISERROR(SEARCH("Sell",E45)))</formula>
    </cfRule>
  </conditionalFormatting>
  <conditionalFormatting sqref="E331">
    <cfRule type="containsText" dxfId="458" priority="392" operator="containsText" text="Buy">
      <formula>NOT(ISERROR(SEARCH("Buy",E331)))</formula>
    </cfRule>
    <cfRule type="containsText" dxfId="457" priority="393" operator="containsText" text="Sell">
      <formula>NOT(ISERROR(SEARCH("Sell",E331)))</formula>
    </cfRule>
  </conditionalFormatting>
  <conditionalFormatting sqref="E92:E93">
    <cfRule type="containsText" dxfId="456" priority="390" operator="containsText" text="Buy">
      <formula>NOT(ISERROR(SEARCH("Buy",E92)))</formula>
    </cfRule>
    <cfRule type="containsText" dxfId="455" priority="391" operator="containsText" text="Sell">
      <formula>NOT(ISERROR(SEARCH("Sell",E92)))</formula>
    </cfRule>
  </conditionalFormatting>
  <conditionalFormatting sqref="E176">
    <cfRule type="containsText" dxfId="454" priority="388" operator="containsText" text="Buy">
      <formula>NOT(ISERROR(SEARCH("Buy",E176)))</formula>
    </cfRule>
    <cfRule type="containsText" dxfId="453" priority="389" operator="containsText" text="Sell">
      <formula>NOT(ISERROR(SEARCH("Sell",E176)))</formula>
    </cfRule>
  </conditionalFormatting>
  <conditionalFormatting sqref="E249">
    <cfRule type="containsText" dxfId="452" priority="384" operator="containsText" text="Buy">
      <formula>NOT(ISERROR(SEARCH("Buy",E249)))</formula>
    </cfRule>
    <cfRule type="containsText" dxfId="451" priority="385" operator="containsText" text="Sell">
      <formula>NOT(ISERROR(SEARCH("Sell",E249)))</formula>
    </cfRule>
  </conditionalFormatting>
  <conditionalFormatting sqref="E88:E89">
    <cfRule type="containsText" dxfId="450" priority="382" operator="containsText" text="Buy">
      <formula>NOT(ISERROR(SEARCH("Buy",E88)))</formula>
    </cfRule>
    <cfRule type="containsText" dxfId="449" priority="383" operator="containsText" text="Sell">
      <formula>NOT(ISERROR(SEARCH("Sell",E88)))</formula>
    </cfRule>
  </conditionalFormatting>
  <conditionalFormatting sqref="E326">
    <cfRule type="containsText" dxfId="448" priority="380" operator="containsText" text="Buy">
      <formula>NOT(ISERROR(SEARCH("Buy",E326)))</formula>
    </cfRule>
    <cfRule type="containsText" dxfId="447" priority="381" operator="containsText" text="Sell">
      <formula>NOT(ISERROR(SEARCH("Sell",E326)))</formula>
    </cfRule>
  </conditionalFormatting>
  <conditionalFormatting sqref="E85:E86">
    <cfRule type="containsText" dxfId="446" priority="378" operator="containsText" text="Buy">
      <formula>NOT(ISERROR(SEARCH("Buy",E85)))</formula>
    </cfRule>
    <cfRule type="containsText" dxfId="445" priority="379" operator="containsText" text="Sell">
      <formula>NOT(ISERROR(SEARCH("Sell",E85)))</formula>
    </cfRule>
  </conditionalFormatting>
  <conditionalFormatting sqref="E82:E83">
    <cfRule type="containsText" dxfId="444" priority="376" operator="containsText" text="Buy">
      <formula>NOT(ISERROR(SEARCH("Buy",E82)))</formula>
    </cfRule>
    <cfRule type="containsText" dxfId="443" priority="377" operator="containsText" text="Sell">
      <formula>NOT(ISERROR(SEARCH("Sell",E82)))</formula>
    </cfRule>
  </conditionalFormatting>
  <conditionalFormatting sqref="E216">
    <cfRule type="containsText" dxfId="442" priority="374" operator="containsText" text="Buy">
      <formula>NOT(ISERROR(SEARCH("Buy",E216)))</formula>
    </cfRule>
    <cfRule type="containsText" dxfId="441" priority="375" operator="containsText" text="Sell">
      <formula>NOT(ISERROR(SEARCH("Sell",E216)))</formula>
    </cfRule>
  </conditionalFormatting>
  <conditionalFormatting sqref="E330">
    <cfRule type="containsText" dxfId="440" priority="372" operator="containsText" text="Buy">
      <formula>NOT(ISERROR(SEARCH("Buy",E330)))</formula>
    </cfRule>
    <cfRule type="containsText" dxfId="439" priority="373" operator="containsText" text="Sell">
      <formula>NOT(ISERROR(SEARCH("Sell",E330)))</formula>
    </cfRule>
  </conditionalFormatting>
  <conditionalFormatting sqref="E314">
    <cfRule type="containsText" dxfId="438" priority="370" operator="containsText" text="Buy">
      <formula>NOT(ISERROR(SEARCH("Buy",E314)))</formula>
    </cfRule>
    <cfRule type="containsText" dxfId="437" priority="371" operator="containsText" text="Sell">
      <formula>NOT(ISERROR(SEARCH("Sell",E314)))</formula>
    </cfRule>
  </conditionalFormatting>
  <conditionalFormatting sqref="E91">
    <cfRule type="containsText" dxfId="436" priority="368" operator="containsText" text="Buy">
      <formula>NOT(ISERROR(SEARCH("Buy",E91)))</formula>
    </cfRule>
    <cfRule type="containsText" dxfId="435" priority="369" operator="containsText" text="Sell">
      <formula>NOT(ISERROR(SEARCH("Sell",E91)))</formula>
    </cfRule>
  </conditionalFormatting>
  <conditionalFormatting sqref="E79:E80">
    <cfRule type="containsText" dxfId="434" priority="366" operator="containsText" text="Buy">
      <formula>NOT(ISERROR(SEARCH("Buy",E79)))</formula>
    </cfRule>
    <cfRule type="containsText" dxfId="433" priority="367" operator="containsText" text="Sell">
      <formula>NOT(ISERROR(SEARCH("Sell",E79)))</formula>
    </cfRule>
  </conditionalFormatting>
  <conditionalFormatting sqref="E73:E75">
    <cfRule type="containsText" dxfId="432" priority="364" operator="containsText" text="Buy">
      <formula>NOT(ISERROR(SEARCH("Buy",E73)))</formula>
    </cfRule>
    <cfRule type="containsText" dxfId="431" priority="365" operator="containsText" text="Sell">
      <formula>NOT(ISERROR(SEARCH("Sell",E73)))</formula>
    </cfRule>
  </conditionalFormatting>
  <conditionalFormatting sqref="E98">
    <cfRule type="containsText" dxfId="430" priority="362" operator="containsText" text="Buy">
      <formula>NOT(ISERROR(SEARCH("Buy",E98)))</formula>
    </cfRule>
    <cfRule type="containsText" dxfId="429" priority="363" operator="containsText" text="Sell">
      <formula>NOT(ISERROR(SEARCH("Sell",E98)))</formula>
    </cfRule>
  </conditionalFormatting>
  <conditionalFormatting sqref="E276">
    <cfRule type="containsText" dxfId="428" priority="360" operator="containsText" text="Buy">
      <formula>NOT(ISERROR(SEARCH("Buy",E276)))</formula>
    </cfRule>
    <cfRule type="containsText" dxfId="427" priority="361" operator="containsText" text="Sell">
      <formula>NOT(ISERROR(SEARCH("Sell",E276)))</formula>
    </cfRule>
  </conditionalFormatting>
  <conditionalFormatting sqref="E247">
    <cfRule type="containsText" dxfId="426" priority="356" operator="containsText" text="Buy">
      <formula>NOT(ISERROR(SEARCH("Buy",E247)))</formula>
    </cfRule>
    <cfRule type="containsText" dxfId="425" priority="357" operator="containsText" text="Sell">
      <formula>NOT(ISERROR(SEARCH("Sell",E247)))</formula>
    </cfRule>
  </conditionalFormatting>
  <conditionalFormatting sqref="E206">
    <cfRule type="containsText" dxfId="424" priority="354" operator="containsText" text="Buy">
      <formula>NOT(ISERROR(SEARCH("Buy",E206)))</formula>
    </cfRule>
    <cfRule type="containsText" dxfId="423" priority="355" operator="containsText" text="Sell">
      <formula>NOT(ISERROR(SEARCH("Sell",E206)))</formula>
    </cfRule>
  </conditionalFormatting>
  <conditionalFormatting sqref="E248">
    <cfRule type="containsText" dxfId="422" priority="358" operator="containsText" text="Buy">
      <formula>NOT(ISERROR(SEARCH("Buy",E248)))</formula>
    </cfRule>
    <cfRule type="containsText" dxfId="421" priority="359" operator="containsText" text="Sell">
      <formula>NOT(ISERROR(SEARCH("Sell",E248)))</formula>
    </cfRule>
  </conditionalFormatting>
  <conditionalFormatting sqref="E66">
    <cfRule type="containsText" dxfId="420" priority="350" operator="containsText" text="Buy">
      <formula>NOT(ISERROR(SEARCH("Buy",E66)))</formula>
    </cfRule>
    <cfRule type="containsText" dxfId="419" priority="351" operator="containsText" text="Sell">
      <formula>NOT(ISERROR(SEARCH("Sell",E66)))</formula>
    </cfRule>
  </conditionalFormatting>
  <conditionalFormatting sqref="E136">
    <cfRule type="containsText" dxfId="418" priority="352" operator="containsText" text="Buy">
      <formula>NOT(ISERROR(SEARCH("Buy",E136)))</formula>
    </cfRule>
    <cfRule type="containsText" dxfId="417" priority="353" operator="containsText" text="Sell">
      <formula>NOT(ISERROR(SEARCH("Sell",E136)))</formula>
    </cfRule>
  </conditionalFormatting>
  <conditionalFormatting sqref="E57">
    <cfRule type="containsText" dxfId="416" priority="344" operator="containsText" text="Buy">
      <formula>NOT(ISERROR(SEARCH("Buy",E57)))</formula>
    </cfRule>
    <cfRule type="containsText" dxfId="415" priority="345" operator="containsText" text="Sell">
      <formula>NOT(ISERROR(SEARCH("Sell",E57)))</formula>
    </cfRule>
  </conditionalFormatting>
  <conditionalFormatting sqref="E54">
    <cfRule type="containsText" dxfId="414" priority="346" operator="containsText" text="Buy">
      <formula>NOT(ISERROR(SEARCH("Buy",E54)))</formula>
    </cfRule>
    <cfRule type="containsText" dxfId="413" priority="347" operator="containsText" text="Sell">
      <formula>NOT(ISERROR(SEARCH("Sell",E54)))</formula>
    </cfRule>
  </conditionalFormatting>
  <conditionalFormatting sqref="E60">
    <cfRule type="containsText" dxfId="412" priority="340" operator="containsText" text="Buy">
      <formula>NOT(ISERROR(SEARCH("Buy",E60)))</formula>
    </cfRule>
    <cfRule type="containsText" dxfId="411" priority="341" operator="containsText" text="Sell">
      <formula>NOT(ISERROR(SEARCH("Sell",E60)))</formula>
    </cfRule>
  </conditionalFormatting>
  <conditionalFormatting sqref="E118">
    <cfRule type="containsText" dxfId="410" priority="334" operator="containsText" text="Buy">
      <formula>NOT(ISERROR(SEARCH("Buy",E118)))</formula>
    </cfRule>
    <cfRule type="containsText" dxfId="409" priority="335" operator="containsText" text="Sell">
      <formula>NOT(ISERROR(SEARCH("Sell",E118)))</formula>
    </cfRule>
  </conditionalFormatting>
  <conditionalFormatting sqref="E76:E77">
    <cfRule type="containsText" dxfId="408" priority="336" operator="containsText" text="Buy">
      <formula>NOT(ISERROR(SEARCH("Buy",E76)))</formula>
    </cfRule>
    <cfRule type="containsText" dxfId="407" priority="337" operator="containsText" text="Sell">
      <formula>NOT(ISERROR(SEARCH("Sell",E76)))</formula>
    </cfRule>
  </conditionalFormatting>
  <conditionalFormatting sqref="E67:E68">
    <cfRule type="containsText" dxfId="406" priority="332" operator="containsText" text="Buy">
      <formula>NOT(ISERROR(SEARCH("Buy",E67)))</formula>
    </cfRule>
    <cfRule type="containsText" dxfId="405" priority="333" operator="containsText" text="Sell">
      <formula>NOT(ISERROR(SEARCH("Sell",E67)))</formula>
    </cfRule>
  </conditionalFormatting>
  <conditionalFormatting sqref="E70:E71">
    <cfRule type="containsText" dxfId="404" priority="330" operator="containsText" text="Buy">
      <formula>NOT(ISERROR(SEARCH("Buy",E70)))</formula>
    </cfRule>
    <cfRule type="containsText" dxfId="403" priority="331" operator="containsText" text="Sell">
      <formula>NOT(ISERROR(SEARCH("Sell",E70)))</formula>
    </cfRule>
  </conditionalFormatting>
  <conditionalFormatting sqref="E283">
    <cfRule type="containsText" dxfId="402" priority="328" operator="containsText" text="Buy">
      <formula>NOT(ISERROR(SEARCH("Buy",E283)))</formula>
    </cfRule>
    <cfRule type="containsText" dxfId="401" priority="329" operator="containsText" text="Sell">
      <formula>NOT(ISERROR(SEARCH("Sell",E283)))</formula>
    </cfRule>
  </conditionalFormatting>
  <conditionalFormatting sqref="E102">
    <cfRule type="containsText" dxfId="400" priority="326" operator="containsText" text="Buy">
      <formula>NOT(ISERROR(SEARCH("Buy",E102)))</formula>
    </cfRule>
    <cfRule type="containsText" dxfId="399" priority="327" operator="containsText" text="Sell">
      <formula>NOT(ISERROR(SEARCH("Sell",E102)))</formula>
    </cfRule>
  </conditionalFormatting>
  <conditionalFormatting sqref="E101">
    <cfRule type="containsText" dxfId="398" priority="324" operator="containsText" text="Buy">
      <formula>NOT(ISERROR(SEARCH("Buy",E101)))</formula>
    </cfRule>
    <cfRule type="containsText" dxfId="397" priority="325" operator="containsText" text="Sell">
      <formula>NOT(ISERROR(SEARCH("Sell",E101)))</formula>
    </cfRule>
  </conditionalFormatting>
  <conditionalFormatting sqref="E100">
    <cfRule type="containsText" dxfId="396" priority="322" operator="containsText" text="Buy">
      <formula>NOT(ISERROR(SEARCH("Buy",E100)))</formula>
    </cfRule>
    <cfRule type="containsText" dxfId="395" priority="323" operator="containsText" text="Sell">
      <formula>NOT(ISERROR(SEARCH("Sell",E100)))</formula>
    </cfRule>
  </conditionalFormatting>
  <conditionalFormatting sqref="E99">
    <cfRule type="containsText" dxfId="394" priority="320" operator="containsText" text="Buy">
      <formula>NOT(ISERROR(SEARCH("Buy",E99)))</formula>
    </cfRule>
    <cfRule type="containsText" dxfId="393" priority="321" operator="containsText" text="Sell">
      <formula>NOT(ISERROR(SEARCH("Sell",E99)))</formula>
    </cfRule>
  </conditionalFormatting>
  <conditionalFormatting sqref="E122:E123">
    <cfRule type="containsText" dxfId="392" priority="318" operator="containsText" text="Buy">
      <formula>NOT(ISERROR(SEARCH("Buy",E122)))</formula>
    </cfRule>
    <cfRule type="containsText" dxfId="391" priority="319" operator="containsText" text="Sell">
      <formula>NOT(ISERROR(SEARCH("Sell",E122)))</formula>
    </cfRule>
  </conditionalFormatting>
  <conditionalFormatting sqref="E196:E198">
    <cfRule type="containsText" dxfId="390" priority="316" operator="containsText" text="Buy">
      <formula>NOT(ISERROR(SEARCH("Buy",E196)))</formula>
    </cfRule>
    <cfRule type="containsText" dxfId="389" priority="317" operator="containsText" text="Sell">
      <formula>NOT(ISERROR(SEARCH("Sell",E196)))</formula>
    </cfRule>
  </conditionalFormatting>
  <conditionalFormatting sqref="E175">
    <cfRule type="containsText" dxfId="388" priority="314" operator="containsText" text="Buy">
      <formula>NOT(ISERROR(SEARCH("Buy",E175)))</formula>
    </cfRule>
    <cfRule type="containsText" dxfId="387" priority="315" operator="containsText" text="Sell">
      <formula>NOT(ISERROR(SEARCH("Sell",E175)))</formula>
    </cfRule>
  </conditionalFormatting>
  <conditionalFormatting sqref="E174">
    <cfRule type="containsText" dxfId="386" priority="312" operator="containsText" text="Buy">
      <formula>NOT(ISERROR(SEARCH("Buy",E174)))</formula>
    </cfRule>
    <cfRule type="containsText" dxfId="385" priority="313" operator="containsText" text="Sell">
      <formula>NOT(ISERROR(SEARCH("Sell",E174)))</formula>
    </cfRule>
  </conditionalFormatting>
  <conditionalFormatting sqref="E168">
    <cfRule type="containsText" dxfId="384" priority="308" operator="containsText" text="Buy">
      <formula>NOT(ISERROR(SEARCH("Buy",E168)))</formula>
    </cfRule>
    <cfRule type="containsText" dxfId="383" priority="309" operator="containsText" text="Sell">
      <formula>NOT(ISERROR(SEARCH("Sell",E168)))</formula>
    </cfRule>
  </conditionalFormatting>
  <conditionalFormatting sqref="E173">
    <cfRule type="containsText" dxfId="382" priority="306" operator="containsText" text="Buy">
      <formula>NOT(ISERROR(SEARCH("Buy",E173)))</formula>
    </cfRule>
    <cfRule type="containsText" dxfId="381" priority="307" operator="containsText" text="Sell">
      <formula>NOT(ISERROR(SEARCH("Sell",E173)))</formula>
    </cfRule>
  </conditionalFormatting>
  <conditionalFormatting sqref="E172">
    <cfRule type="containsText" dxfId="380" priority="304" operator="containsText" text="Buy">
      <formula>NOT(ISERROR(SEARCH("Buy",E172)))</formula>
    </cfRule>
    <cfRule type="containsText" dxfId="379" priority="305" operator="containsText" text="Sell">
      <formula>NOT(ISERROR(SEARCH("Sell",E172)))</formula>
    </cfRule>
  </conditionalFormatting>
  <conditionalFormatting sqref="E282">
    <cfRule type="containsText" dxfId="378" priority="302" operator="containsText" text="Buy">
      <formula>NOT(ISERROR(SEARCH("Buy",E282)))</formula>
    </cfRule>
    <cfRule type="containsText" dxfId="377" priority="303" operator="containsText" text="Sell">
      <formula>NOT(ISERROR(SEARCH("Sell",E282)))</formula>
    </cfRule>
  </conditionalFormatting>
  <conditionalFormatting sqref="E157:E158">
    <cfRule type="containsText" dxfId="376" priority="300" operator="containsText" text="Buy">
      <formula>NOT(ISERROR(SEARCH("Buy",E157)))</formula>
    </cfRule>
    <cfRule type="containsText" dxfId="375" priority="301" operator="containsText" text="Sell">
      <formula>NOT(ISERROR(SEARCH("Sell",E157)))</formula>
    </cfRule>
  </conditionalFormatting>
  <conditionalFormatting sqref="E281">
    <cfRule type="containsText" dxfId="374" priority="298" operator="containsText" text="Buy">
      <formula>NOT(ISERROR(SEARCH("Buy",E281)))</formula>
    </cfRule>
    <cfRule type="containsText" dxfId="373" priority="299" operator="containsText" text="Sell">
      <formula>NOT(ISERROR(SEARCH("Sell",E281)))</formula>
    </cfRule>
  </conditionalFormatting>
  <conditionalFormatting sqref="E156">
    <cfRule type="containsText" dxfId="372" priority="296" operator="containsText" text="Buy">
      <formula>NOT(ISERROR(SEARCH("Buy",E156)))</formula>
    </cfRule>
    <cfRule type="containsText" dxfId="371" priority="297" operator="containsText" text="Sell">
      <formula>NOT(ISERROR(SEARCH("Sell",E156)))</formula>
    </cfRule>
  </conditionalFormatting>
  <conditionalFormatting sqref="E280">
    <cfRule type="containsText" dxfId="370" priority="292" operator="containsText" text="Buy">
      <formula>NOT(ISERROR(SEARCH("Buy",E280)))</formula>
    </cfRule>
    <cfRule type="containsText" dxfId="369" priority="293" operator="containsText" text="Sell">
      <formula>NOT(ISERROR(SEARCH("Sell",E280)))</formula>
    </cfRule>
  </conditionalFormatting>
  <conditionalFormatting sqref="E42">
    <cfRule type="containsText" dxfId="368" priority="294" operator="containsText" text="Buy">
      <formula>NOT(ISERROR(SEARCH("Buy",E42)))</formula>
    </cfRule>
    <cfRule type="containsText" dxfId="367" priority="295" operator="containsText" text="Sell">
      <formula>NOT(ISERROR(SEARCH("Sell",E42)))</formula>
    </cfRule>
  </conditionalFormatting>
  <conditionalFormatting sqref="E167">
    <cfRule type="containsText" dxfId="366" priority="288" operator="containsText" text="Buy">
      <formula>NOT(ISERROR(SEARCH("Buy",E167)))</formula>
    </cfRule>
    <cfRule type="containsText" dxfId="365" priority="289" operator="containsText" text="Sell">
      <formula>NOT(ISERROR(SEARCH("Sell",E167)))</formula>
    </cfRule>
  </conditionalFormatting>
  <conditionalFormatting sqref="E163">
    <cfRule type="containsText" dxfId="364" priority="290" operator="containsText" text="Buy">
      <formula>NOT(ISERROR(SEARCH("Buy",E163)))</formula>
    </cfRule>
    <cfRule type="containsText" dxfId="363" priority="291" operator="containsText" text="Sell">
      <formula>NOT(ISERROR(SEARCH("Sell",E163)))</formula>
    </cfRule>
  </conditionalFormatting>
  <conditionalFormatting sqref="E162">
    <cfRule type="containsText" dxfId="362" priority="286" operator="containsText" text="Buy">
      <formula>NOT(ISERROR(SEARCH("Buy",E162)))</formula>
    </cfRule>
    <cfRule type="containsText" dxfId="361" priority="287" operator="containsText" text="Sell">
      <formula>NOT(ISERROR(SEARCH("Sell",E162)))</formula>
    </cfRule>
  </conditionalFormatting>
  <conditionalFormatting sqref="E33">
    <cfRule type="containsText" dxfId="360" priority="280" operator="containsText" text="Buy">
      <formula>NOT(ISERROR(SEARCH("Buy",E33)))</formula>
    </cfRule>
    <cfRule type="containsText" dxfId="359" priority="281" operator="containsText" text="Sell">
      <formula>NOT(ISERROR(SEARCH("Sell",E33)))</formula>
    </cfRule>
  </conditionalFormatting>
  <conditionalFormatting sqref="E39">
    <cfRule type="containsText" dxfId="358" priority="282" operator="containsText" text="Buy">
      <formula>NOT(ISERROR(SEARCH("Buy",E39)))</formula>
    </cfRule>
    <cfRule type="containsText" dxfId="357" priority="283" operator="containsText" text="Sell">
      <formula>NOT(ISERROR(SEARCH("Sell",E39)))</formula>
    </cfRule>
  </conditionalFormatting>
  <conditionalFormatting sqref="E31">
    <cfRule type="containsText" dxfId="356" priority="276" operator="containsText" text="Buy">
      <formula>NOT(ISERROR(SEARCH("Buy",E31)))</formula>
    </cfRule>
    <cfRule type="containsText" dxfId="355" priority="277" operator="containsText" text="Sell">
      <formula>NOT(ISERROR(SEARCH("Sell",E31)))</formula>
    </cfRule>
  </conditionalFormatting>
  <conditionalFormatting sqref="E32">
    <cfRule type="containsText" dxfId="354" priority="278" operator="containsText" text="Buy">
      <formula>NOT(ISERROR(SEARCH("Buy",E32)))</formula>
    </cfRule>
    <cfRule type="containsText" dxfId="353" priority="279" operator="containsText" text="Sell">
      <formula>NOT(ISERROR(SEARCH("Sell",E32)))</formula>
    </cfRule>
  </conditionalFormatting>
  <conditionalFormatting sqref="E34">
    <cfRule type="containsText" dxfId="352" priority="272" operator="containsText" text="Buy">
      <formula>NOT(ISERROR(SEARCH("Buy",E34)))</formula>
    </cfRule>
    <cfRule type="containsText" dxfId="351" priority="273" operator="containsText" text="Sell">
      <formula>NOT(ISERROR(SEARCH("Sell",E34)))</formula>
    </cfRule>
  </conditionalFormatting>
  <conditionalFormatting sqref="E35">
    <cfRule type="containsText" dxfId="350" priority="274" operator="containsText" text="Buy">
      <formula>NOT(ISERROR(SEARCH("Buy",E35)))</formula>
    </cfRule>
    <cfRule type="containsText" dxfId="349" priority="275" operator="containsText" text="Sell">
      <formula>NOT(ISERROR(SEARCH("Sell",E35)))</formula>
    </cfRule>
  </conditionalFormatting>
  <conditionalFormatting sqref="U4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{FC5CA42B-EC7D-4401-852D-FC8A49339DF8}</x14:id>
        </ext>
      </extLst>
    </cfRule>
  </conditionalFormatting>
  <conditionalFormatting sqref="V4">
    <cfRule type="dataBar" priority="6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{3993777B-8739-4C72-8D94-7DD4BE07E83B}</x14:id>
        </ext>
      </extLst>
    </cfRule>
  </conditionalFormatting>
  <conditionalFormatting sqref="W4">
    <cfRule type="dataBar" priority="6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{295CD32E-5F7C-476A-97C2-BE7CBE275260}</x14:id>
        </ext>
      </extLst>
    </cfRule>
  </conditionalFormatting>
  <conditionalFormatting sqref="X4">
    <cfRule type="dataBar" priority="6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{E4096829-E39E-42A6-857A-7EBE801A732F}</x14:id>
        </ext>
      </extLst>
    </cfRule>
  </conditionalFormatting>
  <conditionalFormatting sqref="U5">
    <cfRule type="dataBar" priority="2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{5D02DF0D-3B8C-4100-904E-00D82F730BE9}</x14:id>
        </ext>
      </extLst>
    </cfRule>
  </conditionalFormatting>
  <conditionalFormatting sqref="V5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{DEF2DD56-C5B3-4241-80C8-CF2485695516}</x14:id>
        </ext>
      </extLst>
    </cfRule>
  </conditionalFormatting>
  <conditionalFormatting sqref="W5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{9B985577-EFD7-4470-81DB-368D63E1027A}</x14:id>
        </ext>
      </extLst>
    </cfRule>
  </conditionalFormatting>
  <conditionalFormatting sqref="X5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{CDB940CF-F914-4E4A-B969-4A085E318FB4}</x14:id>
        </ext>
      </extLst>
    </cfRule>
  </conditionalFormatting>
  <conditionalFormatting sqref="E37">
    <cfRule type="containsText" dxfId="348" priority="241" operator="containsText" text="Buy">
      <formula>NOT(ISERROR(SEARCH("Buy",E37)))</formula>
    </cfRule>
    <cfRule type="containsText" dxfId="347" priority="242" operator="containsText" text="Sell">
      <formula>NOT(ISERROR(SEARCH("Sell",E37)))</formula>
    </cfRule>
  </conditionalFormatting>
  <conditionalFormatting sqref="E38">
    <cfRule type="containsText" dxfId="346" priority="243" operator="containsText" text="Buy">
      <formula>NOT(ISERROR(SEARCH("Buy",E38)))</formula>
    </cfRule>
    <cfRule type="containsText" dxfId="345" priority="244" operator="containsText" text="Sell">
      <formula>NOT(ISERROR(SEARCH("Sell",E38)))</formula>
    </cfRule>
  </conditionalFormatting>
  <conditionalFormatting sqref="E40">
    <cfRule type="containsText" dxfId="344" priority="237" operator="containsText" text="Buy">
      <formula>NOT(ISERROR(SEARCH("Buy",E40)))</formula>
    </cfRule>
    <cfRule type="containsText" dxfId="343" priority="238" operator="containsText" text="Sell">
      <formula>NOT(ISERROR(SEARCH("Sell",E40)))</formula>
    </cfRule>
  </conditionalFormatting>
  <conditionalFormatting sqref="E41">
    <cfRule type="containsText" dxfId="342" priority="239" operator="containsText" text="Buy">
      <formula>NOT(ISERROR(SEARCH("Buy",E41)))</formula>
    </cfRule>
    <cfRule type="containsText" dxfId="341" priority="240" operator="containsText" text="Sell">
      <formula>NOT(ISERROR(SEARCH("Sell",E41)))</formula>
    </cfRule>
  </conditionalFormatting>
  <conditionalFormatting sqref="U6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{9DBD92EE-F2FE-4276-9317-128CD57C4A0C}</x14:id>
        </ext>
      </extLst>
    </cfRule>
  </conditionalFormatting>
  <conditionalFormatting sqref="V6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{0532E4D2-780E-41ED-9D09-019A3455AA88}</x14:id>
        </ext>
      </extLst>
    </cfRule>
  </conditionalFormatting>
  <conditionalFormatting sqref="W6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{ED0B62BC-EB2B-4620-A69A-018E903436B9}</x14:id>
        </ext>
      </extLst>
    </cfRule>
  </conditionalFormatting>
  <conditionalFormatting sqref="X6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{73CFF40E-1A01-4D89-B032-73BD7E108F2A}</x14:id>
        </ext>
      </extLst>
    </cfRule>
  </conditionalFormatting>
  <conditionalFormatting sqref="K6:L6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{9C5D9E09-09BB-4210-A906-687139CFA6C4}</x14:id>
        </ext>
      </extLst>
    </cfRule>
  </conditionalFormatting>
  <conditionalFormatting sqref="K6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{8CFEA2AA-F5AB-478D-8C59-8A8B6428ED83}</x14:id>
        </ext>
      </extLst>
    </cfRule>
  </conditionalFormatting>
  <conditionalFormatting sqref="L6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{62B01763-8FC8-4FB9-974B-C70645340E41}</x14:id>
        </ext>
      </extLst>
    </cfRule>
  </conditionalFormatting>
  <conditionalFormatting sqref="K6:L6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{5E78A277-2F89-4309-A8B0-0A21CF58483C}</x14:id>
        </ext>
      </extLst>
    </cfRule>
  </conditionalFormatting>
  <conditionalFormatting sqref="U13:U14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{FEB8FBDC-D947-437C-B070-1B82D9221DBF}</x14:id>
        </ext>
      </extLst>
    </cfRule>
  </conditionalFormatting>
  <conditionalFormatting sqref="V13:V14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{D8DD5AC8-47FE-4048-8398-9E6DB2DC0ADD}</x14:id>
        </ext>
      </extLst>
    </cfRule>
  </conditionalFormatting>
  <conditionalFormatting sqref="W13:W14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{1EF37D06-C1B1-44A4-B455-95A3D438E4E1}</x14:id>
        </ext>
      </extLst>
    </cfRule>
  </conditionalFormatting>
  <conditionalFormatting sqref="X13:X14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{34AE2E8F-60F4-4F39-A991-B0F7BAD7F83B}</x14:id>
        </ext>
      </extLst>
    </cfRule>
  </conditionalFormatting>
  <conditionalFormatting sqref="K13:L14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{16E7DD16-8A6D-4285-8567-89C6AB3E69F0}</x14:id>
        </ext>
      </extLst>
    </cfRule>
  </conditionalFormatting>
  <conditionalFormatting sqref="K13:K14">
    <cfRule type="dataBar" priority="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{1A61EBFD-C643-4DCC-874B-14B922845C89}</x14:id>
        </ext>
      </extLst>
    </cfRule>
  </conditionalFormatting>
  <conditionalFormatting sqref="L13:L14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{836C5497-9129-4BA6-AA63-95986F133DDE}</x14:id>
        </ext>
      </extLst>
    </cfRule>
  </conditionalFormatting>
  <conditionalFormatting sqref="K13:L14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{B64F0A4C-2F82-4945-8749-010434FE861A}</x14:id>
        </ext>
      </extLst>
    </cfRule>
  </conditionalFormatting>
  <conditionalFormatting sqref="E43">
    <cfRule type="containsText" dxfId="340" priority="201" operator="containsText" text="Buy">
      <formula>NOT(ISERROR(SEARCH("Buy",E43)))</formula>
    </cfRule>
    <cfRule type="containsText" dxfId="339" priority="202" operator="containsText" text="Sell">
      <formula>NOT(ISERROR(SEARCH("Sell",E43)))</formula>
    </cfRule>
  </conditionalFormatting>
  <conditionalFormatting sqref="E44">
    <cfRule type="containsText" dxfId="338" priority="203" operator="containsText" text="Buy">
      <formula>NOT(ISERROR(SEARCH("Buy",E44)))</formula>
    </cfRule>
    <cfRule type="containsText" dxfId="337" priority="204" operator="containsText" text="Sell">
      <formula>NOT(ISERROR(SEARCH("Sell",E44)))</formula>
    </cfRule>
  </conditionalFormatting>
  <conditionalFormatting sqref="E46">
    <cfRule type="containsText" dxfId="336" priority="196" operator="containsText" text="Buy">
      <formula>NOT(ISERROR(SEARCH("Buy",E46)))</formula>
    </cfRule>
    <cfRule type="containsText" dxfId="335" priority="197" operator="containsText" text="Sell">
      <formula>NOT(ISERROR(SEARCH("Sell",E46)))</formula>
    </cfRule>
  </conditionalFormatting>
  <conditionalFormatting sqref="E47">
    <cfRule type="containsText" dxfId="334" priority="198" operator="containsText" text="Buy">
      <formula>NOT(ISERROR(SEARCH("Buy",E47)))</formula>
    </cfRule>
    <cfRule type="containsText" dxfId="333" priority="199" operator="containsText" text="Sell">
      <formula>NOT(ISERROR(SEARCH("Sell",E47)))</formula>
    </cfRule>
  </conditionalFormatting>
  <conditionalFormatting sqref="U12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{45A8387D-668F-41DA-B6F3-598AF7CBB0BB}</x14:id>
        </ext>
      </extLst>
    </cfRule>
  </conditionalFormatting>
  <conditionalFormatting sqref="V12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{DAE11DC8-6A38-4C95-B05C-DE79E5A5CA9F}</x14:id>
        </ext>
      </extLst>
    </cfRule>
  </conditionalFormatting>
  <conditionalFormatting sqref="W12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{B227735F-82D3-48C5-8E6A-ECB922B5208A}</x14:id>
        </ext>
      </extLst>
    </cfRule>
  </conditionalFormatting>
  <conditionalFormatting sqref="X12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{A254B268-2895-4C43-A1C8-F6D2F56B5A59}</x14:id>
        </ext>
      </extLst>
    </cfRule>
  </conditionalFormatting>
  <conditionalFormatting sqref="K12:L12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{4E9A26BC-51CB-4B6B-B92F-95188B911721}</x14:id>
        </ext>
      </extLst>
    </cfRule>
  </conditionalFormatting>
  <conditionalFormatting sqref="K12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{F2303FBD-1411-4AC9-99AA-77AC11E3AE25}</x14:id>
        </ext>
      </extLst>
    </cfRule>
  </conditionalFormatting>
  <conditionalFormatting sqref="L12">
    <cfRule type="dataBar" priority="1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{2D3F3DE7-BC0B-4517-8685-DA121634B9A6}</x14:id>
        </ext>
      </extLst>
    </cfRule>
  </conditionalFormatting>
  <conditionalFormatting sqref="K12:L12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{66A8AE41-74AF-443C-B60E-19CA3C10179B}</x14:id>
        </ext>
      </extLst>
    </cfRule>
  </conditionalFormatting>
  <conditionalFormatting sqref="K12:L12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{BD7EA46D-0DC2-406D-9617-7409EAA36A62}</x14:id>
        </ext>
      </extLst>
    </cfRule>
  </conditionalFormatting>
  <conditionalFormatting sqref="U11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{EF5D6225-8688-45B8-A07B-E1D46499E30E}</x14:id>
        </ext>
      </extLst>
    </cfRule>
  </conditionalFormatting>
  <conditionalFormatting sqref="V11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{841B874F-D892-4E3E-B1DA-4742A397DE19}</x14:id>
        </ext>
      </extLst>
    </cfRule>
  </conditionalFormatting>
  <conditionalFormatting sqref="W11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{FE903791-0DD3-4D49-949D-0050DFA6E379}</x14:id>
        </ext>
      </extLst>
    </cfRule>
  </conditionalFormatting>
  <conditionalFormatting sqref="X1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{21816CF7-865E-487D-A544-716038AD1F4A}</x14:id>
        </ext>
      </extLst>
    </cfRule>
  </conditionalFormatting>
  <conditionalFormatting sqref="K11:L11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{F0EEE7C6-8F25-46F3-9F25-219CBB7D6954}</x14:id>
        </ext>
      </extLst>
    </cfRule>
  </conditionalFormatting>
  <conditionalFormatting sqref="K11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{CF87AA65-26C3-4517-B8CF-57E53248A843}</x14:id>
        </ext>
      </extLst>
    </cfRule>
  </conditionalFormatting>
  <conditionalFormatting sqref="L11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{761CFFCB-691F-4CAF-BEDD-CE7F9BB4EAAF}</x14:id>
        </ext>
      </extLst>
    </cfRule>
  </conditionalFormatting>
  <conditionalFormatting sqref="K11:L11">
    <cfRule type="dataBar" priority="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{5983E6E5-0AAA-4F90-B19B-3B33F8E8F66F}</x14:id>
        </ext>
      </extLst>
    </cfRule>
  </conditionalFormatting>
  <conditionalFormatting sqref="K11:L1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{C3DB8FAC-8CC0-4BFE-B3A0-7496EA88C0C1}</x14:id>
        </ext>
      </extLst>
    </cfRule>
  </conditionalFormatting>
  <conditionalFormatting sqref="E49">
    <cfRule type="containsText" dxfId="332" priority="158" operator="containsText" text="Buy">
      <formula>NOT(ISERROR(SEARCH("Buy",E49)))</formula>
    </cfRule>
    <cfRule type="containsText" dxfId="331" priority="159" operator="containsText" text="Sell">
      <formula>NOT(ISERROR(SEARCH("Sell",E49)))</formula>
    </cfRule>
  </conditionalFormatting>
  <conditionalFormatting sqref="E50">
    <cfRule type="containsText" dxfId="330" priority="160" operator="containsText" text="Buy">
      <formula>NOT(ISERROR(SEARCH("Buy",E50)))</formula>
    </cfRule>
    <cfRule type="containsText" dxfId="329" priority="161" operator="containsText" text="Sell">
      <formula>NOT(ISERROR(SEARCH("Sell",E50)))</formula>
    </cfRule>
  </conditionalFormatting>
  <conditionalFormatting sqref="E52">
    <cfRule type="containsText" dxfId="328" priority="135" operator="containsText" text="Buy">
      <formula>NOT(ISERROR(SEARCH("Buy",E52)))</formula>
    </cfRule>
    <cfRule type="containsText" dxfId="327" priority="136" operator="containsText" text="Sell">
      <formula>NOT(ISERROR(SEARCH("Sell",E52)))</formula>
    </cfRule>
  </conditionalFormatting>
  <conditionalFormatting sqref="E53">
    <cfRule type="containsText" dxfId="326" priority="137" operator="containsText" text="Buy">
      <formula>NOT(ISERROR(SEARCH("Buy",E53)))</formula>
    </cfRule>
    <cfRule type="containsText" dxfId="325" priority="138" operator="containsText" text="Sell">
      <formula>NOT(ISERROR(SEARCH("Sell",E53)))</formula>
    </cfRule>
  </conditionalFormatting>
  <conditionalFormatting sqref="E55">
    <cfRule type="containsText" dxfId="324" priority="131" operator="containsText" text="Buy">
      <formula>NOT(ISERROR(SEARCH("Buy",E55)))</formula>
    </cfRule>
    <cfRule type="containsText" dxfId="323" priority="132" operator="containsText" text="Sell">
      <formula>NOT(ISERROR(SEARCH("Sell",E55)))</formula>
    </cfRule>
  </conditionalFormatting>
  <conditionalFormatting sqref="E56">
    <cfRule type="containsText" dxfId="322" priority="133" operator="containsText" text="Buy">
      <formula>NOT(ISERROR(SEARCH("Buy",E56)))</formula>
    </cfRule>
    <cfRule type="containsText" dxfId="321" priority="134" operator="containsText" text="Sell">
      <formula>NOT(ISERROR(SEARCH("Sell",E56)))</formula>
    </cfRule>
  </conditionalFormatting>
  <conditionalFormatting sqref="H22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{D82770FA-9FEF-443A-8004-F0DBB8F55FFC}</x14:id>
        </ext>
      </extLst>
    </cfRule>
    <cfRule type="cellIs" dxfId="320" priority="128" operator="equal">
      <formula>1</formula>
    </cfRule>
  </conditionalFormatting>
  <conditionalFormatting sqref="D22">
    <cfRule type="containsText" dxfId="319" priority="126" operator="containsText" text="Buy">
      <formula>NOT(ISERROR(SEARCH("Buy",D22)))</formula>
    </cfRule>
    <cfRule type="containsText" dxfId="318" priority="127" operator="containsText" text="Sell">
      <formula>NOT(ISERROR(SEARCH("Sell",D22)))</formula>
    </cfRule>
  </conditionalFormatting>
  <conditionalFormatting sqref="K4:L5">
    <cfRule type="dataBar" priority="14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{250DE9B9-30C9-4689-832D-8882183B0FDE}</x14:id>
        </ext>
      </extLst>
    </cfRule>
  </conditionalFormatting>
  <conditionalFormatting sqref="K4:K5">
    <cfRule type="dataBar" priority="14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{72F960F9-9C3B-415B-B915-4919F5322F25}</x14:id>
        </ext>
      </extLst>
    </cfRule>
  </conditionalFormatting>
  <conditionalFormatting sqref="L4:L5">
    <cfRule type="dataBar" priority="14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{8D927826-5F13-463F-853B-A5F2B54B6013}</x14:id>
        </ext>
      </extLst>
    </cfRule>
  </conditionalFormatting>
  <conditionalFormatting sqref="K4:L5">
    <cfRule type="dataBar" priority="14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{B5DFD9CD-7513-4990-A672-10CC9A74F9DD}</x14:id>
        </ext>
      </extLst>
    </cfRule>
  </conditionalFormatting>
  <conditionalFormatting sqref="K13:L14 K4:L6">
    <cfRule type="dataBar" priority="14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{98A37A64-8CC0-40B9-8324-F4F56E8252DB}</x14:id>
        </ext>
      </extLst>
    </cfRule>
  </conditionalFormatting>
  <conditionalFormatting sqref="K11:K14 K4:K6">
    <cfRule type="dataBar" priority="14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{7E51B726-F0B8-4581-9131-6D85E3DF94C0}</x14:id>
        </ext>
      </extLst>
    </cfRule>
  </conditionalFormatting>
  <conditionalFormatting sqref="H23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{E9351112-1970-43E7-B7CC-4FE02DEF4E98}</x14:id>
        </ext>
      </extLst>
    </cfRule>
    <cfRule type="cellIs" dxfId="317" priority="124" operator="equal">
      <formula>1</formula>
    </cfRule>
  </conditionalFormatting>
  <conditionalFormatting sqref="D23">
    <cfRule type="containsText" dxfId="316" priority="122" operator="containsText" text="Buy">
      <formula>NOT(ISERROR(SEARCH("Buy",D23)))</formula>
    </cfRule>
    <cfRule type="containsText" dxfId="315" priority="123" operator="containsText" text="Sell">
      <formula>NOT(ISERROR(SEARCH("Sell",D23)))</formula>
    </cfRule>
  </conditionalFormatting>
  <conditionalFormatting sqref="K4:K6">
    <cfRule type="dataBar" priority="15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{B555B7CF-5BD9-4EFB-87DF-E6B3CD300B77}</x14:id>
        </ext>
      </extLst>
    </cfRule>
  </conditionalFormatting>
  <conditionalFormatting sqref="L11:L14 L4:L6">
    <cfRule type="dataBar" priority="15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{CAB37B22-0040-4746-9B57-87E3B9E340D5}</x14:id>
        </ext>
      </extLst>
    </cfRule>
  </conditionalFormatting>
  <conditionalFormatting sqref="U8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{7A5478FB-4546-48CE-9056-D6A6CB9AC98D}</x14:id>
        </ext>
      </extLst>
    </cfRule>
  </conditionalFormatting>
  <conditionalFormatting sqref="V8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{74E48664-DBD8-4690-BF27-F3D6A5E1B5B7}</x14:id>
        </ext>
      </extLst>
    </cfRule>
  </conditionalFormatting>
  <conditionalFormatting sqref="W8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{B82B2017-F641-490C-91B9-A24D819BB042}</x14:id>
        </ext>
      </extLst>
    </cfRule>
  </conditionalFormatting>
  <conditionalFormatting sqref="X8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{75BAE486-3E0E-49D0-9068-5F6E120A91CC}</x14:id>
        </ext>
      </extLst>
    </cfRule>
  </conditionalFormatting>
  <conditionalFormatting sqref="K8:L8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{4CAB9B0E-04E1-43E7-AA21-900D4E606FD1}</x14:id>
        </ext>
      </extLst>
    </cfRule>
  </conditionalFormatting>
  <conditionalFormatting sqref="K8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{EDDB10A8-665A-4336-9F4D-A08C302E7DB8}</x14:id>
        </ext>
      </extLst>
    </cfRule>
  </conditionalFormatting>
  <conditionalFormatting sqref="L8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{452181AF-9D51-461F-8670-BD8428B56DA1}</x14:id>
        </ext>
      </extLst>
    </cfRule>
  </conditionalFormatting>
  <conditionalFormatting sqref="K8:L8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{5FBABE46-12E8-460D-B50E-5E24D77A9D57}</x14:id>
        </ext>
      </extLst>
    </cfRule>
  </conditionalFormatting>
  <conditionalFormatting sqref="K8:L8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{79AE8A1E-C135-4038-B6E6-C369748662F6}</x14:id>
        </ext>
      </extLst>
    </cfRule>
  </conditionalFormatting>
  <conditionalFormatting sqref="K8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{D04D7A7F-11CD-493B-98CB-9AAB99F49549}</x14:id>
        </ext>
      </extLst>
    </cfRule>
  </conditionalFormatting>
  <conditionalFormatting sqref="K8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{243A2577-3F0A-47E0-B61B-3FE6EC157DFE}</x14:id>
        </ext>
      </extLst>
    </cfRule>
  </conditionalFormatting>
  <conditionalFormatting sqref="L8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{7AE78E9B-6A94-483F-9929-906E13C55E24}</x14:id>
        </ext>
      </extLst>
    </cfRule>
  </conditionalFormatting>
  <conditionalFormatting sqref="E58">
    <cfRule type="containsText" dxfId="314" priority="73" operator="containsText" text="Buy">
      <formula>NOT(ISERROR(SEARCH("Buy",E58)))</formula>
    </cfRule>
    <cfRule type="containsText" dxfId="313" priority="74" operator="containsText" text="Sell">
      <formula>NOT(ISERROR(SEARCH("Sell",E58)))</formula>
    </cfRule>
  </conditionalFormatting>
  <conditionalFormatting sqref="E59">
    <cfRule type="containsText" dxfId="312" priority="75" operator="containsText" text="Buy">
      <formula>NOT(ISERROR(SEARCH("Buy",E59)))</formula>
    </cfRule>
    <cfRule type="containsText" dxfId="311" priority="76" operator="containsText" text="Sell">
      <formula>NOT(ISERROR(SEARCH("Sell",E59)))</formula>
    </cfRule>
  </conditionalFormatting>
  <conditionalFormatting sqref="E61">
    <cfRule type="containsText" dxfId="310" priority="69" operator="containsText" text="Buy">
      <formula>NOT(ISERROR(SEARCH("Buy",E61)))</formula>
    </cfRule>
    <cfRule type="containsText" dxfId="309" priority="70" operator="containsText" text="Sell">
      <formula>NOT(ISERROR(SEARCH("Sell",E61)))</formula>
    </cfRule>
  </conditionalFormatting>
  <conditionalFormatting sqref="E62">
    <cfRule type="containsText" dxfId="308" priority="71" operator="containsText" text="Buy">
      <formula>NOT(ISERROR(SEARCH("Buy",E62)))</formula>
    </cfRule>
    <cfRule type="containsText" dxfId="307" priority="72" operator="containsText" text="Sell">
      <formula>NOT(ISERROR(SEARCH("Sell",E62)))</formula>
    </cfRule>
  </conditionalFormatting>
  <conditionalFormatting sqref="U10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{D6056848-5CA9-4429-B352-4EA089EF550D}</x14:id>
        </ext>
      </extLst>
    </cfRule>
  </conditionalFormatting>
  <conditionalFormatting sqref="V10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{89941419-3F27-45C6-BF2D-045DE8C00C49}</x14:id>
        </ext>
      </extLst>
    </cfRule>
  </conditionalFormatting>
  <conditionalFormatting sqref="W10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{BEF6C0BA-06AC-4638-9424-66239150CD75}</x14:id>
        </ext>
      </extLst>
    </cfRule>
  </conditionalFormatting>
  <conditionalFormatting sqref="X10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{F534744A-C4D0-4403-A7A7-439D470B2FD4}</x14:id>
        </ext>
      </extLst>
    </cfRule>
  </conditionalFormatting>
  <conditionalFormatting sqref="K10:L10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{621C7564-DD39-4E22-A4D6-81B601AC59E3}</x14:id>
        </ext>
      </extLst>
    </cfRule>
  </conditionalFormatting>
  <conditionalFormatting sqref="K10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{BB1384F8-9BB3-4A96-9E38-0FFFA84C8645}</x14:id>
        </ext>
      </extLst>
    </cfRule>
  </conditionalFormatting>
  <conditionalFormatting sqref="L10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{C89DF18E-A787-44D7-A217-699C838D6458}</x14:id>
        </ext>
      </extLst>
    </cfRule>
  </conditionalFormatting>
  <conditionalFormatting sqref="K10:L1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{3211B4BF-F3C8-424A-A39F-849EFEE3C451}</x14:id>
        </ext>
      </extLst>
    </cfRule>
  </conditionalFormatting>
  <conditionalFormatting sqref="K10:L10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{A70847B6-67D1-4F41-9124-061D217B7787}</x14:id>
        </ext>
      </extLst>
    </cfRule>
  </conditionalFormatting>
  <conditionalFormatting sqref="K1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{ECCB1CAE-21DA-4D5B-965F-86C69493F8B7}</x14:id>
        </ext>
      </extLst>
    </cfRule>
  </conditionalFormatting>
  <conditionalFormatting sqref="L10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{398DAE9B-9ED0-4861-8727-766432A4536A}</x14:id>
        </ext>
      </extLst>
    </cfRule>
  </conditionalFormatting>
  <conditionalFormatting sqref="U7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{902FFFD3-1827-4288-BA0C-7C439A5C7B92}</x14:id>
        </ext>
      </extLst>
    </cfRule>
  </conditionalFormatting>
  <conditionalFormatting sqref="V7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{A2474869-E7B2-4826-9FE5-9E7CA6B2413E}</x14:id>
        </ext>
      </extLst>
    </cfRule>
  </conditionalFormatting>
  <conditionalFormatting sqref="W7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{D963E830-F029-41AF-B817-26CACC77BF0C}</x14:id>
        </ext>
      </extLst>
    </cfRule>
  </conditionalFormatting>
  <conditionalFormatting sqref="X7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{A6600A24-7AB3-4086-9BA0-F21692D5D46B}</x14:id>
        </ext>
      </extLst>
    </cfRule>
  </conditionalFormatting>
  <conditionalFormatting sqref="K7:L7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{E28615CC-F11A-43DA-9401-7BD651FE6560}</x14:id>
        </ext>
      </extLst>
    </cfRule>
  </conditionalFormatting>
  <conditionalFormatting sqref="K7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{E0430E7A-2B0B-4B08-8C0E-8CD900B8D2C9}</x14:id>
        </ext>
      </extLst>
    </cfRule>
  </conditionalFormatting>
  <conditionalFormatting sqref="L7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{B5EC42F7-217F-40B0-8616-465117567673}</x14:id>
        </ext>
      </extLst>
    </cfRule>
  </conditionalFormatting>
  <conditionalFormatting sqref="K7:L7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{F6E4B4BB-A875-4919-8592-8A96B29C8575}</x14:id>
        </ext>
      </extLst>
    </cfRule>
  </conditionalFormatting>
  <conditionalFormatting sqref="K7:L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{2BA12E10-718C-4B84-8191-D8B4B5B1E465}</x14:id>
        </ext>
      </extLst>
    </cfRule>
  </conditionalFormatting>
  <conditionalFormatting sqref="K7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{DC26C1E4-E193-4CB6-8CE4-9A13D4AF73FE}</x14:id>
        </ext>
      </extLst>
    </cfRule>
  </conditionalFormatting>
  <conditionalFormatting sqref="L7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{C1E194BB-7CC2-42B2-AAF9-4255ECE878BD}</x14:id>
        </ext>
      </extLst>
    </cfRule>
  </conditionalFormatting>
  <conditionalFormatting sqref="U9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{41DBB7A4-A693-4298-B9E3-9F5205BDDEB9}</x14:id>
        </ext>
      </extLst>
    </cfRule>
  </conditionalFormatting>
  <conditionalFormatting sqref="V9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{49A9BDD2-6064-4C02-A680-9E22B4998FE5}</x14:id>
        </ext>
      </extLst>
    </cfRule>
  </conditionalFormatting>
  <conditionalFormatting sqref="W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{C7C2B766-22C3-4B03-AE91-2D2918AC1F0C}</x14:id>
        </ext>
      </extLst>
    </cfRule>
  </conditionalFormatting>
  <conditionalFormatting sqref="X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{6378F5C6-5ED4-4EFC-9273-6A8DA8664B15}</x14:id>
        </ext>
      </extLst>
    </cfRule>
  </conditionalFormatting>
  <conditionalFormatting sqref="K9:L9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{8DDB9CEE-E483-492E-A79F-8894C3B39951}</x14:id>
        </ext>
      </extLst>
    </cfRule>
  </conditionalFormatting>
  <conditionalFormatting sqref="K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{6E0A4AC0-7256-4516-B032-8C9451C595E8}</x14:id>
        </ext>
      </extLst>
    </cfRule>
  </conditionalFormatting>
  <conditionalFormatting sqref="L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{44A205D5-B501-41D8-AACD-5962F71A1C46}</x14:id>
        </ext>
      </extLst>
    </cfRule>
  </conditionalFormatting>
  <conditionalFormatting sqref="K9:L9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{BC689C56-D7D6-404B-ADE9-BE77111CBF0F}</x14:id>
        </ext>
      </extLst>
    </cfRule>
  </conditionalFormatting>
  <conditionalFormatting sqref="K9:L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{31A9196D-1270-4268-8423-C3584991F372}</x14:id>
        </ext>
      </extLst>
    </cfRule>
  </conditionalFormatting>
  <conditionalFormatting sqref="K9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{3F1EC1E5-BEBF-4FC6-94C0-0234A7582C1F}</x14:id>
        </ext>
      </extLst>
    </cfRule>
  </conditionalFormatting>
  <conditionalFormatting sqref="L9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{7C3920AE-0A14-447F-9696-D5B213942E36}</x14:id>
        </ext>
      </extLst>
    </cfRule>
  </conditionalFormatting>
  <conditionalFormatting sqref="E64">
    <cfRule type="containsText" dxfId="306" priority="8" operator="containsText" text="Buy">
      <formula>NOT(ISERROR(SEARCH("Buy",E64)))</formula>
    </cfRule>
    <cfRule type="containsText" dxfId="305" priority="9" operator="containsText" text="Sell">
      <formula>NOT(ISERROR(SEARCH("Sell",E64)))</formula>
    </cfRule>
  </conditionalFormatting>
  <conditionalFormatting sqref="E65">
    <cfRule type="containsText" dxfId="304" priority="10" operator="containsText" text="Buy">
      <formula>NOT(ISERROR(SEARCH("Buy",E65)))</formula>
    </cfRule>
    <cfRule type="containsText" dxfId="303" priority="11" operator="containsText" text="Sell">
      <formula>NOT(ISERROR(SEARCH("Sell",E65)))</formula>
    </cfRule>
  </conditionalFormatting>
  <conditionalFormatting sqref="S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{5793BC6B-4610-4057-B486-D555C9A8B753}</x14:id>
        </ext>
      </extLst>
    </cfRule>
  </conditionalFormatting>
  <conditionalFormatting sqref="S4:S14">
    <cfRule type="dataBar" priority="267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{0D989F73-CCD0-4F5A-B90B-9DE6E9C5BA7B}</x14:id>
        </ext>
      </extLst>
    </cfRule>
  </conditionalFormatting>
  <conditionalFormatting sqref="U4:V4">
    <cfRule type="dataBar" priority="308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{8E64C62E-B3A9-4656-91E5-FBB0563F7E40}</x14:id>
        </ext>
      </extLst>
    </cfRule>
  </conditionalFormatting>
  <conditionalFormatting sqref="U4:V4">
    <cfRule type="dataBar" priority="30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{7369138D-2FB8-40BB-A930-2336F378D2E9}</x14:id>
        </ext>
      </extLst>
    </cfRule>
  </conditionalFormatting>
  <conditionalFormatting sqref="U5:V5">
    <cfRule type="dataBar" priority="30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{E4DC5D5B-1AAE-403A-847F-EB9397B0848A}</x14:id>
        </ext>
      </extLst>
    </cfRule>
  </conditionalFormatting>
  <conditionalFormatting sqref="U5:V5">
    <cfRule type="dataBar" priority="30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{D79289B8-5E95-41D1-828F-720F7000006E}</x14:id>
        </ext>
      </extLst>
    </cfRule>
  </conditionalFormatting>
  <conditionalFormatting sqref="U6:V6">
    <cfRule type="dataBar" priority="30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{2181CEFA-98C8-469A-AA2A-2CDEC4480B0D}</x14:id>
        </ext>
      </extLst>
    </cfRule>
  </conditionalFormatting>
  <conditionalFormatting sqref="U6:V6">
    <cfRule type="dataBar" priority="30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{BE0288C2-8F7C-4BDE-8BB8-595587CBB44B}</x14:id>
        </ext>
      </extLst>
    </cfRule>
  </conditionalFormatting>
  <conditionalFormatting sqref="U13:V14">
    <cfRule type="dataBar" priority="308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{D88F12DB-2549-496C-A72A-14A5CDE9504D}</x14:id>
        </ext>
      </extLst>
    </cfRule>
  </conditionalFormatting>
  <conditionalFormatting sqref="U13:V14">
    <cfRule type="dataBar" priority="30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{89A40E44-87A5-4F92-A9D1-9ABCFD12BE45}</x14:id>
        </ext>
      </extLst>
    </cfRule>
  </conditionalFormatting>
  <conditionalFormatting sqref="U12:V12">
    <cfRule type="dataBar" priority="308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{2912BD8A-E4C7-4A8C-BB45-BB89D96F8219}</x14:id>
        </ext>
      </extLst>
    </cfRule>
  </conditionalFormatting>
  <conditionalFormatting sqref="U12:V12">
    <cfRule type="dataBar" priority="30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{C9EFA88D-905B-4E74-8C3C-C55CE349B341}</x14:id>
        </ext>
      </extLst>
    </cfRule>
  </conditionalFormatting>
  <conditionalFormatting sqref="U11:V11">
    <cfRule type="dataBar" priority="308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{C3471874-4DB0-4F16-BDC7-4E89CD212AE0}</x14:id>
        </ext>
      </extLst>
    </cfRule>
  </conditionalFormatting>
  <conditionalFormatting sqref="U11:V11">
    <cfRule type="dataBar" priority="30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{9E33459A-F0D4-4BE7-BBA2-C354A7D8BD9E}</x14:id>
        </ext>
      </extLst>
    </cfRule>
  </conditionalFormatting>
  <conditionalFormatting sqref="U8:V8">
    <cfRule type="dataBar" priority="308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{0696EC55-4DD2-4833-AA70-468414D63680}</x14:id>
        </ext>
      </extLst>
    </cfRule>
  </conditionalFormatting>
  <conditionalFormatting sqref="U8:V8">
    <cfRule type="dataBar" priority="30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{C6E028EB-DBA0-4DF5-B271-7622A8CAFD65}</x14:id>
        </ext>
      </extLst>
    </cfRule>
  </conditionalFormatting>
  <conditionalFormatting sqref="U10:V10">
    <cfRule type="dataBar" priority="308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{EE5A32E9-B9FF-4025-A498-ACC5F8A42C73}</x14:id>
        </ext>
      </extLst>
    </cfRule>
  </conditionalFormatting>
  <conditionalFormatting sqref="U10:V10">
    <cfRule type="dataBar" priority="30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{2FC3BD6F-F753-41CE-9963-79E9B3DB3E00}</x14:id>
        </ext>
      </extLst>
    </cfRule>
  </conditionalFormatting>
  <conditionalFormatting sqref="U7:V7">
    <cfRule type="dataBar" priority="308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{DE37EB30-5FB0-404E-94B4-EE707A084115}</x14:id>
        </ext>
      </extLst>
    </cfRule>
  </conditionalFormatting>
  <conditionalFormatting sqref="U7:V7">
    <cfRule type="dataBar" priority="30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{54E66DBB-76CE-4FE9-AB22-B8E5AFFA7ACF}</x14:id>
        </ext>
      </extLst>
    </cfRule>
  </conditionalFormatting>
  <conditionalFormatting sqref="U9:V9">
    <cfRule type="dataBar" priority="308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{524BF04E-9D94-491B-897C-05D57A20B583}</x14:id>
        </ext>
      </extLst>
    </cfRule>
  </conditionalFormatting>
  <conditionalFormatting sqref="U9:V9">
    <cfRule type="dataBar" priority="30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{E6122234-5498-4A12-B56F-09386EDD1E6A}</x14:id>
        </ext>
      </extLst>
    </cfRule>
  </conditionalFormatting>
  <conditionalFormatting sqref="I4:I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{8F679CB8-B102-4A1F-9C6D-8A652D26A5C9}</x14:id>
        </ext>
      </extLst>
    </cfRule>
  </conditionalFormatting>
  <conditionalFormatting sqref="I4:I1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{EA3FC09E-47BA-4465-B4E9-79CF3E5CC762}</x14:id>
        </ext>
      </extLst>
    </cfRule>
  </conditionalFormatting>
  <conditionalFormatting sqref="K4:L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{10CADAF6-935B-4292-B1DE-4ADCA3490F1A}</x14:id>
        </ext>
      </extLst>
    </cfRule>
  </conditionalFormatting>
  <conditionalFormatting sqref="S4:S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{82379704-5ADC-43C7-8A78-A4F30ABD596C}</x14:id>
        </ext>
      </extLst>
    </cfRule>
  </conditionalFormatting>
  <conditionalFormatting sqref="U4:V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{F4894393-9150-4D82-8CB6-A6CF11224FF0}</x14:id>
        </ext>
      </extLst>
    </cfRule>
  </conditionalFormatting>
  <pageMargins left="0.25" right="0.25" top="0.75" bottom="0.75" header="0.3" footer="0.3"/>
  <pageSetup paperSize="9" scale="1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CA42B-EC7D-4401-852D-FC8A49339D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993777B-8739-4C72-8D94-7DD4BE07E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295CD32E-5F7C-476A-97C2-BE7CBE2752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E4096829-E39E-42A6-857A-7EBE801A732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5D02DF0D-3B8C-4100-904E-00D82F730B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DEF2DD56-C5B3-4241-80C8-CF24856955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985577-EFD7-4470-81DB-368D63E102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CDB940CF-F914-4E4A-B969-4A085E318F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9DBD92EE-F2FE-4276-9317-128CD57C4A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532E4D2-780E-41ED-9D09-019A3455AA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ED0B62BC-EB2B-4620-A69A-018E903436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3CFF40E-1A01-4D89-B032-73BD7E108F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C5D9E09-09BB-4210-A906-687139CFA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8CFEA2AA-F5AB-478D-8C59-8A8B6428ED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2B01763-8FC8-4FB9-974B-C70645340E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E78A277-2F89-4309-A8B0-0A21CF584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FEB8FBDC-D947-437C-B070-1B82D9221D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U13:U14</xm:sqref>
        </x14:conditionalFormatting>
        <x14:conditionalFormatting xmlns:xm="http://schemas.microsoft.com/office/excel/2006/main">
          <x14:cfRule type="dataBar" id="{D8DD5AC8-47FE-4048-8398-9E6DB2DC0A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V13:V14</xm:sqref>
        </x14:conditionalFormatting>
        <x14:conditionalFormatting xmlns:xm="http://schemas.microsoft.com/office/excel/2006/main">
          <x14:cfRule type="dataBar" id="{1EF37D06-C1B1-44A4-B455-95A3D438E4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W13:W14</xm:sqref>
        </x14:conditionalFormatting>
        <x14:conditionalFormatting xmlns:xm="http://schemas.microsoft.com/office/excel/2006/main">
          <x14:cfRule type="dataBar" id="{34AE2E8F-60F4-4F39-A991-B0F7BAD7F8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X13:X14</xm:sqref>
        </x14:conditionalFormatting>
        <x14:conditionalFormatting xmlns:xm="http://schemas.microsoft.com/office/excel/2006/main">
          <x14:cfRule type="dataBar" id="{16E7DD16-8A6D-4285-8567-89C6AB3E69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1A61EBFD-C643-4DCC-874B-14B922845C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836C5497-9129-4BA6-AA63-95986F133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L13:L14</xm:sqref>
        </x14:conditionalFormatting>
        <x14:conditionalFormatting xmlns:xm="http://schemas.microsoft.com/office/excel/2006/main">
          <x14:cfRule type="dataBar" id="{B64F0A4C-2F82-4945-8749-010434FE86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K13:L14</xm:sqref>
        </x14:conditionalFormatting>
        <x14:conditionalFormatting xmlns:xm="http://schemas.microsoft.com/office/excel/2006/main">
          <x14:cfRule type="dataBar" id="{45A8387D-668F-41DA-B6F3-598AF7CBB0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DAE11DC8-6A38-4C95-B05C-DE79E5A5CA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B227735F-82D3-48C5-8E6A-ECB922B520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A254B268-2895-4C43-A1C8-F6D2F56B5A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E9A26BC-51CB-4B6B-B92F-95188B9117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F2303FBD-1411-4AC9-99AA-77AC11E3A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2D3F3DE7-BC0B-4517-8685-DA121634B9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L12</xm:sqref>
        </x14:conditionalFormatting>
        <x14:conditionalFormatting xmlns:xm="http://schemas.microsoft.com/office/excel/2006/main">
          <x14:cfRule type="dataBar" id="{66A8AE41-74AF-443C-B60E-19CA3C101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BD7EA46D-0DC2-406D-9617-7409EAA36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K12:L12</xm:sqref>
        </x14:conditionalFormatting>
        <x14:conditionalFormatting xmlns:xm="http://schemas.microsoft.com/office/excel/2006/main">
          <x14:cfRule type="dataBar" id="{EF5D6225-8688-45B8-A07B-E1D46499E3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841B874F-D892-4E3E-B1DA-4742A397DE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FE903791-0DD3-4D49-949D-0050DFA6E3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21816CF7-865E-487D-A544-716038AD1F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F0EEE7C6-8F25-46F3-9F25-219CBB7D69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F87AA65-26C3-4517-B8CF-57E53248A8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761CFFCB-691F-4CAF-BEDD-CE7F9BB4EA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983E6E5-0AAA-4F90-B19B-3B33F8E8F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C3DB8FAC-8CC0-4BFE-B3A0-7496EA88C0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K11:L11</xm:sqref>
        </x14:conditionalFormatting>
        <x14:conditionalFormatting xmlns:xm="http://schemas.microsoft.com/office/excel/2006/main">
          <x14:cfRule type="dataBar" id="{D82770FA-9FEF-443A-8004-F0DBB8F55F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250DE9B9-30C9-4689-832D-8882183B0F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72F960F9-9C3B-415B-B915-4919F5322F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</xm:sqref>
        </x14:conditionalFormatting>
        <x14:conditionalFormatting xmlns:xm="http://schemas.microsoft.com/office/excel/2006/main">
          <x14:cfRule type="dataBar" id="{8D927826-5F13-463F-853B-A5F2B54B60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</xm:sqref>
        </x14:conditionalFormatting>
        <x14:conditionalFormatting xmlns:xm="http://schemas.microsoft.com/office/excel/2006/main">
          <x14:cfRule type="dataBar" id="{B5DFD9CD-7513-4990-A672-10CC9A74F9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</xm:sqref>
        </x14:conditionalFormatting>
        <x14:conditionalFormatting xmlns:xm="http://schemas.microsoft.com/office/excel/2006/main">
          <x14:cfRule type="dataBar" id="{98A37A64-8CC0-40B9-8324-F4F56E825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K13:L14 K4:L6</xm:sqref>
        </x14:conditionalFormatting>
        <x14:conditionalFormatting xmlns:xm="http://schemas.microsoft.com/office/excel/2006/main">
          <x14:cfRule type="dataBar" id="{7E51B726-F0B8-4581-9131-6D85E3DF94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K11:K14 K4:K6</xm:sqref>
        </x14:conditionalFormatting>
        <x14:conditionalFormatting xmlns:xm="http://schemas.microsoft.com/office/excel/2006/main">
          <x14:cfRule type="dataBar" id="{E9351112-1970-43E7-B7CC-4FE02DEF4E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B555B7CF-5BD9-4EFB-87DF-E6B3CD300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K4:K6</xm:sqref>
        </x14:conditionalFormatting>
        <x14:conditionalFormatting xmlns:xm="http://schemas.microsoft.com/office/excel/2006/main">
          <x14:cfRule type="dataBar" id="{CAB37B22-0040-4746-9B57-87E3B9E340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L11:L14 L4:L6</xm:sqref>
        </x14:conditionalFormatting>
        <x14:conditionalFormatting xmlns:xm="http://schemas.microsoft.com/office/excel/2006/main">
          <x14:cfRule type="dataBar" id="{7A5478FB-4546-48CE-9056-D6A6CB9AC9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74E48664-DBD8-4690-BF27-F3D6A5E1B5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82B2017-F641-490C-91B9-A24D819BB0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75BAE486-3E0E-49D0-9068-5F6E120A9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4CAB9B0E-04E1-43E7-AA21-900D4E606F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EDDB10A8-665A-4336-9F4D-A08C302E7D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452181AF-9D51-461F-8670-BD8428B56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5FBABE46-12E8-460D-B50E-5E24D77A9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79AE8A1E-C135-4038-B6E6-C369748662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K8:L8</xm:sqref>
        </x14:conditionalFormatting>
        <x14:conditionalFormatting xmlns:xm="http://schemas.microsoft.com/office/excel/2006/main">
          <x14:cfRule type="dataBar" id="{D04D7A7F-11CD-493B-98CB-9AAB99F49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243A2577-3F0A-47E0-B61B-3FE6EC157D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7AE78E9B-6A94-483F-9929-906E13C55E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D6056848-5CA9-4429-B352-4EA089EF55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89941419-3F27-45C6-BF2D-045DE8C00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EF6C0BA-06AC-4638-9424-66239150CD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F534744A-C4D0-4403-A7A7-439D470B2F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621C7564-DD39-4E22-A4D6-81B601AC59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BB1384F8-9BB3-4A96-9E38-0FFFA84C86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C89DF18E-A787-44D7-A217-699C838D64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211B4BF-F3C8-424A-A39F-849EFEE3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A70847B6-67D1-4F41-9124-061D217B77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ECCB1CAE-21DA-4D5B-965F-86C69493F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398DAE9B-9ED0-4861-8727-766432A45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902FFFD3-1827-4288-BA0C-7C439A5C7B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A2474869-E7B2-4826-9FE5-9E7CA6B24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D963E830-F029-41AF-B817-26CACC77B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A6600A24-7AB3-4086-9BA0-F21692D5D4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E28615CC-F11A-43DA-9401-7BD651FE6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E0430E7A-2B0B-4B08-8C0E-8CD900B8D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B5EC42F7-217F-40B0-8616-4651175676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6E4B4BB-A875-4919-8592-8A96B29C85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2BA12E10-718C-4B84-8191-D8B4B5B1E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K7:L7</xm:sqref>
        </x14:conditionalFormatting>
        <x14:conditionalFormatting xmlns:xm="http://schemas.microsoft.com/office/excel/2006/main">
          <x14:cfRule type="dataBar" id="{DC26C1E4-E193-4CB6-8CE4-9A13D4AF73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1E194BB-7CC2-42B2-AAF9-4255ECE878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41DBB7A4-A693-4298-B9E3-9F5205BDD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49A9BDD2-6064-4C02-A680-9E22B4998F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C7C2B766-22C3-4B03-AE91-2D2918AC1F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6378F5C6-5ED4-4EFC-9273-6A8DA8664B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8DDB9CEE-E483-492E-A79F-8894C3B399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6E0A4AC0-7256-4516-B032-8C9451C595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44A205D5-B501-41D8-AACD-5962F71A1C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BC689C56-D7D6-404B-ADE9-BE77111CBF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1A9196D-1270-4268-8423-C3584991F3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K9:L9</xm:sqref>
        </x14:conditionalFormatting>
        <x14:conditionalFormatting xmlns:xm="http://schemas.microsoft.com/office/excel/2006/main">
          <x14:cfRule type="dataBar" id="{3F1EC1E5-BEBF-4FC6-94C0-0234A7582C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7C3920AE-0A14-447F-9696-D5B213942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793BC6B-4610-4057-B486-D555C9A8B7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0D989F73-CCD0-4F5A-B90B-9DE6E9C5B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S4:S14</xm:sqref>
        </x14:conditionalFormatting>
        <x14:conditionalFormatting xmlns:xm="http://schemas.microsoft.com/office/excel/2006/main">
          <x14:cfRule type="dataBar" id="{8E64C62E-B3A9-4656-91E5-FBB0563F7E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7369138D-2FB8-40BB-A930-2336F378D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4DC5D5B-1AAE-403A-847F-EB9397B084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D79289B8-5E95-41D1-828F-720F700000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2181CEFA-98C8-469A-AA2A-2CDEC4480B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0288C2-8F7C-4BDE-8BB8-595587CBB4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D88F12DB-2549-496C-A72A-14A5CDE95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89A40E44-87A5-4F92-A9D1-9ABCFD12B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U13:V14</xm:sqref>
        </x14:conditionalFormatting>
        <x14:conditionalFormatting xmlns:xm="http://schemas.microsoft.com/office/excel/2006/main">
          <x14:cfRule type="dataBar" id="{2912BD8A-E4C7-4A8C-BB45-BB89D96F82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9EFA88D-905B-4E74-8C3C-C55CE349B3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U12:V12</xm:sqref>
        </x14:conditionalFormatting>
        <x14:conditionalFormatting xmlns:xm="http://schemas.microsoft.com/office/excel/2006/main">
          <x14:cfRule type="dataBar" id="{C3471874-4DB0-4F16-BDC7-4E89CD212A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9E33459A-F0D4-4BE7-BBA2-C354A7D8BD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0696EC55-4DD2-4833-AA70-468414D636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C6E028EB-DBA0-4DF5-B271-7622A8CAF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EE5A32E9-B9FF-4025-A498-ACC5F8A42C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2FC3BD6F-F753-41CE-9963-79E9B3DB3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DE37EB30-5FB0-404E-94B4-EE707A0841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4E66DBB-76CE-4FE9-AB22-B8E5AFFA7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24BF04E-9D94-491B-897C-05D57A20B5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6122234-5498-4A12-B56F-09386EDD1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8F679CB8-B102-4A1F-9C6D-8A652D26A5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I4:I14</xm:sqref>
        </x14:conditionalFormatting>
        <x14:conditionalFormatting xmlns:xm="http://schemas.microsoft.com/office/excel/2006/main">
          <x14:cfRule type="dataBar" id="{EA3FC09E-47BA-4465-B4E9-79CF3E5CC7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I4:I16</xm:sqref>
        </x14:conditionalFormatting>
        <x14:conditionalFormatting xmlns:xm="http://schemas.microsoft.com/office/excel/2006/main">
          <x14:cfRule type="dataBar" id="{10CADAF6-935B-4292-B1DE-4ADCA3490F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K4:L14</xm:sqref>
        </x14:conditionalFormatting>
        <x14:conditionalFormatting xmlns:xm="http://schemas.microsoft.com/office/excel/2006/main">
          <x14:cfRule type="dataBar" id="{82379704-5ADC-43C7-8A78-A4F30ABD5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S4:S16</xm:sqref>
        </x14:conditionalFormatting>
        <x14:conditionalFormatting xmlns:xm="http://schemas.microsoft.com/office/excel/2006/main">
          <x14:cfRule type="dataBar" id="{F4894393-9150-4D82-8CB6-A6CF11224F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U4:V14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50"/>
    <pageSetUpPr fitToPage="1"/>
  </sheetPr>
  <dimension ref="A1:X67"/>
  <sheetViews>
    <sheetView showGridLines="0" zoomScale="90" zoomScaleNormal="90" workbookViewId="0">
      <pane ySplit="3" topLeftCell="A4" activePane="bottomLeft" state="frozen"/>
      <selection pane="bottomLeft" activeCell="B9" sqref="B9"/>
    </sheetView>
  </sheetViews>
  <sheetFormatPr defaultRowHeight="12.75" x14ac:dyDescent="0.2"/>
  <cols>
    <col min="1" max="1" width="3.5703125" style="9" customWidth="1"/>
    <col min="2" max="2" width="22.42578125" style="9" customWidth="1"/>
    <col min="3" max="3" width="16.28515625" style="9" customWidth="1"/>
    <col min="4" max="4" width="19.140625" style="9" customWidth="1"/>
    <col min="5" max="5" width="12" style="9" bestFit="1" customWidth="1"/>
    <col min="6" max="6" width="12.28515625" style="9" customWidth="1"/>
    <col min="7" max="7" width="10.5703125" style="9" customWidth="1"/>
    <col min="8" max="8" width="11.42578125" style="9" customWidth="1"/>
    <col min="9" max="9" width="13" style="9" customWidth="1"/>
    <col min="10" max="10" width="12.85546875" style="9" customWidth="1"/>
    <col min="11" max="11" width="13.28515625" style="9" customWidth="1"/>
    <col min="12" max="12" width="11.5703125" style="9" customWidth="1"/>
    <col min="13" max="13" width="12" style="9" customWidth="1"/>
    <col min="14" max="14" width="12.28515625" style="9" customWidth="1"/>
    <col min="15" max="15" width="11.42578125" style="9" customWidth="1"/>
    <col min="16" max="16" width="11.7109375" style="9" customWidth="1"/>
    <col min="17" max="17" width="12.5703125" style="9" customWidth="1"/>
    <col min="18" max="18" width="11.5703125" style="9" customWidth="1"/>
    <col min="19" max="19" width="11.28515625" style="9" customWidth="1"/>
    <col min="20" max="20" width="11.42578125" style="9" customWidth="1"/>
    <col min="21" max="21" width="11.140625" style="9" customWidth="1"/>
    <col min="22" max="22" width="11.28515625" style="9" customWidth="1"/>
    <col min="23" max="23" width="11" style="9" customWidth="1"/>
    <col min="24" max="24" width="11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621" customFormat="1" ht="89.25" x14ac:dyDescent="0.25">
      <c r="B3" s="407" t="s">
        <v>105</v>
      </c>
      <c r="C3" s="394" t="s">
        <v>104</v>
      </c>
      <c r="D3" s="394" t="s">
        <v>120</v>
      </c>
      <c r="E3" s="394" t="s">
        <v>119</v>
      </c>
      <c r="F3" s="394" t="s">
        <v>100</v>
      </c>
      <c r="G3" s="394" t="s">
        <v>118</v>
      </c>
      <c r="H3" s="619" t="s">
        <v>792</v>
      </c>
      <c r="I3" s="619" t="s">
        <v>793</v>
      </c>
      <c r="J3" s="618" t="s">
        <v>24</v>
      </c>
      <c r="K3" s="394" t="s">
        <v>97</v>
      </c>
      <c r="L3" s="394" t="s">
        <v>401</v>
      </c>
      <c r="M3" s="394" t="s">
        <v>138</v>
      </c>
      <c r="N3" s="394" t="s">
        <v>117</v>
      </c>
      <c r="O3" s="394" t="s">
        <v>127</v>
      </c>
      <c r="P3" s="394" t="s">
        <v>116</v>
      </c>
      <c r="Q3" s="394" t="s">
        <v>114</v>
      </c>
      <c r="R3" s="394" t="s">
        <v>113</v>
      </c>
      <c r="S3" s="394" t="s">
        <v>112</v>
      </c>
      <c r="T3" s="619" t="s">
        <v>813</v>
      </c>
      <c r="U3" s="394" t="s">
        <v>128</v>
      </c>
      <c r="V3" s="394" t="s">
        <v>129</v>
      </c>
      <c r="W3" s="619" t="s">
        <v>778</v>
      </c>
      <c r="X3" s="619" t="s">
        <v>779</v>
      </c>
    </row>
    <row r="4" spans="1:24" x14ac:dyDescent="0.2">
      <c r="A4" s="204" t="s">
        <v>330</v>
      </c>
      <c r="B4" s="116" t="s">
        <v>196</v>
      </c>
      <c r="C4" s="118" t="s">
        <v>197</v>
      </c>
      <c r="D4" s="119" t="e">
        <f t="shared" ref="D4:D12" ca="1" si="0">Q4/$Q$13</f>
        <v>#NAME?</v>
      </c>
      <c r="E4" s="120">
        <v>13000</v>
      </c>
      <c r="F4" s="121">
        <v>5.2030000000000003</v>
      </c>
      <c r="G4" s="121" t="e">
        <f ca="1">_xll.BDP($C4,"PX_LAST")/100</f>
        <v>#NAME?</v>
      </c>
      <c r="H4" s="314" t="e">
        <f ca="1">_xll.BDP($C4,"BEST_TARGET_PRICE")/100</f>
        <v>#NAME?</v>
      </c>
      <c r="I4" s="569" t="e">
        <f t="shared" ref="I4:I11" ca="1" si="1">H4/G4-1</f>
        <v>#NAME?</v>
      </c>
      <c r="J4" s="181" t="e">
        <f ca="1">_xll.BDP($C4,"EQY_REC_CONS")</f>
        <v>#NAME?</v>
      </c>
      <c r="K4" s="122" t="e">
        <f ca="1">_xll.BDP($C4,"CRNCY")</f>
        <v>#NAME?</v>
      </c>
      <c r="L4" s="119" t="e">
        <f ca="1">P4/N4-1</f>
        <v>#NAME?</v>
      </c>
      <c r="M4" s="119" t="e">
        <f ca="1">Q4/O4-1</f>
        <v>#NAME?</v>
      </c>
      <c r="N4" s="120" t="e">
        <f ca="1">$K$44</f>
        <v>#NAME?</v>
      </c>
      <c r="O4" s="120" t="e">
        <f ca="1">$J$44</f>
        <v>#NAME?</v>
      </c>
      <c r="P4" s="120" t="e">
        <f ca="1">E4*G4*$K$1*$I$1</f>
        <v>#NAME?</v>
      </c>
      <c r="Q4" s="203" t="e">
        <f ca="1">P4/$I$1</f>
        <v>#NAME?</v>
      </c>
      <c r="R4" s="123" t="e">
        <f t="shared" ref="R4:S11" ca="1" si="2">P4-N4</f>
        <v>#NAME?</v>
      </c>
      <c r="S4" s="123" t="e">
        <f t="shared" ca="1" si="2"/>
        <v>#NAME?</v>
      </c>
      <c r="T4" s="123" t="e">
        <f ca="1">_xll.BDP($C4,"BDVD_PROJ_12M_YLD")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_xll.BDP($C4,"DVD_EX_DT")</f>
        <v>#NAME?</v>
      </c>
      <c r="X4" s="125" t="e">
        <f ca="1">_xll.BDP($C4,"BDVD_NEXT_EST_DECL_DT")</f>
        <v>#NAME?</v>
      </c>
    </row>
    <row r="5" spans="1:24" x14ac:dyDescent="0.2">
      <c r="A5" s="204" t="s">
        <v>330</v>
      </c>
      <c r="B5" s="116" t="s">
        <v>227</v>
      </c>
      <c r="C5" s="118" t="s">
        <v>226</v>
      </c>
      <c r="D5" s="119" t="e">
        <f t="shared" ca="1" si="0"/>
        <v>#NAME?</v>
      </c>
      <c r="E5" s="120">
        <f>$F$32</f>
        <v>13380</v>
      </c>
      <c r="F5" s="121">
        <f>$H$32</f>
        <v>14.950397608370704</v>
      </c>
      <c r="G5" s="121" t="e">
        <f ca="1">_xll.BDP($C5,"PX_LAST")</f>
        <v>#NAME?</v>
      </c>
      <c r="H5" s="314" t="e">
        <f ca="1">_xll.BDP($C5,"BEST_TARGET_PRICE")</f>
        <v>#NAME?</v>
      </c>
      <c r="I5" s="569" t="e">
        <f t="shared" ca="1" si="1"/>
        <v>#NAME?</v>
      </c>
      <c r="J5" s="181" t="e">
        <f ca="1">_xll.BDP($C5,"EQY_REC_CONS")</f>
        <v>#NAME?</v>
      </c>
      <c r="K5" s="122" t="e">
        <f ca="1">_xll.BDP($C5,"CRNCY")</f>
        <v>#NAME?</v>
      </c>
      <c r="L5" s="119" t="e">
        <f ca="1">P5/N5-1</f>
        <v>#NAME?</v>
      </c>
      <c r="M5" s="119" t="e">
        <f ca="1">G5/F5-1</f>
        <v>#NAME?</v>
      </c>
      <c r="N5" s="120" t="e">
        <f ca="1">$K$32</f>
        <v>#NAME?</v>
      </c>
      <c r="O5" s="120">
        <f>E5*F5</f>
        <v>200036.32</v>
      </c>
      <c r="P5" s="120" t="e">
        <f ca="1">E5*G5*$I$1</f>
        <v>#NAME?</v>
      </c>
      <c r="Q5" s="203" t="e">
        <f ca="1">E5*G5</f>
        <v>#NAME?</v>
      </c>
      <c r="R5" s="123" t="e">
        <f t="shared" ca="1" si="2"/>
        <v>#NAME?</v>
      </c>
      <c r="S5" s="123" t="e">
        <f t="shared" ca="1" si="2"/>
        <v>#NAME?</v>
      </c>
      <c r="T5" s="123" t="e">
        <f ca="1">_xll.BDP($C5,"BDVD_PROJ_12M_YLD")</f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_xll.BDP($C5,"DVD_EX_DT")</f>
        <v>#NAME?</v>
      </c>
      <c r="X5" s="125" t="e">
        <f ca="1">_xll.BDP($C5,"BDVD_NEXT_EST_DECL_DT")</f>
        <v>#NAME?</v>
      </c>
    </row>
    <row r="6" spans="1:24" x14ac:dyDescent="0.2">
      <c r="A6" s="204" t="s">
        <v>330</v>
      </c>
      <c r="B6" s="116" t="s">
        <v>297</v>
      </c>
      <c r="C6" s="118" t="s">
        <v>194</v>
      </c>
      <c r="D6" s="119" t="e">
        <f t="shared" ca="1" si="0"/>
        <v>#NAME?</v>
      </c>
      <c r="E6" s="120">
        <f>$F$48</f>
        <v>66694</v>
      </c>
      <c r="F6" s="121" t="e">
        <f ca="1">$H$48</f>
        <v>#NAME?</v>
      </c>
      <c r="G6" s="121" t="e">
        <f ca="1">_xll.BDP($C6,"PX_LAST")/100</f>
        <v>#NAME?</v>
      </c>
      <c r="H6" s="314" t="e">
        <f ca="1">_xll.BDP($C6,"BEST_TARGET_PRICE")/100</f>
        <v>#NAME?</v>
      </c>
      <c r="I6" s="569" t="e">
        <f t="shared" ca="1" si="1"/>
        <v>#NAME?</v>
      </c>
      <c r="J6" s="181" t="e">
        <f ca="1">_xll.BDP($C6,"EQY_REC_CONS")</f>
        <v>#NAME?</v>
      </c>
      <c r="K6" s="122" t="e">
        <f ca="1">_xll.BDP($C6,"CRNCY")</f>
        <v>#NAME?</v>
      </c>
      <c r="L6" s="119" t="e">
        <f ca="1">P6/N6-1</f>
        <v>#NAME?</v>
      </c>
      <c r="M6" s="119" t="e">
        <f ca="1">Q6/O6-1</f>
        <v>#NAME?</v>
      </c>
      <c r="N6" s="120" t="e">
        <f ca="1">$K$48</f>
        <v>#NAME?</v>
      </c>
      <c r="O6" s="120" t="e">
        <f ca="1">$J$48</f>
        <v>#NAME?</v>
      </c>
      <c r="P6" s="120" t="e">
        <f ca="1">E6*G6*$K$1*$I$1</f>
        <v>#NAME?</v>
      </c>
      <c r="Q6" s="203" t="e">
        <f ca="1">P6/$I$1</f>
        <v>#NAME?</v>
      </c>
      <c r="R6" s="123" t="e">
        <f t="shared" ca="1" si="2"/>
        <v>#NAME?</v>
      </c>
      <c r="S6" s="123" t="e">
        <f t="shared" ca="1" si="2"/>
        <v>#NAME?</v>
      </c>
      <c r="T6" s="123" t="e">
        <f ca="1">_xll.BDP($C6,"BDVD_PROJ_12M_YLD")</f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_xll.BDP($C6,"DVD_EX_DT")</f>
        <v>#NAME?</v>
      </c>
      <c r="X6" s="125" t="e">
        <f ca="1">_xll.BDP($C6,"BDVD_NEXT_EST_DECL_DT")</f>
        <v>#NAME?</v>
      </c>
    </row>
    <row r="7" spans="1:24" x14ac:dyDescent="0.2">
      <c r="A7" s="204" t="s">
        <v>330</v>
      </c>
      <c r="B7" s="116" t="s">
        <v>293</v>
      </c>
      <c r="C7" s="118" t="s">
        <v>341</v>
      </c>
      <c r="D7" s="119" t="e">
        <f t="shared" ca="1" si="0"/>
        <v>#NAME?</v>
      </c>
      <c r="E7" s="120">
        <f>$F$52</f>
        <v>12000</v>
      </c>
      <c r="F7" s="121" t="e">
        <f ca="1">$H$52</f>
        <v>#NAME?</v>
      </c>
      <c r="G7" s="121" t="e">
        <f ca="1">_xll.BDP($C7,"PX_LAST")</f>
        <v>#NAME?</v>
      </c>
      <c r="H7" s="314" t="e">
        <f ca="1">_xll.BDP($C7,"BEST_TARGET_PRICE")</f>
        <v>#NAME?</v>
      </c>
      <c r="I7" s="569" t="e">
        <f t="shared" ca="1" si="1"/>
        <v>#NAME?</v>
      </c>
      <c r="J7" s="181" t="e">
        <f ca="1">_xll.BDP($C7,"EQY_REC_CONS")</f>
        <v>#NAME?</v>
      </c>
      <c r="K7" s="122" t="e">
        <f ca="1">_xll.BDP($C7,"CRNCY")</f>
        <v>#NAME?</v>
      </c>
      <c r="L7" s="119" t="e">
        <f ca="1">P7/N7-1</f>
        <v>#NAME?</v>
      </c>
      <c r="M7" s="119" t="e">
        <f ca="1">G7/F7-1</f>
        <v>#NAME?</v>
      </c>
      <c r="N7" s="120" t="e">
        <f ca="1">$K$52</f>
        <v>#NAME?</v>
      </c>
      <c r="O7" s="120" t="e">
        <f ca="1">E7*F7</f>
        <v>#NAME?</v>
      </c>
      <c r="P7" s="120" t="e">
        <f ca="1">E7*G7*$I$1</f>
        <v>#NAME?</v>
      </c>
      <c r="Q7" s="203" t="e">
        <f ca="1">E7*G7</f>
        <v>#NAME?</v>
      </c>
      <c r="R7" s="123" t="e">
        <f t="shared" ca="1" si="2"/>
        <v>#NAME?</v>
      </c>
      <c r="S7" s="123" t="e">
        <f t="shared" ca="1" si="2"/>
        <v>#NAME?</v>
      </c>
      <c r="T7" s="123" t="e">
        <f ca="1">_xll.BDP($C7,"BDVD_PROJ_12M_YLD")</f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_xll.BDP($C7,"DVD_EX_DT")</f>
        <v>#NAME?</v>
      </c>
      <c r="X7" s="125" t="e">
        <f ca="1">_xll.BDP($C7,"BDVD_NEXT_EST_DECL_DT")</f>
        <v>#NAME?</v>
      </c>
    </row>
    <row r="8" spans="1:24" x14ac:dyDescent="0.2">
      <c r="A8" s="204" t="s">
        <v>330</v>
      </c>
      <c r="B8" s="116" t="s">
        <v>318</v>
      </c>
      <c r="C8" s="118" t="s">
        <v>76</v>
      </c>
      <c r="D8" s="119" t="e">
        <f t="shared" ca="1" si="0"/>
        <v>#NAME?</v>
      </c>
      <c r="E8" s="120">
        <v>4500</v>
      </c>
      <c r="F8" s="121">
        <v>12.3</v>
      </c>
      <c r="G8" s="121" t="e">
        <f ca="1">_xll.BDP($C8,"PX_LAST")</f>
        <v>#NAME?</v>
      </c>
      <c r="H8" s="314" t="e">
        <f ca="1">_xll.BDP($C8,"BEST_TARGET_PRICE")</f>
        <v>#NAME?</v>
      </c>
      <c r="I8" s="569" t="e">
        <f t="shared" ca="1" si="1"/>
        <v>#NAME?</v>
      </c>
      <c r="J8" s="181" t="e">
        <f ca="1">_xll.BDP($C8,"EQY_REC_CONS")</f>
        <v>#NAME?</v>
      </c>
      <c r="K8" s="122" t="e">
        <f ca="1">_xll.BDP($C8,"CRNCY")</f>
        <v>#NAME?</v>
      </c>
      <c r="L8" s="119" t="e">
        <f ca="1">P8/N8-1</f>
        <v>#NAME?</v>
      </c>
      <c r="M8" s="119" t="e">
        <f ca="1">G8/F8-1</f>
        <v>#NAME?</v>
      </c>
      <c r="N8" s="120" t="e">
        <f ca="1">$K$38</f>
        <v>#NAME?</v>
      </c>
      <c r="O8" s="120">
        <f>E8*F8</f>
        <v>55350</v>
      </c>
      <c r="P8" s="120" t="e">
        <f ca="1">E8*G8*$I$1</f>
        <v>#NAME?</v>
      </c>
      <c r="Q8" s="203" t="e">
        <f ca="1">E8*G8</f>
        <v>#NAME?</v>
      </c>
      <c r="R8" s="123" t="e">
        <f t="shared" ca="1" si="2"/>
        <v>#NAME?</v>
      </c>
      <c r="S8" s="123" t="e">
        <f t="shared" ca="1" si="2"/>
        <v>#NAME?</v>
      </c>
      <c r="T8" s="123" t="e">
        <f ca="1">_xll.BDP($C8,"BDVD_PROJ_12M_YLD")</f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_xll.BDP($C8,"DVD_EX_DT")</f>
        <v>#NAME?</v>
      </c>
      <c r="X8" s="125" t="e">
        <f ca="1">_xll.BDP($C8,"BDVD_NEXT_EST_DECL_DT")</f>
        <v>#NAME?</v>
      </c>
    </row>
    <row r="9" spans="1:24" x14ac:dyDescent="0.2">
      <c r="A9" s="204" t="s">
        <v>330</v>
      </c>
      <c r="B9" s="116" t="s">
        <v>95</v>
      </c>
      <c r="C9" s="118" t="s">
        <v>78</v>
      </c>
      <c r="D9" s="119" t="e">
        <f t="shared" ca="1" si="0"/>
        <v>#NAME?</v>
      </c>
      <c r="E9" s="120">
        <v>13400</v>
      </c>
      <c r="F9" s="121">
        <v>230.5</v>
      </c>
      <c r="G9" s="121" t="e">
        <f ca="1">_xll.BDP($C9,"PX_LAST")</f>
        <v>#NAME?</v>
      </c>
      <c r="H9" s="314" t="e">
        <f ca="1">_xll.BDP($C9,"BEST_TARGET_PRICE")</f>
        <v>#NAME?</v>
      </c>
      <c r="I9" s="569" t="e">
        <f t="shared" ca="1" si="1"/>
        <v>#NAME?</v>
      </c>
      <c r="J9" s="181" t="e">
        <f ca="1">_xll.BDP($C9,"EQY_REC_CONS")</f>
        <v>#NAME?</v>
      </c>
      <c r="K9" s="122" t="e">
        <f ca="1">_xll.BDP($C9,"CRNCY")</f>
        <v>#NAME?</v>
      </c>
      <c r="L9" s="119" t="e">
        <f ca="1">G9/F9-1</f>
        <v>#NAME?</v>
      </c>
      <c r="M9" s="119" t="e">
        <f ca="1">Q9/O9-1</f>
        <v>#NAME?</v>
      </c>
      <c r="N9" s="120">
        <f>E9*F9</f>
        <v>3088700</v>
      </c>
      <c r="O9" s="120" t="e">
        <f ca="1">$J$41</f>
        <v>#NAME?</v>
      </c>
      <c r="P9" s="120" t="e">
        <f ca="1">E9*G9</f>
        <v>#NAME?</v>
      </c>
      <c r="Q9" s="203" t="e">
        <f ca="1">P9/$I$1</f>
        <v>#NAME?</v>
      </c>
      <c r="R9" s="123" t="e">
        <f t="shared" ca="1" si="2"/>
        <v>#NAME?</v>
      </c>
      <c r="S9" s="123" t="e">
        <f t="shared" ca="1" si="2"/>
        <v>#NAME?</v>
      </c>
      <c r="T9" s="123" t="e">
        <f ca="1">_xll.BDP($C9,"BDVD_PROJ_12M_YLD")</f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_xll.BDP($C9,"DVD_EX_DT")</f>
        <v>#NAME?</v>
      </c>
      <c r="X9" s="125" t="e">
        <f ca="1">_xll.BDP($C9,"BDVD_NEXT_EST_DECL_DT")</f>
        <v>#NAME?</v>
      </c>
    </row>
    <row r="10" spans="1:24" x14ac:dyDescent="0.2">
      <c r="A10" s="204" t="s">
        <v>330</v>
      </c>
      <c r="B10" s="116" t="s">
        <v>153</v>
      </c>
      <c r="C10" s="118" t="s">
        <v>351</v>
      </c>
      <c r="D10" s="119" t="e">
        <f t="shared" ca="1" si="0"/>
        <v>#NAME?</v>
      </c>
      <c r="E10" s="120">
        <f>$F$55</f>
        <v>11200</v>
      </c>
      <c r="F10" s="121">
        <f>$H$55</f>
        <v>5</v>
      </c>
      <c r="G10" s="121" t="e">
        <f ca="1">_xll.BDP($C10,"PX_LAST")</f>
        <v>#NAME?</v>
      </c>
      <c r="H10" s="314" t="e">
        <f ca="1">_xll.BDP($C10,"BEST_TARGET_PRICE")</f>
        <v>#NAME?</v>
      </c>
      <c r="I10" s="569" t="e">
        <f t="shared" ca="1" si="1"/>
        <v>#NAME?</v>
      </c>
      <c r="J10" s="181" t="e">
        <f ca="1">_xll.BDP($C10,"EQY_REC_CONS")</f>
        <v>#NAME?</v>
      </c>
      <c r="K10" s="122" t="e">
        <f ca="1">_xll.BDP($C10,"CRNCY")</f>
        <v>#NAME?</v>
      </c>
      <c r="L10" s="119" t="e">
        <f ca="1">P10/N10-1</f>
        <v>#NAME?</v>
      </c>
      <c r="M10" s="119" t="e">
        <f ca="1">G10/F10-1</f>
        <v>#NAME?</v>
      </c>
      <c r="N10" s="120" t="e">
        <f ca="1">$K$55</f>
        <v>#NAME?</v>
      </c>
      <c r="O10" s="120">
        <f>E10*F10</f>
        <v>56000</v>
      </c>
      <c r="P10" s="120" t="e">
        <f ca="1">E10*G10*$I$1</f>
        <v>#NAME?</v>
      </c>
      <c r="Q10" s="203" t="e">
        <f ca="1">E10*G10</f>
        <v>#NAME?</v>
      </c>
      <c r="R10" s="123" t="e">
        <f t="shared" ca="1" si="2"/>
        <v>#NAME?</v>
      </c>
      <c r="S10" s="123" t="e">
        <f t="shared" ca="1" si="2"/>
        <v>#NAME?</v>
      </c>
      <c r="T10" s="123" t="e">
        <f ca="1">_xll.BDP($C10,"BDVD_PROJ_12M_YLD")</f>
        <v>#NAME?</v>
      </c>
      <c r="U10" s="125" t="e">
        <f ca="1">_xll.BDP($C10,"CHG_PCT_YTD")</f>
        <v>#NAME?</v>
      </c>
      <c r="V10" s="125" t="e">
        <f ca="1">_xll.BDP($C10,"CHG_PCT_1YR")</f>
        <v>#NAME?</v>
      </c>
      <c r="W10" s="125" t="e">
        <f ca="1">_xll.BDP($C10,"DVD_EX_DT")</f>
        <v>#NAME?</v>
      </c>
      <c r="X10" s="125" t="e">
        <f ca="1">_xll.BDP($C10,"BDVD_NEXT_EST_DECL_DT")</f>
        <v>#NAME?</v>
      </c>
    </row>
    <row r="11" spans="1:24" x14ac:dyDescent="0.2">
      <c r="A11" s="204" t="s">
        <v>330</v>
      </c>
      <c r="B11" s="116" t="s">
        <v>358</v>
      </c>
      <c r="C11" s="118" t="s">
        <v>357</v>
      </c>
      <c r="D11" s="119" t="e">
        <f t="shared" ca="1" si="0"/>
        <v>#NAME?</v>
      </c>
      <c r="E11" s="120">
        <f>$F$35</f>
        <v>7007</v>
      </c>
      <c r="F11" s="121">
        <f>$H$35</f>
        <v>15.890000000000002</v>
      </c>
      <c r="G11" s="121" t="e">
        <f ca="1">_xll.BDP($C11,"PX_LAST")</f>
        <v>#NAME?</v>
      </c>
      <c r="H11" s="314" t="e">
        <f ca="1">_xll.BDP($C11,"BEST_TARGET_PRICE")</f>
        <v>#NAME?</v>
      </c>
      <c r="I11" s="569" t="e">
        <f t="shared" ca="1" si="1"/>
        <v>#NAME?</v>
      </c>
      <c r="J11" s="181" t="e">
        <f ca="1">_xll.BDP($C11,"EQY_REC_CONS")</f>
        <v>#NAME?</v>
      </c>
      <c r="K11" s="122" t="e">
        <f ca="1">_xll.BDP($C11,"CRNCY")</f>
        <v>#NAME?</v>
      </c>
      <c r="L11" s="119" t="e">
        <f ca="1">P11/N11-1</f>
        <v>#NAME?</v>
      </c>
      <c r="M11" s="119" t="e">
        <f ca="1">G11/F11-1</f>
        <v>#NAME?</v>
      </c>
      <c r="N11" s="120" t="e">
        <f ca="1">$K$35</f>
        <v>#NAME?</v>
      </c>
      <c r="O11" s="120">
        <f>E11*F11</f>
        <v>111341.23000000001</v>
      </c>
      <c r="P11" s="120" t="e">
        <f ca="1">E11*G11*$I$1</f>
        <v>#NAME?</v>
      </c>
      <c r="Q11" s="203" t="e">
        <f ca="1">E11*G11</f>
        <v>#NAME?</v>
      </c>
      <c r="R11" s="123" t="e">
        <f t="shared" ca="1" si="2"/>
        <v>#NAME?</v>
      </c>
      <c r="S11" s="123" t="e">
        <f t="shared" ca="1" si="2"/>
        <v>#NAME?</v>
      </c>
      <c r="T11" s="123" t="e">
        <f ca="1">_xll.BDP($C11,"BDVD_PROJ_12M_YLD")</f>
        <v>#NAME?</v>
      </c>
      <c r="U11" s="125" t="e">
        <f ca="1">_xll.BDP($C11,"CHG_PCT_YTD")</f>
        <v>#NAME?</v>
      </c>
      <c r="V11" s="125" t="e">
        <f ca="1">_xll.BDP($C11,"CHG_PCT_1YR")</f>
        <v>#NAME?</v>
      </c>
      <c r="W11" s="125" t="e">
        <f ca="1">_xll.BDP($C11,"DVD_EX_DT")</f>
        <v>#NAME?</v>
      </c>
      <c r="X11" s="125" t="e">
        <f ca="1">_xll.BDP($C11,"BDVD_NEXT_EST_DECL_DT")</f>
        <v>#NAME?</v>
      </c>
    </row>
    <row r="12" spans="1:24" x14ac:dyDescent="0.2">
      <c r="B12" s="68" t="s">
        <v>106</v>
      </c>
      <c r="C12" s="68" t="s">
        <v>106</v>
      </c>
      <c r="D12" s="101" t="e">
        <f t="shared" ca="1" si="0"/>
        <v>#NAME?</v>
      </c>
      <c r="E12" s="64"/>
      <c r="F12" s="67"/>
      <c r="G12" s="66"/>
      <c r="H12" s="66"/>
      <c r="I12" s="66"/>
      <c r="J12" s="66"/>
      <c r="K12" s="60"/>
      <c r="L12" s="65"/>
      <c r="M12" s="65"/>
      <c r="N12" s="64"/>
      <c r="O12" s="64">
        <v>0</v>
      </c>
      <c r="P12" s="64"/>
      <c r="Q12" s="63">
        <v>101000</v>
      </c>
      <c r="R12" s="62"/>
      <c r="S12" s="61"/>
      <c r="T12" s="61"/>
      <c r="U12" s="60"/>
      <c r="V12" s="60"/>
      <c r="W12" s="60"/>
      <c r="X12" s="60"/>
    </row>
    <row r="13" spans="1:24" ht="13.5" customHeight="1" thickBot="1" x14ac:dyDescent="0.25">
      <c r="B13" s="58"/>
      <c r="C13" s="58"/>
      <c r="D13" s="59" t="e">
        <f ca="1">SUM(D4:D12)</f>
        <v>#NAME?</v>
      </c>
      <c r="E13" s="58"/>
      <c r="F13" s="58"/>
      <c r="G13" s="58"/>
      <c r="H13" s="58"/>
      <c r="I13" s="570" t="e">
        <f ca="1">SUMPRODUCT($D4:$D11,I4:I11)</f>
        <v>#NAME?</v>
      </c>
      <c r="J13" s="58"/>
      <c r="K13" s="55"/>
      <c r="L13" s="570" t="e">
        <f ca="1">P13/N13-1</f>
        <v>#NAME?</v>
      </c>
      <c r="M13" s="570" t="e">
        <f ca="1">Q13/O13-1</f>
        <v>#NAME?</v>
      </c>
      <c r="N13" s="137" t="e">
        <f t="shared" ref="N13:S13" ca="1" si="3">SUM(N4:N11)</f>
        <v>#NAME?</v>
      </c>
      <c r="O13" s="137" t="e">
        <f t="shared" ca="1" si="3"/>
        <v>#NAME?</v>
      </c>
      <c r="P13" s="137" t="e">
        <f t="shared" ca="1" si="3"/>
        <v>#NAME?</v>
      </c>
      <c r="Q13" s="137" t="e">
        <f ca="1">SUM(Q4:Q12)</f>
        <v>#NAME?</v>
      </c>
      <c r="R13" s="136" t="e">
        <f t="shared" ca="1" si="3"/>
        <v>#NAME?</v>
      </c>
      <c r="S13" s="136" t="e">
        <f t="shared" ca="1" si="3"/>
        <v>#NAME?</v>
      </c>
      <c r="T13" s="610" t="e">
        <f ca="1">SUMPRODUCT($D4:$D11,T4:T11)</f>
        <v>#NAME?</v>
      </c>
      <c r="U13" s="55"/>
      <c r="V13" s="55"/>
      <c r="W13" s="55"/>
      <c r="X13" s="55"/>
    </row>
    <row r="14" spans="1:24" ht="13.5" customHeight="1" x14ac:dyDescent="0.2">
      <c r="B14" s="41"/>
      <c r="C14" s="41"/>
      <c r="D14" s="54"/>
      <c r="E14" s="41"/>
      <c r="F14" s="41"/>
      <c r="G14" s="41"/>
      <c r="I14" s="9" t="s">
        <v>794</v>
      </c>
      <c r="K14" s="41"/>
      <c r="L14" s="40"/>
      <c r="M14" s="40"/>
      <c r="N14" s="40"/>
      <c r="O14" s="40"/>
      <c r="P14" s="52"/>
      <c r="Q14" s="53"/>
      <c r="T14" s="845" t="s">
        <v>817</v>
      </c>
      <c r="U14" s="845"/>
    </row>
    <row r="15" spans="1:24" x14ac:dyDescent="0.2">
      <c r="E15" s="10"/>
      <c r="K15" s="29"/>
      <c r="L15" s="29"/>
      <c r="M15" s="39"/>
      <c r="N15" s="34"/>
      <c r="O15" s="34"/>
      <c r="P15" s="30"/>
      <c r="T15" s="846"/>
      <c r="U15" s="846"/>
    </row>
    <row r="16" spans="1:24" x14ac:dyDescent="0.2">
      <c r="B16" s="32" t="s">
        <v>276</v>
      </c>
      <c r="E16" s="10"/>
      <c r="L16" s="12"/>
      <c r="M16" s="39"/>
      <c r="N16" s="34"/>
      <c r="O16" s="34"/>
      <c r="P16" s="30"/>
    </row>
    <row r="17" spans="2:18" x14ac:dyDescent="0.2">
      <c r="B17" s="379">
        <v>2015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41"/>
      <c r="N17" s="34"/>
      <c r="O17" s="34"/>
      <c r="P17" s="30"/>
    </row>
    <row r="18" spans="2:18" ht="40.5" customHeight="1" x14ac:dyDescent="0.2">
      <c r="B18" s="51" t="s">
        <v>105</v>
      </c>
      <c r="C18" s="50" t="s">
        <v>104</v>
      </c>
      <c r="D18" s="50" t="s">
        <v>174</v>
      </c>
      <c r="E18" s="50" t="s">
        <v>173</v>
      </c>
      <c r="F18" s="50" t="s">
        <v>175</v>
      </c>
      <c r="G18" s="50" t="s">
        <v>172</v>
      </c>
      <c r="H18" s="50" t="s">
        <v>103</v>
      </c>
      <c r="I18" s="50" t="s">
        <v>102</v>
      </c>
      <c r="J18" s="50" t="s">
        <v>101</v>
      </c>
      <c r="K18" s="50" t="s">
        <v>100</v>
      </c>
      <c r="L18" s="50" t="s">
        <v>99</v>
      </c>
      <c r="M18" s="50" t="s">
        <v>98</v>
      </c>
      <c r="N18" s="50" t="s">
        <v>279</v>
      </c>
      <c r="O18" s="50" t="s">
        <v>97</v>
      </c>
      <c r="P18" s="50" t="s">
        <v>451</v>
      </c>
      <c r="Q18" s="50" t="s">
        <v>277</v>
      </c>
      <c r="R18" s="50" t="s">
        <v>278</v>
      </c>
    </row>
    <row r="19" spans="2:18" x14ac:dyDescent="0.2">
      <c r="B19" s="46" t="s">
        <v>318</v>
      </c>
      <c r="C19" s="41" t="s">
        <v>76</v>
      </c>
      <c r="D19" s="73" t="s">
        <v>51</v>
      </c>
      <c r="E19" s="43" t="e">
        <f ca="1">F19*_xll.BDP(C19,"PX_LAST")</f>
        <v>#NAME?</v>
      </c>
      <c r="F19" s="43">
        <v>8100</v>
      </c>
      <c r="G19" s="104">
        <v>1200</v>
      </c>
      <c r="H19" s="47">
        <f>G19/F19</f>
        <v>0.14814814814814814</v>
      </c>
      <c r="I19" s="43">
        <f>G19*K19</f>
        <v>14760</v>
      </c>
      <c r="J19" s="45">
        <f>G19*L19</f>
        <v>24900</v>
      </c>
      <c r="K19" s="105">
        <v>12.3</v>
      </c>
      <c r="L19" s="105">
        <v>20.75</v>
      </c>
      <c r="M19" s="44">
        <f>L19/K19-1</f>
        <v>0.68699186991869898</v>
      </c>
      <c r="N19" s="43">
        <f>J19-I19</f>
        <v>10140</v>
      </c>
      <c r="O19" s="106" t="e">
        <f ca="1">_xll.BDP($C19,"CRNCY")</f>
        <v>#NAME?</v>
      </c>
      <c r="P19" s="43" t="e">
        <f ca="1">N19*R19</f>
        <v>#NAME?</v>
      </c>
      <c r="Q19" s="14">
        <v>42299</v>
      </c>
      <c r="R19" s="22" t="e">
        <f ca="1">_xll.BDH("RUB curncy","PX_LAST",$Q19)</f>
        <v>#NAME?</v>
      </c>
    </row>
    <row r="20" spans="2:18" x14ac:dyDescent="0.2">
      <c r="B20" s="46" t="s">
        <v>318</v>
      </c>
      <c r="C20" s="41" t="s">
        <v>76</v>
      </c>
      <c r="D20" s="73" t="s">
        <v>51</v>
      </c>
      <c r="E20" s="43" t="e">
        <f ca="1">F20*_xll.BDP(C20,"PX_LAST")</f>
        <v>#NAME?</v>
      </c>
      <c r="F20" s="43">
        <v>8100</v>
      </c>
      <c r="G20" s="104">
        <v>1200</v>
      </c>
      <c r="H20" s="47">
        <f>G20/F20</f>
        <v>0.14814814814814814</v>
      </c>
      <c r="I20" s="43">
        <f>G20*K20</f>
        <v>14760</v>
      </c>
      <c r="J20" s="45">
        <f>G20*L20</f>
        <v>25200</v>
      </c>
      <c r="K20" s="105">
        <v>12.3</v>
      </c>
      <c r="L20" s="105">
        <v>21</v>
      </c>
      <c r="M20" s="44">
        <f>L20/K20-1</f>
        <v>0.70731707317073167</v>
      </c>
      <c r="N20" s="43">
        <f>J20-I20</f>
        <v>10440</v>
      </c>
      <c r="O20" s="106" t="e">
        <f ca="1">_xll.BDP($C20,"CRNCY")</f>
        <v>#NAME?</v>
      </c>
      <c r="P20" s="43" t="e">
        <f ca="1">N20*R20</f>
        <v>#NAME?</v>
      </c>
      <c r="Q20" s="14">
        <v>42303</v>
      </c>
      <c r="R20" s="22" t="e">
        <f ca="1">_xll.BDH("RUB curncy","PX_LAST",$Q20)</f>
        <v>#NAME?</v>
      </c>
    </row>
    <row r="21" spans="2:18" x14ac:dyDescent="0.2">
      <c r="B21" s="46" t="s">
        <v>318</v>
      </c>
      <c r="C21" s="41" t="s">
        <v>76</v>
      </c>
      <c r="D21" s="73" t="s">
        <v>51</v>
      </c>
      <c r="E21" s="43" t="e">
        <f ca="1">F21*_xll.BDP(C21,"PX_LAST")</f>
        <v>#NAME?</v>
      </c>
      <c r="F21" s="43">
        <v>8100</v>
      </c>
      <c r="G21" s="104">
        <v>1200</v>
      </c>
      <c r="H21" s="47">
        <f>G21/F21</f>
        <v>0.14814814814814814</v>
      </c>
      <c r="I21" s="43">
        <f>G21*K21</f>
        <v>14760</v>
      </c>
      <c r="J21" s="45">
        <f>G21*L21</f>
        <v>24540</v>
      </c>
      <c r="K21" s="105">
        <v>12.3</v>
      </c>
      <c r="L21" s="105">
        <v>20.45</v>
      </c>
      <c r="M21" s="44">
        <f>L21/K21-1</f>
        <v>0.66260162601625994</v>
      </c>
      <c r="N21" s="43">
        <f>J21-I21</f>
        <v>9780</v>
      </c>
      <c r="O21" s="106" t="e">
        <f ca="1">_xll.BDP($C21,"CRNCY")</f>
        <v>#NAME?</v>
      </c>
      <c r="P21" s="43" t="e">
        <f ca="1">N21*R21</f>
        <v>#NAME?</v>
      </c>
      <c r="Q21" s="14">
        <v>42304</v>
      </c>
      <c r="R21" s="22" t="e">
        <f ca="1">_xll.BDH("RUB curncy","PX_LAST",$Q21)</f>
        <v>#NAME?</v>
      </c>
    </row>
    <row r="22" spans="2:18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>
        <f>SUM(N19:N21)</f>
        <v>30360</v>
      </c>
      <c r="O22" s="34" t="s">
        <v>75</v>
      </c>
      <c r="P22" s="40" t="e">
        <f ca="1">SUM(P19:P21)</f>
        <v>#NAME?</v>
      </c>
      <c r="Q22" s="32"/>
    </row>
    <row r="23" spans="2:18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</row>
    <row r="24" spans="2:18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</row>
    <row r="25" spans="2:18" x14ac:dyDescent="0.2">
      <c r="B25" s="32" t="s">
        <v>93</v>
      </c>
      <c r="C25" s="10"/>
      <c r="D25" s="31"/>
      <c r="H25" s="31"/>
      <c r="I25" s="10"/>
      <c r="J25" s="10"/>
      <c r="K25" s="29"/>
    </row>
    <row r="26" spans="2:18" ht="13.5" thickBot="1" x14ac:dyDescent="0.25">
      <c r="C26" s="29"/>
      <c r="D26" s="29"/>
      <c r="G26" s="29"/>
      <c r="H26" s="10"/>
      <c r="I26" s="30"/>
      <c r="J26" s="10"/>
      <c r="K26" s="29"/>
    </row>
    <row r="27" spans="2:18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Q27" s="129"/>
    </row>
    <row r="28" spans="2:18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</row>
    <row r="30" spans="2:18" x14ac:dyDescent="0.2">
      <c r="B30" s="21" t="s">
        <v>330</v>
      </c>
      <c r="C30" s="20" t="s">
        <v>10</v>
      </c>
      <c r="D30" s="18" t="e">
        <f ca="1">_xll.BDP(C30,"SECURITY_NAME")</f>
        <v>#NAME?</v>
      </c>
      <c r="E30" s="18" t="s">
        <v>50</v>
      </c>
      <c r="F30" s="19">
        <v>6380</v>
      </c>
      <c r="G30" s="18" t="e">
        <f ca="1">_xll.BDP(C30,"CRNCY")</f>
        <v>#NAME?</v>
      </c>
      <c r="H30" s="22">
        <v>15.664</v>
      </c>
      <c r="I30" s="15">
        <f>F30*H30</f>
        <v>99936.319999999992</v>
      </c>
      <c r="J30" s="16">
        <f>I30</f>
        <v>99936.319999999992</v>
      </c>
      <c r="K30" s="15" t="e">
        <f ca="1">J30*L30</f>
        <v>#NAME?</v>
      </c>
      <c r="L30" s="22" t="e">
        <f ca="1">_xll.BDH("RUB curncy","PX_LAST",$N30)</f>
        <v>#NAME?</v>
      </c>
      <c r="M30" s="85" t="e">
        <f ca="1">1/_xll.BDH("RUB curncy","PX_LAST",$N30)</f>
        <v>#NAME?</v>
      </c>
      <c r="N30" s="14">
        <v>42205</v>
      </c>
    </row>
    <row r="31" spans="2:18" x14ac:dyDescent="0.2">
      <c r="B31" s="21" t="s">
        <v>330</v>
      </c>
      <c r="C31" s="20" t="s">
        <v>10</v>
      </c>
      <c r="D31" s="18" t="e">
        <f ca="1">_xll.BDP(C31,"SECURITY_NAME")</f>
        <v>#NAME?</v>
      </c>
      <c r="E31" s="18" t="s">
        <v>50</v>
      </c>
      <c r="F31" s="19">
        <v>7000</v>
      </c>
      <c r="G31" s="18" t="e">
        <f ca="1">_xll.BDP(C31,"CRNCY")</f>
        <v>#NAME?</v>
      </c>
      <c r="H31" s="22">
        <v>14.3</v>
      </c>
      <c r="I31" s="15">
        <f>F31*H31</f>
        <v>100100</v>
      </c>
      <c r="J31" s="16">
        <f>I31</f>
        <v>100100</v>
      </c>
      <c r="K31" s="15" t="e">
        <f ca="1">J31*L31</f>
        <v>#NAME?</v>
      </c>
      <c r="L31" s="22" t="e">
        <f ca="1">_xll.BDH("RUB curncy","PX_LAST",$N31)</f>
        <v>#NAME?</v>
      </c>
      <c r="M31" s="85" t="e">
        <f ca="1">1/_xll.BDH("RUB curncy","PX_LAST",$N31)</f>
        <v>#NAME?</v>
      </c>
      <c r="N31" s="14">
        <v>42076</v>
      </c>
    </row>
    <row r="32" spans="2:18" x14ac:dyDescent="0.2">
      <c r="B32" s="71"/>
      <c r="C32" s="72"/>
      <c r="D32" s="73"/>
      <c r="E32" s="73"/>
      <c r="F32" s="79">
        <f>SUM(F30:F31)</f>
        <v>13380</v>
      </c>
      <c r="G32" s="87"/>
      <c r="H32" s="99">
        <f>I32/F32</f>
        <v>14.950397608370704</v>
      </c>
      <c r="I32" s="79">
        <f>SUM(I30:I31)</f>
        <v>200036.32</v>
      </c>
      <c r="J32" s="79">
        <f>SUM(J30:J31)</f>
        <v>200036.32</v>
      </c>
      <c r="K32" s="79" t="e">
        <f ca="1">SUM(K30:K31)</f>
        <v>#NAME?</v>
      </c>
      <c r="L32" s="75"/>
      <c r="M32" s="86"/>
      <c r="N32" s="14"/>
    </row>
    <row r="33" spans="2:14" x14ac:dyDescent="0.2">
      <c r="B33" s="71"/>
      <c r="C33" s="72"/>
      <c r="D33" s="73"/>
      <c r="E33" s="73"/>
      <c r="F33" s="79"/>
      <c r="G33" s="87"/>
      <c r="H33" s="99"/>
      <c r="I33" s="79"/>
      <c r="J33" s="79"/>
      <c r="K33" s="79"/>
      <c r="L33" s="75"/>
      <c r="M33" s="86"/>
      <c r="N33" s="14"/>
    </row>
    <row r="34" spans="2:14" x14ac:dyDescent="0.2">
      <c r="B34" s="21" t="s">
        <v>330</v>
      </c>
      <c r="C34" s="20" t="s">
        <v>359</v>
      </c>
      <c r="D34" s="18" t="e">
        <f ca="1">_xll.BDP(C34,"SECURITY_NAME")</f>
        <v>#NAME?</v>
      </c>
      <c r="E34" s="18" t="s">
        <v>50</v>
      </c>
      <c r="F34" s="19">
        <v>7007</v>
      </c>
      <c r="G34" s="18" t="e">
        <f ca="1">_xll.BDP(C34,"CRNCY")</f>
        <v>#NAME?</v>
      </c>
      <c r="H34" s="22">
        <v>15.89</v>
      </c>
      <c r="I34" s="15">
        <f>F34*H34</f>
        <v>111341.23000000001</v>
      </c>
      <c r="J34" s="16">
        <f>I34</f>
        <v>111341.23000000001</v>
      </c>
      <c r="K34" s="15" t="e">
        <f ca="1">J34*L34</f>
        <v>#NAME?</v>
      </c>
      <c r="L34" s="22" t="e">
        <f ca="1">_xll.BDH("RUB curncy","PX_LAST",$N34)</f>
        <v>#NAME?</v>
      </c>
      <c r="M34" s="85" t="e">
        <f ca="1">1/_xll.BDH("RUB curncy","PX_LAST",$N34)</f>
        <v>#NAME?</v>
      </c>
      <c r="N34" s="14">
        <v>42193</v>
      </c>
    </row>
    <row r="35" spans="2:14" x14ac:dyDescent="0.2">
      <c r="B35" s="71"/>
      <c r="C35" s="72"/>
      <c r="D35" s="73"/>
      <c r="E35" s="73"/>
      <c r="F35" s="79">
        <f>SUM(F34:F34)</f>
        <v>7007</v>
      </c>
      <c r="G35" s="87"/>
      <c r="H35" s="80">
        <f>I35/F35</f>
        <v>15.890000000000002</v>
      </c>
      <c r="I35" s="79">
        <f>SUM(I34:I34)</f>
        <v>111341.23000000001</v>
      </c>
      <c r="J35" s="79">
        <f>SUM(J34:J34)</f>
        <v>111341.23000000001</v>
      </c>
      <c r="K35" s="79" t="e">
        <f ca="1">SUM(K34:K34)</f>
        <v>#NAME?</v>
      </c>
      <c r="L35" s="75"/>
      <c r="M35" s="86"/>
      <c r="N35" s="14"/>
    </row>
    <row r="36" spans="2:14" x14ac:dyDescent="0.2">
      <c r="B36" s="71"/>
      <c r="C36" s="72"/>
      <c r="D36" s="73"/>
      <c r="E36" s="73"/>
      <c r="F36" s="79"/>
      <c r="G36" s="87"/>
      <c r="H36" s="80"/>
      <c r="I36" s="79"/>
      <c r="J36" s="79"/>
      <c r="K36" s="79"/>
      <c r="L36" s="75"/>
      <c r="M36" s="86"/>
      <c r="N36" s="14"/>
    </row>
    <row r="37" spans="2:14" x14ac:dyDescent="0.2">
      <c r="B37" s="21" t="s">
        <v>330</v>
      </c>
      <c r="C37" s="20" t="s">
        <v>20</v>
      </c>
      <c r="D37" s="18" t="e">
        <f ca="1">_xll.BDP(C37,"SECURITY_NAME")</f>
        <v>#NAME?</v>
      </c>
      <c r="E37" s="18" t="s">
        <v>50</v>
      </c>
      <c r="F37" s="19">
        <v>8100</v>
      </c>
      <c r="G37" s="18" t="e">
        <f ca="1">_xll.BDP(C37,"CRNCY")</f>
        <v>#NAME?</v>
      </c>
      <c r="H37" s="22" t="e">
        <f ca="1">_xll.BDH(C37,"PX_LAST",N37)</f>
        <v>#NAME?</v>
      </c>
      <c r="I37" s="15" t="e">
        <f ca="1">F37*H37</f>
        <v>#NAME?</v>
      </c>
      <c r="J37" s="16" t="e">
        <f ca="1">I37</f>
        <v>#NAME?</v>
      </c>
      <c r="K37" s="15" t="e">
        <f ca="1">J37*L37</f>
        <v>#NAME?</v>
      </c>
      <c r="L37" s="22" t="e">
        <f ca="1">_xll.BDH("RUB curncy","PX_LAST",$N37)</f>
        <v>#NAME?</v>
      </c>
      <c r="M37" s="85" t="e">
        <f ca="1">1/_xll.BDH("RUB curncy","PX_LAST",$N37)</f>
        <v>#NAME?</v>
      </c>
      <c r="N37" s="14">
        <v>42076</v>
      </c>
    </row>
    <row r="38" spans="2:14" x14ac:dyDescent="0.2">
      <c r="B38" s="71"/>
      <c r="C38" s="72"/>
      <c r="D38" s="73">
        <f>E38/F38</f>
        <v>0.55555555555555558</v>
      </c>
      <c r="E38" s="73">
        <v>4500</v>
      </c>
      <c r="F38" s="79">
        <f>SUM(F37:F37)</f>
        <v>8100</v>
      </c>
      <c r="G38" s="87"/>
      <c r="H38" s="80">
        <v>12.3</v>
      </c>
      <c r="I38" s="79" t="e">
        <f ca="1">SUM(I37:I37)</f>
        <v>#NAME?</v>
      </c>
      <c r="J38" s="79" t="e">
        <f ca="1">SUM(J37:J37)</f>
        <v>#NAME?</v>
      </c>
      <c r="K38" s="79" t="e">
        <f ca="1">SUM(K37:K37)*D38</f>
        <v>#NAME?</v>
      </c>
      <c r="L38" s="75"/>
      <c r="M38" s="86"/>
      <c r="N38" s="14"/>
    </row>
    <row r="39" spans="2:14" x14ac:dyDescent="0.2">
      <c r="B39" s="71"/>
      <c r="C39" s="72"/>
      <c r="D39" s="73"/>
      <c r="E39" s="73"/>
      <c r="F39" s="74"/>
      <c r="G39" s="73"/>
      <c r="H39" s="75"/>
      <c r="I39" s="76"/>
      <c r="J39" s="77"/>
      <c r="K39" s="76"/>
      <c r="L39" s="75"/>
      <c r="M39" s="86"/>
      <c r="N39" s="14"/>
    </row>
    <row r="40" spans="2:14" x14ac:dyDescent="0.2">
      <c r="B40" s="21" t="s">
        <v>330</v>
      </c>
      <c r="C40" s="20" t="s">
        <v>18</v>
      </c>
      <c r="D40" s="18" t="e">
        <f ca="1">_xll.BDP(C40,"SECURITY_NAME")</f>
        <v>#NAME?</v>
      </c>
      <c r="E40" s="18" t="s">
        <v>50</v>
      </c>
      <c r="F40" s="19">
        <v>13400</v>
      </c>
      <c r="G40" s="18" t="e">
        <f ca="1">_xll.BDP(C40,"CRNCY")</f>
        <v>#NAME?</v>
      </c>
      <c r="H40" s="22" t="e">
        <f ca="1">_xll.BDH(C40,"PX_LAST",N40)</f>
        <v>#NAME?</v>
      </c>
      <c r="I40" s="15" t="e">
        <f ca="1">F40*H40</f>
        <v>#NAME?</v>
      </c>
      <c r="J40" s="16" t="e">
        <f ca="1">I40/L40</f>
        <v>#NAME?</v>
      </c>
      <c r="K40" s="15" t="e">
        <f ca="1">J40*L40</f>
        <v>#NAME?</v>
      </c>
      <c r="L40" s="22" t="e">
        <f ca="1">_xll.BDH("RUB curncy","PX_LAST",$N40)</f>
        <v>#NAME?</v>
      </c>
      <c r="M40" s="85" t="e">
        <f ca="1">1/_xll.BDH("RUB curncy","PX_LAST",$N40)</f>
        <v>#NAME?</v>
      </c>
      <c r="N40" s="14">
        <v>42076</v>
      </c>
    </row>
    <row r="41" spans="2:14" x14ac:dyDescent="0.2">
      <c r="B41" s="71"/>
      <c r="C41" s="72"/>
      <c r="D41" s="73"/>
      <c r="E41" s="73"/>
      <c r="F41" s="79">
        <f>SUM(F40:F40)</f>
        <v>13400</v>
      </c>
      <c r="G41" s="73"/>
      <c r="H41" s="80" t="e">
        <f ca="1">I41/F41</f>
        <v>#NAME?</v>
      </c>
      <c r="I41" s="79" t="e">
        <f ca="1">SUM(I40:I40)</f>
        <v>#NAME?</v>
      </c>
      <c r="J41" s="79" t="e">
        <f ca="1">SUM(J40:J40)</f>
        <v>#NAME?</v>
      </c>
      <c r="K41" s="79" t="e">
        <f ca="1">SUM(K40:K40)</f>
        <v>#NAME?</v>
      </c>
      <c r="L41" s="75"/>
      <c r="M41" s="78"/>
      <c r="N41" s="14"/>
    </row>
    <row r="42" spans="2:14" x14ac:dyDescent="0.2">
      <c r="B42" s="71"/>
      <c r="C42" s="72"/>
      <c r="D42" s="73"/>
      <c r="E42" s="73"/>
      <c r="F42" s="79"/>
      <c r="G42" s="73"/>
      <c r="H42" s="75"/>
      <c r="I42" s="79"/>
      <c r="J42" s="79"/>
      <c r="K42" s="79"/>
      <c r="L42" s="75"/>
      <c r="M42" s="78"/>
      <c r="N42" s="14"/>
    </row>
    <row r="43" spans="2:14" x14ac:dyDescent="0.2">
      <c r="B43" s="21" t="s">
        <v>330</v>
      </c>
      <c r="C43" s="20" t="s">
        <v>71</v>
      </c>
      <c r="D43" s="18" t="e">
        <f ca="1">_xll.BDP(C43,"SECURITY_NAME")</f>
        <v>#NAME?</v>
      </c>
      <c r="E43" s="18" t="s">
        <v>50</v>
      </c>
      <c r="F43" s="19">
        <v>13000</v>
      </c>
      <c r="G43" s="18" t="e">
        <f ca="1">_xll.BDP(C43,"CRNCY")</f>
        <v>#NAME?</v>
      </c>
      <c r="H43" s="22" t="e">
        <f ca="1">_xll.BDH(C43,"PX_LAST",N43)/100</f>
        <v>#NAME?</v>
      </c>
      <c r="I43" s="15" t="e">
        <f ca="1">F43*H43</f>
        <v>#NAME?</v>
      </c>
      <c r="J43" s="16" t="e">
        <f ca="1">I43*L43</f>
        <v>#NAME?</v>
      </c>
      <c r="K43" s="15" t="e">
        <f ca="1">J43/M43</f>
        <v>#NAME?</v>
      </c>
      <c r="L43" s="22" t="e">
        <f ca="1">_xll.BDH("GBP curncy","PX_LAST",$N43)</f>
        <v>#NAME?</v>
      </c>
      <c r="M43" s="85" t="e">
        <f ca="1">1/_xll.BDH("RUB curncy","PX_LAST",$N43)</f>
        <v>#NAME?</v>
      </c>
      <c r="N43" s="14">
        <v>42076</v>
      </c>
    </row>
    <row r="44" spans="2:14" x14ac:dyDescent="0.2">
      <c r="B44" s="71"/>
      <c r="C44" s="72"/>
      <c r="D44" s="73"/>
      <c r="E44" s="73"/>
      <c r="F44" s="79">
        <f>SUM(F43:F43)</f>
        <v>13000</v>
      </c>
      <c r="G44" s="87"/>
      <c r="H44" s="80">
        <v>5.2030000000000003</v>
      </c>
      <c r="I44" s="79" t="e">
        <f ca="1">SUM(I43:I43)</f>
        <v>#NAME?</v>
      </c>
      <c r="J44" s="79" t="e">
        <f ca="1">SUM(J43:J43)</f>
        <v>#NAME?</v>
      </c>
      <c r="K44" s="79" t="e">
        <f ca="1">SUM(K43:K43)</f>
        <v>#NAME?</v>
      </c>
      <c r="L44" s="75"/>
      <c r="M44" s="86"/>
      <c r="N44" s="14"/>
    </row>
    <row r="45" spans="2:14" x14ac:dyDescent="0.2">
      <c r="B45" s="71"/>
      <c r="C45" s="72"/>
      <c r="D45" s="73"/>
      <c r="E45" s="73"/>
      <c r="F45" s="79"/>
      <c r="G45" s="87"/>
      <c r="H45" s="80"/>
      <c r="I45" s="79"/>
      <c r="J45" s="79"/>
      <c r="K45" s="79"/>
      <c r="L45" s="75"/>
      <c r="M45" s="86"/>
      <c r="N45" s="14"/>
    </row>
    <row r="46" spans="2:14" x14ac:dyDescent="0.2">
      <c r="B46" s="21" t="s">
        <v>330</v>
      </c>
      <c r="C46" s="20" t="s">
        <v>134</v>
      </c>
      <c r="D46" s="18" t="e">
        <f ca="1">_xll.BDP(C46,"SECURITY_NAME")</f>
        <v>#NAME?</v>
      </c>
      <c r="E46" s="18" t="s">
        <v>50</v>
      </c>
      <c r="F46" s="19">
        <v>2694</v>
      </c>
      <c r="G46" s="18" t="e">
        <f ca="1">_xll.BDP(C46,"CRNCY")</f>
        <v>#NAME?</v>
      </c>
      <c r="H46" s="22">
        <v>0.47499999999999998</v>
      </c>
      <c r="I46" s="15">
        <f>F46*H46</f>
        <v>1279.6499999999999</v>
      </c>
      <c r="J46" s="16" t="e">
        <f ca="1">I46*L46</f>
        <v>#NAME?</v>
      </c>
      <c r="K46" s="15" t="e">
        <f ca="1">J46/M46</f>
        <v>#NAME?</v>
      </c>
      <c r="L46" s="22" t="e">
        <f ca="1">_xll.BDH("GBP curncy","PX_LAST",$N46)</f>
        <v>#NAME?</v>
      </c>
      <c r="M46" s="85" t="e">
        <f ca="1">1/_xll.BDH("RUB curncy","PX_LAST",$N46)</f>
        <v>#NAME?</v>
      </c>
      <c r="N46" s="14">
        <v>42205</v>
      </c>
    </row>
    <row r="47" spans="2:14" x14ac:dyDescent="0.2">
      <c r="B47" s="21" t="s">
        <v>330</v>
      </c>
      <c r="C47" s="20" t="s">
        <v>134</v>
      </c>
      <c r="D47" s="18" t="e">
        <f ca="1">_xll.BDP(C47,"SECURITY_NAME")</f>
        <v>#NAME?</v>
      </c>
      <c r="E47" s="18" t="s">
        <v>50</v>
      </c>
      <c r="F47" s="19">
        <v>64000</v>
      </c>
      <c r="G47" s="18" t="e">
        <f ca="1">_xll.BDP(C47,"CRNCY")</f>
        <v>#NAME?</v>
      </c>
      <c r="H47" s="22" t="e">
        <f ca="1">_xll.BDH(C47,"PX_LAST",N47)/100</f>
        <v>#NAME?</v>
      </c>
      <c r="I47" s="15" t="e">
        <f ca="1">F47*H47</f>
        <v>#NAME?</v>
      </c>
      <c r="J47" s="16" t="e">
        <f ca="1">I47*L47</f>
        <v>#NAME?</v>
      </c>
      <c r="K47" s="15" t="e">
        <f ca="1">J47/M47</f>
        <v>#NAME?</v>
      </c>
      <c r="L47" s="22" t="e">
        <f ca="1">_xll.BDH("GBP curncy","PX_LAST",$N47)</f>
        <v>#NAME?</v>
      </c>
      <c r="M47" s="85" t="e">
        <f ca="1">1/_xll.BDH("RUB curncy","PX_LAST",$N47)</f>
        <v>#NAME?</v>
      </c>
      <c r="N47" s="14">
        <v>42103</v>
      </c>
    </row>
    <row r="48" spans="2:14" x14ac:dyDescent="0.2">
      <c r="B48" s="71"/>
      <c r="C48" s="72"/>
      <c r="D48" s="73"/>
      <c r="E48" s="73"/>
      <c r="F48" s="79">
        <f>SUM(F46:F47)</f>
        <v>66694</v>
      </c>
      <c r="G48" s="87"/>
      <c r="H48" s="80" t="e">
        <f ca="1">I48/F48</f>
        <v>#NAME?</v>
      </c>
      <c r="I48" s="79" t="e">
        <f ca="1">SUM(I46:I47)</f>
        <v>#NAME?</v>
      </c>
      <c r="J48" s="79" t="e">
        <f ca="1">SUM(J46:J47)</f>
        <v>#NAME?</v>
      </c>
      <c r="K48" s="79" t="e">
        <f ca="1">SUM(K46:K47)</f>
        <v>#NAME?</v>
      </c>
      <c r="L48" s="75"/>
      <c r="M48" s="86"/>
      <c r="N48" s="14"/>
    </row>
    <row r="49" spans="2:14" x14ac:dyDescent="0.2">
      <c r="H49" s="10"/>
    </row>
    <row r="50" spans="2:14" x14ac:dyDescent="0.2">
      <c r="B50" s="21" t="s">
        <v>330</v>
      </c>
      <c r="C50" s="20" t="s">
        <v>342</v>
      </c>
      <c r="D50" s="18" t="e">
        <f ca="1">_xll.BDP(C50,"SECURITY_NAME")</f>
        <v>#NAME?</v>
      </c>
      <c r="E50" s="18" t="s">
        <v>50</v>
      </c>
      <c r="F50" s="19">
        <v>4860</v>
      </c>
      <c r="G50" s="18" t="e">
        <f ca="1">_xll.BDP(C50,"CRNCY")</f>
        <v>#NAME?</v>
      </c>
      <c r="H50" s="22">
        <v>12</v>
      </c>
      <c r="I50" s="15">
        <f>F50*H50</f>
        <v>58320</v>
      </c>
      <c r="J50" s="16">
        <f>I50</f>
        <v>58320</v>
      </c>
      <c r="K50" s="15" t="e">
        <f ca="1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42160</v>
      </c>
    </row>
    <row r="51" spans="2:14" x14ac:dyDescent="0.2">
      <c r="B51" s="21" t="s">
        <v>330</v>
      </c>
      <c r="C51" s="20" t="s">
        <v>342</v>
      </c>
      <c r="D51" s="18" t="e">
        <f ca="1">_xll.BDP(C51,"SECURITY_NAME")</f>
        <v>#NAME?</v>
      </c>
      <c r="E51" s="18" t="s">
        <v>50</v>
      </c>
      <c r="F51" s="19">
        <v>7140</v>
      </c>
      <c r="G51" s="18" t="e">
        <f ca="1">_xll.BDP(C51,"CRNCY")</f>
        <v>#NAME?</v>
      </c>
      <c r="H51" s="22" t="e">
        <f ca="1">_xll.BDH(C51,"PX_LAST",N51)</f>
        <v>#NAME?</v>
      </c>
      <c r="I51" s="15" t="e">
        <f ca="1">F51*H51</f>
        <v>#NAME?</v>
      </c>
      <c r="J51" s="16" t="e">
        <f ca="1">I51</f>
        <v>#NAME?</v>
      </c>
      <c r="K51" s="15" t="e">
        <f ca="1">J51*L51</f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42146</v>
      </c>
    </row>
    <row r="52" spans="2:14" x14ac:dyDescent="0.2">
      <c r="B52" s="71"/>
      <c r="C52" s="72"/>
      <c r="D52" s="73"/>
      <c r="E52" s="73"/>
      <c r="F52" s="79">
        <f>SUM(F50:F51)</f>
        <v>12000</v>
      </c>
      <c r="G52" s="87"/>
      <c r="H52" s="80" t="e">
        <f ca="1">I52/F52</f>
        <v>#NAME?</v>
      </c>
      <c r="I52" s="79" t="e">
        <f ca="1">SUM(I50:I51)</f>
        <v>#NAME?</v>
      </c>
      <c r="J52" s="79" t="e">
        <f ca="1">SUM(J50:J51)</f>
        <v>#NAME?</v>
      </c>
      <c r="K52" s="79" t="e">
        <f ca="1">SUM(K50:K51)</f>
        <v>#NAME?</v>
      </c>
      <c r="L52" s="75"/>
      <c r="M52" s="86"/>
      <c r="N52" s="14"/>
    </row>
    <row r="53" spans="2:14" x14ac:dyDescent="0.2">
      <c r="H53" s="10"/>
    </row>
    <row r="54" spans="2:14" x14ac:dyDescent="0.2">
      <c r="B54" s="21" t="s">
        <v>330</v>
      </c>
      <c r="C54" s="20" t="s">
        <v>62</v>
      </c>
      <c r="D54" s="18" t="e">
        <f ca="1">_xll.BDP(C54,"SECURITY_NAME")</f>
        <v>#NAME?</v>
      </c>
      <c r="E54" s="18" t="s">
        <v>50</v>
      </c>
      <c r="F54" s="19">
        <v>11200</v>
      </c>
      <c r="G54" s="18" t="e">
        <f ca="1">_xll.BDP(C54,"CRNCY")</f>
        <v>#NAME?</v>
      </c>
      <c r="H54" s="22">
        <v>5</v>
      </c>
      <c r="I54" s="15">
        <f>F54*H54</f>
        <v>56000</v>
      </c>
      <c r="J54" s="16">
        <f>I54</f>
        <v>56000</v>
      </c>
      <c r="K54" s="15" t="e">
        <f ca="1">J54*L54</f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42159</v>
      </c>
    </row>
    <row r="55" spans="2:14" x14ac:dyDescent="0.2">
      <c r="B55" s="71"/>
      <c r="C55" s="72"/>
      <c r="D55" s="73"/>
      <c r="E55" s="73"/>
      <c r="F55" s="79">
        <f>SUM(F54:F54)</f>
        <v>11200</v>
      </c>
      <c r="G55" s="87"/>
      <c r="H55" s="80">
        <f>I55/F55</f>
        <v>5</v>
      </c>
      <c r="I55" s="79">
        <f>SUM(I54:I54)</f>
        <v>56000</v>
      </c>
      <c r="J55" s="79">
        <f>SUM(J54:J54)</f>
        <v>56000</v>
      </c>
      <c r="K55" s="79" t="e">
        <f ca="1">SUM(K54:K54)</f>
        <v>#NAME?</v>
      </c>
      <c r="L55" s="75"/>
      <c r="M55" s="86"/>
      <c r="N55" s="14"/>
    </row>
    <row r="56" spans="2:14" x14ac:dyDescent="0.2">
      <c r="L56" s="10"/>
    </row>
    <row r="57" spans="2:14" x14ac:dyDescent="0.2">
      <c r="L57" s="13"/>
    </row>
    <row r="59" spans="2:14" x14ac:dyDescent="0.2">
      <c r="L59" s="12"/>
    </row>
    <row r="63" spans="2:14" x14ac:dyDescent="0.2">
      <c r="G63" s="10"/>
    </row>
    <row r="64" spans="2:14" x14ac:dyDescent="0.2">
      <c r="G64" s="11"/>
    </row>
    <row r="67" spans="7:7" x14ac:dyDescent="0.2">
      <c r="G67" s="10"/>
    </row>
  </sheetData>
  <sortState ref="A4:X11">
    <sortCondition descending="1" ref="I4:I11"/>
  </sortState>
  <mergeCells count="1">
    <mergeCell ref="T14:U15"/>
  </mergeCells>
  <conditionalFormatting sqref="E31 E44:E45 E42 E39 E36">
    <cfRule type="containsText" dxfId="302" priority="673" operator="containsText" text="Buy">
      <formula>NOT(ISERROR(SEARCH("Buy",E31)))</formula>
    </cfRule>
    <cfRule type="containsText" dxfId="301" priority="674" operator="containsText" text="Sell">
      <formula>NOT(ISERROR(SEARCH("Sell",E31)))</formula>
    </cfRule>
  </conditionalFormatting>
  <conditionalFormatting sqref="E41">
    <cfRule type="containsText" dxfId="300" priority="528" operator="containsText" text="Buy">
      <formula>NOT(ISERROR(SEARCH("Buy",E41)))</formula>
    </cfRule>
    <cfRule type="containsText" dxfId="299" priority="529" operator="containsText" text="Sell">
      <formula>NOT(ISERROR(SEARCH("Sell",E41)))</formula>
    </cfRule>
  </conditionalFormatting>
  <conditionalFormatting sqref="H19">
    <cfRule type="dataBar" priority="5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{F62DA812-85AB-4F4B-ABF3-A2D0796B6B96}</x14:id>
        </ext>
      </extLst>
    </cfRule>
    <cfRule type="cellIs" dxfId="298" priority="506" operator="equal">
      <formula>1</formula>
    </cfRule>
  </conditionalFormatting>
  <conditionalFormatting sqref="D19">
    <cfRule type="containsText" dxfId="297" priority="504" operator="containsText" text="Buy">
      <formula>NOT(ISERROR(SEARCH("Buy",D19)))</formula>
    </cfRule>
    <cfRule type="containsText" dxfId="296" priority="505" operator="containsText" text="Sell">
      <formula>NOT(ISERROR(SEARCH("Sell",D19)))</formula>
    </cfRule>
  </conditionalFormatting>
  <conditionalFormatting sqref="E37:E38">
    <cfRule type="containsText" dxfId="295" priority="487" operator="containsText" text="Buy">
      <formula>NOT(ISERROR(SEARCH("Buy",E37)))</formula>
    </cfRule>
    <cfRule type="containsText" dxfId="294" priority="488" operator="containsText" text="Sell">
      <formula>NOT(ISERROR(SEARCH("Sell",E37)))</formula>
    </cfRule>
  </conditionalFormatting>
  <conditionalFormatting sqref="E43">
    <cfRule type="containsText" dxfId="293" priority="480" operator="containsText" text="Buy">
      <formula>NOT(ISERROR(SEARCH("Buy",E43)))</formula>
    </cfRule>
    <cfRule type="containsText" dxfId="292" priority="481" operator="containsText" text="Sell">
      <formula>NOT(ISERROR(SEARCH("Sell",E43)))</formula>
    </cfRule>
  </conditionalFormatting>
  <conditionalFormatting sqref="E40">
    <cfRule type="containsText" dxfId="291" priority="403" operator="containsText" text="Buy">
      <formula>NOT(ISERROR(SEARCH("Buy",E40)))</formula>
    </cfRule>
    <cfRule type="containsText" dxfId="290" priority="404" operator="containsText" text="Sell">
      <formula>NOT(ISERROR(SEARCH("Sell",E40)))</formula>
    </cfRule>
  </conditionalFormatting>
  <conditionalFormatting sqref="E32:E33">
    <cfRule type="containsText" dxfId="289" priority="367" operator="containsText" text="Buy">
      <formula>NOT(ISERROR(SEARCH("Buy",E32)))</formula>
    </cfRule>
    <cfRule type="containsText" dxfId="288" priority="368" operator="containsText" text="Sell">
      <formula>NOT(ISERROR(SEARCH("Sell",E32)))</formula>
    </cfRule>
  </conditionalFormatting>
  <conditionalFormatting sqref="L10:M10">
    <cfRule type="dataBar" priority="5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{F461D4A8-A57A-4829-933A-E6C7133784BD}</x14:id>
        </ext>
      </extLst>
    </cfRule>
  </conditionalFormatting>
  <conditionalFormatting sqref="L6:M6 L10:M10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{AC575FDC-16BD-4BB9-BAD1-9A1492BC895A}</x14:id>
        </ext>
      </extLst>
    </cfRule>
  </conditionalFormatting>
  <conditionalFormatting sqref="L6 L10">
    <cfRule type="dataBar" priority="59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{188FEFC9-784F-491F-88AC-5860F1ED0E56}</x14:id>
        </ext>
      </extLst>
    </cfRule>
  </conditionalFormatting>
  <conditionalFormatting sqref="M6 M10">
    <cfRule type="dataBar" priority="59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{5F74F68E-1343-464A-8CC2-0EDC3EB55BE0}</x14:id>
        </ext>
      </extLst>
    </cfRule>
  </conditionalFormatting>
  <conditionalFormatting sqref="U6">
    <cfRule type="dataBar" priority="59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{7384936B-ECA9-4D0F-A1C1-1ED8336D8C2B}</x14:id>
        </ext>
      </extLst>
    </cfRule>
  </conditionalFormatting>
  <conditionalFormatting sqref="U9:U11">
    <cfRule type="dataBar" priority="59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{451BAC77-6D1A-4F3D-87C2-AF157D113800}</x14:id>
        </ext>
      </extLst>
    </cfRule>
  </conditionalFormatting>
  <conditionalFormatting sqref="V9:V11 V6">
    <cfRule type="dataBar" priority="59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{46088CD0-80F3-4BF0-974A-742BAD0D555F}</x14:id>
        </ext>
      </extLst>
    </cfRule>
  </conditionalFormatting>
  <conditionalFormatting sqref="U7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{572A6D1D-029C-440F-9F71-22D42EB4A3EB}</x14:id>
        </ext>
      </extLst>
    </cfRule>
  </conditionalFormatting>
  <conditionalFormatting sqref="V7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{294BA628-E56E-4A67-B178-DE17AE3846FA}</x14:id>
        </ext>
      </extLst>
    </cfRule>
  </conditionalFormatting>
  <conditionalFormatting sqref="E48">
    <cfRule type="containsText" dxfId="287" priority="108" operator="containsText" text="Buy">
      <formula>NOT(ISERROR(SEARCH("Buy",E48)))</formula>
    </cfRule>
    <cfRule type="containsText" dxfId="286" priority="109" operator="containsText" text="Sell">
      <formula>NOT(ISERROR(SEARCH("Sell",E48)))</formula>
    </cfRule>
  </conditionalFormatting>
  <conditionalFormatting sqref="E47">
    <cfRule type="containsText" dxfId="285" priority="106" operator="containsText" text="Buy">
      <formula>NOT(ISERROR(SEARCH("Buy",E47)))</formula>
    </cfRule>
    <cfRule type="containsText" dxfId="284" priority="107" operator="containsText" text="Sell">
      <formula>NOT(ISERROR(SEARCH("Sell",E47)))</formula>
    </cfRule>
  </conditionalFormatting>
  <conditionalFormatting sqref="E51:E52">
    <cfRule type="containsText" dxfId="283" priority="104" operator="containsText" text="Buy">
      <formula>NOT(ISERROR(SEARCH("Buy",E51)))</formula>
    </cfRule>
    <cfRule type="containsText" dxfId="282" priority="105" operator="containsText" text="Sell">
      <formula>NOT(ISERROR(SEARCH("Sell",E51)))</formula>
    </cfRule>
  </conditionalFormatting>
  <conditionalFormatting sqref="U8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{7A6E32CB-EE4F-45BC-A3C2-40B1781DF8DD}</x14:id>
        </ext>
      </extLst>
    </cfRule>
  </conditionalFormatting>
  <conditionalFormatting sqref="V8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{6B400749-B06F-4DEE-82BF-17C448434F79}</x14:id>
        </ext>
      </extLst>
    </cfRule>
  </conditionalFormatting>
  <conditionalFormatting sqref="X4:X11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{C3A3B1EA-76EA-484D-A579-BE14D2B1B71E}</x14:id>
        </ext>
      </extLst>
    </cfRule>
  </conditionalFormatting>
  <conditionalFormatting sqref="L4:M4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{43DE13B8-8611-4689-814F-F62D2CA4CCBD}</x14:id>
        </ext>
      </extLst>
    </cfRule>
  </conditionalFormatting>
  <conditionalFormatting sqref="L4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{C29079C3-1529-4D2A-AAF4-ACBF22E45825}</x14:id>
        </ext>
      </extLst>
    </cfRule>
  </conditionalFormatting>
  <conditionalFormatting sqref="M4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{61961884-0512-4A8E-9281-5025689BA582}</x14:id>
        </ext>
      </extLst>
    </cfRule>
  </conditionalFormatting>
  <conditionalFormatting sqref="U4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{838C2C4D-6184-453D-83D0-1A3CC5C4FC82}</x14:id>
        </ext>
      </extLst>
    </cfRule>
  </conditionalFormatting>
  <conditionalFormatting sqref="V4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{AA54F522-6A7F-47E0-82C0-94512CB850DF}</x14:id>
        </ext>
      </extLst>
    </cfRule>
  </conditionalFormatting>
  <conditionalFormatting sqref="W4:W11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{738A15E1-EE89-4BE4-A8A2-B4F6FCD81881}</x14:id>
        </ext>
      </extLst>
    </cfRule>
  </conditionalFormatting>
  <conditionalFormatting sqref="E54:E55">
    <cfRule type="containsText" dxfId="281" priority="66" operator="containsText" text="Buy">
      <formula>NOT(ISERROR(SEARCH("Buy",E54)))</formula>
    </cfRule>
    <cfRule type="containsText" dxfId="280" priority="67" operator="containsText" text="Sell">
      <formula>NOT(ISERROR(SEARCH("Sell",E54)))</formula>
    </cfRule>
  </conditionalFormatting>
  <conditionalFormatting sqref="E50">
    <cfRule type="containsText" dxfId="279" priority="64" operator="containsText" text="Buy">
      <formula>NOT(ISERROR(SEARCH("Buy",E50)))</formula>
    </cfRule>
    <cfRule type="containsText" dxfId="278" priority="65" operator="containsText" text="Sell">
      <formula>NOT(ISERROR(SEARCH("Sell",E50)))</formula>
    </cfRule>
  </conditionalFormatting>
  <conditionalFormatting sqref="U5">
    <cfRule type="dataBar" priority="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{87B92C57-6044-46D7-9EE8-EF11D87611F8}</x14:id>
        </ext>
      </extLst>
    </cfRule>
  </conditionalFormatting>
  <conditionalFormatting sqref="V5"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{AF12CB8E-B3CA-4026-84D6-5BB0EE5273EE}</x14:id>
        </ext>
      </extLst>
    </cfRule>
  </conditionalFormatting>
  <conditionalFormatting sqref="E34:E35">
    <cfRule type="containsText" dxfId="277" priority="44" operator="containsText" text="Buy">
      <formula>NOT(ISERROR(SEARCH("Buy",E34)))</formula>
    </cfRule>
    <cfRule type="containsText" dxfId="276" priority="45" operator="containsText" text="Sell">
      <formula>NOT(ISERROR(SEARCH("Sell",E34)))</formula>
    </cfRule>
  </conditionalFormatting>
  <conditionalFormatting sqref="E46">
    <cfRule type="containsText" dxfId="275" priority="42" operator="containsText" text="Buy">
      <formula>NOT(ISERROR(SEARCH("Buy",E46)))</formula>
    </cfRule>
    <cfRule type="containsText" dxfId="274" priority="43" operator="containsText" text="Sell">
      <formula>NOT(ISERROR(SEARCH("Sell",E46)))</formula>
    </cfRule>
  </conditionalFormatting>
  <conditionalFormatting sqref="E30">
    <cfRule type="containsText" dxfId="273" priority="40" operator="containsText" text="Buy">
      <formula>NOT(ISERROR(SEARCH("Buy",E30)))</formula>
    </cfRule>
    <cfRule type="containsText" dxfId="272" priority="41" operator="containsText" text="Sell">
      <formula>NOT(ISERROR(SEARCH("Sell",E30)))</formula>
    </cfRule>
  </conditionalFormatting>
  <conditionalFormatting sqref="M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{9B0AADA4-7D4D-4ACC-B766-A0F46D4BC028}</x14:id>
        </ext>
      </extLst>
    </cfRule>
  </conditionalFormatting>
  <conditionalFormatting sqref="M5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{09D510AF-B61D-4CDD-AF7A-CCA03BE24457}</x14:id>
        </ext>
      </extLst>
    </cfRule>
  </conditionalFormatting>
  <conditionalFormatting sqref="L5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{1D44FEE9-96AC-4BD4-AC07-FFE0DEDF2905}</x14:id>
        </ext>
      </extLst>
    </cfRule>
  </conditionalFormatting>
  <conditionalFormatting sqref="L5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{13A72AED-6722-43BE-8A15-7E9ADBF1DEFC}</x14:id>
        </ext>
      </extLst>
    </cfRule>
  </conditionalFormatting>
  <conditionalFormatting sqref="L7:M7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{6A513FC4-219B-4322-BDED-D3F0283B9D8F}</x14:id>
        </ext>
      </extLst>
    </cfRule>
  </conditionalFormatting>
  <conditionalFormatting sqref="L7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{67F3DE25-67B4-4EEF-B585-F578552E575D}</x14:id>
        </ext>
      </extLst>
    </cfRule>
  </conditionalFormatting>
  <conditionalFormatting sqref="M7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{A2727FB9-69A7-4A1A-A5B9-8838018CB8B7}</x14:id>
        </ext>
      </extLst>
    </cfRule>
  </conditionalFormatting>
  <conditionalFormatting sqref="M8:M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{D07404D7-A350-4ED7-A396-8FA2B03CDAE3}</x14:id>
        </ext>
      </extLst>
    </cfRule>
  </conditionalFormatting>
  <conditionalFormatting sqref="M8:M9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{311E5C82-CD1A-40FC-9AC2-674240DA2036}</x14:id>
        </ext>
      </extLst>
    </cfRule>
  </conditionalFormatting>
  <conditionalFormatting sqref="L8:L9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{3BD1DAD4-B02B-4549-BC95-12C30DCBAF74}</x14:id>
        </ext>
      </extLst>
    </cfRule>
  </conditionalFormatting>
  <conditionalFormatting sqref="L8:L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{5DB45838-4884-49E3-AD80-D7CF0EB68C63}</x14:id>
        </ext>
      </extLst>
    </cfRule>
  </conditionalFormatting>
  <conditionalFormatting sqref="M11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{DDF7FA3E-EE2D-40C1-B5F6-5C6F41EEE46E}</x14:id>
        </ext>
      </extLst>
    </cfRule>
  </conditionalFormatting>
  <conditionalFormatting sqref="M11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{5BF653A1-B523-4350-892E-9FF9268E272B}</x14:id>
        </ext>
      </extLst>
    </cfRule>
  </conditionalFormatting>
  <conditionalFormatting sqref="L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{D48F3ACA-863A-4772-BAAE-65AACA1B71C3}</x14:id>
        </ext>
      </extLst>
    </cfRule>
  </conditionalFormatting>
  <conditionalFormatting sqref="L11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{52DEBAFC-A8B8-4210-B4C2-F9D765F6DC0A}</x14:id>
        </ext>
      </extLst>
    </cfRule>
  </conditionalFormatting>
  <conditionalFormatting sqref="H2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{77FD99B1-959F-4B2B-8A0B-98FB1A3E74E6}</x14:id>
        </ext>
      </extLst>
    </cfRule>
    <cfRule type="cellIs" dxfId="271" priority="18" operator="equal">
      <formula>1</formula>
    </cfRule>
  </conditionalFormatting>
  <conditionalFormatting sqref="D20">
    <cfRule type="containsText" dxfId="270" priority="16" operator="containsText" text="Buy">
      <formula>NOT(ISERROR(SEARCH("Buy",D20)))</formula>
    </cfRule>
    <cfRule type="containsText" dxfId="269" priority="17" operator="containsText" text="Sell">
      <formula>NOT(ISERROR(SEARCH("Sell",D20)))</formula>
    </cfRule>
  </conditionalFormatting>
  <conditionalFormatting sqref="H2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{C44A6339-7A43-4632-B4CE-5A9A545C79DE}</x14:id>
        </ext>
      </extLst>
    </cfRule>
    <cfRule type="cellIs" dxfId="268" priority="14" operator="equal">
      <formula>1</formula>
    </cfRule>
  </conditionalFormatting>
  <conditionalFormatting sqref="D21">
    <cfRule type="containsText" dxfId="267" priority="12" operator="containsText" text="Buy">
      <formula>NOT(ISERROR(SEARCH("Buy",D21)))</formula>
    </cfRule>
    <cfRule type="containsText" dxfId="266" priority="13" operator="containsText" text="Sell">
      <formula>NOT(ISERROR(SEARCH("Sell",D21)))</formula>
    </cfRule>
  </conditionalFormatting>
  <conditionalFormatting sqref="U10:V10">
    <cfRule type="dataBar" priority="318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{4361D807-8262-46FA-9BEA-021EFB8056F2}</x14:id>
        </ext>
      </extLst>
    </cfRule>
  </conditionalFormatting>
  <conditionalFormatting sqref="U10:V10">
    <cfRule type="dataBar" priority="318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{41912AFE-03A3-489E-ADE4-0E308286C7F8}</x14:id>
        </ext>
      </extLst>
    </cfRule>
  </conditionalFormatting>
  <conditionalFormatting sqref="U9:V9">
    <cfRule type="dataBar" priority="318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{06880058-2681-44BF-9ED6-9131D3516069}</x14:id>
        </ext>
      </extLst>
    </cfRule>
  </conditionalFormatting>
  <conditionalFormatting sqref="U9:V9">
    <cfRule type="dataBar" priority="318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{E5134B50-DD65-4B4E-AD49-A43B23B9E6CF}</x14:id>
        </ext>
      </extLst>
    </cfRule>
  </conditionalFormatting>
  <conditionalFormatting sqref="U6:V6">
    <cfRule type="dataBar" priority="318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{FF73506C-92D7-437C-BCB2-D544CE0DCDCB}</x14:id>
        </ext>
      </extLst>
    </cfRule>
  </conditionalFormatting>
  <conditionalFormatting sqref="U6:V6">
    <cfRule type="dataBar" priority="318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{BC60E6F9-09F5-4D87-AA28-9FE9DE62A405}</x14:id>
        </ext>
      </extLst>
    </cfRule>
  </conditionalFormatting>
  <conditionalFormatting sqref="U11:V11">
    <cfRule type="dataBar" priority="318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{BE97F4A6-13BA-47EC-B2C9-C1608F441394}</x14:id>
        </ext>
      </extLst>
    </cfRule>
  </conditionalFormatting>
  <conditionalFormatting sqref="U11:V11">
    <cfRule type="dataBar" priority="318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{D1F6CB5F-F4B5-4AD2-99E4-52A22E4F3BF5}</x14:id>
        </ext>
      </extLst>
    </cfRule>
  </conditionalFormatting>
  <conditionalFormatting sqref="U6:V6 U9:V10">
    <cfRule type="dataBar" priority="318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{D5D08564-ABC6-494B-945B-CCE140F4D905}</x14:id>
        </ext>
      </extLst>
    </cfRule>
  </conditionalFormatting>
  <conditionalFormatting sqref="U6:V6 U9:V11">
    <cfRule type="dataBar" priority="31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{71C14740-1A3A-4FE4-B878-06C394ADCE79}</x14:id>
        </ext>
      </extLst>
    </cfRule>
  </conditionalFormatting>
  <conditionalFormatting sqref="U7:V7">
    <cfRule type="dataBar" priority="318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{E96257F2-7EF0-4121-B778-5904EC74041B}</x14:id>
        </ext>
      </extLst>
    </cfRule>
  </conditionalFormatting>
  <conditionalFormatting sqref="U7:V7">
    <cfRule type="dataBar" priority="318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{556A36B9-B96C-4B8F-83EE-511B2811E4E5}</x14:id>
        </ext>
      </extLst>
    </cfRule>
  </conditionalFormatting>
  <conditionalFormatting sqref="U7:V7">
    <cfRule type="dataBar" priority="31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{8BE8AFC1-0DFB-4780-9D8B-C60B468A97BD}</x14:id>
        </ext>
      </extLst>
    </cfRule>
  </conditionalFormatting>
  <conditionalFormatting sqref="U8:V8">
    <cfRule type="dataBar" priority="318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{427828C9-C99B-49CC-94AF-2712387226FE}</x14:id>
        </ext>
      </extLst>
    </cfRule>
  </conditionalFormatting>
  <conditionalFormatting sqref="U8:V8">
    <cfRule type="dataBar" priority="318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{AA62527A-9DD8-4BD2-B9D1-BA2C32584768}</x14:id>
        </ext>
      </extLst>
    </cfRule>
  </conditionalFormatting>
  <conditionalFormatting sqref="U8:V8">
    <cfRule type="dataBar" priority="31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{533EF9F4-C1FA-4331-80E1-2FE7C69E3BCD}</x14:id>
        </ext>
      </extLst>
    </cfRule>
  </conditionalFormatting>
  <conditionalFormatting sqref="U4:V4">
    <cfRule type="dataBar" priority="318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{1CA92513-03DC-44BD-BAF8-2047FC434C7C}</x14:id>
        </ext>
      </extLst>
    </cfRule>
  </conditionalFormatting>
  <conditionalFormatting sqref="U4:V4">
    <cfRule type="dataBar" priority="318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{3BD26DFB-6DA5-4E46-9E6E-BF6DBC747237}</x14:id>
        </ext>
      </extLst>
    </cfRule>
  </conditionalFormatting>
  <conditionalFormatting sqref="U4:V4">
    <cfRule type="dataBar" priority="318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{5A75632D-0AA4-4BDB-B62B-22222E73F47B}</x14:id>
        </ext>
      </extLst>
    </cfRule>
  </conditionalFormatting>
  <conditionalFormatting sqref="U5:V5">
    <cfRule type="dataBar" priority="318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{F8D48E09-3E1B-4FE8-92C9-32943031A914}</x14:id>
        </ext>
      </extLst>
    </cfRule>
  </conditionalFormatting>
  <conditionalFormatting sqref="U5:V5">
    <cfRule type="dataBar" priority="318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{6748DD33-5A6B-4A69-8994-52916590933D}</x14:id>
        </ext>
      </extLst>
    </cfRule>
  </conditionalFormatting>
  <conditionalFormatting sqref="U5:V5">
    <cfRule type="dataBar" priority="31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{8F2977A2-7D62-4EFB-BFAC-DBF84FB8C295}</x14:id>
        </ext>
      </extLst>
    </cfRule>
  </conditionalFormatting>
  <conditionalFormatting sqref="I4:I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{9614EBFB-44EA-4600-AAEE-A7540110E942}</x14:id>
        </ext>
      </extLst>
    </cfRule>
  </conditionalFormatting>
  <conditionalFormatting sqref="I4:I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{5517DE02-F173-4268-8CD8-980D67C8D066}</x14:id>
        </ext>
      </extLst>
    </cfRule>
  </conditionalFormatting>
  <conditionalFormatting sqref="L13:M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{528CFFAA-CE38-40A3-BF98-F76DC76B026D}</x14:id>
        </ext>
      </extLst>
    </cfRule>
  </conditionalFormatting>
  <conditionalFormatting sqref="L4:L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{A1CEA4AD-2B8F-49ED-B799-00F8CA6E517A}</x14:id>
        </ext>
      </extLst>
    </cfRule>
  </conditionalFormatting>
  <conditionalFormatting sqref="M4:M1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{CF30AC03-B52C-43DE-9280-EB0C818985CF}</x14:id>
        </ext>
      </extLst>
    </cfRule>
  </conditionalFormatting>
  <conditionalFormatting sqref="T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{DA9ACFC6-ED9D-4087-876E-441B1645B4C5}</x14:id>
        </ext>
      </extLst>
    </cfRule>
  </conditionalFormatting>
  <conditionalFormatting sqref="U4:V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{7B4D68AF-A6A1-462F-B33A-C54E755962D0}</x14:id>
        </ext>
      </extLst>
    </cfRule>
  </conditionalFormatting>
  <conditionalFormatting sqref="T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{DB13AF53-9D0F-4B84-A0B2-7B6553EC9E27}</x14:id>
        </ext>
      </extLst>
    </cfRule>
  </conditionalFormatting>
  <conditionalFormatting sqref="T4:T1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{571AA41E-7176-4B06-A4FC-1ECE93AD06CC}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2DA812-85AB-4F4B-ABF3-A2D0796B6B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461D4A8-A57A-4829-933A-E6C7133784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AC575FDC-16BD-4BB9-BAD1-9A1492BC89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 L10:M10</xm:sqref>
        </x14:conditionalFormatting>
        <x14:conditionalFormatting xmlns:xm="http://schemas.microsoft.com/office/excel/2006/main">
          <x14:cfRule type="dataBar" id="{188FEFC9-784F-491F-88AC-5860F1ED0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 L10</xm:sqref>
        </x14:conditionalFormatting>
        <x14:conditionalFormatting xmlns:xm="http://schemas.microsoft.com/office/excel/2006/main">
          <x14:cfRule type="dataBar" id="{5F74F68E-1343-464A-8CC2-0EDC3EB55B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 M10</xm:sqref>
        </x14:conditionalFormatting>
        <x14:conditionalFormatting xmlns:xm="http://schemas.microsoft.com/office/excel/2006/main">
          <x14:cfRule type="dataBar" id="{7384936B-ECA9-4D0F-A1C1-1ED8336D8C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451BAC77-6D1A-4F3D-87C2-AF157D1138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U9:U11</xm:sqref>
        </x14:conditionalFormatting>
        <x14:conditionalFormatting xmlns:xm="http://schemas.microsoft.com/office/excel/2006/main">
          <x14:cfRule type="dataBar" id="{46088CD0-80F3-4BF0-974A-742BAD0D55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V9:V11 V6</xm:sqref>
        </x14:conditionalFormatting>
        <x14:conditionalFormatting xmlns:xm="http://schemas.microsoft.com/office/excel/2006/main">
          <x14:cfRule type="dataBar" id="{572A6D1D-029C-440F-9F71-22D42EB4A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94BA628-E56E-4A67-B178-DE17AE3846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7A6E32CB-EE4F-45BC-A3C2-40B1781DF8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6B400749-B06F-4DEE-82BF-17C448434F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3A3B1EA-76EA-484D-A579-BE14D2B1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X4:X11</xm:sqref>
        </x14:conditionalFormatting>
        <x14:conditionalFormatting xmlns:xm="http://schemas.microsoft.com/office/excel/2006/main">
          <x14:cfRule type="dataBar" id="{43DE13B8-8611-4689-814F-F62D2CA4CC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C29079C3-1529-4D2A-AAF4-ACBF22E45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61961884-0512-4A8E-9281-5025689BA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38C2C4D-6184-453D-83D0-1A3CC5C4FC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A54F522-6A7F-47E0-82C0-94512CB850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738A15E1-EE89-4BE4-A8A2-B4F6FCD818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W4:W11</xm:sqref>
        </x14:conditionalFormatting>
        <x14:conditionalFormatting xmlns:xm="http://schemas.microsoft.com/office/excel/2006/main">
          <x14:cfRule type="dataBar" id="{87B92C57-6044-46D7-9EE8-EF11D87611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2CB8E-B3CA-4026-84D6-5BB0EE5273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9B0AADA4-7D4D-4ACC-B766-A0F46D4BC0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09D510AF-B61D-4CDD-AF7A-CCA03BE24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1D44FEE9-96AC-4BD4-AC07-FFE0DEDF29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3A72AED-6722-43BE-8A15-7E9ADBF1D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A513FC4-219B-4322-BDED-D3F0283B9D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7F3DE25-67B4-4EEF-B585-F578552E5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A2727FB9-69A7-4A1A-A5B9-8838018CB8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404D7-A350-4ED7-A396-8FA2B03CD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11E5C82-CD1A-40FC-9AC2-674240DA20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M8:M9</xm:sqref>
        </x14:conditionalFormatting>
        <x14:conditionalFormatting xmlns:xm="http://schemas.microsoft.com/office/excel/2006/main">
          <x14:cfRule type="dataBar" id="{3BD1DAD4-B02B-4549-BC95-12C30DCBA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B45838-4884-49E3-AD80-D7CF0EB68C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DDF7FA3E-EE2D-40C1-B5F6-5C6F41EEE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5BF653A1-B523-4350-892E-9FF9268E27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D48F3ACA-863A-4772-BAAE-65AACA1B7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52DEBAFC-A8B8-4210-B4C2-F9D765F6DC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77FD99B1-959F-4B2B-8A0B-98FB1A3E7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C44A6339-7A43-4632-B4CE-5A9A545C7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4361D807-8262-46FA-9BEA-021EFB8056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41912AFE-03A3-489E-ADE4-0E308286C7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06880058-2681-44BF-9ED6-9131D35160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E5134B50-DD65-4B4E-AD49-A43B23B9E6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FF73506C-92D7-437C-BCB2-D544CE0DCD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C60E6F9-09F5-4D87-AA28-9FE9DE62A4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BE97F4A6-13BA-47EC-B2C9-C1608F4413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1F6CB5F-F4B5-4AD2-99E4-52A22E4F3B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U11:V11</xm:sqref>
        </x14:conditionalFormatting>
        <x14:conditionalFormatting xmlns:xm="http://schemas.microsoft.com/office/excel/2006/main">
          <x14:cfRule type="dataBar" id="{D5D08564-ABC6-494B-945B-CCE140F4D9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 U9:V10</xm:sqref>
        </x14:conditionalFormatting>
        <x14:conditionalFormatting xmlns:xm="http://schemas.microsoft.com/office/excel/2006/main">
          <x14:cfRule type="dataBar" id="{71C14740-1A3A-4FE4-B878-06C394ADC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 U9:V11</xm:sqref>
        </x14:conditionalFormatting>
        <x14:conditionalFormatting xmlns:xm="http://schemas.microsoft.com/office/excel/2006/main">
          <x14:cfRule type="dataBar" id="{E96257F2-7EF0-4121-B778-5904EC740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556A36B9-B96C-4B8F-83EE-511B2811E4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8BE8AFC1-0DFB-4780-9D8B-C60B468A97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427828C9-C99B-49CC-94AF-2712387226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AA62527A-9DD8-4BD2-B9D1-BA2C325847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533EF9F4-C1FA-4331-80E1-2FE7C69E3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1CA92513-03DC-44BD-BAF8-2047FC434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3BD26DFB-6DA5-4E46-9E6E-BF6DBC7472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5A75632D-0AA4-4BDB-B62B-22222E73F4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F8D48E09-3E1B-4FE8-92C9-32943031A9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6748DD33-5A6B-4A69-8994-5291659093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8F2977A2-7D62-4EFB-BFAC-DBF84FB8C2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9614EBFB-44EA-4600-AAEE-A7540110E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I4:I11</xm:sqref>
        </x14:conditionalFormatting>
        <x14:conditionalFormatting xmlns:xm="http://schemas.microsoft.com/office/excel/2006/main">
          <x14:cfRule type="dataBar" id="{5517DE02-F173-4268-8CD8-980D67C8D0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I4:I13</xm:sqref>
        </x14:conditionalFormatting>
        <x14:conditionalFormatting xmlns:xm="http://schemas.microsoft.com/office/excel/2006/main">
          <x14:cfRule type="dataBar" id="{528CFFAA-CE38-40A3-BF98-F76DC76B0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L13:M13</xm:sqref>
        </x14:conditionalFormatting>
        <x14:conditionalFormatting xmlns:xm="http://schemas.microsoft.com/office/excel/2006/main">
          <x14:cfRule type="dataBar" id="{A1CEA4AD-2B8F-49ED-B799-00F8CA6E51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L4:L13</xm:sqref>
        </x14:conditionalFormatting>
        <x14:conditionalFormatting xmlns:xm="http://schemas.microsoft.com/office/excel/2006/main">
          <x14:cfRule type="dataBar" id="{CF30AC03-B52C-43DE-9280-EB0C818985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M4:M13</xm:sqref>
        </x14:conditionalFormatting>
        <x14:conditionalFormatting xmlns:xm="http://schemas.microsoft.com/office/excel/2006/main">
          <x14:cfRule type="dataBar" id="{DA9ACFC6-ED9D-4087-876E-441B1645B4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7B4D68AF-A6A1-462F-B33A-C54E75596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U4:V11</xm:sqref>
        </x14:conditionalFormatting>
        <x14:conditionalFormatting xmlns:xm="http://schemas.microsoft.com/office/excel/2006/main">
          <x14:cfRule type="dataBar" id="{DB13AF53-9D0F-4B84-A0B2-7B6553EC9E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571AA41E-7176-4B06-A4FC-1ECE93AD06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T4:T13</xm:sqref>
        </x14:conditionalFormatting>
        <x14:conditionalFormatting xmlns:xm="http://schemas.microsoft.com/office/excel/2006/main">
          <x14:cfRule type="iconSet" priority="10" id="{8BACA650-84DD-4B87-BE10-2D89D095A7E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J4:J11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50"/>
    <pageSetUpPr fitToPage="1"/>
  </sheetPr>
  <dimension ref="A1:X137"/>
  <sheetViews>
    <sheetView showGridLines="0" zoomScale="90" zoomScaleNormal="90" workbookViewId="0">
      <pane ySplit="3" topLeftCell="A91" activePane="bottomLeft" state="frozen"/>
      <selection activeCell="I7" sqref="I7"/>
      <selection pane="bottomLeft" activeCell="E121" sqref="E12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11.85546875" style="9" customWidth="1"/>
    <col min="9" max="9" width="14.42578125" style="9" customWidth="1"/>
    <col min="10" max="10" width="12.5703125" style="9" customWidth="1"/>
    <col min="11" max="11" width="14.42578125" style="9" customWidth="1"/>
    <col min="12" max="13" width="14.5703125" style="9" customWidth="1"/>
    <col min="14" max="15" width="12.5703125" style="9" customWidth="1"/>
    <col min="16" max="16" width="11.28515625" style="9" customWidth="1"/>
    <col min="17" max="17" width="12.5703125" style="9" customWidth="1"/>
    <col min="18" max="18" width="11.5703125" style="9" customWidth="1"/>
    <col min="19" max="19" width="13.85546875" style="9" customWidth="1"/>
    <col min="20" max="20" width="11.5703125" style="9" customWidth="1"/>
    <col min="21" max="21" width="14.85546875" style="9" customWidth="1"/>
    <col min="22" max="22" width="11.42578125" style="9" customWidth="1"/>
    <col min="23" max="23" width="20.85546875" style="9" customWidth="1"/>
    <col min="24" max="24" width="17.85546875" style="9" customWidth="1"/>
    <col min="25" max="16384" width="9.140625" style="9"/>
  </cols>
  <sheetData>
    <row r="1" spans="1:24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4" s="546" customFormat="1" ht="76.5" x14ac:dyDescent="0.2">
      <c r="B3" s="550" t="s">
        <v>105</v>
      </c>
      <c r="C3" s="551" t="s">
        <v>104</v>
      </c>
      <c r="D3" s="551" t="s">
        <v>120</v>
      </c>
      <c r="E3" s="551" t="s">
        <v>119</v>
      </c>
      <c r="F3" s="551" t="s">
        <v>100</v>
      </c>
      <c r="G3" s="551" t="s">
        <v>118</v>
      </c>
      <c r="H3" s="551" t="s">
        <v>800</v>
      </c>
      <c r="I3" s="551" t="s">
        <v>793</v>
      </c>
      <c r="J3" s="551" t="s">
        <v>97</v>
      </c>
      <c r="K3" s="551" t="s">
        <v>401</v>
      </c>
      <c r="L3" s="551" t="s">
        <v>138</v>
      </c>
      <c r="M3" s="551" t="s">
        <v>407</v>
      </c>
      <c r="N3" s="551" t="s">
        <v>127</v>
      </c>
      <c r="O3" s="551" t="s">
        <v>115</v>
      </c>
      <c r="P3" s="551" t="s">
        <v>114</v>
      </c>
      <c r="Q3" s="551" t="s">
        <v>111</v>
      </c>
      <c r="R3" s="551" t="s">
        <v>112</v>
      </c>
      <c r="S3" s="551" t="s">
        <v>798</v>
      </c>
      <c r="T3" s="551" t="s">
        <v>747</v>
      </c>
      <c r="U3" s="552" t="s">
        <v>128</v>
      </c>
      <c r="V3" s="552" t="s">
        <v>129</v>
      </c>
      <c r="W3" s="552" t="s">
        <v>283</v>
      </c>
      <c r="X3" s="552" t="s">
        <v>434</v>
      </c>
    </row>
    <row r="4" spans="1:24" s="474" customFormat="1" x14ac:dyDescent="0.2">
      <c r="A4" s="474" t="s">
        <v>431</v>
      </c>
      <c r="B4" s="415" t="s">
        <v>96</v>
      </c>
      <c r="C4" s="118" t="s">
        <v>184</v>
      </c>
      <c r="D4" s="119" t="e">
        <f t="shared" ref="D4:D10" ca="1" si="0">O4/$O$12</f>
        <v>#NAME?</v>
      </c>
      <c r="E4" s="120">
        <f>$F$133</f>
        <v>17000</v>
      </c>
      <c r="F4" s="181">
        <f>$H$133</f>
        <v>700</v>
      </c>
      <c r="G4" s="181" t="e">
        <f ca="1">_xll.BDP($C4,"PX_LAST")</f>
        <v>#NAME?</v>
      </c>
      <c r="H4" s="181" t="e">
        <f ca="1">_xll.BDP($C4,"BEST_TARGET_PRICE")</f>
        <v>#NAME?</v>
      </c>
      <c r="I4" s="616" t="e">
        <f t="shared" ref="I4:I10" ca="1" si="1">H4/G4-1</f>
        <v>#NAME?</v>
      </c>
      <c r="J4" s="182" t="e">
        <f ca="1">_xll.BDP($C4,"CRNCY")</f>
        <v>#NAME?</v>
      </c>
      <c r="K4" s="119" t="e">
        <f ca="1">$G4/$F4-1</f>
        <v>#NAME?</v>
      </c>
      <c r="L4" s="119" t="e">
        <f ca="1">P4/N4-1</f>
        <v>#NAME?</v>
      </c>
      <c r="M4" s="120">
        <f>$E4*$F4</f>
        <v>11900000</v>
      </c>
      <c r="N4" s="120" t="e">
        <f ca="1">$J$133</f>
        <v>#NAME?</v>
      </c>
      <c r="O4" s="120" t="e">
        <f ca="1">E4*G4</f>
        <v>#NAME?</v>
      </c>
      <c r="P4" s="120" t="e">
        <f t="shared" ref="P4:P10" ca="1" si="2">O4/$I$1</f>
        <v>#NAME?</v>
      </c>
      <c r="Q4" s="123" t="e">
        <f t="shared" ref="Q4:R10" ca="1" si="3">O4-M4</f>
        <v>#NAME?</v>
      </c>
      <c r="R4" s="123" t="e">
        <f t="shared" ca="1" si="3"/>
        <v>#NAME?</v>
      </c>
      <c r="S4" s="268" t="e">
        <f ca="1">_xll.BDP($C4,"EQY_DVD_YLD_EST")</f>
        <v>#NAME?</v>
      </c>
      <c r="T4" s="123" t="e">
        <f t="shared" ref="T4:T10" ca="1" si="4">P4</f>
        <v>#NAME?</v>
      </c>
      <c r="U4" s="125" t="e">
        <f ca="1">_xll.BDP($C4,"CHG_PCT_YTD")</f>
        <v>#NAME?</v>
      </c>
      <c r="V4" s="125" t="e">
        <f ca="1">_xll.BDP($C4,"CHG_PCT_1YR")</f>
        <v>#NAME?</v>
      </c>
      <c r="W4" s="125" t="e">
        <f ca="1">_xll.BDP($C4,"EXPECTED_REPORT_DT")</f>
        <v>#NAME?</v>
      </c>
      <c r="X4" s="125" t="e">
        <f ca="1">_xll.BDP($C4,"DVD_EX_DT")</f>
        <v>#NAME?</v>
      </c>
    </row>
    <row r="5" spans="1:24" s="474" customFormat="1" x14ac:dyDescent="0.2">
      <c r="A5" s="474" t="s">
        <v>431</v>
      </c>
      <c r="B5" s="415" t="s">
        <v>96</v>
      </c>
      <c r="C5" s="118" t="s">
        <v>77</v>
      </c>
      <c r="D5" s="119" t="e">
        <f t="shared" ca="1" si="0"/>
        <v>#NAME?</v>
      </c>
      <c r="E5" s="120">
        <v>33859</v>
      </c>
      <c r="F5" s="181" t="e">
        <f ca="1">$H$87</f>
        <v>#NAME?</v>
      </c>
      <c r="G5" s="181" t="e">
        <f ca="1">_xll.BDP($C5,"PX_LAST")</f>
        <v>#NAME?</v>
      </c>
      <c r="H5" s="181" t="e">
        <f ca="1">_xll.BDP($C5,"BEST_TARGET_PRICE")</f>
        <v>#NAME?</v>
      </c>
      <c r="I5" s="616" t="e">
        <f t="shared" ca="1" si="1"/>
        <v>#NAME?</v>
      </c>
      <c r="J5" s="182" t="e">
        <f ca="1">_xll.BDP($C5,"CRNCY")</f>
        <v>#NAME?</v>
      </c>
      <c r="K5" s="119" t="e">
        <f ca="1">$O5/$M5-1</f>
        <v>#NAME?</v>
      </c>
      <c r="L5" s="119" t="e">
        <f ca="1">G5/F5-1</f>
        <v>#NAME?</v>
      </c>
      <c r="M5" s="120" t="e">
        <f ca="1">$K$87</f>
        <v>#NAME?</v>
      </c>
      <c r="N5" s="120" t="e">
        <f ca="1">$E5*$F5</f>
        <v>#NAME?</v>
      </c>
      <c r="O5" s="120" t="e">
        <f ca="1">E5*G5*$I$1</f>
        <v>#NAME?</v>
      </c>
      <c r="P5" s="120" t="e">
        <f t="shared" ca="1" si="2"/>
        <v>#NAME?</v>
      </c>
      <c r="Q5" s="123" t="e">
        <f t="shared" ca="1" si="3"/>
        <v>#NAME?</v>
      </c>
      <c r="R5" s="123" t="e">
        <f t="shared" ca="1" si="3"/>
        <v>#NAME?</v>
      </c>
      <c r="S5" s="268" t="e">
        <f ca="1">_xll.BDP($C5,"EQY_DVD_YLD_EST")</f>
        <v>#NAME?</v>
      </c>
      <c r="T5" s="123" t="e">
        <f t="shared" ca="1" si="4"/>
        <v>#NAME?</v>
      </c>
      <c r="U5" s="125" t="e">
        <f ca="1">_xll.BDP($C5,"CHG_PCT_YTD")</f>
        <v>#NAME?</v>
      </c>
      <c r="V5" s="125" t="e">
        <f ca="1">_xll.BDP($C5,"CHG_PCT_1YR")</f>
        <v>#NAME?</v>
      </c>
      <c r="W5" s="125" t="e">
        <f ca="1">_xll.BDP($C5,"EXPECTED_REPORT_DT")</f>
        <v>#NAME?</v>
      </c>
      <c r="X5" s="125" t="e">
        <f ca="1">_xll.BDP($C5,"DVD_EX_DT")</f>
        <v>#NAME?</v>
      </c>
    </row>
    <row r="6" spans="1:24" s="474" customFormat="1" x14ac:dyDescent="0.2">
      <c r="A6" s="474" t="s">
        <v>431</v>
      </c>
      <c r="B6" s="415" t="s">
        <v>318</v>
      </c>
      <c r="C6" s="118" t="s">
        <v>76</v>
      </c>
      <c r="D6" s="119" t="e">
        <f t="shared" ca="1" si="0"/>
        <v>#NAME?</v>
      </c>
      <c r="E6" s="120">
        <v>98535</v>
      </c>
      <c r="F6" s="181" t="e">
        <f ca="1">$H$68</f>
        <v>#NAME?</v>
      </c>
      <c r="G6" s="181" t="e">
        <f ca="1">_xll.BDP($C6,"PX_LAST")</f>
        <v>#NAME?</v>
      </c>
      <c r="H6" s="181" t="e">
        <f ca="1">_xll.BDP($C6,"BEST_TARGET_PRICE")</f>
        <v>#NAME?</v>
      </c>
      <c r="I6" s="616" t="e">
        <f t="shared" ca="1" si="1"/>
        <v>#NAME?</v>
      </c>
      <c r="J6" s="182" t="e">
        <f ca="1">_xll.BDP($C6,"CRNCY")</f>
        <v>#NAME?</v>
      </c>
      <c r="K6" s="119" t="e">
        <f ca="1">$O6/$M6-1</f>
        <v>#NAME?</v>
      </c>
      <c r="L6" s="119" t="e">
        <f ca="1">G6/F6-1</f>
        <v>#NAME?</v>
      </c>
      <c r="M6" s="120" t="e">
        <f ca="1">$K$68</f>
        <v>#NAME?</v>
      </c>
      <c r="N6" s="120" t="e">
        <f ca="1">$E6*$F6</f>
        <v>#NAME?</v>
      </c>
      <c r="O6" s="120" t="e">
        <f ca="1">E6*G6*$I$1</f>
        <v>#NAME?</v>
      </c>
      <c r="P6" s="120" t="e">
        <f t="shared" ca="1" si="2"/>
        <v>#NAME?</v>
      </c>
      <c r="Q6" s="123" t="e">
        <f t="shared" ca="1" si="3"/>
        <v>#NAME?</v>
      </c>
      <c r="R6" s="123" t="e">
        <f t="shared" ca="1" si="3"/>
        <v>#NAME?</v>
      </c>
      <c r="S6" s="268" t="e">
        <f ca="1">_xll.BDP($C6,"EQY_DVD_YLD_EST")</f>
        <v>#NAME?</v>
      </c>
      <c r="T6" s="123" t="e">
        <f t="shared" ca="1" si="4"/>
        <v>#NAME?</v>
      </c>
      <c r="U6" s="125" t="e">
        <f ca="1">_xll.BDP($C6,"CHG_PCT_YTD")</f>
        <v>#NAME?</v>
      </c>
      <c r="V6" s="125" t="e">
        <f ca="1">_xll.BDP($C6,"CHG_PCT_1YR")</f>
        <v>#NAME?</v>
      </c>
      <c r="W6" s="125" t="e">
        <f ca="1">_xll.BDP($C6,"EXPECTED_REPORT_DT")</f>
        <v>#NAME?</v>
      </c>
      <c r="X6" s="125" t="e">
        <f ca="1">_xll.BDP($C6,"DVD_EX_DT")</f>
        <v>#NAME?</v>
      </c>
    </row>
    <row r="7" spans="1:24" s="474" customFormat="1" x14ac:dyDescent="0.2">
      <c r="A7" s="474" t="s">
        <v>431</v>
      </c>
      <c r="B7" s="415" t="s">
        <v>95</v>
      </c>
      <c r="C7" s="118" t="s">
        <v>78</v>
      </c>
      <c r="D7" s="119" t="e">
        <f t="shared" ca="1" si="0"/>
        <v>#NAME?</v>
      </c>
      <c r="E7" s="120">
        <v>125750</v>
      </c>
      <c r="F7" s="181">
        <f>$H$73</f>
        <v>259.02366322067593</v>
      </c>
      <c r="G7" s="181" t="e">
        <f ca="1">_xll.BDP($C7,"PX_LAST")</f>
        <v>#NAME?</v>
      </c>
      <c r="H7" s="181" t="e">
        <f ca="1">_xll.BDP($C7,"BEST_TARGET_PRICE")</f>
        <v>#NAME?</v>
      </c>
      <c r="I7" s="616" t="e">
        <f t="shared" ca="1" si="1"/>
        <v>#NAME?</v>
      </c>
      <c r="J7" s="182" t="e">
        <f ca="1">_xll.BDP($C7,"CRNCY")</f>
        <v>#NAME?</v>
      </c>
      <c r="K7" s="119" t="e">
        <f ca="1">$G7/$F7-1</f>
        <v>#NAME?</v>
      </c>
      <c r="L7" s="119" t="e">
        <f ca="1">P7/N7-1</f>
        <v>#NAME?</v>
      </c>
      <c r="M7" s="120">
        <f>$E7*$F7</f>
        <v>32572225.649999999</v>
      </c>
      <c r="N7" s="120" t="e">
        <f ca="1">$J$73</f>
        <v>#NAME?</v>
      </c>
      <c r="O7" s="120" t="e">
        <f ca="1">E7*G7</f>
        <v>#NAME?</v>
      </c>
      <c r="P7" s="120" t="e">
        <f t="shared" ca="1" si="2"/>
        <v>#NAME?</v>
      </c>
      <c r="Q7" s="123" t="e">
        <f t="shared" ca="1" si="3"/>
        <v>#NAME?</v>
      </c>
      <c r="R7" s="123" t="e">
        <f t="shared" ca="1" si="3"/>
        <v>#NAME?</v>
      </c>
      <c r="S7" s="268" t="e">
        <f ca="1">_xll.BDP($C7,"EQY_DVD_YLD_EST")</f>
        <v>#NAME?</v>
      </c>
      <c r="T7" s="123" t="e">
        <f t="shared" ca="1" si="4"/>
        <v>#NAME?</v>
      </c>
      <c r="U7" s="125" t="e">
        <f ca="1">_xll.BDP($C7,"CHG_PCT_YTD")</f>
        <v>#NAME?</v>
      </c>
      <c r="V7" s="125" t="e">
        <f ca="1">_xll.BDP($C7,"CHG_PCT_1YR")</f>
        <v>#NAME?</v>
      </c>
      <c r="W7" s="125" t="e">
        <f ca="1">_xll.BDP($C7,"EXPECTED_REPORT_DT")</f>
        <v>#NAME?</v>
      </c>
      <c r="X7" s="125" t="e">
        <f ca="1">_xll.BDP($C7,"DVD_EX_DT")</f>
        <v>#NAME?</v>
      </c>
    </row>
    <row r="8" spans="1:24" s="474" customFormat="1" x14ac:dyDescent="0.2">
      <c r="A8" s="474" t="s">
        <v>431</v>
      </c>
      <c r="B8" s="415" t="s">
        <v>152</v>
      </c>
      <c r="C8" s="118" t="s">
        <v>52</v>
      </c>
      <c r="D8" s="119" t="e">
        <f t="shared" ca="1" si="0"/>
        <v>#NAME?</v>
      </c>
      <c r="E8" s="120">
        <v>3585600</v>
      </c>
      <c r="F8" s="181">
        <f>$H$81</f>
        <v>80.277617629551102</v>
      </c>
      <c r="G8" s="181" t="e">
        <f ca="1">_xll.BDP($C8,"PX_LAST")</f>
        <v>#NAME?</v>
      </c>
      <c r="H8" s="181" t="e">
        <f ca="1">_xll.BDP($C8,"BEST_TARGET_PRICE")</f>
        <v>#NAME?</v>
      </c>
      <c r="I8" s="616" t="e">
        <f t="shared" ca="1" si="1"/>
        <v>#NAME?</v>
      </c>
      <c r="J8" s="182" t="e">
        <f ca="1">_xll.BDP($C8,"CRNCY")</f>
        <v>#NAME?</v>
      </c>
      <c r="K8" s="119" t="e">
        <f ca="1">$G8/$F8-1</f>
        <v>#NAME?</v>
      </c>
      <c r="L8" s="119" t="e">
        <f ca="1">P8/N8-1</f>
        <v>#NAME?</v>
      </c>
      <c r="M8" s="120">
        <f>$E8*$F8</f>
        <v>287843425.77251846</v>
      </c>
      <c r="N8" s="120" t="e">
        <f ca="1">$J$81</f>
        <v>#NAME?</v>
      </c>
      <c r="O8" s="120" t="e">
        <f ca="1">E8*G8</f>
        <v>#NAME?</v>
      </c>
      <c r="P8" s="120" t="e">
        <f t="shared" ca="1" si="2"/>
        <v>#NAME?</v>
      </c>
      <c r="Q8" s="123" t="e">
        <f t="shared" ca="1" si="3"/>
        <v>#NAME?</v>
      </c>
      <c r="R8" s="123" t="e">
        <f t="shared" ca="1" si="3"/>
        <v>#NAME?</v>
      </c>
      <c r="S8" s="268" t="e">
        <f ca="1">_xll.BDP($C8,"EQY_DVD_YLD_EST")</f>
        <v>#NAME?</v>
      </c>
      <c r="T8" s="123" t="e">
        <f t="shared" ca="1" si="4"/>
        <v>#NAME?</v>
      </c>
      <c r="U8" s="125" t="e">
        <f ca="1">_xll.BDP($C8,"CHG_PCT_YTD")</f>
        <v>#NAME?</v>
      </c>
      <c r="V8" s="125" t="e">
        <f ca="1">_xll.BDP($C8,"CHG_PCT_1YR")</f>
        <v>#NAME?</v>
      </c>
      <c r="W8" s="125" t="e">
        <f ca="1">_xll.BDP($C8,"EXPECTED_REPORT_DT")</f>
        <v>#NAME?</v>
      </c>
      <c r="X8" s="125" t="e">
        <f ca="1">_xll.BDP($C8,"DVD_EX_DT")</f>
        <v>#NAME?</v>
      </c>
    </row>
    <row r="9" spans="1:24" s="474" customFormat="1" x14ac:dyDescent="0.2">
      <c r="A9" s="474" t="s">
        <v>431</v>
      </c>
      <c r="B9" s="415" t="s">
        <v>107</v>
      </c>
      <c r="C9" s="118" t="s">
        <v>79</v>
      </c>
      <c r="D9" s="119" t="e">
        <f t="shared" ca="1" si="0"/>
        <v>#NAME?</v>
      </c>
      <c r="E9" s="120">
        <v>4004</v>
      </c>
      <c r="F9" s="181" t="e">
        <f ca="1">$H$94</f>
        <v>#NAME?</v>
      </c>
      <c r="G9" s="181" t="e">
        <f ca="1">_xll.BDP($C9,"PX_LAST")</f>
        <v>#NAME?</v>
      </c>
      <c r="H9" s="181" t="e">
        <f ca="1">_xll.BDP($C9,"BEST_TARGET_PRICE")</f>
        <v>#NAME?</v>
      </c>
      <c r="I9" s="616" t="e">
        <f t="shared" ca="1" si="1"/>
        <v>#NAME?</v>
      </c>
      <c r="J9" s="182" t="e">
        <f ca="1">_xll.BDP($C9,"CRNCY")</f>
        <v>#NAME?</v>
      </c>
      <c r="K9" s="119" t="e">
        <f ca="1">$O9/$M9-1</f>
        <v>#NAME?</v>
      </c>
      <c r="L9" s="119" t="e">
        <f ca="1">G9/F9-1</f>
        <v>#NAME?</v>
      </c>
      <c r="M9" s="120" t="e">
        <f ca="1">$K$94</f>
        <v>#NAME?</v>
      </c>
      <c r="N9" s="120" t="e">
        <f ca="1">$E9*$F9</f>
        <v>#NAME?</v>
      </c>
      <c r="O9" s="120" t="e">
        <f ca="1">E9*G9*$I$1</f>
        <v>#NAME?</v>
      </c>
      <c r="P9" s="120" t="e">
        <f t="shared" ca="1" si="2"/>
        <v>#NAME?</v>
      </c>
      <c r="Q9" s="123" t="e">
        <f t="shared" ca="1" si="3"/>
        <v>#NAME?</v>
      </c>
      <c r="R9" s="123" t="e">
        <f t="shared" ca="1" si="3"/>
        <v>#NAME?</v>
      </c>
      <c r="S9" s="268" t="e">
        <f ca="1">_xll.BDP($C9,"EQY_DVD_YLD_EST")</f>
        <v>#NAME?</v>
      </c>
      <c r="T9" s="123" t="e">
        <f t="shared" ca="1" si="4"/>
        <v>#NAME?</v>
      </c>
      <c r="U9" s="125" t="e">
        <f ca="1">_xll.BDP($C9,"CHG_PCT_YTD")</f>
        <v>#NAME?</v>
      </c>
      <c r="V9" s="125" t="e">
        <f ca="1">_xll.BDP($C9,"CHG_PCT_1YR")</f>
        <v>#NAME?</v>
      </c>
      <c r="W9" s="125" t="e">
        <f ca="1">_xll.BDP($C9,"EXPECTED_REPORT_DT")</f>
        <v>#NAME?</v>
      </c>
      <c r="X9" s="125" t="e">
        <f ca="1">_xll.BDP($C9,"DVD_EX_DT")</f>
        <v>#NAME?</v>
      </c>
    </row>
    <row r="10" spans="1:24" s="429" customFormat="1" ht="23.25" x14ac:dyDescent="0.35">
      <c r="A10" s="429" t="s">
        <v>431</v>
      </c>
      <c r="B10" s="116" t="s">
        <v>333</v>
      </c>
      <c r="C10" s="116" t="s">
        <v>332</v>
      </c>
      <c r="D10" s="425" t="e">
        <f t="shared" ca="1" si="0"/>
        <v>#NAME?</v>
      </c>
      <c r="E10" s="426">
        <f>$F$137</f>
        <v>100000</v>
      </c>
      <c r="F10" s="121">
        <f>$H$137</f>
        <v>232.375</v>
      </c>
      <c r="G10" s="121" t="e">
        <f ca="1">_xll.BDP($C10,"PX_LAST")</f>
        <v>#NAME?</v>
      </c>
      <c r="H10" s="121" t="e">
        <f ca="1">_xll.BDP($C10,"BEST_TARGET_PRICE")</f>
        <v>#NAME?</v>
      </c>
      <c r="I10" s="791" t="e">
        <f t="shared" ca="1" si="1"/>
        <v>#NAME?</v>
      </c>
      <c r="J10" s="432" t="e">
        <f ca="1">_xll.BDP($C10,"CRNCY")</f>
        <v>#NAME?</v>
      </c>
      <c r="K10" s="792" t="e">
        <f ca="1">$G10/$F10-1</f>
        <v>#NAME?</v>
      </c>
      <c r="L10" s="792" t="e">
        <f ca="1">P10/N10-1</f>
        <v>#NAME?</v>
      </c>
      <c r="M10" s="426">
        <f>$E10*$F10</f>
        <v>23237500</v>
      </c>
      <c r="N10" s="426" t="e">
        <f ca="1">$J$137</f>
        <v>#NAME?</v>
      </c>
      <c r="O10" s="426" t="e">
        <f ca="1">E10*G10</f>
        <v>#NAME?</v>
      </c>
      <c r="P10" s="426" t="e">
        <f t="shared" ca="1" si="2"/>
        <v>#NAME?</v>
      </c>
      <c r="Q10" s="124" t="e">
        <f t="shared" ca="1" si="3"/>
        <v>#NAME?</v>
      </c>
      <c r="R10" s="124" t="e">
        <f t="shared" ca="1" si="3"/>
        <v>#NAME?</v>
      </c>
      <c r="S10" s="793" t="e">
        <f ca="1">_xll.BDP($C10,"EQY_DVD_YLD_EST")</f>
        <v>#NAME?</v>
      </c>
      <c r="T10" s="124" t="e">
        <f t="shared" ca="1" si="4"/>
        <v>#NAME?</v>
      </c>
      <c r="U10" s="794" t="e">
        <f ca="1">_xll.BDP($C10,"CHG_PCT_YTD")</f>
        <v>#NAME?</v>
      </c>
      <c r="V10" s="794" t="e">
        <f ca="1">_xll.BDP($C10,"CHG_PCT_1YR")</f>
        <v>#NAME?</v>
      </c>
      <c r="W10" s="794" t="e">
        <f ca="1">_xll.BDP($C10,"EXPECTED_REPORT_DT")</f>
        <v>#NAME?</v>
      </c>
      <c r="X10" s="794" t="e">
        <f ca="1">_xll.BDP($C10,"DVD_EX_DT")</f>
        <v>#NAME?</v>
      </c>
    </row>
    <row r="11" spans="1:24" x14ac:dyDescent="0.2">
      <c r="A11" s="460"/>
      <c r="B11" s="68" t="s">
        <v>106</v>
      </c>
      <c r="C11" s="68" t="s">
        <v>106</v>
      </c>
      <c r="D11" s="101" t="e">
        <f t="shared" ref="D11" ca="1" si="5">O11/$O$12</f>
        <v>#NAME?</v>
      </c>
      <c r="E11" s="64"/>
      <c r="F11" s="67"/>
      <c r="G11" s="66"/>
      <c r="H11" s="66"/>
      <c r="I11" s="66"/>
      <c r="J11" s="60"/>
      <c r="K11" s="65"/>
      <c r="L11" s="65"/>
      <c r="M11" s="64"/>
      <c r="N11" s="64"/>
      <c r="O11" s="271"/>
      <c r="P11" s="272"/>
      <c r="Q11" s="62"/>
      <c r="R11" s="61"/>
      <c r="S11" s="61"/>
      <c r="T11" s="61"/>
      <c r="U11" s="60"/>
      <c r="V11" s="60"/>
      <c r="W11" s="60"/>
      <c r="X11" s="60"/>
    </row>
    <row r="12" spans="1:24" s="460" customFormat="1" ht="13.5" customHeight="1" thickBot="1" x14ac:dyDescent="0.25">
      <c r="B12" s="579"/>
      <c r="C12" s="579"/>
      <c r="D12" s="580" t="e">
        <f ca="1">SUM(D4:D11)</f>
        <v>#NAME?</v>
      </c>
      <c r="E12" s="579"/>
      <c r="F12" s="579"/>
      <c r="G12" s="579"/>
      <c r="H12" s="579"/>
      <c r="I12" s="575" t="e">
        <f ca="1">SUMPRODUCT(D4:D10,I4:I10)</f>
        <v>#NAME?</v>
      </c>
      <c r="J12" s="581"/>
      <c r="K12" s="579"/>
      <c r="L12" s="579"/>
      <c r="M12" s="582" t="e">
        <f ca="1">SUM(M4:M11)</f>
        <v>#NAME?</v>
      </c>
      <c r="N12" s="582" t="e">
        <f ca="1">SUM(N4:N11)</f>
        <v>#NAME?</v>
      </c>
      <c r="O12" s="582" t="e">
        <f ca="1">SUM(O4:O11)</f>
        <v>#NAME?</v>
      </c>
      <c r="P12" s="582" t="e">
        <f ca="1">SUM(P4:P11)</f>
        <v>#NAME?</v>
      </c>
      <c r="Q12" s="582" t="e">
        <f ca="1">SUM(Q4:Q10)</f>
        <v>#NAME?</v>
      </c>
      <c r="R12" s="582" t="e">
        <f ca="1">SUM(R4:R10)</f>
        <v>#NAME?</v>
      </c>
      <c r="S12" s="573" t="e">
        <f ca="1">SUMPRODUCT(D4:D10,S4:S10)</f>
        <v>#NAME?</v>
      </c>
      <c r="T12" s="582"/>
      <c r="U12" s="581"/>
      <c r="V12" s="581"/>
      <c r="W12" s="581"/>
      <c r="X12" s="581"/>
    </row>
    <row r="13" spans="1:24" s="460" customFormat="1" ht="38.25" x14ac:dyDescent="0.2">
      <c r="B13" s="440"/>
      <c r="C13" s="440"/>
      <c r="D13" s="548"/>
      <c r="E13" s="440"/>
      <c r="F13" s="440"/>
      <c r="G13" s="440"/>
      <c r="I13" s="354" t="s">
        <v>797</v>
      </c>
      <c r="J13" s="185"/>
      <c r="K13" s="549"/>
      <c r="M13" s="446"/>
      <c r="N13" s="446"/>
      <c r="O13" s="583"/>
      <c r="P13" s="583"/>
      <c r="Q13" s="584" t="e">
        <f ca="1">O12/M12-1</f>
        <v>#NAME?</v>
      </c>
      <c r="R13" s="584" t="e">
        <f ca="1">P12/N12-1</f>
        <v>#NAME?</v>
      </c>
      <c r="S13" s="605" t="s">
        <v>799</v>
      </c>
      <c r="T13" s="574"/>
      <c r="U13" s="354"/>
    </row>
    <row r="14" spans="1:24" s="460" customFormat="1" x14ac:dyDescent="0.2">
      <c r="B14" s="440" t="s">
        <v>319</v>
      </c>
      <c r="C14" s="440" t="s">
        <v>74</v>
      </c>
      <c r="D14" s="585" t="s">
        <v>51</v>
      </c>
      <c r="E14" s="443" t="e">
        <f ca="1">F14*_xll.BDP(C14,"PX_LAST")</f>
        <v>#NAME?</v>
      </c>
      <c r="F14" s="443">
        <v>26178000</v>
      </c>
      <c r="G14" s="586">
        <v>16062000</v>
      </c>
      <c r="H14" s="587">
        <f t="shared" ref="H14:H36" si="6">G14/F14</f>
        <v>0.61356864542745815</v>
      </c>
      <c r="I14" s="443">
        <f t="shared" ref="I14:I36" si="7">G14*K14</f>
        <v>12929910</v>
      </c>
      <c r="J14" s="586">
        <f t="shared" ref="J14:J36" si="8">G14*L14</f>
        <v>18227157.600000001</v>
      </c>
      <c r="K14" s="588">
        <v>0.80500000000000005</v>
      </c>
      <c r="L14" s="588">
        <v>1.1348</v>
      </c>
      <c r="M14" s="442">
        <f t="shared" ref="M14:M36" si="9">L14/K14-1</f>
        <v>0.40968944099378879</v>
      </c>
      <c r="N14" s="443">
        <f t="shared" ref="N14:N36" si="10">J14-I14</f>
        <v>5297247.6000000015</v>
      </c>
      <c r="O14" s="445" t="e">
        <f ca="1">_xll.BDP($C14,"CRNCY")</f>
        <v>#NAME?</v>
      </c>
      <c r="P14" s="443" t="e">
        <f t="shared" ref="P14:P36" ca="1" si="11">N14/R14</f>
        <v>#NAME?</v>
      </c>
      <c r="Q14" s="589">
        <v>42104</v>
      </c>
      <c r="R14" s="590" t="e">
        <f ca="1">_xll.BDH("RUB curncy","PX_LAST",$Q14)</f>
        <v>#NAME?</v>
      </c>
      <c r="S14" s="591"/>
      <c r="T14" s="591"/>
      <c r="U14" s="469"/>
    </row>
    <row r="15" spans="1:24" s="460" customFormat="1" x14ac:dyDescent="0.2">
      <c r="B15" s="440" t="s">
        <v>319</v>
      </c>
      <c r="C15" s="440" t="s">
        <v>74</v>
      </c>
      <c r="D15" s="585" t="s">
        <v>51</v>
      </c>
      <c r="E15" s="443" t="e">
        <f ca="1">F15*_xll.BDP(C15,"PX_LAST")</f>
        <v>#NAME?</v>
      </c>
      <c r="F15" s="443">
        <v>26178000</v>
      </c>
      <c r="G15" s="586">
        <v>10116000</v>
      </c>
      <c r="H15" s="587">
        <f t="shared" si="6"/>
        <v>0.38643135457254185</v>
      </c>
      <c r="I15" s="443">
        <f t="shared" si="7"/>
        <v>8143380.0000000009</v>
      </c>
      <c r="J15" s="586">
        <f t="shared" si="8"/>
        <v>11738606.4</v>
      </c>
      <c r="K15" s="588">
        <v>0.80500000000000005</v>
      </c>
      <c r="L15" s="588">
        <v>1.1604000000000001</v>
      </c>
      <c r="M15" s="442">
        <f t="shared" si="9"/>
        <v>0.44149068322981377</v>
      </c>
      <c r="N15" s="443">
        <f t="shared" si="10"/>
        <v>3595226.3999999994</v>
      </c>
      <c r="O15" s="445" t="e">
        <f ca="1">_xll.BDP($C15,"CRNCY")</f>
        <v>#NAME?</v>
      </c>
      <c r="P15" s="443" t="e">
        <f t="shared" ca="1" si="11"/>
        <v>#NAME?</v>
      </c>
      <c r="Q15" s="589">
        <v>42109</v>
      </c>
      <c r="R15" s="590" t="e">
        <f ca="1">_xll.BDH("RUB curncy","PX_LAST",$Q15)</f>
        <v>#NAME?</v>
      </c>
      <c r="S15" s="591"/>
      <c r="T15" s="591"/>
      <c r="U15" s="469"/>
    </row>
    <row r="16" spans="1:24" s="460" customFormat="1" x14ac:dyDescent="0.2">
      <c r="B16" s="440" t="s">
        <v>355</v>
      </c>
      <c r="C16" s="440" t="s">
        <v>108</v>
      </c>
      <c r="D16" s="585" t="s">
        <v>51</v>
      </c>
      <c r="E16" s="443" t="e">
        <f ca="1">F16*_xll.BDP(C16,"PX_LAST")</f>
        <v>#NAME?</v>
      </c>
      <c r="F16" s="443">
        <v>557000</v>
      </c>
      <c r="G16" s="586">
        <v>102000</v>
      </c>
      <c r="H16" s="587">
        <f t="shared" si="6"/>
        <v>0.18312387791741472</v>
      </c>
      <c r="I16" s="443">
        <f t="shared" si="7"/>
        <v>5867040</v>
      </c>
      <c r="J16" s="586">
        <f t="shared" si="8"/>
        <v>8647501.5539999995</v>
      </c>
      <c r="K16" s="588">
        <v>57.52</v>
      </c>
      <c r="L16" s="588">
        <v>84.779426999999998</v>
      </c>
      <c r="M16" s="442">
        <f t="shared" si="9"/>
        <v>0.47391215229485395</v>
      </c>
      <c r="N16" s="443">
        <f t="shared" si="10"/>
        <v>2780461.5539999995</v>
      </c>
      <c r="O16" s="445" t="e">
        <f ca="1">_xll.BDP($C16,"CRNCY")</f>
        <v>#NAME?</v>
      </c>
      <c r="P16" s="443" t="e">
        <f t="shared" ca="1" si="11"/>
        <v>#NAME?</v>
      </c>
      <c r="Q16" s="589">
        <v>42291</v>
      </c>
      <c r="R16" s="590" t="e">
        <f ca="1">_xll.BDH("RUB curncy","PX_LAST",$Q16)</f>
        <v>#NAME?</v>
      </c>
      <c r="S16" s="591"/>
      <c r="T16" s="591"/>
      <c r="U16" s="469"/>
    </row>
    <row r="17" spans="2:22" s="460" customFormat="1" x14ac:dyDescent="0.2">
      <c r="B17" s="440" t="s">
        <v>355</v>
      </c>
      <c r="C17" s="440" t="s">
        <v>108</v>
      </c>
      <c r="D17" s="585" t="s">
        <v>51</v>
      </c>
      <c r="E17" s="443" t="e">
        <f ca="1">F17*_xll.BDP(C17,"PX_LAST")</f>
        <v>#NAME?</v>
      </c>
      <c r="F17" s="443">
        <v>557000</v>
      </c>
      <c r="G17" s="586">
        <v>100000</v>
      </c>
      <c r="H17" s="587">
        <f t="shared" si="6"/>
        <v>0.17953321364452424</v>
      </c>
      <c r="I17" s="443">
        <f t="shared" si="7"/>
        <v>5752000</v>
      </c>
      <c r="J17" s="586">
        <f t="shared" si="8"/>
        <v>8500000</v>
      </c>
      <c r="K17" s="588">
        <v>57.52</v>
      </c>
      <c r="L17" s="588">
        <v>85</v>
      </c>
      <c r="M17" s="442">
        <f t="shared" si="9"/>
        <v>0.4777468706536856</v>
      </c>
      <c r="N17" s="443">
        <f t="shared" si="10"/>
        <v>2748000</v>
      </c>
      <c r="O17" s="445" t="e">
        <f ca="1">_xll.BDP($C17,"CRNCY")</f>
        <v>#NAME?</v>
      </c>
      <c r="P17" s="443" t="e">
        <f t="shared" ca="1" si="11"/>
        <v>#NAME?</v>
      </c>
      <c r="Q17" s="589">
        <v>42293</v>
      </c>
      <c r="R17" s="590" t="e">
        <f ca="1">_xll.BDH("RUB curncy","PX_LAST",$Q17)</f>
        <v>#NAME?</v>
      </c>
      <c r="S17" s="591"/>
      <c r="T17" s="591"/>
      <c r="U17" s="469"/>
    </row>
    <row r="18" spans="2:22" s="460" customFormat="1" x14ac:dyDescent="0.2">
      <c r="B18" s="440" t="s">
        <v>450</v>
      </c>
      <c r="C18" s="440" t="s">
        <v>109</v>
      </c>
      <c r="D18" s="585" t="s">
        <v>51</v>
      </c>
      <c r="E18" s="443" t="e">
        <f ca="1">F18*_xll.BDP(C18,"PX_LAST")</f>
        <v>#NAME?</v>
      </c>
      <c r="F18" s="443">
        <v>552000000</v>
      </c>
      <c r="G18" s="586">
        <v>73510000</v>
      </c>
      <c r="H18" s="587">
        <f t="shared" si="6"/>
        <v>0.13317028985507245</v>
      </c>
      <c r="I18" s="443">
        <f t="shared" si="7"/>
        <v>4660534</v>
      </c>
      <c r="J18" s="586">
        <f t="shared" si="8"/>
        <v>4460439.78</v>
      </c>
      <c r="K18" s="592">
        <v>6.3399999999999998E-2</v>
      </c>
      <c r="L18" s="592">
        <v>6.0678000000000003E-2</v>
      </c>
      <c r="M18" s="442">
        <f t="shared" si="9"/>
        <v>-4.2933753943217634E-2</v>
      </c>
      <c r="N18" s="443">
        <f t="shared" si="10"/>
        <v>-200094.21999999974</v>
      </c>
      <c r="O18" s="445" t="e">
        <f ca="1">_xll.BDP($C18,"CRNCY")</f>
        <v>#NAME?</v>
      </c>
      <c r="P18" s="443" t="e">
        <f t="shared" ca="1" si="11"/>
        <v>#NAME?</v>
      </c>
      <c r="Q18" s="589">
        <v>42293</v>
      </c>
      <c r="R18" s="590" t="e">
        <f ca="1">_xll.BDH("RUB curncy","PX_LAST",$Q18)</f>
        <v>#NAME?</v>
      </c>
      <c r="S18" s="591"/>
      <c r="T18" s="591"/>
      <c r="U18" s="593"/>
      <c r="V18" s="594"/>
    </row>
    <row r="19" spans="2:22" s="460" customFormat="1" x14ac:dyDescent="0.2">
      <c r="B19" s="440" t="s">
        <v>355</v>
      </c>
      <c r="C19" s="440" t="s">
        <v>108</v>
      </c>
      <c r="D19" s="585" t="s">
        <v>51</v>
      </c>
      <c r="E19" s="443" t="e">
        <f ca="1">F19*_xll.BDP(C19,"PX_LAST")</f>
        <v>#NAME?</v>
      </c>
      <c r="F19" s="443">
        <v>557000</v>
      </c>
      <c r="G19" s="586">
        <v>55000</v>
      </c>
      <c r="H19" s="587">
        <f t="shared" si="6"/>
        <v>9.8743267504488336E-2</v>
      </c>
      <c r="I19" s="443">
        <f t="shared" si="7"/>
        <v>3163600</v>
      </c>
      <c r="J19" s="586">
        <f t="shared" si="8"/>
        <v>4708000</v>
      </c>
      <c r="K19" s="588">
        <v>57.52</v>
      </c>
      <c r="L19" s="588">
        <v>85.6</v>
      </c>
      <c r="M19" s="442">
        <f t="shared" si="9"/>
        <v>0.48817802503477026</v>
      </c>
      <c r="N19" s="443">
        <f t="shared" si="10"/>
        <v>1544400</v>
      </c>
      <c r="O19" s="445" t="e">
        <f ca="1">_xll.BDP($C19,"CRNCY")</f>
        <v>#NAME?</v>
      </c>
      <c r="P19" s="443" t="e">
        <f t="shared" ca="1" si="11"/>
        <v>#NAME?</v>
      </c>
      <c r="Q19" s="589">
        <v>42299</v>
      </c>
      <c r="R19" s="590" t="e">
        <f ca="1">_xll.BDH("RUB curncy","PX_LAST",$Q19)</f>
        <v>#NAME?</v>
      </c>
      <c r="S19" s="591"/>
      <c r="T19" s="591"/>
    </row>
    <row r="20" spans="2:22" s="460" customFormat="1" x14ac:dyDescent="0.2">
      <c r="B20" s="440" t="s">
        <v>450</v>
      </c>
      <c r="C20" s="440" t="s">
        <v>109</v>
      </c>
      <c r="D20" s="585" t="s">
        <v>51</v>
      </c>
      <c r="E20" s="443" t="e">
        <f ca="1">F20*_xll.BDP(C20,"PX_LAST")</f>
        <v>#NAME?</v>
      </c>
      <c r="F20" s="443">
        <v>552000000</v>
      </c>
      <c r="G20" s="586">
        <v>278490000</v>
      </c>
      <c r="H20" s="587">
        <f t="shared" si="6"/>
        <v>0.5045108695652174</v>
      </c>
      <c r="I20" s="443">
        <f t="shared" si="7"/>
        <v>17656266</v>
      </c>
      <c r="J20" s="586">
        <f t="shared" si="8"/>
        <v>17495577.27</v>
      </c>
      <c r="K20" s="592">
        <v>6.3399999999999998E-2</v>
      </c>
      <c r="L20" s="592">
        <v>6.2823000000000004E-2</v>
      </c>
      <c r="M20" s="442">
        <f t="shared" si="9"/>
        <v>-9.1009463722396822E-3</v>
      </c>
      <c r="N20" s="443">
        <f t="shared" si="10"/>
        <v>-160688.73000000045</v>
      </c>
      <c r="O20" s="445" t="e">
        <f ca="1">_xll.BDP($C20,"CRNCY")</f>
        <v>#NAME?</v>
      </c>
      <c r="P20" s="443" t="e">
        <f t="shared" ca="1" si="11"/>
        <v>#NAME?</v>
      </c>
      <c r="Q20" s="589">
        <v>42298</v>
      </c>
      <c r="R20" s="590" t="e">
        <f ca="1">_xll.BDH("RUB curncy","PX_LAST",$Q20)</f>
        <v>#NAME?</v>
      </c>
      <c r="S20" s="591"/>
      <c r="T20" s="591"/>
      <c r="U20" s="593"/>
      <c r="V20" s="593"/>
    </row>
    <row r="21" spans="2:22" s="460" customFormat="1" x14ac:dyDescent="0.2">
      <c r="B21" s="440" t="s">
        <v>355</v>
      </c>
      <c r="C21" s="440" t="s">
        <v>108</v>
      </c>
      <c r="D21" s="585" t="s">
        <v>51</v>
      </c>
      <c r="E21" s="443" t="e">
        <f ca="1">F21*_xll.BDP(C21,"PX_LAST")</f>
        <v>#NAME?</v>
      </c>
      <c r="F21" s="443">
        <v>557000</v>
      </c>
      <c r="G21" s="586">
        <v>150000</v>
      </c>
      <c r="H21" s="587">
        <f t="shared" si="6"/>
        <v>0.26929982046678635</v>
      </c>
      <c r="I21" s="443">
        <f t="shared" si="7"/>
        <v>8628000</v>
      </c>
      <c r="J21" s="586">
        <f t="shared" si="8"/>
        <v>13167000</v>
      </c>
      <c r="K21" s="588">
        <v>57.52</v>
      </c>
      <c r="L21" s="588">
        <v>87.78</v>
      </c>
      <c r="M21" s="442">
        <f t="shared" si="9"/>
        <v>0.52607788595271199</v>
      </c>
      <c r="N21" s="443">
        <f t="shared" si="10"/>
        <v>4539000</v>
      </c>
      <c r="O21" s="445" t="e">
        <f ca="1">_xll.BDP($C21,"CRNCY")</f>
        <v>#NAME?</v>
      </c>
      <c r="P21" s="443" t="e">
        <f t="shared" ca="1" si="11"/>
        <v>#NAME?</v>
      </c>
      <c r="Q21" s="589">
        <v>42299</v>
      </c>
      <c r="R21" s="590" t="e">
        <f ca="1">_xll.BDH("RUB curncy","PX_LAST",$Q21)</f>
        <v>#NAME?</v>
      </c>
      <c r="S21" s="591"/>
      <c r="T21" s="591"/>
    </row>
    <row r="22" spans="2:22" s="460" customFormat="1" x14ac:dyDescent="0.2">
      <c r="B22" s="440" t="s">
        <v>355</v>
      </c>
      <c r="C22" s="440" t="s">
        <v>108</v>
      </c>
      <c r="D22" s="585" t="s">
        <v>51</v>
      </c>
      <c r="E22" s="443" t="e">
        <f ca="1">F22*_xll.BDP(C22,"PX_LAST")</f>
        <v>#NAME?</v>
      </c>
      <c r="F22" s="443">
        <v>557000</v>
      </c>
      <c r="G22" s="586">
        <v>150000</v>
      </c>
      <c r="H22" s="587">
        <f t="shared" si="6"/>
        <v>0.26929982046678635</v>
      </c>
      <c r="I22" s="443">
        <f t="shared" si="7"/>
        <v>8628000</v>
      </c>
      <c r="J22" s="586">
        <f t="shared" si="8"/>
        <v>13647347.549999999</v>
      </c>
      <c r="K22" s="588">
        <v>57.52</v>
      </c>
      <c r="L22" s="588">
        <v>90.982316999999995</v>
      </c>
      <c r="M22" s="442">
        <f t="shared" si="9"/>
        <v>0.58175099095966609</v>
      </c>
      <c r="N22" s="443">
        <f t="shared" si="10"/>
        <v>5019347.5499999989</v>
      </c>
      <c r="O22" s="445" t="e">
        <f ca="1">_xll.BDP($C22,"CRNCY")</f>
        <v>#NAME?</v>
      </c>
      <c r="P22" s="443" t="e">
        <f t="shared" ca="1" si="11"/>
        <v>#NAME?</v>
      </c>
      <c r="Q22" s="589">
        <v>42300</v>
      </c>
      <c r="R22" s="590" t="e">
        <f ca="1">_xll.BDH("RUB curncy","PX_LAST",$Q22)</f>
        <v>#NAME?</v>
      </c>
      <c r="S22" s="591"/>
      <c r="T22" s="591"/>
    </row>
    <row r="23" spans="2:22" s="460" customFormat="1" x14ac:dyDescent="0.2">
      <c r="B23" s="440" t="s">
        <v>355</v>
      </c>
      <c r="C23" s="440" t="s">
        <v>108</v>
      </c>
      <c r="D23" s="585" t="s">
        <v>51</v>
      </c>
      <c r="E23" s="443" t="e">
        <f ca="1">F23*_xll.BDP(C23,"PX_LAST")</f>
        <v>#NAME?</v>
      </c>
      <c r="F23" s="443">
        <v>1672080</v>
      </c>
      <c r="G23" s="586">
        <v>179270</v>
      </c>
      <c r="H23" s="587">
        <f t="shared" si="6"/>
        <v>0.10721376967609206</v>
      </c>
      <c r="I23" s="443">
        <f t="shared" si="7"/>
        <v>10311610.4</v>
      </c>
      <c r="J23" s="586">
        <f t="shared" si="8"/>
        <v>16439783.609340001</v>
      </c>
      <c r="K23" s="588">
        <v>57.52</v>
      </c>
      <c r="L23" s="588">
        <v>91.704042000000001</v>
      </c>
      <c r="M23" s="442">
        <f t="shared" si="9"/>
        <v>0.59429836578581363</v>
      </c>
      <c r="N23" s="443">
        <f t="shared" si="10"/>
        <v>6128173.2093400005</v>
      </c>
      <c r="O23" s="445" t="e">
        <f ca="1">_xll.BDP($C23,"CRNCY")</f>
        <v>#NAME?</v>
      </c>
      <c r="P23" s="443" t="e">
        <f t="shared" ca="1" si="11"/>
        <v>#NAME?</v>
      </c>
      <c r="Q23" s="589">
        <v>42305</v>
      </c>
      <c r="R23" s="590" t="e">
        <f ca="1">_xll.BDH("RUB curncy","PX_LAST",$Q23)</f>
        <v>#NAME?</v>
      </c>
      <c r="S23" s="591"/>
      <c r="T23" s="591"/>
      <c r="U23" s="593"/>
      <c r="V23" s="594"/>
    </row>
    <row r="24" spans="2:22" s="460" customFormat="1" x14ac:dyDescent="0.2">
      <c r="B24" s="440" t="s">
        <v>450</v>
      </c>
      <c r="C24" s="440" t="s">
        <v>109</v>
      </c>
      <c r="D24" s="585" t="s">
        <v>51</v>
      </c>
      <c r="E24" s="443" t="e">
        <f ca="1">F24*_xll.BDP(C24,"PX_LAST")</f>
        <v>#NAME?</v>
      </c>
      <c r="F24" s="443">
        <v>552000000</v>
      </c>
      <c r="G24" s="586">
        <v>135380000</v>
      </c>
      <c r="H24" s="587">
        <f t="shared" si="6"/>
        <v>0.24525362318840579</v>
      </c>
      <c r="I24" s="443">
        <f t="shared" si="7"/>
        <v>8583092</v>
      </c>
      <c r="J24" s="586">
        <f t="shared" si="8"/>
        <v>8428894.1799999997</v>
      </c>
      <c r="K24" s="592">
        <v>6.3399999999999998E-2</v>
      </c>
      <c r="L24" s="592">
        <v>6.2260999999999997E-2</v>
      </c>
      <c r="M24" s="442">
        <f t="shared" si="9"/>
        <v>-1.7965299684542635E-2</v>
      </c>
      <c r="N24" s="443">
        <f t="shared" si="10"/>
        <v>-154197.8200000003</v>
      </c>
      <c r="O24" s="445" t="e">
        <f ca="1">_xll.BDP($C24,"CRNCY")</f>
        <v>#NAME?</v>
      </c>
      <c r="P24" s="443" t="e">
        <f t="shared" ca="1" si="11"/>
        <v>#NAME?</v>
      </c>
      <c r="Q24" s="589">
        <v>42307</v>
      </c>
      <c r="R24" s="590" t="e">
        <f ca="1">_xll.BDH("RUB curncy","PX_LAST",$Q24)</f>
        <v>#NAME?</v>
      </c>
      <c r="S24" s="591"/>
      <c r="T24" s="591"/>
      <c r="U24" s="593"/>
      <c r="V24" s="594"/>
    </row>
    <row r="25" spans="2:22" s="460" customFormat="1" x14ac:dyDescent="0.2">
      <c r="B25" s="440" t="s">
        <v>355</v>
      </c>
      <c r="C25" s="440" t="s">
        <v>108</v>
      </c>
      <c r="D25" s="585" t="s">
        <v>51</v>
      </c>
      <c r="E25" s="443" t="e">
        <f ca="1">F25*_xll.BDP(C25,"PX_LAST")</f>
        <v>#NAME?</v>
      </c>
      <c r="F25" s="443">
        <v>1672080</v>
      </c>
      <c r="G25" s="586">
        <v>88350</v>
      </c>
      <c r="H25" s="587">
        <f t="shared" si="6"/>
        <v>5.2838380938711065E-2</v>
      </c>
      <c r="I25" s="443">
        <f t="shared" si="7"/>
        <v>5081892</v>
      </c>
      <c r="J25" s="586">
        <f t="shared" si="8"/>
        <v>8081941.3536</v>
      </c>
      <c r="K25" s="588">
        <v>57.52</v>
      </c>
      <c r="L25" s="588">
        <v>91.476416</v>
      </c>
      <c r="M25" s="442">
        <f t="shared" si="9"/>
        <v>0.59034102920723219</v>
      </c>
      <c r="N25" s="443">
        <f t="shared" si="10"/>
        <v>3000049.3536</v>
      </c>
      <c r="O25" s="445" t="e">
        <f ca="1">_xll.BDP($C25,"CRNCY")</f>
        <v>#NAME?</v>
      </c>
      <c r="P25" s="443" t="e">
        <f t="shared" ca="1" si="11"/>
        <v>#NAME?</v>
      </c>
      <c r="Q25" s="589">
        <v>42307</v>
      </c>
      <c r="R25" s="590" t="e">
        <f ca="1">_xll.BDH("RUB curncy","PX_LAST",$Q25)</f>
        <v>#NAME?</v>
      </c>
      <c r="S25" s="591"/>
      <c r="T25" s="591"/>
      <c r="U25" s="593"/>
      <c r="V25" s="594"/>
    </row>
    <row r="26" spans="2:22" s="460" customFormat="1" x14ac:dyDescent="0.2">
      <c r="B26" s="440" t="s">
        <v>450</v>
      </c>
      <c r="C26" s="440" t="s">
        <v>109</v>
      </c>
      <c r="D26" s="585" t="s">
        <v>51</v>
      </c>
      <c r="E26" s="443" t="e">
        <f ca="1">F26*_xll.BDP(C26,"PX_LAST")</f>
        <v>#NAME?</v>
      </c>
      <c r="F26" s="443">
        <v>552000000</v>
      </c>
      <c r="G26" s="586">
        <v>64620000</v>
      </c>
      <c r="H26" s="587">
        <f t="shared" si="6"/>
        <v>0.11706521739130435</v>
      </c>
      <c r="I26" s="443">
        <f t="shared" si="7"/>
        <v>4096908</v>
      </c>
      <c r="J26" s="586">
        <f t="shared" si="8"/>
        <v>4025696.76</v>
      </c>
      <c r="K26" s="592">
        <v>6.3399999999999998E-2</v>
      </c>
      <c r="L26" s="592">
        <v>6.2297999999999999E-2</v>
      </c>
      <c r="M26" s="442">
        <f t="shared" si="9"/>
        <v>-1.738170347003154E-2</v>
      </c>
      <c r="N26" s="443">
        <f t="shared" si="10"/>
        <v>-71211.240000000224</v>
      </c>
      <c r="O26" s="445" t="e">
        <f ca="1">_xll.BDP($C26,"CRNCY")</f>
        <v>#NAME?</v>
      </c>
      <c r="P26" s="443" t="e">
        <f t="shared" ca="1" si="11"/>
        <v>#NAME?</v>
      </c>
      <c r="Q26" s="589">
        <v>42310</v>
      </c>
      <c r="R26" s="590" t="e">
        <f ca="1">_xll.BDH("RUB curncy","PX_LAST",$Q26)</f>
        <v>#NAME?</v>
      </c>
      <c r="S26" s="591"/>
      <c r="T26" s="591"/>
      <c r="U26" s="593"/>
      <c r="V26" s="594"/>
    </row>
    <row r="27" spans="2:22" s="460" customFormat="1" x14ac:dyDescent="0.2">
      <c r="B27" s="440" t="s">
        <v>355</v>
      </c>
      <c r="C27" s="440" t="s">
        <v>108</v>
      </c>
      <c r="D27" s="585" t="s">
        <v>51</v>
      </c>
      <c r="E27" s="443" t="e">
        <f ca="1">F27*_xll.BDP(C27,"PX_LAST")</f>
        <v>#NAME?</v>
      </c>
      <c r="F27" s="443">
        <v>1672080</v>
      </c>
      <c r="G27" s="586">
        <v>101250</v>
      </c>
      <c r="H27" s="587">
        <f t="shared" si="6"/>
        <v>6.0553322807521175E-2</v>
      </c>
      <c r="I27" s="443">
        <f t="shared" si="7"/>
        <v>5823900</v>
      </c>
      <c r="J27" s="586">
        <f t="shared" si="8"/>
        <v>9292218.75</v>
      </c>
      <c r="K27" s="588">
        <v>57.52</v>
      </c>
      <c r="L27" s="588">
        <v>91.775000000000006</v>
      </c>
      <c r="M27" s="442">
        <f t="shared" si="9"/>
        <v>0.59553198887343539</v>
      </c>
      <c r="N27" s="443">
        <f t="shared" si="10"/>
        <v>3468318.75</v>
      </c>
      <c r="O27" s="445" t="e">
        <f ca="1">_xll.BDP($C27,"CRNCY")</f>
        <v>#NAME?</v>
      </c>
      <c r="P27" s="443" t="e">
        <f t="shared" ca="1" si="11"/>
        <v>#NAME?</v>
      </c>
      <c r="Q27" s="589">
        <v>42310</v>
      </c>
      <c r="R27" s="590" t="e">
        <f ca="1">_xll.BDH("RUB curncy","PX_LAST",$Q27)</f>
        <v>#NAME?</v>
      </c>
      <c r="S27" s="591"/>
      <c r="T27" s="591"/>
      <c r="U27" s="593"/>
      <c r="V27" s="594"/>
    </row>
    <row r="28" spans="2:22" s="460" customFormat="1" x14ac:dyDescent="0.2">
      <c r="B28" s="440" t="s">
        <v>355</v>
      </c>
      <c r="C28" s="440" t="s">
        <v>108</v>
      </c>
      <c r="D28" s="585" t="s">
        <v>51</v>
      </c>
      <c r="E28" s="443" t="e">
        <f ca="1">F28*_xll.BDP(C28,"PX_LAST")</f>
        <v>#NAME?</v>
      </c>
      <c r="F28" s="443">
        <v>1672080</v>
      </c>
      <c r="G28" s="586">
        <v>40200</v>
      </c>
      <c r="H28" s="587">
        <f t="shared" si="6"/>
        <v>2.4041911870245444E-2</v>
      </c>
      <c r="I28" s="443">
        <f t="shared" si="7"/>
        <v>2312304</v>
      </c>
      <c r="J28" s="586">
        <f t="shared" si="8"/>
        <v>3698871.9882</v>
      </c>
      <c r="K28" s="588">
        <v>57.52</v>
      </c>
      <c r="L28" s="588">
        <v>92.011741000000001</v>
      </c>
      <c r="M28" s="442">
        <f t="shared" si="9"/>
        <v>0.59964779207232266</v>
      </c>
      <c r="N28" s="443">
        <f t="shared" si="10"/>
        <v>1386567.9882</v>
      </c>
      <c r="O28" s="445" t="e">
        <f ca="1">_xll.BDP($C28,"CRNCY")</f>
        <v>#NAME?</v>
      </c>
      <c r="P28" s="443" t="e">
        <f t="shared" ca="1" si="11"/>
        <v>#NAME?</v>
      </c>
      <c r="Q28" s="589">
        <v>42311</v>
      </c>
      <c r="R28" s="590" t="e">
        <f ca="1">_xll.BDH("RUB curncy","PX_LAST",$Q28)</f>
        <v>#NAME?</v>
      </c>
      <c r="S28" s="591"/>
      <c r="T28" s="591"/>
      <c r="U28" s="593"/>
      <c r="V28" s="594"/>
    </row>
    <row r="29" spans="2:22" s="460" customFormat="1" x14ac:dyDescent="0.2">
      <c r="B29" s="440" t="s">
        <v>355</v>
      </c>
      <c r="C29" s="440" t="s">
        <v>108</v>
      </c>
      <c r="D29" s="585" t="s">
        <v>51</v>
      </c>
      <c r="E29" s="443" t="e">
        <f ca="1">F29*_xll.BDP(C29,"PX_LAST")</f>
        <v>#NAME?</v>
      </c>
      <c r="F29" s="443">
        <v>1672080</v>
      </c>
      <c r="G29" s="586">
        <v>100980</v>
      </c>
      <c r="H29" s="587">
        <f t="shared" si="6"/>
        <v>6.0391847280034446E-2</v>
      </c>
      <c r="I29" s="443">
        <f t="shared" si="7"/>
        <v>5808369.6000000006</v>
      </c>
      <c r="J29" s="586">
        <f t="shared" si="8"/>
        <v>9322492.7862</v>
      </c>
      <c r="K29" s="588">
        <v>57.52</v>
      </c>
      <c r="L29" s="588">
        <v>92.320189999999997</v>
      </c>
      <c r="M29" s="442">
        <f t="shared" si="9"/>
        <v>0.60501025730180791</v>
      </c>
      <c r="N29" s="443">
        <f t="shared" si="10"/>
        <v>3514123.1861999994</v>
      </c>
      <c r="O29" s="445" t="e">
        <f ca="1">_xll.BDP($C29,"CRNCY")</f>
        <v>#NAME?</v>
      </c>
      <c r="P29" s="443" t="e">
        <f t="shared" ca="1" si="11"/>
        <v>#NAME?</v>
      </c>
      <c r="Q29" s="589">
        <v>42313</v>
      </c>
      <c r="R29" s="590" t="e">
        <f ca="1">_xll.BDH("RUB curncy","PX_LAST",$Q29)</f>
        <v>#NAME?</v>
      </c>
      <c r="S29" s="591"/>
      <c r="T29" s="591"/>
      <c r="U29" s="593"/>
      <c r="V29" s="594"/>
    </row>
    <row r="30" spans="2:22" s="460" customFormat="1" x14ac:dyDescent="0.2">
      <c r="B30" s="440" t="s">
        <v>355</v>
      </c>
      <c r="C30" s="440" t="s">
        <v>108</v>
      </c>
      <c r="D30" s="585" t="s">
        <v>51</v>
      </c>
      <c r="E30" s="443" t="e">
        <f ca="1">F30*_xll.BDP(C30,"PX_LAST")</f>
        <v>#NAME?</v>
      </c>
      <c r="F30" s="443">
        <v>1672080</v>
      </c>
      <c r="G30" s="586">
        <v>250000</v>
      </c>
      <c r="H30" s="587">
        <f t="shared" si="6"/>
        <v>0.1495143773025214</v>
      </c>
      <c r="I30" s="443">
        <f t="shared" si="7"/>
        <v>14380000</v>
      </c>
      <c r="J30" s="586">
        <f t="shared" si="8"/>
        <v>22942500</v>
      </c>
      <c r="K30" s="588">
        <v>57.52</v>
      </c>
      <c r="L30" s="588">
        <v>91.77</v>
      </c>
      <c r="M30" s="442">
        <f t="shared" si="9"/>
        <v>0.59544506258692609</v>
      </c>
      <c r="N30" s="443">
        <f t="shared" si="10"/>
        <v>8562500</v>
      </c>
      <c r="O30" s="445" t="e">
        <f ca="1">_xll.BDP($C30,"CRNCY")</f>
        <v>#NAME?</v>
      </c>
      <c r="P30" s="443" t="e">
        <f t="shared" ca="1" si="11"/>
        <v>#NAME?</v>
      </c>
      <c r="Q30" s="589">
        <v>42314</v>
      </c>
      <c r="R30" s="590" t="e">
        <f ca="1">_xll.BDH("RUB curncy","PX_LAST",$Q30)</f>
        <v>#NAME?</v>
      </c>
      <c r="S30" s="591"/>
      <c r="T30" s="591"/>
      <c r="U30" s="593"/>
      <c r="V30" s="594"/>
    </row>
    <row r="31" spans="2:22" s="460" customFormat="1" x14ac:dyDescent="0.2">
      <c r="B31" s="440" t="s">
        <v>355</v>
      </c>
      <c r="C31" s="440" t="s">
        <v>108</v>
      </c>
      <c r="D31" s="585" t="s">
        <v>51</v>
      </c>
      <c r="E31" s="443" t="e">
        <f ca="1">F31*_xll.BDP(C31,"PX_LAST")</f>
        <v>#NAME?</v>
      </c>
      <c r="F31" s="443">
        <v>1672080</v>
      </c>
      <c r="G31" s="586">
        <v>320280</v>
      </c>
      <c r="H31" s="587">
        <f t="shared" si="6"/>
        <v>0.19154585904980623</v>
      </c>
      <c r="I31" s="443">
        <f t="shared" si="7"/>
        <v>18422505.600000001</v>
      </c>
      <c r="J31" s="586">
        <f t="shared" si="8"/>
        <v>30100864.030199997</v>
      </c>
      <c r="K31" s="588">
        <v>57.52</v>
      </c>
      <c r="L31" s="588">
        <v>93.982964999999993</v>
      </c>
      <c r="M31" s="442">
        <f t="shared" si="9"/>
        <v>0.63391802851182177</v>
      </c>
      <c r="N31" s="443">
        <f t="shared" si="10"/>
        <v>11678358.430199996</v>
      </c>
      <c r="O31" s="445" t="e">
        <f ca="1">_xll.BDP($C31,"CRNCY")</f>
        <v>#NAME?</v>
      </c>
      <c r="P31" s="443" t="e">
        <f t="shared" ca="1" si="11"/>
        <v>#NAME?</v>
      </c>
      <c r="Q31" s="589">
        <v>42325</v>
      </c>
      <c r="R31" s="590" t="e">
        <f ca="1">_xll.BDH("RUB curncy","PX_LAST",$Q31)</f>
        <v>#NAME?</v>
      </c>
      <c r="S31" s="591"/>
      <c r="T31" s="591"/>
      <c r="U31" s="595"/>
      <c r="V31" s="594"/>
    </row>
    <row r="32" spans="2:22" s="460" customFormat="1" x14ac:dyDescent="0.2">
      <c r="B32" s="440" t="s">
        <v>355</v>
      </c>
      <c r="C32" s="440" t="s">
        <v>108</v>
      </c>
      <c r="D32" s="585" t="s">
        <v>51</v>
      </c>
      <c r="E32" s="443" t="e">
        <f ca="1">F32*_xll.BDP(C32,"PX_LAST")</f>
        <v>#NAME?</v>
      </c>
      <c r="F32" s="443">
        <v>1672080</v>
      </c>
      <c r="G32" s="586">
        <v>15000</v>
      </c>
      <c r="H32" s="587">
        <f t="shared" si="6"/>
        <v>8.9708626381512849E-3</v>
      </c>
      <c r="I32" s="443">
        <f t="shared" si="7"/>
        <v>862800</v>
      </c>
      <c r="J32" s="586">
        <f t="shared" si="8"/>
        <v>1372500</v>
      </c>
      <c r="K32" s="588">
        <v>57.52</v>
      </c>
      <c r="L32" s="588">
        <v>91.5</v>
      </c>
      <c r="M32" s="442">
        <f t="shared" si="9"/>
        <v>0.59075104311543791</v>
      </c>
      <c r="N32" s="443">
        <f t="shared" si="10"/>
        <v>509700</v>
      </c>
      <c r="O32" s="445" t="e">
        <f ca="1">_xll.BDP($C32,"CRNCY")</f>
        <v>#NAME?</v>
      </c>
      <c r="P32" s="443" t="e">
        <f t="shared" ca="1" si="11"/>
        <v>#NAME?</v>
      </c>
      <c r="Q32" s="589">
        <v>42321</v>
      </c>
      <c r="R32" s="590" t="e">
        <f ca="1">_xll.BDH("RUB curncy","PX_LAST",$Q32)</f>
        <v>#NAME?</v>
      </c>
      <c r="S32" s="591"/>
      <c r="T32" s="591"/>
      <c r="U32" s="593"/>
      <c r="V32" s="594"/>
    </row>
    <row r="33" spans="2:22" s="460" customFormat="1" x14ac:dyDescent="0.2">
      <c r="B33" s="440" t="s">
        <v>355</v>
      </c>
      <c r="C33" s="440" t="s">
        <v>108</v>
      </c>
      <c r="D33" s="585" t="s">
        <v>51</v>
      </c>
      <c r="E33" s="443" t="e">
        <f ca="1">F33*_xll.BDP(C33,"PX_LAST")</f>
        <v>#NAME?</v>
      </c>
      <c r="F33" s="443">
        <v>1672080</v>
      </c>
      <c r="G33" s="586">
        <v>209870</v>
      </c>
      <c r="H33" s="587">
        <f t="shared" si="6"/>
        <v>0.12551432945792068</v>
      </c>
      <c r="I33" s="443">
        <f t="shared" si="7"/>
        <v>12071722.4</v>
      </c>
      <c r="J33" s="586">
        <f t="shared" si="8"/>
        <v>19861572.125</v>
      </c>
      <c r="K33" s="588">
        <v>57.52</v>
      </c>
      <c r="L33" s="588">
        <v>94.637500000000003</v>
      </c>
      <c r="M33" s="442">
        <f t="shared" si="9"/>
        <v>0.64529728789986085</v>
      </c>
      <c r="N33" s="443">
        <f t="shared" si="10"/>
        <v>7789849.7249999996</v>
      </c>
      <c r="O33" s="445" t="e">
        <f ca="1">_xll.BDP($C33,"CRNCY")</f>
        <v>#NAME?</v>
      </c>
      <c r="P33" s="443" t="e">
        <f t="shared" ca="1" si="11"/>
        <v>#NAME?</v>
      </c>
      <c r="Q33" s="589">
        <v>42327</v>
      </c>
      <c r="R33" s="590" t="e">
        <f ca="1">_xll.BDH("RUB curncy","PX_LAST",$Q33)</f>
        <v>#NAME?</v>
      </c>
      <c r="S33" s="591"/>
      <c r="T33" s="591"/>
      <c r="U33" s="593"/>
      <c r="V33" s="594"/>
    </row>
    <row r="34" spans="2:22" s="460" customFormat="1" x14ac:dyDescent="0.2">
      <c r="B34" s="440" t="s">
        <v>152</v>
      </c>
      <c r="C34" s="440" t="s">
        <v>52</v>
      </c>
      <c r="D34" s="585" t="s">
        <v>51</v>
      </c>
      <c r="E34" s="443" t="e">
        <f ca="1">F34*_xll.BDP(C34,"PX_LAST")</f>
        <v>#NAME?</v>
      </c>
      <c r="F34" s="443">
        <v>4905400</v>
      </c>
      <c r="G34" s="586">
        <v>1000000</v>
      </c>
      <c r="H34" s="587">
        <f t="shared" si="6"/>
        <v>0.20385697394707872</v>
      </c>
      <c r="I34" s="443">
        <f t="shared" si="7"/>
        <v>80280000</v>
      </c>
      <c r="J34" s="586">
        <f t="shared" si="8"/>
        <v>106177652</v>
      </c>
      <c r="K34" s="588">
        <v>80.28</v>
      </c>
      <c r="L34" s="588">
        <v>106.17765199999999</v>
      </c>
      <c r="M34" s="442">
        <f t="shared" si="9"/>
        <v>0.32259157947184836</v>
      </c>
      <c r="N34" s="443">
        <f t="shared" si="10"/>
        <v>25897652</v>
      </c>
      <c r="O34" s="445" t="e">
        <f ca="1">_xll.BDP($C34,"CRNCY")</f>
        <v>#NAME?</v>
      </c>
      <c r="P34" s="443" t="e">
        <f t="shared" ca="1" si="11"/>
        <v>#NAME?</v>
      </c>
      <c r="Q34" s="589">
        <v>42328</v>
      </c>
      <c r="R34" s="590" t="e">
        <f ca="1">_xll.BDH("RUB curncy","PX_LAST",$Q34)</f>
        <v>#NAME?</v>
      </c>
      <c r="S34" s="591"/>
      <c r="T34" s="591"/>
      <c r="U34" s="593"/>
      <c r="V34" s="594"/>
    </row>
    <row r="35" spans="2:22" s="460" customFormat="1" x14ac:dyDescent="0.2">
      <c r="B35" s="440" t="s">
        <v>355</v>
      </c>
      <c r="C35" s="440" t="s">
        <v>108</v>
      </c>
      <c r="D35" s="585" t="s">
        <v>51</v>
      </c>
      <c r="E35" s="443" t="e">
        <f ca="1">F35*_xll.BDP(C35,"PX_LAST")</f>
        <v>#NAME?</v>
      </c>
      <c r="F35" s="443">
        <v>1672080</v>
      </c>
      <c r="G35" s="586">
        <v>366880</v>
      </c>
      <c r="H35" s="587">
        <f t="shared" si="6"/>
        <v>0.21941533897899623</v>
      </c>
      <c r="I35" s="443">
        <f t="shared" si="7"/>
        <v>21102937.600000001</v>
      </c>
      <c r="J35" s="586">
        <f t="shared" si="8"/>
        <v>34418010.713600002</v>
      </c>
      <c r="K35" s="588">
        <v>57.52</v>
      </c>
      <c r="L35" s="588">
        <v>93.812719999999999</v>
      </c>
      <c r="M35" s="442">
        <f t="shared" si="9"/>
        <v>0.63095827538247562</v>
      </c>
      <c r="N35" s="443">
        <f t="shared" si="10"/>
        <v>13315073.113600001</v>
      </c>
      <c r="O35" s="445" t="e">
        <f ca="1">_xll.BDP($C35,"CRNCY")</f>
        <v>#NAME?</v>
      </c>
      <c r="P35" s="443" t="e">
        <f t="shared" ca="1" si="11"/>
        <v>#NAME?</v>
      </c>
      <c r="Q35" s="589">
        <v>42331</v>
      </c>
      <c r="R35" s="590" t="e">
        <f ca="1">_xll.BDH("RUB curncy","PX_LAST",$Q35)</f>
        <v>#NAME?</v>
      </c>
      <c r="S35" s="591"/>
      <c r="T35" s="591"/>
      <c r="U35" s="593"/>
      <c r="V35" s="594"/>
    </row>
    <row r="36" spans="2:22" s="460" customFormat="1" x14ac:dyDescent="0.2">
      <c r="B36" s="440" t="s">
        <v>152</v>
      </c>
      <c r="C36" s="440" t="s">
        <v>52</v>
      </c>
      <c r="D36" s="585" t="s">
        <v>51</v>
      </c>
      <c r="E36" s="443" t="e">
        <f ca="1">F36*_xll.BDP(C36,"PX_LAST")</f>
        <v>#NAME?</v>
      </c>
      <c r="F36" s="443">
        <v>4905400</v>
      </c>
      <c r="G36" s="586">
        <v>1000000</v>
      </c>
      <c r="H36" s="587">
        <f t="shared" si="6"/>
        <v>0.20385697394707872</v>
      </c>
      <c r="I36" s="443">
        <f t="shared" si="7"/>
        <v>80280000</v>
      </c>
      <c r="J36" s="586">
        <f t="shared" si="8"/>
        <v>109172800</v>
      </c>
      <c r="K36" s="588">
        <v>80.28</v>
      </c>
      <c r="L36" s="588">
        <v>109.1728</v>
      </c>
      <c r="M36" s="442">
        <f t="shared" si="9"/>
        <v>0.35990034877927246</v>
      </c>
      <c r="N36" s="443">
        <f t="shared" si="10"/>
        <v>28892800</v>
      </c>
      <c r="O36" s="445" t="e">
        <f ca="1">_xll.BDP($C36,"CRNCY")</f>
        <v>#NAME?</v>
      </c>
      <c r="P36" s="443" t="e">
        <f t="shared" ca="1" si="11"/>
        <v>#NAME?</v>
      </c>
      <c r="Q36" s="589">
        <v>42331</v>
      </c>
      <c r="R36" s="590" t="e">
        <f ca="1">_xll.BDH("RUB curncy","PX_LAST",$Q36)</f>
        <v>#NAME?</v>
      </c>
      <c r="S36" s="591"/>
      <c r="T36" s="591"/>
      <c r="U36" s="593"/>
      <c r="V36" s="594"/>
    </row>
    <row r="37" spans="2:22" s="460" customFormat="1" ht="12.75" customHeight="1" x14ac:dyDescent="0.2">
      <c r="B37" s="440"/>
      <c r="C37" s="440"/>
      <c r="D37" s="443"/>
      <c r="G37" s="440"/>
      <c r="H37" s="440"/>
      <c r="I37" s="440"/>
      <c r="J37" s="440"/>
      <c r="K37" s="440"/>
      <c r="L37" s="440"/>
      <c r="M37" s="441" t="s">
        <v>94</v>
      </c>
      <c r="N37" s="549">
        <f>SUM(N14:N36)</f>
        <v>139080656.85013998</v>
      </c>
      <c r="O37" s="596" t="s">
        <v>75</v>
      </c>
      <c r="P37" s="549" t="e">
        <f ca="1">SUM(P14:P36)</f>
        <v>#NAME?</v>
      </c>
      <c r="U37" s="593"/>
      <c r="V37" s="594"/>
    </row>
    <row r="38" spans="2:22" s="460" customFormat="1" x14ac:dyDescent="0.2">
      <c r="B38" s="493" t="s">
        <v>276</v>
      </c>
      <c r="E38" s="597"/>
      <c r="M38" s="598"/>
      <c r="N38" s="596"/>
      <c r="O38" s="596"/>
      <c r="P38" s="599"/>
      <c r="U38" s="593"/>
      <c r="V38" s="594"/>
    </row>
    <row r="39" spans="2:22" s="460" customFormat="1" x14ac:dyDescent="0.2">
      <c r="B39" s="600">
        <v>2016</v>
      </c>
      <c r="C39" s="578"/>
      <c r="D39" s="578"/>
      <c r="E39" s="578"/>
      <c r="F39" s="578"/>
      <c r="G39" s="578"/>
      <c r="H39" s="578"/>
      <c r="I39" s="578"/>
      <c r="J39" s="578"/>
      <c r="K39" s="578"/>
      <c r="L39" s="578"/>
      <c r="M39" s="440"/>
      <c r="N39" s="596"/>
      <c r="O39" s="596"/>
      <c r="P39" s="599"/>
      <c r="U39" s="593"/>
      <c r="V39" s="594"/>
    </row>
    <row r="40" spans="2:22" s="546" customFormat="1" ht="51" x14ac:dyDescent="0.2">
      <c r="B40" s="550" t="s">
        <v>105</v>
      </c>
      <c r="C40" s="551" t="s">
        <v>104</v>
      </c>
      <c r="D40" s="551" t="s">
        <v>174</v>
      </c>
      <c r="E40" s="551" t="s">
        <v>173</v>
      </c>
      <c r="F40" s="551" t="s">
        <v>175</v>
      </c>
      <c r="G40" s="551" t="s">
        <v>172</v>
      </c>
      <c r="H40" s="551" t="s">
        <v>103</v>
      </c>
      <c r="I40" s="551" t="s">
        <v>102</v>
      </c>
      <c r="J40" s="551" t="s">
        <v>101</v>
      </c>
      <c r="K40" s="551" t="s">
        <v>100</v>
      </c>
      <c r="L40" s="551" t="s">
        <v>99</v>
      </c>
      <c r="M40" s="551" t="s">
        <v>98</v>
      </c>
      <c r="N40" s="551" t="s">
        <v>451</v>
      </c>
      <c r="O40" s="551" t="s">
        <v>97</v>
      </c>
      <c r="P40" s="551" t="s">
        <v>279</v>
      </c>
      <c r="Q40" s="551" t="s">
        <v>277</v>
      </c>
      <c r="R40" s="551" t="s">
        <v>278</v>
      </c>
      <c r="S40" s="551"/>
      <c r="T40" s="551"/>
      <c r="U40" s="576"/>
      <c r="V40" s="577"/>
    </row>
    <row r="41" spans="2:22" s="460" customFormat="1" x14ac:dyDescent="0.2">
      <c r="B41" s="440" t="s">
        <v>681</v>
      </c>
      <c r="C41" s="440" t="s">
        <v>682</v>
      </c>
      <c r="D41" s="585" t="s">
        <v>51</v>
      </c>
      <c r="E41" s="443" t="e">
        <f ca="1">F41*_xll.BDP(C41,"PX_LAST")</f>
        <v>#NAME?</v>
      </c>
      <c r="F41" s="443">
        <v>288350000</v>
      </c>
      <c r="G41" s="586">
        <v>288350000</v>
      </c>
      <c r="H41" s="587">
        <f>G41/F41</f>
        <v>1</v>
      </c>
      <c r="I41" s="443">
        <f>G41*K41</f>
        <v>20905375</v>
      </c>
      <c r="J41" s="586">
        <f>G41*L41</f>
        <v>21666042.300000001</v>
      </c>
      <c r="K41" s="601">
        <v>7.2499999999999995E-2</v>
      </c>
      <c r="L41" s="601">
        <v>7.5137999999999996E-2</v>
      </c>
      <c r="M41" s="442">
        <f>L41/K41-1</f>
        <v>3.6386206896551698E-2</v>
      </c>
      <c r="N41" s="443">
        <f>J41-I41</f>
        <v>760667.30000000075</v>
      </c>
      <c r="O41" s="445" t="e">
        <f ca="1">_xll.BDP($C41,"CRNCY")</f>
        <v>#NAME?</v>
      </c>
      <c r="P41" s="443" t="e">
        <f ca="1">N41/R41</f>
        <v>#NAME?</v>
      </c>
      <c r="Q41" s="589">
        <v>42450</v>
      </c>
      <c r="R41" s="590" t="e">
        <f ca="1">_xll.BDH("RUB curncy","PX_LAST",$Q41)</f>
        <v>#NAME?</v>
      </c>
      <c r="S41" s="591"/>
      <c r="T41" s="591"/>
      <c r="V41" s="602"/>
    </row>
    <row r="42" spans="2:22" s="460" customFormat="1" x14ac:dyDescent="0.2">
      <c r="B42" s="440" t="s">
        <v>318</v>
      </c>
      <c r="C42" s="440" t="s">
        <v>76</v>
      </c>
      <c r="D42" s="585" t="s">
        <v>51</v>
      </c>
      <c r="E42" s="443" t="e">
        <f ca="1">F42*_xll.BDP(C42,"PX_LAST")</f>
        <v>#NAME?</v>
      </c>
      <c r="F42" s="443">
        <v>111741</v>
      </c>
      <c r="G42" s="586">
        <v>13206</v>
      </c>
      <c r="H42" s="587">
        <f>G42/F42</f>
        <v>0.1181840148199855</v>
      </c>
      <c r="I42" s="443">
        <f>G42*K42</f>
        <v>207202.13999999998</v>
      </c>
      <c r="J42" s="586">
        <f>G42*L42</f>
        <v>280293.38819999999</v>
      </c>
      <c r="K42" s="588">
        <v>15.69</v>
      </c>
      <c r="L42" s="588">
        <v>21.224699999999999</v>
      </c>
      <c r="M42" s="442">
        <f>L42/K42-1</f>
        <v>0.35275334608030584</v>
      </c>
      <c r="N42" s="443">
        <f>J42-I42</f>
        <v>73091.248200000002</v>
      </c>
      <c r="O42" s="445" t="e">
        <f ca="1">_xll.BDP($C42,"CRNCY")</f>
        <v>#NAME?</v>
      </c>
      <c r="P42" s="443">
        <f>N42</f>
        <v>73091.248200000002</v>
      </c>
      <c r="Q42" s="589">
        <v>42460</v>
      </c>
      <c r="R42" s="590" t="e">
        <f ca="1">_xll.BDH("RUB curncy","PX_LAST",$Q42)</f>
        <v>#NAME?</v>
      </c>
      <c r="S42" s="591"/>
      <c r="T42" s="591"/>
      <c r="V42" s="602"/>
    </row>
    <row r="43" spans="2:22" s="460" customFormat="1" x14ac:dyDescent="0.2">
      <c r="B43" s="440" t="s">
        <v>152</v>
      </c>
      <c r="C43" s="440" t="s">
        <v>52</v>
      </c>
      <c r="D43" s="585" t="s">
        <v>51</v>
      </c>
      <c r="E43" s="443" t="e">
        <f ca="1">F43*_xll.BDP(C43,"PX_LAST")</f>
        <v>#NAME?</v>
      </c>
      <c r="F43" s="443">
        <v>4905400</v>
      </c>
      <c r="G43" s="586">
        <v>20800</v>
      </c>
      <c r="H43" s="587">
        <f>G43/F43</f>
        <v>4.2402250580992375E-3</v>
      </c>
      <c r="I43" s="443">
        <f>G43*K43</f>
        <v>1669824</v>
      </c>
      <c r="J43" s="586">
        <f>G43*L43</f>
        <v>2234960</v>
      </c>
      <c r="K43" s="588">
        <v>80.28</v>
      </c>
      <c r="L43" s="588">
        <v>107.45</v>
      </c>
      <c r="M43" s="442">
        <f>L43/K43-1</f>
        <v>0.33844045839561532</v>
      </c>
      <c r="N43" s="443">
        <f>J43-I43</f>
        <v>565136</v>
      </c>
      <c r="O43" s="445" t="e">
        <f ca="1">_xll.BDP($C43,"CRNCY")</f>
        <v>#NAME?</v>
      </c>
      <c r="P43" s="443" t="e">
        <f ca="1">N43/R43</f>
        <v>#NAME?</v>
      </c>
      <c r="Q43" s="589">
        <v>42466</v>
      </c>
      <c r="R43" s="590" t="e">
        <f ca="1">_xll.BDH("RUB curncy","PX_LAST",$Q43)</f>
        <v>#NAME?</v>
      </c>
      <c r="S43" s="591"/>
      <c r="T43" s="591"/>
      <c r="V43" s="602"/>
    </row>
    <row r="44" spans="2:22" s="460" customFormat="1" x14ac:dyDescent="0.2">
      <c r="B44" s="440" t="s">
        <v>152</v>
      </c>
      <c r="C44" s="440" t="s">
        <v>52</v>
      </c>
      <c r="D44" s="585" t="s">
        <v>51</v>
      </c>
      <c r="E44" s="443" t="e">
        <f ca="1">F44*_xll.BDP(C44,"PX_LAST")</f>
        <v>#NAME?</v>
      </c>
      <c r="F44" s="443">
        <v>4905400</v>
      </c>
      <c r="G44" s="586">
        <v>99000</v>
      </c>
      <c r="H44" s="587">
        <f>G44/F44</f>
        <v>2.0181840420760794E-2</v>
      </c>
      <c r="I44" s="443">
        <f>G44*K44</f>
        <v>7947720</v>
      </c>
      <c r="J44" s="586">
        <f>G44*L44</f>
        <v>11583000</v>
      </c>
      <c r="K44" s="588">
        <v>80.28</v>
      </c>
      <c r="L44" s="588">
        <v>117</v>
      </c>
      <c r="M44" s="442">
        <f>L44/K44-1</f>
        <v>0.45739910313901344</v>
      </c>
      <c r="N44" s="443">
        <f>J44-I44</f>
        <v>3635280</v>
      </c>
      <c r="O44" s="445" t="e">
        <f ca="1">_xll.BDP($C44,"CRNCY")</f>
        <v>#NAME?</v>
      </c>
      <c r="P44" s="443" t="e">
        <f ca="1">N44/R44</f>
        <v>#NAME?</v>
      </c>
      <c r="Q44" s="589">
        <v>42472</v>
      </c>
      <c r="R44" s="590" t="e">
        <f ca="1">_xll.BDH("RUB curncy","PX_LAST",$Q44)</f>
        <v>#NAME?</v>
      </c>
      <c r="S44" s="591"/>
      <c r="T44" s="591"/>
      <c r="V44" s="602"/>
    </row>
    <row r="45" spans="2:22" s="460" customFormat="1" x14ac:dyDescent="0.2">
      <c r="B45" s="578"/>
      <c r="C45" s="578"/>
      <c r="D45" s="578"/>
      <c r="E45" s="578"/>
      <c r="F45" s="578"/>
      <c r="G45" s="578"/>
      <c r="H45" s="444"/>
      <c r="I45" s="444"/>
      <c r="J45" s="603"/>
      <c r="K45" s="441"/>
      <c r="L45" s="599"/>
      <c r="M45" s="441" t="s">
        <v>94</v>
      </c>
      <c r="N45" s="549">
        <f>SUM(N41:N44)</f>
        <v>5034174.548200001</v>
      </c>
      <c r="O45" s="596" t="s">
        <v>75</v>
      </c>
      <c r="P45" s="549" t="e">
        <f ca="1">SUM(P41:P44)</f>
        <v>#NAME?</v>
      </c>
      <c r="U45" s="604"/>
      <c r="V45" s="602"/>
    </row>
    <row r="46" spans="2:22" x14ac:dyDescent="0.2">
      <c r="B46" s="32" t="s">
        <v>93</v>
      </c>
      <c r="C46" s="10"/>
      <c r="D46" s="31"/>
      <c r="H46" s="31"/>
      <c r="I46" s="10"/>
      <c r="J46" s="10"/>
      <c r="K46" s="29"/>
      <c r="U46" s="314"/>
    </row>
    <row r="47" spans="2:22" ht="13.5" thickBot="1" x14ac:dyDescent="0.25">
      <c r="C47" s="29"/>
      <c r="D47" s="29"/>
      <c r="G47" s="29"/>
      <c r="H47" s="10"/>
      <c r="I47" s="30"/>
      <c r="J47" s="10"/>
      <c r="K47" s="29"/>
    </row>
    <row r="48" spans="2:22" ht="15" x14ac:dyDescent="0.35">
      <c r="B48" s="26"/>
      <c r="C48" s="26"/>
      <c r="D48" s="26"/>
      <c r="E48" s="26"/>
      <c r="F48" s="26"/>
      <c r="G48" s="26"/>
      <c r="H48" s="28" t="s">
        <v>92</v>
      </c>
      <c r="I48" s="27" t="s">
        <v>91</v>
      </c>
      <c r="J48" s="27" t="s">
        <v>90</v>
      </c>
      <c r="K48" s="27"/>
      <c r="L48" s="26"/>
      <c r="M48" s="26"/>
      <c r="N48" s="26"/>
    </row>
    <row r="49" spans="2:14" ht="15" x14ac:dyDescent="0.35">
      <c r="B49" s="23" t="s">
        <v>89</v>
      </c>
      <c r="C49" s="23" t="s">
        <v>88</v>
      </c>
      <c r="D49" s="23" t="s">
        <v>87</v>
      </c>
      <c r="E49" s="23" t="s">
        <v>86</v>
      </c>
      <c r="F49" s="23" t="s">
        <v>85</v>
      </c>
      <c r="G49" s="23" t="s">
        <v>84</v>
      </c>
      <c r="H49" s="25" t="s">
        <v>83</v>
      </c>
      <c r="I49" s="24" t="s">
        <v>83</v>
      </c>
      <c r="J49" s="24" t="s">
        <v>75</v>
      </c>
      <c r="K49" s="24" t="s">
        <v>73</v>
      </c>
      <c r="L49" s="23" t="s">
        <v>82</v>
      </c>
      <c r="M49" s="23" t="s">
        <v>81</v>
      </c>
      <c r="N49" s="23" t="s">
        <v>80</v>
      </c>
    </row>
    <row r="50" spans="2:14" x14ac:dyDescent="0.2">
      <c r="B50" s="21" t="s">
        <v>431</v>
      </c>
      <c r="C50" s="20" t="s">
        <v>324</v>
      </c>
      <c r="D50" s="18" t="e">
        <f ca="1">_xll.BDP(C50,"SECURITY_NAME")</f>
        <v>#NAME?</v>
      </c>
      <c r="E50" s="18" t="s">
        <v>50</v>
      </c>
      <c r="F50" s="19">
        <v>9250</v>
      </c>
      <c r="G50" s="18" t="e">
        <f ca="1">_xll.BDP(C50,"CRNCY")</f>
        <v>#NAME?</v>
      </c>
      <c r="H50" s="22">
        <v>54.15</v>
      </c>
      <c r="I50" s="15">
        <f t="shared" ref="I50:I59" si="12">F50*H50</f>
        <v>500887.5</v>
      </c>
      <c r="J50" s="16" t="e">
        <f t="shared" ref="J50:J59" ca="1" si="13">I50/L50</f>
        <v>#NAME?</v>
      </c>
      <c r="K50" s="15" t="e">
        <f t="shared" ref="K50:K59" ca="1" si="14">J50*L50</f>
        <v>#NAME?</v>
      </c>
      <c r="L50" s="22" t="e">
        <f ca="1">_xll.BDH("RUB curncy","PX_LAST",$N50)</f>
        <v>#NAME?</v>
      </c>
      <c r="M50" s="85" t="e">
        <f ca="1">1/_xll.BDH("RUB curncy","PX_LAST",$N50)</f>
        <v>#NAME?</v>
      </c>
      <c r="N50" s="14">
        <v>41479</v>
      </c>
    </row>
    <row r="51" spans="2:14" x14ac:dyDescent="0.2">
      <c r="B51" s="21" t="s">
        <v>431</v>
      </c>
      <c r="C51" s="20" t="s">
        <v>324</v>
      </c>
      <c r="D51" s="18" t="e">
        <f ca="1">_xll.BDP(C51,"SECURITY_NAME")</f>
        <v>#NAME?</v>
      </c>
      <c r="E51" s="18" t="s">
        <v>50</v>
      </c>
      <c r="F51" s="19">
        <v>9250</v>
      </c>
      <c r="G51" s="18" t="e">
        <f ca="1">_xll.BDP(C51,"CRNCY")</f>
        <v>#NAME?</v>
      </c>
      <c r="H51" s="22">
        <v>54.1</v>
      </c>
      <c r="I51" s="15">
        <f t="shared" si="12"/>
        <v>500425</v>
      </c>
      <c r="J51" s="16" t="e">
        <f t="shared" ca="1" si="13"/>
        <v>#NAME?</v>
      </c>
      <c r="K51" s="15" t="e">
        <f t="shared" ca="1" si="14"/>
        <v>#NAME?</v>
      </c>
      <c r="L51" s="22" t="e">
        <f ca="1">_xll.BDH("RUB curncy","PX_LAST",$N51)</f>
        <v>#NAME?</v>
      </c>
      <c r="M51" s="85" t="e">
        <f ca="1">1/_xll.BDH("RUB curncy","PX_LAST",$N51)</f>
        <v>#NAME?</v>
      </c>
      <c r="N51" s="14">
        <v>41479</v>
      </c>
    </row>
    <row r="52" spans="2:14" x14ac:dyDescent="0.2">
      <c r="B52" s="21" t="s">
        <v>431</v>
      </c>
      <c r="C52" s="20" t="s">
        <v>324</v>
      </c>
      <c r="D52" s="18" t="e">
        <f ca="1">_xll.BDP(C52,"SECURITY_NAME")</f>
        <v>#NAME?</v>
      </c>
      <c r="E52" s="18" t="s">
        <v>50</v>
      </c>
      <c r="F52" s="19">
        <v>26490</v>
      </c>
      <c r="G52" s="18" t="e">
        <f ca="1">_xll.BDP(C52,"CRNCY")</f>
        <v>#NAME?</v>
      </c>
      <c r="H52" s="22">
        <v>56.05</v>
      </c>
      <c r="I52" s="15">
        <f t="shared" si="12"/>
        <v>1484764.5</v>
      </c>
      <c r="J52" s="16" t="e">
        <f t="shared" ca="1" si="13"/>
        <v>#NAME?</v>
      </c>
      <c r="K52" s="15" t="e">
        <f t="shared" ca="1" si="14"/>
        <v>#NAME?</v>
      </c>
      <c r="L52" s="22" t="e">
        <f ca="1">_xll.BDH("RUB curncy","PX_LAST",$N52)</f>
        <v>#NAME?</v>
      </c>
      <c r="M52" s="85" t="e">
        <f ca="1">1/_xll.BDH("RUB curncy","PX_LAST",$N52)</f>
        <v>#NAME?</v>
      </c>
      <c r="N52" s="14">
        <v>41502</v>
      </c>
    </row>
    <row r="53" spans="2:14" x14ac:dyDescent="0.2">
      <c r="B53" s="21" t="s">
        <v>431</v>
      </c>
      <c r="C53" s="20" t="s">
        <v>324</v>
      </c>
      <c r="D53" s="18" t="e">
        <f ca="1">_xll.BDP(C53,"SECURITY_NAME")</f>
        <v>#NAME?</v>
      </c>
      <c r="E53" s="18" t="s">
        <v>50</v>
      </c>
      <c r="F53" s="19">
        <v>430000</v>
      </c>
      <c r="G53" s="18" t="e">
        <f ca="1">_xll.BDP(C53,"CRNCY")</f>
        <v>#NAME?</v>
      </c>
      <c r="H53" s="22">
        <v>58.026600000000002</v>
      </c>
      <c r="I53" s="15">
        <f t="shared" si="12"/>
        <v>24951438</v>
      </c>
      <c r="J53" s="16" t="e">
        <f t="shared" ca="1" si="13"/>
        <v>#NAME?</v>
      </c>
      <c r="K53" s="15" t="e">
        <f t="shared" ca="1" si="14"/>
        <v>#NAME?</v>
      </c>
      <c r="L53" s="22" t="e">
        <f ca="1">_xll.BDH("RUB curncy","PX_LAST",$N53)</f>
        <v>#NAME?</v>
      </c>
      <c r="M53" s="85" t="e">
        <f ca="1">1/_xll.BDH("RUB curncy","PX_LAST",$N53)</f>
        <v>#NAME?</v>
      </c>
      <c r="N53" s="14">
        <v>41702</v>
      </c>
    </row>
    <row r="54" spans="2:14" x14ac:dyDescent="0.2">
      <c r="B54" s="21" t="s">
        <v>431</v>
      </c>
      <c r="C54" s="20" t="s">
        <v>324</v>
      </c>
      <c r="D54" s="18" t="e">
        <f ca="1">_xll.BDP(C54,"SECURITY_NAME")</f>
        <v>#NAME?</v>
      </c>
      <c r="E54" s="18" t="s">
        <v>50</v>
      </c>
      <c r="F54" s="19">
        <v>340000</v>
      </c>
      <c r="G54" s="18" t="e">
        <f ca="1">_xll.BDP(C54,"CRNCY")</f>
        <v>#NAME?</v>
      </c>
      <c r="H54" s="22">
        <v>58.776000000000003</v>
      </c>
      <c r="I54" s="15">
        <f t="shared" si="12"/>
        <v>19983840</v>
      </c>
      <c r="J54" s="16" t="e">
        <f t="shared" ca="1" si="13"/>
        <v>#NAME?</v>
      </c>
      <c r="K54" s="15" t="e">
        <f t="shared" ca="1" si="14"/>
        <v>#NAME?</v>
      </c>
      <c r="L54" s="22" t="e">
        <f ca="1">_xll.BDH("RUB curncy","PX_LAST",$N54)</f>
        <v>#NAME?</v>
      </c>
      <c r="M54" s="85" t="e">
        <f ca="1">1/_xll.BDH("RUB curncy","PX_LAST",$N54)</f>
        <v>#NAME?</v>
      </c>
      <c r="N54" s="14">
        <v>41703</v>
      </c>
    </row>
    <row r="55" spans="2:14" x14ac:dyDescent="0.2">
      <c r="B55" s="21" t="s">
        <v>431</v>
      </c>
      <c r="C55" s="20" t="s">
        <v>324</v>
      </c>
      <c r="D55" s="18" t="e">
        <f ca="1">_xll.BDP(C55,"SECURITY_NAME")</f>
        <v>#NAME?</v>
      </c>
      <c r="E55" s="18" t="s">
        <v>50</v>
      </c>
      <c r="F55" s="19">
        <v>215700</v>
      </c>
      <c r="G55" s="18" t="e">
        <f ca="1">_xll.BDP(C55,"CRNCY")</f>
        <v>#NAME?</v>
      </c>
      <c r="H55" s="22">
        <v>50.322400000000002</v>
      </c>
      <c r="I55" s="15">
        <f t="shared" si="12"/>
        <v>10854541.68</v>
      </c>
      <c r="J55" s="16" t="e">
        <f t="shared" ca="1" si="13"/>
        <v>#NAME?</v>
      </c>
      <c r="K55" s="15" t="e">
        <f t="shared" ca="1" si="14"/>
        <v>#NAME?</v>
      </c>
      <c r="L55" s="22" t="e">
        <f ca="1">_xll.BDH("RUB curncy","PX_LAST",$N55)</f>
        <v>#NAME?</v>
      </c>
      <c r="M55" s="85" t="e">
        <f ca="1">1/_xll.BDH("RUB curncy","PX_LAST",$N55)</f>
        <v>#NAME?</v>
      </c>
      <c r="N55" s="14">
        <v>41715</v>
      </c>
    </row>
    <row r="56" spans="2:14" x14ac:dyDescent="0.2">
      <c r="B56" s="21" t="s">
        <v>431</v>
      </c>
      <c r="C56" s="20" t="s">
        <v>324</v>
      </c>
      <c r="D56" s="18" t="e">
        <f ca="1">_xll.BDP(C56,"SECURITY_NAME")</f>
        <v>#NAME?</v>
      </c>
      <c r="E56" s="18" t="s">
        <v>50</v>
      </c>
      <c r="F56" s="19">
        <v>339000</v>
      </c>
      <c r="G56" s="18" t="e">
        <f ca="1">_xll.BDP(C56,"CRNCY")</f>
        <v>#NAME?</v>
      </c>
      <c r="H56" s="22">
        <v>58.933500000000002</v>
      </c>
      <c r="I56" s="15">
        <f t="shared" si="12"/>
        <v>19978456.5</v>
      </c>
      <c r="J56" s="16" t="e">
        <f t="shared" ca="1" si="13"/>
        <v>#NAME?</v>
      </c>
      <c r="K56" s="15" t="e">
        <f t="shared" ca="1" si="14"/>
        <v>#NAME?</v>
      </c>
      <c r="L56" s="22" t="e">
        <f ca="1">_xll.BDH("RUB curncy","PX_LAST",$N56)</f>
        <v>#NAME?</v>
      </c>
      <c r="M56" s="85" t="e">
        <f ca="1">1/_xll.BDH("RUB curncy","PX_LAST",$N56)</f>
        <v>#NAME?</v>
      </c>
      <c r="N56" s="14">
        <v>41717</v>
      </c>
    </row>
    <row r="57" spans="2:14" x14ac:dyDescent="0.2">
      <c r="B57" s="21" t="s">
        <v>431</v>
      </c>
      <c r="C57" s="20" t="s">
        <v>324</v>
      </c>
      <c r="D57" s="18" t="e">
        <f ca="1">_xll.BDP(C57,"SECURITY_NAME")</f>
        <v>#NAME?</v>
      </c>
      <c r="E57" s="18" t="s">
        <v>50</v>
      </c>
      <c r="F57" s="19">
        <v>284390</v>
      </c>
      <c r="G57" s="18" t="e">
        <f ca="1">_xll.BDP(C57,"CRNCY")</f>
        <v>#NAME?</v>
      </c>
      <c r="H57" s="22">
        <v>56.387500000000003</v>
      </c>
      <c r="I57" s="15">
        <f t="shared" si="12"/>
        <v>16036041.125</v>
      </c>
      <c r="J57" s="16" t="e">
        <f t="shared" ca="1" si="13"/>
        <v>#NAME?</v>
      </c>
      <c r="K57" s="15" t="e">
        <f t="shared" ca="1" si="14"/>
        <v>#NAME?</v>
      </c>
      <c r="L57" s="22" t="e">
        <f ca="1">_xll.BDH("RUB curncy","PX_LAST",$N57)</f>
        <v>#NAME?</v>
      </c>
      <c r="M57" s="85" t="e">
        <f ca="1">1/_xll.BDH("RUB curncy","PX_LAST",$N57)</f>
        <v>#NAME?</v>
      </c>
      <c r="N57" s="14">
        <v>41722</v>
      </c>
    </row>
    <row r="58" spans="2:14" x14ac:dyDescent="0.2">
      <c r="B58" s="21" t="s">
        <v>431</v>
      </c>
      <c r="C58" s="20" t="s">
        <v>324</v>
      </c>
      <c r="D58" s="18" t="e">
        <f ca="1">_xll.BDP(C58,"SECURITY_NAME")</f>
        <v>#NAME?</v>
      </c>
      <c r="E58" s="18" t="s">
        <v>50</v>
      </c>
      <c r="F58" s="19">
        <v>155000</v>
      </c>
      <c r="G58" s="18" t="e">
        <f ca="1">_xll.BDP(C58,"CRNCY")</f>
        <v>#NAME?</v>
      </c>
      <c r="H58" s="22">
        <v>57.987900000000003</v>
      </c>
      <c r="I58" s="15">
        <f t="shared" si="12"/>
        <v>8988124.5</v>
      </c>
      <c r="J58" s="16" t="e">
        <f t="shared" ca="1" si="13"/>
        <v>#NAME?</v>
      </c>
      <c r="K58" s="15" t="e">
        <f t="shared" ca="1" si="14"/>
        <v>#NAME?</v>
      </c>
      <c r="L58" s="22" t="e">
        <f ca="1">_xll.BDH("RUB curncy","PX_LAST",$N58)</f>
        <v>#NAME?</v>
      </c>
      <c r="M58" s="85" t="e">
        <f ca="1">1/_xll.BDH("RUB curncy","PX_LAST",$N58)</f>
        <v>#NAME?</v>
      </c>
      <c r="N58" s="14">
        <v>41723</v>
      </c>
    </row>
    <row r="59" spans="2:14" x14ac:dyDescent="0.2">
      <c r="B59" s="21" t="s">
        <v>431</v>
      </c>
      <c r="C59" s="20" t="s">
        <v>324</v>
      </c>
      <c r="D59" s="18" t="e">
        <f ca="1">_xll.BDP(C59,"SECURITY_NAME")</f>
        <v>#NAME?</v>
      </c>
      <c r="E59" s="18" t="s">
        <v>50</v>
      </c>
      <c r="F59" s="19">
        <v>420000</v>
      </c>
      <c r="G59" s="18" t="e">
        <f ca="1">_xll.BDP(C59,"CRNCY")</f>
        <v>#NAME?</v>
      </c>
      <c r="H59" s="22">
        <v>59.356499999999997</v>
      </c>
      <c r="I59" s="15">
        <f t="shared" si="12"/>
        <v>24929730</v>
      </c>
      <c r="J59" s="16" t="e">
        <f t="shared" ca="1" si="13"/>
        <v>#NAME?</v>
      </c>
      <c r="K59" s="15" t="e">
        <f t="shared" ca="1" si="14"/>
        <v>#NAME?</v>
      </c>
      <c r="L59" s="22" t="e">
        <f ca="1">_xll.BDH("RUB curncy","PX_LAST",$N59)</f>
        <v>#NAME?</v>
      </c>
      <c r="M59" s="85" t="e">
        <f ca="1">1/_xll.BDH("RUB curncy","PX_LAST",$N59)</f>
        <v>#NAME?</v>
      </c>
      <c r="N59" s="14">
        <v>41724</v>
      </c>
    </row>
    <row r="60" spans="2:14" x14ac:dyDescent="0.2">
      <c r="B60" s="71"/>
      <c r="C60" s="33"/>
      <c r="D60" s="73">
        <f>E60/F60</f>
        <v>0.16458808118147397</v>
      </c>
      <c r="E60" s="73">
        <v>366880</v>
      </c>
      <c r="F60" s="79">
        <f>SUM(F50:F59)</f>
        <v>2229080</v>
      </c>
      <c r="G60" s="73"/>
      <c r="H60" s="80">
        <f>I60/F60</f>
        <v>57.51621691684462</v>
      </c>
      <c r="I60" s="79">
        <f>SUM(I50:I59)</f>
        <v>128208248.80500001</v>
      </c>
      <c r="J60" s="79" t="e">
        <f ca="1">SUM(J50:J59)*D60</f>
        <v>#NAME?</v>
      </c>
      <c r="K60" s="79" t="e">
        <f ca="1">SUM(K50:K59)</f>
        <v>#NAME?</v>
      </c>
      <c r="L60" s="75"/>
      <c r="M60" s="86"/>
      <c r="N60" s="14"/>
    </row>
    <row r="61" spans="2:14" x14ac:dyDescent="0.2">
      <c r="B61" s="71"/>
      <c r="C61" s="33"/>
      <c r="D61" s="73"/>
      <c r="E61" s="73"/>
      <c r="F61" s="79"/>
      <c r="G61" s="73"/>
      <c r="H61" s="80"/>
      <c r="I61" s="79"/>
      <c r="J61" s="79"/>
      <c r="K61" s="79"/>
      <c r="L61" s="75"/>
      <c r="M61" s="86"/>
      <c r="N61" s="14"/>
    </row>
    <row r="62" spans="2:14" x14ac:dyDescent="0.2">
      <c r="B62" s="21" t="s">
        <v>431</v>
      </c>
      <c r="C62" s="20" t="s">
        <v>20</v>
      </c>
      <c r="D62" s="18" t="e">
        <f ca="1">_xll.BDP(C62,"SECURITY_NAME")</f>
        <v>#NAME?</v>
      </c>
      <c r="E62" s="18" t="s">
        <v>50</v>
      </c>
      <c r="F62" s="19">
        <v>5470</v>
      </c>
      <c r="G62" s="18" t="e">
        <f ca="1">_xll.BDP(C62,"CRNCY")</f>
        <v>#NAME?</v>
      </c>
      <c r="H62" s="22" t="e">
        <f ca="1">_xll.BDH(C62,"PX_LAST",$N62)</f>
        <v>#NAME?</v>
      </c>
      <c r="I62" s="15" t="e">
        <f t="shared" ref="I62:I67" ca="1" si="15">F62*H62</f>
        <v>#NAME?</v>
      </c>
      <c r="J62" s="16" t="e">
        <f t="shared" ref="J62:J67" ca="1" si="16">I62</f>
        <v>#NAME?</v>
      </c>
      <c r="K62" s="15" t="e">
        <f t="shared" ref="K62:K67" ca="1" si="17">J62*L62</f>
        <v>#NAME?</v>
      </c>
      <c r="L62" s="22" t="e">
        <f ca="1">_xll.BDH("RUB curncy","PX_LAST",$N62)</f>
        <v>#NAME?</v>
      </c>
      <c r="M62" s="85" t="e">
        <f ca="1">1/_xll.BDH("RUB curncy","PX_LAST",$N62)</f>
        <v>#NAME?</v>
      </c>
      <c r="N62" s="14">
        <v>41502</v>
      </c>
    </row>
    <row r="63" spans="2:14" x14ac:dyDescent="0.2">
      <c r="B63" s="21" t="s">
        <v>431</v>
      </c>
      <c r="C63" s="20" t="s">
        <v>20</v>
      </c>
      <c r="D63" s="18" t="e">
        <f ca="1">_xll.BDP(C63,"SECURITY_NAME")</f>
        <v>#NAME?</v>
      </c>
      <c r="E63" s="18" t="s">
        <v>50</v>
      </c>
      <c r="F63" s="19">
        <v>26330</v>
      </c>
      <c r="G63" s="18" t="e">
        <f ca="1">_xll.BDP(C63,"CRNCY")</f>
        <v>#NAME?</v>
      </c>
      <c r="H63" s="22" t="e">
        <f ca="1">_xll.BDH(C63,"PX_LAST",$N63)</f>
        <v>#NAME?</v>
      </c>
      <c r="I63" s="15" t="e">
        <f t="shared" ca="1" si="15"/>
        <v>#NAME?</v>
      </c>
      <c r="J63" s="16" t="e">
        <f t="shared" ca="1" si="16"/>
        <v>#NAME?</v>
      </c>
      <c r="K63" s="15" t="e">
        <f t="shared" ca="1" si="17"/>
        <v>#NAME?</v>
      </c>
      <c r="L63" s="22" t="e">
        <f ca="1">_xll.BDH("RUB curncy","PX_LAST",$N63)</f>
        <v>#NAME?</v>
      </c>
      <c r="M63" s="85" t="e">
        <f ca="1">1/_xll.BDH("RUB curncy","PX_LAST",$N63)</f>
        <v>#NAME?</v>
      </c>
      <c r="N63" s="14">
        <v>41599</v>
      </c>
    </row>
    <row r="64" spans="2:14" x14ac:dyDescent="0.2">
      <c r="B64" s="21" t="s">
        <v>431</v>
      </c>
      <c r="C64" s="20" t="s">
        <v>20</v>
      </c>
      <c r="D64" s="18" t="e">
        <f ca="1">_xll.BDP(C64,"SECURITY_NAME")</f>
        <v>#NAME?</v>
      </c>
      <c r="E64" s="18" t="s">
        <v>50</v>
      </c>
      <c r="F64" s="19">
        <v>25000</v>
      </c>
      <c r="G64" s="18" t="e">
        <f ca="1">_xll.BDP(C64,"CRNCY")</f>
        <v>#NAME?</v>
      </c>
      <c r="H64" s="22" t="e">
        <f ca="1">_xll.BDH(C64,"PX_LAST",$N64)</f>
        <v>#NAME?</v>
      </c>
      <c r="I64" s="15" t="e">
        <f t="shared" ca="1" si="15"/>
        <v>#NAME?</v>
      </c>
      <c r="J64" s="16" t="e">
        <f t="shared" ca="1" si="16"/>
        <v>#NAME?</v>
      </c>
      <c r="K64" s="15" t="e">
        <f t="shared" ca="1" si="17"/>
        <v>#NAME?</v>
      </c>
      <c r="L64" s="22" t="e">
        <f ca="1">_xll.BDH("RUB curncy","PX_LAST",$N64)</f>
        <v>#NAME?</v>
      </c>
      <c r="M64" s="85" t="e">
        <f ca="1">1/_xll.BDH("RUB curncy","PX_LAST",$N64)</f>
        <v>#NAME?</v>
      </c>
      <c r="N64" s="14">
        <v>41703</v>
      </c>
    </row>
    <row r="65" spans="2:14" x14ac:dyDescent="0.2">
      <c r="B65" s="21" t="s">
        <v>431</v>
      </c>
      <c r="C65" s="20" t="s">
        <v>20</v>
      </c>
      <c r="D65" s="18" t="e">
        <f ca="1">_xll.BDP(C65,"SECURITY_NAME")</f>
        <v>#NAME?</v>
      </c>
      <c r="E65" s="18" t="s">
        <v>50</v>
      </c>
      <c r="F65" s="19">
        <v>36000</v>
      </c>
      <c r="G65" s="18" t="e">
        <f ca="1">_xll.BDP(C65,"CRNCY")</f>
        <v>#NAME?</v>
      </c>
      <c r="H65" s="22" t="e">
        <f ca="1">_xll.BDH(C65,"PX_LAST",$N65)</f>
        <v>#NAME?</v>
      </c>
      <c r="I65" s="15" t="e">
        <f t="shared" ca="1" si="15"/>
        <v>#NAME?</v>
      </c>
      <c r="J65" s="16" t="e">
        <f t="shared" ca="1" si="16"/>
        <v>#NAME?</v>
      </c>
      <c r="K65" s="15" t="e">
        <f t="shared" ca="1" si="17"/>
        <v>#NAME?</v>
      </c>
      <c r="L65" s="22" t="e">
        <f ca="1">_xll.BDH("RUB curncy","PX_LAST",$N65)</f>
        <v>#NAME?</v>
      </c>
      <c r="M65" s="85" t="e">
        <f ca="1">1/_xll.BDH("RUB curncy","PX_LAST",$N65)</f>
        <v>#NAME?</v>
      </c>
      <c r="N65" s="14">
        <v>41717</v>
      </c>
    </row>
    <row r="66" spans="2:14" x14ac:dyDescent="0.2">
      <c r="B66" s="21" t="s">
        <v>431</v>
      </c>
      <c r="C66" s="20" t="s">
        <v>20</v>
      </c>
      <c r="D66" s="18" t="e">
        <f ca="1">_xll.BDP(C66,"SECURITY_NAME")</f>
        <v>#NAME?</v>
      </c>
      <c r="E66" s="18" t="s">
        <v>50</v>
      </c>
      <c r="F66" s="19">
        <v>43000</v>
      </c>
      <c r="G66" s="18" t="e">
        <f ca="1">_xll.BDP(C66,"CRNCY")</f>
        <v>#NAME?</v>
      </c>
      <c r="H66" s="22" t="e">
        <f ca="1">_xll.BDH(C66,"PX_LAST",$N66)</f>
        <v>#NAME?</v>
      </c>
      <c r="I66" s="15" t="e">
        <f t="shared" ca="1" si="15"/>
        <v>#NAME?</v>
      </c>
      <c r="J66" s="16" t="e">
        <f t="shared" ca="1" si="16"/>
        <v>#NAME?</v>
      </c>
      <c r="K66" s="15" t="e">
        <f t="shared" ca="1" si="17"/>
        <v>#NAME?</v>
      </c>
      <c r="L66" s="22" t="e">
        <f ca="1">_xll.BDH("RUB curncy","PX_LAST",$N66)</f>
        <v>#NAME?</v>
      </c>
      <c r="M66" s="85" t="e">
        <f ca="1">1/_xll.BDH("RUB curncy","PX_LAST",$N66)</f>
        <v>#NAME?</v>
      </c>
      <c r="N66" s="14">
        <v>41724</v>
      </c>
    </row>
    <row r="67" spans="2:14" x14ac:dyDescent="0.2">
      <c r="B67" s="21" t="s">
        <v>431</v>
      </c>
      <c r="C67" s="20" t="s">
        <v>20</v>
      </c>
      <c r="D67" s="18" t="e">
        <f ca="1">_xll.BDP(C67,"SECURITY_NAME")</f>
        <v>#NAME?</v>
      </c>
      <c r="E67" s="18" t="s">
        <v>50</v>
      </c>
      <c r="F67" s="19">
        <v>50000</v>
      </c>
      <c r="G67" s="18" t="e">
        <f ca="1">_xll.BDP(C67,"CRNCY")</f>
        <v>#NAME?</v>
      </c>
      <c r="H67" s="22" t="e">
        <f ca="1">_xll.BDH(C67,"PX_LAST",$N67)</f>
        <v>#NAME?</v>
      </c>
      <c r="I67" s="15" t="e">
        <f t="shared" ca="1" si="15"/>
        <v>#NAME?</v>
      </c>
      <c r="J67" s="16" t="e">
        <f t="shared" ca="1" si="16"/>
        <v>#NAME?</v>
      </c>
      <c r="K67" s="15" t="e">
        <f t="shared" ca="1" si="17"/>
        <v>#NAME?</v>
      </c>
      <c r="L67" s="22" t="e">
        <f ca="1">_xll.BDH("RUB curncy","PX_LAST",$N67)</f>
        <v>#NAME?</v>
      </c>
      <c r="M67" s="85" t="e">
        <f ca="1">1/_xll.BDH("RUB curncy","PX_LAST",$N67)</f>
        <v>#NAME?</v>
      </c>
      <c r="N67" s="14">
        <v>41724</v>
      </c>
    </row>
    <row r="68" spans="2:14" x14ac:dyDescent="0.2">
      <c r="B68" s="71"/>
      <c r="C68" s="33"/>
      <c r="D68" s="73">
        <f>E68/F68</f>
        <v>0.5303283100107643</v>
      </c>
      <c r="E68" s="73">
        <v>98535</v>
      </c>
      <c r="F68" s="79">
        <f>SUM(F62:F67)</f>
        <v>185800</v>
      </c>
      <c r="G68" s="73"/>
      <c r="H68" s="80" t="e">
        <f ca="1">I68/F68</f>
        <v>#NAME?</v>
      </c>
      <c r="I68" s="79" t="e">
        <f ca="1">SUM(I62:I67)</f>
        <v>#NAME?</v>
      </c>
      <c r="J68" s="79" t="e">
        <f ca="1">SUM(J62:J67)</f>
        <v>#NAME?</v>
      </c>
      <c r="K68" s="79" t="e">
        <f ca="1">SUM(K62:K67)*D68</f>
        <v>#NAME?</v>
      </c>
      <c r="L68" s="75"/>
      <c r="M68" s="86"/>
      <c r="N68" s="14"/>
    </row>
    <row r="69" spans="2:14" x14ac:dyDescent="0.2">
      <c r="B69" s="71"/>
      <c r="C69" s="33"/>
      <c r="D69" s="73"/>
      <c r="E69" s="73"/>
      <c r="F69" s="79"/>
      <c r="G69" s="73"/>
      <c r="H69" s="80"/>
      <c r="I69" s="79"/>
      <c r="J69" s="79"/>
      <c r="K69" s="79"/>
      <c r="L69" s="75"/>
      <c r="M69" s="86"/>
      <c r="N69" s="14"/>
    </row>
    <row r="70" spans="2:14" x14ac:dyDescent="0.2">
      <c r="B70" s="21" t="s">
        <v>431</v>
      </c>
      <c r="C70" s="20" t="s">
        <v>18</v>
      </c>
      <c r="D70" s="18" t="e">
        <f ca="1">_xll.BDP(C70,"SECURITY_NAME")</f>
        <v>#NAME?</v>
      </c>
      <c r="E70" s="18" t="s">
        <v>50</v>
      </c>
      <c r="F70" s="19">
        <v>78000</v>
      </c>
      <c r="G70" s="18" t="e">
        <f ca="1">_xll.BDP(C70,"CRNCY")</f>
        <v>#NAME?</v>
      </c>
      <c r="H70" s="22">
        <v>256.6096</v>
      </c>
      <c r="I70" s="15">
        <f>F70*H70</f>
        <v>20015548.800000001</v>
      </c>
      <c r="J70" s="16" t="e">
        <f ca="1">I70/L70</f>
        <v>#NAME?</v>
      </c>
      <c r="K70" s="15" t="e">
        <f ca="1">J70*L70</f>
        <v>#NAME?</v>
      </c>
      <c r="L70" s="22" t="e">
        <f ca="1">_xll.BDH("RUB curncy","PX_LAST",$N70)</f>
        <v>#NAME?</v>
      </c>
      <c r="M70" s="85" t="e">
        <f ca="1">1/_xll.BDH("RUB curncy","PX_LAST",$N70)</f>
        <v>#NAME?</v>
      </c>
      <c r="N70" s="14">
        <v>41703</v>
      </c>
    </row>
    <row r="71" spans="2:14" x14ac:dyDescent="0.2">
      <c r="B71" s="21" t="s">
        <v>431</v>
      </c>
      <c r="C71" s="20" t="s">
        <v>18</v>
      </c>
      <c r="D71" s="18" t="e">
        <f ca="1">_xll.BDP(C71,"SECURITY_NAME")</f>
        <v>#NAME?</v>
      </c>
      <c r="E71" s="18" t="s">
        <v>50</v>
      </c>
      <c r="F71" s="19">
        <v>97000</v>
      </c>
      <c r="G71" s="18" t="e">
        <f ca="1">_xll.BDP(C71,"CRNCY")</f>
        <v>#NAME?</v>
      </c>
      <c r="H71" s="22">
        <v>258.642</v>
      </c>
      <c r="I71" s="15">
        <f>F71*H71</f>
        <v>25088274</v>
      </c>
      <c r="J71" s="16" t="e">
        <f ca="1">I71/L71</f>
        <v>#NAME?</v>
      </c>
      <c r="K71" s="15" t="e">
        <f ca="1">J71*L71</f>
        <v>#NAME?</v>
      </c>
      <c r="L71" s="22" t="e">
        <f ca="1">_xll.BDH("RUB curncy","PX_LAST",$N71)</f>
        <v>#NAME?</v>
      </c>
      <c r="M71" s="85" t="e">
        <f ca="1">1/_xll.BDH("RUB curncy","PX_LAST",$N71)</f>
        <v>#NAME?</v>
      </c>
      <c r="N71" s="14">
        <v>41717</v>
      </c>
    </row>
    <row r="72" spans="2:14" x14ac:dyDescent="0.2">
      <c r="B72" s="21" t="s">
        <v>431</v>
      </c>
      <c r="C72" s="20" t="s">
        <v>18</v>
      </c>
      <c r="D72" s="18" t="e">
        <f ca="1">_xll.BDP(C72,"SECURITY_NAME")</f>
        <v>#NAME?</v>
      </c>
      <c r="E72" s="18" t="s">
        <v>50</v>
      </c>
      <c r="F72" s="19">
        <v>76500</v>
      </c>
      <c r="G72" s="18" t="e">
        <f ca="1">_xll.BDP(C72,"CRNCY")</f>
        <v>#NAME?</v>
      </c>
      <c r="H72" s="22">
        <v>261.96899999999999</v>
      </c>
      <c r="I72" s="15">
        <f>F72*H72</f>
        <v>20040628.5</v>
      </c>
      <c r="J72" s="16" t="e">
        <f ca="1">I72/L72</f>
        <v>#NAME?</v>
      </c>
      <c r="K72" s="15" t="e">
        <f ca="1">J72*L72</f>
        <v>#NAME?</v>
      </c>
      <c r="L72" s="22" t="e">
        <f ca="1">_xll.BDH("RUB curncy","PX_LAST",$N72)</f>
        <v>#NAME?</v>
      </c>
      <c r="M72" s="85" t="e">
        <f ca="1">1/_xll.BDH("RUB curncy","PX_LAST",$N72)</f>
        <v>#NAME?</v>
      </c>
      <c r="N72" s="14">
        <v>41722</v>
      </c>
    </row>
    <row r="73" spans="2:14" x14ac:dyDescent="0.2">
      <c r="B73" s="71"/>
      <c r="C73" s="33"/>
      <c r="D73" s="73">
        <f>E73/F73</f>
        <v>0.5</v>
      </c>
      <c r="E73" s="73">
        <v>125750</v>
      </c>
      <c r="F73" s="79">
        <f>SUM(F70:F72)</f>
        <v>251500</v>
      </c>
      <c r="G73" s="73"/>
      <c r="H73" s="80">
        <f>I73/F73</f>
        <v>259.02366322067593</v>
      </c>
      <c r="I73" s="79">
        <f>SUM(I70:I72)</f>
        <v>65144451.299999997</v>
      </c>
      <c r="J73" s="79" t="e">
        <f ca="1">SUM(J70:J72)*D73</f>
        <v>#NAME?</v>
      </c>
      <c r="K73" s="79" t="e">
        <f ca="1">SUM(K70:K72)</f>
        <v>#NAME?</v>
      </c>
      <c r="L73" s="75"/>
      <c r="M73" s="86"/>
      <c r="N73" s="14"/>
    </row>
    <row r="74" spans="2:14" x14ac:dyDescent="0.2">
      <c r="B74" s="71"/>
      <c r="C74" s="33"/>
      <c r="D74" s="73"/>
      <c r="E74" s="73"/>
      <c r="F74" s="79"/>
      <c r="G74" s="73"/>
      <c r="H74" s="80"/>
      <c r="I74" s="79"/>
      <c r="J74" s="79"/>
      <c r="K74" s="79"/>
      <c r="L74" s="75"/>
      <c r="M74" s="86"/>
      <c r="N74" s="14"/>
    </row>
    <row r="75" spans="2:14" x14ac:dyDescent="0.2">
      <c r="B75" s="21" t="s">
        <v>431</v>
      </c>
      <c r="C75" s="20" t="s">
        <v>6</v>
      </c>
      <c r="D75" s="18" t="e">
        <f ca="1">_xll.BDP(C75,"SECURITY_NAME")</f>
        <v>#NAME?</v>
      </c>
      <c r="E75" s="18" t="s">
        <v>50</v>
      </c>
      <c r="F75" s="19">
        <v>1200000</v>
      </c>
      <c r="G75" s="18" t="e">
        <f ca="1">_xll.BDP(C75,"CRNCY")</f>
        <v>#NAME?</v>
      </c>
      <c r="H75" s="22">
        <v>82.696100000000001</v>
      </c>
      <c r="I75" s="15">
        <f t="shared" ref="I75:I80" si="18">F75*H75</f>
        <v>99235320</v>
      </c>
      <c r="J75" s="16" t="e">
        <f t="shared" ref="J75:J80" ca="1" si="19">I75/L75</f>
        <v>#NAME?</v>
      </c>
      <c r="K75" s="15" t="e">
        <f t="shared" ref="K75:K80" ca="1" si="20">J75*L75</f>
        <v>#NAME?</v>
      </c>
      <c r="L75" s="22" t="e">
        <f ca="1">_xll.BDH("RUB curncy","PX_LAST",$N75)</f>
        <v>#NAME?</v>
      </c>
      <c r="M75" s="85" t="e">
        <f ca="1">1/_xll.BDH("RUB curncy","PX_LAST",$N75)</f>
        <v>#NAME?</v>
      </c>
      <c r="N75" s="14">
        <v>41702</v>
      </c>
    </row>
    <row r="76" spans="2:14" x14ac:dyDescent="0.2">
      <c r="B76" s="21" t="s">
        <v>431</v>
      </c>
      <c r="C76" s="20" t="s">
        <v>6</v>
      </c>
      <c r="D76" s="18" t="e">
        <f ca="1">_xll.BDP(C76,"SECURITY_NAME")</f>
        <v>#NAME?</v>
      </c>
      <c r="E76" s="18" t="s">
        <v>50</v>
      </c>
      <c r="F76" s="19">
        <v>300000</v>
      </c>
      <c r="G76" s="18" t="e">
        <f ca="1">_xll.BDP(C76,"CRNCY")</f>
        <v>#NAME?</v>
      </c>
      <c r="H76" s="22">
        <v>81.927000000000007</v>
      </c>
      <c r="I76" s="15">
        <f t="shared" si="18"/>
        <v>24578100.000000004</v>
      </c>
      <c r="J76" s="16" t="e">
        <f t="shared" ca="1" si="19"/>
        <v>#NAME?</v>
      </c>
      <c r="K76" s="15" t="e">
        <f t="shared" ca="1" si="20"/>
        <v>#NAME?</v>
      </c>
      <c r="L76" s="22" t="e">
        <f ca="1">_xll.BDH("RUB curncy","PX_LAST",$N76)</f>
        <v>#NAME?</v>
      </c>
      <c r="M76" s="85" t="e">
        <f ca="1">1/_xll.BDH("RUB curncy","PX_LAST",$N76)</f>
        <v>#NAME?</v>
      </c>
      <c r="N76" s="14">
        <v>41703</v>
      </c>
    </row>
    <row r="77" spans="2:14" x14ac:dyDescent="0.2">
      <c r="B77" s="21" t="s">
        <v>431</v>
      </c>
      <c r="C77" s="20" t="s">
        <v>6</v>
      </c>
      <c r="D77" s="18" t="e">
        <f ca="1">_xll.BDP(C77,"SECURITY_NAME")</f>
        <v>#NAME?</v>
      </c>
      <c r="E77" s="18" t="s">
        <v>50</v>
      </c>
      <c r="F77" s="19">
        <v>935000</v>
      </c>
      <c r="G77" s="18" t="e">
        <f ca="1">_xll.BDP(C77,"CRNCY")</f>
        <v>#NAME?</v>
      </c>
      <c r="H77" s="22">
        <v>74.891000000000005</v>
      </c>
      <c r="I77" s="15">
        <f t="shared" si="18"/>
        <v>70023085</v>
      </c>
      <c r="J77" s="16" t="e">
        <f t="shared" ca="1" si="19"/>
        <v>#NAME?</v>
      </c>
      <c r="K77" s="15" t="e">
        <f t="shared" ca="1" si="20"/>
        <v>#NAME?</v>
      </c>
      <c r="L77" s="22" t="e">
        <f ca="1">_xll.BDH("RUB curncy","PX_LAST",$N77)</f>
        <v>#NAME?</v>
      </c>
      <c r="M77" s="85" t="e">
        <f ca="1">1/_xll.BDH("RUB curncy","PX_LAST",$N77)</f>
        <v>#NAME?</v>
      </c>
      <c r="N77" s="14">
        <v>41715</v>
      </c>
    </row>
    <row r="78" spans="2:14" x14ac:dyDescent="0.2">
      <c r="B78" s="21" t="s">
        <v>431</v>
      </c>
      <c r="C78" s="20" t="s">
        <v>6</v>
      </c>
      <c r="D78" s="18" t="e">
        <f ca="1">_xll.BDP(C78,"SECURITY_NAME")</f>
        <v>#NAME?</v>
      </c>
      <c r="E78" s="18" t="s">
        <v>50</v>
      </c>
      <c r="F78" s="19">
        <v>1200000</v>
      </c>
      <c r="G78" s="18" t="e">
        <f ca="1">_xll.BDP(C78,"CRNCY")</f>
        <v>#NAME?</v>
      </c>
      <c r="H78" s="22">
        <v>81.781999999999996</v>
      </c>
      <c r="I78" s="15">
        <f t="shared" si="18"/>
        <v>98138400</v>
      </c>
      <c r="J78" s="16" t="e">
        <f t="shared" ca="1" si="19"/>
        <v>#NAME?</v>
      </c>
      <c r="K78" s="15" t="e">
        <f t="shared" ca="1" si="20"/>
        <v>#NAME?</v>
      </c>
      <c r="L78" s="22" t="e">
        <f ca="1">_xll.BDH("RUB curncy","PX_LAST",$N78)</f>
        <v>#NAME?</v>
      </c>
      <c r="M78" s="85" t="e">
        <f ca="1">1/_xll.BDH("RUB curncy","PX_LAST",$N78)</f>
        <v>#NAME?</v>
      </c>
      <c r="N78" s="14">
        <v>41717</v>
      </c>
    </row>
    <row r="79" spans="2:14" x14ac:dyDescent="0.2">
      <c r="B79" s="21" t="s">
        <v>431</v>
      </c>
      <c r="C79" s="20" t="s">
        <v>6</v>
      </c>
      <c r="D79" s="18" t="e">
        <f ca="1">_xll.BDP(C79,"SECURITY_NAME")</f>
        <v>#NAME?</v>
      </c>
      <c r="E79" s="18" t="s">
        <v>50</v>
      </c>
      <c r="F79" s="19">
        <v>20400</v>
      </c>
      <c r="G79" s="18" t="e">
        <f ca="1">_xll.BDP(C79,"CRNCY")</f>
        <v>#NAME?</v>
      </c>
      <c r="H79" s="22">
        <v>81.7363</v>
      </c>
      <c r="I79" s="15">
        <f t="shared" si="18"/>
        <v>1667420.52</v>
      </c>
      <c r="J79" s="16" t="e">
        <f t="shared" ca="1" si="19"/>
        <v>#NAME?</v>
      </c>
      <c r="K79" s="15" t="e">
        <f t="shared" ca="1" si="20"/>
        <v>#NAME?</v>
      </c>
      <c r="L79" s="22" t="e">
        <f ca="1">_xll.BDH("RUB curncy","PX_LAST",$N79)</f>
        <v>#NAME?</v>
      </c>
      <c r="M79" s="85" t="e">
        <f ca="1">1/_xll.BDH("RUB curncy","PX_LAST",$N79)</f>
        <v>#NAME?</v>
      </c>
      <c r="N79" s="14">
        <v>41717</v>
      </c>
    </row>
    <row r="80" spans="2:14" x14ac:dyDescent="0.2">
      <c r="B80" s="21" t="s">
        <v>431</v>
      </c>
      <c r="C80" s="20" t="s">
        <v>6</v>
      </c>
      <c r="D80" s="18" t="e">
        <f ca="1">_xll.BDP(C80,"SECURITY_NAME")</f>
        <v>#NAME?</v>
      </c>
      <c r="E80" s="18" t="s">
        <v>50</v>
      </c>
      <c r="F80" s="19">
        <v>1250000</v>
      </c>
      <c r="G80" s="18" t="e">
        <f ca="1">_xll.BDP(C80,"CRNCY")</f>
        <v>#NAME?</v>
      </c>
      <c r="H80" s="22">
        <v>80.121200000000002</v>
      </c>
      <c r="I80" s="15">
        <f t="shared" si="18"/>
        <v>100151500</v>
      </c>
      <c r="J80" s="16" t="e">
        <f t="shared" ca="1" si="19"/>
        <v>#NAME?</v>
      </c>
      <c r="K80" s="15" t="e">
        <f t="shared" ca="1" si="20"/>
        <v>#NAME?</v>
      </c>
      <c r="L80" s="22" t="e">
        <f ca="1">_xll.BDH("RUB curncy","PX_LAST",$N80)</f>
        <v>#NAME?</v>
      </c>
      <c r="M80" s="85" t="e">
        <f ca="1">1/_xll.BDH("RUB curncy","PX_LAST",$N80)</f>
        <v>#NAME?</v>
      </c>
      <c r="N80" s="14">
        <v>41722</v>
      </c>
    </row>
    <row r="81" spans="2:14" x14ac:dyDescent="0.2">
      <c r="B81" s="71"/>
      <c r="C81" s="33"/>
      <c r="D81" s="73">
        <f>E81/F81</f>
        <v>0.73094956578464554</v>
      </c>
      <c r="E81" s="73">
        <v>3585600</v>
      </c>
      <c r="F81" s="79">
        <f>SUM(F75:F80)</f>
        <v>4905400</v>
      </c>
      <c r="G81" s="73"/>
      <c r="H81" s="80">
        <f>I81/F81</f>
        <v>80.277617629551102</v>
      </c>
      <c r="I81" s="79">
        <f>SUM(I75:I80)</f>
        <v>393793825.51999998</v>
      </c>
      <c r="J81" s="79" t="e">
        <f ca="1">SUM(J75:J80)*D81</f>
        <v>#NAME?</v>
      </c>
      <c r="K81" s="79" t="e">
        <f ca="1">SUM(K75:K80)</f>
        <v>#NAME?</v>
      </c>
      <c r="L81" s="75"/>
      <c r="M81" s="86"/>
      <c r="N81" s="14"/>
    </row>
    <row r="82" spans="2:14" x14ac:dyDescent="0.2">
      <c r="H82" s="10"/>
    </row>
    <row r="83" spans="2:14" x14ac:dyDescent="0.2">
      <c r="B83" s="21" t="s">
        <v>431</v>
      </c>
      <c r="C83" s="20" t="s">
        <v>432</v>
      </c>
      <c r="D83" s="18" t="e">
        <f ca="1">_xll.BDP(C83,"SECURITY_NAME")</f>
        <v>#NAME?</v>
      </c>
      <c r="E83" s="18" t="s">
        <v>50</v>
      </c>
      <c r="F83" s="19">
        <v>20000</v>
      </c>
      <c r="G83" s="18" t="e">
        <f ca="1">_xll.BDP(C83,"CRNCY")</f>
        <v>#NAME?</v>
      </c>
      <c r="H83" s="22" t="e">
        <f ca="1">_xll.BDH(C83,"PX_LAST",$N83)</f>
        <v>#NAME?</v>
      </c>
      <c r="I83" s="15" t="e">
        <f ca="1">F83*H83</f>
        <v>#NAME?</v>
      </c>
      <c r="J83" s="16" t="e">
        <f ca="1">I83</f>
        <v>#NAME?</v>
      </c>
      <c r="K83" s="15" t="e">
        <f ca="1">J83*L83</f>
        <v>#NAME?</v>
      </c>
      <c r="L83" s="22" t="e">
        <f ca="1">_xll.BDH("RUB curncy","PX_LAST",$N83)</f>
        <v>#NAME?</v>
      </c>
      <c r="M83" s="85" t="e">
        <f ca="1">1/_xll.BDH("RUB curncy","PX_LAST",$N83)</f>
        <v>#NAME?</v>
      </c>
      <c r="N83" s="14">
        <v>41703</v>
      </c>
    </row>
    <row r="84" spans="2:14" x14ac:dyDescent="0.2">
      <c r="B84" s="21" t="s">
        <v>431</v>
      </c>
      <c r="C84" s="20" t="s">
        <v>432</v>
      </c>
      <c r="D84" s="18" t="e">
        <f ca="1">_xll.BDP(C84,"SECURITY_NAME")</f>
        <v>#NAME?</v>
      </c>
      <c r="E84" s="18" t="s">
        <v>50</v>
      </c>
      <c r="F84" s="19">
        <v>26000</v>
      </c>
      <c r="G84" s="18" t="e">
        <f ca="1">_xll.BDP(C84,"CRNCY")</f>
        <v>#NAME?</v>
      </c>
      <c r="H84" s="22" t="e">
        <f ca="1">_xll.BDH(C84,"PX_LAST",$N84)</f>
        <v>#NAME?</v>
      </c>
      <c r="I84" s="15" t="e">
        <f ca="1">F84*H84</f>
        <v>#NAME?</v>
      </c>
      <c r="J84" s="16" t="e">
        <f ca="1">I84</f>
        <v>#NAME?</v>
      </c>
      <c r="K84" s="15" t="e">
        <f ca="1">J84*L84</f>
        <v>#NAME?</v>
      </c>
      <c r="L84" s="22" t="e">
        <f ca="1">_xll.BDH("RUB curncy","PX_LAST",$N84)</f>
        <v>#NAME?</v>
      </c>
      <c r="M84" s="85" t="e">
        <f ca="1">1/_xll.BDH("RUB curncy","PX_LAST",$N84)</f>
        <v>#NAME?</v>
      </c>
      <c r="N84" s="14">
        <v>41717</v>
      </c>
    </row>
    <row r="85" spans="2:14" x14ac:dyDescent="0.2">
      <c r="B85" s="21" t="s">
        <v>431</v>
      </c>
      <c r="C85" s="20" t="s">
        <v>432</v>
      </c>
      <c r="D85" s="18" t="e">
        <f ca="1">_xll.BDP(C85,"SECURITY_NAME")</f>
        <v>#NAME?</v>
      </c>
      <c r="E85" s="18" t="s">
        <v>50</v>
      </c>
      <c r="F85" s="19">
        <v>18219</v>
      </c>
      <c r="G85" s="18" t="e">
        <f ca="1">_xll.BDP(C85,"CRNCY")</f>
        <v>#NAME?</v>
      </c>
      <c r="H85" s="22" t="e">
        <f ca="1">_xll.BDH(C85,"PX_LAST",$N85)</f>
        <v>#NAME?</v>
      </c>
      <c r="I85" s="15" t="e">
        <f ca="1">F85*H85</f>
        <v>#NAME?</v>
      </c>
      <c r="J85" s="16" t="e">
        <f ca="1">I85</f>
        <v>#NAME?</v>
      </c>
      <c r="K85" s="15" t="e">
        <f ca="1">J85*L85</f>
        <v>#NAME?</v>
      </c>
      <c r="L85" s="22" t="e">
        <f ca="1">_xll.BDH("RUB curncy","PX_LAST",$N85)</f>
        <v>#NAME?</v>
      </c>
      <c r="M85" s="85" t="e">
        <f ca="1">1/_xll.BDH("RUB curncy","PX_LAST",$N85)</f>
        <v>#NAME?</v>
      </c>
      <c r="N85" s="14">
        <v>41722</v>
      </c>
    </row>
    <row r="86" spans="2:14" x14ac:dyDescent="0.2">
      <c r="B86" s="21" t="s">
        <v>431</v>
      </c>
      <c r="C86" s="20" t="s">
        <v>432</v>
      </c>
      <c r="D86" s="18" t="e">
        <f ca="1">_xll.BDP(C86,"SECURITY_NAME")</f>
        <v>#NAME?</v>
      </c>
      <c r="E86" s="18" t="s">
        <v>50</v>
      </c>
      <c r="F86" s="19">
        <v>3500</v>
      </c>
      <c r="G86" s="18" t="e">
        <f ca="1">_xll.BDP(C86,"CRNCY")</f>
        <v>#NAME?</v>
      </c>
      <c r="H86" s="22" t="e">
        <f ca="1">_xll.BDH(C86,"PX_LAST",$N86)</f>
        <v>#NAME?</v>
      </c>
      <c r="I86" s="15" t="e">
        <f ca="1">F86*H86</f>
        <v>#NAME?</v>
      </c>
      <c r="J86" s="16" t="e">
        <f ca="1">I86</f>
        <v>#NAME?</v>
      </c>
      <c r="K86" s="15" t="e">
        <f ca="1">J86*L86</f>
        <v>#NAME?</v>
      </c>
      <c r="L86" s="22" t="e">
        <f ca="1">_xll.BDH("RUB curncy","PX_LAST",$N86)</f>
        <v>#NAME?</v>
      </c>
      <c r="M86" s="85" t="e">
        <f ca="1">1/_xll.BDH("RUB curncy","PX_LAST",$N86)</f>
        <v>#NAME?</v>
      </c>
      <c r="N86" s="14">
        <v>41723</v>
      </c>
    </row>
    <row r="87" spans="2:14" x14ac:dyDescent="0.2">
      <c r="B87" s="71"/>
      <c r="C87" s="33"/>
      <c r="D87" s="73">
        <f>E87/F87</f>
        <v>0.49999261654779309</v>
      </c>
      <c r="E87" s="73">
        <v>33859</v>
      </c>
      <c r="F87" s="79">
        <f>SUM(F83:F86)</f>
        <v>67719</v>
      </c>
      <c r="G87" s="73"/>
      <c r="H87" s="80" t="e">
        <f ca="1">I87/F87</f>
        <v>#NAME?</v>
      </c>
      <c r="I87" s="79" t="e">
        <f ca="1">SUM(I83:I86)</f>
        <v>#NAME?</v>
      </c>
      <c r="J87" s="79" t="e">
        <f ca="1">SUM(J83:J86)</f>
        <v>#NAME?</v>
      </c>
      <c r="K87" s="79" t="e">
        <f ca="1">SUM(K83:K86)*D87</f>
        <v>#NAME?</v>
      </c>
      <c r="L87" s="75"/>
      <c r="M87" s="86"/>
      <c r="N87" s="14"/>
    </row>
    <row r="89" spans="2:14" x14ac:dyDescent="0.2">
      <c r="B89" s="21" t="s">
        <v>431</v>
      </c>
      <c r="C89" s="20" t="s">
        <v>37</v>
      </c>
      <c r="D89" s="18" t="e">
        <f ca="1">_xll.BDP(C89,"SECURITY_NAME")</f>
        <v>#NAME?</v>
      </c>
      <c r="E89" s="18" t="s">
        <v>50</v>
      </c>
      <c r="F89" s="19">
        <v>250000000</v>
      </c>
      <c r="G89" s="18" t="e">
        <f ca="1">_xll.BDP(C89,"CRNCY")</f>
        <v>#NAME?</v>
      </c>
      <c r="H89" s="22">
        <v>6.0171000000000002E-2</v>
      </c>
      <c r="I89" s="15">
        <f>F89*H89</f>
        <v>15042750</v>
      </c>
      <c r="J89" s="16" t="e">
        <f ca="1">I89/L89</f>
        <v>#NAME?</v>
      </c>
      <c r="K89" s="15" t="e">
        <f ca="1">J89*L89</f>
        <v>#NAME?</v>
      </c>
      <c r="L89" s="22" t="e">
        <f ca="1">_xll.BDH("RUB curncy","PX_LAST",$N89)</f>
        <v>#NAME?</v>
      </c>
      <c r="M89" s="85" t="e">
        <f ca="1">1/_xll.BDH("RUB curncy","PX_LAST",$N89)</f>
        <v>#NAME?</v>
      </c>
      <c r="N89" s="14">
        <v>41717</v>
      </c>
    </row>
    <row r="90" spans="2:14" x14ac:dyDescent="0.2">
      <c r="B90" s="21" t="s">
        <v>431</v>
      </c>
      <c r="C90" s="20" t="s">
        <v>37</v>
      </c>
      <c r="D90" s="18" t="e">
        <f ca="1">_xll.BDP(C90,"SECURITY_NAME")</f>
        <v>#NAME?</v>
      </c>
      <c r="E90" s="18" t="s">
        <v>50</v>
      </c>
      <c r="F90" s="19">
        <v>302000000</v>
      </c>
      <c r="G90" s="18" t="e">
        <f ca="1">_xll.BDP(C90,"CRNCY")</f>
        <v>#NAME?</v>
      </c>
      <c r="H90" s="22">
        <v>6.6143999999999994E-2</v>
      </c>
      <c r="I90" s="15">
        <f>F90*H90</f>
        <v>19975488</v>
      </c>
      <c r="J90" s="16" t="e">
        <f ca="1">I90/L90</f>
        <v>#NAME?</v>
      </c>
      <c r="K90" s="15" t="e">
        <f ca="1">J90*L90</f>
        <v>#NAME?</v>
      </c>
      <c r="L90" s="22" t="e">
        <f ca="1">_xll.BDH("RUB curncy","PX_LAST",$N90)</f>
        <v>#NAME?</v>
      </c>
      <c r="M90" s="85" t="e">
        <f ca="1">1/_xll.BDH("RUB curncy","PX_LAST",$N90)</f>
        <v>#NAME?</v>
      </c>
      <c r="N90" s="14">
        <v>41722</v>
      </c>
    </row>
    <row r="91" spans="2:14" x14ac:dyDescent="0.2">
      <c r="B91" s="71"/>
      <c r="C91" s="33"/>
      <c r="D91" s="73">
        <f>E91/F91</f>
        <v>0.11706521739130435</v>
      </c>
      <c r="E91" s="310">
        <v>64620000</v>
      </c>
      <c r="F91" s="79">
        <f>SUM(F89:F90)</f>
        <v>552000000</v>
      </c>
      <c r="G91" s="73"/>
      <c r="H91" s="309">
        <f>I91/F91</f>
        <v>6.3438836956521735E-2</v>
      </c>
      <c r="I91" s="79">
        <f>SUM(I89:I90)</f>
        <v>35018238</v>
      </c>
      <c r="J91" s="79" t="e">
        <f ca="1">SUM(J89:J90)*D91</f>
        <v>#NAME?</v>
      </c>
      <c r="K91" s="79" t="e">
        <f ca="1">SUM(K89:K90)</f>
        <v>#NAME?</v>
      </c>
      <c r="L91" s="75"/>
      <c r="M91" s="86"/>
      <c r="N91" s="14"/>
    </row>
    <row r="93" spans="2:14" x14ac:dyDescent="0.2">
      <c r="B93" s="21" t="s">
        <v>431</v>
      </c>
      <c r="C93" s="20" t="s">
        <v>433</v>
      </c>
      <c r="D93" s="18" t="e">
        <f ca="1">_xll.BDP(C93,"SECURITY_NAME")</f>
        <v>#NAME?</v>
      </c>
      <c r="E93" s="18" t="s">
        <v>50</v>
      </c>
      <c r="F93" s="19">
        <v>8500</v>
      </c>
      <c r="G93" s="18" t="e">
        <f ca="1">_xll.BDP(C93,"CRNCY")</f>
        <v>#NAME?</v>
      </c>
      <c r="H93" s="22" t="e">
        <f ca="1">_xll.BDH(C93,"PX_LAST",$N93)</f>
        <v>#NAME?</v>
      </c>
      <c r="I93" s="15" t="e">
        <f ca="1">F93*H93</f>
        <v>#NAME?</v>
      </c>
      <c r="J93" s="16" t="e">
        <f ca="1">I93</f>
        <v>#NAME?</v>
      </c>
      <c r="K93" s="15" t="e">
        <f ca="1">J93*L93</f>
        <v>#NAME?</v>
      </c>
      <c r="L93" s="22" t="e">
        <f ca="1">_xll.BDH("RUB curncy","PX_LAST",$N93)</f>
        <v>#NAME?</v>
      </c>
      <c r="M93" s="85" t="e">
        <f ca="1">1/_xll.BDH("RUB curncy","PX_LAST",$N93)</f>
        <v>#NAME?</v>
      </c>
      <c r="N93" s="14">
        <v>41722</v>
      </c>
    </row>
    <row r="94" spans="2:14" x14ac:dyDescent="0.2">
      <c r="B94" s="71"/>
      <c r="C94" s="33"/>
      <c r="D94" s="73">
        <f>E94/F94</f>
        <v>0.47105882352941175</v>
      </c>
      <c r="E94" s="73">
        <v>4004</v>
      </c>
      <c r="F94" s="79">
        <f>SUM(F93:F93)</f>
        <v>8500</v>
      </c>
      <c r="G94" s="73"/>
      <c r="H94" s="80" t="e">
        <f ca="1">I94/F94</f>
        <v>#NAME?</v>
      </c>
      <c r="I94" s="79" t="e">
        <f ca="1">SUM(I93:I93)</f>
        <v>#NAME?</v>
      </c>
      <c r="J94" s="79" t="e">
        <f ca="1">SUM(J93:J93)</f>
        <v>#NAME?</v>
      </c>
      <c r="K94" s="79" t="e">
        <f ca="1">SUM(K93:K93)*D94</f>
        <v>#NAME?</v>
      </c>
      <c r="L94" s="75"/>
      <c r="M94" s="86"/>
      <c r="N94" s="14"/>
    </row>
    <row r="96" spans="2:14" s="273" customFormat="1" ht="13.5" customHeight="1" x14ac:dyDescent="0.2">
      <c r="B96" s="306" t="s">
        <v>431</v>
      </c>
      <c r="C96" s="286" t="s">
        <v>447</v>
      </c>
      <c r="D96" s="284" t="e">
        <f ca="1">_xll.BDP(C96,"SECURITY_NAME")</f>
        <v>#NAME?</v>
      </c>
      <c r="E96" s="284" t="s">
        <v>50</v>
      </c>
      <c r="F96" s="285">
        <v>500000</v>
      </c>
      <c r="G96" s="284" t="e">
        <f ca="1">_xll.BDP(C96,"CRNCY")</f>
        <v>#NAME?</v>
      </c>
      <c r="H96" s="281">
        <v>80.75</v>
      </c>
      <c r="I96" s="282">
        <f>F96*H96/100</f>
        <v>403750</v>
      </c>
      <c r="J96" s="283">
        <f>I96</f>
        <v>403750</v>
      </c>
      <c r="K96" s="282" t="e">
        <f ca="1">J96*L96</f>
        <v>#NAME?</v>
      </c>
      <c r="L96" s="281" t="e">
        <f ca="1">_xll.BDH("RUB curncy","PX_LAST",$N96)</f>
        <v>#NAME?</v>
      </c>
      <c r="M96" s="280" t="e">
        <f ca="1">1/_xll.BDH("RUB curncy","PX_LAST",$N96)</f>
        <v>#NAME?</v>
      </c>
      <c r="N96" s="274">
        <v>42067</v>
      </c>
    </row>
    <row r="97" spans="2:14" s="273" customFormat="1" x14ac:dyDescent="0.2">
      <c r="B97" s="305"/>
      <c r="C97" s="279"/>
      <c r="D97" s="278"/>
      <c r="E97" s="278"/>
      <c r="F97" s="277">
        <f>SUM(F96)</f>
        <v>500000</v>
      </c>
      <c r="G97" s="278"/>
      <c r="H97" s="276">
        <f>J97/F97*100</f>
        <v>80.75</v>
      </c>
      <c r="I97" s="277">
        <f>SUM(I96)</f>
        <v>403750</v>
      </c>
      <c r="J97" s="277">
        <f>SUM(J96)</f>
        <v>403750</v>
      </c>
      <c r="K97" s="277" t="e">
        <f ca="1">SUM(K96)</f>
        <v>#NAME?</v>
      </c>
      <c r="L97" s="276"/>
      <c r="M97" s="275"/>
      <c r="N97" s="274"/>
    </row>
    <row r="98" spans="2:14" x14ac:dyDescent="0.2">
      <c r="B98" s="307"/>
    </row>
    <row r="99" spans="2:14" s="273" customFormat="1" ht="13.5" customHeight="1" x14ac:dyDescent="0.2">
      <c r="B99" s="306" t="s">
        <v>431</v>
      </c>
      <c r="C99" s="286" t="s">
        <v>446</v>
      </c>
      <c r="D99" s="284" t="e">
        <f ca="1">_xll.BDP(C99,"SECURITY_NAME")</f>
        <v>#NAME?</v>
      </c>
      <c r="E99" s="284" t="s">
        <v>50</v>
      </c>
      <c r="F99" s="285">
        <v>100000</v>
      </c>
      <c r="G99" s="284" t="e">
        <f ca="1">_xll.BDP(C99,"CRNCY")</f>
        <v>#NAME?</v>
      </c>
      <c r="H99" s="281">
        <v>92.5</v>
      </c>
      <c r="I99" s="282">
        <f>F99*H99/100</f>
        <v>92500</v>
      </c>
      <c r="J99" s="283">
        <f>I99</f>
        <v>92500</v>
      </c>
      <c r="K99" s="282" t="e">
        <f ca="1">J99*L99</f>
        <v>#NAME?</v>
      </c>
      <c r="L99" s="281" t="e">
        <f ca="1">_xll.BDH("RUB curncy","PX_LAST",$N99)</f>
        <v>#NAME?</v>
      </c>
      <c r="M99" s="280" t="e">
        <f ca="1">1/_xll.BDH("RUB curncy","PX_LAST",$N99)</f>
        <v>#NAME?</v>
      </c>
      <c r="N99" s="274">
        <v>42067</v>
      </c>
    </row>
    <row r="100" spans="2:14" s="273" customFormat="1" ht="13.5" customHeight="1" x14ac:dyDescent="0.2">
      <c r="B100" s="306" t="s">
        <v>431</v>
      </c>
      <c r="C100" s="286" t="s">
        <v>446</v>
      </c>
      <c r="D100" s="284" t="e">
        <f ca="1">_xll.BDP(C100,"SECURITY_NAME")</f>
        <v>#NAME?</v>
      </c>
      <c r="E100" s="284" t="s">
        <v>50</v>
      </c>
      <c r="F100" s="285">
        <v>500000</v>
      </c>
      <c r="G100" s="284" t="e">
        <f ca="1">_xll.BDP(C100,"CRNCY")</f>
        <v>#NAME?</v>
      </c>
      <c r="H100" s="281">
        <v>89.53</v>
      </c>
      <c r="I100" s="282">
        <f>F100*H100/100</f>
        <v>447650</v>
      </c>
      <c r="J100" s="283">
        <f>I100</f>
        <v>447650</v>
      </c>
      <c r="K100" s="282" t="e">
        <f ca="1">J100*L100</f>
        <v>#NAME?</v>
      </c>
      <c r="L100" s="281" t="e">
        <f ca="1">_xll.BDH("RUB curncy","PX_LAST",$N100)</f>
        <v>#NAME?</v>
      </c>
      <c r="M100" s="280" t="e">
        <f ca="1">1/_xll.BDH("RUB curncy","PX_LAST",$N100)</f>
        <v>#NAME?</v>
      </c>
      <c r="N100" s="274">
        <v>42047</v>
      </c>
    </row>
    <row r="101" spans="2:14" s="273" customFormat="1" ht="13.5" customHeight="1" x14ac:dyDescent="0.2">
      <c r="B101" s="306" t="s">
        <v>431</v>
      </c>
      <c r="C101" s="286" t="s">
        <v>446</v>
      </c>
      <c r="D101" s="284" t="e">
        <f ca="1">_xll.BDP(C101,"SECURITY_NAME")</f>
        <v>#NAME?</v>
      </c>
      <c r="E101" s="284" t="s">
        <v>50</v>
      </c>
      <c r="F101" s="285">
        <v>900000</v>
      </c>
      <c r="G101" s="284" t="e">
        <f ca="1">_xll.BDP(C101,"CRNCY")</f>
        <v>#NAME?</v>
      </c>
      <c r="H101" s="281">
        <v>92.5</v>
      </c>
      <c r="I101" s="282">
        <f>F101*H101/100</f>
        <v>832500</v>
      </c>
      <c r="J101" s="283">
        <f>I101</f>
        <v>832500</v>
      </c>
      <c r="K101" s="282" t="e">
        <f ca="1">J101*L101</f>
        <v>#NAME?</v>
      </c>
      <c r="L101" s="281" t="e">
        <f ca="1">_xll.BDH("RUB curncy","PX_LAST",$N101)</f>
        <v>#NAME?</v>
      </c>
      <c r="M101" s="280" t="e">
        <f ca="1">1/_xll.BDH("RUB curncy","PX_LAST",$N101)</f>
        <v>#NAME?</v>
      </c>
      <c r="N101" s="274">
        <v>42067</v>
      </c>
    </row>
    <row r="102" spans="2:14" s="273" customFormat="1" x14ac:dyDescent="0.2">
      <c r="B102" s="305"/>
      <c r="C102" s="279"/>
      <c r="D102" s="278"/>
      <c r="E102" s="278"/>
      <c r="F102" s="277">
        <f>SUM(F99:F101)</f>
        <v>1500000</v>
      </c>
      <c r="G102" s="278"/>
      <c r="H102" s="276">
        <f>J102/F102*100</f>
        <v>91.51</v>
      </c>
      <c r="I102" s="277">
        <f>SUM(I99:I101)</f>
        <v>1372650</v>
      </c>
      <c r="J102" s="277">
        <f>SUM(J99:J101)</f>
        <v>1372650</v>
      </c>
      <c r="K102" s="277" t="e">
        <f ca="1">SUM(K99:K101)</f>
        <v>#NAME?</v>
      </c>
      <c r="L102" s="276"/>
      <c r="M102" s="275"/>
      <c r="N102" s="274"/>
    </row>
    <row r="103" spans="2:14" x14ac:dyDescent="0.2">
      <c r="B103" s="307"/>
    </row>
    <row r="104" spans="2:14" s="273" customFormat="1" ht="13.5" customHeight="1" x14ac:dyDescent="0.2">
      <c r="B104" s="306" t="s">
        <v>431</v>
      </c>
      <c r="C104" s="286" t="s">
        <v>445</v>
      </c>
      <c r="D104" s="284" t="e">
        <f ca="1">_xll.BDP(C104,"SECURITY_NAME")</f>
        <v>#NAME?</v>
      </c>
      <c r="E104" s="284" t="s">
        <v>50</v>
      </c>
      <c r="F104" s="285">
        <v>410000</v>
      </c>
      <c r="G104" s="284" t="e">
        <f ca="1">_xll.BDP(C104,"CRNCY")</f>
        <v>#NAME?</v>
      </c>
      <c r="H104" s="281">
        <v>85</v>
      </c>
      <c r="I104" s="282">
        <f>F104*H104/100</f>
        <v>348500</v>
      </c>
      <c r="J104" s="283">
        <f>I104</f>
        <v>348500</v>
      </c>
      <c r="K104" s="282" t="e">
        <f ca="1">J104*L104</f>
        <v>#NAME?</v>
      </c>
      <c r="L104" s="281" t="e">
        <f ca="1">_xll.BDH("RUB curncy","PX_LAST",$N104)</f>
        <v>#NAME?</v>
      </c>
      <c r="M104" s="280" t="e">
        <f ca="1">1/_xll.BDH("RUB curncy","PX_LAST",$N104)</f>
        <v>#NAME?</v>
      </c>
      <c r="N104" s="274">
        <v>42068</v>
      </c>
    </row>
    <row r="105" spans="2:14" s="273" customFormat="1" x14ac:dyDescent="0.2">
      <c r="B105" s="305"/>
      <c r="C105" s="279"/>
      <c r="D105" s="278"/>
      <c r="E105" s="278"/>
      <c r="F105" s="277">
        <f>SUM(F104)</f>
        <v>410000</v>
      </c>
      <c r="G105" s="278"/>
      <c r="H105" s="276">
        <f>J105/F105*100</f>
        <v>85</v>
      </c>
      <c r="I105" s="277">
        <f>SUM(I104)</f>
        <v>348500</v>
      </c>
      <c r="J105" s="277">
        <f>SUM(J104)</f>
        <v>348500</v>
      </c>
      <c r="K105" s="277" t="e">
        <f ca="1">SUM(K104)</f>
        <v>#NAME?</v>
      </c>
      <c r="L105" s="276"/>
      <c r="M105" s="275"/>
      <c r="N105" s="274"/>
    </row>
    <row r="106" spans="2:14" x14ac:dyDescent="0.2">
      <c r="B106" s="307"/>
    </row>
    <row r="107" spans="2:14" s="273" customFormat="1" ht="13.5" customHeight="1" x14ac:dyDescent="0.2">
      <c r="B107" s="306" t="s">
        <v>431</v>
      </c>
      <c r="C107" s="286" t="s">
        <v>435</v>
      </c>
      <c r="D107" s="284" t="e">
        <f ca="1">_xll.BDP(C107,"SECURITY_NAME")</f>
        <v>#NAME?</v>
      </c>
      <c r="E107" s="284" t="s">
        <v>50</v>
      </c>
      <c r="F107" s="285">
        <v>600000</v>
      </c>
      <c r="G107" s="284" t="e">
        <f ca="1">_xll.BDP(C107,"CRNCY")</f>
        <v>#NAME?</v>
      </c>
      <c r="H107" s="281">
        <v>89.01</v>
      </c>
      <c r="I107" s="282">
        <f>F107*H107/100</f>
        <v>534060</v>
      </c>
      <c r="J107" s="283">
        <f>I107</f>
        <v>534060</v>
      </c>
      <c r="K107" s="282" t="e">
        <f ca="1">J107*L107</f>
        <v>#NAME?</v>
      </c>
      <c r="L107" s="281" t="e">
        <f ca="1">_xll.BDH("RUB curncy","PX_LAST",$N107)</f>
        <v>#NAME?</v>
      </c>
      <c r="M107" s="280" t="e">
        <f ca="1">1/_xll.BDH("RUB curncy","PX_LAST",$N107)</f>
        <v>#NAME?</v>
      </c>
      <c r="N107" s="274">
        <v>42075</v>
      </c>
    </row>
    <row r="108" spans="2:14" s="273" customFormat="1" ht="13.5" customHeight="1" x14ac:dyDescent="0.2">
      <c r="B108" s="306" t="s">
        <v>431</v>
      </c>
      <c r="C108" s="286" t="s">
        <v>435</v>
      </c>
      <c r="D108" s="284" t="e">
        <f ca="1">_xll.BDP(C108,"SECURITY_NAME")</f>
        <v>#NAME?</v>
      </c>
      <c r="E108" s="284" t="s">
        <v>50</v>
      </c>
      <c r="F108" s="285">
        <v>500000</v>
      </c>
      <c r="G108" s="284" t="e">
        <f ca="1">_xll.BDP(C108,"CRNCY")</f>
        <v>#NAME?</v>
      </c>
      <c r="H108" s="281">
        <v>84.28</v>
      </c>
      <c r="I108" s="282">
        <f>F108*H108/100</f>
        <v>421400</v>
      </c>
      <c r="J108" s="283">
        <f>I108</f>
        <v>421400</v>
      </c>
      <c r="K108" s="282" t="e">
        <f ca="1">J108*L108</f>
        <v>#NAME?</v>
      </c>
      <c r="L108" s="281" t="e">
        <f ca="1">_xll.BDH("RUB curncy","PX_LAST",$N108)</f>
        <v>#NAME?</v>
      </c>
      <c r="M108" s="280" t="e">
        <f ca="1">1/_xll.BDH("RUB curncy","PX_LAST",$N108)</f>
        <v>#NAME?</v>
      </c>
      <c r="N108" s="274">
        <v>42048</v>
      </c>
    </row>
    <row r="109" spans="2:14" s="273" customFormat="1" ht="13.5" customHeight="1" x14ac:dyDescent="0.2">
      <c r="B109" s="306" t="s">
        <v>431</v>
      </c>
      <c r="C109" s="286" t="s">
        <v>435</v>
      </c>
      <c r="D109" s="284" t="e">
        <f ca="1">_xll.BDP(C109,"SECURITY_NAME")</f>
        <v>#NAME?</v>
      </c>
      <c r="E109" s="284" t="s">
        <v>50</v>
      </c>
      <c r="F109" s="285">
        <v>1400000</v>
      </c>
      <c r="G109" s="284" t="e">
        <f ca="1">_xll.BDP(C109,"CRNCY")</f>
        <v>#NAME?</v>
      </c>
      <c r="H109" s="281">
        <v>89.01</v>
      </c>
      <c r="I109" s="282">
        <f>F109*H109/100</f>
        <v>1246140</v>
      </c>
      <c r="J109" s="283">
        <f>I109</f>
        <v>1246140</v>
      </c>
      <c r="K109" s="282" t="e">
        <f ca="1">J109*L109</f>
        <v>#NAME?</v>
      </c>
      <c r="L109" s="281" t="e">
        <f ca="1">_xll.BDH("RUB curncy","PX_LAST",$N109)</f>
        <v>#NAME?</v>
      </c>
      <c r="M109" s="280" t="e">
        <f ca="1">1/_xll.BDH("RUB curncy","PX_LAST",$N109)</f>
        <v>#NAME?</v>
      </c>
      <c r="N109" s="274">
        <v>42075</v>
      </c>
    </row>
    <row r="110" spans="2:14" s="273" customFormat="1" x14ac:dyDescent="0.2">
      <c r="B110" s="305"/>
      <c r="C110" s="279"/>
      <c r="D110" s="278"/>
      <c r="E110" s="278"/>
      <c r="F110" s="277">
        <f>SUM(F107:F109)</f>
        <v>2500000</v>
      </c>
      <c r="G110" s="278"/>
      <c r="H110" s="276">
        <f>J110/F110*100</f>
        <v>88.063999999999993</v>
      </c>
      <c r="I110" s="277">
        <f>SUM(I107:I109)</f>
        <v>2201600</v>
      </c>
      <c r="J110" s="277">
        <f>SUM(J107:J109)</f>
        <v>2201600</v>
      </c>
      <c r="K110" s="277" t="e">
        <f ca="1">SUM(K107:K109)</f>
        <v>#NAME?</v>
      </c>
      <c r="L110" s="276"/>
      <c r="M110" s="275"/>
      <c r="N110" s="274"/>
    </row>
    <row r="111" spans="2:14" x14ac:dyDescent="0.2">
      <c r="B111" s="307"/>
    </row>
    <row r="112" spans="2:14" s="273" customFormat="1" ht="13.5" customHeight="1" x14ac:dyDescent="0.2">
      <c r="B112" s="306" t="s">
        <v>431</v>
      </c>
      <c r="C112" s="286" t="s">
        <v>444</v>
      </c>
      <c r="D112" s="284" t="e">
        <f ca="1">_xll.BDP(C112,"SECURITY_NAME")</f>
        <v>#NAME?</v>
      </c>
      <c r="E112" s="284" t="s">
        <v>50</v>
      </c>
      <c r="F112" s="285">
        <v>1500000</v>
      </c>
      <c r="G112" s="284" t="e">
        <f ca="1">_xll.BDP(C112,"CRNCY")</f>
        <v>#NAME?</v>
      </c>
      <c r="H112" s="281">
        <v>90</v>
      </c>
      <c r="I112" s="282">
        <f>F112*H112/100</f>
        <v>1350000</v>
      </c>
      <c r="J112" s="283">
        <f>I112</f>
        <v>1350000</v>
      </c>
      <c r="K112" s="282" t="e">
        <f ca="1">J112*L112</f>
        <v>#NAME?</v>
      </c>
      <c r="L112" s="281" t="e">
        <f ca="1">_xll.BDH("RUB curncy","PX_LAST",$N112)</f>
        <v>#NAME?</v>
      </c>
      <c r="M112" s="280" t="e">
        <f ca="1">1/_xll.BDH("RUB curncy","PX_LAST",$N112)</f>
        <v>#NAME?</v>
      </c>
      <c r="N112" s="274">
        <v>42082</v>
      </c>
    </row>
    <row r="113" spans="2:14" s="273" customFormat="1" x14ac:dyDescent="0.2">
      <c r="B113" s="305"/>
      <c r="C113" s="279"/>
      <c r="D113" s="278"/>
      <c r="E113" s="278"/>
      <c r="F113" s="277">
        <f>SUM(F112)</f>
        <v>1500000</v>
      </c>
      <c r="G113" s="278"/>
      <c r="H113" s="276">
        <f>J113/F113*100</f>
        <v>90</v>
      </c>
      <c r="I113" s="277">
        <f>SUM(I112)</f>
        <v>1350000</v>
      </c>
      <c r="J113" s="277">
        <f>SUM(J112)</f>
        <v>1350000</v>
      </c>
      <c r="K113" s="277" t="e">
        <f ca="1">SUM(K112)</f>
        <v>#NAME?</v>
      </c>
      <c r="L113" s="276"/>
      <c r="M113" s="275"/>
      <c r="N113" s="274"/>
    </row>
    <row r="114" spans="2:14" x14ac:dyDescent="0.2">
      <c r="B114" s="307"/>
    </row>
    <row r="115" spans="2:14" s="273" customFormat="1" ht="13.5" customHeight="1" x14ac:dyDescent="0.2">
      <c r="B115" s="306" t="s">
        <v>431</v>
      </c>
      <c r="C115" s="286" t="s">
        <v>443</v>
      </c>
      <c r="D115" s="284" t="e">
        <f ca="1">_xll.BDP(C115,"SECURITY_NAME")</f>
        <v>#NAME?</v>
      </c>
      <c r="E115" s="284" t="s">
        <v>50</v>
      </c>
      <c r="F115" s="285">
        <v>1500000</v>
      </c>
      <c r="G115" s="284" t="e">
        <f ca="1">_xll.BDP(C115,"CRNCY")</f>
        <v>#NAME?</v>
      </c>
      <c r="H115" s="281">
        <v>83.5</v>
      </c>
      <c r="I115" s="282">
        <f>F115*H115/100</f>
        <v>1252500</v>
      </c>
      <c r="J115" s="283">
        <f>I115</f>
        <v>1252500</v>
      </c>
      <c r="K115" s="282" t="e">
        <f ca="1">J115*L115</f>
        <v>#NAME?</v>
      </c>
      <c r="L115" s="281" t="e">
        <f ca="1">_xll.BDH("RUB curncy","PX_LAST",$N115)</f>
        <v>#NAME?</v>
      </c>
      <c r="M115" s="280" t="e">
        <f ca="1">1/_xll.BDH("RUB curncy","PX_LAST",$N115)</f>
        <v>#NAME?</v>
      </c>
      <c r="N115" s="274">
        <v>42082</v>
      </c>
    </row>
    <row r="116" spans="2:14" s="273" customFormat="1" x14ac:dyDescent="0.2">
      <c r="B116" s="305"/>
      <c r="C116" s="279"/>
      <c r="D116" s="278"/>
      <c r="E116" s="278"/>
      <c r="F116" s="277">
        <f>SUM(F115)</f>
        <v>1500000</v>
      </c>
      <c r="G116" s="278"/>
      <c r="H116" s="276">
        <f>J116/F116*100</f>
        <v>83.5</v>
      </c>
      <c r="I116" s="277">
        <f>SUM(I115)</f>
        <v>1252500</v>
      </c>
      <c r="J116" s="277">
        <f>SUM(J115)</f>
        <v>1252500</v>
      </c>
      <c r="K116" s="277" t="e">
        <f ca="1">SUM(K115)</f>
        <v>#NAME?</v>
      </c>
      <c r="L116" s="276"/>
      <c r="M116" s="275"/>
      <c r="N116" s="274"/>
    </row>
    <row r="117" spans="2:14" x14ac:dyDescent="0.2">
      <c r="B117" s="307"/>
    </row>
    <row r="118" spans="2:14" s="273" customFormat="1" ht="13.5" customHeight="1" x14ac:dyDescent="0.2">
      <c r="B118" s="306" t="s">
        <v>431</v>
      </c>
      <c r="C118" s="286" t="s">
        <v>442</v>
      </c>
      <c r="D118" s="284" t="e">
        <f ca="1">_xll.BDP(C118,"SECURITY_NAME")</f>
        <v>#NAME?</v>
      </c>
      <c r="E118" s="284" t="s">
        <v>50</v>
      </c>
      <c r="F118" s="285">
        <v>676000</v>
      </c>
      <c r="G118" s="284" t="e">
        <f ca="1">_xll.BDP(C118,"CRNCY")</f>
        <v>#NAME?</v>
      </c>
      <c r="H118" s="281">
        <v>91.625</v>
      </c>
      <c r="I118" s="282">
        <f>F118*H118/100</f>
        <v>619385</v>
      </c>
      <c r="J118" s="283">
        <f>I118</f>
        <v>619385</v>
      </c>
      <c r="K118" s="282" t="e">
        <f ca="1">J118*L118</f>
        <v>#NAME?</v>
      </c>
      <c r="L118" s="281" t="e">
        <f ca="1">_xll.BDH("RUB curncy","PX_LAST",$N118)</f>
        <v>#NAME?</v>
      </c>
      <c r="M118" s="280" t="e">
        <f ca="1">1/_xll.BDH("RUB curncy","PX_LAST",$N118)</f>
        <v>#NAME?</v>
      </c>
      <c r="N118" s="274">
        <v>42178</v>
      </c>
    </row>
    <row r="119" spans="2:14" s="273" customFormat="1" ht="13.5" customHeight="1" x14ac:dyDescent="0.2">
      <c r="B119" s="306" t="s">
        <v>431</v>
      </c>
      <c r="C119" s="286" t="s">
        <v>442</v>
      </c>
      <c r="D119" s="284" t="e">
        <f ca="1">_xll.BDP(C119,"SECURITY_NAME")</f>
        <v>#NAME?</v>
      </c>
      <c r="E119" s="284" t="s">
        <v>50</v>
      </c>
      <c r="F119" s="285">
        <v>500000</v>
      </c>
      <c r="G119" s="284" t="e">
        <f ca="1">_xll.BDP(C119,"CRNCY")</f>
        <v>#NAME?</v>
      </c>
      <c r="H119" s="281">
        <v>80.25</v>
      </c>
      <c r="I119" s="282">
        <f>F119*H119/100</f>
        <v>401250</v>
      </c>
      <c r="J119" s="283">
        <f>I119</f>
        <v>401250</v>
      </c>
      <c r="K119" s="282" t="e">
        <f ca="1">J119*L119</f>
        <v>#NAME?</v>
      </c>
      <c r="L119" s="281" t="e">
        <f ca="1">_xll.BDH("RUB curncy","PX_LAST",$N119)</f>
        <v>#NAME?</v>
      </c>
      <c r="M119" s="280" t="e">
        <f ca="1">1/_xll.BDH("RUB curncy","PX_LAST",$N119)</f>
        <v>#NAME?</v>
      </c>
      <c r="N119" s="274">
        <v>42067</v>
      </c>
    </row>
    <row r="120" spans="2:14" s="273" customFormat="1" x14ac:dyDescent="0.2">
      <c r="B120" s="305"/>
      <c r="C120" s="279"/>
      <c r="D120" s="278"/>
      <c r="E120" s="278"/>
      <c r="F120" s="277">
        <f>SUM(F118:F119)</f>
        <v>1176000</v>
      </c>
      <c r="G120" s="278"/>
      <c r="H120" s="276">
        <f>J120/F120*100</f>
        <v>86.788690476190482</v>
      </c>
      <c r="I120" s="277">
        <f>SUM(I118:I119)</f>
        <v>1020635</v>
      </c>
      <c r="J120" s="277">
        <f>SUM(J118:J119)</f>
        <v>1020635</v>
      </c>
      <c r="K120" s="277" t="e">
        <f ca="1">SUM(K118:K119)</f>
        <v>#NAME?</v>
      </c>
      <c r="L120" s="276"/>
      <c r="M120" s="275"/>
      <c r="N120" s="274"/>
    </row>
    <row r="121" spans="2:14" x14ac:dyDescent="0.2">
      <c r="B121" s="307"/>
    </row>
    <row r="122" spans="2:14" s="273" customFormat="1" ht="13.5" customHeight="1" x14ac:dyDescent="0.2">
      <c r="B122" s="306" t="s">
        <v>431</v>
      </c>
      <c r="C122" s="286" t="s">
        <v>441</v>
      </c>
      <c r="D122" s="284" t="e">
        <f ca="1">_xll.BDP(C122,"SECURITY_NAME")</f>
        <v>#NAME?</v>
      </c>
      <c r="E122" s="284" t="s">
        <v>50</v>
      </c>
      <c r="F122" s="285">
        <v>500000</v>
      </c>
      <c r="G122" s="284" t="e">
        <f ca="1">_xll.BDP(C122,"CRNCY")</f>
        <v>#NAME?</v>
      </c>
      <c r="H122" s="281">
        <v>81.5</v>
      </c>
      <c r="I122" s="282">
        <f>F122*H122/100</f>
        <v>407500</v>
      </c>
      <c r="J122" s="283">
        <f>I122</f>
        <v>407500</v>
      </c>
      <c r="K122" s="282" t="e">
        <f ca="1">J122*L122</f>
        <v>#NAME?</v>
      </c>
      <c r="L122" s="281" t="e">
        <f ca="1">_xll.BDH("RUB curncy","PX_LAST",$N122)</f>
        <v>#NAME?</v>
      </c>
      <c r="M122" s="280" t="e">
        <f ca="1">1/_xll.BDH("RUB curncy","PX_LAST",$N122)</f>
        <v>#NAME?</v>
      </c>
      <c r="N122" s="274">
        <v>42048</v>
      </c>
    </row>
    <row r="123" spans="2:14" s="273" customFormat="1" ht="13.5" customHeight="1" x14ac:dyDescent="0.2">
      <c r="B123" s="306" t="s">
        <v>431</v>
      </c>
      <c r="C123" s="286" t="s">
        <v>441</v>
      </c>
      <c r="D123" s="284" t="e">
        <f ca="1">_xll.BDP(C123,"SECURITY_NAME")</f>
        <v>#NAME?</v>
      </c>
      <c r="E123" s="284" t="s">
        <v>50</v>
      </c>
      <c r="F123" s="285">
        <v>1000000</v>
      </c>
      <c r="G123" s="284" t="e">
        <f ca="1">_xll.BDP(C123,"CRNCY")</f>
        <v>#NAME?</v>
      </c>
      <c r="H123" s="281">
        <v>85.05</v>
      </c>
      <c r="I123" s="282">
        <f>F123*H123/100</f>
        <v>850500</v>
      </c>
      <c r="J123" s="283">
        <f>I123</f>
        <v>850500</v>
      </c>
      <c r="K123" s="282" t="e">
        <f ca="1">J123*L123</f>
        <v>#NAME?</v>
      </c>
      <c r="L123" s="281" t="e">
        <f ca="1">_xll.BDH("RUB curncy","PX_LAST",$N123)</f>
        <v>#NAME?</v>
      </c>
      <c r="M123" s="280" t="e">
        <f ca="1">1/_xll.BDH("RUB curncy","PX_LAST",$N123)</f>
        <v>#NAME?</v>
      </c>
      <c r="N123" s="274">
        <v>42075</v>
      </c>
    </row>
    <row r="124" spans="2:14" s="273" customFormat="1" x14ac:dyDescent="0.2">
      <c r="B124" s="305"/>
      <c r="C124" s="279"/>
      <c r="D124" s="278"/>
      <c r="E124" s="278"/>
      <c r="F124" s="277">
        <f>SUM(F122:F123)</f>
        <v>1500000</v>
      </c>
      <c r="G124" s="278"/>
      <c r="H124" s="276">
        <f>J124/F124*100</f>
        <v>83.866666666666674</v>
      </c>
      <c r="I124" s="277">
        <f>SUM(I122:I123)</f>
        <v>1258000</v>
      </c>
      <c r="J124" s="277">
        <f>SUM(J122:J123)</f>
        <v>1258000</v>
      </c>
      <c r="K124" s="277" t="e">
        <f ca="1">SUM(K122:K123)</f>
        <v>#NAME?</v>
      </c>
      <c r="L124" s="276"/>
      <c r="M124" s="275"/>
      <c r="N124" s="274"/>
    </row>
    <row r="125" spans="2:14" x14ac:dyDescent="0.2">
      <c r="B125" s="307"/>
    </row>
    <row r="126" spans="2:14" s="273" customFormat="1" ht="13.5" customHeight="1" x14ac:dyDescent="0.2">
      <c r="B126" s="306" t="s">
        <v>431</v>
      </c>
      <c r="C126" s="286" t="s">
        <v>440</v>
      </c>
      <c r="D126" s="284" t="e">
        <f ca="1">_xll.BDP(C126,"SECURITY_NAME")</f>
        <v>#NAME?</v>
      </c>
      <c r="E126" s="284" t="s">
        <v>50</v>
      </c>
      <c r="F126" s="285">
        <v>500000</v>
      </c>
      <c r="G126" s="284" t="e">
        <f ca="1">_xll.BDP(C126,"CRNCY")</f>
        <v>#NAME?</v>
      </c>
      <c r="H126" s="281">
        <v>91.875</v>
      </c>
      <c r="I126" s="282">
        <f>F126*H126/100</f>
        <v>459375</v>
      </c>
      <c r="J126" s="283">
        <f>I126</f>
        <v>459375</v>
      </c>
      <c r="K126" s="282" t="e">
        <f ca="1">J126*L126</f>
        <v>#NAME?</v>
      </c>
      <c r="L126" s="281" t="e">
        <f ca="1">_xll.BDH("RUB curncy","PX_LAST",$N126)</f>
        <v>#NAME?</v>
      </c>
      <c r="M126" s="280" t="e">
        <f ca="1">1/_xll.BDH("RUB curncy","PX_LAST",$N126)</f>
        <v>#NAME?</v>
      </c>
      <c r="N126" s="274">
        <v>42048</v>
      </c>
    </row>
    <row r="127" spans="2:14" s="273" customFormat="1" x14ac:dyDescent="0.2">
      <c r="B127" s="305"/>
      <c r="C127" s="279"/>
      <c r="D127" s="278"/>
      <c r="E127" s="278"/>
      <c r="F127" s="277">
        <f>SUM(F126)</f>
        <v>500000</v>
      </c>
      <c r="G127" s="278"/>
      <c r="H127" s="276">
        <f>J127/F127*100</f>
        <v>91.875</v>
      </c>
      <c r="I127" s="277">
        <f>SUM(I126)</f>
        <v>459375</v>
      </c>
      <c r="J127" s="277">
        <f>SUM(J126)</f>
        <v>459375</v>
      </c>
      <c r="K127" s="277" t="e">
        <f ca="1">SUM(K126)</f>
        <v>#NAME?</v>
      </c>
      <c r="L127" s="276"/>
      <c r="M127" s="275"/>
      <c r="N127" s="274"/>
    </row>
    <row r="128" spans="2:14" x14ac:dyDescent="0.2">
      <c r="B128" s="307"/>
    </row>
    <row r="129" spans="2:14" s="273" customFormat="1" ht="13.5" customHeight="1" x14ac:dyDescent="0.2">
      <c r="B129" s="306" t="s">
        <v>431</v>
      </c>
      <c r="C129" s="286" t="s">
        <v>439</v>
      </c>
      <c r="D129" s="284" t="e">
        <f ca="1">_xll.BDP(C129,"SECURITY_NAME")</f>
        <v>#NAME?</v>
      </c>
      <c r="E129" s="284" t="s">
        <v>50</v>
      </c>
      <c r="F129" s="285">
        <v>500000</v>
      </c>
      <c r="G129" s="284" t="e">
        <f ca="1">_xll.BDP(C129,"CRNCY")</f>
        <v>#NAME?</v>
      </c>
      <c r="H129" s="281">
        <v>71.53</v>
      </c>
      <c r="I129" s="282">
        <f>F129*H129/100</f>
        <v>357650</v>
      </c>
      <c r="J129" s="283">
        <f>I129</f>
        <v>357650</v>
      </c>
      <c r="K129" s="282" t="e">
        <f ca="1">J129*L129</f>
        <v>#NAME?</v>
      </c>
      <c r="L129" s="281" t="e">
        <f ca="1">_xll.BDH("RUB curncy","PX_LAST",$N129)</f>
        <v>#NAME?</v>
      </c>
      <c r="M129" s="280" t="e">
        <f ca="1">1/_xll.BDH("RUB curncy","PX_LAST",$N129)</f>
        <v>#NAME?</v>
      </c>
      <c r="N129" s="274">
        <v>42052</v>
      </c>
    </row>
    <row r="130" spans="2:14" s="273" customFormat="1" x14ac:dyDescent="0.2">
      <c r="B130" s="305"/>
      <c r="C130" s="279"/>
      <c r="D130" s="278"/>
      <c r="E130" s="278"/>
      <c r="F130" s="277">
        <f>SUM(F129)</f>
        <v>500000</v>
      </c>
      <c r="G130" s="278"/>
      <c r="H130" s="276">
        <f>J130/F130*100</f>
        <v>71.53</v>
      </c>
      <c r="I130" s="277">
        <f>SUM(I129)</f>
        <v>357650</v>
      </c>
      <c r="J130" s="277">
        <f>SUM(J129)</f>
        <v>357650</v>
      </c>
      <c r="K130" s="277" t="e">
        <f ca="1">SUM(K129)</f>
        <v>#NAME?</v>
      </c>
      <c r="L130" s="276"/>
      <c r="M130" s="275"/>
      <c r="N130" s="274"/>
    </row>
    <row r="132" spans="2:14" x14ac:dyDescent="0.2">
      <c r="B132" s="21" t="s">
        <v>431</v>
      </c>
      <c r="C132" s="20" t="s">
        <v>2</v>
      </c>
      <c r="D132" s="18" t="e">
        <f ca="1">_xll.BDP(C132,"SECURITY_NAME")</f>
        <v>#NAME?</v>
      </c>
      <c r="E132" s="18" t="s">
        <v>50</v>
      </c>
      <c r="F132" s="19">
        <v>17000</v>
      </c>
      <c r="G132" s="18" t="e">
        <f ca="1">_xll.BDP(C132,"CRNCY")</f>
        <v>#NAME?</v>
      </c>
      <c r="H132" s="22">
        <v>700</v>
      </c>
      <c r="I132" s="15">
        <f>F132*H132</f>
        <v>11900000</v>
      </c>
      <c r="J132" s="16" t="e">
        <f ca="1">I132/L132</f>
        <v>#NAME?</v>
      </c>
      <c r="K132" s="15" t="e">
        <f ca="1">J132*L132</f>
        <v>#NAME?</v>
      </c>
      <c r="L132" s="22" t="e">
        <f ca="1">_xll.BDH("RUB curncy","PX_LAST",$N132)</f>
        <v>#NAME?</v>
      </c>
      <c r="M132" s="85" t="e">
        <f ca="1">1/_xll.BDH("RUB curncy","PX_LAST",$N132)</f>
        <v>#NAME?</v>
      </c>
      <c r="N132" s="14">
        <v>42465</v>
      </c>
    </row>
    <row r="133" spans="2:14" x14ac:dyDescent="0.2">
      <c r="B133" s="71"/>
      <c r="C133" s="33"/>
      <c r="D133" s="73"/>
      <c r="E133" s="73"/>
      <c r="F133" s="79">
        <f>SUM(F132)</f>
        <v>17000</v>
      </c>
      <c r="G133" s="73"/>
      <c r="H133" s="80">
        <f>I133/F133</f>
        <v>700</v>
      </c>
      <c r="I133" s="79">
        <f>SUM(I132)</f>
        <v>11900000</v>
      </c>
      <c r="J133" s="79" t="e">
        <f ca="1">SUM(J132)</f>
        <v>#NAME?</v>
      </c>
      <c r="K133" s="79" t="e">
        <f ca="1">SUM(K132)</f>
        <v>#NAME?</v>
      </c>
      <c r="L133" s="75"/>
      <c r="M133" s="86"/>
      <c r="N133" s="14"/>
    </row>
    <row r="134" spans="2:14" x14ac:dyDescent="0.2">
      <c r="B134" s="71"/>
      <c r="C134" s="33"/>
      <c r="D134" s="73"/>
      <c r="E134" s="73"/>
      <c r="F134" s="79"/>
      <c r="G134" s="73"/>
      <c r="H134" s="80"/>
      <c r="I134" s="79"/>
      <c r="J134" s="79"/>
      <c r="K134" s="79"/>
      <c r="L134" s="75"/>
      <c r="M134" s="86"/>
      <c r="N134" s="14"/>
    </row>
    <row r="135" spans="2:14" x14ac:dyDescent="0.2">
      <c r="B135" s="21" t="s">
        <v>431</v>
      </c>
      <c r="C135" s="20" t="s">
        <v>334</v>
      </c>
      <c r="D135" s="18" t="e">
        <f ca="1">_xll.BDP(C135,"SECURITY_NAME")</f>
        <v>#NAME?</v>
      </c>
      <c r="E135" s="18" t="s">
        <v>50</v>
      </c>
      <c r="F135" s="19">
        <v>50000</v>
      </c>
      <c r="G135" s="18" t="e">
        <f ca="1">_xll.BDP(C135,"CRNCY")</f>
        <v>#NAME?</v>
      </c>
      <c r="H135" s="22">
        <v>228.75</v>
      </c>
      <c r="I135" s="15">
        <f>F135*H135</f>
        <v>11437500</v>
      </c>
      <c r="J135" s="16" t="e">
        <f ca="1">I135/L135</f>
        <v>#NAME?</v>
      </c>
      <c r="K135" s="15" t="e">
        <f ca="1">J135*L135</f>
        <v>#NAME?</v>
      </c>
      <c r="L135" s="22" t="e">
        <f ca="1">_xll.BDH("RUB curncy","PX_LAST",$N135)</f>
        <v>#NAME?</v>
      </c>
      <c r="M135" s="85" t="e">
        <f ca="1">1/_xll.BDH("RUB curncy","PX_LAST",$N135)</f>
        <v>#NAME?</v>
      </c>
      <c r="N135" s="14">
        <v>42472</v>
      </c>
    </row>
    <row r="136" spans="2:14" x14ac:dyDescent="0.2">
      <c r="B136" s="21" t="s">
        <v>431</v>
      </c>
      <c r="C136" s="20" t="s">
        <v>334</v>
      </c>
      <c r="D136" s="18" t="e">
        <f ca="1">_xll.BDP(C136,"SECURITY_NAME")</f>
        <v>#NAME?</v>
      </c>
      <c r="E136" s="18" t="s">
        <v>50</v>
      </c>
      <c r="F136" s="19">
        <v>50000</v>
      </c>
      <c r="G136" s="18" t="e">
        <f ca="1">_xll.BDP(C136,"CRNCY")</f>
        <v>#NAME?</v>
      </c>
      <c r="H136" s="22">
        <v>236</v>
      </c>
      <c r="I136" s="15">
        <f>F136*H136</f>
        <v>11800000</v>
      </c>
      <c r="J136" s="16" t="e">
        <f ca="1">I136/L136</f>
        <v>#NAME?</v>
      </c>
      <c r="K136" s="15" t="e">
        <f ca="1">J136*L136</f>
        <v>#NAME?</v>
      </c>
      <c r="L136" s="22" t="e">
        <f ca="1">_xll.BDH("RUB curncy","PX_LAST",$N136)</f>
        <v>#NAME?</v>
      </c>
      <c r="M136" s="85" t="e">
        <f ca="1">1/_xll.BDH("RUB curncy","PX_LAST",$N136)</f>
        <v>#NAME?</v>
      </c>
      <c r="N136" s="14">
        <v>42466</v>
      </c>
    </row>
    <row r="137" spans="2:14" x14ac:dyDescent="0.2">
      <c r="B137" s="71"/>
      <c r="C137" s="33"/>
      <c r="D137" s="73"/>
      <c r="E137" s="73"/>
      <c r="F137" s="79">
        <f>SUM(F135:F136)</f>
        <v>100000</v>
      </c>
      <c r="G137" s="73"/>
      <c r="H137" s="80">
        <f>I137/F137</f>
        <v>232.375</v>
      </c>
      <c r="I137" s="79">
        <f>SUM(I135:I136)</f>
        <v>23237500</v>
      </c>
      <c r="J137" s="79" t="e">
        <f ca="1">SUM(J135:J136)</f>
        <v>#NAME?</v>
      </c>
      <c r="K137" s="79" t="e">
        <f ca="1">SUM(K135:K136)</f>
        <v>#NAME?</v>
      </c>
      <c r="L137" s="75"/>
      <c r="M137" s="86"/>
      <c r="N137" s="14"/>
    </row>
  </sheetData>
  <sortState ref="A4:X10">
    <sortCondition descending="1" ref="I4:I10"/>
  </sortState>
  <conditionalFormatting sqref="H14">
    <cfRule type="dataBar" priority="6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{C7F63C6A-AE06-4AAD-BB6E-BC8D4A0EEBDE}</x14:id>
        </ext>
      </extLst>
    </cfRule>
    <cfRule type="cellIs" dxfId="265" priority="677" operator="equal">
      <formula>1</formula>
    </cfRule>
  </conditionalFormatting>
  <conditionalFormatting sqref="D14">
    <cfRule type="containsText" dxfId="264" priority="675" operator="containsText" text="Buy">
      <formula>NOT(ISERROR(SEARCH("Buy",D14)))</formula>
    </cfRule>
    <cfRule type="containsText" dxfId="263" priority="676" operator="containsText" text="Sell">
      <formula>NOT(ISERROR(SEARCH("Sell",D14)))</formula>
    </cfRule>
  </conditionalFormatting>
  <conditionalFormatting sqref="U4">
    <cfRule type="dataBar" priority="6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{24CB2BDF-2415-47F9-9875-771147D27FEC}</x14:id>
        </ext>
      </extLst>
    </cfRule>
  </conditionalFormatting>
  <conditionalFormatting sqref="V4">
    <cfRule type="dataBar" priority="6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{324DBF20-7FF9-4A0F-A298-551D04D31E61}</x14:id>
        </ext>
      </extLst>
    </cfRule>
  </conditionalFormatting>
  <conditionalFormatting sqref="W4">
    <cfRule type="dataBar" priority="6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{5C3A5BAB-A6BE-46B0-B594-C45642AF8722}</x14:id>
        </ext>
      </extLst>
    </cfRule>
  </conditionalFormatting>
  <conditionalFormatting sqref="K4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{F0C5509D-486D-403C-95F8-0A6B4446565A}</x14:id>
        </ext>
      </extLst>
    </cfRule>
  </conditionalFormatting>
  <conditionalFormatting sqref="K4">
    <cfRule type="dataBar" priority="6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{39527BB3-D1DD-48E7-805E-7A2E2A7996E9}</x14:id>
        </ext>
      </extLst>
    </cfRule>
  </conditionalFormatting>
  <conditionalFormatting sqref="K4">
    <cfRule type="dataBar" priority="6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{C7756025-2020-400D-A83C-45944EDC0D27}</x14:id>
        </ext>
      </extLst>
    </cfRule>
  </conditionalFormatting>
  <conditionalFormatting sqref="K4">
    <cfRule type="dataBar" priority="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{5D2D1AFC-01AD-45B4-B68F-3DB85434126A}</x14:id>
        </ext>
      </extLst>
    </cfRule>
  </conditionalFormatting>
  <conditionalFormatting sqref="K4">
    <cfRule type="dataBar" priority="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{DACE0303-4B4B-431B-BE73-516455DE3F67}</x14:id>
        </ext>
      </extLst>
    </cfRule>
  </conditionalFormatting>
  <conditionalFormatting sqref="U8">
    <cfRule type="dataBar" priority="6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{A56B18A2-C550-4232-A2D7-ED0D299C8FA6}</x14:id>
        </ext>
      </extLst>
    </cfRule>
  </conditionalFormatting>
  <conditionalFormatting sqref="V8">
    <cfRule type="dataBar" priority="6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{2260E1B1-4787-4AD8-99A9-9E4D506B82BC}</x14:id>
        </ext>
      </extLst>
    </cfRule>
  </conditionalFormatting>
  <conditionalFormatting sqref="W8">
    <cfRule type="dataBar" priority="6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{D601312B-D6BC-4AEA-94A8-94047FE7E401}</x14:id>
        </ext>
      </extLst>
    </cfRule>
  </conditionalFormatting>
  <conditionalFormatting sqref="U7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{9A47EFD3-10A8-43B6-BE68-298950E2ECCC}</x14:id>
        </ext>
      </extLst>
    </cfRule>
  </conditionalFormatting>
  <conditionalFormatting sqref="V7">
    <cfRule type="dataBar" priority="6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{3F0E5E8E-4DF0-4565-970D-77165A4A3797}</x14:id>
        </ext>
      </extLst>
    </cfRule>
  </conditionalFormatting>
  <conditionalFormatting sqref="W7">
    <cfRule type="dataBar" priority="6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{663DEC90-B8FC-4199-998C-3F1C41625634}</x14:id>
        </ext>
      </extLst>
    </cfRule>
  </conditionalFormatting>
  <conditionalFormatting sqref="U5">
    <cfRule type="dataBar" priority="6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{8F0D4020-8CB6-4242-BA26-A8A4B14E31F2}</x14:id>
        </ext>
      </extLst>
    </cfRule>
  </conditionalFormatting>
  <conditionalFormatting sqref="V5">
    <cfRule type="dataBar" priority="6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{AF1BFDC2-8A9A-4E83-8AAA-B5F3C5EDC73C}</x14:id>
        </ext>
      </extLst>
    </cfRule>
  </conditionalFormatting>
  <conditionalFormatting sqref="W5">
    <cfRule type="dataBar" priority="6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{0D2E37AE-B0B9-4596-8ECA-377004A41D66}</x14:id>
        </ext>
      </extLst>
    </cfRule>
  </conditionalFormatting>
  <conditionalFormatting sqref="U9">
    <cfRule type="dataBar" priority="6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{30BF6FF4-6670-4BD3-9F98-68778C7A09AF}</x14:id>
        </ext>
      </extLst>
    </cfRule>
  </conditionalFormatting>
  <conditionalFormatting sqref="V9">
    <cfRule type="dataBar" priority="6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{1AE34571-1605-4282-8D79-65F52E34B701}</x14:id>
        </ext>
      </extLst>
    </cfRule>
  </conditionalFormatting>
  <conditionalFormatting sqref="W9">
    <cfRule type="dataBar" priority="6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{E3A155D8-CF37-4507-907D-1BBF7150C3F2}</x14:id>
        </ext>
      </extLst>
    </cfRule>
  </conditionalFormatting>
  <conditionalFormatting sqref="D15">
    <cfRule type="containsText" dxfId="262" priority="598" operator="containsText" text="Buy">
      <formula>NOT(ISERROR(SEARCH("Buy",D15)))</formula>
    </cfRule>
    <cfRule type="containsText" dxfId="261" priority="599" operator="containsText" text="Sell">
      <formula>NOT(ISERROR(SEARCH("Sell",D15)))</formula>
    </cfRule>
  </conditionalFormatting>
  <conditionalFormatting sqref="E51">
    <cfRule type="containsText" dxfId="260" priority="594" operator="containsText" text="Buy">
      <formula>NOT(ISERROR(SEARCH("Buy",E51)))</formula>
    </cfRule>
    <cfRule type="containsText" dxfId="259" priority="595" operator="containsText" text="Sell">
      <formula>NOT(ISERROR(SEARCH("Sell",E51)))</formula>
    </cfRule>
  </conditionalFormatting>
  <conditionalFormatting sqref="E60:E61">
    <cfRule type="containsText" dxfId="258" priority="596" operator="containsText" text="Buy">
      <formula>NOT(ISERROR(SEARCH("Buy",E60)))</formula>
    </cfRule>
    <cfRule type="containsText" dxfId="257" priority="597" operator="containsText" text="Sell">
      <formula>NOT(ISERROR(SEARCH("Sell",E60)))</formula>
    </cfRule>
  </conditionalFormatting>
  <conditionalFormatting sqref="E50">
    <cfRule type="containsText" dxfId="256" priority="592" operator="containsText" text="Buy">
      <formula>NOT(ISERROR(SEARCH("Buy",E50)))</formula>
    </cfRule>
    <cfRule type="containsText" dxfId="255" priority="593" operator="containsText" text="Sell">
      <formula>NOT(ISERROR(SEARCH("Sell",E50)))</formula>
    </cfRule>
  </conditionalFormatting>
  <conditionalFormatting sqref="E52:E59">
    <cfRule type="containsText" dxfId="254" priority="590" operator="containsText" text="Buy">
      <formula>NOT(ISERROR(SEARCH("Buy",E52)))</formula>
    </cfRule>
    <cfRule type="containsText" dxfId="253" priority="591" operator="containsText" text="Sell">
      <formula>NOT(ISERROR(SEARCH("Sell",E52)))</formula>
    </cfRule>
  </conditionalFormatting>
  <conditionalFormatting sqref="E65">
    <cfRule type="containsText" dxfId="252" priority="580" operator="containsText" text="Buy">
      <formula>NOT(ISERROR(SEARCH("Buy",E65)))</formula>
    </cfRule>
    <cfRule type="containsText" dxfId="251" priority="581" operator="containsText" text="Sell">
      <formula>NOT(ISERROR(SEARCH("Sell",E65)))</formula>
    </cfRule>
  </conditionalFormatting>
  <conditionalFormatting sqref="E68:E69">
    <cfRule type="containsText" dxfId="250" priority="588" operator="containsText" text="Buy">
      <formula>NOT(ISERROR(SEARCH("Buy",E68)))</formula>
    </cfRule>
    <cfRule type="containsText" dxfId="249" priority="589" operator="containsText" text="Sell">
      <formula>NOT(ISERROR(SEARCH("Sell",E68)))</formula>
    </cfRule>
  </conditionalFormatting>
  <conditionalFormatting sqref="E62">
    <cfRule type="containsText" dxfId="248" priority="586" operator="containsText" text="Buy">
      <formula>NOT(ISERROR(SEARCH("Buy",E62)))</formula>
    </cfRule>
    <cfRule type="containsText" dxfId="247" priority="587" operator="containsText" text="Sell">
      <formula>NOT(ISERROR(SEARCH("Sell",E62)))</formula>
    </cfRule>
  </conditionalFormatting>
  <conditionalFormatting sqref="E63">
    <cfRule type="containsText" dxfId="246" priority="584" operator="containsText" text="Buy">
      <formula>NOT(ISERROR(SEARCH("Buy",E63)))</formula>
    </cfRule>
    <cfRule type="containsText" dxfId="245" priority="585" operator="containsText" text="Sell">
      <formula>NOT(ISERROR(SEARCH("Sell",E63)))</formula>
    </cfRule>
  </conditionalFormatting>
  <conditionalFormatting sqref="E64">
    <cfRule type="containsText" dxfId="244" priority="582" operator="containsText" text="Buy">
      <formula>NOT(ISERROR(SEARCH("Buy",E64)))</formula>
    </cfRule>
    <cfRule type="containsText" dxfId="243" priority="583" operator="containsText" text="Sell">
      <formula>NOT(ISERROR(SEARCH("Sell",E64)))</formula>
    </cfRule>
  </conditionalFormatting>
  <conditionalFormatting sqref="E66:E67">
    <cfRule type="containsText" dxfId="242" priority="578" operator="containsText" text="Buy">
      <formula>NOT(ISERROR(SEARCH("Buy",E66)))</formula>
    </cfRule>
    <cfRule type="containsText" dxfId="241" priority="579" operator="containsText" text="Sell">
      <formula>NOT(ISERROR(SEARCH("Sell",E66)))</formula>
    </cfRule>
  </conditionalFormatting>
  <conditionalFormatting sqref="H15">
    <cfRule type="dataBar" priority="6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{E6F3E939-FADF-4C99-993B-B704CED49770}</x14:id>
        </ext>
      </extLst>
    </cfRule>
    <cfRule type="cellIs" dxfId="240" priority="680" operator="equal">
      <formula>1</formula>
    </cfRule>
  </conditionalFormatting>
  <conditionalFormatting sqref="E90">
    <cfRule type="containsText" dxfId="239" priority="527" operator="containsText" text="Buy">
      <formula>NOT(ISERROR(SEARCH("Buy",E90)))</formula>
    </cfRule>
    <cfRule type="containsText" dxfId="238" priority="528" operator="containsText" text="Sell">
      <formula>NOT(ISERROR(SEARCH("Sell",E90)))</formula>
    </cfRule>
  </conditionalFormatting>
  <conditionalFormatting sqref="E70">
    <cfRule type="containsText" dxfId="237" priority="576" operator="containsText" text="Buy">
      <formula>NOT(ISERROR(SEARCH("Buy",E70)))</formula>
    </cfRule>
    <cfRule type="containsText" dxfId="236" priority="577" operator="containsText" text="Sell">
      <formula>NOT(ISERROR(SEARCH("Sell",E70)))</formula>
    </cfRule>
  </conditionalFormatting>
  <conditionalFormatting sqref="E71:E72">
    <cfRule type="containsText" dxfId="235" priority="574" operator="containsText" text="Buy">
      <formula>NOT(ISERROR(SEARCH("Buy",E71)))</formula>
    </cfRule>
    <cfRule type="containsText" dxfId="234" priority="575" operator="containsText" text="Sell">
      <formula>NOT(ISERROR(SEARCH("Sell",E71)))</formula>
    </cfRule>
  </conditionalFormatting>
  <conditionalFormatting sqref="E73:E74">
    <cfRule type="containsText" dxfId="233" priority="572" operator="containsText" text="Buy">
      <formula>NOT(ISERROR(SEARCH("Buy",E73)))</formula>
    </cfRule>
    <cfRule type="containsText" dxfId="232" priority="573" operator="containsText" text="Sell">
      <formula>NOT(ISERROR(SEARCH("Sell",E73)))</formula>
    </cfRule>
  </conditionalFormatting>
  <conditionalFormatting sqref="K7">
    <cfRule type="dataBar" priority="5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{D8BD3EA9-5C9A-4EB0-A90C-F78973439DBE}</x14:id>
        </ext>
      </extLst>
    </cfRule>
  </conditionalFormatting>
  <conditionalFormatting sqref="K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{9725729E-FABC-4C1E-9EF2-74654C996D08}</x14:id>
        </ext>
      </extLst>
    </cfRule>
  </conditionalFormatting>
  <conditionalFormatting sqref="K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{F09751E7-F68F-42AF-BF33-80C263607895}</x14:id>
        </ext>
      </extLst>
    </cfRule>
  </conditionalFormatting>
  <conditionalFormatting sqref="K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{C6B25D96-61A7-4A3E-97CE-E08734743493}</x14:id>
        </ext>
      </extLst>
    </cfRule>
  </conditionalFormatting>
  <conditionalFormatting sqref="K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{59B1C5BA-22EC-4902-8E2A-93D49F70F750}</x14:id>
        </ext>
      </extLst>
    </cfRule>
  </conditionalFormatting>
  <conditionalFormatting sqref="K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{A4D62203-31F3-4CE4-BFD2-6CE7DD78DDEB}</x14:id>
        </ext>
      </extLst>
    </cfRule>
  </conditionalFormatting>
  <conditionalFormatting sqref="L7">
    <cfRule type="dataBar" priority="5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{372AE0DD-6BFF-4948-9E2A-B063D698EE4D}</x14:id>
        </ext>
      </extLst>
    </cfRule>
  </conditionalFormatting>
  <conditionalFormatting sqref="L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{99A40E61-C5FA-42CF-8D07-ECA68C67D061}</x14:id>
        </ext>
      </extLst>
    </cfRule>
  </conditionalFormatting>
  <conditionalFormatting sqref="L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{597D1D3B-0587-4DD3-A764-CC5ADA052107}</x14:id>
        </ext>
      </extLst>
    </cfRule>
  </conditionalFormatting>
  <conditionalFormatting sqref="E81">
    <cfRule type="containsText" dxfId="231" priority="561" operator="containsText" text="Buy">
      <formula>NOT(ISERROR(SEARCH("Buy",E81)))</formula>
    </cfRule>
    <cfRule type="containsText" dxfId="230" priority="562" operator="containsText" text="Sell">
      <formula>NOT(ISERROR(SEARCH("Sell",E81)))</formula>
    </cfRule>
  </conditionalFormatting>
  <conditionalFormatting sqref="E75">
    <cfRule type="containsText" dxfId="229" priority="559" operator="containsText" text="Buy">
      <formula>NOT(ISERROR(SEARCH("Buy",E75)))</formula>
    </cfRule>
    <cfRule type="containsText" dxfId="228" priority="560" operator="containsText" text="Sell">
      <formula>NOT(ISERROR(SEARCH("Sell",E75)))</formula>
    </cfRule>
  </conditionalFormatting>
  <conditionalFormatting sqref="E76:E80">
    <cfRule type="containsText" dxfId="227" priority="557" operator="containsText" text="Buy">
      <formula>NOT(ISERROR(SEARCH("Buy",E76)))</formula>
    </cfRule>
    <cfRule type="containsText" dxfId="226" priority="558" operator="containsText" text="Sell">
      <formula>NOT(ISERROR(SEARCH("Sell",E76)))</formula>
    </cfRule>
  </conditionalFormatting>
  <conditionalFormatting sqref="K8">
    <cfRule type="dataBar" priority="5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{0A4FAA4F-29F8-420F-8477-1333FF2A3B3D}</x14:id>
        </ext>
      </extLst>
    </cfRule>
  </conditionalFormatting>
  <conditionalFormatting sqref="K8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{D96C2F26-633C-450A-9ADC-739F55DEE0C6}</x14:id>
        </ext>
      </extLst>
    </cfRule>
  </conditionalFormatting>
  <conditionalFormatting sqref="K8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{E6BF9DBF-87EF-45A9-9D9B-7E2FA6C4E1C3}</x14:id>
        </ext>
      </extLst>
    </cfRule>
  </conditionalFormatting>
  <conditionalFormatting sqref="K8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{39FFB45C-E875-4B41-9017-0E797ED5949D}</x14:id>
        </ext>
      </extLst>
    </cfRule>
  </conditionalFormatting>
  <conditionalFormatting sqref="K8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{587178BE-7DD9-47B5-97BA-CE057B100118}</x14:id>
        </ext>
      </extLst>
    </cfRule>
  </conditionalFormatting>
  <conditionalFormatting sqref="K8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{86632A88-140F-4DBC-B7F8-6D90D8B031F9}</x14:id>
        </ext>
      </extLst>
    </cfRule>
  </conditionalFormatting>
  <conditionalFormatting sqref="L8">
    <cfRule type="dataBar" priority="5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{D229E334-7B48-4F8D-89D9-D50C1C97696C}</x14:id>
        </ext>
      </extLst>
    </cfRule>
  </conditionalFormatting>
  <conditionalFormatting sqref="L8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{92415CFC-A468-467C-A3F8-8A354A98271B}</x14:id>
        </ext>
      </extLst>
    </cfRule>
  </conditionalFormatting>
  <conditionalFormatting sqref="L8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{A2D4864E-A13A-44B4-9417-F65AD27AB121}</x14:id>
        </ext>
      </extLst>
    </cfRule>
  </conditionalFormatting>
  <conditionalFormatting sqref="E94">
    <cfRule type="containsText" dxfId="225" priority="525" operator="containsText" text="Buy">
      <formula>NOT(ISERROR(SEARCH("Buy",E94)))</formula>
    </cfRule>
    <cfRule type="containsText" dxfId="224" priority="526" operator="containsText" text="Sell">
      <formula>NOT(ISERROR(SEARCH("Sell",E94)))</formula>
    </cfRule>
  </conditionalFormatting>
  <conditionalFormatting sqref="E87">
    <cfRule type="containsText" dxfId="223" priority="546" operator="containsText" text="Buy">
      <formula>NOT(ISERROR(SEARCH("Buy",E87)))</formula>
    </cfRule>
    <cfRule type="containsText" dxfId="222" priority="547" operator="containsText" text="Sell">
      <formula>NOT(ISERROR(SEARCH("Sell",E87)))</formula>
    </cfRule>
  </conditionalFormatting>
  <conditionalFormatting sqref="E83">
    <cfRule type="containsText" dxfId="221" priority="544" operator="containsText" text="Buy">
      <formula>NOT(ISERROR(SEARCH("Buy",E83)))</formula>
    </cfRule>
    <cfRule type="containsText" dxfId="220" priority="545" operator="containsText" text="Sell">
      <formula>NOT(ISERROR(SEARCH("Sell",E83)))</formula>
    </cfRule>
  </conditionalFormatting>
  <conditionalFormatting sqref="E89">
    <cfRule type="containsText" dxfId="219" priority="529" operator="containsText" text="Buy">
      <formula>NOT(ISERROR(SEARCH("Buy",E89)))</formula>
    </cfRule>
    <cfRule type="containsText" dxfId="218" priority="530" operator="containsText" text="Sell">
      <formula>NOT(ISERROR(SEARCH("Sell",E89)))</formula>
    </cfRule>
  </conditionalFormatting>
  <conditionalFormatting sqref="E84:E86">
    <cfRule type="containsText" dxfId="217" priority="542" operator="containsText" text="Buy">
      <formula>NOT(ISERROR(SEARCH("Buy",E84)))</formula>
    </cfRule>
    <cfRule type="containsText" dxfId="216" priority="543" operator="containsText" text="Sell">
      <formula>NOT(ISERROR(SEARCH("Sell",E84)))</formula>
    </cfRule>
  </conditionalFormatting>
  <conditionalFormatting sqref="E93">
    <cfRule type="containsText" dxfId="215" priority="523" operator="containsText" text="Buy">
      <formula>NOT(ISERROR(SEARCH("Buy",E93)))</formula>
    </cfRule>
    <cfRule type="containsText" dxfId="214" priority="524" operator="containsText" text="Sell">
      <formula>NOT(ISERROR(SEARCH("Sell",E93)))</formula>
    </cfRule>
  </conditionalFormatting>
  <conditionalFormatting sqref="K5">
    <cfRule type="dataBar" priority="5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{C8C038CF-26D2-475C-8FB4-7F9F51C7F0F8}</x14:id>
        </ext>
      </extLst>
    </cfRule>
  </conditionalFormatting>
  <conditionalFormatting sqref="K5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{53D496D5-811B-4088-9061-BE2100C21824}</x14:id>
        </ext>
      </extLst>
    </cfRule>
  </conditionalFormatting>
  <conditionalFormatting sqref="K5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{4F992CF7-05D8-4635-B70D-7D1052D53449}</x14:id>
        </ext>
      </extLst>
    </cfRule>
  </conditionalFormatting>
  <conditionalFormatting sqref="K5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{35ADD483-C633-4C09-9F29-C964B75A54F5}</x14:id>
        </ext>
      </extLst>
    </cfRule>
  </conditionalFormatting>
  <conditionalFormatting sqref="K5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{55AE019B-B93B-488D-8256-A9CA6407A520}</x14:id>
        </ext>
      </extLst>
    </cfRule>
  </conditionalFormatting>
  <conditionalFormatting sqref="K5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{C820684D-FA31-438B-8B8A-801871547E99}</x14:id>
        </ext>
      </extLst>
    </cfRule>
  </conditionalFormatting>
  <conditionalFormatting sqref="L5">
    <cfRule type="dataBar" priority="5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{039D0A4C-97A3-40FA-8D77-7E7D1AA2BA5D}</x14:id>
        </ext>
      </extLst>
    </cfRule>
  </conditionalFormatting>
  <conditionalFormatting sqref="L5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{C5773424-B9ED-47E6-907C-B0D9C6C64883}</x14:id>
        </ext>
      </extLst>
    </cfRule>
  </conditionalFormatting>
  <conditionalFormatting sqref="L5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{8E14B5A6-B8EA-4F69-837C-AA7333D7571F}</x14:id>
        </ext>
      </extLst>
    </cfRule>
  </conditionalFormatting>
  <conditionalFormatting sqref="E91">
    <cfRule type="containsText" dxfId="213" priority="531" operator="containsText" text="Buy">
      <formula>NOT(ISERROR(SEARCH("Buy",E91)))</formula>
    </cfRule>
    <cfRule type="containsText" dxfId="212" priority="532" operator="containsText" text="Sell">
      <formula>NOT(ISERROR(SEARCH("Sell",E91)))</formula>
    </cfRule>
  </conditionalFormatting>
  <conditionalFormatting sqref="K9">
    <cfRule type="dataBar" priority="5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{627DC72F-EBE3-4FBF-8BC6-77EA68452B37}</x14:id>
        </ext>
      </extLst>
    </cfRule>
  </conditionalFormatting>
  <conditionalFormatting sqref="K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{21039045-CF6E-4392-8656-1CC1B021289E}</x14:id>
        </ext>
      </extLst>
    </cfRule>
  </conditionalFormatting>
  <conditionalFormatting sqref="K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{98867520-4E7A-4ED7-8A2A-F7B29C3D79DB}</x14:id>
        </ext>
      </extLst>
    </cfRule>
  </conditionalFormatting>
  <conditionalFormatting sqref="K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{529FBC28-E8E8-4FA6-86F2-DF262A17460C}</x14:id>
        </ext>
      </extLst>
    </cfRule>
  </conditionalFormatting>
  <conditionalFormatting sqref="K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{BFC9E8C9-0628-4E37-AB74-5954D9C23079}</x14:id>
        </ext>
      </extLst>
    </cfRule>
  </conditionalFormatting>
  <conditionalFormatting sqref="K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{2D026DC3-2092-4434-904E-B2B6518CE93D}</x14:id>
        </ext>
      </extLst>
    </cfRule>
  </conditionalFormatting>
  <conditionalFormatting sqref="L9">
    <cfRule type="dataBar" priority="5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{E2429097-2FEA-4C85-9EF6-7606B05B34FD}</x14:id>
        </ext>
      </extLst>
    </cfRule>
  </conditionalFormatting>
  <conditionalFormatting sqref="L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{E24502DD-8AB8-4709-BD89-675AD2A9C8C0}</x14:id>
        </ext>
      </extLst>
    </cfRule>
  </conditionalFormatting>
  <conditionalFormatting sqref="L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{7EC9BBB3-F271-432E-BFD6-4CEF47B5AE3F}</x14:id>
        </ext>
      </extLst>
    </cfRule>
  </conditionalFormatting>
  <conditionalFormatting sqref="D16">
    <cfRule type="containsText" dxfId="211" priority="510" operator="containsText" text="Buy">
      <formula>NOT(ISERROR(SEARCH("Buy",D16)))</formula>
    </cfRule>
    <cfRule type="containsText" dxfId="210" priority="511" operator="containsText" text="Sell">
      <formula>NOT(ISERROR(SEARCH("Sell",D16)))</formula>
    </cfRule>
  </conditionalFormatting>
  <conditionalFormatting sqref="H16">
    <cfRule type="dataBar" priority="5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{318F3A00-9251-4312-B592-807ED13E5906}</x14:id>
        </ext>
      </extLst>
    </cfRule>
    <cfRule type="cellIs" dxfId="209" priority="513" operator="equal">
      <formula>1</formula>
    </cfRule>
  </conditionalFormatting>
  <conditionalFormatting sqref="D17">
    <cfRule type="containsText" dxfId="208" priority="506" operator="containsText" text="Buy">
      <formula>NOT(ISERROR(SEARCH("Buy",D17)))</formula>
    </cfRule>
    <cfRule type="containsText" dxfId="207" priority="507" operator="containsText" text="Sell">
      <formula>NOT(ISERROR(SEARCH("Sell",D17)))</formula>
    </cfRule>
  </conditionalFormatting>
  <conditionalFormatting sqref="H17">
    <cfRule type="dataBar" priority="5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{E1A6223A-E4F6-4396-A66C-36F0ACA318A5}</x14:id>
        </ext>
      </extLst>
    </cfRule>
    <cfRule type="cellIs" dxfId="206" priority="509" operator="equal">
      <formula>1</formula>
    </cfRule>
  </conditionalFormatting>
  <conditionalFormatting sqref="D18">
    <cfRule type="containsText" dxfId="205" priority="502" operator="containsText" text="Buy">
      <formula>NOT(ISERROR(SEARCH("Buy",D18)))</formula>
    </cfRule>
    <cfRule type="containsText" dxfId="204" priority="503" operator="containsText" text="Sell">
      <formula>NOT(ISERROR(SEARCH("Sell",D18)))</formula>
    </cfRule>
  </conditionalFormatting>
  <conditionalFormatting sqref="H18">
    <cfRule type="dataBar" priority="5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{9D6F7093-DEB4-4823-B817-CFC13E3D9B65}</x14:id>
        </ext>
      </extLst>
    </cfRule>
    <cfRule type="cellIs" dxfId="203" priority="505" operator="equal">
      <formula>1</formula>
    </cfRule>
  </conditionalFormatting>
  <conditionalFormatting sqref="D19">
    <cfRule type="containsText" dxfId="202" priority="498" operator="containsText" text="Buy">
      <formula>NOT(ISERROR(SEARCH("Buy",D19)))</formula>
    </cfRule>
    <cfRule type="containsText" dxfId="201" priority="499" operator="containsText" text="Sell">
      <formula>NOT(ISERROR(SEARCH("Sell",D19)))</formula>
    </cfRule>
  </conditionalFormatting>
  <conditionalFormatting sqref="H19">
    <cfRule type="dataBar" priority="5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{05B41990-F102-4624-A1A8-57061ED394FC}</x14:id>
        </ext>
      </extLst>
    </cfRule>
    <cfRule type="cellIs" dxfId="200" priority="501" operator="equal">
      <formula>1</formula>
    </cfRule>
  </conditionalFormatting>
  <conditionalFormatting sqref="D20">
    <cfRule type="containsText" dxfId="199" priority="494" operator="containsText" text="Buy">
      <formula>NOT(ISERROR(SEARCH("Buy",D20)))</formula>
    </cfRule>
    <cfRule type="containsText" dxfId="198" priority="495" operator="containsText" text="Sell">
      <formula>NOT(ISERROR(SEARCH("Sell",D20)))</formula>
    </cfRule>
  </conditionalFormatting>
  <conditionalFormatting sqref="H20">
    <cfRule type="dataBar" priority="4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{FAE5D772-4E24-4321-B411-4A84CD3636AE}</x14:id>
        </ext>
      </extLst>
    </cfRule>
    <cfRule type="cellIs" dxfId="197" priority="497" operator="equal">
      <formula>1</formula>
    </cfRule>
  </conditionalFormatting>
  <conditionalFormatting sqref="D21">
    <cfRule type="containsText" dxfId="196" priority="490" operator="containsText" text="Buy">
      <formula>NOT(ISERROR(SEARCH("Buy",D21)))</formula>
    </cfRule>
    <cfRule type="containsText" dxfId="195" priority="491" operator="containsText" text="Sell">
      <formula>NOT(ISERROR(SEARCH("Sell",D21)))</formula>
    </cfRule>
  </conditionalFormatting>
  <conditionalFormatting sqref="H21">
    <cfRule type="dataBar" priority="4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{32EB5C45-E7BC-444B-893C-5B9F860428E7}</x14:id>
        </ext>
      </extLst>
    </cfRule>
    <cfRule type="cellIs" dxfId="194" priority="493" operator="equal">
      <formula>1</formula>
    </cfRule>
  </conditionalFormatting>
  <conditionalFormatting sqref="D22">
    <cfRule type="containsText" dxfId="193" priority="486" operator="containsText" text="Buy">
      <formula>NOT(ISERROR(SEARCH("Buy",D22)))</formula>
    </cfRule>
    <cfRule type="containsText" dxfId="192" priority="487" operator="containsText" text="Sell">
      <formula>NOT(ISERROR(SEARCH("Sell",D22)))</formula>
    </cfRule>
  </conditionalFormatting>
  <conditionalFormatting sqref="H22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{2305D107-85E5-4BFE-98E6-BC5458AF2ECC}</x14:id>
        </ext>
      </extLst>
    </cfRule>
    <cfRule type="cellIs" dxfId="191" priority="489" operator="equal">
      <formula>1</formula>
    </cfRule>
  </conditionalFormatting>
  <conditionalFormatting sqref="D23">
    <cfRule type="containsText" dxfId="190" priority="482" operator="containsText" text="Buy">
      <formula>NOT(ISERROR(SEARCH("Buy",D23)))</formula>
    </cfRule>
    <cfRule type="containsText" dxfId="189" priority="483" operator="containsText" text="Sell">
      <formula>NOT(ISERROR(SEARCH("Sell",D23)))</formula>
    </cfRule>
  </conditionalFormatting>
  <conditionalFormatting sqref="H23">
    <cfRule type="dataBar" priority="4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{AFE2648A-C9B4-4428-923A-19C4B8FE113E}</x14:id>
        </ext>
      </extLst>
    </cfRule>
    <cfRule type="cellIs" dxfId="188" priority="485" operator="equal">
      <formula>1</formula>
    </cfRule>
  </conditionalFormatting>
  <conditionalFormatting sqref="D24">
    <cfRule type="containsText" dxfId="187" priority="478" operator="containsText" text="Buy">
      <formula>NOT(ISERROR(SEARCH("Buy",D24)))</formula>
    </cfRule>
    <cfRule type="containsText" dxfId="186" priority="479" operator="containsText" text="Sell">
      <formula>NOT(ISERROR(SEARCH("Sell",D24)))</formula>
    </cfRule>
  </conditionalFormatting>
  <conditionalFormatting sqref="H24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{32501B8A-2AFD-4EAA-A069-F06AF045FDED}</x14:id>
        </ext>
      </extLst>
    </cfRule>
    <cfRule type="cellIs" dxfId="185" priority="481" operator="equal">
      <formula>1</formula>
    </cfRule>
  </conditionalFormatting>
  <conditionalFormatting sqref="D25">
    <cfRule type="containsText" dxfId="184" priority="474" operator="containsText" text="Buy">
      <formula>NOT(ISERROR(SEARCH("Buy",D25)))</formula>
    </cfRule>
    <cfRule type="containsText" dxfId="183" priority="475" operator="containsText" text="Sell">
      <formula>NOT(ISERROR(SEARCH("Sell",D25)))</formula>
    </cfRule>
  </conditionalFormatting>
  <conditionalFormatting sqref="H25">
    <cfRule type="dataBar" priority="4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{C249DF3F-BE4F-4889-8D97-7D59ECB90885}</x14:id>
        </ext>
      </extLst>
    </cfRule>
    <cfRule type="cellIs" dxfId="182" priority="477" operator="equal">
      <formula>1</formula>
    </cfRule>
  </conditionalFormatting>
  <conditionalFormatting sqref="D26">
    <cfRule type="containsText" dxfId="181" priority="470" operator="containsText" text="Buy">
      <formula>NOT(ISERROR(SEARCH("Buy",D26)))</formula>
    </cfRule>
    <cfRule type="containsText" dxfId="180" priority="471" operator="containsText" text="Sell">
      <formula>NOT(ISERROR(SEARCH("Sell",D26)))</formula>
    </cfRule>
  </conditionalFormatting>
  <conditionalFormatting sqref="H26">
    <cfRule type="dataBar" priority="4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{1B3A08C1-067A-4F8A-9089-DBA669C6D248}</x14:id>
        </ext>
      </extLst>
    </cfRule>
    <cfRule type="cellIs" dxfId="179" priority="473" operator="equal">
      <formula>1</formula>
    </cfRule>
  </conditionalFormatting>
  <conditionalFormatting sqref="D27">
    <cfRule type="containsText" dxfId="178" priority="466" operator="containsText" text="Buy">
      <formula>NOT(ISERROR(SEARCH("Buy",D27)))</formula>
    </cfRule>
    <cfRule type="containsText" dxfId="177" priority="467" operator="containsText" text="Sell">
      <formula>NOT(ISERROR(SEARCH("Sell",D27)))</formula>
    </cfRule>
  </conditionalFormatting>
  <conditionalFormatting sqref="H27">
    <cfRule type="dataBar" priority="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{24B7CB6C-AF30-4093-91C0-67E703E4CD6B}</x14:id>
        </ext>
      </extLst>
    </cfRule>
    <cfRule type="cellIs" dxfId="176" priority="469" operator="equal">
      <formula>1</formula>
    </cfRule>
  </conditionalFormatting>
  <conditionalFormatting sqref="D28">
    <cfRule type="containsText" dxfId="175" priority="462" operator="containsText" text="Buy">
      <formula>NOT(ISERROR(SEARCH("Buy",D28)))</formula>
    </cfRule>
    <cfRule type="containsText" dxfId="174" priority="463" operator="containsText" text="Sell">
      <formula>NOT(ISERROR(SEARCH("Sell",D28)))</formula>
    </cfRule>
  </conditionalFormatting>
  <conditionalFormatting sqref="H2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{89F0CD18-A4FE-42D9-999D-802BDDB9BE1A}</x14:id>
        </ext>
      </extLst>
    </cfRule>
    <cfRule type="cellIs" dxfId="173" priority="465" operator="equal">
      <formula>1</formula>
    </cfRule>
  </conditionalFormatting>
  <conditionalFormatting sqref="D29">
    <cfRule type="containsText" dxfId="172" priority="458" operator="containsText" text="Buy">
      <formula>NOT(ISERROR(SEARCH("Buy",D29)))</formula>
    </cfRule>
    <cfRule type="containsText" dxfId="171" priority="459" operator="containsText" text="Sell">
      <formula>NOT(ISERROR(SEARCH("Sell",D29)))</formula>
    </cfRule>
  </conditionalFormatting>
  <conditionalFormatting sqref="H29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{930A56F8-6F73-4D03-8231-DD7B3AD65E36}</x14:id>
        </ext>
      </extLst>
    </cfRule>
    <cfRule type="cellIs" dxfId="170" priority="461" operator="equal">
      <formula>1</formula>
    </cfRule>
  </conditionalFormatting>
  <conditionalFormatting sqref="D30">
    <cfRule type="containsText" dxfId="169" priority="454" operator="containsText" text="Buy">
      <formula>NOT(ISERROR(SEARCH("Buy",D30)))</formula>
    </cfRule>
    <cfRule type="containsText" dxfId="168" priority="455" operator="containsText" text="Sell">
      <formula>NOT(ISERROR(SEARCH("Sell",D30)))</formula>
    </cfRule>
  </conditionalFormatting>
  <conditionalFormatting sqref="H30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{21261AAB-8381-4D77-951E-1C5B1BD64730}</x14:id>
        </ext>
      </extLst>
    </cfRule>
    <cfRule type="cellIs" dxfId="167" priority="457" operator="equal">
      <formula>1</formula>
    </cfRule>
  </conditionalFormatting>
  <conditionalFormatting sqref="D31">
    <cfRule type="containsText" dxfId="166" priority="450" operator="containsText" text="Buy">
      <formula>NOT(ISERROR(SEARCH("Buy",D31)))</formula>
    </cfRule>
    <cfRule type="containsText" dxfId="165" priority="451" operator="containsText" text="Sell">
      <formula>NOT(ISERROR(SEARCH("Sell",D31)))</formula>
    </cfRule>
  </conditionalFormatting>
  <conditionalFormatting sqref="H31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{EA9399FF-6F1D-481D-8BA5-0399AE271DB8}</x14:id>
        </ext>
      </extLst>
    </cfRule>
    <cfRule type="cellIs" dxfId="164" priority="453" operator="equal">
      <formula>1</formula>
    </cfRule>
  </conditionalFormatting>
  <conditionalFormatting sqref="D32:D33">
    <cfRule type="containsText" dxfId="163" priority="446" operator="containsText" text="Buy">
      <formula>NOT(ISERROR(SEARCH("Buy",D32)))</formula>
    </cfRule>
    <cfRule type="containsText" dxfId="162" priority="447" operator="containsText" text="Sell">
      <formula>NOT(ISERROR(SEARCH("Sell",D32)))</formula>
    </cfRule>
  </conditionalFormatting>
  <conditionalFormatting sqref="H32:H3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{C457DB68-7015-40C3-AD8E-8C600A7EC0D7}</x14:id>
        </ext>
      </extLst>
    </cfRule>
    <cfRule type="cellIs" dxfId="161" priority="449" operator="equal">
      <formula>1</formula>
    </cfRule>
  </conditionalFormatting>
  <conditionalFormatting sqref="D34">
    <cfRule type="containsText" dxfId="160" priority="442" operator="containsText" text="Buy">
      <formula>NOT(ISERROR(SEARCH("Buy",D34)))</formula>
    </cfRule>
    <cfRule type="containsText" dxfId="159" priority="443" operator="containsText" text="Sell">
      <formula>NOT(ISERROR(SEARCH("Sell",D34)))</formula>
    </cfRule>
  </conditionalFormatting>
  <conditionalFormatting sqref="H34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{18444F96-3664-48F1-9103-4B9A40404FD9}</x14:id>
        </ext>
      </extLst>
    </cfRule>
    <cfRule type="cellIs" dxfId="158" priority="445" operator="equal">
      <formula>1</formula>
    </cfRule>
  </conditionalFormatting>
  <conditionalFormatting sqref="D35">
    <cfRule type="containsText" dxfId="157" priority="438" operator="containsText" text="Buy">
      <formula>NOT(ISERROR(SEARCH("Buy",D35)))</formula>
    </cfRule>
    <cfRule type="containsText" dxfId="156" priority="439" operator="containsText" text="Sell">
      <formula>NOT(ISERROR(SEARCH("Sell",D35)))</formula>
    </cfRule>
  </conditionalFormatting>
  <conditionalFormatting sqref="H35">
    <cfRule type="dataBar" priority="4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{698D0DFB-EF2C-4DE1-9549-C043BD2D43D1}</x14:id>
        </ext>
      </extLst>
    </cfRule>
    <cfRule type="cellIs" dxfId="155" priority="441" operator="equal">
      <formula>1</formula>
    </cfRule>
  </conditionalFormatting>
  <conditionalFormatting sqref="D36">
    <cfRule type="containsText" dxfId="154" priority="434" operator="containsText" text="Buy">
      <formula>NOT(ISERROR(SEARCH("Buy",D36)))</formula>
    </cfRule>
    <cfRule type="containsText" dxfId="153" priority="435" operator="containsText" text="Sell">
      <formula>NOT(ISERROR(SEARCH("Sell",D36)))</formula>
    </cfRule>
  </conditionalFormatting>
  <conditionalFormatting sqref="H36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{96674FDE-CAC8-4525-81DF-3F1739860860}</x14:id>
        </ext>
      </extLst>
    </cfRule>
    <cfRule type="cellIs" dxfId="152" priority="437" operator="equal">
      <formula>1</formula>
    </cfRule>
  </conditionalFormatting>
  <conditionalFormatting sqref="K4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{40979656-50D0-46F8-BC64-9D2C741FFAD3}</x14:id>
        </ext>
      </extLst>
    </cfRule>
  </conditionalFormatting>
  <conditionalFormatting sqref="X4:X5 X7:X9">
    <cfRule type="dataBar" priority="6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{52828F65-B611-42F3-82EA-C0B53CDAD474}</x14:id>
        </ext>
      </extLst>
    </cfRule>
  </conditionalFormatting>
  <conditionalFormatting sqref="L4">
    <cfRule type="dataBar" priority="6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{68E80AB2-7D9B-455C-AF79-D6A535096F92}</x14:id>
        </ext>
      </extLst>
    </cfRule>
  </conditionalFormatting>
  <conditionalFormatting sqref="L4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{2673D5E1-DCE4-4D4D-B1A5-3C8D0C452690}</x14:id>
        </ext>
      </extLst>
    </cfRule>
  </conditionalFormatting>
  <conditionalFormatting sqref="K4:L5 K7:L9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{BD9EC1A7-1CD7-4BF3-AC67-4D03E46402F2}</x14:id>
        </ext>
      </extLst>
    </cfRule>
  </conditionalFormatting>
  <conditionalFormatting sqref="E97">
    <cfRule type="containsText" dxfId="151" priority="430" operator="containsText" text="Buy">
      <formula>NOT(ISERROR(SEARCH("Buy",E97)))</formula>
    </cfRule>
    <cfRule type="containsText" dxfId="150" priority="431" operator="containsText" text="Sell">
      <formula>NOT(ISERROR(SEARCH("Sell",E97)))</formula>
    </cfRule>
  </conditionalFormatting>
  <conditionalFormatting sqref="E96">
    <cfRule type="containsText" dxfId="149" priority="432" operator="containsText" text="Buy">
      <formula>NOT(ISERROR(SEARCH("Buy",E96)))</formula>
    </cfRule>
    <cfRule type="containsText" dxfId="148" priority="433" operator="containsText" text="Sell">
      <formula>NOT(ISERROR(SEARCH("Sell",E96)))</formula>
    </cfRule>
  </conditionalFormatting>
  <conditionalFormatting sqref="E102">
    <cfRule type="containsText" dxfId="147" priority="426" operator="containsText" text="Buy">
      <formula>NOT(ISERROR(SEARCH("Buy",E102)))</formula>
    </cfRule>
    <cfRule type="containsText" dxfId="146" priority="427" operator="containsText" text="Sell">
      <formula>NOT(ISERROR(SEARCH("Sell",E102)))</formula>
    </cfRule>
  </conditionalFormatting>
  <conditionalFormatting sqref="E99">
    <cfRule type="containsText" dxfId="145" priority="428" operator="containsText" text="Buy">
      <formula>NOT(ISERROR(SEARCH("Buy",E99)))</formula>
    </cfRule>
    <cfRule type="containsText" dxfId="144" priority="429" operator="containsText" text="Sell">
      <formula>NOT(ISERROR(SEARCH("Sell",E99)))</formula>
    </cfRule>
  </conditionalFormatting>
  <conditionalFormatting sqref="E105">
    <cfRule type="containsText" dxfId="143" priority="422" operator="containsText" text="Buy">
      <formula>NOT(ISERROR(SEARCH("Buy",E105)))</formula>
    </cfRule>
    <cfRule type="containsText" dxfId="142" priority="423" operator="containsText" text="Sell">
      <formula>NOT(ISERROR(SEARCH("Sell",E105)))</formula>
    </cfRule>
  </conditionalFormatting>
  <conditionalFormatting sqref="E104">
    <cfRule type="containsText" dxfId="141" priority="424" operator="containsText" text="Buy">
      <formula>NOT(ISERROR(SEARCH("Buy",E104)))</formula>
    </cfRule>
    <cfRule type="containsText" dxfId="140" priority="425" operator="containsText" text="Sell">
      <formula>NOT(ISERROR(SEARCH("Sell",E104)))</formula>
    </cfRule>
  </conditionalFormatting>
  <conditionalFormatting sqref="E110">
    <cfRule type="containsText" dxfId="139" priority="418" operator="containsText" text="Buy">
      <formula>NOT(ISERROR(SEARCH("Buy",E110)))</formula>
    </cfRule>
    <cfRule type="containsText" dxfId="138" priority="419" operator="containsText" text="Sell">
      <formula>NOT(ISERROR(SEARCH("Sell",E110)))</formula>
    </cfRule>
  </conditionalFormatting>
  <conditionalFormatting sqref="E107">
    <cfRule type="containsText" dxfId="137" priority="420" operator="containsText" text="Buy">
      <formula>NOT(ISERROR(SEARCH("Buy",E107)))</formula>
    </cfRule>
    <cfRule type="containsText" dxfId="136" priority="421" operator="containsText" text="Sell">
      <formula>NOT(ISERROR(SEARCH("Sell",E107)))</formula>
    </cfRule>
  </conditionalFormatting>
  <conditionalFormatting sqref="E113">
    <cfRule type="containsText" dxfId="135" priority="414" operator="containsText" text="Buy">
      <formula>NOT(ISERROR(SEARCH("Buy",E113)))</formula>
    </cfRule>
    <cfRule type="containsText" dxfId="134" priority="415" operator="containsText" text="Sell">
      <formula>NOT(ISERROR(SEARCH("Sell",E113)))</formula>
    </cfRule>
  </conditionalFormatting>
  <conditionalFormatting sqref="E112">
    <cfRule type="containsText" dxfId="133" priority="416" operator="containsText" text="Buy">
      <formula>NOT(ISERROR(SEARCH("Buy",E112)))</formula>
    </cfRule>
    <cfRule type="containsText" dxfId="132" priority="417" operator="containsText" text="Sell">
      <formula>NOT(ISERROR(SEARCH("Sell",E112)))</formula>
    </cfRule>
  </conditionalFormatting>
  <conditionalFormatting sqref="E116">
    <cfRule type="containsText" dxfId="131" priority="410" operator="containsText" text="Buy">
      <formula>NOT(ISERROR(SEARCH("Buy",E116)))</formula>
    </cfRule>
    <cfRule type="containsText" dxfId="130" priority="411" operator="containsText" text="Sell">
      <formula>NOT(ISERROR(SEARCH("Sell",E116)))</formula>
    </cfRule>
  </conditionalFormatting>
  <conditionalFormatting sqref="E115">
    <cfRule type="containsText" dxfId="129" priority="412" operator="containsText" text="Buy">
      <formula>NOT(ISERROR(SEARCH("Buy",E115)))</formula>
    </cfRule>
    <cfRule type="containsText" dxfId="128" priority="413" operator="containsText" text="Sell">
      <formula>NOT(ISERROR(SEARCH("Sell",E115)))</formula>
    </cfRule>
  </conditionalFormatting>
  <conditionalFormatting sqref="E120">
    <cfRule type="containsText" dxfId="127" priority="406" operator="containsText" text="Buy">
      <formula>NOT(ISERROR(SEARCH("Buy",E120)))</formula>
    </cfRule>
    <cfRule type="containsText" dxfId="126" priority="407" operator="containsText" text="Sell">
      <formula>NOT(ISERROR(SEARCH("Sell",E120)))</formula>
    </cfRule>
  </conditionalFormatting>
  <conditionalFormatting sqref="E118">
    <cfRule type="containsText" dxfId="125" priority="408" operator="containsText" text="Buy">
      <formula>NOT(ISERROR(SEARCH("Buy",E118)))</formula>
    </cfRule>
    <cfRule type="containsText" dxfId="124" priority="409" operator="containsText" text="Sell">
      <formula>NOT(ISERROR(SEARCH("Sell",E118)))</formula>
    </cfRule>
  </conditionalFormatting>
  <conditionalFormatting sqref="E124">
    <cfRule type="containsText" dxfId="123" priority="402" operator="containsText" text="Buy">
      <formula>NOT(ISERROR(SEARCH("Buy",E124)))</formula>
    </cfRule>
    <cfRule type="containsText" dxfId="122" priority="403" operator="containsText" text="Sell">
      <formula>NOT(ISERROR(SEARCH("Sell",E124)))</formula>
    </cfRule>
  </conditionalFormatting>
  <conditionalFormatting sqref="E122">
    <cfRule type="containsText" dxfId="121" priority="404" operator="containsText" text="Buy">
      <formula>NOT(ISERROR(SEARCH("Buy",E122)))</formula>
    </cfRule>
    <cfRule type="containsText" dxfId="120" priority="405" operator="containsText" text="Sell">
      <formula>NOT(ISERROR(SEARCH("Sell",E122)))</formula>
    </cfRule>
  </conditionalFormatting>
  <conditionalFormatting sqref="E127">
    <cfRule type="containsText" dxfId="119" priority="398" operator="containsText" text="Buy">
      <formula>NOT(ISERROR(SEARCH("Buy",E127)))</formula>
    </cfRule>
    <cfRule type="containsText" dxfId="118" priority="399" operator="containsText" text="Sell">
      <formula>NOT(ISERROR(SEARCH("Sell",E127)))</formula>
    </cfRule>
  </conditionalFormatting>
  <conditionalFormatting sqref="E126">
    <cfRule type="containsText" dxfId="117" priority="400" operator="containsText" text="Buy">
      <formula>NOT(ISERROR(SEARCH("Buy",E126)))</formula>
    </cfRule>
    <cfRule type="containsText" dxfId="116" priority="401" operator="containsText" text="Sell">
      <formula>NOT(ISERROR(SEARCH("Sell",E126)))</formula>
    </cfRule>
  </conditionalFormatting>
  <conditionalFormatting sqref="E130">
    <cfRule type="containsText" dxfId="115" priority="394" operator="containsText" text="Buy">
      <formula>NOT(ISERROR(SEARCH("Buy",E130)))</formula>
    </cfRule>
    <cfRule type="containsText" dxfId="114" priority="395" operator="containsText" text="Sell">
      <formula>NOT(ISERROR(SEARCH("Sell",E130)))</formula>
    </cfRule>
  </conditionalFormatting>
  <conditionalFormatting sqref="E129">
    <cfRule type="containsText" dxfId="113" priority="396" operator="containsText" text="Buy">
      <formula>NOT(ISERROR(SEARCH("Buy",E129)))</formula>
    </cfRule>
    <cfRule type="containsText" dxfId="112" priority="397" operator="containsText" text="Sell">
      <formula>NOT(ISERROR(SEARCH("Sell",E129)))</formula>
    </cfRule>
  </conditionalFormatting>
  <conditionalFormatting sqref="E123">
    <cfRule type="containsText" dxfId="111" priority="392" operator="containsText" text="Buy">
      <formula>NOT(ISERROR(SEARCH("Buy",E123)))</formula>
    </cfRule>
    <cfRule type="containsText" dxfId="110" priority="393" operator="containsText" text="Sell">
      <formula>NOT(ISERROR(SEARCH("Sell",E123)))</formula>
    </cfRule>
  </conditionalFormatting>
  <conditionalFormatting sqref="E119">
    <cfRule type="containsText" dxfId="109" priority="390" operator="containsText" text="Buy">
      <formula>NOT(ISERROR(SEARCH("Buy",E119)))</formula>
    </cfRule>
    <cfRule type="containsText" dxfId="108" priority="391" operator="containsText" text="Sell">
      <formula>NOT(ISERROR(SEARCH("Sell",E119)))</formula>
    </cfRule>
  </conditionalFormatting>
  <conditionalFormatting sqref="E109">
    <cfRule type="containsText" dxfId="107" priority="388" operator="containsText" text="Buy">
      <formula>NOT(ISERROR(SEARCH("Buy",E109)))</formula>
    </cfRule>
    <cfRule type="containsText" dxfId="106" priority="389" operator="containsText" text="Sell">
      <formula>NOT(ISERROR(SEARCH("Sell",E109)))</formula>
    </cfRule>
  </conditionalFormatting>
  <conditionalFormatting sqref="E108">
    <cfRule type="containsText" dxfId="105" priority="386" operator="containsText" text="Buy">
      <formula>NOT(ISERROR(SEARCH("Buy",E108)))</formula>
    </cfRule>
    <cfRule type="containsText" dxfId="104" priority="387" operator="containsText" text="Sell">
      <formula>NOT(ISERROR(SEARCH("Sell",E108)))</formula>
    </cfRule>
  </conditionalFormatting>
  <conditionalFormatting sqref="E100">
    <cfRule type="containsText" dxfId="103" priority="384" operator="containsText" text="Buy">
      <formula>NOT(ISERROR(SEARCH("Buy",E100)))</formula>
    </cfRule>
    <cfRule type="containsText" dxfId="102" priority="385" operator="containsText" text="Sell">
      <formula>NOT(ISERROR(SEARCH("Sell",E100)))</formula>
    </cfRule>
  </conditionalFormatting>
  <conditionalFormatting sqref="E101">
    <cfRule type="containsText" dxfId="101" priority="382" operator="containsText" text="Buy">
      <formula>NOT(ISERROR(SEARCH("Buy",E101)))</formula>
    </cfRule>
    <cfRule type="containsText" dxfId="100" priority="383" operator="containsText" text="Sell">
      <formula>NOT(ISERROR(SEARCH("Sell",E101)))</formula>
    </cfRule>
  </conditionalFormatting>
  <conditionalFormatting sqref="K4:K5 K7:K9">
    <cfRule type="dataBar" priority="14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{41E2EFB9-9BA5-4B4D-967B-2AD0A616C743}</x14:id>
        </ext>
      </extLst>
    </cfRule>
  </conditionalFormatting>
  <conditionalFormatting sqref="L4:L5 L7:L9">
    <cfRule type="dataBar" priority="14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{E120E185-D6EC-43D6-A959-0559D254A8B4}</x14:id>
        </ext>
      </extLst>
    </cfRule>
  </conditionalFormatting>
  <conditionalFormatting sqref="H41">
    <cfRule type="dataBar" priority="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{4FCAFDC9-A152-4E87-960A-4C3785825AFD}</x14:id>
        </ext>
      </extLst>
    </cfRule>
    <cfRule type="cellIs" dxfId="99" priority="91" operator="equal">
      <formula>1</formula>
    </cfRule>
  </conditionalFormatting>
  <conditionalFormatting sqref="D41">
    <cfRule type="containsText" dxfId="98" priority="89" operator="containsText" text="Buy">
      <formula>NOT(ISERROR(SEARCH("Buy",D41)))</formula>
    </cfRule>
    <cfRule type="containsText" dxfId="97" priority="90" operator="containsText" text="Sell">
      <formula>NOT(ISERROR(SEARCH("Sell",D41)))</formula>
    </cfRule>
  </conditionalFormatting>
  <conditionalFormatting sqref="H42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{5146A580-C943-43C6-87FF-24C4B9F7C579}</x14:id>
        </ext>
      </extLst>
    </cfRule>
    <cfRule type="cellIs" dxfId="96" priority="87" operator="equal">
      <formula>1</formula>
    </cfRule>
  </conditionalFormatting>
  <conditionalFormatting sqref="D42">
    <cfRule type="containsText" dxfId="95" priority="85" operator="containsText" text="Buy">
      <formula>NOT(ISERROR(SEARCH("Buy",D42)))</formula>
    </cfRule>
    <cfRule type="containsText" dxfId="94" priority="86" operator="containsText" text="Sell">
      <formula>NOT(ISERROR(SEARCH("Sell",D42)))</formula>
    </cfRule>
  </conditionalFormatting>
  <conditionalFormatting sqref="U6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{E86E201E-CB2A-46B4-BC2B-898C97941E1D}</x14:id>
        </ext>
      </extLst>
    </cfRule>
  </conditionalFormatting>
  <conditionalFormatting sqref="V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{070330BE-43ED-4388-8F13-A08F82A35917}</x14:id>
        </ext>
      </extLst>
    </cfRule>
  </conditionalFormatting>
  <conditionalFormatting sqref="W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{99FC8265-5A23-4775-98DB-499E25AAB17C}</x14:id>
        </ext>
      </extLst>
    </cfRule>
  </conditionalFormatting>
  <conditionalFormatting sqref="K6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{778D4EE7-F1B8-4930-BFE0-86911F51416F}</x14:id>
        </ext>
      </extLst>
    </cfRule>
  </conditionalFormatting>
  <conditionalFormatting sqref="K6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{90463748-CCEF-4BD7-A650-BAC28CCE2FC9}</x14:id>
        </ext>
      </extLst>
    </cfRule>
  </conditionalFormatting>
  <conditionalFormatting sqref="K6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{35A34E3A-2B40-4B0E-AC11-22095832FA03}</x14:id>
        </ext>
      </extLst>
    </cfRule>
  </conditionalFormatting>
  <conditionalFormatting sqref="K6"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{36CE1BB3-088A-4C33-8BCD-EC1C8F0DFE1F}</x14:id>
        </ext>
      </extLst>
    </cfRule>
  </conditionalFormatting>
  <conditionalFormatting sqref="K6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{6BA55359-6DB9-48E5-9DFB-8D0733FE73DB}</x14:id>
        </ext>
      </extLst>
    </cfRule>
  </conditionalFormatting>
  <conditionalFormatting sqref="K6">
    <cfRule type="dataBar" priority="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{9A2BB9AD-78C2-4AAE-A613-13D5F7988F22}</x14:id>
        </ext>
      </extLst>
    </cfRule>
  </conditionalFormatting>
  <conditionalFormatting sqref="L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{5DC23633-884C-4A3C-9B74-D25E46CDAD2E}</x14:id>
        </ext>
      </extLst>
    </cfRule>
  </conditionalFormatting>
  <conditionalFormatting sqref="L6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{24BFF57D-0439-457A-8474-D7715A2BC213}</x14:id>
        </ext>
      </extLst>
    </cfRule>
  </conditionalFormatting>
  <conditionalFormatting sqref="L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{0061AC72-8869-4CA3-9D1F-D0A7993E9E2A}</x14:id>
        </ext>
      </extLst>
    </cfRule>
  </conditionalFormatting>
  <conditionalFormatting sqref="X6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{E9E9B241-05C3-4FC0-ABE8-77DBA100CF68}</x14:id>
        </ext>
      </extLst>
    </cfRule>
  </conditionalFormatting>
  <conditionalFormatting sqref="K6:L6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{2B225B4E-BE10-4CB7-9E6D-1E5C308A07A8}</x14:id>
        </ext>
      </extLst>
    </cfRule>
  </conditionalFormatting>
  <conditionalFormatting sqref="K6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{E1D3716F-0C1C-4E3E-9552-D4F5B54F80B4}</x14:id>
        </ext>
      </extLst>
    </cfRule>
  </conditionalFormatting>
  <conditionalFormatting sqref="L6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{965C2313-0E31-443E-9948-DB53A1581FE8}</x14:id>
        </ext>
      </extLst>
    </cfRule>
  </conditionalFormatting>
  <conditionalFormatting sqref="E133:E134">
    <cfRule type="containsText" dxfId="93" priority="54" operator="containsText" text="Buy">
      <formula>NOT(ISERROR(SEARCH("Buy",E133)))</formula>
    </cfRule>
    <cfRule type="containsText" dxfId="92" priority="55" operator="containsText" text="Sell">
      <formula>NOT(ISERROR(SEARCH("Sell",E133)))</formula>
    </cfRule>
  </conditionalFormatting>
  <conditionalFormatting sqref="E132">
    <cfRule type="containsText" dxfId="91" priority="52" operator="containsText" text="Buy">
      <formula>NOT(ISERROR(SEARCH("Buy",E132)))</formula>
    </cfRule>
    <cfRule type="containsText" dxfId="90" priority="53" operator="containsText" text="Sell">
      <formula>NOT(ISERROR(SEARCH("Sell",E132)))</formula>
    </cfRule>
  </conditionalFormatting>
  <conditionalFormatting sqref="U10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{D17266E8-77DD-4FA1-BF11-5416AE3DE4EB}</x14:id>
        </ext>
      </extLst>
    </cfRule>
  </conditionalFormatting>
  <conditionalFormatting sqref="V10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{6A22B603-8DB1-453C-96E8-ABBCB7F964E3}</x14:id>
        </ext>
      </extLst>
    </cfRule>
  </conditionalFormatting>
  <conditionalFormatting sqref="W10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{101D7574-5B62-434D-9B0D-574CFB63F314}</x14:id>
        </ext>
      </extLst>
    </cfRule>
  </conditionalFormatting>
  <conditionalFormatting sqref="K10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{D69C83F3-0469-42B6-A69B-59D7EE39C076}</x14:id>
        </ext>
      </extLst>
    </cfRule>
  </conditionalFormatting>
  <conditionalFormatting sqref="K10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{2DBE715E-6DB3-4F01-9161-82F183A37177}</x14:id>
        </ext>
      </extLst>
    </cfRule>
  </conditionalFormatting>
  <conditionalFormatting sqref="K10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{615D5CF4-85A6-4EFD-9B63-9179AA24EC91}</x14:id>
        </ext>
      </extLst>
    </cfRule>
  </conditionalFormatting>
  <conditionalFormatting sqref="K10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{9D4A89EE-C0DE-4578-B5F0-47CB19D58E3E}</x14:id>
        </ext>
      </extLst>
    </cfRule>
  </conditionalFormatting>
  <conditionalFormatting sqref="K10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{537C6076-F8D0-444B-8E46-25AE64ED0FA9}</x14:id>
        </ext>
      </extLst>
    </cfRule>
  </conditionalFormatting>
  <conditionalFormatting sqref="K10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{29C8E15B-863A-4079-A4F6-BF54787EEDBA}</x14:id>
        </ext>
      </extLst>
    </cfRule>
  </conditionalFormatting>
  <conditionalFormatting sqref="L1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{2EF717DF-C521-4534-9487-7E8FB3DFEF58}</x14:id>
        </ext>
      </extLst>
    </cfRule>
  </conditionalFormatting>
  <conditionalFormatting sqref="L10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{1B9A8109-6E5C-4EB2-A2F6-D00F0FE2504A}</x14:id>
        </ext>
      </extLst>
    </cfRule>
  </conditionalFormatting>
  <conditionalFormatting sqref="L10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{677BD65E-DEEC-4724-AD63-BBB9933745D4}</x14:id>
        </ext>
      </extLst>
    </cfRule>
  </conditionalFormatting>
  <conditionalFormatting sqref="X10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{C0F39DD7-1387-4947-9BE4-8E817718B373}</x14:id>
        </ext>
      </extLst>
    </cfRule>
  </conditionalFormatting>
  <conditionalFormatting sqref="K10:L1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{1896E3AC-024D-4FE6-8B5E-2B4A7E890497}</x14:id>
        </ext>
      </extLst>
    </cfRule>
  </conditionalFormatting>
  <conditionalFormatting sqref="K10">
    <cfRule type="dataBar" priority="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{5C425EDC-DD7D-43D6-81B3-40AF63713139}</x14:id>
        </ext>
      </extLst>
    </cfRule>
  </conditionalFormatting>
  <conditionalFormatting sqref="L10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{61C2E6BC-31AF-4835-8D3C-47262F678F8F}</x14:id>
        </ext>
      </extLst>
    </cfRule>
  </conditionalFormatting>
  <conditionalFormatting sqref="E137">
    <cfRule type="containsText" dxfId="89" priority="22" operator="containsText" text="Buy">
      <formula>NOT(ISERROR(SEARCH("Buy",E137)))</formula>
    </cfRule>
    <cfRule type="containsText" dxfId="88" priority="23" operator="containsText" text="Sell">
      <formula>NOT(ISERROR(SEARCH("Sell",E137)))</formula>
    </cfRule>
  </conditionalFormatting>
  <conditionalFormatting sqref="E136">
    <cfRule type="containsText" dxfId="87" priority="20" operator="containsText" text="Buy">
      <formula>NOT(ISERROR(SEARCH("Buy",E136)))</formula>
    </cfRule>
    <cfRule type="containsText" dxfId="86" priority="21" operator="containsText" text="Sell">
      <formula>NOT(ISERROR(SEARCH("Sell",E136)))</formula>
    </cfRule>
  </conditionalFormatting>
  <conditionalFormatting sqref="D43">
    <cfRule type="containsText" dxfId="85" priority="12" operator="containsText" text="Buy">
      <formula>NOT(ISERROR(SEARCH("Buy",D43)))</formula>
    </cfRule>
    <cfRule type="containsText" dxfId="84" priority="13" operator="containsText" text="Sell">
      <formula>NOT(ISERROR(SEARCH("Sell",D43)))</formula>
    </cfRule>
  </conditionalFormatting>
  <conditionalFormatting sqref="H4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{B5D30A00-32F7-4244-A18C-A953E46D5C3A}</x14:id>
        </ext>
      </extLst>
    </cfRule>
    <cfRule type="cellIs" dxfId="83" priority="15" operator="equal">
      <formula>1</formula>
    </cfRule>
  </conditionalFormatting>
  <conditionalFormatting sqref="E135">
    <cfRule type="containsText" dxfId="82" priority="10" operator="containsText" text="Buy">
      <formula>NOT(ISERROR(SEARCH("Buy",E135)))</formula>
    </cfRule>
    <cfRule type="containsText" dxfId="81" priority="11" operator="containsText" text="Sell">
      <formula>NOT(ISERROR(SEARCH("Sell",E135)))</formula>
    </cfRule>
  </conditionalFormatting>
  <conditionalFormatting sqref="D44">
    <cfRule type="containsText" dxfId="80" priority="6" operator="containsText" text="Buy">
      <formula>NOT(ISERROR(SEARCH("Buy",D44)))</formula>
    </cfRule>
    <cfRule type="containsText" dxfId="79" priority="7" operator="containsText" text="Sell">
      <formula>NOT(ISERROR(SEARCH("Sell",D44)))</formula>
    </cfRule>
  </conditionalFormatting>
  <conditionalFormatting sqref="H44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{683EF78C-C056-4B2A-AA2F-2F2CA08091CF}</x14:id>
        </ext>
      </extLst>
    </cfRule>
    <cfRule type="cellIs" dxfId="78" priority="9" operator="equal">
      <formula>1</formula>
    </cfRule>
  </conditionalFormatting>
  <conditionalFormatting sqref="I4:I1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{781B1A77-5B2C-4C76-9485-54C5981FF3EC}</x14:id>
        </ext>
      </extLst>
    </cfRule>
  </conditionalFormatting>
  <conditionalFormatting sqref="U4:V4">
    <cfRule type="dataBar" priority="305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{ED8303D9-C412-47D8-8473-141B32E2B4F8}</x14:id>
        </ext>
      </extLst>
    </cfRule>
  </conditionalFormatting>
  <conditionalFormatting sqref="U8:V8">
    <cfRule type="dataBar" priority="305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{4CB520BC-C108-4238-9547-FA7A85AB62C6}</x14:id>
        </ext>
      </extLst>
    </cfRule>
  </conditionalFormatting>
  <conditionalFormatting sqref="U7:V7">
    <cfRule type="dataBar" priority="305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{898B0488-7167-4641-9D77-89444F4E2058}</x14:id>
        </ext>
      </extLst>
    </cfRule>
  </conditionalFormatting>
  <conditionalFormatting sqref="U5:V5">
    <cfRule type="dataBar" priority="305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{11475BC1-562F-45BB-AB02-EF9180C925C1}</x14:id>
        </ext>
      </extLst>
    </cfRule>
  </conditionalFormatting>
  <conditionalFormatting sqref="U9:V9">
    <cfRule type="dataBar" priority="305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{4CA9B48B-07BE-4B1B-86CE-D20B66F0CAE6}</x14:id>
        </ext>
      </extLst>
    </cfRule>
  </conditionalFormatting>
  <conditionalFormatting sqref="U6:V6">
    <cfRule type="dataBar" priority="305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{57ABD321-6DE8-4FE7-8CB9-0B2952CF9DB7}</x14:id>
        </ext>
      </extLst>
    </cfRule>
  </conditionalFormatting>
  <conditionalFormatting sqref="U10:V10">
    <cfRule type="dataBar" priority="305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{CA273D0B-F6C6-472B-B94A-8A861FDE396B}</x14:id>
        </ext>
      </extLst>
    </cfRule>
  </conditionalFormatting>
  <conditionalFormatting sqref="U4:V4">
    <cfRule type="dataBar" priority="30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{99740EFE-317B-418D-B9CC-CC90AE8756CD}</x14:id>
        </ext>
      </extLst>
    </cfRule>
  </conditionalFormatting>
  <conditionalFormatting sqref="U8:V8">
    <cfRule type="dataBar" priority="30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{E33C1614-866F-4A07-9EED-3C9EA866F90D}</x14:id>
        </ext>
      </extLst>
    </cfRule>
  </conditionalFormatting>
  <conditionalFormatting sqref="U7:V7">
    <cfRule type="dataBar" priority="30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{4DE507AD-F5FA-46BA-8E07-4BD2DFADF7F3}</x14:id>
        </ext>
      </extLst>
    </cfRule>
  </conditionalFormatting>
  <conditionalFormatting sqref="U5:V5">
    <cfRule type="dataBar" priority="30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{D7F40F2E-0FA6-40EA-B283-DF5ACA2642E9}</x14:id>
        </ext>
      </extLst>
    </cfRule>
  </conditionalFormatting>
  <conditionalFormatting sqref="U9:V9">
    <cfRule type="dataBar" priority="30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{085B5A99-4E61-4F1B-8717-085582CCC17A}</x14:id>
        </ext>
      </extLst>
    </cfRule>
  </conditionalFormatting>
  <conditionalFormatting sqref="U4:V5 U7:V9">
    <cfRule type="dataBar" priority="30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{295227EB-2A8E-4200-B425-3054E9E6132D}</x14:id>
        </ext>
      </extLst>
    </cfRule>
  </conditionalFormatting>
  <conditionalFormatting sqref="U6:V6">
    <cfRule type="dataBar" priority="30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{07D8429F-D78F-4B49-A167-1F674336C567}</x14:id>
        </ext>
      </extLst>
    </cfRule>
  </conditionalFormatting>
  <conditionalFormatting sqref="U10:V10">
    <cfRule type="dataBar" priority="30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{19EC5C0C-BCF1-469C-A131-27C8D2ED2836}</x14:id>
        </ext>
      </extLst>
    </cfRule>
  </conditionalFormatting>
  <conditionalFormatting sqref="S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{1C917CEA-7341-472F-AA6C-5C3E53F7A5E3}</x14:id>
        </ext>
      </extLst>
    </cfRule>
  </conditionalFormatting>
  <conditionalFormatting sqref="S4:S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{DFB93B2F-98D0-4F81-A3E2-B74C7173CC8E}</x14:id>
        </ext>
      </extLst>
    </cfRule>
  </conditionalFormatting>
  <conditionalFormatting sqref="Q13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{A5CAC24D-0A3F-4C53-A7EC-A7E41085F091}</x14:id>
        </ext>
      </extLst>
    </cfRule>
  </conditionalFormatting>
  <conditionalFormatting sqref="K4:L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{41AC9882-7EEA-400F-8C42-C209F5EE9723}</x14:id>
        </ext>
      </extLst>
    </cfRule>
  </conditionalFormatting>
  <pageMargins left="0.25" right="0.25" top="0.75" bottom="0.75" header="0.3" footer="0.3"/>
  <pageSetup paperSize="9" scale="2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F63C6A-AE06-4AAD-BB6E-BC8D4A0EEB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H14</xm:sqref>
        </x14:conditionalFormatting>
        <x14:conditionalFormatting xmlns:xm="http://schemas.microsoft.com/office/excel/2006/main">
          <x14:cfRule type="dataBar" id="{24CB2BDF-2415-47F9-9875-771147D27F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324DBF20-7FF9-4A0F-A298-551D04D31E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5C3A5BAB-A6BE-46B0-B594-C45642AF87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F0C5509D-486D-403C-95F8-0A6B444656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39527BB3-D1DD-48E7-805E-7A2E2A7996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C7756025-2020-400D-A83C-45944EDC0D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D2D1AFC-01AD-45B4-B68F-3DB8543412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DACE0303-4B4B-431B-BE73-516455DE3F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A56B18A2-C550-4232-A2D7-ED0D299C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2260E1B1-4787-4AD8-99A9-9E4D506B82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D601312B-D6BC-4AEA-94A8-94047FE7E4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9A47EFD3-10A8-43B6-BE68-298950E2E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F0E5E8E-4DF0-4565-970D-77165A4A37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663DEC90-B8FC-4199-998C-3F1C416256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F0D4020-8CB6-4242-BA26-A8A4B14E31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AF1BFDC2-8A9A-4E83-8AAA-B5F3C5EDC7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0D2E37AE-B0B9-4596-8ECA-377004A41D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30BF6FF4-6670-4BD3-9F98-68778C7A09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1AE34571-1605-4282-8D79-65F52E34B7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E3A155D8-CF37-4507-907D-1BBF7150C3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E6F3E939-FADF-4C99-993B-B704CED497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H15</xm:sqref>
        </x14:conditionalFormatting>
        <x14:conditionalFormatting xmlns:xm="http://schemas.microsoft.com/office/excel/2006/main">
          <x14:cfRule type="dataBar" id="{D8BD3EA9-5C9A-4EB0-A90C-F78973439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9725729E-FABC-4C1E-9EF2-74654C996D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F09751E7-F68F-42AF-BF33-80C263607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C6B25D96-61A7-4A3E-97CE-E087347434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59B1C5BA-22EC-4902-8E2A-93D49F70F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A4D62203-31F3-4CE4-BFD2-6CE7DD78DD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372AE0DD-6BFF-4948-9E2A-B063D698EE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9A40E61-C5FA-42CF-8D07-ECA68C67D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97D1D3B-0587-4DD3-A764-CC5ADA0521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A4FAA4F-29F8-420F-8477-1333FF2A3B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96C2F26-633C-450A-9ADC-739F55DEE0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E6BF9DBF-87EF-45A9-9D9B-7E2FA6C4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9FFB45C-E875-4B41-9017-0E797ED594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87178BE-7DD9-47B5-97BA-CE057B1001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86632A88-140F-4DBC-B7F8-6D90D8B031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D229E334-7B48-4F8D-89D9-D50C1C9769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2415CFC-A468-467C-A3F8-8A354A9827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A2D4864E-A13A-44B4-9417-F65AD27AB1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C8C038CF-26D2-475C-8FB4-7F9F51C7F0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3D496D5-811B-4088-9061-BE2100C218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4F992CF7-05D8-4635-B70D-7D1052D534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35ADD483-C633-4C09-9F29-C964B75A5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55AE019B-B93B-488D-8256-A9CA6407A5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C820684D-FA31-438B-8B8A-801871547E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039D0A4C-97A3-40FA-8D77-7E7D1AA2BA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C5773424-B9ED-47E6-907C-B0D9C6C648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E14B5A6-B8EA-4F69-837C-AA7333D75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27DC72F-EBE3-4FBF-8BC6-77EA68452B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1039045-CF6E-4392-8656-1CC1B02128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98867520-4E7A-4ED7-8A2A-F7B29C3D79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29FBC28-E8E8-4FA6-86F2-DF262A1746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BFC9E8C9-0628-4E37-AB74-5954D9C23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2D026DC3-2092-4434-904E-B2B6518CE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2429097-2FEA-4C85-9EF6-7606B05B3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E24502DD-8AB8-4709-BD89-675AD2A9C8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7EC9BBB3-F271-432E-BFD6-4CEF47B5A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318F3A00-9251-4312-B592-807ED13E59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E1A6223A-E4F6-4396-A66C-36F0ACA31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9D6F7093-DEB4-4823-B817-CFC13E3D9B6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05B41990-F102-4624-A1A8-57061ED394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AE5D772-4E24-4321-B411-4A84CD3636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32EB5C45-E7BC-444B-893C-5B9F86042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2305D107-85E5-4BFE-98E6-BC5458AF2E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AFE2648A-C9B4-4428-923A-19C4B8FE1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H23</xm:sqref>
        </x14:conditionalFormatting>
        <x14:conditionalFormatting xmlns:xm="http://schemas.microsoft.com/office/excel/2006/main">
          <x14:cfRule type="dataBar" id="{32501B8A-2AFD-4EAA-A069-F06AF045F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H24</xm:sqref>
        </x14:conditionalFormatting>
        <x14:conditionalFormatting xmlns:xm="http://schemas.microsoft.com/office/excel/2006/main">
          <x14:cfRule type="dataBar" id="{C249DF3F-BE4F-4889-8D97-7D59ECB908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H25</xm:sqref>
        </x14:conditionalFormatting>
        <x14:conditionalFormatting xmlns:xm="http://schemas.microsoft.com/office/excel/2006/main">
          <x14:cfRule type="dataBar" id="{1B3A08C1-067A-4F8A-9089-DBA669C6D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</xm:sqref>
        </x14:conditionalFormatting>
        <x14:conditionalFormatting xmlns:xm="http://schemas.microsoft.com/office/excel/2006/main">
          <x14:cfRule type="dataBar" id="{24B7CB6C-AF30-4093-91C0-67E703E4C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H27</xm:sqref>
        </x14:conditionalFormatting>
        <x14:conditionalFormatting xmlns:xm="http://schemas.microsoft.com/office/excel/2006/main">
          <x14:cfRule type="dataBar" id="{89F0CD18-A4FE-42D9-999D-802BDDB9BE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H28</xm:sqref>
        </x14:conditionalFormatting>
        <x14:conditionalFormatting xmlns:xm="http://schemas.microsoft.com/office/excel/2006/main">
          <x14:cfRule type="dataBar" id="{930A56F8-6F73-4D03-8231-DD7B3AD65E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H29</xm:sqref>
        </x14:conditionalFormatting>
        <x14:conditionalFormatting xmlns:xm="http://schemas.microsoft.com/office/excel/2006/main">
          <x14:cfRule type="dataBar" id="{21261AAB-8381-4D77-951E-1C5B1BD647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H30</xm:sqref>
        </x14:conditionalFormatting>
        <x14:conditionalFormatting xmlns:xm="http://schemas.microsoft.com/office/excel/2006/main">
          <x14:cfRule type="dataBar" id="{EA9399FF-6F1D-481D-8BA5-0399AE271D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H31</xm:sqref>
        </x14:conditionalFormatting>
        <x14:conditionalFormatting xmlns:xm="http://schemas.microsoft.com/office/excel/2006/main">
          <x14:cfRule type="dataBar" id="{C457DB68-7015-40C3-AD8E-8C600A7EC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H32:H33</xm:sqref>
        </x14:conditionalFormatting>
        <x14:conditionalFormatting xmlns:xm="http://schemas.microsoft.com/office/excel/2006/main">
          <x14:cfRule type="dataBar" id="{18444F96-3664-48F1-9103-4B9A40404F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H34</xm:sqref>
        </x14:conditionalFormatting>
        <x14:conditionalFormatting xmlns:xm="http://schemas.microsoft.com/office/excel/2006/main">
          <x14:cfRule type="dataBar" id="{698D0DFB-EF2C-4DE1-9549-C043BD2D43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H35</xm:sqref>
        </x14:conditionalFormatting>
        <x14:conditionalFormatting xmlns:xm="http://schemas.microsoft.com/office/excel/2006/main">
          <x14:cfRule type="dataBar" id="{96674FDE-CAC8-4525-81DF-3F1739860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H36</xm:sqref>
        </x14:conditionalFormatting>
        <x14:conditionalFormatting xmlns:xm="http://schemas.microsoft.com/office/excel/2006/main">
          <x14:cfRule type="dataBar" id="{40979656-50D0-46F8-BC64-9D2C741FFA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</xm:sqref>
        </x14:conditionalFormatting>
        <x14:conditionalFormatting xmlns:xm="http://schemas.microsoft.com/office/excel/2006/main">
          <x14:cfRule type="dataBar" id="{52828F65-B611-42F3-82EA-C0B53CDAD4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X4:X5 X7:X9</xm:sqref>
        </x14:conditionalFormatting>
        <x14:conditionalFormatting xmlns:xm="http://schemas.microsoft.com/office/excel/2006/main">
          <x14:cfRule type="dataBar" id="{68E80AB2-7D9B-455C-AF79-D6A535096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2673D5E1-DCE4-4D4D-B1A5-3C8D0C452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D9EC1A7-1CD7-4BF3-AC67-4D03E4640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K4:L5 K7:L9</xm:sqref>
        </x14:conditionalFormatting>
        <x14:conditionalFormatting xmlns:xm="http://schemas.microsoft.com/office/excel/2006/main">
          <x14:cfRule type="dataBar" id="{41E2EFB9-9BA5-4B4D-967B-2AD0A616C7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K4:K5 K7:K9</xm:sqref>
        </x14:conditionalFormatting>
        <x14:conditionalFormatting xmlns:xm="http://schemas.microsoft.com/office/excel/2006/main">
          <x14:cfRule type="dataBar" id="{E120E185-D6EC-43D6-A959-0559D254A8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L4:L5 L7:L9</xm:sqref>
        </x14:conditionalFormatting>
        <x14:conditionalFormatting xmlns:xm="http://schemas.microsoft.com/office/excel/2006/main">
          <x14:cfRule type="dataBar" id="{4FCAFDC9-A152-4E87-960A-4C3785825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H41</xm:sqref>
        </x14:conditionalFormatting>
        <x14:conditionalFormatting xmlns:xm="http://schemas.microsoft.com/office/excel/2006/main">
          <x14:cfRule type="dataBar" id="{5146A580-C943-43C6-87FF-24C4B9F7C5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H42</xm:sqref>
        </x14:conditionalFormatting>
        <x14:conditionalFormatting xmlns:xm="http://schemas.microsoft.com/office/excel/2006/main">
          <x14:cfRule type="dataBar" id="{E86E201E-CB2A-46B4-BC2B-898C97941E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070330BE-43ED-4388-8F13-A08F82A359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9FC8265-5A23-4775-98DB-499E25AAB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778D4EE7-F1B8-4930-BFE0-86911F5141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0463748-CCEF-4BD7-A650-BAC28CCE2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5A34E3A-2B40-4B0E-AC11-22095832FA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36CE1BB3-088A-4C33-8BCD-EC1C8F0DFE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6BA55359-6DB9-48E5-9DFB-8D0733FE73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A2BB9AD-78C2-4AAE-A613-13D5F7988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5DC23633-884C-4A3C-9B74-D25E46CDA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24BFF57D-0439-457A-8474-D7715A2BC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061AC72-8869-4CA3-9D1F-D0A7993E9E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E9E9B241-05C3-4FC0-ABE8-77DBA100CF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B225B4E-BE10-4CB7-9E6D-1E5C308A07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K6:L6</xm:sqref>
        </x14:conditionalFormatting>
        <x14:conditionalFormatting xmlns:xm="http://schemas.microsoft.com/office/excel/2006/main">
          <x14:cfRule type="dataBar" id="{E1D3716F-0C1C-4E3E-9552-D4F5B54F80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965C2313-0E31-443E-9948-DB53A1581F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17266E8-77DD-4FA1-BF11-5416AE3DE4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6A22B603-8DB1-453C-96E8-ABBCB7F964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01D7574-5B62-434D-9B0D-574CFB63F3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D69C83F3-0469-42B6-A69B-59D7EE39C0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DBE715E-6DB3-4F01-9161-82F183A37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5D5CF4-85A6-4EFD-9B63-9179AA24EC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D4A89EE-C0DE-4578-B5F0-47CB19D58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537C6076-F8D0-444B-8E46-25AE64ED0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9C8E15B-863A-4079-A4F6-BF54787EE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2EF717DF-C521-4534-9487-7E8FB3DFEF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1B9A8109-6E5C-4EB2-A2F6-D00F0FE25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77BD65E-DEEC-4724-AD63-BBB9933745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0F39DD7-1387-4947-9BE4-8E817718B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1896E3AC-024D-4FE6-8B5E-2B4A7E8904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K10:L10</xm:sqref>
        </x14:conditionalFormatting>
        <x14:conditionalFormatting xmlns:xm="http://schemas.microsoft.com/office/excel/2006/main">
          <x14:cfRule type="dataBar" id="{5C425EDC-DD7D-43D6-81B3-40AF63713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61C2E6BC-31AF-4835-8D3C-47262F678F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5D30A00-32F7-4244-A18C-A953E46D5C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H43</xm:sqref>
        </x14:conditionalFormatting>
        <x14:conditionalFormatting xmlns:xm="http://schemas.microsoft.com/office/excel/2006/main">
          <x14:cfRule type="dataBar" id="{683EF78C-C056-4B2A-AA2F-2F2CA08091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H44</xm:sqref>
        </x14:conditionalFormatting>
        <x14:conditionalFormatting xmlns:xm="http://schemas.microsoft.com/office/excel/2006/main">
          <x14:cfRule type="dataBar" id="{781B1A77-5B2C-4C76-9485-54C5981FF3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I4:I10</xm:sqref>
        </x14:conditionalFormatting>
        <x14:conditionalFormatting xmlns:xm="http://schemas.microsoft.com/office/excel/2006/main">
          <x14:cfRule type="dataBar" id="{ED8303D9-C412-47D8-8473-141B32E2B4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4CB520BC-C108-4238-9547-FA7A85AB62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898B0488-7167-4641-9D77-89444F4E2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11475BC1-562F-45BB-AB02-EF9180C925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4CA9B48B-07BE-4B1B-86CE-D20B66F0CA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57ABD321-6DE8-4FE7-8CB9-0B2952CF9D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CA273D0B-F6C6-472B-B94A-8A861FDE39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99740EFE-317B-418D-B9CC-CC90AE8756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U4:V4</xm:sqref>
        </x14:conditionalFormatting>
        <x14:conditionalFormatting xmlns:xm="http://schemas.microsoft.com/office/excel/2006/main">
          <x14:cfRule type="dataBar" id="{E33C1614-866F-4A07-9EED-3C9EA866F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U8:V8</xm:sqref>
        </x14:conditionalFormatting>
        <x14:conditionalFormatting xmlns:xm="http://schemas.microsoft.com/office/excel/2006/main">
          <x14:cfRule type="dataBar" id="{4DE507AD-F5FA-46BA-8E07-4BD2DFADF7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U7:V7</xm:sqref>
        </x14:conditionalFormatting>
        <x14:conditionalFormatting xmlns:xm="http://schemas.microsoft.com/office/excel/2006/main">
          <x14:cfRule type="dataBar" id="{D7F40F2E-0FA6-40EA-B283-DF5ACA2642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U5:V5</xm:sqref>
        </x14:conditionalFormatting>
        <x14:conditionalFormatting xmlns:xm="http://schemas.microsoft.com/office/excel/2006/main">
          <x14:cfRule type="dataBar" id="{085B5A99-4E61-4F1B-8717-085582CCC1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U9:V9</xm:sqref>
        </x14:conditionalFormatting>
        <x14:conditionalFormatting xmlns:xm="http://schemas.microsoft.com/office/excel/2006/main">
          <x14:cfRule type="dataBar" id="{295227EB-2A8E-4200-B425-3054E9E613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U4:V5 U7:V9</xm:sqref>
        </x14:conditionalFormatting>
        <x14:conditionalFormatting xmlns:xm="http://schemas.microsoft.com/office/excel/2006/main">
          <x14:cfRule type="dataBar" id="{07D8429F-D78F-4B49-A167-1F674336C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U6:V6</xm:sqref>
        </x14:conditionalFormatting>
        <x14:conditionalFormatting xmlns:xm="http://schemas.microsoft.com/office/excel/2006/main">
          <x14:cfRule type="dataBar" id="{19EC5C0C-BCF1-469C-A131-27C8D2ED28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U10:V10</xm:sqref>
        </x14:conditionalFormatting>
        <x14:conditionalFormatting xmlns:xm="http://schemas.microsoft.com/office/excel/2006/main">
          <x14:cfRule type="dataBar" id="{1C917CEA-7341-472F-AA6C-5C3E53F7A5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DFB93B2F-98D0-4F81-A3E2-B74C7173C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S4:S12</xm:sqref>
        </x14:conditionalFormatting>
        <x14:conditionalFormatting xmlns:xm="http://schemas.microsoft.com/office/excel/2006/main">
          <x14:cfRule type="dataBar" id="{A5CAC24D-0A3F-4C53-A7EC-A7E41085F0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Q13:R13</xm:sqref>
        </x14:conditionalFormatting>
        <x14:conditionalFormatting xmlns:xm="http://schemas.microsoft.com/office/excel/2006/main">
          <x14:cfRule type="dataBar" id="{41AC9882-7EEA-400F-8C42-C209F5EE97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K4:L10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00B050"/>
    <pageSetUpPr fitToPage="1"/>
  </sheetPr>
  <dimension ref="A1:AA63"/>
  <sheetViews>
    <sheetView showGridLines="0" zoomScale="90" zoomScaleNormal="90" workbookViewId="0">
      <pane ySplit="3" topLeftCell="A4" activePane="bottomLeft" state="frozen"/>
      <selection activeCell="R12" sqref="R12"/>
      <selection pane="bottomLeft" activeCell="B3" sqref="B3:R11"/>
    </sheetView>
  </sheetViews>
  <sheetFormatPr defaultRowHeight="12.75" x14ac:dyDescent="0.2"/>
  <cols>
    <col min="1" max="1" width="3.5703125" style="9" customWidth="1"/>
    <col min="2" max="2" width="22.7109375" style="9" customWidth="1"/>
    <col min="3" max="3" width="14.85546875" style="9" customWidth="1"/>
    <col min="4" max="4" width="18.28515625" style="9" customWidth="1"/>
    <col min="5" max="5" width="14.85546875" style="9" customWidth="1"/>
    <col min="6" max="6" width="15.85546875" style="9" customWidth="1"/>
    <col min="7" max="7" width="12.42578125" style="9" customWidth="1"/>
    <col min="8" max="8" width="8.5703125" style="9" customWidth="1"/>
    <col min="9" max="9" width="14.42578125" style="9" customWidth="1"/>
    <col min="10" max="10" width="14.5703125" style="9" bestFit="1" customWidth="1"/>
    <col min="11" max="11" width="16.42578125" style="9" customWidth="1"/>
    <col min="12" max="12" width="12.5703125" style="9" customWidth="1"/>
    <col min="13" max="13" width="14.5703125" style="9" customWidth="1"/>
    <col min="14" max="14" width="12.5703125" style="9" customWidth="1"/>
    <col min="15" max="15" width="14.42578125" style="9" customWidth="1"/>
    <col min="16" max="16" width="11.28515625" style="9" customWidth="1"/>
    <col min="17" max="17" width="12.5703125" style="9" customWidth="1"/>
    <col min="18" max="18" width="13" style="9" customWidth="1"/>
    <col min="19" max="19" width="11.28515625" style="9" customWidth="1"/>
    <col min="20" max="20" width="14.85546875" style="9" customWidth="1"/>
    <col min="21" max="21" width="11.42578125" style="9" customWidth="1"/>
    <col min="22" max="22" width="16.42578125" style="9" customWidth="1"/>
    <col min="23" max="23" width="11.28515625" style="9" customWidth="1"/>
    <col min="24" max="24" width="18.5703125" style="9" customWidth="1"/>
    <col min="25" max="25" width="11.140625" style="9" customWidth="1"/>
    <col min="26" max="26" width="20.85546875" style="9" customWidth="1"/>
    <col min="27" max="27" width="17.85546875" style="9" customWidth="1"/>
    <col min="28" max="16384" width="9.140625" style="9"/>
  </cols>
  <sheetData>
    <row r="1" spans="1:27" x14ac:dyDescent="0.2">
      <c r="F1" s="9" t="s">
        <v>203</v>
      </c>
      <c r="G1" s="9" t="e">
        <f ca="1">_xll.BDP($F$1,"PX last")</f>
        <v>#NAME?</v>
      </c>
      <c r="H1" s="9" t="s">
        <v>122</v>
      </c>
      <c r="I1" s="9" t="e">
        <f ca="1">_xll.BDP($H$1,"PX last")</f>
        <v>#NAME?</v>
      </c>
      <c r="J1" s="9" t="s">
        <v>195</v>
      </c>
      <c r="K1" s="9" t="e">
        <f ca="1">_xll.BDP($J$1,"PX last")</f>
        <v>#NAME?</v>
      </c>
      <c r="M1" s="9" t="s">
        <v>121</v>
      </c>
      <c r="O1" s="9" t="s">
        <v>178</v>
      </c>
      <c r="P1" s="9" t="e">
        <f ca="1">_xll.BDP($O$1,"PX last")</f>
        <v>#NAME?</v>
      </c>
    </row>
    <row r="3" spans="1:27" ht="89.25" x14ac:dyDescent="0.2">
      <c r="B3" s="51" t="s">
        <v>105</v>
      </c>
      <c r="C3" s="50" t="s">
        <v>104</v>
      </c>
      <c r="D3" s="50" t="s">
        <v>120</v>
      </c>
      <c r="E3" s="50" t="s">
        <v>119</v>
      </c>
      <c r="F3" s="50" t="s">
        <v>100</v>
      </c>
      <c r="G3" s="50" t="s">
        <v>118</v>
      </c>
      <c r="H3" s="50" t="s">
        <v>97</v>
      </c>
      <c r="I3" s="50" t="s">
        <v>401</v>
      </c>
      <c r="J3" s="50" t="s">
        <v>138</v>
      </c>
      <c r="K3" s="50" t="s">
        <v>407</v>
      </c>
      <c r="L3" s="50" t="s">
        <v>127</v>
      </c>
      <c r="M3" s="50" t="s">
        <v>115</v>
      </c>
      <c r="N3" s="50" t="s">
        <v>114</v>
      </c>
      <c r="O3" s="50" t="s">
        <v>111</v>
      </c>
      <c r="P3" s="50" t="s">
        <v>112</v>
      </c>
      <c r="Q3" s="50" t="s">
        <v>746</v>
      </c>
      <c r="R3" s="50" t="s">
        <v>747</v>
      </c>
      <c r="S3" s="83" t="s">
        <v>129</v>
      </c>
      <c r="T3" s="83" t="s">
        <v>130</v>
      </c>
      <c r="U3" s="83" t="s">
        <v>131</v>
      </c>
      <c r="V3" s="83" t="s">
        <v>132</v>
      </c>
      <c r="W3" s="83" t="s">
        <v>233</v>
      </c>
      <c r="X3" s="83" t="s">
        <v>283</v>
      </c>
      <c r="Y3" s="83" t="s">
        <v>434</v>
      </c>
      <c r="AA3" s="9" t="s">
        <v>430</v>
      </c>
    </row>
    <row r="4" spans="1:27" s="41" customFormat="1" x14ac:dyDescent="0.2">
      <c r="A4" s="9" t="s">
        <v>431</v>
      </c>
      <c r="B4" s="466" t="e">
        <f ca="1">_xll.BDP(C4,"SECURITY_NAME")</f>
        <v>#NAME?</v>
      </c>
      <c r="C4" s="451" t="s">
        <v>217</v>
      </c>
      <c r="D4" s="464" t="e">
        <f t="shared" ref="D4:D9" ca="1" si="0">N4/$N$10</f>
        <v>#NAME?</v>
      </c>
      <c r="E4" s="451">
        <f>$F$38</f>
        <v>410000</v>
      </c>
      <c r="F4" s="451">
        <f>$H$38</f>
        <v>85</v>
      </c>
      <c r="G4" s="571" t="e">
        <f ca="1">_xll.BDP(C4,"PX_BID")</f>
        <v>#NAME?</v>
      </c>
      <c r="H4" s="451" t="e">
        <f ca="1">_xll.BDP($C4,"CRNCY")</f>
        <v>#NAME?</v>
      </c>
      <c r="I4" s="442" t="e">
        <f t="shared" ref="I4:J8" ca="1" si="1">M4/K4-1</f>
        <v>#NAME?</v>
      </c>
      <c r="J4" s="442" t="e">
        <f t="shared" ca="1" si="1"/>
        <v>#NAME?</v>
      </c>
      <c r="K4" s="451" t="e">
        <f ca="1">$K$38</f>
        <v>#NAME?</v>
      </c>
      <c r="L4" s="451">
        <f>$J$38</f>
        <v>348500</v>
      </c>
      <c r="M4" s="451" t="e">
        <f ca="1">E4*G4/100*$I$1</f>
        <v>#NAME?</v>
      </c>
      <c r="N4" s="451" t="e">
        <f ca="1">E4*G4/100</f>
        <v>#NAME?</v>
      </c>
      <c r="O4" s="451" t="e">
        <f t="shared" ref="O4:P8" ca="1" si="2">M4-K4</f>
        <v>#NAME?</v>
      </c>
      <c r="P4" s="451" t="e">
        <f t="shared" ca="1" si="2"/>
        <v>#NAME?</v>
      </c>
      <c r="Q4" s="442" t="e">
        <f ca="1">_xll.BDP(C4,"YLD_YTM_BID")/100</f>
        <v>#NAME?</v>
      </c>
      <c r="R4" s="451" t="e">
        <f ca="1">E4*_xll.BDP(C4,"PX_GROSS_BID")/100</f>
        <v>#NAME?</v>
      </c>
      <c r="S4" s="125" t="e">
        <f ca="1">_xll.BDP($C4,"CHG_PCT_YTD")</f>
        <v>#NAME?</v>
      </c>
      <c r="T4" s="125" t="e">
        <f ca="1">_xll.BDP($C4,"CHG_PCT_1YR")</f>
        <v>#NAME?</v>
      </c>
      <c r="U4" s="125" t="e">
        <f ca="1">_xll.BDP($C4,"CHG_PCT_6M")</f>
        <v>#NAME?</v>
      </c>
      <c r="V4" s="125" t="e">
        <f ca="1">_xll.BDP($C4,"CHG_PCT_3M")</f>
        <v>#NAME?</v>
      </c>
      <c r="W4" s="125" t="e">
        <f ca="1">_xll.BDP($C4,"CHG_PCT_1M")</f>
        <v>#NAME?</v>
      </c>
      <c r="X4" s="125" t="e">
        <f ca="1">_xll.BDP($C4,"CHG_PCT_5D")</f>
        <v>#NAME?</v>
      </c>
      <c r="Y4" s="125"/>
      <c r="Z4" s="118"/>
      <c r="AA4" s="118"/>
    </row>
    <row r="5" spans="1:27" s="41" customFormat="1" x14ac:dyDescent="0.2">
      <c r="A5" s="9" t="s">
        <v>431</v>
      </c>
      <c r="B5" s="466" t="e">
        <f ca="1">_xll.BDP(C5,"SECURITY_NAME")</f>
        <v>#NAME?</v>
      </c>
      <c r="C5" s="451" t="s">
        <v>373</v>
      </c>
      <c r="D5" s="464" t="e">
        <f t="shared" ca="1" si="0"/>
        <v>#NAME?</v>
      </c>
      <c r="E5" s="451">
        <f>$F$43</f>
        <v>2500000</v>
      </c>
      <c r="F5" s="451">
        <f>$H$43</f>
        <v>88.063999999999993</v>
      </c>
      <c r="G5" s="571" t="e">
        <f ca="1">_xll.BDP(C5,"PX_BID")</f>
        <v>#NAME?</v>
      </c>
      <c r="H5" s="451" t="e">
        <f ca="1">_xll.BDP($C5,"CRNCY")</f>
        <v>#NAME?</v>
      </c>
      <c r="I5" s="442" t="e">
        <f t="shared" ca="1" si="1"/>
        <v>#NAME?</v>
      </c>
      <c r="J5" s="442" t="e">
        <f t="shared" ca="1" si="1"/>
        <v>#NAME?</v>
      </c>
      <c r="K5" s="451" t="e">
        <f ca="1">$K$43</f>
        <v>#NAME?</v>
      </c>
      <c r="L5" s="451">
        <f>$J$43</f>
        <v>2201600</v>
      </c>
      <c r="M5" s="451" t="e">
        <f ca="1">E5*G5/100*$I$1</f>
        <v>#NAME?</v>
      </c>
      <c r="N5" s="451" t="e">
        <f ca="1">E5*G5/100</f>
        <v>#NAME?</v>
      </c>
      <c r="O5" s="451" t="e">
        <f t="shared" ca="1" si="2"/>
        <v>#NAME?</v>
      </c>
      <c r="P5" s="451" t="e">
        <f t="shared" ca="1" si="2"/>
        <v>#NAME?</v>
      </c>
      <c r="Q5" s="442" t="e">
        <f ca="1">_xll.BDP(C5,"YLD_YTM_BID")/100</f>
        <v>#NAME?</v>
      </c>
      <c r="R5" s="451" t="e">
        <f ca="1">E5*_xll.BDP(C5,"PX_GROSS_BID")/100</f>
        <v>#NAME?</v>
      </c>
      <c r="S5" s="125" t="e">
        <f ca="1">_xll.BDP($C5,"CHG_PCT_YTD")</f>
        <v>#NAME?</v>
      </c>
      <c r="T5" s="125" t="e">
        <f ca="1">_xll.BDP($C5,"CHG_PCT_1YR")</f>
        <v>#NAME?</v>
      </c>
      <c r="U5" s="125" t="e">
        <f ca="1">_xll.BDP($C5,"CHG_PCT_6M")</f>
        <v>#NAME?</v>
      </c>
      <c r="V5" s="125" t="e">
        <f ca="1">_xll.BDP($C5,"CHG_PCT_3M")</f>
        <v>#NAME?</v>
      </c>
      <c r="W5" s="125" t="e">
        <f ca="1">_xll.BDP($C5,"CHG_PCT_1M")</f>
        <v>#NAME?</v>
      </c>
      <c r="X5" s="125" t="e">
        <f ca="1">_xll.BDP($C5,"CHG_PCT_5D")</f>
        <v>#NAME?</v>
      </c>
      <c r="Y5" s="125"/>
      <c r="Z5" s="118"/>
      <c r="AA5" s="118"/>
    </row>
    <row r="6" spans="1:27" s="41" customFormat="1" x14ac:dyDescent="0.2">
      <c r="A6" s="9" t="s">
        <v>431</v>
      </c>
      <c r="B6" s="466" t="e">
        <f ca="1">_xll.BDP(C6,"SECURITY_NAME")</f>
        <v>#NAME?</v>
      </c>
      <c r="C6" s="451" t="s">
        <v>180</v>
      </c>
      <c r="D6" s="464" t="e">
        <f t="shared" ca="1" si="0"/>
        <v>#NAME?</v>
      </c>
      <c r="E6" s="451">
        <f>$F$46</f>
        <v>1500000</v>
      </c>
      <c r="F6" s="451">
        <f>$H$46</f>
        <v>90</v>
      </c>
      <c r="G6" s="571" t="e">
        <f ca="1">_xll.BDP(C6,"PX_BID")</f>
        <v>#NAME?</v>
      </c>
      <c r="H6" s="451" t="e">
        <f ca="1">_xll.BDP($C6,"CRNCY")</f>
        <v>#NAME?</v>
      </c>
      <c r="I6" s="442" t="e">
        <f t="shared" ca="1" si="1"/>
        <v>#NAME?</v>
      </c>
      <c r="J6" s="442" t="e">
        <f t="shared" ca="1" si="1"/>
        <v>#NAME?</v>
      </c>
      <c r="K6" s="451" t="e">
        <f ca="1">$K$46</f>
        <v>#NAME?</v>
      </c>
      <c r="L6" s="451">
        <f>$J$46</f>
        <v>1350000</v>
      </c>
      <c r="M6" s="451" t="e">
        <f ca="1">E6*G6/100*$I$1</f>
        <v>#NAME?</v>
      </c>
      <c r="N6" s="451" t="e">
        <f ca="1">E6*G6/100</f>
        <v>#NAME?</v>
      </c>
      <c r="O6" s="451" t="e">
        <f t="shared" ca="1" si="2"/>
        <v>#NAME?</v>
      </c>
      <c r="P6" s="451" t="e">
        <f t="shared" ca="1" si="2"/>
        <v>#NAME?</v>
      </c>
      <c r="Q6" s="442" t="e">
        <f ca="1">_xll.BDP(C6,"YLD_YTM_BID")/100</f>
        <v>#NAME?</v>
      </c>
      <c r="R6" s="451" t="e">
        <f ca="1">E6*_xll.BDP(C6,"PX_GROSS_BID")/100</f>
        <v>#NAME?</v>
      </c>
      <c r="S6" s="125" t="e">
        <f ca="1">_xll.BDP($C6,"CHG_PCT_YTD")</f>
        <v>#NAME?</v>
      </c>
      <c r="T6" s="125" t="e">
        <f ca="1">_xll.BDP($C6,"CHG_PCT_1YR")</f>
        <v>#NAME?</v>
      </c>
      <c r="U6" s="125" t="e">
        <f ca="1">_xll.BDP($C6,"CHG_PCT_6M")</f>
        <v>#NAME?</v>
      </c>
      <c r="V6" s="125" t="e">
        <f ca="1">_xll.BDP($C6,"CHG_PCT_3M")</f>
        <v>#NAME?</v>
      </c>
      <c r="W6" s="125" t="e">
        <f ca="1">_xll.BDP($C6,"CHG_PCT_1M")</f>
        <v>#NAME?</v>
      </c>
      <c r="X6" s="125" t="e">
        <f ca="1">_xll.BDP($C6,"CHG_PCT_5D")</f>
        <v>#NAME?</v>
      </c>
      <c r="Y6" s="125"/>
      <c r="Z6" s="118"/>
      <c r="AA6" s="118"/>
    </row>
    <row r="7" spans="1:27" s="41" customFormat="1" x14ac:dyDescent="0.2">
      <c r="A7" s="9" t="s">
        <v>431</v>
      </c>
      <c r="B7" s="466" t="e">
        <f ca="1">_xll.BDP(C7,"SECURITY_NAME")</f>
        <v>#NAME?</v>
      </c>
      <c r="C7" s="451" t="s">
        <v>167</v>
      </c>
      <c r="D7" s="464" t="e">
        <f t="shared" ca="1" si="0"/>
        <v>#NAME?</v>
      </c>
      <c r="E7" s="451">
        <f>$F$49</f>
        <v>1500000</v>
      </c>
      <c r="F7" s="451">
        <f>$H$49</f>
        <v>83.5</v>
      </c>
      <c r="G7" s="571" t="e">
        <f ca="1">_xll.BDP(C7,"PX_BID")</f>
        <v>#NAME?</v>
      </c>
      <c r="H7" s="451" t="e">
        <f ca="1">_xll.BDP($C7,"CRNCY")</f>
        <v>#NAME?</v>
      </c>
      <c r="I7" s="442" t="e">
        <f t="shared" ca="1" si="1"/>
        <v>#NAME?</v>
      </c>
      <c r="J7" s="442" t="e">
        <f t="shared" ca="1" si="1"/>
        <v>#NAME?</v>
      </c>
      <c r="K7" s="451" t="e">
        <f ca="1">$K$49</f>
        <v>#NAME?</v>
      </c>
      <c r="L7" s="451">
        <f>$J$49</f>
        <v>1252500</v>
      </c>
      <c r="M7" s="451" t="e">
        <f ca="1">E7*G7/100*$I$1</f>
        <v>#NAME?</v>
      </c>
      <c r="N7" s="451" t="e">
        <f ca="1">E7*G7/100</f>
        <v>#NAME?</v>
      </c>
      <c r="O7" s="451" t="e">
        <f t="shared" ca="1" si="2"/>
        <v>#NAME?</v>
      </c>
      <c r="P7" s="451" t="e">
        <f t="shared" ca="1" si="2"/>
        <v>#NAME?</v>
      </c>
      <c r="Q7" s="442" t="e">
        <f ca="1">_xll.BDP(C7,"YLD_YTM_BID")/100</f>
        <v>#NAME?</v>
      </c>
      <c r="R7" s="451" t="e">
        <f ca="1">E7*_xll.BDP(C7,"PX_GROSS_BID")/100</f>
        <v>#NAME?</v>
      </c>
      <c r="S7" s="125" t="e">
        <f ca="1">_xll.BDP($C7,"CHG_PCT_YTD")</f>
        <v>#NAME?</v>
      </c>
      <c r="T7" s="125" t="e">
        <f ca="1">_xll.BDP($C7,"CHG_PCT_1YR")</f>
        <v>#NAME?</v>
      </c>
      <c r="U7" s="125" t="e">
        <f ca="1">_xll.BDP($C7,"CHG_PCT_6M")</f>
        <v>#NAME?</v>
      </c>
      <c r="V7" s="125" t="e">
        <f ca="1">_xll.BDP($C7,"CHG_PCT_3M")</f>
        <v>#NAME?</v>
      </c>
      <c r="W7" s="125" t="e">
        <f ca="1">_xll.BDP($C7,"CHG_PCT_1M")</f>
        <v>#NAME?</v>
      </c>
      <c r="X7" s="125" t="e">
        <f ca="1">_xll.BDP($C7,"CHG_PCT_5D")</f>
        <v>#NAME?</v>
      </c>
      <c r="Y7" s="125"/>
      <c r="Z7" s="118"/>
      <c r="AA7" s="118"/>
    </row>
    <row r="8" spans="1:27" s="41" customFormat="1" x14ac:dyDescent="0.2">
      <c r="A8" s="9" t="s">
        <v>431</v>
      </c>
      <c r="B8" s="466" t="e">
        <f ca="1">_xll.BDP(C8,"SECURITY_NAME")</f>
        <v>#NAME?</v>
      </c>
      <c r="C8" s="451" t="s">
        <v>378</v>
      </c>
      <c r="D8" s="464" t="e">
        <f t="shared" ca="1" si="0"/>
        <v>#NAME?</v>
      </c>
      <c r="E8" s="451">
        <f>$F$63</f>
        <v>500000</v>
      </c>
      <c r="F8" s="451">
        <f>$H$63</f>
        <v>71.53</v>
      </c>
      <c r="G8" s="571" t="e">
        <f ca="1">_xll.BDP(C8,"PX_BID")</f>
        <v>#NAME?</v>
      </c>
      <c r="H8" s="451" t="e">
        <f ca="1">_xll.BDP($C8,"CRNCY")</f>
        <v>#NAME?</v>
      </c>
      <c r="I8" s="442" t="e">
        <f t="shared" ca="1" si="1"/>
        <v>#NAME?</v>
      </c>
      <c r="J8" s="442" t="e">
        <f t="shared" ca="1" si="1"/>
        <v>#NAME?</v>
      </c>
      <c r="K8" s="451" t="e">
        <f ca="1">$K$63</f>
        <v>#NAME?</v>
      </c>
      <c r="L8" s="451">
        <f>$J$63</f>
        <v>357650</v>
      </c>
      <c r="M8" s="451" t="e">
        <f ca="1">E8*G8/100*$I$1</f>
        <v>#NAME?</v>
      </c>
      <c r="N8" s="451" t="e">
        <f ca="1">E8*G8/100</f>
        <v>#NAME?</v>
      </c>
      <c r="O8" s="451" t="e">
        <f t="shared" ca="1" si="2"/>
        <v>#NAME?</v>
      </c>
      <c r="P8" s="451" t="e">
        <f t="shared" ca="1" si="2"/>
        <v>#NAME?</v>
      </c>
      <c r="Q8" s="442" t="e">
        <f ca="1">_xll.BDP(C8,"YLD_YTM_BID")/100</f>
        <v>#NAME?</v>
      </c>
      <c r="R8" s="451" t="e">
        <f ca="1">E8*_xll.BDP(C8,"PX_GROSS_BID")/100</f>
        <v>#NAME?</v>
      </c>
      <c r="S8" s="125" t="e">
        <f ca="1">_xll.BDP($C8,"CHG_PCT_YTD")</f>
        <v>#NAME?</v>
      </c>
      <c r="T8" s="125" t="e">
        <f ca="1">_xll.BDP($C8,"CHG_PCT_1YR")</f>
        <v>#NAME?</v>
      </c>
      <c r="U8" s="125" t="e">
        <f ca="1">_xll.BDP($C8,"CHG_PCT_6M")</f>
        <v>#NAME?</v>
      </c>
      <c r="V8" s="125" t="e">
        <f ca="1">_xll.BDP($C8,"CHG_PCT_3M")</f>
        <v>#NAME?</v>
      </c>
      <c r="W8" s="125" t="e">
        <f ca="1">_xll.BDP($C8,"CHG_PCT_1M")</f>
        <v>#NAME?</v>
      </c>
      <c r="X8" s="125" t="e">
        <f ca="1">_xll.BDP($C8,"CHG_PCT_5D")</f>
        <v>#NAME?</v>
      </c>
      <c r="Y8" s="125"/>
      <c r="Z8" s="118"/>
      <c r="AA8" s="118"/>
    </row>
    <row r="9" spans="1:27" x14ac:dyDescent="0.2">
      <c r="B9" s="68" t="s">
        <v>106</v>
      </c>
      <c r="C9" s="68" t="s">
        <v>106</v>
      </c>
      <c r="D9" s="101" t="e">
        <f t="shared" ca="1" si="0"/>
        <v>#NAME?</v>
      </c>
      <c r="E9" s="64"/>
      <c r="F9" s="67"/>
      <c r="G9" s="66"/>
      <c r="H9" s="60"/>
      <c r="I9" s="65"/>
      <c r="J9" s="65"/>
      <c r="K9" s="64"/>
      <c r="L9" s="64"/>
      <c r="M9" s="271"/>
      <c r="N9" s="272"/>
      <c r="O9" s="62"/>
      <c r="P9" s="61"/>
      <c r="Q9" s="60"/>
      <c r="R9" s="465"/>
      <c r="S9" s="60"/>
      <c r="T9" s="60"/>
      <c r="U9" s="60"/>
      <c r="V9" s="60"/>
      <c r="W9" s="60"/>
      <c r="X9" s="60"/>
      <c r="Y9" s="60"/>
    </row>
    <row r="10" spans="1:27" ht="13.5" customHeight="1" thickBot="1" x14ac:dyDescent="0.25">
      <c r="B10" s="58"/>
      <c r="C10" s="58"/>
      <c r="D10" s="59" t="e">
        <f ca="1">SUM(D4:D9)</f>
        <v>#NAME?</v>
      </c>
      <c r="E10" s="58"/>
      <c r="F10" s="58"/>
      <c r="G10" s="58"/>
      <c r="H10" s="55"/>
      <c r="I10" s="58"/>
      <c r="J10" s="58"/>
      <c r="K10" s="270" t="e">
        <f t="shared" ref="K10:P10" ca="1" si="3">SUM(K4:K9)</f>
        <v>#NAME?</v>
      </c>
      <c r="L10" s="117">
        <f t="shared" si="3"/>
        <v>5510250</v>
      </c>
      <c r="M10" s="136" t="e">
        <f t="shared" ca="1" si="3"/>
        <v>#NAME?</v>
      </c>
      <c r="N10" s="117" t="e">
        <f t="shared" ca="1" si="3"/>
        <v>#NAME?</v>
      </c>
      <c r="O10" s="270" t="e">
        <f t="shared" ca="1" si="3"/>
        <v>#NAME?</v>
      </c>
      <c r="P10" s="270" t="e">
        <f t="shared" ca="1" si="3"/>
        <v>#NAME?</v>
      </c>
      <c r="Q10" s="55"/>
      <c r="R10" s="117" t="e">
        <f ca="1">SUM(R4:R9)</f>
        <v>#NAME?</v>
      </c>
      <c r="S10" s="55"/>
      <c r="T10" s="55"/>
      <c r="U10" s="55"/>
      <c r="V10" s="55"/>
      <c r="W10" s="55"/>
      <c r="X10" s="55"/>
      <c r="Y10" s="55"/>
    </row>
    <row r="11" spans="1:27" ht="13.5" customHeight="1" x14ac:dyDescent="0.2">
      <c r="B11" s="41"/>
      <c r="C11" s="41"/>
      <c r="D11" s="54"/>
      <c r="E11" s="41"/>
      <c r="F11" s="41"/>
      <c r="G11" s="41"/>
      <c r="H11" s="41"/>
      <c r="I11" s="40"/>
      <c r="K11" s="42"/>
      <c r="L11" s="208"/>
      <c r="M11" s="33"/>
      <c r="N11" s="33"/>
      <c r="O11" s="12" t="e">
        <f ca="1">M10/K10-1</f>
        <v>#NAME?</v>
      </c>
      <c r="P11" s="12" t="e">
        <f ca="1">N10/L10-1</f>
        <v>#NAME?</v>
      </c>
      <c r="Q11" s="12" t="e">
        <f ca="1">SUMPRODUCT(D4:D8,Q4:Q8)</f>
        <v>#NAME?</v>
      </c>
    </row>
    <row r="12" spans="1:27" x14ac:dyDescent="0.2">
      <c r="E12" s="10"/>
      <c r="K12" s="29"/>
      <c r="L12" s="29"/>
      <c r="M12" s="39"/>
      <c r="N12" s="34"/>
      <c r="O12" s="34"/>
      <c r="P12" s="30"/>
    </row>
    <row r="13" spans="1:27" x14ac:dyDescent="0.2">
      <c r="B13" s="32" t="s">
        <v>276</v>
      </c>
      <c r="E13" s="10"/>
      <c r="M13" s="39"/>
      <c r="N13" s="34"/>
      <c r="O13" s="34"/>
      <c r="P13" s="30"/>
    </row>
    <row r="14" spans="1:27" x14ac:dyDescent="0.2">
      <c r="B14" s="379">
        <v>2016</v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41"/>
      <c r="N14" s="34"/>
      <c r="O14" s="34"/>
      <c r="P14" s="30"/>
      <c r="T14" s="269"/>
      <c r="V14" s="269"/>
    </row>
    <row r="15" spans="1:27" ht="40.5" customHeight="1" x14ac:dyDescent="0.2">
      <c r="B15" s="51" t="s">
        <v>105</v>
      </c>
      <c r="C15" s="50" t="s">
        <v>104</v>
      </c>
      <c r="D15" s="50" t="s">
        <v>174</v>
      </c>
      <c r="E15" s="50" t="s">
        <v>173</v>
      </c>
      <c r="F15" s="50" t="s">
        <v>175</v>
      </c>
      <c r="G15" s="50" t="s">
        <v>172</v>
      </c>
      <c r="H15" s="50" t="s">
        <v>103</v>
      </c>
      <c r="I15" s="50" t="s">
        <v>102</v>
      </c>
      <c r="J15" s="50" t="s">
        <v>101</v>
      </c>
      <c r="K15" s="50" t="s">
        <v>100</v>
      </c>
      <c r="L15" s="50" t="s">
        <v>99</v>
      </c>
      <c r="M15" s="50" t="s">
        <v>98</v>
      </c>
      <c r="N15" s="50" t="s">
        <v>451</v>
      </c>
      <c r="O15" s="50" t="s">
        <v>97</v>
      </c>
      <c r="P15" s="50" t="s">
        <v>279</v>
      </c>
      <c r="Q15" s="50" t="s">
        <v>277</v>
      </c>
      <c r="R15" s="50" t="s">
        <v>278</v>
      </c>
      <c r="T15" s="269"/>
      <c r="V15" s="269"/>
    </row>
    <row r="16" spans="1:27" x14ac:dyDescent="0.2">
      <c r="B16" s="103" t="e">
        <f ca="1">_xll.BDP(C16,"SECURITY_NAME")</f>
        <v>#NAME?</v>
      </c>
      <c r="C16" s="103" t="s">
        <v>719</v>
      </c>
      <c r="D16" s="73" t="s">
        <v>51</v>
      </c>
      <c r="E16" s="43" t="e">
        <f ca="1">F16*_xll.BDP(C16,"PX_LAST")/100</f>
        <v>#NAME?</v>
      </c>
      <c r="F16" s="43">
        <v>500000</v>
      </c>
      <c r="G16" s="43">
        <v>500000</v>
      </c>
      <c r="H16" s="47">
        <f t="shared" ref="H16:H21" si="4">G16/F16</f>
        <v>1</v>
      </c>
      <c r="I16" s="43">
        <f t="shared" ref="I16:I21" si="5">G16*K16/100</f>
        <v>459400</v>
      </c>
      <c r="J16" s="45">
        <f t="shared" ref="J16:J21" si="6">G16*L16/100</f>
        <v>522500</v>
      </c>
      <c r="K16" s="38">
        <v>91.88</v>
      </c>
      <c r="L16" s="38">
        <v>104.5</v>
      </c>
      <c r="M16" s="44">
        <f t="shared" ref="M16:M21" si="7">L16/K16-1</f>
        <v>0.13735306922072277</v>
      </c>
      <c r="N16" s="43" t="e">
        <f t="shared" ref="N16:N21" ca="1" si="8">(J16-I16)*R16</f>
        <v>#NAME?</v>
      </c>
      <c r="O16" s="106" t="e">
        <f ca="1">_xll.BDP($C16,"CRNCY")</f>
        <v>#NAME?</v>
      </c>
      <c r="P16" s="43" t="e">
        <f t="shared" ref="P16:P21" ca="1" si="9">N16/R16</f>
        <v>#NAME?</v>
      </c>
      <c r="Q16" s="14">
        <v>42510</v>
      </c>
      <c r="R16" s="22" t="e">
        <f ca="1">_xll.BDH("RUB curncy","PX_LAST",$Q16)</f>
        <v>#NAME?</v>
      </c>
      <c r="T16" s="114"/>
      <c r="U16" s="333"/>
    </row>
    <row r="17" spans="2:21" x14ac:dyDescent="0.2">
      <c r="B17" s="103" t="e">
        <f ca="1">_xll.BDP(C17,"SECURITY_NAME")</f>
        <v>#NAME?</v>
      </c>
      <c r="C17" s="118" t="s">
        <v>413</v>
      </c>
      <c r="D17" s="73" t="s">
        <v>51</v>
      </c>
      <c r="E17" s="43" t="e">
        <f ca="1">F17*_xll.BDP(C17,"PX_LAST")/100</f>
        <v>#NAME?</v>
      </c>
      <c r="F17" s="43">
        <v>1176000</v>
      </c>
      <c r="G17" s="43">
        <v>1176000</v>
      </c>
      <c r="H17" s="47">
        <f t="shared" si="4"/>
        <v>1</v>
      </c>
      <c r="I17" s="43">
        <f t="shared" si="5"/>
        <v>1020650.4</v>
      </c>
      <c r="J17" s="45">
        <f t="shared" si="6"/>
        <v>1246560</v>
      </c>
      <c r="K17" s="38">
        <v>86.79</v>
      </c>
      <c r="L17" s="38">
        <v>106</v>
      </c>
      <c r="M17" s="44">
        <f t="shared" si="7"/>
        <v>0.22133886392441515</v>
      </c>
      <c r="N17" s="43" t="e">
        <f t="shared" ca="1" si="8"/>
        <v>#NAME?</v>
      </c>
      <c r="O17" s="106" t="e">
        <f ca="1">_xll.BDP($C17,"CRNCY")</f>
        <v>#NAME?</v>
      </c>
      <c r="P17" s="43" t="e">
        <f t="shared" ca="1" si="9"/>
        <v>#NAME?</v>
      </c>
      <c r="Q17" s="14">
        <v>42510</v>
      </c>
      <c r="R17" s="22" t="e">
        <f ca="1">_xll.BDH("RUB curncy","PX_LAST",$Q17)</f>
        <v>#NAME?</v>
      </c>
      <c r="T17" s="114"/>
      <c r="U17" s="333"/>
    </row>
    <row r="18" spans="2:21" x14ac:dyDescent="0.2">
      <c r="B18" s="103" t="e">
        <f ca="1">_xll.BDP(C18,"SECURITY_NAME")</f>
        <v>#NAME?</v>
      </c>
      <c r="C18" s="118" t="s">
        <v>449</v>
      </c>
      <c r="D18" s="73" t="s">
        <v>51</v>
      </c>
      <c r="E18" s="43" t="e">
        <f ca="1">F18*_xll.BDP(C18,"PX_LAST")/100</f>
        <v>#NAME?</v>
      </c>
      <c r="F18" s="43">
        <v>500000</v>
      </c>
      <c r="G18" s="43">
        <v>500000</v>
      </c>
      <c r="H18" s="47">
        <f t="shared" si="4"/>
        <v>1</v>
      </c>
      <c r="I18" s="43">
        <f t="shared" si="5"/>
        <v>403750</v>
      </c>
      <c r="J18" s="45">
        <f t="shared" si="6"/>
        <v>510000</v>
      </c>
      <c r="K18" s="38">
        <v>80.75</v>
      </c>
      <c r="L18" s="38">
        <v>102</v>
      </c>
      <c r="M18" s="44">
        <f t="shared" si="7"/>
        <v>0.26315789473684204</v>
      </c>
      <c r="N18" s="43" t="e">
        <f t="shared" ca="1" si="8"/>
        <v>#NAME?</v>
      </c>
      <c r="O18" s="106" t="e">
        <f ca="1">_xll.BDP($C18,"CRNCY")</f>
        <v>#NAME?</v>
      </c>
      <c r="P18" s="43" t="e">
        <f t="shared" ca="1" si="9"/>
        <v>#NAME?</v>
      </c>
      <c r="Q18" s="14">
        <v>42510</v>
      </c>
      <c r="R18" s="22" t="e">
        <f ca="1">_xll.BDH("RUB curncy","PX_LAST",$Q18)</f>
        <v>#NAME?</v>
      </c>
      <c r="T18" s="114"/>
      <c r="U18" s="333"/>
    </row>
    <row r="19" spans="2:21" x14ac:dyDescent="0.2">
      <c r="B19" s="103" t="e">
        <f ca="1">_xll.BDP(C19,"SECURITY_NAME")</f>
        <v>#NAME?</v>
      </c>
      <c r="C19" s="118" t="s">
        <v>441</v>
      </c>
      <c r="D19" s="73" t="s">
        <v>51</v>
      </c>
      <c r="E19" s="43" t="e">
        <f ca="1">F19*_xll.BDP(C19,"PX_LAST")/100</f>
        <v>#NAME?</v>
      </c>
      <c r="F19" s="43">
        <v>1500000</v>
      </c>
      <c r="G19" s="43">
        <v>1500000</v>
      </c>
      <c r="H19" s="47">
        <f t="shared" si="4"/>
        <v>1</v>
      </c>
      <c r="I19" s="43">
        <f t="shared" si="5"/>
        <v>1258050</v>
      </c>
      <c r="J19" s="45">
        <f t="shared" si="6"/>
        <v>1530000</v>
      </c>
      <c r="K19" s="38">
        <v>83.87</v>
      </c>
      <c r="L19" s="38">
        <v>102</v>
      </c>
      <c r="M19" s="44">
        <f t="shared" si="7"/>
        <v>0.21616787886014066</v>
      </c>
      <c r="N19" s="43" t="e">
        <f t="shared" ca="1" si="8"/>
        <v>#NAME?</v>
      </c>
      <c r="O19" s="106" t="e">
        <f ca="1">_xll.BDP($C19,"CRNCY")</f>
        <v>#NAME?</v>
      </c>
      <c r="P19" s="43" t="e">
        <f t="shared" ca="1" si="9"/>
        <v>#NAME?</v>
      </c>
      <c r="Q19" s="14">
        <v>42522</v>
      </c>
      <c r="R19" s="22" t="e">
        <f ca="1">_xll.BDH("RUB curncy","PX_LAST",$Q19)</f>
        <v>#NAME?</v>
      </c>
      <c r="T19" s="114"/>
      <c r="U19" s="333"/>
    </row>
    <row r="20" spans="2:21" x14ac:dyDescent="0.2">
      <c r="B20" s="103" t="e">
        <f ca="1">_xll.BDP(C20,"SECURITY_NAME")</f>
        <v>#NAME?</v>
      </c>
      <c r="C20" s="118" t="s">
        <v>448</v>
      </c>
      <c r="D20" s="73" t="s">
        <v>51</v>
      </c>
      <c r="E20" s="43" t="e">
        <f ca="1">F20*_xll.BDP(C20,"PX_LAST")/100</f>
        <v>#NAME?</v>
      </c>
      <c r="F20" s="43">
        <v>1500000</v>
      </c>
      <c r="G20" s="43">
        <v>850000</v>
      </c>
      <c r="H20" s="47">
        <f t="shared" si="4"/>
        <v>0.56666666666666665</v>
      </c>
      <c r="I20" s="43">
        <f t="shared" si="5"/>
        <v>782000</v>
      </c>
      <c r="J20" s="45">
        <f t="shared" si="6"/>
        <v>944775</v>
      </c>
      <c r="K20" s="38">
        <v>92</v>
      </c>
      <c r="L20" s="38">
        <v>111.15</v>
      </c>
      <c r="M20" s="44">
        <f t="shared" si="7"/>
        <v>0.20815217391304364</v>
      </c>
      <c r="N20" s="43" t="e">
        <f t="shared" ca="1" si="8"/>
        <v>#NAME?</v>
      </c>
      <c r="O20" s="106" t="e">
        <f ca="1">_xll.BDP($C20,"CRNCY")</f>
        <v>#NAME?</v>
      </c>
      <c r="P20" s="43" t="e">
        <f t="shared" ca="1" si="9"/>
        <v>#NAME?</v>
      </c>
      <c r="Q20" s="14">
        <v>42634</v>
      </c>
      <c r="R20" s="22" t="e">
        <f ca="1">_xll.BDH("RUB curncy","PX_LAST",$Q20)</f>
        <v>#NAME?</v>
      </c>
      <c r="T20" s="114"/>
      <c r="U20" s="333"/>
    </row>
    <row r="21" spans="2:21" x14ac:dyDescent="0.2">
      <c r="B21" s="103" t="e">
        <f ca="1">_xll.BDP(C21,"SECURITY_NAME")</f>
        <v>#NAME?</v>
      </c>
      <c r="C21" s="118" t="s">
        <v>448</v>
      </c>
      <c r="D21" s="73" t="s">
        <v>51</v>
      </c>
      <c r="E21" s="43" t="e">
        <f ca="1">F21*_xll.BDP(C21,"PX_LAST")/100</f>
        <v>#NAME?</v>
      </c>
      <c r="F21" s="43">
        <v>1500000</v>
      </c>
      <c r="G21" s="43">
        <v>650000</v>
      </c>
      <c r="H21" s="47">
        <f t="shared" si="4"/>
        <v>0.43333333333333335</v>
      </c>
      <c r="I21" s="43">
        <f t="shared" si="5"/>
        <v>598000</v>
      </c>
      <c r="J21" s="45">
        <f t="shared" si="6"/>
        <v>723125</v>
      </c>
      <c r="K21" s="38">
        <v>92</v>
      </c>
      <c r="L21" s="38">
        <v>111.25</v>
      </c>
      <c r="M21" s="44">
        <f t="shared" si="7"/>
        <v>0.20923913043478271</v>
      </c>
      <c r="N21" s="43" t="e">
        <f t="shared" ca="1" si="8"/>
        <v>#NAME?</v>
      </c>
      <c r="O21" s="106" t="e">
        <f ca="1">_xll.BDP($C21,"CRNCY")</f>
        <v>#NAME?</v>
      </c>
      <c r="P21" s="43" t="e">
        <f t="shared" ca="1" si="9"/>
        <v>#NAME?</v>
      </c>
      <c r="Q21" s="14">
        <v>42635</v>
      </c>
      <c r="R21" s="22" t="e">
        <f ca="1">_xll.BDH("RUB curncy","PX_LAST",$Q21)</f>
        <v>#NAME?</v>
      </c>
      <c r="T21" s="114"/>
      <c r="U21" s="333"/>
    </row>
    <row r="22" spans="2:21" x14ac:dyDescent="0.2">
      <c r="B22" s="41"/>
      <c r="C22" s="41"/>
      <c r="D22" s="42"/>
      <c r="G22" s="41"/>
      <c r="H22" s="41"/>
      <c r="I22" s="41"/>
      <c r="J22" s="41"/>
      <c r="K22" s="41"/>
      <c r="L22" s="41"/>
      <c r="M22" s="35" t="s">
        <v>94</v>
      </c>
      <c r="N22" s="40" t="e">
        <f ca="1">SUM(N16:N21)</f>
        <v>#NAME?</v>
      </c>
      <c r="O22" s="356" t="s">
        <v>75</v>
      </c>
      <c r="P22" s="355" t="e">
        <f ca="1">SUM(P16:P21)</f>
        <v>#NAME?</v>
      </c>
      <c r="T22" s="114"/>
      <c r="U22" s="333"/>
    </row>
    <row r="23" spans="2:21" x14ac:dyDescent="0.2">
      <c r="B23" s="33"/>
      <c r="C23" s="33"/>
      <c r="D23" s="33"/>
      <c r="G23" s="33"/>
      <c r="H23" s="33"/>
      <c r="I23" s="33"/>
      <c r="J23" s="38"/>
      <c r="K23" s="37"/>
      <c r="L23" s="36"/>
      <c r="M23" s="35"/>
      <c r="N23" s="30"/>
      <c r="O23" s="30"/>
      <c r="P23" s="34"/>
      <c r="R23" s="39"/>
      <c r="U23" s="334"/>
    </row>
    <row r="24" spans="2:21" x14ac:dyDescent="0.2">
      <c r="B24" s="33"/>
      <c r="C24" s="33"/>
      <c r="D24" s="33"/>
      <c r="E24" s="33"/>
      <c r="F24" s="33"/>
      <c r="G24" s="33"/>
      <c r="H24" s="38"/>
      <c r="I24" s="37"/>
      <c r="J24" s="36"/>
      <c r="K24" s="35"/>
      <c r="L24" s="30"/>
      <c r="M24" s="34"/>
      <c r="N24" s="33"/>
      <c r="S24" s="114"/>
      <c r="T24" s="314"/>
      <c r="U24" s="334"/>
    </row>
    <row r="25" spans="2:21" x14ac:dyDescent="0.2">
      <c r="B25" s="32" t="s">
        <v>93</v>
      </c>
      <c r="C25" s="10"/>
      <c r="D25" s="31"/>
      <c r="H25" s="31"/>
      <c r="I25" s="10"/>
      <c r="J25" s="10"/>
      <c r="K25" s="29"/>
      <c r="S25" s="114"/>
      <c r="T25" s="314"/>
    </row>
    <row r="26" spans="2:21" ht="13.5" thickBot="1" x14ac:dyDescent="0.25">
      <c r="C26" s="29"/>
      <c r="D26" s="29"/>
      <c r="G26" s="29"/>
      <c r="H26" s="10"/>
      <c r="I26" s="30"/>
      <c r="J26" s="10"/>
      <c r="K26" s="29"/>
      <c r="S26" s="114"/>
    </row>
    <row r="27" spans="2:21" ht="15" x14ac:dyDescent="0.35">
      <c r="B27" s="26"/>
      <c r="C27" s="26"/>
      <c r="D27" s="26"/>
      <c r="E27" s="26"/>
      <c r="F27" s="26"/>
      <c r="G27" s="26"/>
      <c r="H27" s="28" t="s">
        <v>92</v>
      </c>
      <c r="I27" s="27" t="s">
        <v>91</v>
      </c>
      <c r="J27" s="27" t="s">
        <v>90</v>
      </c>
      <c r="K27" s="27"/>
      <c r="L27" s="26"/>
      <c r="M27" s="26"/>
      <c r="N27" s="26"/>
      <c r="S27" s="114"/>
    </row>
    <row r="28" spans="2:21" ht="15" x14ac:dyDescent="0.35">
      <c r="B28" s="23" t="s">
        <v>89</v>
      </c>
      <c r="C28" s="23" t="s">
        <v>88</v>
      </c>
      <c r="D28" s="23" t="s">
        <v>87</v>
      </c>
      <c r="E28" s="23" t="s">
        <v>86</v>
      </c>
      <c r="F28" s="23" t="s">
        <v>85</v>
      </c>
      <c r="G28" s="23" t="s">
        <v>84</v>
      </c>
      <c r="H28" s="25" t="s">
        <v>83</v>
      </c>
      <c r="I28" s="24" t="s">
        <v>83</v>
      </c>
      <c r="J28" s="24" t="s">
        <v>75</v>
      </c>
      <c r="K28" s="24" t="s">
        <v>73</v>
      </c>
      <c r="L28" s="23" t="s">
        <v>82</v>
      </c>
      <c r="M28" s="23" t="s">
        <v>81</v>
      </c>
      <c r="N28" s="23" t="s">
        <v>80</v>
      </c>
      <c r="S28" s="114"/>
    </row>
    <row r="29" spans="2:21" s="273" customFormat="1" ht="13.5" customHeight="1" x14ac:dyDescent="0.2">
      <c r="B29" s="306" t="s">
        <v>431</v>
      </c>
      <c r="C29" s="286" t="s">
        <v>447</v>
      </c>
      <c r="D29" s="284" t="e">
        <f ca="1">_xll.BDP(C29,"SECURITY_NAME")</f>
        <v>#NAME?</v>
      </c>
      <c r="E29" s="284" t="s">
        <v>50</v>
      </c>
      <c r="F29" s="285">
        <v>500000</v>
      </c>
      <c r="G29" s="284" t="e">
        <f ca="1">_xll.BDP(C29,"CRNCY")</f>
        <v>#NAME?</v>
      </c>
      <c r="H29" s="281">
        <v>80.75</v>
      </c>
      <c r="I29" s="282">
        <f>F29*H29/100</f>
        <v>403750</v>
      </c>
      <c r="J29" s="283">
        <f>I29</f>
        <v>403750</v>
      </c>
      <c r="K29" s="282" t="e">
        <f ca="1">J29*L29</f>
        <v>#NAME?</v>
      </c>
      <c r="L29" s="281" t="e">
        <f ca="1">_xll.BDH("RUB curncy","PX_LAST",$N29)</f>
        <v>#NAME?</v>
      </c>
      <c r="M29" s="280" t="e">
        <f ca="1">1/_xll.BDH("RUB curncy","PX_LAST",$N29)</f>
        <v>#NAME?</v>
      </c>
      <c r="N29" s="274">
        <v>42067</v>
      </c>
    </row>
    <row r="30" spans="2:21" s="273" customFormat="1" x14ac:dyDescent="0.2">
      <c r="B30" s="305"/>
      <c r="C30" s="279"/>
      <c r="D30" s="278"/>
      <c r="E30" s="278"/>
      <c r="F30" s="277">
        <f>SUM(F29)</f>
        <v>500000</v>
      </c>
      <c r="G30" s="278"/>
      <c r="H30" s="276">
        <f>J30/F30*100</f>
        <v>80.75</v>
      </c>
      <c r="I30" s="277">
        <f>SUM(I29)</f>
        <v>403750</v>
      </c>
      <c r="J30" s="277">
        <f>SUM(J29)</f>
        <v>403750</v>
      </c>
      <c r="K30" s="277" t="e">
        <f ca="1">SUM(K29)</f>
        <v>#NAME?</v>
      </c>
      <c r="L30" s="276"/>
      <c r="M30" s="275"/>
      <c r="N30" s="274"/>
    </row>
    <row r="31" spans="2:21" x14ac:dyDescent="0.2">
      <c r="B31" s="307"/>
    </row>
    <row r="32" spans="2:21" s="273" customFormat="1" ht="13.5" customHeight="1" x14ac:dyDescent="0.2">
      <c r="B32" s="306" t="s">
        <v>431</v>
      </c>
      <c r="C32" s="286" t="s">
        <v>446</v>
      </c>
      <c r="D32" s="284" t="e">
        <f ca="1">_xll.BDP(C32,"SECURITY_NAME")</f>
        <v>#NAME?</v>
      </c>
      <c r="E32" s="284" t="s">
        <v>50</v>
      </c>
      <c r="F32" s="285">
        <v>100000</v>
      </c>
      <c r="G32" s="284" t="e">
        <f ca="1">_xll.BDP(C32,"CRNCY")</f>
        <v>#NAME?</v>
      </c>
      <c r="H32" s="281">
        <v>92.5</v>
      </c>
      <c r="I32" s="282">
        <f>F32*H32/100</f>
        <v>92500</v>
      </c>
      <c r="J32" s="283">
        <f>I32</f>
        <v>92500</v>
      </c>
      <c r="K32" s="282" t="e">
        <f ca="1">J32*L32</f>
        <v>#NAME?</v>
      </c>
      <c r="L32" s="281" t="e">
        <f ca="1">_xll.BDH("RUB curncy","PX_LAST",$N32)</f>
        <v>#NAME?</v>
      </c>
      <c r="M32" s="280" t="e">
        <f ca="1">1/_xll.BDH("RUB curncy","PX_LAST",$N32)</f>
        <v>#NAME?</v>
      </c>
      <c r="N32" s="274">
        <v>42067</v>
      </c>
    </row>
    <row r="33" spans="2:14" s="273" customFormat="1" ht="13.5" customHeight="1" x14ac:dyDescent="0.2">
      <c r="B33" s="306" t="s">
        <v>431</v>
      </c>
      <c r="C33" s="286" t="s">
        <v>446</v>
      </c>
      <c r="D33" s="284" t="e">
        <f ca="1">_xll.BDP(C33,"SECURITY_NAME")</f>
        <v>#NAME?</v>
      </c>
      <c r="E33" s="284" t="s">
        <v>50</v>
      </c>
      <c r="F33" s="285">
        <v>500000</v>
      </c>
      <c r="G33" s="284" t="e">
        <f ca="1">_xll.BDP(C33,"CRNCY")</f>
        <v>#NAME?</v>
      </c>
      <c r="H33" s="281">
        <v>89.53</v>
      </c>
      <c r="I33" s="282">
        <f>F33*H33/100</f>
        <v>447650</v>
      </c>
      <c r="J33" s="283">
        <f>I33</f>
        <v>447650</v>
      </c>
      <c r="K33" s="282" t="e">
        <f ca="1">J33*L33</f>
        <v>#NAME?</v>
      </c>
      <c r="L33" s="281" t="e">
        <f ca="1">_xll.BDH("RUB curncy","PX_LAST",$N33)</f>
        <v>#NAME?</v>
      </c>
      <c r="M33" s="280" t="e">
        <f ca="1">1/_xll.BDH("RUB curncy","PX_LAST",$N33)</f>
        <v>#NAME?</v>
      </c>
      <c r="N33" s="274">
        <v>42047</v>
      </c>
    </row>
    <row r="34" spans="2:14" s="273" customFormat="1" ht="13.5" customHeight="1" x14ac:dyDescent="0.2">
      <c r="B34" s="306" t="s">
        <v>431</v>
      </c>
      <c r="C34" s="286" t="s">
        <v>446</v>
      </c>
      <c r="D34" s="284" t="e">
        <f ca="1">_xll.BDP(C34,"SECURITY_NAME")</f>
        <v>#NAME?</v>
      </c>
      <c r="E34" s="284" t="s">
        <v>50</v>
      </c>
      <c r="F34" s="285">
        <v>900000</v>
      </c>
      <c r="G34" s="284" t="e">
        <f ca="1">_xll.BDP(C34,"CRNCY")</f>
        <v>#NAME?</v>
      </c>
      <c r="H34" s="281">
        <v>92.5</v>
      </c>
      <c r="I34" s="282">
        <f>F34*H34/100</f>
        <v>832500</v>
      </c>
      <c r="J34" s="283">
        <f>I34</f>
        <v>832500</v>
      </c>
      <c r="K34" s="282" t="e">
        <f ca="1">J34*L34</f>
        <v>#NAME?</v>
      </c>
      <c r="L34" s="281" t="e">
        <f ca="1">_xll.BDH("RUB curncy","PX_LAST",$N34)</f>
        <v>#NAME?</v>
      </c>
      <c r="M34" s="280" t="e">
        <f ca="1">1/_xll.BDH("RUB curncy","PX_LAST",$N34)</f>
        <v>#NAME?</v>
      </c>
      <c r="N34" s="274">
        <v>42067</v>
      </c>
    </row>
    <row r="35" spans="2:14" s="273" customFormat="1" x14ac:dyDescent="0.2">
      <c r="B35" s="305"/>
      <c r="C35" s="279"/>
      <c r="D35" s="278"/>
      <c r="E35" s="278"/>
      <c r="F35" s="277">
        <f>SUM(F32:F34)</f>
        <v>1500000</v>
      </c>
      <c r="G35" s="278"/>
      <c r="H35" s="276">
        <f>J35/F35*100</f>
        <v>91.51</v>
      </c>
      <c r="I35" s="277">
        <f>SUM(I32:I34)</f>
        <v>1372650</v>
      </c>
      <c r="J35" s="277">
        <f>SUM(J32:J34)</f>
        <v>1372650</v>
      </c>
      <c r="K35" s="277" t="e">
        <f ca="1">SUM(K32:K34)</f>
        <v>#NAME?</v>
      </c>
      <c r="L35" s="276"/>
      <c r="M35" s="275"/>
      <c r="N35" s="274"/>
    </row>
    <row r="36" spans="2:14" x14ac:dyDescent="0.2">
      <c r="B36" s="307"/>
    </row>
    <row r="37" spans="2:14" s="273" customFormat="1" ht="13.5" customHeight="1" x14ac:dyDescent="0.2">
      <c r="B37" s="306" t="s">
        <v>431</v>
      </c>
      <c r="C37" s="286" t="s">
        <v>445</v>
      </c>
      <c r="D37" s="284" t="e">
        <f ca="1">_xll.BDP(C37,"SECURITY_NAME")</f>
        <v>#NAME?</v>
      </c>
      <c r="E37" s="284" t="s">
        <v>50</v>
      </c>
      <c r="F37" s="285">
        <v>410000</v>
      </c>
      <c r="G37" s="284" t="e">
        <f ca="1">_xll.BDP(C37,"CRNCY")</f>
        <v>#NAME?</v>
      </c>
      <c r="H37" s="281">
        <v>85</v>
      </c>
      <c r="I37" s="282">
        <f>F37*H37/100</f>
        <v>348500</v>
      </c>
      <c r="J37" s="283">
        <f>I37</f>
        <v>348500</v>
      </c>
      <c r="K37" s="282" t="e">
        <f ca="1">J37*L37</f>
        <v>#NAME?</v>
      </c>
      <c r="L37" s="281" t="e">
        <f ca="1">_xll.BDH("RUB curncy","PX_LAST",$N37)</f>
        <v>#NAME?</v>
      </c>
      <c r="M37" s="280" t="e">
        <f ca="1">1/_xll.BDH("RUB curncy","PX_LAST",$N37)</f>
        <v>#NAME?</v>
      </c>
      <c r="N37" s="274">
        <v>42068</v>
      </c>
    </row>
    <row r="38" spans="2:14" s="273" customFormat="1" x14ac:dyDescent="0.2">
      <c r="B38" s="305"/>
      <c r="C38" s="279"/>
      <c r="D38" s="278"/>
      <c r="E38" s="278"/>
      <c r="F38" s="277">
        <f>SUM(F37)</f>
        <v>410000</v>
      </c>
      <c r="G38" s="278"/>
      <c r="H38" s="276">
        <f>J38/F38*100</f>
        <v>85</v>
      </c>
      <c r="I38" s="277">
        <f>SUM(I37)</f>
        <v>348500</v>
      </c>
      <c r="J38" s="277">
        <f>SUM(J37)</f>
        <v>348500</v>
      </c>
      <c r="K38" s="277" t="e">
        <f ca="1">SUM(K37)</f>
        <v>#NAME?</v>
      </c>
      <c r="L38" s="276"/>
      <c r="M38" s="275"/>
      <c r="N38" s="274"/>
    </row>
    <row r="39" spans="2:14" x14ac:dyDescent="0.2">
      <c r="B39" s="307"/>
    </row>
    <row r="40" spans="2:14" s="273" customFormat="1" ht="13.5" customHeight="1" x14ac:dyDescent="0.2">
      <c r="B40" s="306" t="s">
        <v>431</v>
      </c>
      <c r="C40" s="286" t="s">
        <v>435</v>
      </c>
      <c r="D40" s="284" t="e">
        <f ca="1">_xll.BDP(C40,"SECURITY_NAME")</f>
        <v>#NAME?</v>
      </c>
      <c r="E40" s="284" t="s">
        <v>50</v>
      </c>
      <c r="F40" s="285">
        <v>600000</v>
      </c>
      <c r="G40" s="284" t="e">
        <f ca="1">_xll.BDP(C40,"CRNCY")</f>
        <v>#NAME?</v>
      </c>
      <c r="H40" s="281">
        <v>89.01</v>
      </c>
      <c r="I40" s="282">
        <f>F40*H40/100</f>
        <v>534060</v>
      </c>
      <c r="J40" s="283">
        <f>I40</f>
        <v>534060</v>
      </c>
      <c r="K40" s="282" t="e">
        <f ca="1">J40*L40</f>
        <v>#NAME?</v>
      </c>
      <c r="L40" s="281" t="e">
        <f ca="1">_xll.BDH("RUB curncy","PX_LAST",$N40)</f>
        <v>#NAME?</v>
      </c>
      <c r="M40" s="280" t="e">
        <f ca="1">1/_xll.BDH("RUB curncy","PX_LAST",$N40)</f>
        <v>#NAME?</v>
      </c>
      <c r="N40" s="274">
        <v>42075</v>
      </c>
    </row>
    <row r="41" spans="2:14" s="273" customFormat="1" ht="13.5" customHeight="1" x14ac:dyDescent="0.2">
      <c r="B41" s="306" t="s">
        <v>431</v>
      </c>
      <c r="C41" s="286" t="s">
        <v>435</v>
      </c>
      <c r="D41" s="284" t="e">
        <f ca="1">_xll.BDP(C41,"SECURITY_NAME")</f>
        <v>#NAME?</v>
      </c>
      <c r="E41" s="284" t="s">
        <v>50</v>
      </c>
      <c r="F41" s="285">
        <v>500000</v>
      </c>
      <c r="G41" s="284" t="e">
        <f ca="1">_xll.BDP(C41,"CRNCY")</f>
        <v>#NAME?</v>
      </c>
      <c r="H41" s="281">
        <v>84.28</v>
      </c>
      <c r="I41" s="282">
        <f>F41*H41/100</f>
        <v>421400</v>
      </c>
      <c r="J41" s="283">
        <f>I41</f>
        <v>421400</v>
      </c>
      <c r="K41" s="282" t="e">
        <f ca="1">J41*L41</f>
        <v>#NAME?</v>
      </c>
      <c r="L41" s="281" t="e">
        <f ca="1">_xll.BDH("RUB curncy","PX_LAST",$N41)</f>
        <v>#NAME?</v>
      </c>
      <c r="M41" s="280" t="e">
        <f ca="1">1/_xll.BDH("RUB curncy","PX_LAST",$N41)</f>
        <v>#NAME?</v>
      </c>
      <c r="N41" s="274">
        <v>42048</v>
      </c>
    </row>
    <row r="42" spans="2:14" s="273" customFormat="1" ht="13.5" customHeight="1" x14ac:dyDescent="0.2">
      <c r="B42" s="306" t="s">
        <v>431</v>
      </c>
      <c r="C42" s="286" t="s">
        <v>435</v>
      </c>
      <c r="D42" s="284" t="e">
        <f ca="1">_xll.BDP(C42,"SECURITY_NAME")</f>
        <v>#NAME?</v>
      </c>
      <c r="E42" s="284" t="s">
        <v>50</v>
      </c>
      <c r="F42" s="285">
        <v>1400000</v>
      </c>
      <c r="G42" s="284" t="e">
        <f ca="1">_xll.BDP(C42,"CRNCY")</f>
        <v>#NAME?</v>
      </c>
      <c r="H42" s="281">
        <v>89.01</v>
      </c>
      <c r="I42" s="282">
        <f>F42*H42/100</f>
        <v>1246140</v>
      </c>
      <c r="J42" s="283">
        <f>I42</f>
        <v>1246140</v>
      </c>
      <c r="K42" s="282" t="e">
        <f ca="1">J42*L42</f>
        <v>#NAME?</v>
      </c>
      <c r="L42" s="281" t="e">
        <f ca="1">_xll.BDH("RUB curncy","PX_LAST",$N42)</f>
        <v>#NAME?</v>
      </c>
      <c r="M42" s="280" t="e">
        <f ca="1">1/_xll.BDH("RUB curncy","PX_LAST",$N42)</f>
        <v>#NAME?</v>
      </c>
      <c r="N42" s="274">
        <v>42075</v>
      </c>
    </row>
    <row r="43" spans="2:14" s="273" customFormat="1" x14ac:dyDescent="0.2">
      <c r="B43" s="305"/>
      <c r="C43" s="279"/>
      <c r="D43" s="278"/>
      <c r="E43" s="278"/>
      <c r="F43" s="277">
        <f>SUM(F40:F42)</f>
        <v>2500000</v>
      </c>
      <c r="G43" s="278"/>
      <c r="H43" s="276">
        <f>J43/F43*100</f>
        <v>88.063999999999993</v>
      </c>
      <c r="I43" s="277">
        <f>SUM(I40:I42)</f>
        <v>2201600</v>
      </c>
      <c r="J43" s="277">
        <f>SUM(J40:J42)</f>
        <v>2201600</v>
      </c>
      <c r="K43" s="277" t="e">
        <f ca="1">SUM(K40:K42)</f>
        <v>#NAME?</v>
      </c>
      <c r="L43" s="276"/>
      <c r="M43" s="275"/>
      <c r="N43" s="274"/>
    </row>
    <row r="44" spans="2:14" x14ac:dyDescent="0.2">
      <c r="B44" s="307"/>
    </row>
    <row r="45" spans="2:14" s="273" customFormat="1" ht="13.5" customHeight="1" x14ac:dyDescent="0.2">
      <c r="B45" s="306" t="s">
        <v>431</v>
      </c>
      <c r="C45" s="286" t="s">
        <v>444</v>
      </c>
      <c r="D45" s="284" t="e">
        <f ca="1">_xll.BDP(C45,"SECURITY_NAME")</f>
        <v>#NAME?</v>
      </c>
      <c r="E45" s="284" t="s">
        <v>50</v>
      </c>
      <c r="F45" s="285">
        <v>1500000</v>
      </c>
      <c r="G45" s="284" t="e">
        <f ca="1">_xll.BDP(C45,"CRNCY")</f>
        <v>#NAME?</v>
      </c>
      <c r="H45" s="281">
        <v>90</v>
      </c>
      <c r="I45" s="282">
        <f>F45*H45/100</f>
        <v>1350000</v>
      </c>
      <c r="J45" s="283">
        <f>I45</f>
        <v>1350000</v>
      </c>
      <c r="K45" s="282" t="e">
        <f ca="1">J45*L45</f>
        <v>#NAME?</v>
      </c>
      <c r="L45" s="281" t="e">
        <f ca="1">_xll.BDH("RUB curncy","PX_LAST",$N45)</f>
        <v>#NAME?</v>
      </c>
      <c r="M45" s="280" t="e">
        <f ca="1">1/_xll.BDH("RUB curncy","PX_LAST",$N45)</f>
        <v>#NAME?</v>
      </c>
      <c r="N45" s="274">
        <v>42082</v>
      </c>
    </row>
    <row r="46" spans="2:14" s="273" customFormat="1" x14ac:dyDescent="0.2">
      <c r="B46" s="305"/>
      <c r="C46" s="279"/>
      <c r="D46" s="278"/>
      <c r="E46" s="278"/>
      <c r="F46" s="277">
        <f>SUM(F45)</f>
        <v>1500000</v>
      </c>
      <c r="G46" s="278"/>
      <c r="H46" s="276">
        <f>J46/F46*100</f>
        <v>90</v>
      </c>
      <c r="I46" s="277">
        <f>SUM(I45)</f>
        <v>1350000</v>
      </c>
      <c r="J46" s="277">
        <f>SUM(J45)</f>
        <v>1350000</v>
      </c>
      <c r="K46" s="277" t="e">
        <f ca="1">SUM(K45)</f>
        <v>#NAME?</v>
      </c>
      <c r="L46" s="276"/>
      <c r="M46" s="275"/>
      <c r="N46" s="274"/>
    </row>
    <row r="47" spans="2:14" x14ac:dyDescent="0.2">
      <c r="B47" s="307"/>
    </row>
    <row r="48" spans="2:14" s="273" customFormat="1" ht="13.5" customHeight="1" x14ac:dyDescent="0.2">
      <c r="B48" s="306" t="s">
        <v>431</v>
      </c>
      <c r="C48" s="286" t="s">
        <v>443</v>
      </c>
      <c r="D48" s="284" t="e">
        <f ca="1">_xll.BDP(C48,"SECURITY_NAME")</f>
        <v>#NAME?</v>
      </c>
      <c r="E48" s="284" t="s">
        <v>50</v>
      </c>
      <c r="F48" s="285">
        <v>1500000</v>
      </c>
      <c r="G48" s="284" t="e">
        <f ca="1">_xll.BDP(C48,"CRNCY")</f>
        <v>#NAME?</v>
      </c>
      <c r="H48" s="281">
        <v>83.5</v>
      </c>
      <c r="I48" s="282">
        <f>F48*H48/100</f>
        <v>1252500</v>
      </c>
      <c r="J48" s="283">
        <f>I48</f>
        <v>1252500</v>
      </c>
      <c r="K48" s="282" t="e">
        <f ca="1">J48*L48</f>
        <v>#NAME?</v>
      </c>
      <c r="L48" s="281" t="e">
        <f ca="1">_xll.BDH("RUB curncy","PX_LAST",$N48)</f>
        <v>#NAME?</v>
      </c>
      <c r="M48" s="280" t="e">
        <f ca="1">1/_xll.BDH("RUB curncy","PX_LAST",$N48)</f>
        <v>#NAME?</v>
      </c>
      <c r="N48" s="274">
        <v>42082</v>
      </c>
    </row>
    <row r="49" spans="2:14" s="273" customFormat="1" x14ac:dyDescent="0.2">
      <c r="B49" s="305"/>
      <c r="C49" s="279"/>
      <c r="D49" s="278"/>
      <c r="E49" s="278"/>
      <c r="F49" s="277">
        <f>SUM(F48)</f>
        <v>1500000</v>
      </c>
      <c r="G49" s="278"/>
      <c r="H49" s="276">
        <f>J49/F49*100</f>
        <v>83.5</v>
      </c>
      <c r="I49" s="277">
        <f>SUM(I48)</f>
        <v>1252500</v>
      </c>
      <c r="J49" s="277">
        <f>SUM(J48)</f>
        <v>1252500</v>
      </c>
      <c r="K49" s="277" t="e">
        <f ca="1">SUM(K48)</f>
        <v>#NAME?</v>
      </c>
      <c r="L49" s="276"/>
      <c r="M49" s="275"/>
      <c r="N49" s="274"/>
    </row>
    <row r="50" spans="2:14" x14ac:dyDescent="0.2">
      <c r="B50" s="307"/>
    </row>
    <row r="51" spans="2:14" s="273" customFormat="1" ht="13.5" customHeight="1" x14ac:dyDescent="0.2">
      <c r="B51" s="306" t="s">
        <v>431</v>
      </c>
      <c r="C51" s="286" t="s">
        <v>442</v>
      </c>
      <c r="D51" s="284" t="e">
        <f ca="1">_xll.BDP(C51,"SECURITY_NAME")</f>
        <v>#NAME?</v>
      </c>
      <c r="E51" s="284" t="s">
        <v>50</v>
      </c>
      <c r="F51" s="285">
        <v>676000</v>
      </c>
      <c r="G51" s="284" t="e">
        <f ca="1">_xll.BDP(C51,"CRNCY")</f>
        <v>#NAME?</v>
      </c>
      <c r="H51" s="281">
        <v>91.625</v>
      </c>
      <c r="I51" s="282">
        <f>F51*H51/100</f>
        <v>619385</v>
      </c>
      <c r="J51" s="283">
        <f>I51</f>
        <v>619385</v>
      </c>
      <c r="K51" s="282" t="e">
        <f ca="1">J51*L51</f>
        <v>#NAME?</v>
      </c>
      <c r="L51" s="281" t="e">
        <f ca="1">_xll.BDH("RUB curncy","PX_LAST",$N51)</f>
        <v>#NAME?</v>
      </c>
      <c r="M51" s="280" t="e">
        <f ca="1">1/_xll.BDH("RUB curncy","PX_LAST",$N51)</f>
        <v>#NAME?</v>
      </c>
      <c r="N51" s="274">
        <v>42178</v>
      </c>
    </row>
    <row r="52" spans="2:14" s="273" customFormat="1" ht="13.5" customHeight="1" x14ac:dyDescent="0.2">
      <c r="B52" s="306" t="s">
        <v>431</v>
      </c>
      <c r="C52" s="286" t="s">
        <v>442</v>
      </c>
      <c r="D52" s="284" t="e">
        <f ca="1">_xll.BDP(C52,"SECURITY_NAME")</f>
        <v>#NAME?</v>
      </c>
      <c r="E52" s="284" t="s">
        <v>50</v>
      </c>
      <c r="F52" s="285">
        <v>500000</v>
      </c>
      <c r="G52" s="284" t="e">
        <f ca="1">_xll.BDP(C52,"CRNCY")</f>
        <v>#NAME?</v>
      </c>
      <c r="H52" s="281">
        <v>80.25</v>
      </c>
      <c r="I52" s="282">
        <f>F52*H52/100</f>
        <v>401250</v>
      </c>
      <c r="J52" s="283">
        <f>I52</f>
        <v>401250</v>
      </c>
      <c r="K52" s="282" t="e">
        <f ca="1">J52*L52</f>
        <v>#NAME?</v>
      </c>
      <c r="L52" s="281" t="e">
        <f ca="1">_xll.BDH("RUB curncy","PX_LAST",$N52)</f>
        <v>#NAME?</v>
      </c>
      <c r="M52" s="280" t="e">
        <f ca="1">1/_xll.BDH("RUB curncy","PX_LAST",$N52)</f>
        <v>#NAME?</v>
      </c>
      <c r="N52" s="274">
        <v>42067</v>
      </c>
    </row>
    <row r="53" spans="2:14" s="273" customFormat="1" x14ac:dyDescent="0.2">
      <c r="B53" s="305"/>
      <c r="C53" s="279"/>
      <c r="D53" s="278"/>
      <c r="E53" s="278"/>
      <c r="F53" s="277">
        <f>SUM(F51:F52)</f>
        <v>1176000</v>
      </c>
      <c r="G53" s="278"/>
      <c r="H53" s="276">
        <f>J53/F53*100</f>
        <v>86.788690476190482</v>
      </c>
      <c r="I53" s="277">
        <f>SUM(I51:I52)</f>
        <v>1020635</v>
      </c>
      <c r="J53" s="277">
        <f>SUM(J51:J52)</f>
        <v>1020635</v>
      </c>
      <c r="K53" s="277" t="e">
        <f ca="1">SUM(K51:K52)</f>
        <v>#NAME?</v>
      </c>
      <c r="L53" s="276"/>
      <c r="M53" s="275"/>
      <c r="N53" s="274"/>
    </row>
    <row r="54" spans="2:14" x14ac:dyDescent="0.2">
      <c r="B54" s="307"/>
    </row>
    <row r="55" spans="2:14" s="273" customFormat="1" ht="13.5" customHeight="1" x14ac:dyDescent="0.2">
      <c r="B55" s="306" t="s">
        <v>431</v>
      </c>
      <c r="C55" s="286" t="s">
        <v>441</v>
      </c>
      <c r="D55" s="284" t="e">
        <f ca="1">_xll.BDP(C55,"SECURITY_NAME")</f>
        <v>#NAME?</v>
      </c>
      <c r="E55" s="284" t="s">
        <v>50</v>
      </c>
      <c r="F55" s="285">
        <v>500000</v>
      </c>
      <c r="G55" s="284" t="e">
        <f ca="1">_xll.BDP(C55,"CRNCY")</f>
        <v>#NAME?</v>
      </c>
      <c r="H55" s="281">
        <v>81.5</v>
      </c>
      <c r="I55" s="282">
        <f>F55*H55/100</f>
        <v>407500</v>
      </c>
      <c r="J55" s="283">
        <f>I55</f>
        <v>407500</v>
      </c>
      <c r="K55" s="282" t="e">
        <f ca="1">J55*L55</f>
        <v>#NAME?</v>
      </c>
      <c r="L55" s="281" t="e">
        <f ca="1">_xll.BDH("RUB curncy","PX_LAST",$N55)</f>
        <v>#NAME?</v>
      </c>
      <c r="M55" s="280" t="e">
        <f ca="1">1/_xll.BDH("RUB curncy","PX_LAST",$N55)</f>
        <v>#NAME?</v>
      </c>
      <c r="N55" s="274">
        <v>42048</v>
      </c>
    </row>
    <row r="56" spans="2:14" s="273" customFormat="1" ht="13.5" customHeight="1" x14ac:dyDescent="0.2">
      <c r="B56" s="306" t="s">
        <v>431</v>
      </c>
      <c r="C56" s="286" t="s">
        <v>441</v>
      </c>
      <c r="D56" s="284" t="e">
        <f ca="1">_xll.BDP(C56,"SECURITY_NAME")</f>
        <v>#NAME?</v>
      </c>
      <c r="E56" s="284" t="s">
        <v>50</v>
      </c>
      <c r="F56" s="285">
        <v>1000000</v>
      </c>
      <c r="G56" s="284" t="e">
        <f ca="1">_xll.BDP(C56,"CRNCY")</f>
        <v>#NAME?</v>
      </c>
      <c r="H56" s="281">
        <v>85.05</v>
      </c>
      <c r="I56" s="282">
        <f>F56*H56/100</f>
        <v>850500</v>
      </c>
      <c r="J56" s="283">
        <f>I56</f>
        <v>850500</v>
      </c>
      <c r="K56" s="282" t="e">
        <f ca="1">J56*L56</f>
        <v>#NAME?</v>
      </c>
      <c r="L56" s="281" t="e">
        <f ca="1">_xll.BDH("RUB curncy","PX_LAST",$N56)</f>
        <v>#NAME?</v>
      </c>
      <c r="M56" s="280" t="e">
        <f ca="1">1/_xll.BDH("RUB curncy","PX_LAST",$N56)</f>
        <v>#NAME?</v>
      </c>
      <c r="N56" s="274">
        <v>42075</v>
      </c>
    </row>
    <row r="57" spans="2:14" s="273" customFormat="1" x14ac:dyDescent="0.2">
      <c r="B57" s="305"/>
      <c r="C57" s="279"/>
      <c r="D57" s="278"/>
      <c r="E57" s="278"/>
      <c r="F57" s="277">
        <f>SUM(F55:F56)</f>
        <v>1500000</v>
      </c>
      <c r="G57" s="278"/>
      <c r="H57" s="276">
        <f>J57/F57*100</f>
        <v>83.866666666666674</v>
      </c>
      <c r="I57" s="277">
        <f>SUM(I55:I56)</f>
        <v>1258000</v>
      </c>
      <c r="J57" s="277">
        <f>SUM(J55:J56)</f>
        <v>1258000</v>
      </c>
      <c r="K57" s="277" t="e">
        <f ca="1">SUM(K55:K56)</f>
        <v>#NAME?</v>
      </c>
      <c r="L57" s="276"/>
      <c r="M57" s="275"/>
      <c r="N57" s="274"/>
    </row>
    <row r="58" spans="2:14" x14ac:dyDescent="0.2">
      <c r="B58" s="307"/>
    </row>
    <row r="59" spans="2:14" s="273" customFormat="1" ht="13.5" customHeight="1" x14ac:dyDescent="0.2">
      <c r="B59" s="306" t="s">
        <v>431</v>
      </c>
      <c r="C59" s="286" t="s">
        <v>440</v>
      </c>
      <c r="D59" s="284" t="e">
        <f ca="1">_xll.BDP(C59,"SECURITY_NAME")</f>
        <v>#NAME?</v>
      </c>
      <c r="E59" s="284" t="s">
        <v>50</v>
      </c>
      <c r="F59" s="285">
        <v>500000</v>
      </c>
      <c r="G59" s="284" t="e">
        <f ca="1">_xll.BDP(C59,"CRNCY")</f>
        <v>#NAME?</v>
      </c>
      <c r="H59" s="281">
        <v>91.875</v>
      </c>
      <c r="I59" s="282">
        <f>F59*H59/100</f>
        <v>459375</v>
      </c>
      <c r="J59" s="283">
        <f>I59</f>
        <v>459375</v>
      </c>
      <c r="K59" s="282" t="e">
        <f ca="1">J59*L59</f>
        <v>#NAME?</v>
      </c>
      <c r="L59" s="281" t="e">
        <f ca="1">_xll.BDH("RUB curncy","PX_LAST",$N59)</f>
        <v>#NAME?</v>
      </c>
      <c r="M59" s="280" t="e">
        <f ca="1">1/_xll.BDH("RUB curncy","PX_LAST",$N59)</f>
        <v>#NAME?</v>
      </c>
      <c r="N59" s="274">
        <v>42048</v>
      </c>
    </row>
    <row r="60" spans="2:14" s="273" customFormat="1" x14ac:dyDescent="0.2">
      <c r="B60" s="305"/>
      <c r="C60" s="279"/>
      <c r="D60" s="278"/>
      <c r="E60" s="278"/>
      <c r="F60" s="277">
        <f>SUM(F59)</f>
        <v>500000</v>
      </c>
      <c r="G60" s="278"/>
      <c r="H60" s="276">
        <f>J60/F60*100</f>
        <v>91.875</v>
      </c>
      <c r="I60" s="277">
        <f>SUM(I59)</f>
        <v>459375</v>
      </c>
      <c r="J60" s="277">
        <f>SUM(J59)</f>
        <v>459375</v>
      </c>
      <c r="K60" s="277" t="e">
        <f ca="1">SUM(K59)</f>
        <v>#NAME?</v>
      </c>
      <c r="L60" s="276"/>
      <c r="M60" s="275"/>
      <c r="N60" s="274"/>
    </row>
    <row r="61" spans="2:14" x14ac:dyDescent="0.2">
      <c r="B61" s="307"/>
    </row>
    <row r="62" spans="2:14" s="273" customFormat="1" ht="13.5" customHeight="1" x14ac:dyDescent="0.2">
      <c r="B62" s="306" t="s">
        <v>431</v>
      </c>
      <c r="C62" s="286" t="s">
        <v>439</v>
      </c>
      <c r="D62" s="284" t="e">
        <f ca="1">_xll.BDP(C62,"SECURITY_NAME")</f>
        <v>#NAME?</v>
      </c>
      <c r="E62" s="284" t="s">
        <v>50</v>
      </c>
      <c r="F62" s="285">
        <v>500000</v>
      </c>
      <c r="G62" s="284" t="e">
        <f ca="1">_xll.BDP(C62,"CRNCY")</f>
        <v>#NAME?</v>
      </c>
      <c r="H62" s="281">
        <v>71.53</v>
      </c>
      <c r="I62" s="282">
        <f>F62*H62/100</f>
        <v>357650</v>
      </c>
      <c r="J62" s="283">
        <f>I62</f>
        <v>357650</v>
      </c>
      <c r="K62" s="282" t="e">
        <f ca="1">J62*L62</f>
        <v>#NAME?</v>
      </c>
      <c r="L62" s="281" t="e">
        <f ca="1">_xll.BDH("RUB curncy","PX_LAST",$N62)</f>
        <v>#NAME?</v>
      </c>
      <c r="M62" s="280" t="e">
        <f ca="1">1/_xll.BDH("RUB curncy","PX_LAST",$N62)</f>
        <v>#NAME?</v>
      </c>
      <c r="N62" s="274">
        <v>42052</v>
      </c>
    </row>
    <row r="63" spans="2:14" s="273" customFormat="1" x14ac:dyDescent="0.2">
      <c r="B63" s="305"/>
      <c r="C63" s="279"/>
      <c r="D63" s="278"/>
      <c r="E63" s="278"/>
      <c r="F63" s="277">
        <f>SUM(F62)</f>
        <v>500000</v>
      </c>
      <c r="G63" s="278"/>
      <c r="H63" s="276">
        <f>J63/F63*100</f>
        <v>71.53</v>
      </c>
      <c r="I63" s="277">
        <f>SUM(I62)</f>
        <v>357650</v>
      </c>
      <c r="J63" s="277">
        <f>SUM(J62)</f>
        <v>357650</v>
      </c>
      <c r="K63" s="277" t="e">
        <f ca="1">SUM(K62)</f>
        <v>#NAME?</v>
      </c>
      <c r="L63" s="276"/>
      <c r="M63" s="275"/>
      <c r="N63" s="274"/>
    </row>
  </sheetData>
  <conditionalFormatting sqref="E30">
    <cfRule type="containsText" dxfId="77" priority="370" operator="containsText" text="Buy">
      <formula>NOT(ISERROR(SEARCH("Buy",E30)))</formula>
    </cfRule>
    <cfRule type="containsText" dxfId="76" priority="371" operator="containsText" text="Sell">
      <formula>NOT(ISERROR(SEARCH("Sell",E30)))</formula>
    </cfRule>
  </conditionalFormatting>
  <conditionalFormatting sqref="E29">
    <cfRule type="containsText" dxfId="75" priority="372" operator="containsText" text="Buy">
      <formula>NOT(ISERROR(SEARCH("Buy",E29)))</formula>
    </cfRule>
    <cfRule type="containsText" dxfId="74" priority="373" operator="containsText" text="Sell">
      <formula>NOT(ISERROR(SEARCH("Sell",E29)))</formula>
    </cfRule>
  </conditionalFormatting>
  <conditionalFormatting sqref="E35">
    <cfRule type="containsText" dxfId="73" priority="366" operator="containsText" text="Buy">
      <formula>NOT(ISERROR(SEARCH("Buy",E35)))</formula>
    </cfRule>
    <cfRule type="containsText" dxfId="72" priority="367" operator="containsText" text="Sell">
      <formula>NOT(ISERROR(SEARCH("Sell",E35)))</formula>
    </cfRule>
  </conditionalFormatting>
  <conditionalFormatting sqref="E32">
    <cfRule type="containsText" dxfId="71" priority="368" operator="containsText" text="Buy">
      <formula>NOT(ISERROR(SEARCH("Buy",E32)))</formula>
    </cfRule>
    <cfRule type="containsText" dxfId="70" priority="369" operator="containsText" text="Sell">
      <formula>NOT(ISERROR(SEARCH("Sell",E32)))</formula>
    </cfRule>
  </conditionalFormatting>
  <conditionalFormatting sqref="E38">
    <cfRule type="containsText" dxfId="69" priority="362" operator="containsText" text="Buy">
      <formula>NOT(ISERROR(SEARCH("Buy",E38)))</formula>
    </cfRule>
    <cfRule type="containsText" dxfId="68" priority="363" operator="containsText" text="Sell">
      <formula>NOT(ISERROR(SEARCH("Sell",E38)))</formula>
    </cfRule>
  </conditionalFormatting>
  <conditionalFormatting sqref="E37">
    <cfRule type="containsText" dxfId="67" priority="364" operator="containsText" text="Buy">
      <formula>NOT(ISERROR(SEARCH("Buy",E37)))</formula>
    </cfRule>
    <cfRule type="containsText" dxfId="66" priority="365" operator="containsText" text="Sell">
      <formula>NOT(ISERROR(SEARCH("Sell",E37)))</formula>
    </cfRule>
  </conditionalFormatting>
  <conditionalFormatting sqref="E43">
    <cfRule type="containsText" dxfId="65" priority="358" operator="containsText" text="Buy">
      <formula>NOT(ISERROR(SEARCH("Buy",E43)))</formula>
    </cfRule>
    <cfRule type="containsText" dxfId="64" priority="359" operator="containsText" text="Sell">
      <formula>NOT(ISERROR(SEARCH("Sell",E43)))</formula>
    </cfRule>
  </conditionalFormatting>
  <conditionalFormatting sqref="E40">
    <cfRule type="containsText" dxfId="63" priority="360" operator="containsText" text="Buy">
      <formula>NOT(ISERROR(SEARCH("Buy",E40)))</formula>
    </cfRule>
    <cfRule type="containsText" dxfId="62" priority="361" operator="containsText" text="Sell">
      <formula>NOT(ISERROR(SEARCH("Sell",E40)))</formula>
    </cfRule>
  </conditionalFormatting>
  <conditionalFormatting sqref="E46">
    <cfRule type="containsText" dxfId="61" priority="354" operator="containsText" text="Buy">
      <formula>NOT(ISERROR(SEARCH("Buy",E46)))</formula>
    </cfRule>
    <cfRule type="containsText" dxfId="60" priority="355" operator="containsText" text="Sell">
      <formula>NOT(ISERROR(SEARCH("Sell",E46)))</formula>
    </cfRule>
  </conditionalFormatting>
  <conditionalFormatting sqref="E45">
    <cfRule type="containsText" dxfId="59" priority="356" operator="containsText" text="Buy">
      <formula>NOT(ISERROR(SEARCH("Buy",E45)))</formula>
    </cfRule>
    <cfRule type="containsText" dxfId="58" priority="357" operator="containsText" text="Sell">
      <formula>NOT(ISERROR(SEARCH("Sell",E45)))</formula>
    </cfRule>
  </conditionalFormatting>
  <conditionalFormatting sqref="E49">
    <cfRule type="containsText" dxfId="57" priority="350" operator="containsText" text="Buy">
      <formula>NOT(ISERROR(SEARCH("Buy",E49)))</formula>
    </cfRule>
    <cfRule type="containsText" dxfId="56" priority="351" operator="containsText" text="Sell">
      <formula>NOT(ISERROR(SEARCH("Sell",E49)))</formula>
    </cfRule>
  </conditionalFormatting>
  <conditionalFormatting sqref="E48">
    <cfRule type="containsText" dxfId="55" priority="352" operator="containsText" text="Buy">
      <formula>NOT(ISERROR(SEARCH("Buy",E48)))</formula>
    </cfRule>
    <cfRule type="containsText" dxfId="54" priority="353" operator="containsText" text="Sell">
      <formula>NOT(ISERROR(SEARCH("Sell",E48)))</formula>
    </cfRule>
  </conditionalFormatting>
  <conditionalFormatting sqref="E53">
    <cfRule type="containsText" dxfId="53" priority="346" operator="containsText" text="Buy">
      <formula>NOT(ISERROR(SEARCH("Buy",E53)))</formula>
    </cfRule>
    <cfRule type="containsText" dxfId="52" priority="347" operator="containsText" text="Sell">
      <formula>NOT(ISERROR(SEARCH("Sell",E53)))</formula>
    </cfRule>
  </conditionalFormatting>
  <conditionalFormatting sqref="E51">
    <cfRule type="containsText" dxfId="51" priority="348" operator="containsText" text="Buy">
      <formula>NOT(ISERROR(SEARCH("Buy",E51)))</formula>
    </cfRule>
    <cfRule type="containsText" dxfId="50" priority="349" operator="containsText" text="Sell">
      <formula>NOT(ISERROR(SEARCH("Sell",E51)))</formula>
    </cfRule>
  </conditionalFormatting>
  <conditionalFormatting sqref="E57">
    <cfRule type="containsText" dxfId="49" priority="342" operator="containsText" text="Buy">
      <formula>NOT(ISERROR(SEARCH("Buy",E57)))</formula>
    </cfRule>
    <cfRule type="containsText" dxfId="48" priority="343" operator="containsText" text="Sell">
      <formula>NOT(ISERROR(SEARCH("Sell",E57)))</formula>
    </cfRule>
  </conditionalFormatting>
  <conditionalFormatting sqref="E55">
    <cfRule type="containsText" dxfId="47" priority="344" operator="containsText" text="Buy">
      <formula>NOT(ISERROR(SEARCH("Buy",E55)))</formula>
    </cfRule>
    <cfRule type="containsText" dxfId="46" priority="345" operator="containsText" text="Sell">
      <formula>NOT(ISERROR(SEARCH("Sell",E55)))</formula>
    </cfRule>
  </conditionalFormatting>
  <conditionalFormatting sqref="E60">
    <cfRule type="containsText" dxfId="45" priority="338" operator="containsText" text="Buy">
      <formula>NOT(ISERROR(SEARCH("Buy",E60)))</formula>
    </cfRule>
    <cfRule type="containsText" dxfId="44" priority="339" operator="containsText" text="Sell">
      <formula>NOT(ISERROR(SEARCH("Sell",E60)))</formula>
    </cfRule>
  </conditionalFormatting>
  <conditionalFormatting sqref="E59">
    <cfRule type="containsText" dxfId="43" priority="340" operator="containsText" text="Buy">
      <formula>NOT(ISERROR(SEARCH("Buy",E59)))</formula>
    </cfRule>
    <cfRule type="containsText" dxfId="42" priority="341" operator="containsText" text="Sell">
      <formula>NOT(ISERROR(SEARCH("Sell",E59)))</formula>
    </cfRule>
  </conditionalFormatting>
  <conditionalFormatting sqref="E63">
    <cfRule type="containsText" dxfId="41" priority="334" operator="containsText" text="Buy">
      <formula>NOT(ISERROR(SEARCH("Buy",E63)))</formula>
    </cfRule>
    <cfRule type="containsText" dxfId="40" priority="335" operator="containsText" text="Sell">
      <formula>NOT(ISERROR(SEARCH("Sell",E63)))</formula>
    </cfRule>
  </conditionalFormatting>
  <conditionalFormatting sqref="E62">
    <cfRule type="containsText" dxfId="39" priority="336" operator="containsText" text="Buy">
      <formula>NOT(ISERROR(SEARCH("Buy",E62)))</formula>
    </cfRule>
    <cfRule type="containsText" dxfId="38" priority="337" operator="containsText" text="Sell">
      <formula>NOT(ISERROR(SEARCH("Sell",E62)))</formula>
    </cfRule>
  </conditionalFormatting>
  <conditionalFormatting sqref="E56">
    <cfRule type="containsText" dxfId="37" priority="332" operator="containsText" text="Buy">
      <formula>NOT(ISERROR(SEARCH("Buy",E56)))</formula>
    </cfRule>
    <cfRule type="containsText" dxfId="36" priority="333" operator="containsText" text="Sell">
      <formula>NOT(ISERROR(SEARCH("Sell",E56)))</formula>
    </cfRule>
  </conditionalFormatting>
  <conditionalFormatting sqref="E52">
    <cfRule type="containsText" dxfId="35" priority="330" operator="containsText" text="Buy">
      <formula>NOT(ISERROR(SEARCH("Buy",E52)))</formula>
    </cfRule>
    <cfRule type="containsText" dxfId="34" priority="331" operator="containsText" text="Sell">
      <formula>NOT(ISERROR(SEARCH("Sell",E52)))</formula>
    </cfRule>
  </conditionalFormatting>
  <conditionalFormatting sqref="E42">
    <cfRule type="containsText" dxfId="33" priority="328" operator="containsText" text="Buy">
      <formula>NOT(ISERROR(SEARCH("Buy",E42)))</formula>
    </cfRule>
    <cfRule type="containsText" dxfId="32" priority="329" operator="containsText" text="Sell">
      <formula>NOT(ISERROR(SEARCH("Sell",E42)))</formula>
    </cfRule>
  </conditionalFormatting>
  <conditionalFormatting sqref="E41">
    <cfRule type="containsText" dxfId="31" priority="326" operator="containsText" text="Buy">
      <formula>NOT(ISERROR(SEARCH("Buy",E41)))</formula>
    </cfRule>
    <cfRule type="containsText" dxfId="30" priority="327" operator="containsText" text="Sell">
      <formula>NOT(ISERROR(SEARCH("Sell",E41)))</formula>
    </cfRule>
  </conditionalFormatting>
  <conditionalFormatting sqref="E33">
    <cfRule type="containsText" dxfId="29" priority="324" operator="containsText" text="Buy">
      <formula>NOT(ISERROR(SEARCH("Buy",E33)))</formula>
    </cfRule>
    <cfRule type="containsText" dxfId="28" priority="325" operator="containsText" text="Sell">
      <formula>NOT(ISERROR(SEARCH("Sell",E33)))</formula>
    </cfRule>
  </conditionalFormatting>
  <conditionalFormatting sqref="E34">
    <cfRule type="containsText" dxfId="27" priority="322" operator="containsText" text="Buy">
      <formula>NOT(ISERROR(SEARCH("Buy",E34)))</formula>
    </cfRule>
    <cfRule type="containsText" dxfId="26" priority="323" operator="containsText" text="Sell">
      <formula>NOT(ISERROR(SEARCH("Sell",E34)))</formula>
    </cfRule>
  </conditionalFormatting>
  <conditionalFormatting sqref="S4:W4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{CBCF6CDA-9AAE-4F74-A9BC-9AB06DDE802D}</x14:id>
        </ext>
      </extLst>
    </cfRule>
  </conditionalFormatting>
  <conditionalFormatting sqref="S4:W4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{07D8DF07-9289-4A8F-A9F1-94096BC409D8}</x14:id>
        </ext>
      </extLst>
    </cfRule>
  </conditionalFormatting>
  <conditionalFormatting sqref="S4:W4">
    <cfRule type="dataBar" priority="2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{95FB44EA-C1F6-44AB-8EE5-41419E41C355}</x14:id>
        </ext>
      </extLst>
    </cfRule>
  </conditionalFormatting>
  <conditionalFormatting sqref="X4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{6D662A91-B63B-4C41-94CF-D4C4509398D9}</x14:id>
        </ext>
      </extLst>
    </cfRule>
  </conditionalFormatting>
  <conditionalFormatting sqref="X4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{B3193234-7493-4DA7-A2A7-2EF8BC3B97DF}</x14:id>
        </ext>
      </extLst>
    </cfRule>
  </conditionalFormatting>
  <conditionalFormatting sqref="X4">
    <cfRule type="dataBar" priority="2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{E1D2ABAA-536D-44A1-BB54-1F29353FA4D9}</x14:id>
        </ext>
      </extLst>
    </cfRule>
  </conditionalFormatting>
  <conditionalFormatting sqref="S4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{F8B2CB4F-E2B9-405E-9649-BF89FF2CF5BD}</x14:id>
        </ext>
      </extLst>
    </cfRule>
  </conditionalFormatting>
  <conditionalFormatting sqref="T4">
    <cfRule type="dataBar" priority="2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{717D2A06-6037-4DEF-B8FE-62972B0B66AC}</x14:id>
        </ext>
      </extLst>
    </cfRule>
  </conditionalFormatting>
  <conditionalFormatting sqref="U4">
    <cfRule type="dataBar" priority="2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{3F31B29B-BC58-412E-9DD0-E7C10A39BC9F}</x14:id>
        </ext>
      </extLst>
    </cfRule>
  </conditionalFormatting>
  <conditionalFormatting sqref="V4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{D0619D26-6F5C-4D52-B428-657B6BBEBFF5}</x14:id>
        </ext>
      </extLst>
    </cfRule>
  </conditionalFormatting>
  <conditionalFormatting sqref="W4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{A2044D96-0866-486A-B53C-9FE5F2D32282}</x14:id>
        </ext>
      </extLst>
    </cfRule>
  </conditionalFormatting>
  <conditionalFormatting sqref="X4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{51EFE54A-F85B-409E-983E-855F1C85EF37}</x14:id>
        </ext>
      </extLst>
    </cfRule>
  </conditionalFormatting>
  <conditionalFormatting sqref="Y4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{94775946-A5C6-4CA3-A592-0AFE37261AC2}</x14:id>
        </ext>
      </extLst>
    </cfRule>
  </conditionalFormatting>
  <conditionalFormatting sqref="S4:X4">
    <cfRule type="dataBar" priority="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{748A8386-FAFE-4B1F-AFB2-87BA72454B4B}</x14:id>
        </ext>
      </extLst>
    </cfRule>
  </conditionalFormatting>
  <conditionalFormatting sqref="S5:W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{CE2DA1B0-9976-46EA-A9C4-187D0F706A5D}</x14:id>
        </ext>
      </extLst>
    </cfRule>
  </conditionalFormatting>
  <conditionalFormatting sqref="S5:W5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{101555BC-06F5-4160-B1EA-81C5034A5B29}</x14:id>
        </ext>
      </extLst>
    </cfRule>
  </conditionalFormatting>
  <conditionalFormatting sqref="S5:W5"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{085CD586-9F5C-4909-AEF3-238D8B87AB9A}</x14:id>
        </ext>
      </extLst>
    </cfRule>
  </conditionalFormatting>
  <conditionalFormatting sqref="X5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{CF3B4ACB-0FAC-4B98-A0E3-526C4DF8C48B}</x14:id>
        </ext>
      </extLst>
    </cfRule>
  </conditionalFormatting>
  <conditionalFormatting sqref="X5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{4EF8C528-44B8-45A9-84C7-5A69033D168E}</x14:id>
        </ext>
      </extLst>
    </cfRule>
  </conditionalFormatting>
  <conditionalFormatting sqref="X5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{ADBFAD15-843E-48E2-A20B-DF6EE0518F12}</x14:id>
        </ext>
      </extLst>
    </cfRule>
  </conditionalFormatting>
  <conditionalFormatting sqref="S5">
    <cfRule type="dataBar" priority="2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{5F790275-CD0E-46BF-9994-B79FE602F981}</x14:id>
        </ext>
      </extLst>
    </cfRule>
  </conditionalFormatting>
  <conditionalFormatting sqref="T5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{577B0890-10CE-43FC-9785-1DD6654BF8DF}</x14:id>
        </ext>
      </extLst>
    </cfRule>
  </conditionalFormatting>
  <conditionalFormatting sqref="U5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{7934747C-376D-4813-992E-F42A1920F6F9}</x14:id>
        </ext>
      </extLst>
    </cfRule>
  </conditionalFormatting>
  <conditionalFormatting sqref="V5">
    <cfRule type="dataBar" priority="2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{8D0F01A0-DE36-4AEC-92E2-8515CD158F90}</x14:id>
        </ext>
      </extLst>
    </cfRule>
  </conditionalFormatting>
  <conditionalFormatting sqref="W5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{37869F9B-40FA-433C-AE02-A7CDC82690B8}</x14:id>
        </ext>
      </extLst>
    </cfRule>
  </conditionalFormatting>
  <conditionalFormatting sqref="X5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{0DC19EEA-052D-4E1C-971D-5969F122E1E1}</x14:id>
        </ext>
      </extLst>
    </cfRule>
  </conditionalFormatting>
  <conditionalFormatting sqref="Y5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{AA39E20C-09B7-47F4-9D55-F703F52C6315}</x14:id>
        </ext>
      </extLst>
    </cfRule>
  </conditionalFormatting>
  <conditionalFormatting sqref="S5:X5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{70DB09AF-3E39-4D7B-AB5D-C65721FFAF8D}</x14:id>
        </ext>
      </extLst>
    </cfRule>
  </conditionalFormatting>
  <conditionalFormatting sqref="S6:W6"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{54CB54CB-EE71-4FB2-A5E0-C9D5E8D5DC00}</x14:id>
        </ext>
      </extLst>
    </cfRule>
  </conditionalFormatting>
  <conditionalFormatting sqref="S6:W6">
    <cfRule type="dataBar" priority="1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{C3559AA2-279E-47E1-84B5-C219D54250FC}</x14:id>
        </ext>
      </extLst>
    </cfRule>
  </conditionalFormatting>
  <conditionalFormatting sqref="S6:W6">
    <cfRule type="dataBar" priority="1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{3527CEFF-584D-4D67-9500-5884EFA78FE2}</x14:id>
        </ext>
      </extLst>
    </cfRule>
  </conditionalFormatting>
  <conditionalFormatting sqref="X6">
    <cfRule type="dataBar" priority="1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{C55F46AA-4C76-4705-82B3-9CDB02F20452}</x14:id>
        </ext>
      </extLst>
    </cfRule>
  </conditionalFormatting>
  <conditionalFormatting sqref="X6">
    <cfRule type="dataBar" priority="1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{22DF6317-47CB-41B4-9DC1-5EA783163468}</x14:id>
        </ext>
      </extLst>
    </cfRule>
  </conditionalFormatting>
  <conditionalFormatting sqref="X6">
    <cfRule type="dataBar" priority="1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{7AB1F939-98A1-417A-BFC1-845370469AA5}</x14:id>
        </ext>
      </extLst>
    </cfRule>
  </conditionalFormatting>
  <conditionalFormatting sqref="S6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{068EE34D-DCF7-4D40-BE68-FD816E1B4462}</x14:id>
        </ext>
      </extLst>
    </cfRule>
  </conditionalFormatting>
  <conditionalFormatting sqref="T6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{3DE9E85F-FA59-44B4-AEF7-7A734191358A}</x14:id>
        </ext>
      </extLst>
    </cfRule>
  </conditionalFormatting>
  <conditionalFormatting sqref="U6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{EFA75A7B-EE3D-4BAC-B7C6-DE52F89E5FAD}</x14:id>
        </ext>
      </extLst>
    </cfRule>
  </conditionalFormatting>
  <conditionalFormatting sqref="V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{9E017A01-EC16-4EE2-B288-2974B1472D77}</x14:id>
        </ext>
      </extLst>
    </cfRule>
  </conditionalFormatting>
  <conditionalFormatting sqref="W6">
    <cfRule type="dataBar" priority="2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{97AEC110-359D-43C8-BA3D-CD61D9DBE789}</x14:id>
        </ext>
      </extLst>
    </cfRule>
  </conditionalFormatting>
  <conditionalFormatting sqref="X6">
    <cfRule type="dataBar" priority="2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{8B423291-2723-469C-A59E-5677AC654D97}</x14:id>
        </ext>
      </extLst>
    </cfRule>
  </conditionalFormatting>
  <conditionalFormatting sqref="Y6">
    <cfRule type="dataBar" priority="2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{9DF9082B-B866-4BAE-9E6D-B0B8480C199B}</x14:id>
        </ext>
      </extLst>
    </cfRule>
  </conditionalFormatting>
  <conditionalFormatting sqref="S6:X6">
    <cfRule type="dataBar" priority="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{A1919521-C0D6-4D3D-BD0A-415F0A20F850}</x14:id>
        </ext>
      </extLst>
    </cfRule>
  </conditionalFormatting>
  <conditionalFormatting sqref="S7:W7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{4C5DB545-5C08-495B-82C8-A7F967E4AD19}</x14:id>
        </ext>
      </extLst>
    </cfRule>
  </conditionalFormatting>
  <conditionalFormatting sqref="S7:W7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{4E2E0739-3C0F-4B34-9885-9CAEFD13EF35}</x14:id>
        </ext>
      </extLst>
    </cfRule>
  </conditionalFormatting>
  <conditionalFormatting sqref="S7:W7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{0DF212C0-5B98-41CF-9E4B-CF0F9442B950}</x14:id>
        </ext>
      </extLst>
    </cfRule>
  </conditionalFormatting>
  <conditionalFormatting sqref="X7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{75B5DD15-ECF8-422D-BC08-E832CDD45C6B}</x14:id>
        </ext>
      </extLst>
    </cfRule>
  </conditionalFormatting>
  <conditionalFormatting sqref="X7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{AD0AC36C-BFE4-43BC-B137-449042B8FDA9}</x14:id>
        </ext>
      </extLst>
    </cfRule>
  </conditionalFormatting>
  <conditionalFormatting sqref="X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{D840E918-96BD-4BFF-A409-A2E40584E8EC}</x14:id>
        </ext>
      </extLst>
    </cfRule>
  </conditionalFormatting>
  <conditionalFormatting sqref="S7">
    <cfRule type="dataBar" priority="1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{238F6B13-02C3-4D0E-9F70-56634B22E4B2}</x14:id>
        </ext>
      </extLst>
    </cfRule>
  </conditionalFormatting>
  <conditionalFormatting sqref="T7">
    <cfRule type="dataBar" priority="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{A9ED4B32-CA59-4A8E-9CD3-ABBD4AE761AA}</x14:id>
        </ext>
      </extLst>
    </cfRule>
  </conditionalFormatting>
  <conditionalFormatting sqref="U7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{BBE5F8CB-C01F-462D-A17E-F1C50D2770D7}</x14:id>
        </ext>
      </extLst>
    </cfRule>
  </conditionalFormatting>
  <conditionalFormatting sqref="V7">
    <cfRule type="dataBar" priority="1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{37248FF5-A02A-4ECD-B28A-13580542B78D}</x14:id>
        </ext>
      </extLst>
    </cfRule>
  </conditionalFormatting>
  <conditionalFormatting sqref="W7">
    <cfRule type="dataBar" priority="1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{3DF62520-5FEF-499B-998E-AAFF135DFB44}</x14:id>
        </ext>
      </extLst>
    </cfRule>
  </conditionalFormatting>
  <conditionalFormatting sqref="X7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{4D94889F-C1F3-40F4-B967-638155287926}</x14:id>
        </ext>
      </extLst>
    </cfRule>
  </conditionalFormatting>
  <conditionalFormatting sqref="Y7">
    <cfRule type="dataBar" priority="1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{790A47B4-2EF5-4EA8-A7A8-BB993E12B71E}</x14:id>
        </ext>
      </extLst>
    </cfRule>
  </conditionalFormatting>
  <conditionalFormatting sqref="S7:X7">
    <cfRule type="dataBar" priority="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{6D280F85-6740-4CB3-B74E-5A3FE88309C9}</x14:id>
        </ext>
      </extLst>
    </cfRule>
  </conditionalFormatting>
  <conditionalFormatting sqref="S8:W8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{59B62864-B16E-4B63-AC4F-3C902D22BE0B}</x14:id>
        </ext>
      </extLst>
    </cfRule>
  </conditionalFormatting>
  <conditionalFormatting sqref="S8:W8"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{FD41CA45-3C51-4B46-841A-A68F33CC26F5}</x14:id>
        </ext>
      </extLst>
    </cfRule>
  </conditionalFormatting>
  <conditionalFormatting sqref="S8:W8"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{2E2D1F85-DFEC-4812-9F88-F0A765E41D42}</x14:id>
        </ext>
      </extLst>
    </cfRule>
  </conditionalFormatting>
  <conditionalFormatting sqref="X8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{0F71C6D4-067F-451F-A263-775C1473EA36}</x14:id>
        </ext>
      </extLst>
    </cfRule>
  </conditionalFormatting>
  <conditionalFormatting sqref="X8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{257D84C1-C80D-4D64-BAEB-A65CF324EE48}</x14:id>
        </ext>
      </extLst>
    </cfRule>
  </conditionalFormatting>
  <conditionalFormatting sqref="X8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{8AAA56B2-4092-47CE-9224-5B6D2D60571F}</x14:id>
        </ext>
      </extLst>
    </cfRule>
  </conditionalFormatting>
  <conditionalFormatting sqref="S8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{1B8F84AA-9F34-4164-BE15-474A29CE3B75}</x14:id>
        </ext>
      </extLst>
    </cfRule>
  </conditionalFormatting>
  <conditionalFormatting sqref="T8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{B79D6533-52B2-4751-8302-82BB4EEBE5DB}</x14:id>
        </ext>
      </extLst>
    </cfRule>
  </conditionalFormatting>
  <conditionalFormatting sqref="U8">
    <cfRule type="dataBar" priority="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{19BA272A-5498-4976-B059-7693342E7313}</x14:id>
        </ext>
      </extLst>
    </cfRule>
  </conditionalFormatting>
  <conditionalFormatting sqref="V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{0FCABB94-53A1-4B85-8D57-5E8BA798CB80}</x14:id>
        </ext>
      </extLst>
    </cfRule>
  </conditionalFormatting>
  <conditionalFormatting sqref="W8"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{F136B0BD-EDD8-40F2-82D7-8698F88FD363}</x14:id>
        </ext>
      </extLst>
    </cfRule>
  </conditionalFormatting>
  <conditionalFormatting sqref="X8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{312E2098-3820-498F-B307-01F4CCE4107A}</x14:id>
        </ext>
      </extLst>
    </cfRule>
  </conditionalFormatting>
  <conditionalFormatting sqref="Y8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{5B5E6140-DFBA-4AD8-B351-9F792E0D1DAB}</x14:id>
        </ext>
      </extLst>
    </cfRule>
  </conditionalFormatting>
  <conditionalFormatting sqref="S8:X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{A5812B6C-B387-4AC9-9D8D-39CE9342C67E}</x14:id>
        </ext>
      </extLst>
    </cfRule>
  </conditionalFormatting>
  <conditionalFormatting sqref="H1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{31C7149B-353D-49F0-BDDC-A118543AE124}</x14:id>
        </ext>
      </extLst>
    </cfRule>
    <cfRule type="cellIs" dxfId="25" priority="30" operator="equal">
      <formula>1</formula>
    </cfRule>
  </conditionalFormatting>
  <conditionalFormatting sqref="D16">
    <cfRule type="containsText" dxfId="24" priority="28" operator="containsText" text="Buy">
      <formula>NOT(ISERROR(SEARCH("Buy",D16)))</formula>
    </cfRule>
    <cfRule type="containsText" dxfId="23" priority="29" operator="containsText" text="Sell">
      <formula>NOT(ISERROR(SEARCH("Sell",D16)))</formula>
    </cfRule>
  </conditionalFormatting>
  <conditionalFormatting sqref="H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{7F877E7A-DC83-4FB3-B4F2-1F53A8D72FAF}</x14:id>
        </ext>
      </extLst>
    </cfRule>
    <cfRule type="cellIs" dxfId="22" priority="26" operator="equal">
      <formula>1</formula>
    </cfRule>
  </conditionalFormatting>
  <conditionalFormatting sqref="D17">
    <cfRule type="containsText" dxfId="21" priority="24" operator="containsText" text="Buy">
      <formula>NOT(ISERROR(SEARCH("Buy",D17)))</formula>
    </cfRule>
    <cfRule type="containsText" dxfId="20" priority="25" operator="containsText" text="Sell">
      <formula>NOT(ISERROR(SEARCH("Sell",D17)))</formula>
    </cfRule>
  </conditionalFormatting>
  <conditionalFormatting sqref="H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{A58ADD50-2B3E-4E65-A6CD-212A52CA0635}</x14:id>
        </ext>
      </extLst>
    </cfRule>
    <cfRule type="cellIs" dxfId="19" priority="22" operator="equal">
      <formula>1</formula>
    </cfRule>
  </conditionalFormatting>
  <conditionalFormatting sqref="D18">
    <cfRule type="containsText" dxfId="18" priority="20" operator="containsText" text="Buy">
      <formula>NOT(ISERROR(SEARCH("Buy",D18)))</formula>
    </cfRule>
    <cfRule type="containsText" dxfId="17" priority="21" operator="containsText" text="Sell">
      <formula>NOT(ISERROR(SEARCH("Sell",D18)))</formula>
    </cfRule>
  </conditionalFormatting>
  <conditionalFormatting sqref="H19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{5395BC7B-EEEC-4D19-A8A5-E9F82C6066AF}</x14:id>
        </ext>
      </extLst>
    </cfRule>
    <cfRule type="cellIs" dxfId="16" priority="18" operator="equal">
      <formula>1</formula>
    </cfRule>
  </conditionalFormatting>
  <conditionalFormatting sqref="D19">
    <cfRule type="containsText" dxfId="15" priority="16" operator="containsText" text="Buy">
      <formula>NOT(ISERROR(SEARCH("Buy",D19)))</formula>
    </cfRule>
    <cfRule type="containsText" dxfId="14" priority="17" operator="containsText" text="Sell">
      <formula>NOT(ISERROR(SEARCH("Sell",D19)))</formula>
    </cfRule>
  </conditionalFormatting>
  <conditionalFormatting sqref="Q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{D54C1CA2-7416-4116-9928-B76EF16E5CE4}</x14:id>
        </ext>
      </extLst>
    </cfRule>
  </conditionalFormatting>
  <conditionalFormatting sqref="O11:P1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{8544C163-BED4-4CCA-91CD-ED8BC573428B}</x14:id>
        </ext>
      </extLst>
    </cfRule>
  </conditionalFormatting>
  <conditionalFormatting sqref="H2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{F306FA9E-2016-47AD-AF58-B5B7F712BCEC}</x14:id>
        </ext>
      </extLst>
    </cfRule>
    <cfRule type="cellIs" dxfId="13" priority="8" operator="equal">
      <formula>1</formula>
    </cfRule>
  </conditionalFormatting>
  <conditionalFormatting sqref="D20">
    <cfRule type="containsText" dxfId="12" priority="6" operator="containsText" text="Buy">
      <formula>NOT(ISERROR(SEARCH("Buy",D20)))</formula>
    </cfRule>
    <cfRule type="containsText" dxfId="11" priority="7" operator="containsText" text="Sell">
      <formula>NOT(ISERROR(SEARCH("Sell",D20)))</formula>
    </cfRule>
  </conditionalFormatting>
  <conditionalFormatting sqref="H2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{4705AB5A-468E-48D6-BE77-CBBCA2E6D1CC}</x14:id>
        </ext>
      </extLst>
    </cfRule>
    <cfRule type="cellIs" dxfId="10" priority="4" operator="equal">
      <formula>1</formula>
    </cfRule>
  </conditionalFormatting>
  <conditionalFormatting sqref="D21">
    <cfRule type="containsText" dxfId="9" priority="2" operator="containsText" text="Buy">
      <formula>NOT(ISERROR(SEARCH("Buy",D21)))</formula>
    </cfRule>
    <cfRule type="containsText" dxfId="8" priority="3" operator="containsText" text="Sell">
      <formula>NOT(ISERROR(SEARCH("Sell",D21)))</formula>
    </cfRule>
  </conditionalFormatting>
  <conditionalFormatting sqref="Q4:Q8">
    <cfRule type="dataBar" priority="304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{DA5C528F-DEF7-4DD4-8341-910FF7C408B8}</x14:id>
        </ext>
      </extLst>
    </cfRule>
  </conditionalFormatting>
  <conditionalFormatting sqref="Q4:Q8">
    <cfRule type="dataBar" priority="30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{BA4CCFF3-D1DA-46F1-976B-07F8ECED137B}</x14:id>
        </ext>
      </extLst>
    </cfRule>
  </conditionalFormatting>
  <conditionalFormatting sqref="I4:J8">
    <cfRule type="dataBar" priority="304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{CC3490F6-6E9E-40BE-8A46-F6DBA36B3B84}</x14:id>
        </ext>
      </extLst>
    </cfRule>
  </conditionalFormatting>
  <conditionalFormatting sqref="I4:J8">
    <cfRule type="dataBar" priority="30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{E44E3629-ED6F-4296-B885-DE711A7D3326}</x14:id>
        </ext>
      </extLst>
    </cfRule>
  </conditionalFormatting>
  <pageMargins left="0.25" right="0.25" top="0.75" bottom="0.75" header="0.3" footer="0.3"/>
  <pageSetup paperSize="9" scale="3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CF6CDA-9AAE-4F74-A9BC-9AB06DDE80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07D8DF07-9289-4A8F-A9F1-94096BC409D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95FB44EA-C1F6-44AB-8EE5-41419E41C3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S4:W4</xm:sqref>
        </x14:conditionalFormatting>
        <x14:conditionalFormatting xmlns:xm="http://schemas.microsoft.com/office/excel/2006/main">
          <x14:cfRule type="dataBar" id="{6D662A91-B63B-4C41-94CF-D4C4509398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B3193234-7493-4DA7-A2A7-2EF8BC3B97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E1D2ABAA-536D-44A1-BB54-1F29353FA4D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F8B2CB4F-E2B9-405E-9649-BF89FF2CF5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717D2A06-6037-4DEF-B8FE-62972B0B66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3F31B29B-BC58-412E-9DD0-E7C10A39BC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D0619D26-6F5C-4D52-B428-657B6BBEBF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A2044D96-0866-486A-B53C-9FE5F2D322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51EFE54A-F85B-409E-983E-855F1C85EF3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94775946-A5C6-4CA3-A592-0AFE37261A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748A8386-FAFE-4B1F-AFB2-87BA72454B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S4:X4</xm:sqref>
        </x14:conditionalFormatting>
        <x14:conditionalFormatting xmlns:xm="http://schemas.microsoft.com/office/excel/2006/main">
          <x14:cfRule type="dataBar" id="{CE2DA1B0-9976-46EA-A9C4-187D0F706A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101555BC-06F5-4160-B1EA-81C5034A5B2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085CD586-9F5C-4909-AEF3-238D8B87AB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S5:W5</xm:sqref>
        </x14:conditionalFormatting>
        <x14:conditionalFormatting xmlns:xm="http://schemas.microsoft.com/office/excel/2006/main">
          <x14:cfRule type="dataBar" id="{CF3B4ACB-0FAC-4B98-A0E3-526C4DF8C4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4EF8C528-44B8-45A9-84C7-5A69033D16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DBFAD15-843E-48E2-A20B-DF6EE0518F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5F790275-CD0E-46BF-9994-B79FE602F9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577B0890-10CE-43FC-9785-1DD6654BF8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7934747C-376D-4813-992E-F42A1920F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8D0F01A0-DE36-4AEC-92E2-8515CD158F9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37869F9B-40FA-433C-AE02-A7CDC82690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0DC19EEA-052D-4E1C-971D-5969F122E1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AA39E20C-09B7-47F4-9D55-F703F52C63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70DB09AF-3E39-4D7B-AB5D-C65721FFAF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S5:X5</xm:sqref>
        </x14:conditionalFormatting>
        <x14:conditionalFormatting xmlns:xm="http://schemas.microsoft.com/office/excel/2006/main">
          <x14:cfRule type="dataBar" id="{54CB54CB-EE71-4FB2-A5E0-C9D5E8D5D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3559AA2-279E-47E1-84B5-C219D54250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3527CEFF-584D-4D67-9500-5884EFA78F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S6:W6</xm:sqref>
        </x14:conditionalFormatting>
        <x14:conditionalFormatting xmlns:xm="http://schemas.microsoft.com/office/excel/2006/main">
          <x14:cfRule type="dataBar" id="{C55F46AA-4C76-4705-82B3-9CDB02F204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22DF6317-47CB-41B4-9DC1-5EA7831634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7AB1F939-98A1-417A-BFC1-845370469A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068EE34D-DCF7-4D40-BE68-FD816E1B44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S6</xm:sqref>
        </x14:conditionalFormatting>
        <x14:conditionalFormatting xmlns:xm="http://schemas.microsoft.com/office/excel/2006/main">
          <x14:cfRule type="dataBar" id="{3DE9E85F-FA59-44B4-AEF7-7A734191358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EFA75A7B-EE3D-4BAC-B7C6-DE52F89E5F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E017A01-EC16-4EE2-B288-2974B1472D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AEC110-359D-43C8-BA3D-CD61D9DBE78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W6</xm:sqref>
        </x14:conditionalFormatting>
        <x14:conditionalFormatting xmlns:xm="http://schemas.microsoft.com/office/excel/2006/main">
          <x14:cfRule type="dataBar" id="{8B423291-2723-469C-A59E-5677AC654D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X6</xm:sqref>
        </x14:conditionalFormatting>
        <x14:conditionalFormatting xmlns:xm="http://schemas.microsoft.com/office/excel/2006/main">
          <x14:cfRule type="dataBar" id="{9DF9082B-B866-4BAE-9E6D-B0B8480C19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Y6</xm:sqref>
        </x14:conditionalFormatting>
        <x14:conditionalFormatting xmlns:xm="http://schemas.microsoft.com/office/excel/2006/main">
          <x14:cfRule type="dataBar" id="{A1919521-C0D6-4D3D-BD0A-415F0A20F8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S6:X6</xm:sqref>
        </x14:conditionalFormatting>
        <x14:conditionalFormatting xmlns:xm="http://schemas.microsoft.com/office/excel/2006/main">
          <x14:cfRule type="dataBar" id="{4C5DB545-5C08-495B-82C8-A7F967E4AD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4E2E0739-3C0F-4B34-9885-9CAEFD13EF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0DF212C0-5B98-41CF-9E4B-CF0F9442B9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S7:W7</xm:sqref>
        </x14:conditionalFormatting>
        <x14:conditionalFormatting xmlns:xm="http://schemas.microsoft.com/office/excel/2006/main">
          <x14:cfRule type="dataBar" id="{75B5DD15-ECF8-422D-BC08-E832CDD45C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AD0AC36C-BFE4-43BC-B137-449042B8FD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D840E918-96BD-4BFF-A409-A2E40584E8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238F6B13-02C3-4D0E-9F70-56634B22E4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A9ED4B32-CA59-4A8E-9CD3-ABBD4AE761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BBE5F8CB-C01F-462D-A17E-F1C50D2770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7248FF5-A02A-4ECD-B28A-13580542B7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DF62520-5FEF-499B-998E-AAFF135DFB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4D94889F-C1F3-40F4-B967-6381552879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790A47B4-2EF5-4EA8-A7A8-BB993E12B7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6D280F85-6740-4CB3-B74E-5A3FE88309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S7:X7</xm:sqref>
        </x14:conditionalFormatting>
        <x14:conditionalFormatting xmlns:xm="http://schemas.microsoft.com/office/excel/2006/main">
          <x14:cfRule type="dataBar" id="{59B62864-B16E-4B63-AC4F-3C902D22BE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FD41CA45-3C51-4B46-841A-A68F33CC26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2E2D1F85-DFEC-4812-9F88-F0A765E41D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S8:W8</xm:sqref>
        </x14:conditionalFormatting>
        <x14:conditionalFormatting xmlns:xm="http://schemas.microsoft.com/office/excel/2006/main">
          <x14:cfRule type="dataBar" id="{0F71C6D4-067F-451F-A263-775C1473EA3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257D84C1-C80D-4D64-BAEB-A65CF324E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AAA56B2-4092-47CE-9224-5B6D2D6057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1B8F84AA-9F34-4164-BE15-474A29CE3B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B79D6533-52B2-4751-8302-82BB4EEBE5D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19BA272A-5498-4976-B059-7693342E73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0FCABB94-53A1-4B85-8D57-5E8BA798CB8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F136B0BD-EDD8-40F2-82D7-8698F88FD3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312E2098-3820-498F-B307-01F4CCE410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5B5E6140-DFBA-4AD8-B351-9F792E0D1D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A5812B6C-B387-4AC9-9D8D-39CE9342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S8:X8</xm:sqref>
        </x14:conditionalFormatting>
        <x14:conditionalFormatting xmlns:xm="http://schemas.microsoft.com/office/excel/2006/main">
          <x14:cfRule type="dataBar" id="{31C7149B-353D-49F0-BDDC-A118543AE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F877E7A-DC83-4FB3-B4F2-1F53A8D72F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  <x14:conditionalFormatting xmlns:xm="http://schemas.microsoft.com/office/excel/2006/main">
          <x14:cfRule type="dataBar" id="{A58ADD50-2B3E-4E65-A6CD-212A52CA06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H18</xm:sqref>
        </x14:conditionalFormatting>
        <x14:conditionalFormatting xmlns:xm="http://schemas.microsoft.com/office/excel/2006/main">
          <x14:cfRule type="dataBar" id="{5395BC7B-EEEC-4D19-A8A5-E9F82C6066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54C1CA2-7416-4116-9928-B76EF16E5C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8544C163-BED4-4CCA-91CD-ED8BC57342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O11:P11</xm:sqref>
        </x14:conditionalFormatting>
        <x14:conditionalFormatting xmlns:xm="http://schemas.microsoft.com/office/excel/2006/main">
          <x14:cfRule type="dataBar" id="{F306FA9E-2016-47AD-AF58-B5B7F712BC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4705AB5A-468E-48D6-BE77-CBBCA2E6D1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H21</xm:sqref>
        </x14:conditionalFormatting>
        <x14:conditionalFormatting xmlns:xm="http://schemas.microsoft.com/office/excel/2006/main">
          <x14:cfRule type="dataBar" id="{DA5C528F-DEF7-4DD4-8341-910FF7C40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BA4CCFF3-D1DA-46F1-976B-07F8ECED13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Q4:Q8</xm:sqref>
        </x14:conditionalFormatting>
        <x14:conditionalFormatting xmlns:xm="http://schemas.microsoft.com/office/excel/2006/main">
          <x14:cfRule type="dataBar" id="{CC3490F6-6E9E-40BE-8A46-F6DBA36B3B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  <x14:conditionalFormatting xmlns:xm="http://schemas.microsoft.com/office/excel/2006/main">
          <x14:cfRule type="dataBar" id="{E44E3629-ED6F-4296-B885-DE711A7D3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I4:J8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C325"/>
  <sheetViews>
    <sheetView topLeftCell="A94" workbookViewId="0">
      <selection activeCell="C11" sqref="C11"/>
    </sheetView>
  </sheetViews>
  <sheetFormatPr defaultRowHeight="15" x14ac:dyDescent="0.25"/>
  <cols>
    <col min="3" max="3" width="28.28515625" customWidth="1"/>
  </cols>
  <sheetData>
    <row r="1" spans="1:27" s="32" customFormat="1" ht="102" x14ac:dyDescent="0.2">
      <c r="A1" s="51" t="s">
        <v>661</v>
      </c>
      <c r="B1" s="51" t="s">
        <v>105</v>
      </c>
      <c r="C1" s="50" t="s">
        <v>104</v>
      </c>
      <c r="D1" s="50" t="s">
        <v>120</v>
      </c>
      <c r="E1" s="50" t="s">
        <v>119</v>
      </c>
      <c r="F1" s="50" t="s">
        <v>100</v>
      </c>
      <c r="G1" s="50" t="s">
        <v>118</v>
      </c>
      <c r="H1" s="50" t="s">
        <v>97</v>
      </c>
      <c r="I1" s="50" t="s">
        <v>401</v>
      </c>
      <c r="J1" s="50" t="s">
        <v>138</v>
      </c>
      <c r="K1" s="50" t="s">
        <v>407</v>
      </c>
      <c r="L1" s="50" t="s">
        <v>127</v>
      </c>
      <c r="M1" s="50" t="s">
        <v>115</v>
      </c>
      <c r="N1" s="50" t="s">
        <v>114</v>
      </c>
      <c r="O1" s="50" t="s">
        <v>111</v>
      </c>
      <c r="P1" s="50" t="s">
        <v>112</v>
      </c>
      <c r="Q1" s="50" t="s">
        <v>111</v>
      </c>
      <c r="R1" s="83" t="s">
        <v>110</v>
      </c>
      <c r="S1" s="83" t="s">
        <v>128</v>
      </c>
      <c r="T1" s="83" t="s">
        <v>129</v>
      </c>
      <c r="U1" s="83" t="s">
        <v>130</v>
      </c>
      <c r="V1" s="83" t="s">
        <v>131</v>
      </c>
      <c r="W1" s="83" t="s">
        <v>132</v>
      </c>
      <c r="X1" s="83" t="s">
        <v>233</v>
      </c>
      <c r="Y1" s="83" t="s">
        <v>283</v>
      </c>
      <c r="Z1" s="83" t="s">
        <v>284</v>
      </c>
      <c r="AA1" s="83" t="s">
        <v>369</v>
      </c>
    </row>
    <row r="2" spans="1:27" x14ac:dyDescent="0.25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F2" t="e">
        <f>#REF!</f>
        <v>#REF!</v>
      </c>
      <c r="G2" t="e">
        <f>#REF!</f>
        <v>#REF!</v>
      </c>
      <c r="H2" t="e">
        <f>#REF!</f>
        <v>#REF!</v>
      </c>
      <c r="I2" t="e">
        <f>#REF!</f>
        <v>#REF!</v>
      </c>
      <c r="J2" t="e">
        <f>#REF!</f>
        <v>#REF!</v>
      </c>
      <c r="K2" t="e">
        <f>#REF!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</f>
        <v>#REF!</v>
      </c>
      <c r="S2" t="e">
        <f>#REF!</f>
        <v>#REF!</v>
      </c>
      <c r="T2" t="e">
        <f>#REF!</f>
        <v>#REF!</v>
      </c>
      <c r="U2" t="e">
        <f>#REF!</f>
        <v>#REF!</v>
      </c>
      <c r="V2" t="e">
        <f>#REF!</f>
        <v>#REF!</v>
      </c>
      <c r="W2" t="e">
        <f>#REF!</f>
        <v>#REF!</v>
      </c>
      <c r="X2" t="e">
        <f>#REF!</f>
        <v>#REF!</v>
      </c>
      <c r="Y2" t="e">
        <f>#REF!</f>
        <v>#REF!</v>
      </c>
      <c r="Z2" t="e">
        <f>#REF!</f>
        <v>#REF!</v>
      </c>
      <c r="AA2" t="e">
        <f>#REF!</f>
        <v>#REF!</v>
      </c>
    </row>
    <row r="3" spans="1:27" x14ac:dyDescent="0.25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t="e">
        <f>#REF!</f>
        <v>#REF!</v>
      </c>
      <c r="V3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</row>
    <row r="4" spans="1:27" x14ac:dyDescent="0.25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G4" t="e">
        <f>#REF!</f>
        <v>#REF!</v>
      </c>
      <c r="H4" t="e">
        <f>#REF!</f>
        <v>#REF!</v>
      </c>
      <c r="I4" t="e">
        <f>#REF!</f>
        <v>#REF!</v>
      </c>
      <c r="J4" t="e">
        <f>#REF!</f>
        <v>#REF!</v>
      </c>
      <c r="K4" t="e">
        <f>#REF!</f>
        <v>#REF!</v>
      </c>
      <c r="L4" t="e">
        <f>#REF!</f>
        <v>#REF!</v>
      </c>
      <c r="M4" t="e">
        <f>#REF!</f>
        <v>#REF!</v>
      </c>
      <c r="N4" t="e">
        <f>#REF!</f>
        <v>#REF!</v>
      </c>
      <c r="O4" t="e">
        <f>#REF!</f>
        <v>#REF!</v>
      </c>
      <c r="P4" t="e">
        <f>#REF!</f>
        <v>#REF!</v>
      </c>
      <c r="Q4" t="e">
        <f>#REF!</f>
        <v>#REF!</v>
      </c>
      <c r="R4" t="e">
        <f>#REF!</f>
        <v>#REF!</v>
      </c>
      <c r="S4" t="e">
        <f>#REF!</f>
        <v>#REF!</v>
      </c>
      <c r="T4" t="e">
        <f>#REF!</f>
        <v>#REF!</v>
      </c>
      <c r="U4" t="e">
        <f>#REF!</f>
        <v>#REF!</v>
      </c>
      <c r="V4" t="e">
        <f>#REF!</f>
        <v>#REF!</v>
      </c>
      <c r="W4" t="e">
        <f>#REF!</f>
        <v>#REF!</v>
      </c>
      <c r="X4" t="e">
        <f>#REF!</f>
        <v>#REF!</v>
      </c>
      <c r="Y4" t="e">
        <f>#REF!</f>
        <v>#REF!</v>
      </c>
      <c r="Z4" t="e">
        <f>#REF!</f>
        <v>#REF!</v>
      </c>
      <c r="AA4" t="e">
        <f>#REF!</f>
        <v>#REF!</v>
      </c>
    </row>
    <row r="5" spans="1:27" x14ac:dyDescent="0.25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G5" t="e">
        <f>#REF!</f>
        <v>#REF!</v>
      </c>
      <c r="H5" t="e">
        <f>#REF!</f>
        <v>#REF!</v>
      </c>
      <c r="I5" t="e">
        <f>#REF!</f>
        <v>#REF!</v>
      </c>
      <c r="J5" t="e">
        <f>#REF!</f>
        <v>#REF!</v>
      </c>
      <c r="K5" t="e">
        <f>#REF!</f>
        <v>#REF!</v>
      </c>
      <c r="L5" t="e">
        <f>#REF!</f>
        <v>#REF!</v>
      </c>
      <c r="M5" t="e">
        <f>#REF!</f>
        <v>#REF!</v>
      </c>
      <c r="N5" t="e">
        <f>#REF!</f>
        <v>#REF!</v>
      </c>
      <c r="O5" t="e">
        <f>#REF!</f>
        <v>#REF!</v>
      </c>
      <c r="P5" t="e">
        <f>#REF!</f>
        <v>#REF!</v>
      </c>
      <c r="Q5" t="e">
        <f>#REF!</f>
        <v>#REF!</v>
      </c>
      <c r="R5" t="e">
        <f>#REF!</f>
        <v>#REF!</v>
      </c>
      <c r="S5" t="e">
        <f>#REF!</f>
        <v>#REF!</v>
      </c>
      <c r="T5" t="e">
        <f>#REF!</f>
        <v>#REF!</v>
      </c>
      <c r="U5" t="e">
        <f>#REF!</f>
        <v>#REF!</v>
      </c>
      <c r="V5" t="e">
        <f>#REF!</f>
        <v>#REF!</v>
      </c>
      <c r="W5" t="e">
        <f>#REF!</f>
        <v>#REF!</v>
      </c>
      <c r="X5" t="e">
        <f>#REF!</f>
        <v>#REF!</v>
      </c>
      <c r="Y5" t="e">
        <f>#REF!</f>
        <v>#REF!</v>
      </c>
      <c r="Z5" t="e">
        <f>#REF!</f>
        <v>#REF!</v>
      </c>
      <c r="AA5" t="e">
        <f>#REF!</f>
        <v>#REF!</v>
      </c>
    </row>
    <row r="6" spans="1:27" x14ac:dyDescent="0.25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G6" t="e">
        <f>#REF!</f>
        <v>#REF!</v>
      </c>
      <c r="H6" t="e">
        <f>#REF!</f>
        <v>#REF!</v>
      </c>
      <c r="I6" t="e">
        <f>#REF!</f>
        <v>#REF!</v>
      </c>
      <c r="J6" t="e">
        <f>#REF!</f>
        <v>#REF!</v>
      </c>
      <c r="K6" t="e">
        <f>#REF!</f>
        <v>#REF!</v>
      </c>
      <c r="L6" t="e">
        <f>#REF!</f>
        <v>#REF!</v>
      </c>
      <c r="M6" t="e">
        <f>#REF!</f>
        <v>#REF!</v>
      </c>
      <c r="N6" t="e">
        <f>#REF!</f>
        <v>#REF!</v>
      </c>
      <c r="O6" t="e">
        <f>#REF!</f>
        <v>#REF!</v>
      </c>
      <c r="P6" t="e">
        <f>#REF!</f>
        <v>#REF!</v>
      </c>
      <c r="Q6" t="e">
        <f>#REF!</f>
        <v>#REF!</v>
      </c>
      <c r="R6" t="e">
        <f>#REF!</f>
        <v>#REF!</v>
      </c>
      <c r="S6" t="e">
        <f>#REF!</f>
        <v>#REF!</v>
      </c>
      <c r="T6" t="e">
        <f>#REF!</f>
        <v>#REF!</v>
      </c>
      <c r="U6" t="e">
        <f>#REF!</f>
        <v>#REF!</v>
      </c>
      <c r="V6" t="e">
        <f>#REF!</f>
        <v>#REF!</v>
      </c>
      <c r="W6" t="e">
        <f>#REF!</f>
        <v>#REF!</v>
      </c>
      <c r="X6" t="e">
        <f>#REF!</f>
        <v>#REF!</v>
      </c>
      <c r="Y6" t="e">
        <f>#REF!</f>
        <v>#REF!</v>
      </c>
      <c r="Z6" t="e">
        <f>#REF!</f>
        <v>#REF!</v>
      </c>
      <c r="AA6" t="e">
        <f>#REF!</f>
        <v>#REF!</v>
      </c>
    </row>
    <row r="7" spans="1:27" x14ac:dyDescent="0.25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  <c r="G7" t="e">
        <f>#REF!</f>
        <v>#REF!</v>
      </c>
      <c r="H7" t="e">
        <f>#REF!</f>
        <v>#REF!</v>
      </c>
      <c r="I7" t="e">
        <f>#REF!</f>
        <v>#REF!</v>
      </c>
      <c r="J7" t="e">
        <f>#REF!</f>
        <v>#REF!</v>
      </c>
      <c r="K7" t="e">
        <f>#REF!</f>
        <v>#REF!</v>
      </c>
      <c r="L7" t="e">
        <f>#REF!</f>
        <v>#REF!</v>
      </c>
      <c r="M7" t="e">
        <f>#REF!</f>
        <v>#REF!</v>
      </c>
      <c r="N7" t="e">
        <f>#REF!</f>
        <v>#REF!</v>
      </c>
      <c r="O7" t="e">
        <f>#REF!</f>
        <v>#REF!</v>
      </c>
      <c r="P7" t="e">
        <f>#REF!</f>
        <v>#REF!</v>
      </c>
      <c r="Q7" t="e">
        <f>#REF!</f>
        <v>#REF!</v>
      </c>
      <c r="R7" t="e">
        <f>#REF!</f>
        <v>#REF!</v>
      </c>
      <c r="S7" t="e">
        <f>#REF!</f>
        <v>#REF!</v>
      </c>
      <c r="T7" t="e">
        <f>#REF!</f>
        <v>#REF!</v>
      </c>
      <c r="U7" t="e">
        <f>#REF!</f>
        <v>#REF!</v>
      </c>
      <c r="V7" t="e">
        <f>#REF!</f>
        <v>#REF!</v>
      </c>
      <c r="W7" t="e">
        <f>#REF!</f>
        <v>#REF!</v>
      </c>
      <c r="X7" t="e">
        <f>#REF!</f>
        <v>#REF!</v>
      </c>
      <c r="Y7" t="e">
        <f>#REF!</f>
        <v>#REF!</v>
      </c>
      <c r="Z7" t="e">
        <f>#REF!</f>
        <v>#REF!</v>
      </c>
      <c r="AA7" t="e">
        <f>#REF!</f>
        <v>#REF!</v>
      </c>
    </row>
    <row r="8" spans="1:27" x14ac:dyDescent="0.25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G8" t="e">
        <f>#REF!</f>
        <v>#REF!</v>
      </c>
      <c r="H8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t="e">
        <f>#REF!</f>
        <v>#REF!</v>
      </c>
      <c r="M8" t="e">
        <f>#REF!</f>
        <v>#REF!</v>
      </c>
      <c r="N8" t="e">
        <f>#REF!</f>
        <v>#REF!</v>
      </c>
      <c r="O8" t="e">
        <f>#REF!</f>
        <v>#REF!</v>
      </c>
      <c r="P8" t="e">
        <f>#REF!</f>
        <v>#REF!</v>
      </c>
      <c r="Q8" t="e">
        <f>#REF!</f>
        <v>#REF!</v>
      </c>
      <c r="R8" t="e">
        <f>#REF!</f>
        <v>#REF!</v>
      </c>
      <c r="S8" t="e">
        <f>#REF!</f>
        <v>#REF!</v>
      </c>
      <c r="T8" t="e">
        <f>#REF!</f>
        <v>#REF!</v>
      </c>
      <c r="U8" t="e">
        <f>#REF!</f>
        <v>#REF!</v>
      </c>
      <c r="V8" t="e">
        <f>#REF!</f>
        <v>#REF!</v>
      </c>
      <c r="W8" t="e">
        <f>#REF!</f>
        <v>#REF!</v>
      </c>
      <c r="X8" t="e">
        <f>#REF!</f>
        <v>#REF!</v>
      </c>
      <c r="Y8" t="e">
        <f>#REF!</f>
        <v>#REF!</v>
      </c>
      <c r="Z8" t="e">
        <f>#REF!</f>
        <v>#REF!</v>
      </c>
      <c r="AA8" t="e">
        <f>#REF!</f>
        <v>#REF!</v>
      </c>
    </row>
    <row r="9" spans="1:27" x14ac:dyDescent="0.25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G9" t="e">
        <f>#REF!</f>
        <v>#REF!</v>
      </c>
      <c r="H9" t="e">
        <f>#REF!</f>
        <v>#REF!</v>
      </c>
      <c r="I9" t="e">
        <f>#REF!</f>
        <v>#REF!</v>
      </c>
      <c r="J9" t="e">
        <f>#REF!</f>
        <v>#REF!</v>
      </c>
      <c r="K9" t="e">
        <f>#REF!</f>
        <v>#REF!</v>
      </c>
      <c r="L9" t="e">
        <f>#REF!</f>
        <v>#REF!</v>
      </c>
      <c r="M9" t="e">
        <f>#REF!</f>
        <v>#REF!</v>
      </c>
      <c r="N9" t="e">
        <f>#REF!</f>
        <v>#REF!</v>
      </c>
      <c r="O9" t="e">
        <f>#REF!</f>
        <v>#REF!</v>
      </c>
      <c r="P9" t="e">
        <f>#REF!</f>
        <v>#REF!</v>
      </c>
      <c r="Q9" t="e">
        <f>#REF!</f>
        <v>#REF!</v>
      </c>
      <c r="R9" t="e">
        <f>#REF!</f>
        <v>#REF!</v>
      </c>
      <c r="S9" t="e">
        <f>#REF!</f>
        <v>#REF!</v>
      </c>
      <c r="T9" t="e">
        <f>#REF!</f>
        <v>#REF!</v>
      </c>
      <c r="U9" t="e">
        <f>#REF!</f>
        <v>#REF!</v>
      </c>
      <c r="V9" t="e">
        <f>#REF!</f>
        <v>#REF!</v>
      </c>
      <c r="W9" t="e">
        <f>#REF!</f>
        <v>#REF!</v>
      </c>
      <c r="X9" t="e">
        <f>#REF!</f>
        <v>#REF!</v>
      </c>
      <c r="Y9" t="e">
        <f>#REF!</f>
        <v>#REF!</v>
      </c>
      <c r="Z9" t="e">
        <f>#REF!</f>
        <v>#REF!</v>
      </c>
      <c r="AA9" t="e">
        <f>#REF!</f>
        <v>#REF!</v>
      </c>
    </row>
    <row r="10" spans="1:27" x14ac:dyDescent="0.25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G10" t="e">
        <f>#REF!</f>
        <v>#REF!</v>
      </c>
      <c r="H10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t="e">
        <f>#REF!</f>
        <v>#REF!</v>
      </c>
      <c r="M10" t="e">
        <f>#REF!</f>
        <v>#REF!</v>
      </c>
      <c r="N10" t="e">
        <f>#REF!</f>
        <v>#REF!</v>
      </c>
      <c r="O10" t="e">
        <f>#REF!</f>
        <v>#REF!</v>
      </c>
      <c r="P10" t="e">
        <f>#REF!</f>
        <v>#REF!</v>
      </c>
      <c r="Q10" t="e">
        <f>#REF!</f>
        <v>#REF!</v>
      </c>
      <c r="R10" t="e">
        <f>#REF!</f>
        <v>#REF!</v>
      </c>
      <c r="S10" t="e">
        <f>#REF!</f>
        <v>#REF!</v>
      </c>
      <c r="T10" t="e">
        <f>#REF!</f>
        <v>#REF!</v>
      </c>
      <c r="U10" t="e">
        <f>#REF!</f>
        <v>#REF!</v>
      </c>
      <c r="V10" t="e">
        <f>#REF!</f>
        <v>#REF!</v>
      </c>
      <c r="W10" t="e">
        <f>#REF!</f>
        <v>#REF!</v>
      </c>
      <c r="X10" t="e">
        <f>#REF!</f>
        <v>#REF!</v>
      </c>
      <c r="Y10" t="e">
        <f>#REF!</f>
        <v>#REF!</v>
      </c>
      <c r="Z10" t="e">
        <f>#REF!</f>
        <v>#REF!</v>
      </c>
      <c r="AA10" t="e">
        <f>#REF!</f>
        <v>#REF!</v>
      </c>
    </row>
    <row r="11" spans="1:27" x14ac:dyDescent="0.25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G11" t="e">
        <f>#REF!</f>
        <v>#REF!</v>
      </c>
      <c r="H11" t="e">
        <f>#REF!</f>
        <v>#REF!</v>
      </c>
      <c r="I11" t="e">
        <f>#REF!</f>
        <v>#REF!</v>
      </c>
      <c r="J11" t="e">
        <f>#REF!</f>
        <v>#REF!</v>
      </c>
      <c r="K11" t="e">
        <f>#REF!</f>
        <v>#REF!</v>
      </c>
      <c r="L11" t="e">
        <f>#REF!</f>
        <v>#REF!</v>
      </c>
      <c r="M11" t="e">
        <f>#REF!</f>
        <v>#REF!</v>
      </c>
      <c r="N11" t="e">
        <f>#REF!</f>
        <v>#REF!</v>
      </c>
      <c r="O11" t="e">
        <f>#REF!</f>
        <v>#REF!</v>
      </c>
      <c r="P11" t="e">
        <f>#REF!</f>
        <v>#REF!</v>
      </c>
      <c r="Q11" t="e">
        <f>#REF!</f>
        <v>#REF!</v>
      </c>
      <c r="R11" t="e">
        <f>#REF!</f>
        <v>#REF!</v>
      </c>
      <c r="S11" t="e">
        <f>#REF!</f>
        <v>#REF!</v>
      </c>
      <c r="T11" t="e">
        <f>#REF!</f>
        <v>#REF!</v>
      </c>
      <c r="U11" t="e">
        <f>#REF!</f>
        <v>#REF!</v>
      </c>
      <c r="V11" t="e">
        <f>#REF!</f>
        <v>#REF!</v>
      </c>
      <c r="W11" t="e">
        <f>#REF!</f>
        <v>#REF!</v>
      </c>
      <c r="X11" t="e">
        <f>#REF!</f>
        <v>#REF!</v>
      </c>
      <c r="Y11" t="e">
        <f>#REF!</f>
        <v>#REF!</v>
      </c>
      <c r="Z11" t="e">
        <f>#REF!</f>
        <v>#REF!</v>
      </c>
      <c r="AA11" t="e">
        <f>#REF!</f>
        <v>#REF!</v>
      </c>
    </row>
    <row r="12" spans="1:27" x14ac:dyDescent="0.25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G12" t="e">
        <f>#REF!</f>
        <v>#REF!</v>
      </c>
      <c r="H12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  <c r="M12" t="e">
        <f>#REF!</f>
        <v>#REF!</v>
      </c>
      <c r="N12" t="e">
        <f>#REF!</f>
        <v>#REF!</v>
      </c>
      <c r="O12" t="e">
        <f>#REF!</f>
        <v>#REF!</v>
      </c>
      <c r="P12" t="e">
        <f>#REF!</f>
        <v>#REF!</v>
      </c>
      <c r="Q12" t="e">
        <f>#REF!</f>
        <v>#REF!</v>
      </c>
      <c r="R12" t="e">
        <f>#REF!</f>
        <v>#REF!</v>
      </c>
      <c r="S12" t="e">
        <f>#REF!</f>
        <v>#REF!</v>
      </c>
      <c r="T12" t="e">
        <f>#REF!</f>
        <v>#REF!</v>
      </c>
      <c r="U12" t="e">
        <f>#REF!</f>
        <v>#REF!</v>
      </c>
      <c r="V12" t="e">
        <f>#REF!</f>
        <v>#REF!</v>
      </c>
      <c r="W12" t="e">
        <f>#REF!</f>
        <v>#REF!</v>
      </c>
      <c r="X12" t="e">
        <f>#REF!</f>
        <v>#REF!</v>
      </c>
      <c r="Y12" t="e">
        <f>#REF!</f>
        <v>#REF!</v>
      </c>
      <c r="Z12" t="e">
        <f>#REF!</f>
        <v>#REF!</v>
      </c>
      <c r="AA12" t="e">
        <f>#REF!</f>
        <v>#REF!</v>
      </c>
    </row>
    <row r="13" spans="1:27" x14ac:dyDescent="0.25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G13" t="e">
        <f>#REF!</f>
        <v>#REF!</v>
      </c>
      <c r="H13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  <c r="M13" t="e">
        <f>#REF!</f>
        <v>#REF!</v>
      </c>
      <c r="N13" t="e">
        <f>#REF!</f>
        <v>#REF!</v>
      </c>
      <c r="O13" t="e">
        <f>#REF!</f>
        <v>#REF!</v>
      </c>
      <c r="P13" t="e">
        <f>#REF!</f>
        <v>#REF!</v>
      </c>
      <c r="Q13" t="e">
        <f>#REF!</f>
        <v>#REF!</v>
      </c>
      <c r="R13" t="e">
        <f>#REF!</f>
        <v>#REF!</v>
      </c>
      <c r="S13" t="e">
        <f>#REF!</f>
        <v>#REF!</v>
      </c>
      <c r="T13" t="e">
        <f>#REF!</f>
        <v>#REF!</v>
      </c>
      <c r="U13" t="e">
        <f>#REF!</f>
        <v>#REF!</v>
      </c>
      <c r="V13" t="e">
        <f>#REF!</f>
        <v>#REF!</v>
      </c>
      <c r="W13" t="e">
        <f>#REF!</f>
        <v>#REF!</v>
      </c>
      <c r="X13" t="e">
        <f>#REF!</f>
        <v>#REF!</v>
      </c>
      <c r="Y13" t="e">
        <f>#REF!</f>
        <v>#REF!</v>
      </c>
      <c r="Z13" t="e">
        <f>#REF!</f>
        <v>#REF!</v>
      </c>
      <c r="AA13" t="e">
        <f>#REF!</f>
        <v>#REF!</v>
      </c>
    </row>
    <row r="14" spans="1:27" x14ac:dyDescent="0.25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G14" t="e">
        <f>#REF!</f>
        <v>#REF!</v>
      </c>
      <c r="H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  <c r="M14" t="e">
        <f>#REF!</f>
        <v>#REF!</v>
      </c>
      <c r="N14" t="e">
        <f>#REF!</f>
        <v>#REF!</v>
      </c>
      <c r="O14" t="e">
        <f>#REF!</f>
        <v>#REF!</v>
      </c>
      <c r="P14" t="e">
        <f>#REF!</f>
        <v>#REF!</v>
      </c>
      <c r="Q14" t="e">
        <f>#REF!</f>
        <v>#REF!</v>
      </c>
      <c r="R14" t="e">
        <f>#REF!</f>
        <v>#REF!</v>
      </c>
      <c r="S14" t="e">
        <f>#REF!</f>
        <v>#REF!</v>
      </c>
      <c r="T14" t="e">
        <f>#REF!</f>
        <v>#REF!</v>
      </c>
      <c r="U14" t="e">
        <f>#REF!</f>
        <v>#REF!</v>
      </c>
      <c r="V14" t="e">
        <f>#REF!</f>
        <v>#REF!</v>
      </c>
      <c r="W14" t="e">
        <f>#REF!</f>
        <v>#REF!</v>
      </c>
      <c r="X14" t="e">
        <f>#REF!</f>
        <v>#REF!</v>
      </c>
      <c r="Y14" t="e">
        <f>#REF!</f>
        <v>#REF!</v>
      </c>
      <c r="Z14" t="e">
        <f>#REF!</f>
        <v>#REF!</v>
      </c>
      <c r="AA14" t="e">
        <f>#REF!</f>
        <v>#REF!</v>
      </c>
    </row>
    <row r="15" spans="1:27" x14ac:dyDescent="0.25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G15" t="e">
        <f>#REF!</f>
        <v>#REF!</v>
      </c>
      <c r="H15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  <c r="M15" t="e">
        <f>#REF!</f>
        <v>#REF!</v>
      </c>
      <c r="N15" t="e">
        <f>#REF!</f>
        <v>#REF!</v>
      </c>
      <c r="O15" t="e">
        <f>#REF!</f>
        <v>#REF!</v>
      </c>
      <c r="P15" t="e">
        <f>#REF!</f>
        <v>#REF!</v>
      </c>
      <c r="Q15" t="e">
        <f>#REF!</f>
        <v>#REF!</v>
      </c>
      <c r="R15" t="e">
        <f>#REF!</f>
        <v>#REF!</v>
      </c>
      <c r="S15" t="e">
        <f>#REF!</f>
        <v>#REF!</v>
      </c>
      <c r="T15" t="e">
        <f>#REF!</f>
        <v>#REF!</v>
      </c>
      <c r="U15" t="e">
        <f>#REF!</f>
        <v>#REF!</v>
      </c>
      <c r="V15" t="e">
        <f>#REF!</f>
        <v>#REF!</v>
      </c>
      <c r="W15" t="e">
        <f>#REF!</f>
        <v>#REF!</v>
      </c>
      <c r="X15" t="e">
        <f>#REF!</f>
        <v>#REF!</v>
      </c>
      <c r="Y15" t="e">
        <f>#REF!</f>
        <v>#REF!</v>
      </c>
      <c r="Z15" t="e">
        <f>#REF!</f>
        <v>#REF!</v>
      </c>
      <c r="AA15" t="e">
        <f>#REF!</f>
        <v>#REF!</v>
      </c>
    </row>
    <row r="16" spans="1:27" x14ac:dyDescent="0.25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G16" t="e">
        <f>#REF!</f>
        <v>#REF!</v>
      </c>
      <c r="H16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  <c r="M16" t="e">
        <f>#REF!</f>
        <v>#REF!</v>
      </c>
      <c r="N16" t="e">
        <f>#REF!</f>
        <v>#REF!</v>
      </c>
      <c r="O16" t="e">
        <f>#REF!</f>
        <v>#REF!</v>
      </c>
      <c r="P16" t="e">
        <f>#REF!</f>
        <v>#REF!</v>
      </c>
      <c r="Q16" t="e">
        <f>#REF!</f>
        <v>#REF!</v>
      </c>
      <c r="R16" t="e">
        <f>#REF!</f>
        <v>#REF!</v>
      </c>
      <c r="S16" t="e">
        <f>#REF!</f>
        <v>#REF!</v>
      </c>
      <c r="T16" t="e">
        <f>#REF!</f>
        <v>#REF!</v>
      </c>
      <c r="U16" t="e">
        <f>#REF!</f>
        <v>#REF!</v>
      </c>
      <c r="V16" t="e">
        <f>#REF!</f>
        <v>#REF!</v>
      </c>
      <c r="W16" t="e">
        <f>#REF!</f>
        <v>#REF!</v>
      </c>
      <c r="X16" t="e">
        <f>#REF!</f>
        <v>#REF!</v>
      </c>
      <c r="Y16" t="e">
        <f>#REF!</f>
        <v>#REF!</v>
      </c>
      <c r="Z16" t="e">
        <f>#REF!</f>
        <v>#REF!</v>
      </c>
      <c r="AA16" t="e">
        <f>#REF!</f>
        <v>#REF!</v>
      </c>
    </row>
    <row r="17" spans="1:27" x14ac:dyDescent="0.25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G17" t="e">
        <f>#REF!</f>
        <v>#REF!</v>
      </c>
      <c r="H17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  <c r="M17" t="e">
        <f>#REF!</f>
        <v>#REF!</v>
      </c>
      <c r="N17" t="e">
        <f>#REF!</f>
        <v>#REF!</v>
      </c>
      <c r="O17" t="e">
        <f>#REF!</f>
        <v>#REF!</v>
      </c>
      <c r="P17" t="e">
        <f>#REF!</f>
        <v>#REF!</v>
      </c>
      <c r="Q17" t="e">
        <f>#REF!</f>
        <v>#REF!</v>
      </c>
      <c r="R17" t="e">
        <f>#REF!</f>
        <v>#REF!</v>
      </c>
      <c r="S17" t="e">
        <f>#REF!</f>
        <v>#REF!</v>
      </c>
      <c r="T17" t="e">
        <f>#REF!</f>
        <v>#REF!</v>
      </c>
      <c r="U17" t="e">
        <f>#REF!</f>
        <v>#REF!</v>
      </c>
      <c r="V17" t="e">
        <f>#REF!</f>
        <v>#REF!</v>
      </c>
      <c r="W17" t="e">
        <f>#REF!</f>
        <v>#REF!</v>
      </c>
      <c r="X17" t="e">
        <f>#REF!</f>
        <v>#REF!</v>
      </c>
      <c r="Y17" t="e">
        <f>#REF!</f>
        <v>#REF!</v>
      </c>
      <c r="Z17" t="e">
        <f>#REF!</f>
        <v>#REF!</v>
      </c>
      <c r="AA17" t="e">
        <f>#REF!</f>
        <v>#REF!</v>
      </c>
    </row>
    <row r="18" spans="1:27" x14ac:dyDescent="0.25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G18" t="e">
        <f>#REF!</f>
        <v>#REF!</v>
      </c>
      <c r="H18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  <c r="M18" t="e">
        <f>#REF!</f>
        <v>#REF!</v>
      </c>
      <c r="N18" t="e">
        <f>#REF!</f>
        <v>#REF!</v>
      </c>
      <c r="O18" t="e">
        <f>#REF!</f>
        <v>#REF!</v>
      </c>
      <c r="P18" t="e">
        <f>#REF!</f>
        <v>#REF!</v>
      </c>
      <c r="Q18" t="e">
        <f>#REF!</f>
        <v>#REF!</v>
      </c>
      <c r="R18" t="e">
        <f>#REF!</f>
        <v>#REF!</v>
      </c>
      <c r="S18" t="e">
        <f>#REF!</f>
        <v>#REF!</v>
      </c>
      <c r="T18" t="e">
        <f>#REF!</f>
        <v>#REF!</v>
      </c>
      <c r="U18" t="e">
        <f>#REF!</f>
        <v>#REF!</v>
      </c>
      <c r="V18" t="e">
        <f>#REF!</f>
        <v>#REF!</v>
      </c>
      <c r="W18" t="e">
        <f>#REF!</f>
        <v>#REF!</v>
      </c>
      <c r="X18" t="e">
        <f>#REF!</f>
        <v>#REF!</v>
      </c>
      <c r="Y18" t="e">
        <f>#REF!</f>
        <v>#REF!</v>
      </c>
      <c r="Z18" t="e">
        <f>#REF!</f>
        <v>#REF!</v>
      </c>
      <c r="AA18" t="e">
        <f>#REF!</f>
        <v>#REF!</v>
      </c>
    </row>
    <row r="19" spans="1:27" x14ac:dyDescent="0.25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G19" t="e">
        <f>#REF!</f>
        <v>#REF!</v>
      </c>
      <c r="H19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  <c r="M19" t="e">
        <f>#REF!</f>
        <v>#REF!</v>
      </c>
      <c r="N19" t="e">
        <f>#REF!</f>
        <v>#REF!</v>
      </c>
      <c r="O19" t="e">
        <f>#REF!</f>
        <v>#REF!</v>
      </c>
      <c r="P19" t="e">
        <f>#REF!</f>
        <v>#REF!</v>
      </c>
      <c r="Q19" t="e">
        <f>#REF!</f>
        <v>#REF!</v>
      </c>
      <c r="R19" t="e">
        <f>#REF!</f>
        <v>#REF!</v>
      </c>
      <c r="S19" t="e">
        <f>#REF!</f>
        <v>#REF!</v>
      </c>
      <c r="T19" t="e">
        <f>#REF!</f>
        <v>#REF!</v>
      </c>
      <c r="U19" t="e">
        <f>#REF!</f>
        <v>#REF!</v>
      </c>
      <c r="V19" t="e">
        <f>#REF!</f>
        <v>#REF!</v>
      </c>
      <c r="W19" t="e">
        <f>#REF!</f>
        <v>#REF!</v>
      </c>
      <c r="X19" t="e">
        <f>#REF!</f>
        <v>#REF!</v>
      </c>
      <c r="Y19" t="e">
        <f>#REF!</f>
        <v>#REF!</v>
      </c>
      <c r="Z19" t="e">
        <f>#REF!</f>
        <v>#REF!</v>
      </c>
      <c r="AA19" t="e">
        <f>#REF!</f>
        <v>#REF!</v>
      </c>
    </row>
    <row r="20" spans="1:27" x14ac:dyDescent="0.25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  <c r="M20" t="e">
        <f>#REF!</f>
        <v>#REF!</v>
      </c>
      <c r="N20" t="e">
        <f>#REF!</f>
        <v>#REF!</v>
      </c>
      <c r="O20" t="e">
        <f>#REF!</f>
        <v>#REF!</v>
      </c>
      <c r="P20" t="e">
        <f>#REF!</f>
        <v>#REF!</v>
      </c>
      <c r="Q20" t="e">
        <f>#REF!</f>
        <v>#REF!</v>
      </c>
      <c r="R20" t="e">
        <f>#REF!</f>
        <v>#REF!</v>
      </c>
      <c r="S20" t="e">
        <f>#REF!</f>
        <v>#REF!</v>
      </c>
      <c r="T20" t="e">
        <f>#REF!</f>
        <v>#REF!</v>
      </c>
      <c r="U20" t="e">
        <f>#REF!</f>
        <v>#REF!</v>
      </c>
      <c r="V20" t="e">
        <f>#REF!</f>
        <v>#REF!</v>
      </c>
      <c r="W20" t="e">
        <f>#REF!</f>
        <v>#REF!</v>
      </c>
      <c r="X20" t="e">
        <f>#REF!</f>
        <v>#REF!</v>
      </c>
      <c r="Y20" t="e">
        <f>#REF!</f>
        <v>#REF!</v>
      </c>
      <c r="Z20" t="e">
        <f>#REF!</f>
        <v>#REF!</v>
      </c>
      <c r="AA20" t="e">
        <f>#REF!</f>
        <v>#REF!</v>
      </c>
    </row>
    <row r="21" spans="1:27" x14ac:dyDescent="0.25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G21" t="e">
        <f>#REF!</f>
        <v>#REF!</v>
      </c>
      <c r="H21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  <c r="M21" t="e">
        <f>#REF!</f>
        <v>#REF!</v>
      </c>
      <c r="N21" t="e">
        <f>#REF!</f>
        <v>#REF!</v>
      </c>
      <c r="O21" t="e">
        <f>#REF!</f>
        <v>#REF!</v>
      </c>
      <c r="P21" t="e">
        <f>#REF!</f>
        <v>#REF!</v>
      </c>
      <c r="Q21" t="e">
        <f>#REF!</f>
        <v>#REF!</v>
      </c>
      <c r="R21" t="e">
        <f>#REF!</f>
        <v>#REF!</v>
      </c>
      <c r="S21" t="e">
        <f>#REF!</f>
        <v>#REF!</v>
      </c>
      <c r="T21" t="e">
        <f>#REF!</f>
        <v>#REF!</v>
      </c>
      <c r="U21" t="e">
        <f>#REF!</f>
        <v>#REF!</v>
      </c>
      <c r="V21" t="e">
        <f>#REF!</f>
        <v>#REF!</v>
      </c>
      <c r="W21" t="e">
        <f>#REF!</f>
        <v>#REF!</v>
      </c>
      <c r="X21" t="e">
        <f>#REF!</f>
        <v>#REF!</v>
      </c>
      <c r="Y21" t="e">
        <f>#REF!</f>
        <v>#REF!</v>
      </c>
      <c r="Z21" t="e">
        <f>#REF!</f>
        <v>#REF!</v>
      </c>
      <c r="AA21" t="e">
        <f>#REF!</f>
        <v>#REF!</v>
      </c>
    </row>
    <row r="22" spans="1:27" x14ac:dyDescent="0.25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G22" t="e">
        <f>#REF!</f>
        <v>#REF!</v>
      </c>
      <c r="H22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  <c r="M22" t="e">
        <f>#REF!</f>
        <v>#REF!</v>
      </c>
      <c r="N22" t="e">
        <f>#REF!</f>
        <v>#REF!</v>
      </c>
      <c r="O22" t="e">
        <f>#REF!</f>
        <v>#REF!</v>
      </c>
      <c r="P22" t="e">
        <f>#REF!</f>
        <v>#REF!</v>
      </c>
      <c r="Q22" t="e">
        <f>#REF!</f>
        <v>#REF!</v>
      </c>
      <c r="R22" t="e">
        <f>#REF!</f>
        <v>#REF!</v>
      </c>
      <c r="S22" t="e">
        <f>#REF!</f>
        <v>#REF!</v>
      </c>
      <c r="T22" t="e">
        <f>#REF!</f>
        <v>#REF!</v>
      </c>
      <c r="U22" t="e">
        <f>#REF!</f>
        <v>#REF!</v>
      </c>
      <c r="V22" t="e">
        <f>#REF!</f>
        <v>#REF!</v>
      </c>
      <c r="W22" t="e">
        <f>#REF!</f>
        <v>#REF!</v>
      </c>
      <c r="X22" t="e">
        <f>#REF!</f>
        <v>#REF!</v>
      </c>
      <c r="Y22" t="e">
        <f>#REF!</f>
        <v>#REF!</v>
      </c>
      <c r="Z22" t="e">
        <f>#REF!</f>
        <v>#REF!</v>
      </c>
      <c r="AA22" t="e">
        <f>#REF!</f>
        <v>#REF!</v>
      </c>
    </row>
    <row r="23" spans="1:27" x14ac:dyDescent="0.25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G23" t="e">
        <f>#REF!</f>
        <v>#REF!</v>
      </c>
      <c r="H23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  <c r="M23" t="e">
        <f>#REF!</f>
        <v>#REF!</v>
      </c>
      <c r="N23" t="e">
        <f>#REF!</f>
        <v>#REF!</v>
      </c>
      <c r="O23" t="e">
        <f>#REF!</f>
        <v>#REF!</v>
      </c>
      <c r="P23" t="e">
        <f>#REF!</f>
        <v>#REF!</v>
      </c>
      <c r="Q23" t="e">
        <f>#REF!</f>
        <v>#REF!</v>
      </c>
      <c r="R23" t="e">
        <f>#REF!</f>
        <v>#REF!</v>
      </c>
      <c r="S23" t="e">
        <f>#REF!</f>
        <v>#REF!</v>
      </c>
      <c r="T23" t="e">
        <f>#REF!</f>
        <v>#REF!</v>
      </c>
      <c r="U23" t="e">
        <f>#REF!</f>
        <v>#REF!</v>
      </c>
      <c r="V23" t="e">
        <f>#REF!</f>
        <v>#REF!</v>
      </c>
      <c r="W23" t="e">
        <f>#REF!</f>
        <v>#REF!</v>
      </c>
      <c r="X23" t="e">
        <f>#REF!</f>
        <v>#REF!</v>
      </c>
      <c r="Y23" t="e">
        <f>#REF!</f>
        <v>#REF!</v>
      </c>
      <c r="Z23" t="e">
        <f>#REF!</f>
        <v>#REF!</v>
      </c>
      <c r="AA23" t="e">
        <f>#REF!</f>
        <v>#REF!</v>
      </c>
    </row>
    <row r="24" spans="1:27" x14ac:dyDescent="0.25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G24" t="e">
        <f>#REF!</f>
        <v>#REF!</v>
      </c>
      <c r="H2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  <c r="M24" t="e">
        <f>#REF!</f>
        <v>#REF!</v>
      </c>
      <c r="N24" t="e">
        <f>#REF!</f>
        <v>#REF!</v>
      </c>
      <c r="O24" t="e">
        <f>#REF!</f>
        <v>#REF!</v>
      </c>
      <c r="P24" t="e">
        <f>#REF!</f>
        <v>#REF!</v>
      </c>
      <c r="Q24" t="e">
        <f>#REF!</f>
        <v>#REF!</v>
      </c>
      <c r="R24" t="e">
        <f>#REF!</f>
        <v>#REF!</v>
      </c>
      <c r="S24" t="e">
        <f>#REF!</f>
        <v>#REF!</v>
      </c>
      <c r="T24" t="e">
        <f>#REF!</f>
        <v>#REF!</v>
      </c>
      <c r="U24" t="e">
        <f>#REF!</f>
        <v>#REF!</v>
      </c>
      <c r="V24" t="e">
        <f>#REF!</f>
        <v>#REF!</v>
      </c>
      <c r="W24" t="e">
        <f>#REF!</f>
        <v>#REF!</v>
      </c>
      <c r="X24" t="e">
        <f>#REF!</f>
        <v>#REF!</v>
      </c>
      <c r="Y24" t="e">
        <f>#REF!</f>
        <v>#REF!</v>
      </c>
      <c r="Z24" t="e">
        <f>#REF!</f>
        <v>#REF!</v>
      </c>
      <c r="AA24" t="e">
        <f>#REF!</f>
        <v>#REF!</v>
      </c>
    </row>
    <row r="25" spans="1:27" x14ac:dyDescent="0.25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G25" t="e">
        <f>#REF!</f>
        <v>#REF!</v>
      </c>
      <c r="H25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  <c r="M25" t="e">
        <f>#REF!</f>
        <v>#REF!</v>
      </c>
      <c r="N25" t="e">
        <f>#REF!</f>
        <v>#REF!</v>
      </c>
      <c r="O25" t="e">
        <f>#REF!</f>
        <v>#REF!</v>
      </c>
      <c r="P25" t="e">
        <f>#REF!</f>
        <v>#REF!</v>
      </c>
      <c r="Q25" t="e">
        <f>#REF!</f>
        <v>#REF!</v>
      </c>
      <c r="R25" t="e">
        <f>#REF!</f>
        <v>#REF!</v>
      </c>
      <c r="S25" t="e">
        <f>#REF!</f>
        <v>#REF!</v>
      </c>
      <c r="T25" t="e">
        <f>#REF!</f>
        <v>#REF!</v>
      </c>
      <c r="U25" t="e">
        <f>#REF!</f>
        <v>#REF!</v>
      </c>
      <c r="V25" t="e">
        <f>#REF!</f>
        <v>#REF!</v>
      </c>
      <c r="W25" t="e">
        <f>#REF!</f>
        <v>#REF!</v>
      </c>
      <c r="X25" t="e">
        <f>#REF!</f>
        <v>#REF!</v>
      </c>
      <c r="Y25" t="e">
        <f>#REF!</f>
        <v>#REF!</v>
      </c>
      <c r="Z25" t="e">
        <f>#REF!</f>
        <v>#REF!</v>
      </c>
      <c r="AA25" t="e">
        <f>#REF!</f>
        <v>#REF!</v>
      </c>
    </row>
    <row r="26" spans="1:27" x14ac:dyDescent="0.25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G26" t="e">
        <f>#REF!</f>
        <v>#REF!</v>
      </c>
      <c r="H26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  <c r="M26" t="e">
        <f>#REF!</f>
        <v>#REF!</v>
      </c>
      <c r="N26" t="e">
        <f>#REF!</f>
        <v>#REF!</v>
      </c>
      <c r="O26" t="e">
        <f>#REF!</f>
        <v>#REF!</v>
      </c>
      <c r="P26" t="e">
        <f>#REF!</f>
        <v>#REF!</v>
      </c>
      <c r="Q26" t="e">
        <f>#REF!</f>
        <v>#REF!</v>
      </c>
      <c r="R26" t="e">
        <f>#REF!</f>
        <v>#REF!</v>
      </c>
      <c r="S26" t="e">
        <f>#REF!</f>
        <v>#REF!</v>
      </c>
      <c r="T26" t="e">
        <f>#REF!</f>
        <v>#REF!</v>
      </c>
      <c r="U26" t="e">
        <f>#REF!</f>
        <v>#REF!</v>
      </c>
      <c r="V26" t="e">
        <f>#REF!</f>
        <v>#REF!</v>
      </c>
      <c r="W26" t="e">
        <f>#REF!</f>
        <v>#REF!</v>
      </c>
      <c r="X26" t="e">
        <f>#REF!</f>
        <v>#REF!</v>
      </c>
      <c r="Y26" t="e">
        <f>#REF!</f>
        <v>#REF!</v>
      </c>
      <c r="Z26" t="e">
        <f>#REF!</f>
        <v>#REF!</v>
      </c>
      <c r="AA26" t="e">
        <f>#REF!</f>
        <v>#REF!</v>
      </c>
    </row>
    <row r="27" spans="1:27" x14ac:dyDescent="0.25">
      <c r="A27" t="str">
        <f>AKTOS!A4</f>
        <v>AKTOS</v>
      </c>
      <c r="B27" t="str">
        <f>AKTOS!B4</f>
        <v>Vimpelcom</v>
      </c>
      <c r="C27" t="str">
        <f>AKTOS!C4</f>
        <v>VIP US Equity</v>
      </c>
      <c r="D27" t="e">
        <f ca="1">AKTOS!D4</f>
        <v>#NAME?</v>
      </c>
      <c r="E27">
        <f>AKTOS!E4</f>
        <v>12550</v>
      </c>
      <c r="F27">
        <f>AKTOS!F4</f>
        <v>3.28</v>
      </c>
      <c r="G27" t="e">
        <f ca="1">AKTOS!G4</f>
        <v>#NAME?</v>
      </c>
      <c r="H27" t="e">
        <f ca="1">AKTOS!H4</f>
        <v>#NAME?</v>
      </c>
      <c r="I27" t="e">
        <f ca="1">AKTOS!I4</f>
        <v>#NAME?</v>
      </c>
      <c r="J27" t="e">
        <f ca="1">AKTOS!K4</f>
        <v>#NAME?</v>
      </c>
      <c r="K27" t="e">
        <f ca="1">AKTOS!L4</f>
        <v>#NAME?</v>
      </c>
      <c r="L27" t="e">
        <f ca="1">AKTOS!M4</f>
        <v>#NAME?</v>
      </c>
      <c r="M27" t="e">
        <f ca="1">AKTOS!N4</f>
        <v>#NAME?</v>
      </c>
      <c r="N27">
        <f>AKTOS!O4</f>
        <v>41164</v>
      </c>
      <c r="O27" t="e">
        <f ca="1">AKTOS!P4</f>
        <v>#NAME?</v>
      </c>
      <c r="P27" t="e">
        <f ca="1">AKTOS!Q4</f>
        <v>#NAME?</v>
      </c>
      <c r="Q27" t="e">
        <f ca="1">AKTOS!R4</f>
        <v>#NAME?</v>
      </c>
      <c r="R27" t="e">
        <f ca="1">AKTOS!S4</f>
        <v>#NAME?</v>
      </c>
      <c r="S27" t="e">
        <f ca="1">AKTOS!T4</f>
        <v>#NAME?</v>
      </c>
      <c r="T27" t="e">
        <f ca="1">AKTOS!U4</f>
        <v>#NAME?</v>
      </c>
      <c r="U27" t="e">
        <f ca="1">AKTOS!V4</f>
        <v>#NAME?</v>
      </c>
      <c r="V27" t="e">
        <f ca="1">AKTOS!W4</f>
        <v>#NAME?</v>
      </c>
      <c r="W27" t="e">
        <f>AKTOS!#REF!</f>
        <v>#REF!</v>
      </c>
      <c r="X27" t="e">
        <f>AKTOS!#REF!</f>
        <v>#REF!</v>
      </c>
      <c r="Y27" t="e">
        <f>AKTOS!#REF!</f>
        <v>#REF!</v>
      </c>
      <c r="Z27" t="e">
        <f>AKTOS!#REF!</f>
        <v>#REF!</v>
      </c>
      <c r="AA27" t="e">
        <f ca="1">AKTOS!X4</f>
        <v>#NAME?</v>
      </c>
    </row>
    <row r="28" spans="1:27" x14ac:dyDescent="0.25">
      <c r="A28" t="str">
        <f>AKTOS!A6</f>
        <v>AKTOS</v>
      </c>
      <c r="B28" t="str">
        <f>AKTOS!B6</f>
        <v xml:space="preserve">Megafon </v>
      </c>
      <c r="C28" t="str">
        <f>AKTOS!C6</f>
        <v>MFON RX Equity</v>
      </c>
      <c r="D28" t="e">
        <f ca="1">AKTOS!D6</f>
        <v>#NAME?</v>
      </c>
      <c r="E28">
        <f>AKTOS!E6</f>
        <v>1600</v>
      </c>
      <c r="F28">
        <f>AKTOS!F6</f>
        <v>806.46875</v>
      </c>
      <c r="G28" t="e">
        <f ca="1">AKTOS!G6</f>
        <v>#NAME?</v>
      </c>
      <c r="H28" t="e">
        <f ca="1">AKTOS!H6</f>
        <v>#NAME?</v>
      </c>
      <c r="I28" t="e">
        <f ca="1">AKTOS!I6</f>
        <v>#NAME?</v>
      </c>
      <c r="J28" t="e">
        <f ca="1">AKTOS!K6</f>
        <v>#NAME?</v>
      </c>
      <c r="K28" t="e">
        <f ca="1">AKTOS!L6</f>
        <v>#NAME?</v>
      </c>
      <c r="L28" t="e">
        <f ca="1">AKTOS!M6</f>
        <v>#NAME?</v>
      </c>
      <c r="M28">
        <f>AKTOS!N6</f>
        <v>1290350</v>
      </c>
      <c r="N28" t="e">
        <f ca="1">AKTOS!O6</f>
        <v>#NAME?</v>
      </c>
      <c r="O28" t="e">
        <f ca="1">AKTOS!P6</f>
        <v>#NAME?</v>
      </c>
      <c r="P28" t="e">
        <f ca="1">AKTOS!Q6</f>
        <v>#NAME?</v>
      </c>
      <c r="Q28" t="e">
        <f ca="1">AKTOS!R6</f>
        <v>#NAME?</v>
      </c>
      <c r="R28" t="e">
        <f ca="1">AKTOS!S6</f>
        <v>#NAME?</v>
      </c>
      <c r="S28" t="e">
        <f ca="1">AKTOS!T6</f>
        <v>#NAME?</v>
      </c>
      <c r="T28" t="e">
        <f ca="1">AKTOS!U6</f>
        <v>#NAME?</v>
      </c>
      <c r="U28" t="e">
        <f ca="1">AKTOS!V6</f>
        <v>#NAME?</v>
      </c>
      <c r="V28" t="e">
        <f ca="1">AKTOS!W6</f>
        <v>#NAME?</v>
      </c>
      <c r="W28" t="e">
        <f>AKTOS!#REF!</f>
        <v>#REF!</v>
      </c>
      <c r="X28" t="e">
        <f>AKTOS!#REF!</f>
        <v>#REF!</v>
      </c>
      <c r="Y28" t="e">
        <f>AKTOS!#REF!</f>
        <v>#REF!</v>
      </c>
      <c r="Z28" t="e">
        <f>AKTOS!#REF!</f>
        <v>#REF!</v>
      </c>
      <c r="AA28" t="e">
        <f ca="1">AKTOS!X6</f>
        <v>#NAME?</v>
      </c>
    </row>
    <row r="29" spans="1:27" x14ac:dyDescent="0.25">
      <c r="A29" t="str">
        <f>AKTOS!A7</f>
        <v>AKTOS</v>
      </c>
      <c r="B29" t="str">
        <f>AKTOS!B7</f>
        <v>Dixy</v>
      </c>
      <c r="C29" t="str">
        <f>AKTOS!C7</f>
        <v xml:space="preserve">DIXY RX Equity </v>
      </c>
      <c r="D29" t="e">
        <f ca="1">AKTOS!D7</f>
        <v>#NAME?</v>
      </c>
      <c r="E29">
        <f>AKTOS!E7</f>
        <v>8413</v>
      </c>
      <c r="F29" t="e">
        <f ca="1">AKTOS!F7</f>
        <v>#NAME?</v>
      </c>
      <c r="G29" t="e">
        <f ca="1">AKTOS!G7</f>
        <v>#NAME?</v>
      </c>
      <c r="H29" t="e">
        <f ca="1">AKTOS!H7</f>
        <v>#NAME?</v>
      </c>
      <c r="I29" t="e">
        <f ca="1">AKTOS!I7</f>
        <v>#NAME?</v>
      </c>
      <c r="J29" t="e">
        <f ca="1">AKTOS!K7</f>
        <v>#NAME?</v>
      </c>
      <c r="K29" t="e">
        <f ca="1">AKTOS!L7</f>
        <v>#NAME?</v>
      </c>
      <c r="L29" t="e">
        <f ca="1">AKTOS!M7</f>
        <v>#NAME?</v>
      </c>
      <c r="M29" t="e">
        <f ca="1">AKTOS!N7</f>
        <v>#NAME?</v>
      </c>
      <c r="N29">
        <f>AKTOS!O7</f>
        <v>54029.9686</v>
      </c>
      <c r="O29" t="e">
        <f ca="1">AKTOS!P7</f>
        <v>#NAME?</v>
      </c>
      <c r="P29" t="e">
        <f ca="1">AKTOS!Q7</f>
        <v>#NAME?</v>
      </c>
      <c r="Q29" t="e">
        <f ca="1">AKTOS!R7</f>
        <v>#NAME?</v>
      </c>
      <c r="R29" t="e">
        <f ca="1">AKTOS!S7</f>
        <v>#NAME?</v>
      </c>
      <c r="S29" t="e">
        <f ca="1">AKTOS!T7</f>
        <v>#NAME?</v>
      </c>
      <c r="T29" t="e">
        <f ca="1">AKTOS!U7</f>
        <v>#NAME?</v>
      </c>
      <c r="U29" t="e">
        <f ca="1">AKTOS!V7</f>
        <v>#NAME?</v>
      </c>
      <c r="V29" t="e">
        <f ca="1">AKTOS!W7</f>
        <v>#NAME?</v>
      </c>
      <c r="W29" t="e">
        <f>AKTOS!#REF!</f>
        <v>#REF!</v>
      </c>
      <c r="X29" t="e">
        <f>AKTOS!#REF!</f>
        <v>#REF!</v>
      </c>
      <c r="Y29" t="e">
        <f>AKTOS!#REF!</f>
        <v>#REF!</v>
      </c>
      <c r="Z29" t="e">
        <f>AKTOS!#REF!</f>
        <v>#REF!</v>
      </c>
      <c r="AA29" t="e">
        <f ca="1">AKTOS!X7</f>
        <v>#NAME?</v>
      </c>
    </row>
    <row r="30" spans="1:27" x14ac:dyDescent="0.25">
      <c r="A30" t="e">
        <f>AKTOS!#REF!</f>
        <v>#REF!</v>
      </c>
      <c r="B30" t="e">
        <f>AKTOS!#REF!</f>
        <v>#REF!</v>
      </c>
      <c r="C30" t="e">
        <f>AKTOS!#REF!</f>
        <v>#REF!</v>
      </c>
      <c r="D30" t="e">
        <f>AKTOS!#REF!</f>
        <v>#REF!</v>
      </c>
      <c r="E30" t="e">
        <f>AKTOS!#REF!</f>
        <v>#REF!</v>
      </c>
      <c r="F30" t="e">
        <f>AKTOS!#REF!</f>
        <v>#REF!</v>
      </c>
      <c r="G30" t="e">
        <f>AKTOS!#REF!</f>
        <v>#REF!</v>
      </c>
      <c r="H30" t="e">
        <f>AKTOS!#REF!</f>
        <v>#REF!</v>
      </c>
      <c r="I30" t="e">
        <f>AKTOS!#REF!</f>
        <v>#REF!</v>
      </c>
      <c r="J30" t="e">
        <f>AKTOS!#REF!</f>
        <v>#REF!</v>
      </c>
      <c r="K30" t="e">
        <f>AKTOS!#REF!</f>
        <v>#REF!</v>
      </c>
      <c r="L30" t="e">
        <f>AKTOS!#REF!</f>
        <v>#REF!</v>
      </c>
      <c r="M30" t="e">
        <f>AKTOS!#REF!</f>
        <v>#REF!</v>
      </c>
      <c r="N30" t="e">
        <f>AKTOS!#REF!</f>
        <v>#REF!</v>
      </c>
      <c r="O30" t="e">
        <f>AKTOS!#REF!</f>
        <v>#REF!</v>
      </c>
      <c r="P30" t="e">
        <f>AKTOS!#REF!</f>
        <v>#REF!</v>
      </c>
      <c r="Q30" t="e">
        <f>AKTOS!#REF!</f>
        <v>#REF!</v>
      </c>
      <c r="R30" t="e">
        <f>AKTOS!#REF!</f>
        <v>#REF!</v>
      </c>
      <c r="S30" t="e">
        <f>AKTOS!#REF!</f>
        <v>#REF!</v>
      </c>
      <c r="T30" t="e">
        <f>AKTOS!#REF!</f>
        <v>#REF!</v>
      </c>
      <c r="U30" t="e">
        <f>AKTOS!#REF!</f>
        <v>#REF!</v>
      </c>
      <c r="V30" t="e">
        <f>AKTOS!#REF!</f>
        <v>#REF!</v>
      </c>
      <c r="W30" t="e">
        <f>AKTOS!#REF!</f>
        <v>#REF!</v>
      </c>
      <c r="X30" t="e">
        <f>AKTOS!#REF!</f>
        <v>#REF!</v>
      </c>
      <c r="Y30" t="e">
        <f>AKTOS!#REF!</f>
        <v>#REF!</v>
      </c>
      <c r="Z30" t="e">
        <f>AKTOS!#REF!</f>
        <v>#REF!</v>
      </c>
      <c r="AA30" t="e">
        <f>AKTOS!#REF!</f>
        <v>#REF!</v>
      </c>
    </row>
    <row r="31" spans="1:27" x14ac:dyDescent="0.25">
      <c r="A31" t="str">
        <f>AKTOS!A8</f>
        <v>AKTOS</v>
      </c>
      <c r="B31" t="str">
        <f>AKTOS!B8</f>
        <v>GMKN</v>
      </c>
      <c r="C31" t="str">
        <f>AKTOS!C8</f>
        <v>GMKN RX Equity</v>
      </c>
      <c r="D31" t="e">
        <f ca="1">AKTOS!D8</f>
        <v>#NAME?</v>
      </c>
      <c r="E31">
        <f>AKTOS!E8</f>
        <v>214</v>
      </c>
      <c r="F31" t="e">
        <f ca="1">AKTOS!F8</f>
        <v>#NAME?</v>
      </c>
      <c r="G31" t="e">
        <f ca="1">AKTOS!G8</f>
        <v>#NAME?</v>
      </c>
      <c r="H31" t="e">
        <f ca="1">AKTOS!H8</f>
        <v>#NAME?</v>
      </c>
      <c r="I31" t="e">
        <f ca="1">AKTOS!I8</f>
        <v>#NAME?</v>
      </c>
      <c r="J31" t="e">
        <f ca="1">AKTOS!K8</f>
        <v>#NAME?</v>
      </c>
      <c r="K31" t="e">
        <f ca="1">AKTOS!L8</f>
        <v>#NAME?</v>
      </c>
      <c r="L31" t="e">
        <f ca="1">AKTOS!M8</f>
        <v>#NAME?</v>
      </c>
      <c r="M31" t="e">
        <f ca="1">AKTOS!N8</f>
        <v>#NAME?</v>
      </c>
      <c r="N31">
        <f>AKTOS!O8</f>
        <v>40810</v>
      </c>
      <c r="O31" t="e">
        <f ca="1">AKTOS!P8</f>
        <v>#NAME?</v>
      </c>
      <c r="P31" t="e">
        <f ca="1">AKTOS!Q8</f>
        <v>#NAME?</v>
      </c>
      <c r="Q31" t="e">
        <f ca="1">AKTOS!R8</f>
        <v>#NAME?</v>
      </c>
      <c r="R31" t="e">
        <f ca="1">AKTOS!S8</f>
        <v>#NAME?</v>
      </c>
      <c r="S31" t="e">
        <f ca="1">AKTOS!T8</f>
        <v>#NAME?</v>
      </c>
      <c r="T31" t="e">
        <f ca="1">AKTOS!U8</f>
        <v>#NAME?</v>
      </c>
      <c r="U31" t="e">
        <f ca="1">AKTOS!V8</f>
        <v>#NAME?</v>
      </c>
      <c r="V31" t="e">
        <f ca="1">AKTOS!W8</f>
        <v>#NAME?</v>
      </c>
      <c r="W31" t="e">
        <f>AKTOS!#REF!</f>
        <v>#REF!</v>
      </c>
      <c r="X31" t="e">
        <f>AKTOS!#REF!</f>
        <v>#REF!</v>
      </c>
      <c r="Y31" t="e">
        <f>AKTOS!#REF!</f>
        <v>#REF!</v>
      </c>
      <c r="Z31" t="e">
        <f>AKTOS!#REF!</f>
        <v>#REF!</v>
      </c>
      <c r="AA31" t="e">
        <f ca="1">AKTOS!X8</f>
        <v>#NAME?</v>
      </c>
    </row>
    <row r="32" spans="1:27" x14ac:dyDescent="0.25">
      <c r="A32" t="str">
        <f>AKTOS!A9</f>
        <v>AKTOS</v>
      </c>
      <c r="B32" t="str">
        <f>AKTOS!B9</f>
        <v>AFK Sistema</v>
      </c>
      <c r="C32" t="str">
        <f>AKTOS!C9</f>
        <v xml:space="preserve">AFKS RX Equity </v>
      </c>
      <c r="D32" t="e">
        <f ca="1">AKTOS!D9</f>
        <v>#NAME?</v>
      </c>
      <c r="E32">
        <f>AKTOS!E9</f>
        <v>59600</v>
      </c>
      <c r="F32" t="e">
        <f ca="1">AKTOS!F9</f>
        <v>#NAME?</v>
      </c>
      <c r="G32" t="e">
        <f ca="1">AKTOS!G9</f>
        <v>#NAME?</v>
      </c>
      <c r="H32" t="e">
        <f ca="1">AKTOS!H9</f>
        <v>#NAME?</v>
      </c>
      <c r="I32" t="e">
        <f ca="1">AKTOS!I9</f>
        <v>#NAME?</v>
      </c>
      <c r="J32" t="e">
        <f ca="1">AKTOS!K9</f>
        <v>#NAME?</v>
      </c>
      <c r="K32" t="e">
        <f ca="1">AKTOS!L9</f>
        <v>#NAME?</v>
      </c>
      <c r="L32" t="e">
        <f ca="1">AKTOS!M9</f>
        <v>#NAME?</v>
      </c>
      <c r="M32" t="e">
        <f ca="1">AKTOS!N9</f>
        <v>#NAME?</v>
      </c>
      <c r="N32">
        <f>AKTOS!O9</f>
        <v>20304</v>
      </c>
      <c r="O32" t="e">
        <f ca="1">AKTOS!P9</f>
        <v>#NAME?</v>
      </c>
      <c r="P32" t="e">
        <f ca="1">AKTOS!Q9</f>
        <v>#NAME?</v>
      </c>
      <c r="Q32" t="e">
        <f ca="1">AKTOS!R9</f>
        <v>#NAME?</v>
      </c>
      <c r="R32" t="e">
        <f ca="1">AKTOS!S9</f>
        <v>#NAME?</v>
      </c>
      <c r="S32" t="e">
        <f ca="1">AKTOS!T9</f>
        <v>#NAME?</v>
      </c>
      <c r="T32" t="e">
        <f ca="1">AKTOS!U9</f>
        <v>#NAME?</v>
      </c>
      <c r="U32" t="e">
        <f ca="1">AKTOS!V9</f>
        <v>#NAME?</v>
      </c>
      <c r="V32" t="e">
        <f ca="1">AKTOS!W9</f>
        <v>#NAME?</v>
      </c>
      <c r="W32" t="e">
        <f>AKTOS!#REF!</f>
        <v>#REF!</v>
      </c>
      <c r="X32" t="e">
        <f>AKTOS!#REF!</f>
        <v>#REF!</v>
      </c>
      <c r="Y32" t="e">
        <f>AKTOS!#REF!</f>
        <v>#REF!</v>
      </c>
      <c r="Z32" t="e">
        <f>AKTOS!#REF!</f>
        <v>#REF!</v>
      </c>
      <c r="AA32" t="e">
        <f ca="1">AKTOS!X9</f>
        <v>#NAME?</v>
      </c>
    </row>
    <row r="33" spans="1:27" x14ac:dyDescent="0.25">
      <c r="A33" t="str">
        <f>AKTOS!A10</f>
        <v>AKTOS</v>
      </c>
      <c r="B33" t="str">
        <f>AKTOS!B10</f>
        <v>Polymetal</v>
      </c>
      <c r="C33" t="str">
        <f>AKTOS!C10</f>
        <v>POLY LN Equity</v>
      </c>
      <c r="D33" t="e">
        <f ca="1">AKTOS!D10</f>
        <v>#NAME?</v>
      </c>
      <c r="E33">
        <f>AKTOS!E10</f>
        <v>4500</v>
      </c>
      <c r="F33">
        <f>AKTOS!F10</f>
        <v>8.5050000000000008</v>
      </c>
      <c r="G33" t="e">
        <f ca="1">AKTOS!G10</f>
        <v>#NAME?</v>
      </c>
      <c r="H33" t="e">
        <f ca="1">AKTOS!H10</f>
        <v>#NAME?</v>
      </c>
      <c r="I33" t="e">
        <f ca="1">AKTOS!I10</f>
        <v>#NAME?</v>
      </c>
      <c r="J33" t="e">
        <f ca="1">AKTOS!K10</f>
        <v>#NAME?</v>
      </c>
      <c r="K33" t="e">
        <f ca="1">AKTOS!L10</f>
        <v>#NAME?</v>
      </c>
      <c r="L33" t="e">
        <f ca="1">AKTOS!M10</f>
        <v>#NAME?</v>
      </c>
      <c r="M33" t="e">
        <f ca="1">AKTOS!N10</f>
        <v>#NAME?</v>
      </c>
      <c r="N33" t="e">
        <f ca="1">AKTOS!O10</f>
        <v>#NAME?</v>
      </c>
      <c r="O33" t="e">
        <f ca="1">AKTOS!P10</f>
        <v>#NAME?</v>
      </c>
      <c r="P33" t="e">
        <f ca="1">AKTOS!Q10</f>
        <v>#NAME?</v>
      </c>
      <c r="Q33" t="e">
        <f ca="1">AKTOS!R10</f>
        <v>#NAME?</v>
      </c>
      <c r="R33" t="e">
        <f ca="1">AKTOS!S10</f>
        <v>#NAME?</v>
      </c>
      <c r="S33" t="e">
        <f ca="1">AKTOS!T10</f>
        <v>#NAME?</v>
      </c>
      <c r="T33" t="e">
        <f ca="1">AKTOS!U10</f>
        <v>#NAME?</v>
      </c>
      <c r="U33" t="e">
        <f ca="1">AKTOS!V10</f>
        <v>#NAME?</v>
      </c>
      <c r="V33" t="e">
        <f ca="1">AKTOS!W10</f>
        <v>#NAME?</v>
      </c>
      <c r="W33" t="e">
        <f>AKTOS!#REF!</f>
        <v>#REF!</v>
      </c>
      <c r="X33" t="e">
        <f>AKTOS!#REF!</f>
        <v>#REF!</v>
      </c>
      <c r="Y33" t="e">
        <f>AKTOS!#REF!</f>
        <v>#REF!</v>
      </c>
      <c r="Z33" t="e">
        <f>AKTOS!#REF!</f>
        <v>#REF!</v>
      </c>
      <c r="AA33" t="e">
        <f ca="1">AKTOS!X10</f>
        <v>#NAME?</v>
      </c>
    </row>
    <row r="34" spans="1:27" x14ac:dyDescent="0.25">
      <c r="A34" t="str">
        <f>AKTOS!A11</f>
        <v>AKTOS</v>
      </c>
      <c r="B34" t="str">
        <f>AKTOS!B11</f>
        <v xml:space="preserve">Megafon </v>
      </c>
      <c r="C34" t="str">
        <f>AKTOS!C11</f>
        <v>MFON LI Equity</v>
      </c>
      <c r="D34" t="e">
        <f ca="1">AKTOS!D11</f>
        <v>#NAME?</v>
      </c>
      <c r="E34">
        <f>AKTOS!E11</f>
        <v>1436</v>
      </c>
      <c r="F34">
        <f>AKTOS!F11</f>
        <v>14.12</v>
      </c>
      <c r="G34" t="e">
        <f ca="1">AKTOS!G11</f>
        <v>#NAME?</v>
      </c>
      <c r="H34" t="e">
        <f ca="1">AKTOS!H11</f>
        <v>#NAME?</v>
      </c>
      <c r="I34" t="e">
        <f ca="1">AKTOS!I11</f>
        <v>#NAME?</v>
      </c>
      <c r="J34" t="e">
        <f ca="1">AKTOS!K11</f>
        <v>#NAME?</v>
      </c>
      <c r="K34" t="e">
        <f ca="1">AKTOS!L11</f>
        <v>#NAME?</v>
      </c>
      <c r="L34" t="e">
        <f ca="1">AKTOS!M11</f>
        <v>#NAME?</v>
      </c>
      <c r="M34" t="e">
        <f ca="1">AKTOS!N11</f>
        <v>#NAME?</v>
      </c>
      <c r="N34">
        <f>AKTOS!O11</f>
        <v>20276.32</v>
      </c>
      <c r="O34" t="e">
        <f ca="1">AKTOS!P11</f>
        <v>#NAME?</v>
      </c>
      <c r="P34" t="e">
        <f ca="1">AKTOS!Q11</f>
        <v>#NAME?</v>
      </c>
      <c r="Q34" t="e">
        <f ca="1">AKTOS!R11</f>
        <v>#NAME?</v>
      </c>
      <c r="R34" t="e">
        <f ca="1">AKTOS!S11</f>
        <v>#NAME?</v>
      </c>
      <c r="S34" t="e">
        <f ca="1">AKTOS!T11</f>
        <v>#NAME?</v>
      </c>
      <c r="T34" t="e">
        <f ca="1">AKTOS!U11</f>
        <v>#NAME?</v>
      </c>
      <c r="U34" t="e">
        <f ca="1">AKTOS!V11</f>
        <v>#NAME?</v>
      </c>
      <c r="V34" t="e">
        <f ca="1">AKTOS!W11</f>
        <v>#NAME?</v>
      </c>
      <c r="W34" t="e">
        <f>AKTOS!#REF!</f>
        <v>#REF!</v>
      </c>
      <c r="X34" t="e">
        <f>AKTOS!#REF!</f>
        <v>#REF!</v>
      </c>
      <c r="Y34" t="e">
        <f>AKTOS!#REF!</f>
        <v>#REF!</v>
      </c>
      <c r="Z34" t="e">
        <f>AKTOS!#REF!</f>
        <v>#REF!</v>
      </c>
      <c r="AA34" t="e">
        <f ca="1">AKTOS!X11</f>
        <v>#NAME?</v>
      </c>
    </row>
    <row r="35" spans="1:27" x14ac:dyDescent="0.25">
      <c r="A35" t="str">
        <f>AKTOS!A12</f>
        <v>AKTOS</v>
      </c>
      <c r="B35" t="str">
        <f>AKTOS!B12</f>
        <v>Surgutneftegaz</v>
      </c>
      <c r="C35" t="str">
        <f>AKTOS!C12</f>
        <v>SNGSP RX Equity</v>
      </c>
      <c r="D35" t="e">
        <f ca="1">AKTOS!D12</f>
        <v>#NAME?</v>
      </c>
      <c r="E35">
        <f>AKTOS!E12</f>
        <v>42000</v>
      </c>
      <c r="F35">
        <f>AKTOS!F12</f>
        <v>38.18</v>
      </c>
      <c r="G35" t="e">
        <f ca="1">AKTOS!G12</f>
        <v>#NAME?</v>
      </c>
      <c r="H35" t="e">
        <f ca="1">AKTOS!H12</f>
        <v>#NAME?</v>
      </c>
      <c r="I35" t="e">
        <f ca="1">AKTOS!I12</f>
        <v>#NAME?</v>
      </c>
      <c r="J35" t="e">
        <f ca="1">AKTOS!K12</f>
        <v>#NAME?</v>
      </c>
      <c r="K35" t="e">
        <f ca="1">AKTOS!L12</f>
        <v>#NAME?</v>
      </c>
      <c r="L35" t="e">
        <f ca="1">AKTOS!M12</f>
        <v>#NAME?</v>
      </c>
      <c r="M35">
        <f>AKTOS!N12</f>
        <v>1603560</v>
      </c>
      <c r="N35" t="e">
        <f ca="1">AKTOS!O12</f>
        <v>#NAME?</v>
      </c>
      <c r="O35" t="e">
        <f ca="1">AKTOS!P12</f>
        <v>#NAME?</v>
      </c>
      <c r="P35" t="e">
        <f ca="1">AKTOS!Q12</f>
        <v>#NAME?</v>
      </c>
      <c r="Q35" t="e">
        <f ca="1">AKTOS!R12</f>
        <v>#NAME?</v>
      </c>
      <c r="R35" t="e">
        <f ca="1">AKTOS!S12</f>
        <v>#NAME?</v>
      </c>
      <c r="S35" t="e">
        <f ca="1">AKTOS!T12</f>
        <v>#NAME?</v>
      </c>
      <c r="T35" t="e">
        <f ca="1">AKTOS!U12</f>
        <v>#NAME?</v>
      </c>
      <c r="U35" t="e">
        <f ca="1">AKTOS!V12</f>
        <v>#NAME?</v>
      </c>
      <c r="V35" t="e">
        <f ca="1">AKTOS!W12</f>
        <v>#NAME?</v>
      </c>
      <c r="W35" t="e">
        <f>AKTOS!#REF!</f>
        <v>#REF!</v>
      </c>
      <c r="X35" t="e">
        <f>AKTOS!#REF!</f>
        <v>#REF!</v>
      </c>
      <c r="Y35" t="e">
        <f>AKTOS!#REF!</f>
        <v>#REF!</v>
      </c>
      <c r="Z35" t="e">
        <f>AKTOS!#REF!</f>
        <v>#REF!</v>
      </c>
      <c r="AA35" t="e">
        <f ca="1">AKTOS!X12</f>
        <v>#NAME?</v>
      </c>
    </row>
    <row r="36" spans="1:27" x14ac:dyDescent="0.25">
      <c r="A36" t="str">
        <f>AKTOS!A13</f>
        <v>AKTOS</v>
      </c>
      <c r="B36" t="str">
        <f>AKTOS!B13</f>
        <v xml:space="preserve">Alrosa </v>
      </c>
      <c r="C36" t="str">
        <f>AKTOS!C13</f>
        <v>ALRS RX EQUITY</v>
      </c>
      <c r="D36" t="e">
        <f ca="1">AKTOS!D13</f>
        <v>#NAME?</v>
      </c>
      <c r="E36">
        <f>AKTOS!E13</f>
        <v>9900</v>
      </c>
      <c r="F36">
        <f>AKTOS!F13</f>
        <v>64.325133333333326</v>
      </c>
      <c r="G36" t="e">
        <f ca="1">AKTOS!G13</f>
        <v>#NAME?</v>
      </c>
      <c r="H36" t="e">
        <f ca="1">AKTOS!H13</f>
        <v>#NAME?</v>
      </c>
      <c r="I36" t="e">
        <f ca="1">AKTOS!I13</f>
        <v>#NAME?</v>
      </c>
      <c r="J36" t="e">
        <f ca="1">AKTOS!K13</f>
        <v>#NAME?</v>
      </c>
      <c r="K36" t="e">
        <f ca="1">AKTOS!L13</f>
        <v>#NAME?</v>
      </c>
      <c r="L36" t="e">
        <f ca="1">AKTOS!M13</f>
        <v>#NAME?</v>
      </c>
      <c r="M36">
        <f>AKTOS!N13</f>
        <v>636818.81999999995</v>
      </c>
      <c r="N36" t="e">
        <f ca="1">AKTOS!O13</f>
        <v>#NAME?</v>
      </c>
      <c r="O36" t="e">
        <f ca="1">AKTOS!P13</f>
        <v>#NAME?</v>
      </c>
      <c r="P36" t="e">
        <f ca="1">AKTOS!Q13</f>
        <v>#NAME?</v>
      </c>
      <c r="Q36" t="e">
        <f ca="1">AKTOS!R13</f>
        <v>#NAME?</v>
      </c>
      <c r="R36" t="e">
        <f ca="1">AKTOS!S13</f>
        <v>#NAME?</v>
      </c>
      <c r="S36" t="e">
        <f ca="1">AKTOS!T13</f>
        <v>#NAME?</v>
      </c>
      <c r="T36" t="e">
        <f ca="1">AKTOS!U13</f>
        <v>#NAME?</v>
      </c>
      <c r="U36" t="e">
        <f ca="1">AKTOS!V13</f>
        <v>#NAME?</v>
      </c>
      <c r="V36" t="e">
        <f ca="1">AKTOS!W13</f>
        <v>#NAME?</v>
      </c>
      <c r="W36" t="e">
        <f>AKTOS!#REF!</f>
        <v>#REF!</v>
      </c>
      <c r="X36" t="e">
        <f>AKTOS!#REF!</f>
        <v>#REF!</v>
      </c>
      <c r="Y36" t="e">
        <f>AKTOS!#REF!</f>
        <v>#REF!</v>
      </c>
      <c r="Z36" t="e">
        <f>AKTOS!#REF!</f>
        <v>#REF!</v>
      </c>
      <c r="AA36" t="e">
        <f ca="1">AKTOS!X13</f>
        <v>#NAME?</v>
      </c>
    </row>
    <row r="37" spans="1:27" x14ac:dyDescent="0.25">
      <c r="A37" t="e">
        <f>AKTOS!#REF!</f>
        <v>#REF!</v>
      </c>
      <c r="B37" t="e">
        <f>AKTOS!#REF!</f>
        <v>#REF!</v>
      </c>
      <c r="C37" t="e">
        <f>AKTOS!#REF!</f>
        <v>#REF!</v>
      </c>
      <c r="D37" t="e">
        <f>AKTOS!#REF!</f>
        <v>#REF!</v>
      </c>
      <c r="E37" t="e">
        <f>AKTOS!#REF!</f>
        <v>#REF!</v>
      </c>
      <c r="F37" t="e">
        <f>AKTOS!#REF!</f>
        <v>#REF!</v>
      </c>
      <c r="G37" t="e">
        <f>AKTOS!#REF!</f>
        <v>#REF!</v>
      </c>
      <c r="H37" t="e">
        <f>AKTOS!#REF!</f>
        <v>#REF!</v>
      </c>
      <c r="I37" t="e">
        <f>AKTOS!#REF!</f>
        <v>#REF!</v>
      </c>
      <c r="J37" t="e">
        <f>AKTOS!#REF!</f>
        <v>#REF!</v>
      </c>
      <c r="K37" t="e">
        <f>AKTOS!#REF!</f>
        <v>#REF!</v>
      </c>
      <c r="L37" t="e">
        <f>AKTOS!#REF!</f>
        <v>#REF!</v>
      </c>
      <c r="M37" t="e">
        <f>AKTOS!#REF!</f>
        <v>#REF!</v>
      </c>
      <c r="N37" t="e">
        <f>AKTOS!#REF!</f>
        <v>#REF!</v>
      </c>
      <c r="O37" t="e">
        <f>AKTOS!#REF!</f>
        <v>#REF!</v>
      </c>
      <c r="P37" t="e">
        <f>AKTOS!#REF!</f>
        <v>#REF!</v>
      </c>
      <c r="Q37" t="e">
        <f>AKTOS!#REF!</f>
        <v>#REF!</v>
      </c>
      <c r="R37" t="e">
        <f>AKTOS!#REF!</f>
        <v>#REF!</v>
      </c>
      <c r="S37" t="e">
        <f>AKTOS!#REF!</f>
        <v>#REF!</v>
      </c>
      <c r="T37" t="e">
        <f>AKTOS!#REF!</f>
        <v>#REF!</v>
      </c>
      <c r="U37" t="e">
        <f>AKTOS!#REF!</f>
        <v>#REF!</v>
      </c>
      <c r="V37" t="e">
        <f>AKTOS!#REF!</f>
        <v>#REF!</v>
      </c>
      <c r="W37" t="e">
        <f>AKTOS!#REF!</f>
        <v>#REF!</v>
      </c>
      <c r="X37" t="e">
        <f>AKTOS!#REF!</f>
        <v>#REF!</v>
      </c>
      <c r="Y37" t="e">
        <f>AKTOS!#REF!</f>
        <v>#REF!</v>
      </c>
      <c r="Z37" t="e">
        <f>AKTOS!#REF!</f>
        <v>#REF!</v>
      </c>
      <c r="AA37" t="e">
        <f>AKTOS!#REF!</f>
        <v>#REF!</v>
      </c>
    </row>
    <row r="38" spans="1:27" x14ac:dyDescent="0.25">
      <c r="A38" t="str">
        <f>AKTOS!A14</f>
        <v>AKTOS</v>
      </c>
      <c r="B38" t="str">
        <f>AKTOS!B14</f>
        <v xml:space="preserve">Gazprom </v>
      </c>
      <c r="C38" t="str">
        <f>AKTOS!C14</f>
        <v>GAZP RX Equity</v>
      </c>
      <c r="D38" t="e">
        <f ca="1">AKTOS!D14</f>
        <v>#NAME?</v>
      </c>
      <c r="E38">
        <f>AKTOS!E14</f>
        <v>20580</v>
      </c>
      <c r="F38" t="e">
        <f ca="1">AKTOS!F14</f>
        <v>#NAME?</v>
      </c>
      <c r="G38" t="e">
        <f ca="1">AKTOS!G14</f>
        <v>#NAME?</v>
      </c>
      <c r="H38" t="e">
        <f ca="1">AKTOS!H14</f>
        <v>#NAME?</v>
      </c>
      <c r="I38" t="e">
        <f ca="1">AKTOS!I14</f>
        <v>#NAME?</v>
      </c>
      <c r="J38" t="e">
        <f ca="1">AKTOS!K14</f>
        <v>#NAME?</v>
      </c>
      <c r="K38" t="e">
        <f ca="1">AKTOS!L14</f>
        <v>#NAME?</v>
      </c>
      <c r="L38" t="e">
        <f ca="1">AKTOS!M14</f>
        <v>#NAME?</v>
      </c>
      <c r="M38" t="e">
        <f ca="1">AKTOS!N14</f>
        <v>#NAME?</v>
      </c>
      <c r="N38">
        <f>AKTOS!O14</f>
        <v>54404.36</v>
      </c>
      <c r="O38" t="e">
        <f ca="1">AKTOS!P14</f>
        <v>#NAME?</v>
      </c>
      <c r="P38" t="e">
        <f ca="1">AKTOS!Q14</f>
        <v>#NAME?</v>
      </c>
      <c r="Q38" t="e">
        <f ca="1">AKTOS!R14</f>
        <v>#NAME?</v>
      </c>
      <c r="R38" t="e">
        <f ca="1">AKTOS!S14</f>
        <v>#NAME?</v>
      </c>
      <c r="S38" t="e">
        <f ca="1">AKTOS!T14</f>
        <v>#NAME?</v>
      </c>
      <c r="T38" t="e">
        <f ca="1">AKTOS!U14</f>
        <v>#NAME?</v>
      </c>
      <c r="U38" t="e">
        <f ca="1">AKTOS!V14</f>
        <v>#NAME?</v>
      </c>
      <c r="V38" t="e">
        <f ca="1">AKTOS!W14</f>
        <v>#NAME?</v>
      </c>
      <c r="W38" t="e">
        <f>AKTOS!#REF!</f>
        <v>#REF!</v>
      </c>
      <c r="X38" t="e">
        <f>AKTOS!#REF!</f>
        <v>#REF!</v>
      </c>
      <c r="Y38" t="e">
        <f>AKTOS!#REF!</f>
        <v>#REF!</v>
      </c>
      <c r="Z38" t="e">
        <f>AKTOS!#REF!</f>
        <v>#REF!</v>
      </c>
      <c r="AA38" t="e">
        <f ca="1">AKTOS!X14</f>
        <v>#NAME?</v>
      </c>
    </row>
    <row r="39" spans="1:27" x14ac:dyDescent="0.25">
      <c r="A39" t="str">
        <f>AKTOS!A15</f>
        <v>AKTOS</v>
      </c>
      <c r="B39" t="str">
        <f>AKTOS!B15</f>
        <v>Etalon</v>
      </c>
      <c r="C39" t="str">
        <f>AKTOS!C15</f>
        <v xml:space="preserve">ETLN LI Equity </v>
      </c>
      <c r="D39" t="e">
        <f ca="1">AKTOS!D15</f>
        <v>#NAME?</v>
      </c>
      <c r="E39">
        <f>AKTOS!E15</f>
        <v>36160</v>
      </c>
      <c r="F39" t="e">
        <f ca="1">AKTOS!F15</f>
        <v>#NAME?</v>
      </c>
      <c r="G39" t="e">
        <f ca="1">AKTOS!G15</f>
        <v>#NAME?</v>
      </c>
      <c r="H39" t="e">
        <f ca="1">AKTOS!H15</f>
        <v>#NAME?</v>
      </c>
      <c r="I39" t="e">
        <f ca="1">AKTOS!I15</f>
        <v>#NAME?</v>
      </c>
      <c r="J39" t="e">
        <f ca="1">AKTOS!K15</f>
        <v>#NAME?</v>
      </c>
      <c r="K39" t="e">
        <f ca="1">AKTOS!L15</f>
        <v>#NAME?</v>
      </c>
      <c r="L39" t="e">
        <f ca="1">AKTOS!M15</f>
        <v>#NAME?</v>
      </c>
      <c r="M39" t="e">
        <f ca="1">AKTOS!N15</f>
        <v>#NAME?</v>
      </c>
      <c r="N39" t="e">
        <f ca="1">AKTOS!O15</f>
        <v>#NAME?</v>
      </c>
      <c r="O39" t="e">
        <f ca="1">AKTOS!P15</f>
        <v>#NAME?</v>
      </c>
      <c r="P39" t="e">
        <f ca="1">AKTOS!Q15</f>
        <v>#NAME?</v>
      </c>
      <c r="Q39" t="e">
        <f ca="1">AKTOS!R15</f>
        <v>#NAME?</v>
      </c>
      <c r="R39" t="e">
        <f ca="1">AKTOS!S15</f>
        <v>#NAME?</v>
      </c>
      <c r="S39" t="e">
        <f ca="1">AKTOS!T15</f>
        <v>#NAME?</v>
      </c>
      <c r="T39" t="e">
        <f ca="1">AKTOS!U15</f>
        <v>#NAME?</v>
      </c>
      <c r="U39" t="e">
        <f ca="1">AKTOS!V15</f>
        <v>#NAME?</v>
      </c>
      <c r="V39" t="e">
        <f ca="1">AKTOS!W15</f>
        <v>#NAME?</v>
      </c>
      <c r="W39" t="e">
        <f>AKTOS!#REF!</f>
        <v>#REF!</v>
      </c>
      <c r="X39" t="e">
        <f>AKTOS!#REF!</f>
        <v>#REF!</v>
      </c>
      <c r="Y39" t="e">
        <f>AKTOS!#REF!</f>
        <v>#REF!</v>
      </c>
      <c r="Z39" t="e">
        <f>AKTOS!#REF!</f>
        <v>#REF!</v>
      </c>
      <c r="AA39" t="e">
        <f ca="1">AKTOS!X15</f>
        <v>#NAME?</v>
      </c>
    </row>
    <row r="40" spans="1:27" x14ac:dyDescent="0.25">
      <c r="A40" t="e">
        <f>AKTOS!#REF!</f>
        <v>#REF!</v>
      </c>
      <c r="B40" t="e">
        <f>AKTOS!#REF!</f>
        <v>#REF!</v>
      </c>
      <c r="C40" t="e">
        <f>AKTOS!#REF!</f>
        <v>#REF!</v>
      </c>
      <c r="D40" t="e">
        <f>AKTOS!#REF!</f>
        <v>#REF!</v>
      </c>
      <c r="E40" t="e">
        <f>AKTOS!#REF!</f>
        <v>#REF!</v>
      </c>
      <c r="F40" t="e">
        <f>AKTOS!#REF!</f>
        <v>#REF!</v>
      </c>
      <c r="G40" t="e">
        <f>AKTOS!#REF!</f>
        <v>#REF!</v>
      </c>
      <c r="H40" t="e">
        <f>AKTOS!#REF!</f>
        <v>#REF!</v>
      </c>
      <c r="I40" t="e">
        <f>AKTOS!#REF!</f>
        <v>#REF!</v>
      </c>
      <c r="J40" t="e">
        <f>AKTOS!#REF!</f>
        <v>#REF!</v>
      </c>
      <c r="K40" t="e">
        <f>AKTOS!#REF!</f>
        <v>#REF!</v>
      </c>
      <c r="L40" t="e">
        <f>AKTOS!#REF!</f>
        <v>#REF!</v>
      </c>
      <c r="M40" t="e">
        <f>AKTOS!#REF!</f>
        <v>#REF!</v>
      </c>
      <c r="N40" t="e">
        <f>AKTOS!#REF!</f>
        <v>#REF!</v>
      </c>
      <c r="O40" t="e">
        <f>AKTOS!#REF!</f>
        <v>#REF!</v>
      </c>
      <c r="P40" t="e">
        <f>AKTOS!#REF!</f>
        <v>#REF!</v>
      </c>
      <c r="Q40" t="e">
        <f>AKTOS!#REF!</f>
        <v>#REF!</v>
      </c>
      <c r="R40" t="e">
        <f>AKTOS!#REF!</f>
        <v>#REF!</v>
      </c>
      <c r="S40" t="e">
        <f>AKTOS!#REF!</f>
        <v>#REF!</v>
      </c>
      <c r="T40" t="e">
        <f>AKTOS!#REF!</f>
        <v>#REF!</v>
      </c>
      <c r="U40" t="e">
        <f>AKTOS!#REF!</f>
        <v>#REF!</v>
      </c>
      <c r="V40" t="e">
        <f>AKTOS!#REF!</f>
        <v>#REF!</v>
      </c>
      <c r="W40" t="e">
        <f>AKTOS!#REF!</f>
        <v>#REF!</v>
      </c>
      <c r="X40" t="e">
        <f>AKTOS!#REF!</f>
        <v>#REF!</v>
      </c>
      <c r="Y40" t="e">
        <f>AKTOS!#REF!</f>
        <v>#REF!</v>
      </c>
      <c r="Z40" t="e">
        <f>AKTOS!#REF!</f>
        <v>#REF!</v>
      </c>
      <c r="AA40" t="e">
        <f>AKTOS!#REF!</f>
        <v>#REF!</v>
      </c>
    </row>
    <row r="41" spans="1:27" x14ac:dyDescent="0.25">
      <c r="A41" t="str">
        <f>AKTOS!A16</f>
        <v>AKTOS</v>
      </c>
      <c r="B41" t="str">
        <f>AKTOS!B16</f>
        <v>Rusal</v>
      </c>
      <c r="C41" t="str">
        <f>AKTOS!C16</f>
        <v>486 HK Equity</v>
      </c>
      <c r="D41" t="e">
        <f ca="1">AKTOS!D16</f>
        <v>#NAME?</v>
      </c>
      <c r="E41">
        <f>AKTOS!E16</f>
        <v>24000</v>
      </c>
      <c r="F41" t="e">
        <f ca="1">AKTOS!F16</f>
        <v>#NAME?</v>
      </c>
      <c r="G41" t="e">
        <f ca="1">AKTOS!G16</f>
        <v>#NAME?</v>
      </c>
      <c r="H41" t="e">
        <f ca="1">AKTOS!H16</f>
        <v>#NAME?</v>
      </c>
      <c r="I41" t="e">
        <f ca="1">AKTOS!I16</f>
        <v>#NAME?</v>
      </c>
      <c r="J41" t="e">
        <f ca="1">AKTOS!K16</f>
        <v>#NAME?</v>
      </c>
      <c r="K41" t="e">
        <f ca="1">AKTOS!L16</f>
        <v>#NAME?</v>
      </c>
      <c r="L41" t="e">
        <f ca="1">AKTOS!M16</f>
        <v>#NAME?</v>
      </c>
      <c r="M41" t="e">
        <f ca="1">AKTOS!N16</f>
        <v>#NAME?</v>
      </c>
      <c r="N41" t="e">
        <f ca="1">AKTOS!O16</f>
        <v>#NAME?</v>
      </c>
      <c r="O41" t="e">
        <f ca="1">AKTOS!P16</f>
        <v>#NAME?</v>
      </c>
      <c r="P41" t="e">
        <f ca="1">AKTOS!Q16</f>
        <v>#NAME?</v>
      </c>
      <c r="Q41" t="e">
        <f ca="1">AKTOS!R16</f>
        <v>#NAME?</v>
      </c>
      <c r="R41" t="e">
        <f ca="1">AKTOS!S16</f>
        <v>#NAME?</v>
      </c>
      <c r="S41" t="e">
        <f ca="1">AKTOS!T16</f>
        <v>#NAME?</v>
      </c>
      <c r="T41" t="e">
        <f ca="1">AKTOS!U16</f>
        <v>#NAME?</v>
      </c>
      <c r="U41" t="e">
        <f ca="1">AKTOS!V16</f>
        <v>#NAME?</v>
      </c>
      <c r="V41" t="e">
        <f ca="1">AKTOS!W16</f>
        <v>#NAME?</v>
      </c>
      <c r="W41" t="e">
        <f>AKTOS!#REF!</f>
        <v>#REF!</v>
      </c>
      <c r="X41" t="e">
        <f>AKTOS!#REF!</f>
        <v>#REF!</v>
      </c>
      <c r="Y41" t="e">
        <f>AKTOS!#REF!</f>
        <v>#REF!</v>
      </c>
      <c r="Z41" t="e">
        <f>AKTOS!#REF!</f>
        <v>#REF!</v>
      </c>
      <c r="AA41" t="e">
        <f ca="1">AKTOS!X16</f>
        <v>#NAME?</v>
      </c>
    </row>
    <row r="42" spans="1:27" x14ac:dyDescent="0.25">
      <c r="A42" t="str">
        <f>AKTOS!A17</f>
        <v>AKTOS</v>
      </c>
      <c r="B42" t="str">
        <f>AKTOS!B17</f>
        <v>Lukoil</v>
      </c>
      <c r="C42" t="str">
        <f>AKTOS!C17</f>
        <v>LKOH RX Equity</v>
      </c>
      <c r="D42" t="e">
        <f ca="1">AKTOS!D17</f>
        <v>#NAME?</v>
      </c>
      <c r="E42">
        <f>AKTOS!E17</f>
        <v>2027</v>
      </c>
      <c r="F42" t="e">
        <f ca="1">AKTOS!F17</f>
        <v>#NAME?</v>
      </c>
      <c r="G42" t="e">
        <f ca="1">AKTOS!G17</f>
        <v>#NAME?</v>
      </c>
      <c r="H42" t="e">
        <f ca="1">AKTOS!H17</f>
        <v>#NAME?</v>
      </c>
      <c r="I42" t="e">
        <f ca="1">AKTOS!I17</f>
        <v>#NAME?</v>
      </c>
      <c r="J42" t="e">
        <f ca="1">AKTOS!K17</f>
        <v>#NAME?</v>
      </c>
      <c r="K42" t="e">
        <f ca="1">AKTOS!L17</f>
        <v>#NAME?</v>
      </c>
      <c r="L42" t="e">
        <f ca="1">AKTOS!M17</f>
        <v>#NAME?</v>
      </c>
      <c r="M42" t="e">
        <f ca="1">AKTOS!N17</f>
        <v>#NAME?</v>
      </c>
      <c r="N42">
        <f>AKTOS!O17</f>
        <v>96688.042000000001</v>
      </c>
      <c r="O42" t="e">
        <f ca="1">AKTOS!P17</f>
        <v>#NAME?</v>
      </c>
      <c r="P42" t="e">
        <f ca="1">AKTOS!Q17</f>
        <v>#NAME?</v>
      </c>
      <c r="Q42" t="e">
        <f ca="1">AKTOS!R17</f>
        <v>#NAME?</v>
      </c>
      <c r="R42" t="e">
        <f ca="1">AKTOS!S17</f>
        <v>#NAME?</v>
      </c>
      <c r="S42" t="e">
        <f ca="1">AKTOS!T17</f>
        <v>#NAME?</v>
      </c>
      <c r="T42" t="e">
        <f ca="1">AKTOS!U17</f>
        <v>#NAME?</v>
      </c>
      <c r="U42" t="e">
        <f ca="1">AKTOS!V17</f>
        <v>#NAME?</v>
      </c>
      <c r="V42" t="e">
        <f ca="1">AKTOS!W17</f>
        <v>#NAME?</v>
      </c>
      <c r="W42" t="e">
        <f>AKTOS!#REF!</f>
        <v>#REF!</v>
      </c>
      <c r="X42" t="e">
        <f>AKTOS!#REF!</f>
        <v>#REF!</v>
      </c>
      <c r="Y42" t="e">
        <f>AKTOS!#REF!</f>
        <v>#REF!</v>
      </c>
      <c r="Z42" t="e">
        <f>AKTOS!#REF!</f>
        <v>#REF!</v>
      </c>
      <c r="AA42" t="e">
        <f ca="1">AKTOS!X17</f>
        <v>#NAME?</v>
      </c>
    </row>
    <row r="43" spans="1:27" x14ac:dyDescent="0.25">
      <c r="A43" t="str">
        <f>AKTOS!A18</f>
        <v>AKTOS</v>
      </c>
      <c r="B43" t="str">
        <f>AKTOS!B18</f>
        <v>MTS</v>
      </c>
      <c r="C43" t="str">
        <f>AKTOS!C18</f>
        <v>MTSS RX Equity</v>
      </c>
      <c r="D43" t="e">
        <f ca="1">AKTOS!D18</f>
        <v>#NAME?</v>
      </c>
      <c r="E43">
        <f>AKTOS!E18</f>
        <v>7600</v>
      </c>
      <c r="F43">
        <f>AKTOS!F18</f>
        <v>197</v>
      </c>
      <c r="G43" t="e">
        <f ca="1">AKTOS!G18</f>
        <v>#NAME?</v>
      </c>
      <c r="H43" t="e">
        <f ca="1">AKTOS!H18</f>
        <v>#NAME?</v>
      </c>
      <c r="I43" t="e">
        <f ca="1">AKTOS!I18</f>
        <v>#NAME?</v>
      </c>
      <c r="J43" t="e">
        <f ca="1">AKTOS!K18</f>
        <v>#NAME?</v>
      </c>
      <c r="K43" t="e">
        <f ca="1">AKTOS!L18</f>
        <v>#NAME?</v>
      </c>
      <c r="L43" t="e">
        <f ca="1">AKTOS!M18</f>
        <v>#NAME?</v>
      </c>
      <c r="M43">
        <f>AKTOS!N18</f>
        <v>1497200</v>
      </c>
      <c r="N43" t="e">
        <f ca="1">AKTOS!O18</f>
        <v>#NAME?</v>
      </c>
      <c r="O43" t="e">
        <f ca="1">AKTOS!P18</f>
        <v>#NAME?</v>
      </c>
      <c r="P43" t="e">
        <f ca="1">AKTOS!Q18</f>
        <v>#NAME?</v>
      </c>
      <c r="Q43" t="e">
        <f ca="1">AKTOS!R18</f>
        <v>#NAME?</v>
      </c>
      <c r="R43" t="e">
        <f ca="1">AKTOS!S18</f>
        <v>#NAME?</v>
      </c>
      <c r="S43" t="e">
        <f ca="1">AKTOS!T18</f>
        <v>#NAME?</v>
      </c>
      <c r="T43" t="e">
        <f ca="1">AKTOS!U18</f>
        <v>#NAME?</v>
      </c>
      <c r="U43" t="e">
        <f ca="1">AKTOS!V18</f>
        <v>#NAME?</v>
      </c>
      <c r="V43" t="e">
        <f ca="1">AKTOS!W18</f>
        <v>#NAME?</v>
      </c>
      <c r="W43" t="e">
        <f>AKTOS!#REF!</f>
        <v>#REF!</v>
      </c>
      <c r="X43" t="e">
        <f>AKTOS!#REF!</f>
        <v>#REF!</v>
      </c>
      <c r="Y43" t="e">
        <f>AKTOS!#REF!</f>
        <v>#REF!</v>
      </c>
      <c r="Z43" t="e">
        <f>AKTOS!#REF!</f>
        <v>#REF!</v>
      </c>
      <c r="AA43" t="e">
        <f ca="1">AKTOS!X18</f>
        <v>#NAME?</v>
      </c>
    </row>
    <row r="44" spans="1:27" x14ac:dyDescent="0.25">
      <c r="A44" t="str">
        <f>AKTOS!A19</f>
        <v>AKTOS</v>
      </c>
      <c r="B44" t="str">
        <f>AKTOS!B19</f>
        <v>Rusal</v>
      </c>
      <c r="C44" t="str">
        <f>AKTOS!C19</f>
        <v>RUALR RX Equity</v>
      </c>
      <c r="D44" t="e">
        <f ca="1">AKTOS!D19</f>
        <v>#NAME?</v>
      </c>
      <c r="E44">
        <f>AKTOS!E19</f>
        <v>24340</v>
      </c>
      <c r="F44">
        <f>AKTOS!F19</f>
        <v>244.98206302382911</v>
      </c>
      <c r="G44" t="e">
        <f ca="1">AKTOS!G19</f>
        <v>#NAME?</v>
      </c>
      <c r="H44" t="e">
        <f ca="1">AKTOS!H19</f>
        <v>#NAME?</v>
      </c>
      <c r="I44" t="e">
        <f ca="1">AKTOS!I19</f>
        <v>#NAME?</v>
      </c>
      <c r="J44" t="e">
        <f ca="1">AKTOS!K19</f>
        <v>#NAME?</v>
      </c>
      <c r="K44" t="e">
        <f ca="1">AKTOS!L19</f>
        <v>#NAME?</v>
      </c>
      <c r="L44" t="e">
        <f ca="1">AKTOS!M19</f>
        <v>#NAME?</v>
      </c>
      <c r="M44">
        <f>AKTOS!N19</f>
        <v>5962863.4140000008</v>
      </c>
      <c r="N44" t="e">
        <f ca="1">AKTOS!O19</f>
        <v>#NAME?</v>
      </c>
      <c r="O44" t="e">
        <f ca="1">AKTOS!P19</f>
        <v>#NAME?</v>
      </c>
      <c r="P44" t="e">
        <f ca="1">AKTOS!Q19</f>
        <v>#NAME?</v>
      </c>
      <c r="Q44" t="e">
        <f ca="1">AKTOS!R19</f>
        <v>#NAME?</v>
      </c>
      <c r="R44" t="e">
        <f ca="1">AKTOS!S19</f>
        <v>#NAME?</v>
      </c>
      <c r="S44" t="e">
        <f ca="1">AKTOS!T19</f>
        <v>#NAME?</v>
      </c>
      <c r="T44" t="e">
        <f ca="1">AKTOS!U19</f>
        <v>#NAME?</v>
      </c>
      <c r="U44" t="e">
        <f ca="1">AKTOS!V19</f>
        <v>#NAME?</v>
      </c>
      <c r="V44" t="e">
        <f ca="1">AKTOS!W19</f>
        <v>#NAME?</v>
      </c>
      <c r="W44" t="e">
        <f>AKTOS!#REF!</f>
        <v>#REF!</v>
      </c>
      <c r="X44" t="e">
        <f>AKTOS!#REF!</f>
        <v>#REF!</v>
      </c>
      <c r="Y44" t="e">
        <f>AKTOS!#REF!</f>
        <v>#REF!</v>
      </c>
      <c r="Z44" t="e">
        <f>AKTOS!#REF!</f>
        <v>#REF!</v>
      </c>
      <c r="AA44" t="e">
        <f ca="1">AKTOS!X19</f>
        <v>#NAME?</v>
      </c>
    </row>
    <row r="45" spans="1:27" x14ac:dyDescent="0.25">
      <c r="A45" t="str">
        <f>AKTOS!A20</f>
        <v>AKTOS</v>
      </c>
      <c r="B45" t="str">
        <f>AKTOS!B20</f>
        <v xml:space="preserve">Globaltrans </v>
      </c>
      <c r="C45" t="str">
        <f>AKTOS!C20</f>
        <v>GLTR LI Equity</v>
      </c>
      <c r="D45" t="e">
        <f ca="1">AKTOS!D20</f>
        <v>#NAME?</v>
      </c>
      <c r="E45">
        <f>AKTOS!E20</f>
        <v>6194</v>
      </c>
      <c r="F45">
        <f>AKTOS!F20</f>
        <v>10.7541168873103</v>
      </c>
      <c r="G45" t="e">
        <f ca="1">AKTOS!G20</f>
        <v>#NAME?</v>
      </c>
      <c r="H45" t="e">
        <f ca="1">AKTOS!H20</f>
        <v>#NAME?</v>
      </c>
      <c r="I45" t="e">
        <f ca="1">AKTOS!I20</f>
        <v>#NAME?</v>
      </c>
      <c r="J45" t="e">
        <f ca="1">AKTOS!K20</f>
        <v>#NAME?</v>
      </c>
      <c r="K45" t="e">
        <f ca="1">AKTOS!L20</f>
        <v>#NAME?</v>
      </c>
      <c r="L45" t="e">
        <f ca="1">AKTOS!M20</f>
        <v>#NAME?</v>
      </c>
      <c r="M45" t="e">
        <f ca="1">AKTOS!N20</f>
        <v>#NAME?</v>
      </c>
      <c r="N45">
        <f>AKTOS!O20</f>
        <v>66611</v>
      </c>
      <c r="O45" t="e">
        <f ca="1">AKTOS!P20</f>
        <v>#NAME?</v>
      </c>
      <c r="P45" t="e">
        <f ca="1">AKTOS!Q20</f>
        <v>#NAME?</v>
      </c>
      <c r="Q45" t="e">
        <f ca="1">AKTOS!R20</f>
        <v>#NAME?</v>
      </c>
      <c r="R45" t="e">
        <f ca="1">AKTOS!S20</f>
        <v>#NAME?</v>
      </c>
      <c r="S45" t="e">
        <f ca="1">AKTOS!T20</f>
        <v>#NAME?</v>
      </c>
      <c r="T45" t="e">
        <f ca="1">AKTOS!U20</f>
        <v>#NAME?</v>
      </c>
      <c r="U45" t="e">
        <f ca="1">AKTOS!V20</f>
        <v>#NAME?</v>
      </c>
      <c r="V45" t="e">
        <f ca="1">AKTOS!W20</f>
        <v>#NAME?</v>
      </c>
      <c r="W45" t="e">
        <f>AKTOS!#REF!</f>
        <v>#REF!</v>
      </c>
      <c r="X45" t="e">
        <f>AKTOS!#REF!</f>
        <v>#REF!</v>
      </c>
      <c r="Y45" t="e">
        <f>AKTOS!#REF!</f>
        <v>#REF!</v>
      </c>
      <c r="Z45" t="e">
        <f>AKTOS!#REF!</f>
        <v>#REF!</v>
      </c>
      <c r="AA45" t="e">
        <f ca="1">AKTOS!X20</f>
        <v>#NAME?</v>
      </c>
    </row>
    <row r="46" spans="1:27" x14ac:dyDescent="0.25">
      <c r="A46" t="e">
        <f>AKTOS!#REF!</f>
        <v>#REF!</v>
      </c>
      <c r="B46" t="e">
        <f>AKTOS!#REF!</f>
        <v>#REF!</v>
      </c>
      <c r="C46" t="e">
        <f>AKTOS!#REF!</f>
        <v>#REF!</v>
      </c>
      <c r="D46" t="e">
        <f>AKTOS!#REF!</f>
        <v>#REF!</v>
      </c>
      <c r="E46" t="e">
        <f>AKTOS!#REF!</f>
        <v>#REF!</v>
      </c>
      <c r="F46" t="e">
        <f>AKTOS!#REF!</f>
        <v>#REF!</v>
      </c>
      <c r="G46" t="e">
        <f>AKTOS!#REF!</f>
        <v>#REF!</v>
      </c>
      <c r="H46" t="e">
        <f>AKTOS!#REF!</f>
        <v>#REF!</v>
      </c>
      <c r="I46" t="e">
        <f>AKTOS!#REF!</f>
        <v>#REF!</v>
      </c>
      <c r="J46" t="e">
        <f>AKTOS!#REF!</f>
        <v>#REF!</v>
      </c>
      <c r="K46" t="e">
        <f>AKTOS!#REF!</f>
        <v>#REF!</v>
      </c>
      <c r="L46" t="e">
        <f>AKTOS!#REF!</f>
        <v>#REF!</v>
      </c>
      <c r="M46" t="e">
        <f>AKTOS!#REF!</f>
        <v>#REF!</v>
      </c>
      <c r="N46" t="e">
        <f>AKTOS!#REF!</f>
        <v>#REF!</v>
      </c>
      <c r="O46" t="e">
        <f>AKTOS!#REF!</f>
        <v>#REF!</v>
      </c>
      <c r="P46" t="e">
        <f>AKTOS!#REF!</f>
        <v>#REF!</v>
      </c>
      <c r="Q46" t="e">
        <f>AKTOS!#REF!</f>
        <v>#REF!</v>
      </c>
      <c r="R46" t="e">
        <f>AKTOS!#REF!</f>
        <v>#REF!</v>
      </c>
      <c r="S46" t="e">
        <f>AKTOS!#REF!</f>
        <v>#REF!</v>
      </c>
      <c r="T46" t="e">
        <f>AKTOS!#REF!</f>
        <v>#REF!</v>
      </c>
      <c r="U46" t="e">
        <f>AKTOS!#REF!</f>
        <v>#REF!</v>
      </c>
      <c r="V46" t="e">
        <f>AKTOS!#REF!</f>
        <v>#REF!</v>
      </c>
      <c r="W46" t="e">
        <f>AKTOS!#REF!</f>
        <v>#REF!</v>
      </c>
      <c r="X46" t="e">
        <f>AKTOS!#REF!</f>
        <v>#REF!</v>
      </c>
      <c r="Y46" t="e">
        <f>AKTOS!#REF!</f>
        <v>#REF!</v>
      </c>
      <c r="Z46" t="e">
        <f>AKTOS!#REF!</f>
        <v>#REF!</v>
      </c>
      <c r="AA46" t="e">
        <f>AKTOS!#REF!</f>
        <v>#REF!</v>
      </c>
    </row>
    <row r="47" spans="1:27" x14ac:dyDescent="0.25">
      <c r="A47" t="e">
        <f>AKTOS!#REF!</f>
        <v>#REF!</v>
      </c>
      <c r="B47" t="e">
        <f>AKTOS!#REF!</f>
        <v>#REF!</v>
      </c>
      <c r="C47" t="e">
        <f>AKTOS!#REF!</f>
        <v>#REF!</v>
      </c>
      <c r="D47" t="e">
        <f>AKTOS!#REF!</f>
        <v>#REF!</v>
      </c>
      <c r="E47" t="e">
        <f>AKTOS!#REF!</f>
        <v>#REF!</v>
      </c>
      <c r="F47" t="e">
        <f>AKTOS!#REF!</f>
        <v>#REF!</v>
      </c>
      <c r="G47" t="e">
        <f>AKTOS!#REF!</f>
        <v>#REF!</v>
      </c>
      <c r="H47" t="e">
        <f>AKTOS!#REF!</f>
        <v>#REF!</v>
      </c>
      <c r="I47" t="e">
        <f>AKTOS!#REF!</f>
        <v>#REF!</v>
      </c>
      <c r="J47" t="e">
        <f>AKTOS!#REF!</f>
        <v>#REF!</v>
      </c>
      <c r="K47" t="e">
        <f>AKTOS!#REF!</f>
        <v>#REF!</v>
      </c>
      <c r="L47" t="e">
        <f>AKTOS!#REF!</f>
        <v>#REF!</v>
      </c>
      <c r="M47" t="e">
        <f>AKTOS!#REF!</f>
        <v>#REF!</v>
      </c>
      <c r="N47" t="e">
        <f>AKTOS!#REF!</f>
        <v>#REF!</v>
      </c>
      <c r="O47" t="e">
        <f>AKTOS!#REF!</f>
        <v>#REF!</v>
      </c>
      <c r="P47" t="e">
        <f>AKTOS!#REF!</f>
        <v>#REF!</v>
      </c>
      <c r="Q47" t="e">
        <f>AKTOS!#REF!</f>
        <v>#REF!</v>
      </c>
      <c r="R47" t="e">
        <f>AKTOS!#REF!</f>
        <v>#REF!</v>
      </c>
      <c r="S47" t="e">
        <f>AKTOS!#REF!</f>
        <v>#REF!</v>
      </c>
      <c r="T47" t="e">
        <f>AKTOS!#REF!</f>
        <v>#REF!</v>
      </c>
      <c r="U47" t="e">
        <f>AKTOS!#REF!</f>
        <v>#REF!</v>
      </c>
      <c r="V47" t="e">
        <f>AKTOS!#REF!</f>
        <v>#REF!</v>
      </c>
      <c r="W47" t="e">
        <f>AKTOS!#REF!</f>
        <v>#REF!</v>
      </c>
      <c r="X47" t="e">
        <f>AKTOS!#REF!</f>
        <v>#REF!</v>
      </c>
      <c r="Y47" t="e">
        <f>AKTOS!#REF!</f>
        <v>#REF!</v>
      </c>
      <c r="Z47" t="e">
        <f>AKTOS!#REF!</f>
        <v>#REF!</v>
      </c>
      <c r="AA47" t="e">
        <f>AKTOS!#REF!</f>
        <v>#REF!</v>
      </c>
    </row>
    <row r="48" spans="1:27" x14ac:dyDescent="0.25">
      <c r="A48" t="e">
        <f>AKTOS!#REF!</f>
        <v>#REF!</v>
      </c>
      <c r="B48" t="e">
        <f>AKTOS!#REF!</f>
        <v>#REF!</v>
      </c>
      <c r="C48" t="e">
        <f>AKTOS!#REF!</f>
        <v>#REF!</v>
      </c>
      <c r="D48" t="e">
        <f>AKTOS!#REF!</f>
        <v>#REF!</v>
      </c>
      <c r="E48" t="e">
        <f>AKTOS!#REF!</f>
        <v>#REF!</v>
      </c>
      <c r="F48" t="e">
        <f>AKTOS!#REF!</f>
        <v>#REF!</v>
      </c>
      <c r="G48" t="e">
        <f>AKTOS!#REF!</f>
        <v>#REF!</v>
      </c>
      <c r="H48" t="e">
        <f>AKTOS!#REF!</f>
        <v>#REF!</v>
      </c>
      <c r="I48" t="e">
        <f>AKTOS!#REF!</f>
        <v>#REF!</v>
      </c>
      <c r="J48" t="e">
        <f>AKTOS!#REF!</f>
        <v>#REF!</v>
      </c>
      <c r="K48" t="e">
        <f>AKTOS!#REF!</f>
        <v>#REF!</v>
      </c>
      <c r="L48" t="e">
        <f>AKTOS!#REF!</f>
        <v>#REF!</v>
      </c>
      <c r="M48" t="e">
        <f>AKTOS!#REF!</f>
        <v>#REF!</v>
      </c>
      <c r="N48" t="e">
        <f>AKTOS!#REF!</f>
        <v>#REF!</v>
      </c>
      <c r="O48" t="e">
        <f>AKTOS!#REF!</f>
        <v>#REF!</v>
      </c>
      <c r="P48" t="e">
        <f>AKTOS!#REF!</f>
        <v>#REF!</v>
      </c>
      <c r="Q48" t="e">
        <f>AKTOS!#REF!</f>
        <v>#REF!</v>
      </c>
      <c r="R48" t="e">
        <f>AKTOS!#REF!</f>
        <v>#REF!</v>
      </c>
      <c r="S48" t="e">
        <f>AKTOS!#REF!</f>
        <v>#REF!</v>
      </c>
      <c r="T48" t="e">
        <f>AKTOS!#REF!</f>
        <v>#REF!</v>
      </c>
      <c r="U48" t="e">
        <f>AKTOS!#REF!</f>
        <v>#REF!</v>
      </c>
      <c r="V48" t="e">
        <f>AKTOS!#REF!</f>
        <v>#REF!</v>
      </c>
      <c r="W48" t="e">
        <f>AKTOS!#REF!</f>
        <v>#REF!</v>
      </c>
      <c r="X48" t="e">
        <f>AKTOS!#REF!</f>
        <v>#REF!</v>
      </c>
      <c r="Y48" t="e">
        <f>AKTOS!#REF!</f>
        <v>#REF!</v>
      </c>
      <c r="Z48" t="e">
        <f>AKTOS!#REF!</f>
        <v>#REF!</v>
      </c>
      <c r="AA48" t="e">
        <f>AKTOS!#REF!</f>
        <v>#REF!</v>
      </c>
    </row>
    <row r="49" spans="1:27" x14ac:dyDescent="0.25">
      <c r="A49" t="e">
        <f>AKTOS!#REF!</f>
        <v>#REF!</v>
      </c>
      <c r="B49" t="e">
        <f>AKTOS!#REF!</f>
        <v>#REF!</v>
      </c>
      <c r="C49" t="e">
        <f>AKTOS!#REF!</f>
        <v>#REF!</v>
      </c>
      <c r="D49" t="e">
        <f>AKTOS!#REF!</f>
        <v>#REF!</v>
      </c>
      <c r="E49" t="e">
        <f>AKTOS!#REF!</f>
        <v>#REF!</v>
      </c>
      <c r="F49" t="e">
        <f>AKTOS!#REF!</f>
        <v>#REF!</v>
      </c>
      <c r="G49" t="e">
        <f>AKTOS!#REF!</f>
        <v>#REF!</v>
      </c>
      <c r="H49" t="e">
        <f>AKTOS!#REF!</f>
        <v>#REF!</v>
      </c>
      <c r="I49" t="e">
        <f>AKTOS!#REF!</f>
        <v>#REF!</v>
      </c>
      <c r="J49" t="e">
        <f>AKTOS!#REF!</f>
        <v>#REF!</v>
      </c>
      <c r="K49" t="e">
        <f>AKTOS!#REF!</f>
        <v>#REF!</v>
      </c>
      <c r="L49" t="e">
        <f>AKTOS!#REF!</f>
        <v>#REF!</v>
      </c>
      <c r="M49" t="e">
        <f>AKTOS!#REF!</f>
        <v>#REF!</v>
      </c>
      <c r="N49" t="e">
        <f>AKTOS!#REF!</f>
        <v>#REF!</v>
      </c>
      <c r="O49" t="e">
        <f>AKTOS!#REF!</f>
        <v>#REF!</v>
      </c>
      <c r="P49" t="e">
        <f>AKTOS!#REF!</f>
        <v>#REF!</v>
      </c>
      <c r="Q49" t="e">
        <f>AKTOS!#REF!</f>
        <v>#REF!</v>
      </c>
      <c r="R49" t="e">
        <f>AKTOS!#REF!</f>
        <v>#REF!</v>
      </c>
      <c r="S49" t="e">
        <f>AKTOS!#REF!</f>
        <v>#REF!</v>
      </c>
      <c r="T49" t="e">
        <f>AKTOS!#REF!</f>
        <v>#REF!</v>
      </c>
      <c r="U49" t="e">
        <f>AKTOS!#REF!</f>
        <v>#REF!</v>
      </c>
      <c r="V49" t="e">
        <f>AKTOS!#REF!</f>
        <v>#REF!</v>
      </c>
      <c r="W49" t="e">
        <f>AKTOS!#REF!</f>
        <v>#REF!</v>
      </c>
      <c r="X49" t="e">
        <f>AKTOS!#REF!</f>
        <v>#REF!</v>
      </c>
      <c r="Y49" t="e">
        <f>AKTOS!#REF!</f>
        <v>#REF!</v>
      </c>
      <c r="Z49" t="e">
        <f>AKTOS!#REF!</f>
        <v>#REF!</v>
      </c>
      <c r="AA49" t="e">
        <f>AKTOS!#REF!</f>
        <v>#REF!</v>
      </c>
    </row>
    <row r="50" spans="1:27" x14ac:dyDescent="0.25">
      <c r="A50" t="e">
        <f>AKTOS!#REF!</f>
        <v>#REF!</v>
      </c>
      <c r="B50" t="e">
        <f>AKTOS!#REF!</f>
        <v>#REF!</v>
      </c>
      <c r="C50" t="e">
        <f>AKTOS!#REF!</f>
        <v>#REF!</v>
      </c>
      <c r="D50" t="e">
        <f>AKTOS!#REF!</f>
        <v>#REF!</v>
      </c>
      <c r="E50" t="e">
        <f>AKTOS!#REF!</f>
        <v>#REF!</v>
      </c>
      <c r="F50" t="e">
        <f>AKTOS!#REF!</f>
        <v>#REF!</v>
      </c>
      <c r="G50" t="e">
        <f>AKTOS!#REF!</f>
        <v>#REF!</v>
      </c>
      <c r="H50" t="e">
        <f>AKTOS!#REF!</f>
        <v>#REF!</v>
      </c>
      <c r="I50" t="e">
        <f>AKTOS!#REF!</f>
        <v>#REF!</v>
      </c>
      <c r="J50" t="e">
        <f>AKTOS!#REF!</f>
        <v>#REF!</v>
      </c>
      <c r="K50" t="e">
        <f>AKTOS!#REF!</f>
        <v>#REF!</v>
      </c>
      <c r="L50" t="e">
        <f>AKTOS!#REF!</f>
        <v>#REF!</v>
      </c>
      <c r="M50" t="e">
        <f>AKTOS!#REF!</f>
        <v>#REF!</v>
      </c>
      <c r="N50" t="e">
        <f>AKTOS!#REF!</f>
        <v>#REF!</v>
      </c>
      <c r="O50" t="e">
        <f>AKTOS!#REF!</f>
        <v>#REF!</v>
      </c>
      <c r="P50" t="e">
        <f>AKTOS!#REF!</f>
        <v>#REF!</v>
      </c>
      <c r="Q50" t="e">
        <f>AKTOS!#REF!</f>
        <v>#REF!</v>
      </c>
      <c r="R50" t="e">
        <f>AKTOS!#REF!</f>
        <v>#REF!</v>
      </c>
      <c r="S50" t="e">
        <f>AKTOS!#REF!</f>
        <v>#REF!</v>
      </c>
      <c r="T50" t="e">
        <f>AKTOS!#REF!</f>
        <v>#REF!</v>
      </c>
      <c r="U50" t="e">
        <f>AKTOS!#REF!</f>
        <v>#REF!</v>
      </c>
      <c r="V50" t="e">
        <f>AKTOS!#REF!</f>
        <v>#REF!</v>
      </c>
      <c r="W50" t="e">
        <f>AKTOS!#REF!</f>
        <v>#REF!</v>
      </c>
      <c r="X50" t="e">
        <f>AKTOS!#REF!</f>
        <v>#REF!</v>
      </c>
      <c r="Y50" t="e">
        <f>AKTOS!#REF!</f>
        <v>#REF!</v>
      </c>
      <c r="Z50" t="e">
        <f>AKTOS!#REF!</f>
        <v>#REF!</v>
      </c>
      <c r="AA50" t="e">
        <f>AKTOS!#REF!</f>
        <v>#REF!</v>
      </c>
    </row>
    <row r="51" spans="1:27" x14ac:dyDescent="0.25">
      <c r="A51" t="e">
        <f>AKTOS!#REF!</f>
        <v>#REF!</v>
      </c>
      <c r="B51" t="e">
        <f>AKTOS!#REF!</f>
        <v>#REF!</v>
      </c>
      <c r="C51" t="e">
        <f>AKTOS!#REF!</f>
        <v>#REF!</v>
      </c>
      <c r="D51" t="e">
        <f>AKTOS!#REF!</f>
        <v>#REF!</v>
      </c>
      <c r="E51" t="e">
        <f>AKTOS!#REF!</f>
        <v>#REF!</v>
      </c>
      <c r="F51" t="e">
        <f>AKTOS!#REF!</f>
        <v>#REF!</v>
      </c>
      <c r="G51" t="e">
        <f>AKTOS!#REF!</f>
        <v>#REF!</v>
      </c>
      <c r="H51" t="e">
        <f>AKTOS!#REF!</f>
        <v>#REF!</v>
      </c>
      <c r="I51" t="e">
        <f>AKTOS!#REF!</f>
        <v>#REF!</v>
      </c>
      <c r="J51" t="e">
        <f>AKTOS!#REF!</f>
        <v>#REF!</v>
      </c>
      <c r="K51" t="e">
        <f>AKTOS!#REF!</f>
        <v>#REF!</v>
      </c>
      <c r="L51" t="e">
        <f>AKTOS!#REF!</f>
        <v>#REF!</v>
      </c>
      <c r="M51" t="e">
        <f>AKTOS!#REF!</f>
        <v>#REF!</v>
      </c>
      <c r="N51" t="e">
        <f>AKTOS!#REF!</f>
        <v>#REF!</v>
      </c>
      <c r="O51" t="e">
        <f>AKTOS!#REF!</f>
        <v>#REF!</v>
      </c>
      <c r="P51" t="e">
        <f>AKTOS!#REF!</f>
        <v>#REF!</v>
      </c>
      <c r="Q51" t="e">
        <f>AKTOS!#REF!</f>
        <v>#REF!</v>
      </c>
      <c r="R51" t="e">
        <f>AKTOS!#REF!</f>
        <v>#REF!</v>
      </c>
      <c r="S51" t="e">
        <f>AKTOS!#REF!</f>
        <v>#REF!</v>
      </c>
      <c r="T51" t="e">
        <f>AKTOS!#REF!</f>
        <v>#REF!</v>
      </c>
      <c r="U51" t="e">
        <f>AKTOS!#REF!</f>
        <v>#REF!</v>
      </c>
      <c r="V51" t="e">
        <f>AKTOS!#REF!</f>
        <v>#REF!</v>
      </c>
      <c r="W51" t="e">
        <f>AKTOS!#REF!</f>
        <v>#REF!</v>
      </c>
      <c r="X51" t="e">
        <f>AKTOS!#REF!</f>
        <v>#REF!</v>
      </c>
      <c r="Y51" t="e">
        <f>AKTOS!#REF!</f>
        <v>#REF!</v>
      </c>
      <c r="Z51" t="e">
        <f>AKTOS!#REF!</f>
        <v>#REF!</v>
      </c>
      <c r="AA51" t="e">
        <f>AKTOS!#REF!</f>
        <v>#REF!</v>
      </c>
    </row>
    <row r="52" spans="1:27" x14ac:dyDescent="0.25">
      <c r="A52" t="str">
        <f>AKTOS!A21</f>
        <v>AKTOS</v>
      </c>
      <c r="B52" t="e">
        <f ca="1">AKTOS!B21</f>
        <v>#NAME?</v>
      </c>
      <c r="C52" t="str">
        <f>AKTOS!C21</f>
        <v>XS0997544860 Corp</v>
      </c>
      <c r="D52" t="e">
        <f ca="1">AKTOS!D21</f>
        <v>#NAME?</v>
      </c>
      <c r="E52">
        <f>AKTOS!E21</f>
        <v>245000</v>
      </c>
      <c r="F52" t="e">
        <f ca="1">AKTOS!F21</f>
        <v>#NAME?</v>
      </c>
      <c r="G52" t="e">
        <f ca="1">AKTOS!G21</f>
        <v>#NAME?</v>
      </c>
      <c r="H52">
        <f>AKTOS!H21</f>
        <v>0</v>
      </c>
      <c r="I52">
        <f>AKTOS!I21</f>
        <v>0</v>
      </c>
      <c r="J52" t="e">
        <f ca="1">AKTOS!K21</f>
        <v>#NAME?</v>
      </c>
      <c r="K52" t="e">
        <f ca="1">AKTOS!L21</f>
        <v>#NAME?</v>
      </c>
      <c r="L52" t="e">
        <f ca="1">AKTOS!M21</f>
        <v>#NAME?</v>
      </c>
      <c r="M52" t="e">
        <f ca="1">AKTOS!N21</f>
        <v>#NAME?</v>
      </c>
      <c r="N52" t="e">
        <f ca="1">AKTOS!O21</f>
        <v>#NAME?</v>
      </c>
      <c r="O52" t="e">
        <f ca="1">AKTOS!P21</f>
        <v>#NAME?</v>
      </c>
      <c r="P52" t="e">
        <f ca="1">AKTOS!Q21</f>
        <v>#NAME?</v>
      </c>
      <c r="Q52" t="e">
        <f ca="1">AKTOS!R21</f>
        <v>#NAME?</v>
      </c>
      <c r="R52" t="e">
        <f ca="1">AKTOS!S21</f>
        <v>#NAME?</v>
      </c>
      <c r="S52" t="e">
        <f ca="1">AKTOS!T21</f>
        <v>#NAME?</v>
      </c>
      <c r="T52" t="e">
        <f ca="1">AKTOS!U21</f>
        <v>#NAME?</v>
      </c>
      <c r="U52" t="e">
        <f ca="1">AKTOS!V21</f>
        <v>#NAME?</v>
      </c>
      <c r="V52" t="e">
        <f ca="1">AKTOS!W21</f>
        <v>#NAME?</v>
      </c>
      <c r="W52" t="e">
        <f>AKTOS!#REF!</f>
        <v>#REF!</v>
      </c>
      <c r="X52" t="e">
        <f>AKTOS!#REF!</f>
        <v>#REF!</v>
      </c>
      <c r="Y52" t="e">
        <f>AKTOS!#REF!</f>
        <v>#REF!</v>
      </c>
      <c r="Z52" t="e">
        <f>AKTOS!#REF!</f>
        <v>#REF!</v>
      </c>
      <c r="AA52">
        <f>AKTOS!X21</f>
        <v>0</v>
      </c>
    </row>
    <row r="53" spans="1:27" x14ac:dyDescent="0.25">
      <c r="A53" t="e">
        <f>AKTOS!#REF!</f>
        <v>#REF!</v>
      </c>
      <c r="B53" t="e">
        <f>AKTOS!#REF!</f>
        <v>#REF!</v>
      </c>
      <c r="C53" t="e">
        <f>AKTOS!#REF!</f>
        <v>#REF!</v>
      </c>
      <c r="D53" t="e">
        <f>AKTOS!#REF!</f>
        <v>#REF!</v>
      </c>
      <c r="E53" t="e">
        <f>AKTOS!#REF!</f>
        <v>#REF!</v>
      </c>
      <c r="F53" t="e">
        <f>AKTOS!#REF!</f>
        <v>#REF!</v>
      </c>
      <c r="G53" t="e">
        <f>AKTOS!#REF!</f>
        <v>#REF!</v>
      </c>
      <c r="H53" t="e">
        <f>AKTOS!#REF!</f>
        <v>#REF!</v>
      </c>
      <c r="I53" t="e">
        <f>AKTOS!#REF!</f>
        <v>#REF!</v>
      </c>
      <c r="J53" t="e">
        <f>AKTOS!#REF!</f>
        <v>#REF!</v>
      </c>
      <c r="K53" t="e">
        <f>AKTOS!#REF!</f>
        <v>#REF!</v>
      </c>
      <c r="L53" t="e">
        <f>AKTOS!#REF!</f>
        <v>#REF!</v>
      </c>
      <c r="M53" t="e">
        <f>AKTOS!#REF!</f>
        <v>#REF!</v>
      </c>
      <c r="N53" t="e">
        <f>AKTOS!#REF!</f>
        <v>#REF!</v>
      </c>
      <c r="O53" t="e">
        <f>AKTOS!#REF!</f>
        <v>#REF!</v>
      </c>
      <c r="P53" t="e">
        <f>AKTOS!#REF!</f>
        <v>#REF!</v>
      </c>
      <c r="Q53" t="e">
        <f>AKTOS!#REF!</f>
        <v>#REF!</v>
      </c>
      <c r="R53" t="e">
        <f>AKTOS!#REF!</f>
        <v>#REF!</v>
      </c>
      <c r="S53" t="e">
        <f>AKTOS!#REF!</f>
        <v>#REF!</v>
      </c>
      <c r="T53" t="e">
        <f>AKTOS!#REF!</f>
        <v>#REF!</v>
      </c>
      <c r="U53" t="e">
        <f>AKTOS!#REF!</f>
        <v>#REF!</v>
      </c>
      <c r="V53" t="e">
        <f>AKTOS!#REF!</f>
        <v>#REF!</v>
      </c>
      <c r="W53" t="e">
        <f>AKTOS!#REF!</f>
        <v>#REF!</v>
      </c>
      <c r="X53" t="e">
        <f>AKTOS!#REF!</f>
        <v>#REF!</v>
      </c>
      <c r="Y53" t="e">
        <f>AKTOS!#REF!</f>
        <v>#REF!</v>
      </c>
      <c r="Z53" t="e">
        <f>AKTOS!#REF!</f>
        <v>#REF!</v>
      </c>
      <c r="AA53" t="e">
        <f>AKTOS!#REF!</f>
        <v>#REF!</v>
      </c>
    </row>
    <row r="54" spans="1:27" x14ac:dyDescent="0.25">
      <c r="A54" t="e">
        <f>AKTOS!#REF!</f>
        <v>#REF!</v>
      </c>
      <c r="B54" t="e">
        <f>AKTOS!#REF!</f>
        <v>#REF!</v>
      </c>
      <c r="C54" t="e">
        <f>AKTOS!#REF!</f>
        <v>#REF!</v>
      </c>
      <c r="D54" t="e">
        <f>AKTOS!#REF!</f>
        <v>#REF!</v>
      </c>
      <c r="E54" t="e">
        <f>AKTOS!#REF!</f>
        <v>#REF!</v>
      </c>
      <c r="F54" t="e">
        <f>AKTOS!#REF!</f>
        <v>#REF!</v>
      </c>
      <c r="G54" t="e">
        <f>AKTOS!#REF!</f>
        <v>#REF!</v>
      </c>
      <c r="H54" t="e">
        <f>AKTOS!#REF!</f>
        <v>#REF!</v>
      </c>
      <c r="I54" t="e">
        <f>AKTOS!#REF!</f>
        <v>#REF!</v>
      </c>
      <c r="J54" t="e">
        <f>AKTOS!#REF!</f>
        <v>#REF!</v>
      </c>
      <c r="K54" t="e">
        <f>AKTOS!#REF!</f>
        <v>#REF!</v>
      </c>
      <c r="L54" t="e">
        <f>AKTOS!#REF!</f>
        <v>#REF!</v>
      </c>
      <c r="M54" t="e">
        <f>AKTOS!#REF!</f>
        <v>#REF!</v>
      </c>
      <c r="N54" t="e">
        <f>AKTOS!#REF!</f>
        <v>#REF!</v>
      </c>
      <c r="O54" t="e">
        <f>AKTOS!#REF!</f>
        <v>#REF!</v>
      </c>
      <c r="P54" t="e">
        <f>AKTOS!#REF!</f>
        <v>#REF!</v>
      </c>
      <c r="Q54" t="e">
        <f>AKTOS!#REF!</f>
        <v>#REF!</v>
      </c>
      <c r="R54" t="e">
        <f>AKTOS!#REF!</f>
        <v>#REF!</v>
      </c>
      <c r="S54" t="e">
        <f>AKTOS!#REF!</f>
        <v>#REF!</v>
      </c>
      <c r="T54" t="e">
        <f>AKTOS!#REF!</f>
        <v>#REF!</v>
      </c>
      <c r="U54" t="e">
        <f>AKTOS!#REF!</f>
        <v>#REF!</v>
      </c>
      <c r="V54" t="e">
        <f>AKTOS!#REF!</f>
        <v>#REF!</v>
      </c>
      <c r="W54" t="e">
        <f>AKTOS!#REF!</f>
        <v>#REF!</v>
      </c>
      <c r="X54" t="e">
        <f>AKTOS!#REF!</f>
        <v>#REF!</v>
      </c>
      <c r="Y54" t="e">
        <f>AKTOS!#REF!</f>
        <v>#REF!</v>
      </c>
      <c r="Z54" t="e">
        <f>AKTOS!#REF!</f>
        <v>#REF!</v>
      </c>
      <c r="AA54" t="e">
        <f>AKTOS!#REF!</f>
        <v>#REF!</v>
      </c>
    </row>
    <row r="55" spans="1:27" x14ac:dyDescent="0.25">
      <c r="A55" t="e">
        <f>AKTOS!#REF!</f>
        <v>#REF!</v>
      </c>
      <c r="B55" t="e">
        <f>AKTOS!#REF!</f>
        <v>#REF!</v>
      </c>
      <c r="C55" t="e">
        <f>AKTOS!#REF!</f>
        <v>#REF!</v>
      </c>
      <c r="D55" t="e">
        <f>AKTOS!#REF!</f>
        <v>#REF!</v>
      </c>
      <c r="E55" t="e">
        <f>AKTOS!#REF!</f>
        <v>#REF!</v>
      </c>
      <c r="F55" t="e">
        <f>AKTOS!#REF!</f>
        <v>#REF!</v>
      </c>
      <c r="G55" t="e">
        <f>AKTOS!#REF!</f>
        <v>#REF!</v>
      </c>
      <c r="H55" t="e">
        <f>AKTOS!#REF!</f>
        <v>#REF!</v>
      </c>
      <c r="I55" t="e">
        <f>AKTOS!#REF!</f>
        <v>#REF!</v>
      </c>
      <c r="J55" t="e">
        <f>AKTOS!#REF!</f>
        <v>#REF!</v>
      </c>
      <c r="K55" t="e">
        <f>AKTOS!#REF!</f>
        <v>#REF!</v>
      </c>
      <c r="L55" t="e">
        <f>AKTOS!#REF!</f>
        <v>#REF!</v>
      </c>
      <c r="M55" t="e">
        <f>AKTOS!#REF!</f>
        <v>#REF!</v>
      </c>
      <c r="N55" t="e">
        <f>AKTOS!#REF!</f>
        <v>#REF!</v>
      </c>
      <c r="O55" t="e">
        <f>AKTOS!#REF!</f>
        <v>#REF!</v>
      </c>
      <c r="P55" t="e">
        <f>AKTOS!#REF!</f>
        <v>#REF!</v>
      </c>
      <c r="Q55" t="e">
        <f>AKTOS!#REF!</f>
        <v>#REF!</v>
      </c>
      <c r="R55" t="e">
        <f>AKTOS!#REF!</f>
        <v>#REF!</v>
      </c>
      <c r="S55" t="e">
        <f>AKTOS!#REF!</f>
        <v>#REF!</v>
      </c>
      <c r="T55" t="e">
        <f>AKTOS!#REF!</f>
        <v>#REF!</v>
      </c>
      <c r="U55" t="e">
        <f>AKTOS!#REF!</f>
        <v>#REF!</v>
      </c>
      <c r="V55" t="e">
        <f>AKTOS!#REF!</f>
        <v>#REF!</v>
      </c>
      <c r="W55" t="e">
        <f>AKTOS!#REF!</f>
        <v>#REF!</v>
      </c>
      <c r="X55" t="e">
        <f>AKTOS!#REF!</f>
        <v>#REF!</v>
      </c>
      <c r="Y55" t="e">
        <f>AKTOS!#REF!</f>
        <v>#REF!</v>
      </c>
      <c r="Z55" t="e">
        <f>AKTOS!#REF!</f>
        <v>#REF!</v>
      </c>
      <c r="AA55" t="e">
        <f>AKTOS!#REF!</f>
        <v>#REF!</v>
      </c>
    </row>
    <row r="56" spans="1:27" x14ac:dyDescent="0.25">
      <c r="A56" t="e">
        <f>AKTOS!#REF!</f>
        <v>#REF!</v>
      </c>
      <c r="B56" t="e">
        <f>AKTOS!#REF!</f>
        <v>#REF!</v>
      </c>
      <c r="C56" t="e">
        <f>AKTOS!#REF!</f>
        <v>#REF!</v>
      </c>
      <c r="D56" t="e">
        <f>AKTOS!#REF!</f>
        <v>#REF!</v>
      </c>
      <c r="E56" t="e">
        <f>AKTOS!#REF!</f>
        <v>#REF!</v>
      </c>
      <c r="F56" t="e">
        <f>AKTOS!#REF!</f>
        <v>#REF!</v>
      </c>
      <c r="G56" t="e">
        <f>AKTOS!#REF!</f>
        <v>#REF!</v>
      </c>
      <c r="H56" t="e">
        <f>AKTOS!#REF!</f>
        <v>#REF!</v>
      </c>
      <c r="I56" t="e">
        <f>AKTOS!#REF!</f>
        <v>#REF!</v>
      </c>
      <c r="J56" t="e">
        <f>AKTOS!#REF!</f>
        <v>#REF!</v>
      </c>
      <c r="K56" t="e">
        <f>AKTOS!#REF!</f>
        <v>#REF!</v>
      </c>
      <c r="L56" t="e">
        <f>AKTOS!#REF!</f>
        <v>#REF!</v>
      </c>
      <c r="M56" t="e">
        <f>AKTOS!#REF!</f>
        <v>#REF!</v>
      </c>
      <c r="N56" t="e">
        <f>AKTOS!#REF!</f>
        <v>#REF!</v>
      </c>
      <c r="O56" t="e">
        <f>AKTOS!#REF!</f>
        <v>#REF!</v>
      </c>
      <c r="P56" t="e">
        <f>AKTOS!#REF!</f>
        <v>#REF!</v>
      </c>
      <c r="Q56" t="e">
        <f>AKTOS!#REF!</f>
        <v>#REF!</v>
      </c>
      <c r="R56" t="e">
        <f>AKTOS!#REF!</f>
        <v>#REF!</v>
      </c>
      <c r="S56" t="e">
        <f>AKTOS!#REF!</f>
        <v>#REF!</v>
      </c>
      <c r="T56" t="e">
        <f>AKTOS!#REF!</f>
        <v>#REF!</v>
      </c>
      <c r="U56" t="e">
        <f>AKTOS!#REF!</f>
        <v>#REF!</v>
      </c>
      <c r="V56" t="e">
        <f>AKTOS!#REF!</f>
        <v>#REF!</v>
      </c>
      <c r="W56" t="e">
        <f>AKTOS!#REF!</f>
        <v>#REF!</v>
      </c>
      <c r="X56" t="e">
        <f>AKTOS!#REF!</f>
        <v>#REF!</v>
      </c>
      <c r="Y56" t="e">
        <f>AKTOS!#REF!</f>
        <v>#REF!</v>
      </c>
      <c r="Z56" t="e">
        <f>AKTOS!#REF!</f>
        <v>#REF!</v>
      </c>
      <c r="AA56" t="e">
        <f>AKTOS!#REF!</f>
        <v>#REF!</v>
      </c>
    </row>
    <row r="57" spans="1:27" x14ac:dyDescent="0.25">
      <c r="A57" t="str">
        <f>AQLON1!A6</f>
        <v>AQLON1</v>
      </c>
      <c r="B57" t="str">
        <f>AQLON1!B6</f>
        <v>GMKN</v>
      </c>
      <c r="C57" t="str">
        <f>AQLON1!C6</f>
        <v>GMKN RX Equity</v>
      </c>
      <c r="D57" t="e">
        <f ca="1">AQLON1!D6</f>
        <v>#NAME?</v>
      </c>
      <c r="E57">
        <f>AQLON1!E6</f>
        <v>847</v>
      </c>
      <c r="F57">
        <f>AQLON1!F6</f>
        <v>8342.4118617473432</v>
      </c>
      <c r="G57" t="e">
        <f ca="1">AQLON1!G6</f>
        <v>#NAME?</v>
      </c>
      <c r="H57" t="e">
        <f ca="1">AQLON1!K6</f>
        <v>#NAME?</v>
      </c>
      <c r="I57" t="e">
        <f ca="1">AQLON1!L6</f>
        <v>#NAME?</v>
      </c>
      <c r="J57" t="e">
        <f ca="1">AQLON1!M6</f>
        <v>#NAME?</v>
      </c>
      <c r="K57">
        <f>AQLON1!N6</f>
        <v>7066022.8468999993</v>
      </c>
      <c r="L57" t="e">
        <f ca="1">AQLON1!O6</f>
        <v>#NAME?</v>
      </c>
      <c r="M57" t="e">
        <f ca="1">AQLON1!P6</f>
        <v>#NAME?</v>
      </c>
      <c r="N57" t="e">
        <f ca="1">AQLON1!Q6</f>
        <v>#NAME?</v>
      </c>
      <c r="O57" t="e">
        <f ca="1">AQLON1!R6</f>
        <v>#NAME?</v>
      </c>
      <c r="P57" t="e">
        <f ca="1">AQLON1!S6</f>
        <v>#NAME?</v>
      </c>
      <c r="Q57" t="e">
        <f ca="1">AQLON1!T6</f>
        <v>#NAME?</v>
      </c>
      <c r="R57" t="e">
        <f ca="1">AQLON1!U6</f>
        <v>#NAME?</v>
      </c>
      <c r="S57" t="e">
        <f ca="1">AQLON1!V6</f>
        <v>#NAME?</v>
      </c>
      <c r="T57" t="e">
        <f ca="1">AQLON1!W6</f>
        <v>#NAME?</v>
      </c>
      <c r="U57" t="e">
        <f>AQLON1!#REF!</f>
        <v>#REF!</v>
      </c>
      <c r="V57" t="e">
        <f>AQLON1!#REF!</f>
        <v>#REF!</v>
      </c>
      <c r="W57" t="e">
        <f>AQLON1!#REF!</f>
        <v>#REF!</v>
      </c>
      <c r="X57" t="e">
        <f>AQLON1!#REF!</f>
        <v>#REF!</v>
      </c>
      <c r="Y57" t="e">
        <f ca="1">AQLON1!X6</f>
        <v>#NAME?</v>
      </c>
      <c r="Z57" t="e">
        <f ca="1">AQLON1!Y6</f>
        <v>#NAME?</v>
      </c>
      <c r="AA57" t="e">
        <f>AQLON1!#REF!</f>
        <v>#REF!</v>
      </c>
    </row>
    <row r="58" spans="1:27" x14ac:dyDescent="0.25">
      <c r="A58" t="str">
        <f>AQLON1!A7</f>
        <v>AQLON1</v>
      </c>
      <c r="B58" t="str">
        <f>AQLON1!B7</f>
        <v>Kamaz</v>
      </c>
      <c r="C58" t="str">
        <f>AQLON1!C7</f>
        <v>KMAZ RX Equity</v>
      </c>
      <c r="D58" t="e">
        <f ca="1">AQLON1!D7</f>
        <v>#NAME?</v>
      </c>
      <c r="E58">
        <f>AQLON1!E7</f>
        <v>15000</v>
      </c>
      <c r="F58">
        <f>AQLON1!F7</f>
        <v>37.981250000000003</v>
      </c>
      <c r="G58" t="e">
        <f ca="1">AQLON1!G7</f>
        <v>#NAME?</v>
      </c>
      <c r="H58" t="e">
        <f ca="1">AQLON1!K7</f>
        <v>#NAME?</v>
      </c>
      <c r="I58" t="e">
        <f ca="1">AQLON1!L7</f>
        <v>#NAME?</v>
      </c>
      <c r="J58" t="e">
        <f ca="1">AQLON1!M7</f>
        <v>#NAME?</v>
      </c>
      <c r="K58">
        <f>AQLON1!N7</f>
        <v>569718.75</v>
      </c>
      <c r="L58" t="e">
        <f ca="1">AQLON1!O7</f>
        <v>#NAME?</v>
      </c>
      <c r="M58" t="e">
        <f ca="1">AQLON1!P7</f>
        <v>#NAME?</v>
      </c>
      <c r="N58" t="e">
        <f ca="1">AQLON1!Q7</f>
        <v>#NAME?</v>
      </c>
      <c r="O58" t="e">
        <f ca="1">AQLON1!R7</f>
        <v>#NAME?</v>
      </c>
      <c r="P58" t="e">
        <f ca="1">AQLON1!S7</f>
        <v>#NAME?</v>
      </c>
      <c r="Q58" t="e">
        <f ca="1">AQLON1!T7</f>
        <v>#NAME?</v>
      </c>
      <c r="R58" t="e">
        <f ca="1">AQLON1!U7</f>
        <v>#NAME?</v>
      </c>
      <c r="S58" t="e">
        <f ca="1">AQLON1!V7</f>
        <v>#NAME?</v>
      </c>
      <c r="T58" t="e">
        <f ca="1">AQLON1!W7</f>
        <v>#NAME?</v>
      </c>
      <c r="U58" t="e">
        <f>AQLON1!#REF!</f>
        <v>#REF!</v>
      </c>
      <c r="V58" t="e">
        <f>AQLON1!#REF!</f>
        <v>#REF!</v>
      </c>
      <c r="W58" t="e">
        <f>AQLON1!#REF!</f>
        <v>#REF!</v>
      </c>
      <c r="X58" t="e">
        <f>AQLON1!#REF!</f>
        <v>#REF!</v>
      </c>
      <c r="Y58" t="e">
        <f ca="1">AQLON1!X7</f>
        <v>#NAME?</v>
      </c>
      <c r="Z58" t="e">
        <f ca="1">AQLON1!Y7</f>
        <v>#NAME?</v>
      </c>
      <c r="AA58" t="e">
        <f>AQLON1!#REF!</f>
        <v>#REF!</v>
      </c>
    </row>
    <row r="59" spans="1:27" x14ac:dyDescent="0.25">
      <c r="A59" t="str">
        <f>AQLON1!A8</f>
        <v>AQLON1</v>
      </c>
      <c r="B59" t="str">
        <f>AQLON1!B8</f>
        <v>Luxoft</v>
      </c>
      <c r="C59" t="str">
        <f>AQLON1!C8</f>
        <v>LXFT US Equity</v>
      </c>
      <c r="D59" t="e">
        <f ca="1">AQLON1!D8</f>
        <v>#NAME?</v>
      </c>
      <c r="E59">
        <f>AQLON1!E8</f>
        <v>1510</v>
      </c>
      <c r="F59">
        <f>AQLON1!F8</f>
        <v>50.979337999999998</v>
      </c>
      <c r="G59" t="e">
        <f ca="1">AQLON1!G8</f>
        <v>#NAME?</v>
      </c>
      <c r="H59" t="e">
        <f ca="1">AQLON1!K8</f>
        <v>#NAME?</v>
      </c>
      <c r="I59" t="e">
        <f ca="1">AQLON1!L8</f>
        <v>#NAME?</v>
      </c>
      <c r="J59" t="e">
        <f ca="1">AQLON1!M8</f>
        <v>#NAME?</v>
      </c>
      <c r="K59" t="e">
        <f ca="1">AQLON1!N8</f>
        <v>#NAME?</v>
      </c>
      <c r="L59">
        <f>AQLON1!O8</f>
        <v>76978.800380000001</v>
      </c>
      <c r="M59" t="e">
        <f ca="1">AQLON1!P8</f>
        <v>#NAME?</v>
      </c>
      <c r="N59" t="e">
        <f ca="1">AQLON1!Q8</f>
        <v>#NAME?</v>
      </c>
      <c r="O59" t="e">
        <f ca="1">AQLON1!R8</f>
        <v>#NAME?</v>
      </c>
      <c r="P59" t="e">
        <f ca="1">AQLON1!S8</f>
        <v>#NAME?</v>
      </c>
      <c r="Q59" t="e">
        <f ca="1">AQLON1!T8</f>
        <v>#NAME?</v>
      </c>
      <c r="R59" t="e">
        <f ca="1">AQLON1!U8</f>
        <v>#NAME?</v>
      </c>
      <c r="S59" t="e">
        <f ca="1">AQLON1!V8</f>
        <v>#NAME?</v>
      </c>
      <c r="T59" t="e">
        <f ca="1">AQLON1!W8</f>
        <v>#NAME?</v>
      </c>
      <c r="U59" t="e">
        <f>AQLON1!#REF!</f>
        <v>#REF!</v>
      </c>
      <c r="V59" t="e">
        <f>AQLON1!#REF!</f>
        <v>#REF!</v>
      </c>
      <c r="W59" t="e">
        <f>AQLON1!#REF!</f>
        <v>#REF!</v>
      </c>
      <c r="X59" t="e">
        <f>AQLON1!#REF!</f>
        <v>#REF!</v>
      </c>
      <c r="Y59" t="e">
        <f ca="1">AQLON1!X8</f>
        <v>#NAME?</v>
      </c>
      <c r="Z59" t="e">
        <f ca="1">AQLON1!Y8</f>
        <v>#NAME?</v>
      </c>
      <c r="AA59" t="e">
        <f>AQLON1!#REF!</f>
        <v>#REF!</v>
      </c>
    </row>
    <row r="60" spans="1:27" x14ac:dyDescent="0.25">
      <c r="A60" t="str">
        <f>AQLON1!A10</f>
        <v>AQLON1</v>
      </c>
      <c r="B60" t="str">
        <f>AQLON1!B10</f>
        <v>QIWI</v>
      </c>
      <c r="C60" t="str">
        <f>AQLON1!C10</f>
        <v>QIWI US Equity</v>
      </c>
      <c r="D60" t="e">
        <f ca="1">AQLON1!D10</f>
        <v>#NAME?</v>
      </c>
      <c r="E60">
        <f>AQLON1!E10</f>
        <v>4100</v>
      </c>
      <c r="F60">
        <f>AQLON1!F10</f>
        <v>14.581951219512195</v>
      </c>
      <c r="G60" t="e">
        <f ca="1">AQLON1!G10</f>
        <v>#NAME?</v>
      </c>
      <c r="H60" t="e">
        <f ca="1">AQLON1!K10</f>
        <v>#NAME?</v>
      </c>
      <c r="I60" t="e">
        <f ca="1">AQLON1!L10</f>
        <v>#NAME?</v>
      </c>
      <c r="J60" t="e">
        <f ca="1">AQLON1!M10</f>
        <v>#NAME?</v>
      </c>
      <c r="K60" t="e">
        <f ca="1">AQLON1!N10</f>
        <v>#NAME?</v>
      </c>
      <c r="L60">
        <f>AQLON1!O10</f>
        <v>59786</v>
      </c>
      <c r="M60" t="e">
        <f ca="1">AQLON1!P10</f>
        <v>#NAME?</v>
      </c>
      <c r="N60" t="e">
        <f ca="1">AQLON1!Q10</f>
        <v>#NAME?</v>
      </c>
      <c r="O60" t="e">
        <f ca="1">AQLON1!R10</f>
        <v>#NAME?</v>
      </c>
      <c r="P60" t="e">
        <f ca="1">AQLON1!S10</f>
        <v>#NAME?</v>
      </c>
      <c r="Q60" t="e">
        <f ca="1">AQLON1!T10</f>
        <v>#NAME?</v>
      </c>
      <c r="R60" t="e">
        <f ca="1">AQLON1!U10</f>
        <v>#NAME?</v>
      </c>
      <c r="S60" t="e">
        <f ca="1">AQLON1!V10</f>
        <v>#NAME?</v>
      </c>
      <c r="T60" t="e">
        <f ca="1">AQLON1!W10</f>
        <v>#NAME?</v>
      </c>
      <c r="U60" t="e">
        <f>AQLON1!#REF!</f>
        <v>#REF!</v>
      </c>
      <c r="V60" t="e">
        <f>AQLON1!#REF!</f>
        <v>#REF!</v>
      </c>
      <c r="W60" t="e">
        <f>AQLON1!#REF!</f>
        <v>#REF!</v>
      </c>
      <c r="X60" t="e">
        <f>AQLON1!#REF!</f>
        <v>#REF!</v>
      </c>
      <c r="Y60" t="e">
        <f ca="1">AQLON1!X10</f>
        <v>#NAME?</v>
      </c>
      <c r="Z60" t="e">
        <f ca="1">AQLON1!Y10</f>
        <v>#NAME?</v>
      </c>
      <c r="AA60" t="e">
        <f>AQLON1!#REF!</f>
        <v>#REF!</v>
      </c>
    </row>
    <row r="61" spans="1:27" x14ac:dyDescent="0.25">
      <c r="A61" t="str">
        <f>AQLON1!A11</f>
        <v>AQLON1</v>
      </c>
      <c r="B61" t="str">
        <f>AQLON1!B11</f>
        <v>Vimpelcom</v>
      </c>
      <c r="C61" t="str">
        <f>AQLON1!C11</f>
        <v>VIP US Equity</v>
      </c>
      <c r="D61" t="e">
        <f ca="1">AQLON1!D11</f>
        <v>#NAME?</v>
      </c>
      <c r="E61">
        <f>AQLON1!E11</f>
        <v>40224</v>
      </c>
      <c r="F61">
        <f>AQLON1!F11</f>
        <v>3.6976481702466186</v>
      </c>
      <c r="G61" t="e">
        <f ca="1">AQLON1!G11</f>
        <v>#NAME?</v>
      </c>
      <c r="H61" t="e">
        <f ca="1">AQLON1!K11</f>
        <v>#NAME?</v>
      </c>
      <c r="I61" t="e">
        <f ca="1">AQLON1!L11</f>
        <v>#NAME?</v>
      </c>
      <c r="J61" t="e">
        <f ca="1">AQLON1!M11</f>
        <v>#NAME?</v>
      </c>
      <c r="K61" t="e">
        <f ca="1">AQLON1!N11</f>
        <v>#NAME?</v>
      </c>
      <c r="L61">
        <f>AQLON1!O11</f>
        <v>148734.19999999998</v>
      </c>
      <c r="M61" t="e">
        <f ca="1">AQLON1!P11</f>
        <v>#NAME?</v>
      </c>
      <c r="N61" t="e">
        <f ca="1">AQLON1!Q11</f>
        <v>#NAME?</v>
      </c>
      <c r="O61" t="e">
        <f ca="1">AQLON1!R11</f>
        <v>#NAME?</v>
      </c>
      <c r="P61" t="e">
        <f ca="1">AQLON1!S11</f>
        <v>#NAME?</v>
      </c>
      <c r="Q61" t="e">
        <f ca="1">AQLON1!T11</f>
        <v>#NAME?</v>
      </c>
      <c r="R61" t="e">
        <f ca="1">AQLON1!U11</f>
        <v>#NAME?</v>
      </c>
      <c r="S61" t="e">
        <f ca="1">AQLON1!V11</f>
        <v>#NAME?</v>
      </c>
      <c r="T61" t="e">
        <f ca="1">AQLON1!W11</f>
        <v>#NAME?</v>
      </c>
      <c r="U61" t="e">
        <f>AQLON1!#REF!</f>
        <v>#REF!</v>
      </c>
      <c r="V61" t="e">
        <f>AQLON1!#REF!</f>
        <v>#REF!</v>
      </c>
      <c r="W61" t="e">
        <f>AQLON1!#REF!</f>
        <v>#REF!</v>
      </c>
      <c r="X61" t="e">
        <f>AQLON1!#REF!</f>
        <v>#REF!</v>
      </c>
      <c r="Y61" t="e">
        <f ca="1">AQLON1!X11</f>
        <v>#NAME?</v>
      </c>
      <c r="Z61" t="e">
        <f ca="1">AQLON1!Y11</f>
        <v>#NAME?</v>
      </c>
      <c r="AA61" t="e">
        <f>AQLON1!#REF!</f>
        <v>#REF!</v>
      </c>
    </row>
    <row r="62" spans="1:27" x14ac:dyDescent="0.25">
      <c r="A62" t="str">
        <f>AQLON1!A12</f>
        <v>AQLON1</v>
      </c>
      <c r="B62" t="str">
        <f>AQLON1!B12</f>
        <v>Megafon</v>
      </c>
      <c r="C62" t="str">
        <f>AQLON1!C12</f>
        <v>MFON RX Equity</v>
      </c>
      <c r="D62" t="e">
        <f ca="1">AQLON1!D12</f>
        <v>#NAME?</v>
      </c>
      <c r="E62">
        <f>AQLON1!E12</f>
        <v>8000</v>
      </c>
      <c r="F62">
        <f>AQLON1!F12</f>
        <v>742.67843887499998</v>
      </c>
      <c r="G62" t="e">
        <f ca="1">AQLON1!G12</f>
        <v>#NAME?</v>
      </c>
      <c r="H62" t="e">
        <f ca="1">AQLON1!K12</f>
        <v>#NAME?</v>
      </c>
      <c r="I62" t="e">
        <f ca="1">AQLON1!L12</f>
        <v>#NAME?</v>
      </c>
      <c r="J62" t="e">
        <f ca="1">AQLON1!M12</f>
        <v>#NAME?</v>
      </c>
      <c r="K62">
        <f>AQLON1!N12</f>
        <v>5941427.5109999999</v>
      </c>
      <c r="L62" t="e">
        <f ca="1">AQLON1!O12</f>
        <v>#NAME?</v>
      </c>
      <c r="M62" t="e">
        <f ca="1">AQLON1!P12</f>
        <v>#NAME?</v>
      </c>
      <c r="N62" t="e">
        <f ca="1">AQLON1!Q12</f>
        <v>#NAME?</v>
      </c>
      <c r="O62" t="e">
        <f ca="1">AQLON1!R12</f>
        <v>#NAME?</v>
      </c>
      <c r="P62" t="e">
        <f ca="1">AQLON1!S12</f>
        <v>#NAME?</v>
      </c>
      <c r="Q62" t="e">
        <f ca="1">AQLON1!T12</f>
        <v>#NAME?</v>
      </c>
      <c r="R62" t="e">
        <f ca="1">AQLON1!U12</f>
        <v>#NAME?</v>
      </c>
      <c r="S62" t="e">
        <f ca="1">AQLON1!V12</f>
        <v>#NAME?</v>
      </c>
      <c r="T62" t="e">
        <f ca="1">AQLON1!W12</f>
        <v>#NAME?</v>
      </c>
      <c r="U62" t="e">
        <f>AQLON1!#REF!</f>
        <v>#REF!</v>
      </c>
      <c r="V62" t="e">
        <f>AQLON1!#REF!</f>
        <v>#REF!</v>
      </c>
      <c r="W62" t="e">
        <f>AQLON1!#REF!</f>
        <v>#REF!</v>
      </c>
      <c r="X62" t="e">
        <f>AQLON1!#REF!</f>
        <v>#REF!</v>
      </c>
      <c r="Y62" t="e">
        <f ca="1">AQLON1!X12</f>
        <v>#NAME?</v>
      </c>
      <c r="Z62" t="e">
        <f ca="1">AQLON1!Y12</f>
        <v>#NAME?</v>
      </c>
      <c r="AA62" t="e">
        <f>AQLON1!#REF!</f>
        <v>#REF!</v>
      </c>
    </row>
    <row r="63" spans="1:27" x14ac:dyDescent="0.25">
      <c r="A63" t="str">
        <f>AQLON1!A13</f>
        <v>AQLON1</v>
      </c>
      <c r="B63" t="str">
        <f>AQLON1!B13</f>
        <v>Dixy</v>
      </c>
      <c r="C63" t="str">
        <f>AQLON1!C13</f>
        <v>DIXY RX Equity</v>
      </c>
      <c r="D63" t="e">
        <f ca="1">AQLON1!D13</f>
        <v>#NAME?</v>
      </c>
      <c r="E63">
        <f>AQLON1!E13</f>
        <v>4600</v>
      </c>
      <c r="F63">
        <f>AQLON1!F13</f>
        <v>329</v>
      </c>
      <c r="G63" t="e">
        <f ca="1">AQLON1!G13</f>
        <v>#NAME?</v>
      </c>
      <c r="H63" t="e">
        <f ca="1">AQLON1!K13</f>
        <v>#NAME?</v>
      </c>
      <c r="I63" t="e">
        <f ca="1">AQLON1!L13</f>
        <v>#NAME?</v>
      </c>
      <c r="J63" t="e">
        <f ca="1">AQLON1!M13</f>
        <v>#NAME?</v>
      </c>
      <c r="K63">
        <f>AQLON1!N13</f>
        <v>1513400</v>
      </c>
      <c r="L63" t="e">
        <f ca="1">AQLON1!O13</f>
        <v>#NAME?</v>
      </c>
      <c r="M63" t="e">
        <f ca="1">AQLON1!P13</f>
        <v>#NAME?</v>
      </c>
      <c r="N63" t="e">
        <f ca="1">AQLON1!Q13</f>
        <v>#NAME?</v>
      </c>
      <c r="O63" t="e">
        <f ca="1">AQLON1!R13</f>
        <v>#NAME?</v>
      </c>
      <c r="P63" t="e">
        <f ca="1">AQLON1!S13</f>
        <v>#NAME?</v>
      </c>
      <c r="Q63" t="e">
        <f ca="1">AQLON1!T13</f>
        <v>#NAME?</v>
      </c>
      <c r="R63" t="e">
        <f ca="1">AQLON1!U13</f>
        <v>#NAME?</v>
      </c>
      <c r="S63" t="e">
        <f ca="1">AQLON1!V13</f>
        <v>#NAME?</v>
      </c>
      <c r="T63" t="e">
        <f ca="1">AQLON1!W13</f>
        <v>#NAME?</v>
      </c>
      <c r="U63" t="e">
        <f>AQLON1!#REF!</f>
        <v>#REF!</v>
      </c>
      <c r="V63" t="e">
        <f>AQLON1!#REF!</f>
        <v>#REF!</v>
      </c>
      <c r="W63" t="e">
        <f>AQLON1!#REF!</f>
        <v>#REF!</v>
      </c>
      <c r="X63" t="e">
        <f>AQLON1!#REF!</f>
        <v>#REF!</v>
      </c>
      <c r="Y63" t="e">
        <f ca="1">AQLON1!X13</f>
        <v>#NAME?</v>
      </c>
      <c r="Z63" t="e">
        <f ca="1">AQLON1!Y13</f>
        <v>#NAME?</v>
      </c>
      <c r="AA63" t="e">
        <f>AQLON1!#REF!</f>
        <v>#REF!</v>
      </c>
    </row>
    <row r="64" spans="1:27" x14ac:dyDescent="0.25">
      <c r="A64" t="str">
        <f>AQLON1!A14</f>
        <v>AQLON1</v>
      </c>
      <c r="B64" t="str">
        <f>AQLON1!B14</f>
        <v>EONR</v>
      </c>
      <c r="C64" t="str">
        <f>AQLON1!C14</f>
        <v>UPRO RX Equity</v>
      </c>
      <c r="D64" t="e">
        <f ca="1">AQLON1!D14</f>
        <v>#NAME?</v>
      </c>
      <c r="E64">
        <f>AQLON1!E14</f>
        <v>2083000</v>
      </c>
      <c r="F64">
        <f>AQLON1!F14</f>
        <v>2.4</v>
      </c>
      <c r="G64" t="e">
        <f ca="1">AQLON1!G14</f>
        <v>#NAME?</v>
      </c>
      <c r="H64" t="e">
        <f ca="1">AQLON1!K14</f>
        <v>#NAME?</v>
      </c>
      <c r="I64" t="e">
        <f ca="1">AQLON1!L14</f>
        <v>#NAME?</v>
      </c>
      <c r="J64" t="e">
        <f ca="1">AQLON1!M14</f>
        <v>#NAME?</v>
      </c>
      <c r="K64">
        <f>AQLON1!N14</f>
        <v>4999200</v>
      </c>
      <c r="L64" t="e">
        <f ca="1">AQLON1!O14</f>
        <v>#NAME?</v>
      </c>
      <c r="M64" t="e">
        <f ca="1">AQLON1!P14</f>
        <v>#NAME?</v>
      </c>
      <c r="N64" t="e">
        <f ca="1">AQLON1!Q14</f>
        <v>#NAME?</v>
      </c>
      <c r="O64" t="e">
        <f ca="1">AQLON1!R14</f>
        <v>#NAME?</v>
      </c>
      <c r="P64" t="e">
        <f ca="1">AQLON1!S14</f>
        <v>#NAME?</v>
      </c>
      <c r="Q64" t="e">
        <f ca="1">AQLON1!T14</f>
        <v>#NAME?</v>
      </c>
      <c r="R64" t="e">
        <f ca="1">AQLON1!U14</f>
        <v>#NAME?</v>
      </c>
      <c r="S64" t="e">
        <f ca="1">AQLON1!V14</f>
        <v>#NAME?</v>
      </c>
      <c r="T64" t="e">
        <f ca="1">AQLON1!W14</f>
        <v>#NAME?</v>
      </c>
      <c r="U64" t="e">
        <f>AQLON1!#REF!</f>
        <v>#REF!</v>
      </c>
      <c r="V64" t="e">
        <f>AQLON1!#REF!</f>
        <v>#REF!</v>
      </c>
      <c r="W64" t="e">
        <f>AQLON1!#REF!</f>
        <v>#REF!</v>
      </c>
      <c r="X64" t="e">
        <f>AQLON1!#REF!</f>
        <v>#REF!</v>
      </c>
      <c r="Y64" t="e">
        <f ca="1">AQLON1!X14</f>
        <v>#NAME?</v>
      </c>
      <c r="Z64" t="e">
        <f ca="1">AQLON1!Y14</f>
        <v>#NAME?</v>
      </c>
      <c r="AA64" t="e">
        <f>AQLON1!#REF!</f>
        <v>#REF!</v>
      </c>
    </row>
    <row r="65" spans="1:27" x14ac:dyDescent="0.25">
      <c r="A65" t="str">
        <f>AQLON1!A15</f>
        <v>AQLON1</v>
      </c>
      <c r="B65" t="str">
        <f>AQLON1!B15</f>
        <v>Surgut pref</v>
      </c>
      <c r="C65" t="str">
        <f>AQLON1!C15</f>
        <v>SNGSP RX Equity</v>
      </c>
      <c r="D65" t="e">
        <f ca="1">AQLON1!D15</f>
        <v>#NAME?</v>
      </c>
      <c r="E65">
        <f>AQLON1!E15</f>
        <v>141200</v>
      </c>
      <c r="F65">
        <f>AQLON1!F15</f>
        <v>41.180453257790369</v>
      </c>
      <c r="G65" t="e">
        <f ca="1">AQLON1!G15</f>
        <v>#NAME?</v>
      </c>
      <c r="H65" t="e">
        <f ca="1">AQLON1!K15</f>
        <v>#NAME?</v>
      </c>
      <c r="I65" t="e">
        <f ca="1">AQLON1!L15</f>
        <v>#NAME?</v>
      </c>
      <c r="J65" t="e">
        <f ca="1">AQLON1!M15</f>
        <v>#NAME?</v>
      </c>
      <c r="K65">
        <f>AQLON1!N15</f>
        <v>5814680</v>
      </c>
      <c r="L65" t="e">
        <f ca="1">AQLON1!O15</f>
        <v>#NAME?</v>
      </c>
      <c r="M65" t="e">
        <f ca="1">AQLON1!P15</f>
        <v>#NAME?</v>
      </c>
      <c r="N65" t="e">
        <f ca="1">AQLON1!Q15</f>
        <v>#NAME?</v>
      </c>
      <c r="O65" t="e">
        <f ca="1">AQLON1!R15</f>
        <v>#NAME?</v>
      </c>
      <c r="P65" t="e">
        <f ca="1">AQLON1!S15</f>
        <v>#NAME?</v>
      </c>
      <c r="Q65" t="e">
        <f ca="1">AQLON1!T15</f>
        <v>#NAME?</v>
      </c>
      <c r="R65" t="e">
        <f ca="1">AQLON1!U15</f>
        <v>#NAME?</v>
      </c>
      <c r="S65" t="e">
        <f ca="1">AQLON1!V15</f>
        <v>#NAME?</v>
      </c>
      <c r="T65" t="e">
        <f ca="1">AQLON1!W15</f>
        <v>#NAME?</v>
      </c>
      <c r="U65" t="e">
        <f>AQLON1!#REF!</f>
        <v>#REF!</v>
      </c>
      <c r="V65" t="e">
        <f>AQLON1!#REF!</f>
        <v>#REF!</v>
      </c>
      <c r="W65" t="e">
        <f>AQLON1!#REF!</f>
        <v>#REF!</v>
      </c>
      <c r="X65" t="e">
        <f>AQLON1!#REF!</f>
        <v>#REF!</v>
      </c>
      <c r="Y65" t="e">
        <f ca="1">AQLON1!X15</f>
        <v>#NAME?</v>
      </c>
      <c r="Z65" t="e">
        <f ca="1">AQLON1!Y15</f>
        <v>#NAME?</v>
      </c>
      <c r="AA65" t="e">
        <f>AQLON1!#REF!</f>
        <v>#REF!</v>
      </c>
    </row>
    <row r="66" spans="1:27" x14ac:dyDescent="0.25">
      <c r="A66" t="str">
        <f>AQLON1!A16</f>
        <v>AQLON1</v>
      </c>
      <c r="B66" t="str">
        <f>AQLON1!B16</f>
        <v>Lukoil</v>
      </c>
      <c r="C66" t="str">
        <f>AQLON1!C16</f>
        <v>LKOH RX Equity</v>
      </c>
      <c r="D66" t="e">
        <f ca="1">AQLON1!D16</f>
        <v>#NAME?</v>
      </c>
      <c r="E66">
        <f>AQLON1!E16</f>
        <v>2597</v>
      </c>
      <c r="F66">
        <f>AQLON1!F16</f>
        <v>2182.403675818231</v>
      </c>
      <c r="G66" t="e">
        <f ca="1">AQLON1!G16</f>
        <v>#NAME?</v>
      </c>
      <c r="H66" t="e">
        <f ca="1">AQLON1!K16</f>
        <v>#NAME?</v>
      </c>
      <c r="I66" t="e">
        <f ca="1">AQLON1!L16</f>
        <v>#NAME?</v>
      </c>
      <c r="J66" t="e">
        <f ca="1">AQLON1!M16</f>
        <v>#NAME?</v>
      </c>
      <c r="K66">
        <f>AQLON1!N16</f>
        <v>5667702.3460999457</v>
      </c>
      <c r="L66" t="e">
        <f ca="1">AQLON1!O16</f>
        <v>#NAME?</v>
      </c>
      <c r="M66" t="e">
        <f ca="1">AQLON1!P16</f>
        <v>#NAME?</v>
      </c>
      <c r="N66" t="e">
        <f ca="1">AQLON1!Q16</f>
        <v>#NAME?</v>
      </c>
      <c r="O66" t="e">
        <f ca="1">AQLON1!R16</f>
        <v>#NAME?</v>
      </c>
      <c r="P66" t="e">
        <f ca="1">AQLON1!S16</f>
        <v>#NAME?</v>
      </c>
      <c r="Q66" t="e">
        <f ca="1">AQLON1!T16</f>
        <v>#NAME?</v>
      </c>
      <c r="R66" t="e">
        <f ca="1">AQLON1!U16</f>
        <v>#NAME?</v>
      </c>
      <c r="S66" t="e">
        <f ca="1">AQLON1!V16</f>
        <v>#NAME?</v>
      </c>
      <c r="T66" t="e">
        <f ca="1">AQLON1!W16</f>
        <v>#NAME?</v>
      </c>
      <c r="U66" t="e">
        <f>AQLON1!#REF!</f>
        <v>#REF!</v>
      </c>
      <c r="V66" t="e">
        <f>AQLON1!#REF!</f>
        <v>#REF!</v>
      </c>
      <c r="W66" t="e">
        <f>AQLON1!#REF!</f>
        <v>#REF!</v>
      </c>
      <c r="X66" t="e">
        <f>AQLON1!#REF!</f>
        <v>#REF!</v>
      </c>
      <c r="Y66" t="e">
        <f ca="1">AQLON1!X16</f>
        <v>#NAME?</v>
      </c>
      <c r="Z66" t="e">
        <f ca="1">AQLON1!Y16</f>
        <v>#NAME?</v>
      </c>
      <c r="AA66" t="e">
        <f>AQLON1!#REF!</f>
        <v>#REF!</v>
      </c>
    </row>
    <row r="67" spans="1:27" x14ac:dyDescent="0.25">
      <c r="A67" t="str">
        <f>AQLON1!A17</f>
        <v>AQLON1</v>
      </c>
      <c r="B67" t="str">
        <f>AQLON1!B17</f>
        <v>Mvideo</v>
      </c>
      <c r="C67" t="str">
        <f>AQLON1!C17</f>
        <v>MVID RX Equity</v>
      </c>
      <c r="D67" t="e">
        <f ca="1">AQLON1!D17</f>
        <v>#NAME?</v>
      </c>
      <c r="E67">
        <f>AQLON1!E17</f>
        <v>10100</v>
      </c>
      <c r="F67">
        <f>AQLON1!F17</f>
        <v>190.90307821782179</v>
      </c>
      <c r="G67" t="e">
        <f ca="1">AQLON1!G17</f>
        <v>#NAME?</v>
      </c>
      <c r="H67" t="e">
        <f ca="1">AQLON1!K17</f>
        <v>#NAME?</v>
      </c>
      <c r="I67" t="e">
        <f ca="1">AQLON1!L17</f>
        <v>#NAME?</v>
      </c>
      <c r="J67" t="e">
        <f ca="1">AQLON1!M17</f>
        <v>#NAME?</v>
      </c>
      <c r="K67">
        <f>AQLON1!N17</f>
        <v>1928121.09</v>
      </c>
      <c r="L67" t="e">
        <f ca="1">AQLON1!O17</f>
        <v>#NAME?</v>
      </c>
      <c r="M67" t="e">
        <f ca="1">AQLON1!P17</f>
        <v>#NAME?</v>
      </c>
      <c r="N67" t="e">
        <f ca="1">AQLON1!Q17</f>
        <v>#NAME?</v>
      </c>
      <c r="O67" t="e">
        <f ca="1">AQLON1!R17</f>
        <v>#NAME?</v>
      </c>
      <c r="P67" t="e">
        <f ca="1">AQLON1!S17</f>
        <v>#NAME?</v>
      </c>
      <c r="Q67" t="e">
        <f ca="1">AQLON1!T17</f>
        <v>#NAME?</v>
      </c>
      <c r="R67" t="e">
        <f ca="1">AQLON1!U17</f>
        <v>#NAME?</v>
      </c>
      <c r="S67" t="e">
        <f ca="1">AQLON1!V17</f>
        <v>#NAME?</v>
      </c>
      <c r="T67" t="e">
        <f ca="1">AQLON1!W17</f>
        <v>#NAME?</v>
      </c>
      <c r="U67" t="e">
        <f>AQLON1!#REF!</f>
        <v>#REF!</v>
      </c>
      <c r="V67" t="e">
        <f>AQLON1!#REF!</f>
        <v>#REF!</v>
      </c>
      <c r="W67" t="e">
        <f>AQLON1!#REF!</f>
        <v>#REF!</v>
      </c>
      <c r="X67" t="e">
        <f>AQLON1!#REF!</f>
        <v>#REF!</v>
      </c>
      <c r="Y67" t="e">
        <f ca="1">AQLON1!X17</f>
        <v>#NAME?</v>
      </c>
      <c r="Z67" t="e">
        <f ca="1">AQLON1!Y17</f>
        <v>#NAME?</v>
      </c>
      <c r="AA67" t="e">
        <f>AQLON1!#REF!</f>
        <v>#REF!</v>
      </c>
    </row>
    <row r="68" spans="1:27" x14ac:dyDescent="0.25">
      <c r="A68" t="str">
        <f>AQLON1!A18</f>
        <v>AQLON1</v>
      </c>
      <c r="B68" t="str">
        <f>AQLON1!B18</f>
        <v>Gazprom</v>
      </c>
      <c r="C68" t="str">
        <f>AQLON1!C18</f>
        <v>GAZP RX Equity</v>
      </c>
      <c r="D68" t="e">
        <f ca="1">AQLON1!D18</f>
        <v>#NAME?</v>
      </c>
      <c r="E68">
        <f>AQLON1!E18</f>
        <v>5200</v>
      </c>
      <c r="F68">
        <f>AQLON1!F18</f>
        <v>143.97</v>
      </c>
      <c r="G68" t="e">
        <f ca="1">AQLON1!G18</f>
        <v>#NAME?</v>
      </c>
      <c r="H68" t="e">
        <f ca="1">AQLON1!K18</f>
        <v>#NAME?</v>
      </c>
      <c r="I68" t="e">
        <f ca="1">AQLON1!L18</f>
        <v>#NAME?</v>
      </c>
      <c r="J68" t="e">
        <f ca="1">AQLON1!M18</f>
        <v>#NAME?</v>
      </c>
      <c r="K68">
        <f>AQLON1!N18</f>
        <v>748644</v>
      </c>
      <c r="L68" t="e">
        <f ca="1">AQLON1!O18</f>
        <v>#NAME?</v>
      </c>
      <c r="M68" t="e">
        <f ca="1">AQLON1!P18</f>
        <v>#NAME?</v>
      </c>
      <c r="N68" t="e">
        <f ca="1">AQLON1!Q18</f>
        <v>#NAME?</v>
      </c>
      <c r="O68" t="e">
        <f ca="1">AQLON1!R18</f>
        <v>#NAME?</v>
      </c>
      <c r="P68" t="e">
        <f ca="1">AQLON1!S18</f>
        <v>#NAME?</v>
      </c>
      <c r="Q68" t="e">
        <f ca="1">AQLON1!T18</f>
        <v>#NAME?</v>
      </c>
      <c r="R68" t="e">
        <f ca="1">AQLON1!U18</f>
        <v>#NAME?</v>
      </c>
      <c r="S68" t="e">
        <f ca="1">AQLON1!V18</f>
        <v>#NAME?</v>
      </c>
      <c r="T68" t="e">
        <f ca="1">AQLON1!W18</f>
        <v>#NAME?</v>
      </c>
      <c r="U68" t="e">
        <f>AQLON1!#REF!</f>
        <v>#REF!</v>
      </c>
      <c r="V68" t="e">
        <f>AQLON1!#REF!</f>
        <v>#REF!</v>
      </c>
      <c r="W68" t="e">
        <f>AQLON1!#REF!</f>
        <v>#REF!</v>
      </c>
      <c r="X68" t="e">
        <f>AQLON1!#REF!</f>
        <v>#REF!</v>
      </c>
      <c r="Y68" t="e">
        <f ca="1">AQLON1!X18</f>
        <v>#NAME?</v>
      </c>
      <c r="Z68" t="e">
        <f ca="1">AQLON1!Y18</f>
        <v>#NAME?</v>
      </c>
      <c r="AA68" t="e">
        <f>AQLON1!#REF!</f>
        <v>#REF!</v>
      </c>
    </row>
    <row r="69" spans="1:27" x14ac:dyDescent="0.25">
      <c r="A69" t="e">
        <f>AQLON1!#REF!</f>
        <v>#REF!</v>
      </c>
      <c r="B69" t="e">
        <f>AQLON1!#REF!</f>
        <v>#REF!</v>
      </c>
      <c r="C69" t="e">
        <f>AQLON1!#REF!</f>
        <v>#REF!</v>
      </c>
      <c r="D69" t="e">
        <f>AQLON1!#REF!</f>
        <v>#REF!</v>
      </c>
      <c r="E69" t="e">
        <f>AQLON1!#REF!</f>
        <v>#REF!</v>
      </c>
      <c r="F69" t="e">
        <f>AQLON1!#REF!</f>
        <v>#REF!</v>
      </c>
      <c r="G69" t="e">
        <f>AQLON1!#REF!</f>
        <v>#REF!</v>
      </c>
      <c r="H69" t="e">
        <f>AQLON1!#REF!</f>
        <v>#REF!</v>
      </c>
      <c r="I69" t="e">
        <f>AQLON1!#REF!</f>
        <v>#REF!</v>
      </c>
      <c r="J69" t="e">
        <f>AQLON1!#REF!</f>
        <v>#REF!</v>
      </c>
      <c r="K69" t="e">
        <f>AQLON1!#REF!</f>
        <v>#REF!</v>
      </c>
      <c r="L69" t="e">
        <f>AQLON1!#REF!</f>
        <v>#REF!</v>
      </c>
      <c r="M69" t="e">
        <f>AQLON1!#REF!</f>
        <v>#REF!</v>
      </c>
      <c r="N69" t="e">
        <f>AQLON1!#REF!</f>
        <v>#REF!</v>
      </c>
      <c r="O69" t="e">
        <f>AQLON1!#REF!</f>
        <v>#REF!</v>
      </c>
      <c r="P69" t="e">
        <f>AQLON1!#REF!</f>
        <v>#REF!</v>
      </c>
      <c r="Q69" t="e">
        <f>AQLON1!#REF!</f>
        <v>#REF!</v>
      </c>
      <c r="R69" t="e">
        <f>AQLON1!#REF!</f>
        <v>#REF!</v>
      </c>
      <c r="S69" t="e">
        <f>AQLON1!#REF!</f>
        <v>#REF!</v>
      </c>
      <c r="T69" t="e">
        <f>AQLON1!#REF!</f>
        <v>#REF!</v>
      </c>
      <c r="U69" t="e">
        <f>AQLON1!#REF!</f>
        <v>#REF!</v>
      </c>
      <c r="V69" t="e">
        <f>AQLON1!#REF!</f>
        <v>#REF!</v>
      </c>
      <c r="W69" t="e">
        <f>AQLON1!#REF!</f>
        <v>#REF!</v>
      </c>
      <c r="X69" t="e">
        <f>AQLON1!#REF!</f>
        <v>#REF!</v>
      </c>
      <c r="Y69" t="e">
        <f>AQLON1!#REF!</f>
        <v>#REF!</v>
      </c>
      <c r="Z69" t="e">
        <f>AQLON1!#REF!</f>
        <v>#REF!</v>
      </c>
      <c r="AA69" t="e">
        <f>AQLON1!#REF!</f>
        <v>#REF!</v>
      </c>
    </row>
    <row r="70" spans="1:27" x14ac:dyDescent="0.25">
      <c r="A70" t="str">
        <f>AQLON1!A19</f>
        <v>AQLON1</v>
      </c>
      <c r="B70" t="str">
        <f>AQLON1!B19</f>
        <v>Polymetal</v>
      </c>
      <c r="C70" t="str">
        <f>AQLON1!C19</f>
        <v>POLY RX Equity</v>
      </c>
      <c r="D70" t="e">
        <f ca="1">AQLON1!D19</f>
        <v>#NAME?</v>
      </c>
      <c r="E70">
        <f>AQLON1!E19</f>
        <v>16994</v>
      </c>
      <c r="F70" t="e">
        <f ca="1">AQLON1!F19</f>
        <v>#NAME?</v>
      </c>
      <c r="G70" t="e">
        <f ca="1">AQLON1!G19</f>
        <v>#NAME?</v>
      </c>
      <c r="H70" t="e">
        <f ca="1">AQLON1!K19</f>
        <v>#NAME?</v>
      </c>
      <c r="I70" t="e">
        <f ca="1">AQLON1!L19</f>
        <v>#NAME?</v>
      </c>
      <c r="J70" t="e">
        <f ca="1">AQLON1!M19</f>
        <v>#NAME?</v>
      </c>
      <c r="K70" t="e">
        <f ca="1">AQLON1!N19</f>
        <v>#NAME?</v>
      </c>
      <c r="L70" t="e">
        <f ca="1">AQLON1!O19</f>
        <v>#NAME?</v>
      </c>
      <c r="M70" t="e">
        <f ca="1">AQLON1!P19</f>
        <v>#NAME?</v>
      </c>
      <c r="N70" t="e">
        <f ca="1">AQLON1!Q19</f>
        <v>#NAME?</v>
      </c>
      <c r="O70" t="e">
        <f ca="1">AQLON1!R19</f>
        <v>#NAME?</v>
      </c>
      <c r="P70" t="e">
        <f ca="1">AQLON1!S19</f>
        <v>#NAME?</v>
      </c>
      <c r="Q70" t="e">
        <f ca="1">AQLON1!T19</f>
        <v>#NAME?</v>
      </c>
      <c r="R70" t="e">
        <f ca="1">AQLON1!U19</f>
        <v>#NAME?</v>
      </c>
      <c r="S70" t="e">
        <f ca="1">AQLON1!V19</f>
        <v>#NAME?</v>
      </c>
      <c r="T70" t="e">
        <f ca="1">AQLON1!W19</f>
        <v>#NAME?</v>
      </c>
      <c r="U70" t="e">
        <f>AQLON1!#REF!</f>
        <v>#REF!</v>
      </c>
      <c r="V70" t="e">
        <f>AQLON1!#REF!</f>
        <v>#REF!</v>
      </c>
      <c r="W70" t="e">
        <f>AQLON1!#REF!</f>
        <v>#REF!</v>
      </c>
      <c r="X70" t="e">
        <f>AQLON1!#REF!</f>
        <v>#REF!</v>
      </c>
      <c r="Y70" t="e">
        <f ca="1">AQLON1!X19</f>
        <v>#NAME?</v>
      </c>
      <c r="Z70" t="e">
        <f ca="1">AQLON1!Y19</f>
        <v>#NAME?</v>
      </c>
      <c r="AA70" t="e">
        <f>AQLON1!#REF!</f>
        <v>#REF!</v>
      </c>
    </row>
    <row r="71" spans="1:27" x14ac:dyDescent="0.25">
      <c r="A71" t="str">
        <f>AQLON1!A20</f>
        <v>AQLON1</v>
      </c>
      <c r="B71" t="str">
        <f>AQLON1!B20</f>
        <v>LSR</v>
      </c>
      <c r="C71" t="str">
        <f>AQLON1!C20</f>
        <v>LSRG RX Equity</v>
      </c>
      <c r="D71" t="e">
        <f ca="1">AQLON1!D20</f>
        <v>#NAME?</v>
      </c>
      <c r="E71">
        <f>AQLON1!E20</f>
        <v>8400</v>
      </c>
      <c r="F71">
        <f>AQLON1!F20</f>
        <v>594.9819</v>
      </c>
      <c r="G71" t="e">
        <f ca="1">AQLON1!G20</f>
        <v>#NAME?</v>
      </c>
      <c r="H71" t="e">
        <f ca="1">AQLON1!K20</f>
        <v>#NAME?</v>
      </c>
      <c r="I71" t="e">
        <f ca="1">AQLON1!L20</f>
        <v>#NAME?</v>
      </c>
      <c r="J71" t="e">
        <f ca="1">AQLON1!M20</f>
        <v>#NAME?</v>
      </c>
      <c r="K71">
        <f>AQLON1!N20</f>
        <v>4997847.96</v>
      </c>
      <c r="L71" t="e">
        <f ca="1">AQLON1!O20</f>
        <v>#NAME?</v>
      </c>
      <c r="M71" t="e">
        <f ca="1">AQLON1!P20</f>
        <v>#NAME?</v>
      </c>
      <c r="N71" t="e">
        <f ca="1">AQLON1!Q20</f>
        <v>#NAME?</v>
      </c>
      <c r="O71" t="e">
        <f ca="1">AQLON1!R20</f>
        <v>#NAME?</v>
      </c>
      <c r="P71" t="e">
        <f ca="1">AQLON1!S20</f>
        <v>#NAME?</v>
      </c>
      <c r="Q71" t="e">
        <f ca="1">AQLON1!T20</f>
        <v>#NAME?</v>
      </c>
      <c r="R71" t="e">
        <f ca="1">AQLON1!U20</f>
        <v>#NAME?</v>
      </c>
      <c r="S71" t="e">
        <f ca="1">AQLON1!V20</f>
        <v>#NAME?</v>
      </c>
      <c r="T71" t="e">
        <f ca="1">AQLON1!W20</f>
        <v>#NAME?</v>
      </c>
      <c r="U71" t="e">
        <f>AQLON1!#REF!</f>
        <v>#REF!</v>
      </c>
      <c r="V71" t="e">
        <f>AQLON1!#REF!</f>
        <v>#REF!</v>
      </c>
      <c r="W71" t="e">
        <f>AQLON1!#REF!</f>
        <v>#REF!</v>
      </c>
      <c r="X71" t="e">
        <f>AQLON1!#REF!</f>
        <v>#REF!</v>
      </c>
      <c r="Y71" t="e">
        <f ca="1">AQLON1!X20</f>
        <v>#NAME?</v>
      </c>
      <c r="Z71" t="e">
        <f ca="1">AQLON1!Y20</f>
        <v>#NAME?</v>
      </c>
      <c r="AA71" t="e">
        <f>AQLON1!#REF!</f>
        <v>#REF!</v>
      </c>
    </row>
    <row r="72" spans="1:27" x14ac:dyDescent="0.25">
      <c r="A72" t="e">
        <f>AQLON1!#REF!</f>
        <v>#REF!</v>
      </c>
      <c r="B72" t="e">
        <f>AQLON1!#REF!</f>
        <v>#REF!</v>
      </c>
      <c r="C72" t="e">
        <f>AQLON1!#REF!</f>
        <v>#REF!</v>
      </c>
      <c r="D72" t="e">
        <f>AQLON1!#REF!</f>
        <v>#REF!</v>
      </c>
      <c r="E72" t="e">
        <f>AQLON1!#REF!</f>
        <v>#REF!</v>
      </c>
      <c r="F72" t="e">
        <f>AQLON1!#REF!</f>
        <v>#REF!</v>
      </c>
      <c r="G72" t="e">
        <f>AQLON1!#REF!</f>
        <v>#REF!</v>
      </c>
      <c r="H72" t="e">
        <f>AQLON1!#REF!</f>
        <v>#REF!</v>
      </c>
      <c r="I72" t="e">
        <f>AQLON1!#REF!</f>
        <v>#REF!</v>
      </c>
      <c r="J72" t="e">
        <f>AQLON1!#REF!</f>
        <v>#REF!</v>
      </c>
      <c r="K72" t="e">
        <f>AQLON1!#REF!</f>
        <v>#REF!</v>
      </c>
      <c r="L72" t="e">
        <f>AQLON1!#REF!</f>
        <v>#REF!</v>
      </c>
      <c r="M72" t="e">
        <f>AQLON1!#REF!</f>
        <v>#REF!</v>
      </c>
      <c r="N72" t="e">
        <f>AQLON1!#REF!</f>
        <v>#REF!</v>
      </c>
      <c r="O72" t="e">
        <f>AQLON1!#REF!</f>
        <v>#REF!</v>
      </c>
      <c r="P72" t="e">
        <f>AQLON1!#REF!</f>
        <v>#REF!</v>
      </c>
      <c r="Q72" t="e">
        <f>AQLON1!#REF!</f>
        <v>#REF!</v>
      </c>
      <c r="R72" t="e">
        <f>AQLON1!#REF!</f>
        <v>#REF!</v>
      </c>
      <c r="S72" t="e">
        <f>AQLON1!#REF!</f>
        <v>#REF!</v>
      </c>
      <c r="T72" t="e">
        <f>AQLON1!#REF!</f>
        <v>#REF!</v>
      </c>
      <c r="U72" t="e">
        <f>AQLON1!#REF!</f>
        <v>#REF!</v>
      </c>
      <c r="V72" t="e">
        <f>AQLON1!#REF!</f>
        <v>#REF!</v>
      </c>
      <c r="W72" t="e">
        <f>AQLON1!#REF!</f>
        <v>#REF!</v>
      </c>
      <c r="X72" t="e">
        <f>AQLON1!#REF!</f>
        <v>#REF!</v>
      </c>
      <c r="Y72" t="e">
        <f>AQLON1!#REF!</f>
        <v>#REF!</v>
      </c>
      <c r="Z72" t="e">
        <f>AQLON1!#REF!</f>
        <v>#REF!</v>
      </c>
      <c r="AA72" t="e">
        <f>AQLON1!#REF!</f>
        <v>#REF!</v>
      </c>
    </row>
    <row r="73" spans="1:27" x14ac:dyDescent="0.25">
      <c r="A73" t="str">
        <f>AQLON1!A22</f>
        <v>AQLON1</v>
      </c>
      <c r="B73" t="str">
        <f>AQLON1!B22</f>
        <v>Etalon</v>
      </c>
      <c r="C73" t="str">
        <f>AQLON1!C22</f>
        <v>ETLN LI Equity</v>
      </c>
      <c r="D73" t="e">
        <f ca="1">AQLON1!D22</f>
        <v>#NAME?</v>
      </c>
      <c r="E73">
        <f>AQLON1!E22</f>
        <v>53170</v>
      </c>
      <c r="F73">
        <f>AQLON1!F22</f>
        <v>1.7552341545984578</v>
      </c>
      <c r="G73" t="e">
        <f ca="1">AQLON1!G22</f>
        <v>#NAME?</v>
      </c>
      <c r="H73" t="e">
        <f ca="1">AQLON1!K22</f>
        <v>#NAME?</v>
      </c>
      <c r="I73" t="e">
        <f ca="1">AQLON1!L22</f>
        <v>#NAME?</v>
      </c>
      <c r="J73" t="e">
        <f ca="1">AQLON1!M22</f>
        <v>#NAME?</v>
      </c>
      <c r="K73" t="e">
        <f ca="1">AQLON1!N22</f>
        <v>#NAME?</v>
      </c>
      <c r="L73">
        <f>AQLON1!O22</f>
        <v>93325.8</v>
      </c>
      <c r="M73" t="e">
        <f ca="1">AQLON1!P22</f>
        <v>#NAME?</v>
      </c>
      <c r="N73" t="e">
        <f ca="1">AQLON1!Q22</f>
        <v>#NAME?</v>
      </c>
      <c r="O73" t="e">
        <f ca="1">AQLON1!R22</f>
        <v>#NAME?</v>
      </c>
      <c r="P73" t="e">
        <f ca="1">AQLON1!S22</f>
        <v>#NAME?</v>
      </c>
      <c r="Q73" t="e">
        <f ca="1">AQLON1!T22</f>
        <v>#NAME?</v>
      </c>
      <c r="R73" t="e">
        <f ca="1">AQLON1!U22</f>
        <v>#NAME?</v>
      </c>
      <c r="S73" t="e">
        <f ca="1">AQLON1!V22</f>
        <v>#NAME?</v>
      </c>
      <c r="T73" t="e">
        <f ca="1">AQLON1!W22</f>
        <v>#NAME?</v>
      </c>
      <c r="U73" t="e">
        <f>AQLON1!#REF!</f>
        <v>#REF!</v>
      </c>
      <c r="V73" t="e">
        <f>AQLON1!#REF!</f>
        <v>#REF!</v>
      </c>
      <c r="W73" t="e">
        <f>AQLON1!#REF!</f>
        <v>#REF!</v>
      </c>
      <c r="X73" t="e">
        <f>AQLON1!#REF!</f>
        <v>#REF!</v>
      </c>
      <c r="Y73" t="e">
        <f ca="1">AQLON1!X22</f>
        <v>#NAME?</v>
      </c>
      <c r="Z73" t="e">
        <f ca="1">AQLON1!Y22</f>
        <v>#NAME?</v>
      </c>
      <c r="AA73" t="e">
        <f>AQLON1!#REF!</f>
        <v>#REF!</v>
      </c>
    </row>
    <row r="74" spans="1:27" x14ac:dyDescent="0.25">
      <c r="A74" t="str">
        <f>AQLON1!A23</f>
        <v>AQLON1</v>
      </c>
      <c r="B74" t="str">
        <f>AQLON1!B23</f>
        <v>MTS</v>
      </c>
      <c r="C74" t="str">
        <f>AQLON1!C23</f>
        <v>MTSS RX Equity</v>
      </c>
      <c r="D74" t="e">
        <f ca="1">AQLON1!D23</f>
        <v>#NAME?</v>
      </c>
      <c r="E74">
        <f>AQLON1!E23</f>
        <v>6500</v>
      </c>
      <c r="F74">
        <f>AQLON1!F23</f>
        <v>230.99384615384616</v>
      </c>
      <c r="G74" t="e">
        <f ca="1">AQLON1!G23</f>
        <v>#NAME?</v>
      </c>
      <c r="H74" t="e">
        <f ca="1">AQLON1!K23</f>
        <v>#NAME?</v>
      </c>
      <c r="I74" t="e">
        <f ca="1">AQLON1!L23</f>
        <v>#NAME?</v>
      </c>
      <c r="J74" t="e">
        <f ca="1">AQLON1!M23</f>
        <v>#NAME?</v>
      </c>
      <c r="K74">
        <f>AQLON1!N23</f>
        <v>1501460</v>
      </c>
      <c r="L74" t="e">
        <f ca="1">AQLON1!O23</f>
        <v>#NAME?</v>
      </c>
      <c r="M74" t="e">
        <f ca="1">AQLON1!P23</f>
        <v>#NAME?</v>
      </c>
      <c r="N74" t="e">
        <f ca="1">AQLON1!Q23</f>
        <v>#NAME?</v>
      </c>
      <c r="O74" t="e">
        <f ca="1">AQLON1!R23</f>
        <v>#NAME?</v>
      </c>
      <c r="P74" t="e">
        <f ca="1">AQLON1!S23</f>
        <v>#NAME?</v>
      </c>
      <c r="Q74" t="e">
        <f ca="1">AQLON1!T23</f>
        <v>#NAME?</v>
      </c>
      <c r="R74" t="e">
        <f ca="1">AQLON1!U23</f>
        <v>#NAME?</v>
      </c>
      <c r="S74" t="e">
        <f ca="1">AQLON1!V23</f>
        <v>#NAME?</v>
      </c>
      <c r="T74" t="e">
        <f ca="1">AQLON1!W23</f>
        <v>#NAME?</v>
      </c>
      <c r="U74" t="e">
        <f>AQLON1!#REF!</f>
        <v>#REF!</v>
      </c>
      <c r="V74" t="e">
        <f>AQLON1!#REF!</f>
        <v>#REF!</v>
      </c>
      <c r="W74" t="e">
        <f>AQLON1!#REF!</f>
        <v>#REF!</v>
      </c>
      <c r="X74" t="e">
        <f>AQLON1!#REF!</f>
        <v>#REF!</v>
      </c>
      <c r="Y74" t="e">
        <f ca="1">AQLON1!X23</f>
        <v>#NAME?</v>
      </c>
      <c r="Z74" t="e">
        <f ca="1">AQLON1!Y23</f>
        <v>#NAME?</v>
      </c>
      <c r="AA74" t="e">
        <f>AQLON1!#REF!</f>
        <v>#REF!</v>
      </c>
    </row>
    <row r="75" spans="1:27" x14ac:dyDescent="0.25">
      <c r="A75" t="str">
        <f>AQLON1!A25</f>
        <v>AQLON1</v>
      </c>
      <c r="B75" t="str">
        <f>AQLON1!B25</f>
        <v>Bashneft</v>
      </c>
      <c r="C75" t="str">
        <f>AQLON1!C25</f>
        <v>BANE RX Equity</v>
      </c>
      <c r="D75" t="e">
        <f ca="1">AQLON1!D25</f>
        <v>#NAME?</v>
      </c>
      <c r="E75">
        <f>AQLON1!E25</f>
        <v>13415</v>
      </c>
      <c r="F75">
        <f>AQLON1!F25</f>
        <v>3541.8365635482669</v>
      </c>
      <c r="G75" t="e">
        <f ca="1">AQLON1!G25</f>
        <v>#NAME?</v>
      </c>
      <c r="H75" t="e">
        <f ca="1">AQLON1!K25</f>
        <v>#NAME?</v>
      </c>
      <c r="I75" t="e">
        <f ca="1">AQLON1!L25</f>
        <v>#NAME?</v>
      </c>
      <c r="J75" t="e">
        <f ca="1">AQLON1!M25</f>
        <v>#NAME?</v>
      </c>
      <c r="K75">
        <f>AQLON1!N25</f>
        <v>47513737.5</v>
      </c>
      <c r="L75" t="e">
        <f ca="1">AQLON1!O25</f>
        <v>#NAME?</v>
      </c>
      <c r="M75" t="e">
        <f ca="1">AQLON1!P25</f>
        <v>#NAME?</v>
      </c>
      <c r="N75" t="e">
        <f ca="1">AQLON1!Q25</f>
        <v>#NAME?</v>
      </c>
      <c r="O75" t="e">
        <f ca="1">AQLON1!R25</f>
        <v>#NAME?</v>
      </c>
      <c r="P75" t="e">
        <f ca="1">AQLON1!S25</f>
        <v>#NAME?</v>
      </c>
      <c r="Q75" t="e">
        <f ca="1">AQLON1!T25</f>
        <v>#NAME?</v>
      </c>
      <c r="R75" t="e">
        <f ca="1">AQLON1!U25</f>
        <v>#NAME?</v>
      </c>
      <c r="S75" t="e">
        <f ca="1">AQLON1!V25</f>
        <v>#NAME?</v>
      </c>
      <c r="T75" t="e">
        <f ca="1">AQLON1!W25</f>
        <v>#NAME?</v>
      </c>
      <c r="U75" t="e">
        <f>AQLON1!#REF!</f>
        <v>#REF!</v>
      </c>
      <c r="V75" t="e">
        <f>AQLON1!#REF!</f>
        <v>#REF!</v>
      </c>
      <c r="W75" t="e">
        <f>AQLON1!#REF!</f>
        <v>#REF!</v>
      </c>
      <c r="X75" t="e">
        <f>AQLON1!#REF!</f>
        <v>#REF!</v>
      </c>
      <c r="Y75" t="e">
        <f ca="1">AQLON1!X25</f>
        <v>#NAME?</v>
      </c>
      <c r="Z75" t="e">
        <f ca="1">AQLON1!Y25</f>
        <v>#NAME?</v>
      </c>
      <c r="AA75" t="e">
        <f>AQLON1!#REF!</f>
        <v>#REF!</v>
      </c>
    </row>
    <row r="76" spans="1:27" x14ac:dyDescent="0.25">
      <c r="A76" t="str">
        <f>AQLON1!A26</f>
        <v>AQLON1</v>
      </c>
      <c r="B76" t="str">
        <f>AQLON1!B26</f>
        <v>NMTP</v>
      </c>
      <c r="C76" t="str">
        <f>AQLON1!C26</f>
        <v>NMTP RX Equity</v>
      </c>
      <c r="D76" t="e">
        <f ca="1">AQLON1!D26</f>
        <v>#NAME?</v>
      </c>
      <c r="E76">
        <f>AQLON1!E26</f>
        <v>593000</v>
      </c>
      <c r="F76">
        <f>AQLON1!F26</f>
        <v>4.9498300000000004</v>
      </c>
      <c r="G76" t="e">
        <f ca="1">AQLON1!G26</f>
        <v>#NAME?</v>
      </c>
      <c r="H76" t="e">
        <f ca="1">AQLON1!K26</f>
        <v>#NAME?</v>
      </c>
      <c r="I76" t="e">
        <f ca="1">AQLON1!L26</f>
        <v>#NAME?</v>
      </c>
      <c r="J76" t="e">
        <f ca="1">AQLON1!M26</f>
        <v>#NAME?</v>
      </c>
      <c r="K76">
        <f>AQLON1!N26</f>
        <v>2935249.1900000004</v>
      </c>
      <c r="L76" t="e">
        <f ca="1">AQLON1!O26</f>
        <v>#NAME?</v>
      </c>
      <c r="M76" t="e">
        <f ca="1">AQLON1!P26</f>
        <v>#NAME?</v>
      </c>
      <c r="N76" t="e">
        <f ca="1">AQLON1!Q26</f>
        <v>#NAME?</v>
      </c>
      <c r="O76" t="e">
        <f ca="1">AQLON1!R26</f>
        <v>#NAME?</v>
      </c>
      <c r="P76" t="e">
        <f ca="1">AQLON1!S26</f>
        <v>#NAME?</v>
      </c>
      <c r="Q76" t="e">
        <f ca="1">AQLON1!T26</f>
        <v>#NAME?</v>
      </c>
      <c r="R76" t="e">
        <f ca="1">AQLON1!U26</f>
        <v>#NAME?</v>
      </c>
      <c r="S76" t="e">
        <f ca="1">AQLON1!V26</f>
        <v>#NAME?</v>
      </c>
      <c r="T76" t="e">
        <f ca="1">AQLON1!W26</f>
        <v>#NAME?</v>
      </c>
      <c r="U76" t="e">
        <f>AQLON1!#REF!</f>
        <v>#REF!</v>
      </c>
      <c r="V76" t="e">
        <f>AQLON1!#REF!</f>
        <v>#REF!</v>
      </c>
      <c r="W76" t="e">
        <f>AQLON1!#REF!</f>
        <v>#REF!</v>
      </c>
      <c r="X76" t="e">
        <f>AQLON1!#REF!</f>
        <v>#REF!</v>
      </c>
      <c r="Y76" t="e">
        <f ca="1">AQLON1!X26</f>
        <v>#NAME?</v>
      </c>
      <c r="Z76" t="e">
        <f ca="1">AQLON1!Y26</f>
        <v>#NAME?</v>
      </c>
      <c r="AA76" t="e">
        <f>AQLON1!#REF!</f>
        <v>#REF!</v>
      </c>
    </row>
    <row r="77" spans="1:27" x14ac:dyDescent="0.25">
      <c r="A77" t="str">
        <f>AQLON1!A27</f>
        <v>AQLON1</v>
      </c>
      <c r="B77" t="str">
        <f>AQLON1!B27</f>
        <v>Rusal</v>
      </c>
      <c r="C77" t="str">
        <f>AQLON1!C27</f>
        <v>RUALR RX Equity</v>
      </c>
      <c r="D77" t="e">
        <f ca="1">AQLON1!D27</f>
        <v>#NAME?</v>
      </c>
      <c r="E77">
        <f>AQLON1!E27</f>
        <v>31130</v>
      </c>
      <c r="F77">
        <f>AQLON1!F27</f>
        <v>245.29425165435271</v>
      </c>
      <c r="G77" t="e">
        <f ca="1">AQLON1!G27</f>
        <v>#NAME?</v>
      </c>
      <c r="H77" t="e">
        <f ca="1">AQLON1!K27</f>
        <v>#NAME?</v>
      </c>
      <c r="I77" t="e">
        <f ca="1">AQLON1!L27</f>
        <v>#NAME?</v>
      </c>
      <c r="J77" t="e">
        <f ca="1">AQLON1!M27</f>
        <v>#NAME?</v>
      </c>
      <c r="K77">
        <f>AQLON1!N27</f>
        <v>7636010.0539999995</v>
      </c>
      <c r="L77" t="e">
        <f ca="1">AQLON1!O27</f>
        <v>#NAME?</v>
      </c>
      <c r="M77" t="e">
        <f ca="1">AQLON1!P27</f>
        <v>#NAME?</v>
      </c>
      <c r="N77" t="e">
        <f ca="1">AQLON1!Q27</f>
        <v>#NAME?</v>
      </c>
      <c r="O77" t="e">
        <f ca="1">AQLON1!R27</f>
        <v>#NAME?</v>
      </c>
      <c r="P77" t="e">
        <f ca="1">AQLON1!S27</f>
        <v>#NAME?</v>
      </c>
      <c r="Q77">
        <f>AQLON1!T27</f>
        <v>5</v>
      </c>
      <c r="R77" t="e">
        <f ca="1">AQLON1!U27</f>
        <v>#NAME?</v>
      </c>
      <c r="S77" t="e">
        <f ca="1">AQLON1!V27</f>
        <v>#NAME?</v>
      </c>
      <c r="T77" t="e">
        <f ca="1">AQLON1!W27</f>
        <v>#NAME?</v>
      </c>
      <c r="U77" t="e">
        <f>AQLON1!#REF!</f>
        <v>#REF!</v>
      </c>
      <c r="V77" t="e">
        <f>AQLON1!#REF!</f>
        <v>#REF!</v>
      </c>
      <c r="W77" t="e">
        <f>AQLON1!#REF!</f>
        <v>#REF!</v>
      </c>
      <c r="X77" t="e">
        <f>AQLON1!#REF!</f>
        <v>#REF!</v>
      </c>
      <c r="Y77" t="e">
        <f ca="1">AQLON1!X27</f>
        <v>#NAME?</v>
      </c>
      <c r="Z77" t="e">
        <f ca="1">AQLON1!Y27</f>
        <v>#NAME?</v>
      </c>
      <c r="AA77" t="e">
        <f>AQLON1!#REF!</f>
        <v>#REF!</v>
      </c>
    </row>
    <row r="78" spans="1:27" x14ac:dyDescent="0.25">
      <c r="A78" t="e">
        <f>AQLON1!#REF!</f>
        <v>#REF!</v>
      </c>
      <c r="B78" t="e">
        <f>AQLON1!#REF!</f>
        <v>#REF!</v>
      </c>
      <c r="C78" t="e">
        <f>AQLON1!#REF!</f>
        <v>#REF!</v>
      </c>
      <c r="D78" t="e">
        <f>AQLON1!#REF!</f>
        <v>#REF!</v>
      </c>
      <c r="E78" t="e">
        <f>AQLON1!#REF!</f>
        <v>#REF!</v>
      </c>
      <c r="F78" t="e">
        <f>AQLON1!#REF!</f>
        <v>#REF!</v>
      </c>
      <c r="G78" t="e">
        <f>AQLON1!#REF!</f>
        <v>#REF!</v>
      </c>
      <c r="H78" t="e">
        <f>AQLON1!#REF!</f>
        <v>#REF!</v>
      </c>
      <c r="I78" t="e">
        <f>AQLON1!#REF!</f>
        <v>#REF!</v>
      </c>
      <c r="J78" t="e">
        <f>AQLON1!#REF!</f>
        <v>#REF!</v>
      </c>
      <c r="K78" t="e">
        <f>AQLON1!#REF!</f>
        <v>#REF!</v>
      </c>
      <c r="L78" t="e">
        <f>AQLON1!#REF!</f>
        <v>#REF!</v>
      </c>
      <c r="M78" t="e">
        <f>AQLON1!#REF!</f>
        <v>#REF!</v>
      </c>
      <c r="N78" t="e">
        <f>AQLON1!#REF!</f>
        <v>#REF!</v>
      </c>
      <c r="O78" t="e">
        <f>AQLON1!#REF!</f>
        <v>#REF!</v>
      </c>
      <c r="P78" t="e">
        <f>AQLON1!#REF!</f>
        <v>#REF!</v>
      </c>
      <c r="Q78" t="e">
        <f>AQLON1!#REF!</f>
        <v>#REF!</v>
      </c>
      <c r="R78" t="e">
        <f>AQLON1!#REF!</f>
        <v>#REF!</v>
      </c>
      <c r="S78" t="e">
        <f>AQLON1!#REF!</f>
        <v>#REF!</v>
      </c>
      <c r="T78" t="e">
        <f>AQLON1!#REF!</f>
        <v>#REF!</v>
      </c>
      <c r="U78" t="e">
        <f>AQLON1!#REF!</f>
        <v>#REF!</v>
      </c>
      <c r="V78" t="e">
        <f>AQLON1!#REF!</f>
        <v>#REF!</v>
      </c>
      <c r="W78" t="e">
        <f>AQLON1!#REF!</f>
        <v>#REF!</v>
      </c>
      <c r="X78" t="e">
        <f>AQLON1!#REF!</f>
        <v>#REF!</v>
      </c>
      <c r="Y78" t="e">
        <f>AQLON1!#REF!</f>
        <v>#REF!</v>
      </c>
      <c r="Z78" t="e">
        <f>AQLON1!#REF!</f>
        <v>#REF!</v>
      </c>
      <c r="AA78" t="e">
        <f>AQLON1!#REF!</f>
        <v>#REF!</v>
      </c>
    </row>
    <row r="79" spans="1:27" x14ac:dyDescent="0.25">
      <c r="A79" t="e">
        <f>AQLON1!#REF!</f>
        <v>#REF!</v>
      </c>
      <c r="B79" t="e">
        <f>AQLON1!#REF!</f>
        <v>#REF!</v>
      </c>
      <c r="C79" t="e">
        <f>AQLON1!#REF!</f>
        <v>#REF!</v>
      </c>
      <c r="D79" t="e">
        <f>AQLON1!#REF!</f>
        <v>#REF!</v>
      </c>
      <c r="E79" t="e">
        <f>AQLON1!#REF!</f>
        <v>#REF!</v>
      </c>
      <c r="F79" t="e">
        <f>AQLON1!#REF!</f>
        <v>#REF!</v>
      </c>
      <c r="G79" t="e">
        <f>AQLON1!#REF!</f>
        <v>#REF!</v>
      </c>
      <c r="H79" t="e">
        <f>AQLON1!#REF!</f>
        <v>#REF!</v>
      </c>
      <c r="I79" t="e">
        <f>AQLON1!#REF!</f>
        <v>#REF!</v>
      </c>
      <c r="J79" t="e">
        <f>AQLON1!#REF!</f>
        <v>#REF!</v>
      </c>
      <c r="K79" t="e">
        <f>AQLON1!#REF!</f>
        <v>#REF!</v>
      </c>
      <c r="L79" t="e">
        <f>AQLON1!#REF!</f>
        <v>#REF!</v>
      </c>
      <c r="M79" t="e">
        <f>AQLON1!#REF!</f>
        <v>#REF!</v>
      </c>
      <c r="N79" t="e">
        <f>AQLON1!#REF!</f>
        <v>#REF!</v>
      </c>
      <c r="O79" t="e">
        <f>AQLON1!#REF!</f>
        <v>#REF!</v>
      </c>
      <c r="P79" t="e">
        <f>AQLON1!#REF!</f>
        <v>#REF!</v>
      </c>
      <c r="Q79" t="e">
        <f>AQLON1!#REF!</f>
        <v>#REF!</v>
      </c>
      <c r="R79" t="e">
        <f>AQLON1!#REF!</f>
        <v>#REF!</v>
      </c>
      <c r="S79" t="e">
        <f>AQLON1!#REF!</f>
        <v>#REF!</v>
      </c>
      <c r="T79" t="e">
        <f>AQLON1!#REF!</f>
        <v>#REF!</v>
      </c>
      <c r="U79" t="e">
        <f>AQLON1!#REF!</f>
        <v>#REF!</v>
      </c>
      <c r="V79" t="e">
        <f>AQLON1!#REF!</f>
        <v>#REF!</v>
      </c>
      <c r="W79" t="e">
        <f>AQLON1!#REF!</f>
        <v>#REF!</v>
      </c>
      <c r="X79" t="e">
        <f>AQLON1!#REF!</f>
        <v>#REF!</v>
      </c>
      <c r="Y79" t="e">
        <f>AQLON1!#REF!</f>
        <v>#REF!</v>
      </c>
      <c r="Z79" t="e">
        <f>AQLON1!#REF!</f>
        <v>#REF!</v>
      </c>
      <c r="AA79" t="e">
        <f>AQLON1!#REF!</f>
        <v>#REF!</v>
      </c>
    </row>
    <row r="80" spans="1:27" x14ac:dyDescent="0.25">
      <c r="A80" t="e">
        <f>AQLON1!#REF!</f>
        <v>#REF!</v>
      </c>
      <c r="B80" t="e">
        <f>AQLON1!#REF!</f>
        <v>#REF!</v>
      </c>
      <c r="C80" t="e">
        <f>AQLON1!#REF!</f>
        <v>#REF!</v>
      </c>
      <c r="D80" t="e">
        <f>AQLON1!#REF!</f>
        <v>#REF!</v>
      </c>
      <c r="E80" t="e">
        <f>AQLON1!#REF!</f>
        <v>#REF!</v>
      </c>
      <c r="F80" t="e">
        <f>AQLON1!#REF!</f>
        <v>#REF!</v>
      </c>
      <c r="G80" t="e">
        <f>AQLON1!#REF!</f>
        <v>#REF!</v>
      </c>
      <c r="H80" t="e">
        <f>AQLON1!#REF!</f>
        <v>#REF!</v>
      </c>
      <c r="I80" t="e">
        <f>AQLON1!#REF!</f>
        <v>#REF!</v>
      </c>
      <c r="J80" t="e">
        <f>AQLON1!#REF!</f>
        <v>#REF!</v>
      </c>
      <c r="K80" t="e">
        <f>AQLON1!#REF!</f>
        <v>#REF!</v>
      </c>
      <c r="L80" t="e">
        <f>AQLON1!#REF!</f>
        <v>#REF!</v>
      </c>
      <c r="M80" t="e">
        <f>AQLON1!#REF!</f>
        <v>#REF!</v>
      </c>
      <c r="N80" t="e">
        <f>AQLON1!#REF!</f>
        <v>#REF!</v>
      </c>
      <c r="O80" t="e">
        <f>AQLON1!#REF!</f>
        <v>#REF!</v>
      </c>
      <c r="P80" t="e">
        <f>AQLON1!#REF!</f>
        <v>#REF!</v>
      </c>
      <c r="Q80" t="e">
        <f>AQLON1!#REF!</f>
        <v>#REF!</v>
      </c>
      <c r="R80" t="e">
        <f>AQLON1!#REF!</f>
        <v>#REF!</v>
      </c>
      <c r="S80" t="e">
        <f>AQLON1!#REF!</f>
        <v>#REF!</v>
      </c>
      <c r="T80" t="e">
        <f>AQLON1!#REF!</f>
        <v>#REF!</v>
      </c>
      <c r="U80" t="e">
        <f>AQLON1!#REF!</f>
        <v>#REF!</v>
      </c>
      <c r="V80" t="e">
        <f>AQLON1!#REF!</f>
        <v>#REF!</v>
      </c>
      <c r="W80" t="e">
        <f>AQLON1!#REF!</f>
        <v>#REF!</v>
      </c>
      <c r="X80" t="e">
        <f>AQLON1!#REF!</f>
        <v>#REF!</v>
      </c>
      <c r="Y80" t="e">
        <f>AQLON1!#REF!</f>
        <v>#REF!</v>
      </c>
      <c r="Z80" t="e">
        <f>AQLON1!#REF!</f>
        <v>#REF!</v>
      </c>
      <c r="AA80" t="e">
        <f>AQLON1!#REF!</f>
        <v>#REF!</v>
      </c>
    </row>
    <row r="81" spans="1:27" x14ac:dyDescent="0.25">
      <c r="A81" t="e">
        <f>BBJSF_BBJUF!#REF!</f>
        <v>#REF!</v>
      </c>
      <c r="B81" t="e">
        <f>BBJSF_BBJUF!#REF!</f>
        <v>#REF!</v>
      </c>
      <c r="C81" t="e">
        <f>BBJSF_BBJUF!#REF!</f>
        <v>#REF!</v>
      </c>
      <c r="D81" t="e">
        <f>BBJSF_BBJUF!#REF!</f>
        <v>#REF!</v>
      </c>
      <c r="E81" t="e">
        <f>BBJSF_BBJUF!#REF!</f>
        <v>#REF!</v>
      </c>
      <c r="F81" t="e">
        <f>BBJSF_BBJUF!#REF!</f>
        <v>#REF!</v>
      </c>
      <c r="G81" t="e">
        <f>BBJSF_BBJUF!#REF!</f>
        <v>#REF!</v>
      </c>
      <c r="H81" t="e">
        <f>BBJSF_BBJUF!#REF!</f>
        <v>#REF!</v>
      </c>
      <c r="I81" t="e">
        <f>BBJSF_BBJUF!#REF!</f>
        <v>#REF!</v>
      </c>
      <c r="J81" t="e">
        <f>BBJSF_BBJUF!#REF!</f>
        <v>#REF!</v>
      </c>
      <c r="K81" t="e">
        <f>BBJSF_BBJUF!#REF!</f>
        <v>#REF!</v>
      </c>
      <c r="L81" t="e">
        <f>BBJSF_BBJUF!#REF!</f>
        <v>#REF!</v>
      </c>
      <c r="M81" t="e">
        <f>BBJSF_BBJUF!#REF!</f>
        <v>#REF!</v>
      </c>
      <c r="N81" t="e">
        <f>BBJSF_BBJUF!#REF!</f>
        <v>#REF!</v>
      </c>
      <c r="O81" t="e">
        <f>BBJSF_BBJUF!#REF!</f>
        <v>#REF!</v>
      </c>
      <c r="P81" t="e">
        <f>BBJSF_BBJUF!#REF!</f>
        <v>#REF!</v>
      </c>
      <c r="Q81" t="e">
        <f>BBJSF_BBJUF!#REF!</f>
        <v>#REF!</v>
      </c>
      <c r="R81" t="e">
        <f>BBJSF_BBJUF!#REF!</f>
        <v>#REF!</v>
      </c>
      <c r="S81" t="e">
        <f>BBJSF_BBJUF!#REF!</f>
        <v>#REF!</v>
      </c>
      <c r="T81" t="e">
        <f>BBJSF_BBJUF!#REF!</f>
        <v>#REF!</v>
      </c>
      <c r="U81" t="e">
        <f>BBJSF_BBJUF!#REF!</f>
        <v>#REF!</v>
      </c>
      <c r="V81" t="e">
        <f>BBJSF_BBJUF!#REF!</f>
        <v>#REF!</v>
      </c>
      <c r="W81" t="e">
        <f>BBJSF_BBJUF!#REF!</f>
        <v>#REF!</v>
      </c>
      <c r="X81" t="e">
        <f>BBJSF_BBJUF!#REF!</f>
        <v>#REF!</v>
      </c>
      <c r="Y81" t="e">
        <f>BBJSF_BBJUF!#REF!</f>
        <v>#REF!</v>
      </c>
      <c r="Z81" t="e">
        <f>BBJSF_BBJUF!#REF!</f>
        <v>#REF!</v>
      </c>
      <c r="AA81" t="e">
        <f>BBJSF_BBJUF!#REF!</f>
        <v>#REF!</v>
      </c>
    </row>
    <row r="82" spans="1:27" x14ac:dyDescent="0.25">
      <c r="A82" t="str">
        <f>BBJSF_BBJUF!A3</f>
        <v>BBJSF_BBJUF</v>
      </c>
      <c r="B82" t="str">
        <f>BBJSF_BBJUF!B3</f>
        <v>Bashneft pref</v>
      </c>
      <c r="C82" t="str">
        <f>BBJSF_BBJUF!C3</f>
        <v>BANEP RX Equity</v>
      </c>
      <c r="D82" t="e">
        <f ca="1">BBJSF_BBJUF!D3</f>
        <v>#NAME?</v>
      </c>
      <c r="E82">
        <f>BBJSF_BBJUF!E3</f>
        <v>3746</v>
      </c>
      <c r="F82">
        <f>BBJSF_BBJUF!F3</f>
        <v>1335.7768286171918</v>
      </c>
      <c r="G82" t="e">
        <f ca="1">BBJSF_BBJUF!G3</f>
        <v>#NAME?</v>
      </c>
      <c r="H82" t="e">
        <f ca="1">BBJSF_BBJUF!K3</f>
        <v>#NAME?</v>
      </c>
      <c r="I82" t="e">
        <f ca="1">BBJSF_BBJUF!L3</f>
        <v>#NAME?</v>
      </c>
      <c r="J82" t="e">
        <f ca="1">BBJSF_BBJUF!M3</f>
        <v>#NAME?</v>
      </c>
      <c r="K82">
        <f>BBJSF_BBJUF!N3</f>
        <v>5003820</v>
      </c>
      <c r="L82" t="e">
        <f ca="1">BBJSF_BBJUF!O3</f>
        <v>#NAME?</v>
      </c>
      <c r="M82" t="e">
        <f ca="1">BBJSF_BBJUF!P3</f>
        <v>#NAME?</v>
      </c>
      <c r="N82" t="e">
        <f ca="1">BBJSF_BBJUF!Q3</f>
        <v>#NAME?</v>
      </c>
      <c r="O82" t="e">
        <f ca="1">BBJSF_BBJUF!R3</f>
        <v>#NAME?</v>
      </c>
      <c r="P82" t="e">
        <f ca="1">BBJSF_BBJUF!S3</f>
        <v>#NAME?</v>
      </c>
      <c r="Q82" t="e">
        <f ca="1">BBJSF_BBJUF!T3</f>
        <v>#NAME?</v>
      </c>
      <c r="R82" t="e">
        <f ca="1">BBJSF_BBJUF!AA3</f>
        <v>#NAME?</v>
      </c>
      <c r="S82" t="e">
        <f ca="1">BBJSF_BBJUF!V3</f>
        <v>#NAME?</v>
      </c>
      <c r="T82" t="e">
        <f ca="1">BBJSF_BBJUF!U3</f>
        <v>#NAME?</v>
      </c>
      <c r="U82" t="e">
        <f ca="1">BBJSF_BBJUF!W3</f>
        <v>#NAME?</v>
      </c>
      <c r="V82" t="e">
        <f ca="1">BBJSF_BBJUF!X3</f>
        <v>#NAME?</v>
      </c>
      <c r="W82" t="e">
        <f ca="1">BBJSF_BBJUF!Y3</f>
        <v>#NAME?</v>
      </c>
      <c r="X82" t="e">
        <f ca="1">BBJSF_BBJUF!Z3</f>
        <v>#NAME?</v>
      </c>
      <c r="Y82" t="e">
        <f ca="1">BBJSF_BBJUF!AB3</f>
        <v>#NAME?</v>
      </c>
      <c r="Z82" t="e">
        <f ca="1">BBJSF_BBJUF!AC3</f>
        <v>#NAME?</v>
      </c>
      <c r="AA82" t="e">
        <f>BBJSF_BBJUF!#REF!</f>
        <v>#REF!</v>
      </c>
    </row>
    <row r="83" spans="1:27" x14ac:dyDescent="0.25">
      <c r="A83" t="e">
        <f>BBJSF_BBJUF!#REF!</f>
        <v>#REF!</v>
      </c>
      <c r="B83" t="e">
        <f>BBJSF_BBJUF!#REF!</f>
        <v>#REF!</v>
      </c>
      <c r="C83" t="e">
        <f>BBJSF_BBJUF!#REF!</f>
        <v>#REF!</v>
      </c>
      <c r="D83" t="e">
        <f>BBJSF_BBJUF!#REF!</f>
        <v>#REF!</v>
      </c>
      <c r="E83" t="e">
        <f>BBJSF_BBJUF!#REF!</f>
        <v>#REF!</v>
      </c>
      <c r="F83" t="e">
        <f>BBJSF_BBJUF!#REF!</f>
        <v>#REF!</v>
      </c>
      <c r="G83" t="e">
        <f>BBJSF_BBJUF!#REF!</f>
        <v>#REF!</v>
      </c>
      <c r="H83" t="e">
        <f>BBJSF_BBJUF!#REF!</f>
        <v>#REF!</v>
      </c>
      <c r="I83" t="e">
        <f>BBJSF_BBJUF!#REF!</f>
        <v>#REF!</v>
      </c>
      <c r="J83" t="e">
        <f>BBJSF_BBJUF!#REF!</f>
        <v>#REF!</v>
      </c>
      <c r="K83" t="e">
        <f>BBJSF_BBJUF!#REF!</f>
        <v>#REF!</v>
      </c>
      <c r="L83" t="e">
        <f>BBJSF_BBJUF!#REF!</f>
        <v>#REF!</v>
      </c>
      <c r="M83" t="e">
        <f>BBJSF_BBJUF!#REF!</f>
        <v>#REF!</v>
      </c>
      <c r="N83" t="e">
        <f>BBJSF_BBJUF!#REF!</f>
        <v>#REF!</v>
      </c>
      <c r="O83" t="e">
        <f>BBJSF_BBJUF!#REF!</f>
        <v>#REF!</v>
      </c>
      <c r="P83" t="e">
        <f>BBJSF_BBJUF!#REF!</f>
        <v>#REF!</v>
      </c>
      <c r="Q83" t="e">
        <f>BBJSF_BBJUF!#REF!</f>
        <v>#REF!</v>
      </c>
      <c r="R83" t="e">
        <f>BBJSF_BBJUF!#REF!</f>
        <v>#REF!</v>
      </c>
      <c r="S83" t="e">
        <f>BBJSF_BBJUF!#REF!</f>
        <v>#REF!</v>
      </c>
      <c r="T83" t="e">
        <f>BBJSF_BBJUF!#REF!</f>
        <v>#REF!</v>
      </c>
      <c r="U83" t="e">
        <f>BBJSF_BBJUF!#REF!</f>
        <v>#REF!</v>
      </c>
      <c r="V83" t="e">
        <f>BBJSF_BBJUF!#REF!</f>
        <v>#REF!</v>
      </c>
      <c r="W83" t="e">
        <f>BBJSF_BBJUF!#REF!</f>
        <v>#REF!</v>
      </c>
      <c r="X83" t="e">
        <f>BBJSF_BBJUF!#REF!</f>
        <v>#REF!</v>
      </c>
      <c r="Y83" t="e">
        <f>BBJSF_BBJUF!#REF!</f>
        <v>#REF!</v>
      </c>
      <c r="Z83" t="e">
        <f>BBJSF_BBJUF!#REF!</f>
        <v>#REF!</v>
      </c>
      <c r="AA83" t="e">
        <f>BBJSF_BBJUF!#REF!</f>
        <v>#REF!</v>
      </c>
    </row>
    <row r="84" spans="1:27" x14ac:dyDescent="0.25">
      <c r="A84" t="str">
        <f>BBJSF_BBJUF!A4</f>
        <v>BBJSF_BBJUF</v>
      </c>
      <c r="B84" t="str">
        <f>BBJSF_BBJUF!B4</f>
        <v>GMK</v>
      </c>
      <c r="C84" t="str">
        <f>BBJSF_BBJUF!C4</f>
        <v>GMKN RX Equity</v>
      </c>
      <c r="D84" t="e">
        <f ca="1">BBJSF_BBJUF!D4</f>
        <v>#NAME?</v>
      </c>
      <c r="E84">
        <f>BBJSF_BBJUF!E4</f>
        <v>524</v>
      </c>
      <c r="F84">
        <f>BBJSF_BBJUF!F4</f>
        <v>9573.038167938932</v>
      </c>
      <c r="G84" t="e">
        <f ca="1">BBJSF_BBJUF!G4</f>
        <v>#NAME?</v>
      </c>
      <c r="H84" t="e">
        <f ca="1">BBJSF_BBJUF!K4</f>
        <v>#NAME?</v>
      </c>
      <c r="I84" t="e">
        <f ca="1">BBJSF_BBJUF!L4</f>
        <v>#NAME?</v>
      </c>
      <c r="J84" t="e">
        <f ca="1">BBJSF_BBJUF!M4</f>
        <v>#NAME?</v>
      </c>
      <c r="K84">
        <f>BBJSF_BBJUF!N4</f>
        <v>5016272</v>
      </c>
      <c r="L84" t="e">
        <f ca="1">BBJSF_BBJUF!O4</f>
        <v>#NAME?</v>
      </c>
      <c r="M84" t="e">
        <f ca="1">BBJSF_BBJUF!P4</f>
        <v>#NAME?</v>
      </c>
      <c r="N84" t="e">
        <f ca="1">BBJSF_BBJUF!Q4</f>
        <v>#NAME?</v>
      </c>
      <c r="O84" t="e">
        <f ca="1">BBJSF_BBJUF!R4</f>
        <v>#NAME?</v>
      </c>
      <c r="P84" t="e">
        <f ca="1">BBJSF_BBJUF!S4</f>
        <v>#NAME?</v>
      </c>
      <c r="Q84" t="e">
        <f ca="1">BBJSF_BBJUF!T4</f>
        <v>#NAME?</v>
      </c>
      <c r="R84" t="e">
        <f ca="1">BBJSF_BBJUF!AA4</f>
        <v>#NAME?</v>
      </c>
      <c r="S84" t="e">
        <f ca="1">BBJSF_BBJUF!V4</f>
        <v>#NAME?</v>
      </c>
      <c r="T84" t="e">
        <f ca="1">BBJSF_BBJUF!U4</f>
        <v>#NAME?</v>
      </c>
      <c r="U84" t="e">
        <f ca="1">BBJSF_BBJUF!W4</f>
        <v>#NAME?</v>
      </c>
      <c r="V84" t="e">
        <f ca="1">BBJSF_BBJUF!X4</f>
        <v>#NAME?</v>
      </c>
      <c r="W84" t="e">
        <f ca="1">BBJSF_BBJUF!Y4</f>
        <v>#NAME?</v>
      </c>
      <c r="X84" t="e">
        <f ca="1">BBJSF_BBJUF!Z4</f>
        <v>#NAME?</v>
      </c>
      <c r="Y84" t="e">
        <f ca="1">BBJSF_BBJUF!AB4</f>
        <v>#NAME?</v>
      </c>
      <c r="Z84" t="e">
        <f ca="1">BBJSF_BBJUF!AC4</f>
        <v>#NAME?</v>
      </c>
      <c r="AA84" t="e">
        <f>BBJSF_BBJUF!#REF!</f>
        <v>#REF!</v>
      </c>
    </row>
    <row r="85" spans="1:27" x14ac:dyDescent="0.25">
      <c r="A85" t="str">
        <f>BBJSF_BBJUF!A6</f>
        <v>BBJSF_BBJUF</v>
      </c>
      <c r="B85" t="str">
        <f>BBJSF_BBJUF!B6</f>
        <v>Vimpelcom</v>
      </c>
      <c r="C85" t="str">
        <f>BBJSF_BBJUF!C6</f>
        <v>VIP US Equity</v>
      </c>
      <c r="D85" t="e">
        <f ca="1">BBJSF_BBJUF!D6</f>
        <v>#NAME?</v>
      </c>
      <c r="E85">
        <f>BBJSF_BBJUF!E6</f>
        <v>22840</v>
      </c>
      <c r="F85" t="e">
        <f ca="1">BBJSF_BBJUF!F6</f>
        <v>#NAME?</v>
      </c>
      <c r="G85" t="e">
        <f ca="1">BBJSF_BBJUF!G6</f>
        <v>#NAME?</v>
      </c>
      <c r="H85" t="e">
        <f ca="1">BBJSF_BBJUF!K6</f>
        <v>#NAME?</v>
      </c>
      <c r="I85" t="e">
        <f ca="1">BBJSF_BBJUF!L6</f>
        <v>#NAME?</v>
      </c>
      <c r="J85" t="e">
        <f ca="1">BBJSF_BBJUF!M6</f>
        <v>#NAME?</v>
      </c>
      <c r="K85" t="e">
        <f ca="1">BBJSF_BBJUF!N6</f>
        <v>#NAME?</v>
      </c>
      <c r="L85" t="e">
        <f ca="1">BBJSF_BBJUF!O6</f>
        <v>#NAME?</v>
      </c>
      <c r="M85" t="e">
        <f ca="1">BBJSF_BBJUF!P6</f>
        <v>#NAME?</v>
      </c>
      <c r="N85" t="e">
        <f ca="1">BBJSF_BBJUF!Q6</f>
        <v>#NAME?</v>
      </c>
      <c r="O85" t="e">
        <f ca="1">BBJSF_BBJUF!R6</f>
        <v>#NAME?</v>
      </c>
      <c r="P85" t="e">
        <f ca="1">BBJSF_BBJUF!S6</f>
        <v>#NAME?</v>
      </c>
      <c r="Q85" t="e">
        <f ca="1">BBJSF_BBJUF!T6</f>
        <v>#NAME?</v>
      </c>
      <c r="R85" t="e">
        <f ca="1">BBJSF_BBJUF!AA6</f>
        <v>#NAME?</v>
      </c>
      <c r="S85" t="e">
        <f ca="1">BBJSF_BBJUF!V6</f>
        <v>#NAME?</v>
      </c>
      <c r="T85" t="e">
        <f ca="1">BBJSF_BBJUF!U6</f>
        <v>#NAME?</v>
      </c>
      <c r="U85" t="e">
        <f ca="1">BBJSF_BBJUF!W6</f>
        <v>#NAME?</v>
      </c>
      <c r="V85" t="e">
        <f ca="1">BBJSF_BBJUF!X6</f>
        <v>#NAME?</v>
      </c>
      <c r="W85" t="e">
        <f ca="1">BBJSF_BBJUF!Y6</f>
        <v>#NAME?</v>
      </c>
      <c r="X85" t="e">
        <f ca="1">BBJSF_BBJUF!Z6</f>
        <v>#NAME?</v>
      </c>
      <c r="Y85" t="e">
        <f ca="1">BBJSF_BBJUF!AB6</f>
        <v>#NAME?</v>
      </c>
      <c r="Z85" t="e">
        <f ca="1">BBJSF_BBJUF!AC6</f>
        <v>#NAME?</v>
      </c>
      <c r="AA85" t="e">
        <f>BBJSF_BBJUF!#REF!</f>
        <v>#REF!</v>
      </c>
    </row>
    <row r="86" spans="1:27" x14ac:dyDescent="0.25">
      <c r="A86" t="str">
        <f>BBJSF_BBJUF!A7</f>
        <v>BBJSF_BBJUF</v>
      </c>
      <c r="B86" t="str">
        <f>BBJSF_BBJUF!B7</f>
        <v>Megafon</v>
      </c>
      <c r="C86" t="str">
        <f>BBJSF_BBJUF!C7</f>
        <v>MFON RX Equity</v>
      </c>
      <c r="D86" t="e">
        <f ca="1">BBJSF_BBJUF!D7</f>
        <v>#NAME?</v>
      </c>
      <c r="E86">
        <f>BBJSF_BBJUF!E7</f>
        <v>6245</v>
      </c>
      <c r="F86">
        <f>BBJSF_BBJUF!F7</f>
        <v>801.49879903923136</v>
      </c>
      <c r="G86" t="e">
        <f ca="1">BBJSF_BBJUF!G7</f>
        <v>#NAME?</v>
      </c>
      <c r="H86" t="e">
        <f ca="1">BBJSF_BBJUF!K7</f>
        <v>#NAME?</v>
      </c>
      <c r="I86" t="e">
        <f ca="1">BBJSF_BBJUF!L7</f>
        <v>#NAME?</v>
      </c>
      <c r="J86" t="e">
        <f ca="1">BBJSF_BBJUF!M7</f>
        <v>#NAME?</v>
      </c>
      <c r="K86">
        <f>BBJSF_BBJUF!N7</f>
        <v>5005360</v>
      </c>
      <c r="L86" t="e">
        <f ca="1">BBJSF_BBJUF!O7</f>
        <v>#NAME?</v>
      </c>
      <c r="M86" t="e">
        <f ca="1">BBJSF_BBJUF!P7</f>
        <v>#NAME?</v>
      </c>
      <c r="N86" t="e">
        <f ca="1">BBJSF_BBJUF!Q7</f>
        <v>#NAME?</v>
      </c>
      <c r="O86" t="e">
        <f ca="1">BBJSF_BBJUF!R7</f>
        <v>#NAME?</v>
      </c>
      <c r="P86" t="e">
        <f ca="1">BBJSF_BBJUF!S7</f>
        <v>#NAME?</v>
      </c>
      <c r="Q86" t="e">
        <f ca="1">BBJSF_BBJUF!T7</f>
        <v>#NAME?</v>
      </c>
      <c r="R86" t="e">
        <f ca="1">BBJSF_BBJUF!AA7</f>
        <v>#NAME?</v>
      </c>
      <c r="S86" t="e">
        <f ca="1">BBJSF_BBJUF!V7</f>
        <v>#NAME?</v>
      </c>
      <c r="T86" t="e">
        <f ca="1">BBJSF_BBJUF!U7</f>
        <v>#NAME?</v>
      </c>
      <c r="U86" t="e">
        <f ca="1">BBJSF_BBJUF!W7</f>
        <v>#NAME?</v>
      </c>
      <c r="V86" t="e">
        <f ca="1">BBJSF_BBJUF!X7</f>
        <v>#NAME?</v>
      </c>
      <c r="W86" t="e">
        <f ca="1">BBJSF_BBJUF!Y7</f>
        <v>#NAME?</v>
      </c>
      <c r="X86" t="e">
        <f ca="1">BBJSF_BBJUF!Z7</f>
        <v>#NAME?</v>
      </c>
      <c r="Y86" t="e">
        <f ca="1">BBJSF_BBJUF!AB7</f>
        <v>#NAME?</v>
      </c>
      <c r="Z86" t="e">
        <f ca="1">BBJSF_BBJUF!AC7</f>
        <v>#NAME?</v>
      </c>
      <c r="AA86" t="e">
        <f>BBJSF_BBJUF!#REF!</f>
        <v>#REF!</v>
      </c>
    </row>
    <row r="87" spans="1:27" x14ac:dyDescent="0.25">
      <c r="A87" t="str">
        <f>BBJSF_BBJUF!A8</f>
        <v>BBJSF_BBJUF</v>
      </c>
      <c r="B87" t="str">
        <f>BBJSF_BBJUF!B8</f>
        <v>Qiwi</v>
      </c>
      <c r="C87" t="str">
        <f>BBJSF_BBJUF!C8</f>
        <v>QIWI US Equity</v>
      </c>
      <c r="D87" t="e">
        <f ca="1">BBJSF_BBJUF!D8</f>
        <v>#NAME?</v>
      </c>
      <c r="E87">
        <f>BBJSF_BBJUF!E8</f>
        <v>4800</v>
      </c>
      <c r="F87">
        <f>BBJSF_BBJUF!F8</f>
        <v>17.574999999999999</v>
      </c>
      <c r="G87" t="e">
        <f ca="1">BBJSF_BBJUF!G8</f>
        <v>#NAME?</v>
      </c>
      <c r="H87" t="e">
        <f ca="1">BBJSF_BBJUF!K8</f>
        <v>#NAME?</v>
      </c>
      <c r="I87" t="e">
        <f ca="1">BBJSF_BBJUF!L8</f>
        <v>#NAME?</v>
      </c>
      <c r="J87" t="e">
        <f ca="1">BBJSF_BBJUF!M8</f>
        <v>#NAME?</v>
      </c>
      <c r="K87" t="e">
        <f ca="1">BBJSF_BBJUF!N8</f>
        <v>#NAME?</v>
      </c>
      <c r="L87">
        <f>BBJSF_BBJUF!O8</f>
        <v>84360</v>
      </c>
      <c r="M87" t="e">
        <f ca="1">BBJSF_BBJUF!P8</f>
        <v>#NAME?</v>
      </c>
      <c r="N87" t="e">
        <f ca="1">BBJSF_BBJUF!Q8</f>
        <v>#NAME?</v>
      </c>
      <c r="O87" t="e">
        <f ca="1">BBJSF_BBJUF!R8</f>
        <v>#NAME?</v>
      </c>
      <c r="P87" t="e">
        <f ca="1">BBJSF_BBJUF!S8</f>
        <v>#NAME?</v>
      </c>
      <c r="Q87" t="e">
        <f ca="1">BBJSF_BBJUF!T8</f>
        <v>#NAME?</v>
      </c>
      <c r="R87" t="e">
        <f ca="1">BBJSF_BBJUF!AA8</f>
        <v>#NAME?</v>
      </c>
      <c r="S87" t="e">
        <f ca="1">BBJSF_BBJUF!V8</f>
        <v>#NAME?</v>
      </c>
      <c r="T87" t="e">
        <f ca="1">BBJSF_BBJUF!U8</f>
        <v>#NAME?</v>
      </c>
      <c r="U87" t="e">
        <f ca="1">BBJSF_BBJUF!W8</f>
        <v>#NAME?</v>
      </c>
      <c r="V87" t="e">
        <f ca="1">BBJSF_BBJUF!X8</f>
        <v>#NAME?</v>
      </c>
      <c r="W87" t="e">
        <f ca="1">BBJSF_BBJUF!Y8</f>
        <v>#NAME?</v>
      </c>
      <c r="X87" t="e">
        <f ca="1">BBJSF_BBJUF!Z8</f>
        <v>#NAME?</v>
      </c>
      <c r="Y87" t="e">
        <f ca="1">BBJSF_BBJUF!AB8</f>
        <v>#NAME?</v>
      </c>
      <c r="Z87" t="e">
        <f ca="1">BBJSF_BBJUF!AC8</f>
        <v>#NAME?</v>
      </c>
      <c r="AA87" t="e">
        <f>BBJSF_BBJUF!#REF!</f>
        <v>#REF!</v>
      </c>
    </row>
    <row r="88" spans="1:27" x14ac:dyDescent="0.25">
      <c r="A88" t="e">
        <f>BBJSF_BBJUF!#REF!</f>
        <v>#REF!</v>
      </c>
      <c r="B88" t="e">
        <f>BBJSF_BBJUF!#REF!</f>
        <v>#REF!</v>
      </c>
      <c r="C88" t="e">
        <f>BBJSF_BBJUF!#REF!</f>
        <v>#REF!</v>
      </c>
      <c r="D88" t="e">
        <f>BBJSF_BBJUF!#REF!</f>
        <v>#REF!</v>
      </c>
      <c r="E88" t="e">
        <f>BBJSF_BBJUF!#REF!</f>
        <v>#REF!</v>
      </c>
      <c r="F88" t="e">
        <f>BBJSF_BBJUF!#REF!</f>
        <v>#REF!</v>
      </c>
      <c r="G88" t="e">
        <f>BBJSF_BBJUF!#REF!</f>
        <v>#REF!</v>
      </c>
      <c r="H88" t="e">
        <f>BBJSF_BBJUF!#REF!</f>
        <v>#REF!</v>
      </c>
      <c r="I88" t="e">
        <f>BBJSF_BBJUF!#REF!</f>
        <v>#REF!</v>
      </c>
      <c r="J88" t="e">
        <f>BBJSF_BBJUF!#REF!</f>
        <v>#REF!</v>
      </c>
      <c r="K88" t="e">
        <f>BBJSF_BBJUF!#REF!</f>
        <v>#REF!</v>
      </c>
      <c r="L88" t="e">
        <f>BBJSF_BBJUF!#REF!</f>
        <v>#REF!</v>
      </c>
      <c r="M88" t="e">
        <f>BBJSF_BBJUF!#REF!</f>
        <v>#REF!</v>
      </c>
      <c r="N88" t="e">
        <f>BBJSF_BBJUF!#REF!</f>
        <v>#REF!</v>
      </c>
      <c r="O88" t="e">
        <f>BBJSF_BBJUF!#REF!</f>
        <v>#REF!</v>
      </c>
      <c r="P88" t="e">
        <f>BBJSF_BBJUF!#REF!</f>
        <v>#REF!</v>
      </c>
      <c r="Q88" t="e">
        <f>BBJSF_BBJUF!#REF!</f>
        <v>#REF!</v>
      </c>
      <c r="R88" t="e">
        <f>BBJSF_BBJUF!#REF!</f>
        <v>#REF!</v>
      </c>
      <c r="S88" t="e">
        <f>BBJSF_BBJUF!#REF!</f>
        <v>#REF!</v>
      </c>
      <c r="T88" t="e">
        <f>BBJSF_BBJUF!#REF!</f>
        <v>#REF!</v>
      </c>
      <c r="U88" t="e">
        <f>BBJSF_BBJUF!#REF!</f>
        <v>#REF!</v>
      </c>
      <c r="V88" t="e">
        <f>BBJSF_BBJUF!#REF!</f>
        <v>#REF!</v>
      </c>
      <c r="W88" t="e">
        <f>BBJSF_BBJUF!#REF!</f>
        <v>#REF!</v>
      </c>
      <c r="X88" t="e">
        <f>BBJSF_BBJUF!#REF!</f>
        <v>#REF!</v>
      </c>
      <c r="Y88" t="e">
        <f>BBJSF_BBJUF!#REF!</f>
        <v>#REF!</v>
      </c>
      <c r="Z88" t="e">
        <f>BBJSF_BBJUF!#REF!</f>
        <v>#REF!</v>
      </c>
      <c r="AA88" t="e">
        <f>BBJSF_BBJUF!#REF!</f>
        <v>#REF!</v>
      </c>
    </row>
    <row r="89" spans="1:27" x14ac:dyDescent="0.25">
      <c r="A89" t="e">
        <f>BBJSF_BBJUF!#REF!</f>
        <v>#REF!</v>
      </c>
      <c r="B89" t="e">
        <f>BBJSF_BBJUF!#REF!</f>
        <v>#REF!</v>
      </c>
      <c r="C89" t="e">
        <f>BBJSF_BBJUF!#REF!</f>
        <v>#REF!</v>
      </c>
      <c r="D89" t="e">
        <f>BBJSF_BBJUF!#REF!</f>
        <v>#REF!</v>
      </c>
      <c r="E89" t="e">
        <f>BBJSF_BBJUF!#REF!</f>
        <v>#REF!</v>
      </c>
      <c r="F89" t="e">
        <f>BBJSF_BBJUF!#REF!</f>
        <v>#REF!</v>
      </c>
      <c r="G89" t="e">
        <f>BBJSF_BBJUF!#REF!</f>
        <v>#REF!</v>
      </c>
      <c r="H89" t="e">
        <f>BBJSF_BBJUF!#REF!</f>
        <v>#REF!</v>
      </c>
      <c r="I89" t="e">
        <f>BBJSF_BBJUF!#REF!</f>
        <v>#REF!</v>
      </c>
      <c r="J89" t="e">
        <f>BBJSF_BBJUF!#REF!</f>
        <v>#REF!</v>
      </c>
      <c r="K89" t="e">
        <f>BBJSF_BBJUF!#REF!</f>
        <v>#REF!</v>
      </c>
      <c r="L89" t="e">
        <f>BBJSF_BBJUF!#REF!</f>
        <v>#REF!</v>
      </c>
      <c r="M89" t="e">
        <f>BBJSF_BBJUF!#REF!</f>
        <v>#REF!</v>
      </c>
      <c r="N89" t="e">
        <f>BBJSF_BBJUF!#REF!</f>
        <v>#REF!</v>
      </c>
      <c r="O89" t="e">
        <f>BBJSF_BBJUF!#REF!</f>
        <v>#REF!</v>
      </c>
      <c r="P89" t="e">
        <f>BBJSF_BBJUF!#REF!</f>
        <v>#REF!</v>
      </c>
      <c r="Q89" t="e">
        <f>BBJSF_BBJUF!#REF!</f>
        <v>#REF!</v>
      </c>
      <c r="R89" t="e">
        <f>BBJSF_BBJUF!#REF!</f>
        <v>#REF!</v>
      </c>
      <c r="S89" t="e">
        <f>BBJSF_BBJUF!#REF!</f>
        <v>#REF!</v>
      </c>
      <c r="T89" t="e">
        <f>BBJSF_BBJUF!#REF!</f>
        <v>#REF!</v>
      </c>
      <c r="U89" t="e">
        <f>BBJSF_BBJUF!#REF!</f>
        <v>#REF!</v>
      </c>
      <c r="V89" t="e">
        <f>BBJSF_BBJUF!#REF!</f>
        <v>#REF!</v>
      </c>
      <c r="W89" t="e">
        <f>BBJSF_BBJUF!#REF!</f>
        <v>#REF!</v>
      </c>
      <c r="X89" t="e">
        <f>BBJSF_BBJUF!#REF!</f>
        <v>#REF!</v>
      </c>
      <c r="Y89" t="e">
        <f>BBJSF_BBJUF!#REF!</f>
        <v>#REF!</v>
      </c>
      <c r="Z89" t="e">
        <f>BBJSF_BBJUF!#REF!</f>
        <v>#REF!</v>
      </c>
      <c r="AA89" t="e">
        <f>BBJSF_BBJUF!#REF!</f>
        <v>#REF!</v>
      </c>
    </row>
    <row r="90" spans="1:27" x14ac:dyDescent="0.25">
      <c r="A90" t="str">
        <f>BBJSF_BBJUF!A9</f>
        <v>BBJSF_BBJUF</v>
      </c>
      <c r="B90" t="str">
        <f>BBJSF_BBJUF!B9</f>
        <v>Gazprom</v>
      </c>
      <c r="C90" t="str">
        <f>BBJSF_BBJUF!C9</f>
        <v>GAZP RX Equity</v>
      </c>
      <c r="D90" t="e">
        <f ca="1">BBJSF_BBJUF!D9</f>
        <v>#NAME?</v>
      </c>
      <c r="E90">
        <f>BBJSF_BBJUF!E9</f>
        <v>22400</v>
      </c>
      <c r="F90">
        <f>BBJSF_BBJUF!F9</f>
        <v>134</v>
      </c>
      <c r="G90" t="e">
        <f ca="1">BBJSF_BBJUF!G9</f>
        <v>#NAME?</v>
      </c>
      <c r="H90" t="e">
        <f ca="1">BBJSF_BBJUF!K9</f>
        <v>#NAME?</v>
      </c>
      <c r="I90" t="e">
        <f ca="1">BBJSF_BBJUF!L9</f>
        <v>#NAME?</v>
      </c>
      <c r="J90" t="e">
        <f ca="1">BBJSF_BBJUF!M9</f>
        <v>#NAME?</v>
      </c>
      <c r="K90">
        <f>BBJSF_BBJUF!N9</f>
        <v>3001600</v>
      </c>
      <c r="L90" t="e">
        <f ca="1">BBJSF_BBJUF!O9</f>
        <v>#NAME?</v>
      </c>
      <c r="M90" t="e">
        <f ca="1">BBJSF_BBJUF!P9</f>
        <v>#NAME?</v>
      </c>
      <c r="N90" t="e">
        <f ca="1">BBJSF_BBJUF!Q9</f>
        <v>#NAME?</v>
      </c>
      <c r="O90" t="e">
        <f ca="1">BBJSF_BBJUF!R9</f>
        <v>#NAME?</v>
      </c>
      <c r="P90" t="e">
        <f ca="1">BBJSF_BBJUF!S9</f>
        <v>#NAME?</v>
      </c>
      <c r="Q90" t="e">
        <f ca="1">BBJSF_BBJUF!T9</f>
        <v>#NAME?</v>
      </c>
      <c r="R90" t="e">
        <f ca="1">BBJSF_BBJUF!AA9</f>
        <v>#NAME?</v>
      </c>
      <c r="S90" t="e">
        <f ca="1">BBJSF_BBJUF!V9</f>
        <v>#NAME?</v>
      </c>
      <c r="T90" t="e">
        <f ca="1">BBJSF_BBJUF!U9</f>
        <v>#NAME?</v>
      </c>
      <c r="U90" t="e">
        <f ca="1">BBJSF_BBJUF!W9</f>
        <v>#NAME?</v>
      </c>
      <c r="V90" t="e">
        <f ca="1">BBJSF_BBJUF!X9</f>
        <v>#NAME?</v>
      </c>
      <c r="W90" t="e">
        <f ca="1">BBJSF_BBJUF!Y9</f>
        <v>#NAME?</v>
      </c>
      <c r="X90" t="e">
        <f ca="1">BBJSF_BBJUF!Z9</f>
        <v>#NAME?</v>
      </c>
      <c r="Y90" t="e">
        <f ca="1">BBJSF_BBJUF!AB9</f>
        <v>#NAME?</v>
      </c>
      <c r="Z90" t="e">
        <f ca="1">BBJSF_BBJUF!AC9</f>
        <v>#NAME?</v>
      </c>
      <c r="AA90" t="e">
        <f>BBJSF_BBJUF!#REF!</f>
        <v>#REF!</v>
      </c>
    </row>
    <row r="91" spans="1:27" x14ac:dyDescent="0.25">
      <c r="A91" t="str">
        <f>BBJSF_BBJUF!A10</f>
        <v>BBJSF_BBJUF</v>
      </c>
      <c r="B91" t="str">
        <f>BBJSF_BBJUF!B10</f>
        <v>Alrosa</v>
      </c>
      <c r="C91" t="str">
        <f>BBJSF_BBJUF!C10</f>
        <v>ALRS RX Equity</v>
      </c>
      <c r="D91" t="e">
        <f ca="1">BBJSF_BBJUF!D10</f>
        <v>#NAME?</v>
      </c>
      <c r="E91">
        <f>BBJSF_BBJUF!E10</f>
        <v>89740</v>
      </c>
      <c r="F91">
        <f>BBJSF_BBJUF!F10</f>
        <v>56.246155560508136</v>
      </c>
      <c r="G91" t="e">
        <f ca="1">BBJSF_BBJUF!G10</f>
        <v>#NAME?</v>
      </c>
      <c r="H91" t="e">
        <f ca="1">BBJSF_BBJUF!K10</f>
        <v>#NAME?</v>
      </c>
      <c r="I91" t="e">
        <f ca="1">BBJSF_BBJUF!L10</f>
        <v>#NAME?</v>
      </c>
      <c r="J91" t="e">
        <f ca="1">BBJSF_BBJUF!M10</f>
        <v>#NAME?</v>
      </c>
      <c r="K91">
        <f>BBJSF_BBJUF!N10</f>
        <v>5047530</v>
      </c>
      <c r="L91" t="e">
        <f ca="1">BBJSF_BBJUF!O10</f>
        <v>#NAME?</v>
      </c>
      <c r="M91" t="e">
        <f ca="1">BBJSF_BBJUF!P10</f>
        <v>#NAME?</v>
      </c>
      <c r="N91" t="e">
        <f ca="1">BBJSF_BBJUF!Q10</f>
        <v>#NAME?</v>
      </c>
      <c r="O91" t="e">
        <f ca="1">BBJSF_BBJUF!R10</f>
        <v>#NAME?</v>
      </c>
      <c r="P91" t="e">
        <f ca="1">BBJSF_BBJUF!S10</f>
        <v>#NAME?</v>
      </c>
      <c r="Q91" t="e">
        <f ca="1">BBJSF_BBJUF!T10</f>
        <v>#NAME?</v>
      </c>
      <c r="R91" t="e">
        <f ca="1">BBJSF_BBJUF!AA10</f>
        <v>#NAME?</v>
      </c>
      <c r="S91" t="e">
        <f ca="1">BBJSF_BBJUF!V10</f>
        <v>#NAME?</v>
      </c>
      <c r="T91" t="e">
        <f ca="1">BBJSF_BBJUF!U10</f>
        <v>#NAME?</v>
      </c>
      <c r="U91" t="e">
        <f ca="1">BBJSF_BBJUF!W10</f>
        <v>#NAME?</v>
      </c>
      <c r="V91" t="e">
        <f ca="1">BBJSF_BBJUF!X10</f>
        <v>#NAME?</v>
      </c>
      <c r="W91" t="e">
        <f ca="1">BBJSF_BBJUF!Y10</f>
        <v>#NAME?</v>
      </c>
      <c r="X91" t="e">
        <f ca="1">BBJSF_BBJUF!Z10</f>
        <v>#NAME?</v>
      </c>
      <c r="Y91" t="e">
        <f ca="1">BBJSF_BBJUF!AB10</f>
        <v>#NAME?</v>
      </c>
      <c r="Z91" t="e">
        <f ca="1">BBJSF_BBJUF!AC10</f>
        <v>#NAME?</v>
      </c>
      <c r="AA91" t="e">
        <f>BBJSF_BBJUF!#REF!</f>
        <v>#REF!</v>
      </c>
    </row>
    <row r="92" spans="1:27" x14ac:dyDescent="0.25">
      <c r="A92" t="str">
        <f>BBJSF_BBJUF!A11</f>
        <v>BBJSF_BBJUF</v>
      </c>
      <c r="B92" t="str">
        <f>BBJSF_BBJUF!B11</f>
        <v>Polymetal</v>
      </c>
      <c r="C92" t="str">
        <f>BBJSF_BBJUF!C11</f>
        <v>POLY RX Equity</v>
      </c>
      <c r="D92" t="e">
        <f ca="1">BBJSF_BBJUF!D11</f>
        <v>#NAME?</v>
      </c>
      <c r="E92">
        <f>BBJSF_BBJUF!E11</f>
        <v>18739</v>
      </c>
      <c r="F92" t="e">
        <f ca="1">BBJSF_BBJUF!F11</f>
        <v>#NAME?</v>
      </c>
      <c r="G92" t="e">
        <f ca="1">BBJSF_BBJUF!G11</f>
        <v>#NAME?</v>
      </c>
      <c r="H92" t="e">
        <f ca="1">BBJSF_BBJUF!K11</f>
        <v>#NAME?</v>
      </c>
      <c r="I92" t="e">
        <f ca="1">BBJSF_BBJUF!L11</f>
        <v>#NAME?</v>
      </c>
      <c r="J92" t="e">
        <f ca="1">BBJSF_BBJUF!M11</f>
        <v>#NAME?</v>
      </c>
      <c r="K92" t="e">
        <f ca="1">BBJSF_BBJUF!N11</f>
        <v>#NAME?</v>
      </c>
      <c r="L92" t="e">
        <f ca="1">BBJSF_BBJUF!O11</f>
        <v>#NAME?</v>
      </c>
      <c r="M92" t="e">
        <f ca="1">BBJSF_BBJUF!P11</f>
        <v>#NAME?</v>
      </c>
      <c r="N92" t="e">
        <f ca="1">BBJSF_BBJUF!Q11</f>
        <v>#NAME?</v>
      </c>
      <c r="O92" t="e">
        <f ca="1">BBJSF_BBJUF!R11</f>
        <v>#NAME?</v>
      </c>
      <c r="P92" t="e">
        <f ca="1">BBJSF_BBJUF!S11</f>
        <v>#NAME?</v>
      </c>
      <c r="Q92" t="e">
        <f ca="1">BBJSF_BBJUF!T11</f>
        <v>#NAME?</v>
      </c>
      <c r="R92" t="e">
        <f ca="1">BBJSF_BBJUF!AA11</f>
        <v>#NAME?</v>
      </c>
      <c r="S92" t="e">
        <f ca="1">BBJSF_BBJUF!V11</f>
        <v>#NAME?</v>
      </c>
      <c r="T92" t="e">
        <f ca="1">BBJSF_BBJUF!U11</f>
        <v>#NAME?</v>
      </c>
      <c r="U92" t="e">
        <f ca="1">BBJSF_BBJUF!W11</f>
        <v>#NAME?</v>
      </c>
      <c r="V92" t="e">
        <f ca="1">BBJSF_BBJUF!X11</f>
        <v>#NAME?</v>
      </c>
      <c r="W92" t="e">
        <f ca="1">BBJSF_BBJUF!Y11</f>
        <v>#NAME?</v>
      </c>
      <c r="X92" t="e">
        <f ca="1">BBJSF_BBJUF!Z11</f>
        <v>#NAME?</v>
      </c>
      <c r="Y92" t="e">
        <f ca="1">BBJSF_BBJUF!AB11</f>
        <v>#NAME?</v>
      </c>
      <c r="Z92" t="e">
        <f ca="1">BBJSF_BBJUF!AC11</f>
        <v>#NAME?</v>
      </c>
      <c r="AA92" t="e">
        <f>BBJSF_BBJUF!#REF!</f>
        <v>#REF!</v>
      </c>
    </row>
    <row r="93" spans="1:27" x14ac:dyDescent="0.25">
      <c r="A93" t="str">
        <f>BBJSF_BBJUF!A12</f>
        <v>BBJSF_BBJUF</v>
      </c>
      <c r="B93" t="str">
        <f>BBJSF_BBJUF!B12</f>
        <v>MTS</v>
      </c>
      <c r="C93" t="str">
        <f>BBJSF_BBJUF!C12</f>
        <v>MTSS RX Equity</v>
      </c>
      <c r="D93" t="e">
        <f ca="1">BBJSF_BBJUF!D12</f>
        <v>#NAME?</v>
      </c>
      <c r="E93">
        <f>BBJSF_BBJUF!E12</f>
        <v>22700</v>
      </c>
      <c r="F93">
        <f>BBJSF_BBJUF!F12</f>
        <v>220.37885462555067</v>
      </c>
      <c r="G93" t="e">
        <f ca="1">BBJSF_BBJUF!G12</f>
        <v>#NAME?</v>
      </c>
      <c r="H93" t="e">
        <f ca="1">BBJSF_BBJUF!K12</f>
        <v>#NAME?</v>
      </c>
      <c r="I93" t="e">
        <f ca="1">BBJSF_BBJUF!L12</f>
        <v>#NAME?</v>
      </c>
      <c r="J93" t="e">
        <f ca="1">BBJSF_BBJUF!M12</f>
        <v>#NAME?</v>
      </c>
      <c r="K93">
        <f>BBJSF_BBJUF!N12</f>
        <v>5002600</v>
      </c>
      <c r="L93" t="e">
        <f ca="1">BBJSF_BBJUF!O12</f>
        <v>#NAME?</v>
      </c>
      <c r="M93" t="e">
        <f ca="1">BBJSF_BBJUF!P12</f>
        <v>#NAME?</v>
      </c>
      <c r="N93" t="e">
        <f ca="1">BBJSF_BBJUF!Q12</f>
        <v>#NAME?</v>
      </c>
      <c r="O93" t="e">
        <f ca="1">BBJSF_BBJUF!R12</f>
        <v>#NAME?</v>
      </c>
      <c r="P93" t="e">
        <f ca="1">BBJSF_BBJUF!S12</f>
        <v>#NAME?</v>
      </c>
      <c r="Q93" t="e">
        <f ca="1">BBJSF_BBJUF!T12</f>
        <v>#NAME?</v>
      </c>
      <c r="R93" t="e">
        <f ca="1">BBJSF_BBJUF!AA12</f>
        <v>#NAME?</v>
      </c>
      <c r="S93" t="e">
        <f ca="1">BBJSF_BBJUF!V12</f>
        <v>#NAME?</v>
      </c>
      <c r="T93" t="e">
        <f ca="1">BBJSF_BBJUF!U12</f>
        <v>#NAME?</v>
      </c>
      <c r="U93" t="e">
        <f ca="1">BBJSF_BBJUF!W12</f>
        <v>#NAME?</v>
      </c>
      <c r="V93" t="e">
        <f ca="1">BBJSF_BBJUF!X12</f>
        <v>#NAME?</v>
      </c>
      <c r="W93" t="e">
        <f ca="1">BBJSF_BBJUF!Y12</f>
        <v>#NAME?</v>
      </c>
      <c r="X93" t="e">
        <f ca="1">BBJSF_BBJUF!Z12</f>
        <v>#NAME?</v>
      </c>
      <c r="Y93" t="e">
        <f ca="1">BBJSF_BBJUF!AB12</f>
        <v>#NAME?</v>
      </c>
      <c r="Z93" t="e">
        <f ca="1">BBJSF_BBJUF!AC12</f>
        <v>#NAME?</v>
      </c>
      <c r="AA93" t="e">
        <f>BBJSF_BBJUF!#REF!</f>
        <v>#REF!</v>
      </c>
    </row>
    <row r="94" spans="1:27" x14ac:dyDescent="0.25">
      <c r="A94" t="str">
        <f>BBJSF_BBJUF!A13</f>
        <v>BBJSF_BBJUF</v>
      </c>
      <c r="B94" t="str">
        <f>BBJSF_BBJUF!B13</f>
        <v>Highland Gold Mining</v>
      </c>
      <c r="C94" t="str">
        <f>BBJSF_BBJUF!C13</f>
        <v xml:space="preserve">HGM LN Equity </v>
      </c>
      <c r="D94" t="e">
        <f ca="1">BBJSF_BBJUF!D13</f>
        <v>#NAME?</v>
      </c>
      <c r="E94">
        <f>BBJSF_BBJUF!E13</f>
        <v>106008</v>
      </c>
      <c r="F94">
        <f>BBJSF_BBJUF!F13</f>
        <v>0.49822598294468345</v>
      </c>
      <c r="G94" t="e">
        <f ca="1">BBJSF_BBJUF!G13</f>
        <v>#NAME?</v>
      </c>
      <c r="H94" t="e">
        <f ca="1">BBJSF_BBJUF!K13</f>
        <v>#NAME?</v>
      </c>
      <c r="I94" t="e">
        <f ca="1">BBJSF_BBJUF!L13</f>
        <v>#NAME?</v>
      </c>
      <c r="J94" t="e">
        <f ca="1">BBJSF_BBJUF!M13</f>
        <v>#NAME?</v>
      </c>
      <c r="K94" t="e">
        <f ca="1">BBJSF_BBJUF!N13</f>
        <v>#NAME?</v>
      </c>
      <c r="L94" t="e">
        <f ca="1">BBJSF_BBJUF!O13</f>
        <v>#NAME?</v>
      </c>
      <c r="M94" t="e">
        <f ca="1">BBJSF_BBJUF!P13</f>
        <v>#NAME?</v>
      </c>
      <c r="N94" t="e">
        <f ca="1">BBJSF_BBJUF!Q13</f>
        <v>#NAME?</v>
      </c>
      <c r="O94" t="e">
        <f ca="1">BBJSF_BBJUF!R13</f>
        <v>#NAME?</v>
      </c>
      <c r="P94" t="e">
        <f ca="1">BBJSF_BBJUF!S13</f>
        <v>#NAME?</v>
      </c>
      <c r="Q94" t="e">
        <f ca="1">BBJSF_BBJUF!T13</f>
        <v>#NAME?</v>
      </c>
      <c r="R94" t="e">
        <f ca="1">BBJSF_BBJUF!AA13</f>
        <v>#NAME?</v>
      </c>
      <c r="S94" t="e">
        <f ca="1">BBJSF_BBJUF!V13</f>
        <v>#NAME?</v>
      </c>
      <c r="T94" t="e">
        <f ca="1">BBJSF_BBJUF!U13</f>
        <v>#NAME?</v>
      </c>
      <c r="U94" t="e">
        <f ca="1">BBJSF_BBJUF!W13</f>
        <v>#NAME?</v>
      </c>
      <c r="V94" t="e">
        <f ca="1">BBJSF_BBJUF!X13</f>
        <v>#NAME?</v>
      </c>
      <c r="W94" t="e">
        <f ca="1">BBJSF_BBJUF!Y13</f>
        <v>#NAME?</v>
      </c>
      <c r="X94" t="e">
        <f ca="1">BBJSF_BBJUF!Z13</f>
        <v>#NAME?</v>
      </c>
      <c r="Y94" t="e">
        <f ca="1">BBJSF_BBJUF!AB13</f>
        <v>#NAME?</v>
      </c>
      <c r="Z94" t="e">
        <f ca="1">BBJSF_BBJUF!AC13</f>
        <v>#NAME?</v>
      </c>
      <c r="AA94" t="e">
        <f>BBJSF_BBJUF!#REF!</f>
        <v>#REF!</v>
      </c>
    </row>
    <row r="95" spans="1:27" x14ac:dyDescent="0.25">
      <c r="A95" t="str">
        <f>BBJSF_BBJUF!A14</f>
        <v>BBJSF_BBJUF</v>
      </c>
      <c r="B95" t="str">
        <f>BBJSF_BBJUF!B14</f>
        <v>Rusal</v>
      </c>
      <c r="C95" t="str">
        <f>BBJSF_BBJUF!C14</f>
        <v>RUALR RX Equity</v>
      </c>
      <c r="D95" t="e">
        <f ca="1">BBJSF_BBJUF!D14</f>
        <v>#NAME?</v>
      </c>
      <c r="E95">
        <f>BBJSF_BBJUF!E14</f>
        <v>13000</v>
      </c>
      <c r="F95">
        <f>BBJSF_BBJUF!F14</f>
        <v>219.11150000000001</v>
      </c>
      <c r="G95" t="e">
        <f ca="1">BBJSF_BBJUF!G14</f>
        <v>#NAME?</v>
      </c>
      <c r="H95" t="e">
        <f ca="1">BBJSF_BBJUF!K14</f>
        <v>#NAME?</v>
      </c>
      <c r="I95" t="e">
        <f ca="1">BBJSF_BBJUF!L14</f>
        <v>#NAME?</v>
      </c>
      <c r="J95" t="e">
        <f ca="1">BBJSF_BBJUF!M14</f>
        <v>#NAME?</v>
      </c>
      <c r="K95">
        <f>BBJSF_BBJUF!N14</f>
        <v>2848449.5</v>
      </c>
      <c r="L95" t="e">
        <f ca="1">BBJSF_BBJUF!O14</f>
        <v>#NAME?</v>
      </c>
      <c r="M95" t="e">
        <f ca="1">BBJSF_BBJUF!P14</f>
        <v>#NAME?</v>
      </c>
      <c r="N95" t="e">
        <f ca="1">BBJSF_BBJUF!Q14</f>
        <v>#NAME?</v>
      </c>
      <c r="O95" t="e">
        <f ca="1">BBJSF_BBJUF!R14</f>
        <v>#NAME?</v>
      </c>
      <c r="P95" t="e">
        <f ca="1">BBJSF_BBJUF!S14</f>
        <v>#NAME?</v>
      </c>
      <c r="Q95" t="e">
        <f ca="1">BBJSF_BBJUF!T14</f>
        <v>#NAME?</v>
      </c>
      <c r="R95" t="e">
        <f ca="1">BBJSF_BBJUF!AA14</f>
        <v>#NAME?</v>
      </c>
      <c r="S95" t="e">
        <f ca="1">BBJSF_BBJUF!V14</f>
        <v>#NAME?</v>
      </c>
      <c r="T95" t="e">
        <f ca="1">BBJSF_BBJUF!U14</f>
        <v>#NAME?</v>
      </c>
      <c r="U95" t="e">
        <f ca="1">BBJSF_BBJUF!W14</f>
        <v>#NAME?</v>
      </c>
      <c r="V95" t="e">
        <f ca="1">BBJSF_BBJUF!X14</f>
        <v>#NAME?</v>
      </c>
      <c r="W95" t="e">
        <f ca="1">BBJSF_BBJUF!Y14</f>
        <v>#NAME?</v>
      </c>
      <c r="X95" t="e">
        <f ca="1">BBJSF_BBJUF!Z14</f>
        <v>#NAME?</v>
      </c>
      <c r="Y95" t="e">
        <f ca="1">BBJSF_BBJUF!AB14</f>
        <v>#NAME?</v>
      </c>
      <c r="Z95" t="e">
        <f ca="1">BBJSF_BBJUF!AC14</f>
        <v>#NAME?</v>
      </c>
      <c r="AA95" t="e">
        <f>BBJSF_BBJUF!#REF!</f>
        <v>#REF!</v>
      </c>
    </row>
    <row r="96" spans="1:27" x14ac:dyDescent="0.25">
      <c r="A96" t="str">
        <f>BBJSF_BBJUF!A15</f>
        <v>BBJSF_BBJUF</v>
      </c>
      <c r="B96" t="str">
        <f>BBJSF_BBJUF!B15</f>
        <v xml:space="preserve">Bashneft </v>
      </c>
      <c r="C96" t="str">
        <f>BBJSF_BBJUF!C15</f>
        <v>BANE RX Equity</v>
      </c>
      <c r="D96" t="e">
        <f ca="1">BBJSF_BBJUF!D15</f>
        <v>#NAME?</v>
      </c>
      <c r="E96">
        <f>BBJSF_BBJUF!E15</f>
        <v>2794</v>
      </c>
      <c r="F96">
        <f>BBJSF_BBJUF!F15</f>
        <v>1801.9624194999999</v>
      </c>
      <c r="G96" t="e">
        <f ca="1">BBJSF_BBJUF!G15</f>
        <v>#NAME?</v>
      </c>
      <c r="H96" t="e">
        <f ca="1">BBJSF_BBJUF!K15</f>
        <v>#NAME?</v>
      </c>
      <c r="I96" t="e">
        <f ca="1">BBJSF_BBJUF!L15</f>
        <v>#NAME?</v>
      </c>
      <c r="J96" t="e">
        <f ca="1">BBJSF_BBJUF!M15</f>
        <v>#NAME?</v>
      </c>
      <c r="K96">
        <f>BBJSF_BBJUF!N15</f>
        <v>5034683.0000829995</v>
      </c>
      <c r="L96" t="e">
        <f ca="1">BBJSF_BBJUF!O15</f>
        <v>#NAME?</v>
      </c>
      <c r="M96" t="e">
        <f ca="1">BBJSF_BBJUF!P15</f>
        <v>#NAME?</v>
      </c>
      <c r="N96" t="e">
        <f ca="1">BBJSF_BBJUF!Q15</f>
        <v>#NAME?</v>
      </c>
      <c r="O96" t="e">
        <f ca="1">BBJSF_BBJUF!R15</f>
        <v>#NAME?</v>
      </c>
      <c r="P96" t="e">
        <f ca="1">BBJSF_BBJUF!S15</f>
        <v>#NAME?</v>
      </c>
      <c r="Q96" t="e">
        <f ca="1">BBJSF_BBJUF!T15</f>
        <v>#NAME?</v>
      </c>
      <c r="R96" t="e">
        <f ca="1">BBJSF_BBJUF!AA15</f>
        <v>#NAME?</v>
      </c>
      <c r="S96" t="e">
        <f ca="1">BBJSF_BBJUF!V15</f>
        <v>#NAME?</v>
      </c>
      <c r="T96" t="e">
        <f ca="1">BBJSF_BBJUF!U15</f>
        <v>#NAME?</v>
      </c>
      <c r="U96" t="e">
        <f ca="1">BBJSF_BBJUF!W15</f>
        <v>#NAME?</v>
      </c>
      <c r="V96" t="e">
        <f ca="1">BBJSF_BBJUF!X15</f>
        <v>#NAME?</v>
      </c>
      <c r="W96" t="e">
        <f ca="1">BBJSF_BBJUF!Y15</f>
        <v>#NAME?</v>
      </c>
      <c r="X96" t="e">
        <f ca="1">BBJSF_BBJUF!Z15</f>
        <v>#NAME?</v>
      </c>
      <c r="Y96" t="e">
        <f ca="1">BBJSF_BBJUF!AB15</f>
        <v>#NAME?</v>
      </c>
      <c r="Z96" t="e">
        <f ca="1">BBJSF_BBJUF!AC15</f>
        <v>#NAME?</v>
      </c>
      <c r="AA96" t="e">
        <f>BBJSF_BBJUF!#REF!</f>
        <v>#REF!</v>
      </c>
    </row>
    <row r="97" spans="1:27" x14ac:dyDescent="0.25">
      <c r="A97" t="str">
        <f>BBJSF_BBJUF!A17</f>
        <v>BBJSF_BBJUF</v>
      </c>
      <c r="B97" t="e">
        <f ca="1">BBJSF_BBJUF!B17</f>
        <v>#NAME?</v>
      </c>
      <c r="C97" t="str">
        <f>BBJSF_BBJUF!C17</f>
        <v>XS0918604496 Corp</v>
      </c>
      <c r="D97" t="e">
        <f ca="1">BBJSF_BBJUF!D17</f>
        <v>#NAME?</v>
      </c>
      <c r="E97">
        <f>BBJSF_BBJUF!E17</f>
        <v>200000</v>
      </c>
      <c r="F97">
        <f>BBJSF_BBJUF!F17</f>
        <v>88.2</v>
      </c>
      <c r="G97" t="e">
        <f ca="1">BBJSF_BBJUF!G17</f>
        <v>#NAME?</v>
      </c>
      <c r="H97" t="e">
        <f ca="1">BBJSF_BBJUF!K17</f>
        <v>#NAME?</v>
      </c>
      <c r="I97" t="e">
        <f ca="1">BBJSF_BBJUF!L17</f>
        <v>#NAME?</v>
      </c>
      <c r="J97" t="e">
        <f ca="1">BBJSF_BBJUF!M17</f>
        <v>#NAME?</v>
      </c>
      <c r="K97" t="e">
        <f ca="1">BBJSF_BBJUF!N17</f>
        <v>#NAME?</v>
      </c>
      <c r="L97">
        <f>BBJSF_BBJUF!O17</f>
        <v>176400</v>
      </c>
      <c r="M97" t="e">
        <f ca="1">BBJSF_BBJUF!P17</f>
        <v>#NAME?</v>
      </c>
      <c r="N97" t="e">
        <f ca="1">BBJSF_BBJUF!Q17</f>
        <v>#NAME?</v>
      </c>
      <c r="O97" t="e">
        <f ca="1">BBJSF_BBJUF!R17</f>
        <v>#NAME?</v>
      </c>
      <c r="P97" t="e">
        <f ca="1">BBJSF_BBJUF!S17</f>
        <v>#NAME?</v>
      </c>
      <c r="Q97" t="e">
        <f ca="1">BBJSF_BBJUF!T17</f>
        <v>#NAME?</v>
      </c>
      <c r="R97" t="e">
        <f ca="1">BBJSF_BBJUF!AA17</f>
        <v>#NAME?</v>
      </c>
      <c r="S97" t="e">
        <f ca="1">BBJSF_BBJUF!V17</f>
        <v>#NAME?</v>
      </c>
      <c r="T97" t="e">
        <f ca="1">BBJSF_BBJUF!U17</f>
        <v>#NAME?</v>
      </c>
      <c r="U97" t="e">
        <f ca="1">BBJSF_BBJUF!W17</f>
        <v>#NAME?</v>
      </c>
      <c r="V97" t="e">
        <f ca="1">BBJSF_BBJUF!X17</f>
        <v>#NAME?</v>
      </c>
      <c r="W97" t="e">
        <f ca="1">BBJSF_BBJUF!Y17</f>
        <v>#NAME?</v>
      </c>
      <c r="X97" t="e">
        <f ca="1">BBJSF_BBJUF!Z17</f>
        <v>#NAME?</v>
      </c>
      <c r="Y97">
        <f>BBJSF_BBJUF!AB17</f>
        <v>0</v>
      </c>
      <c r="Z97">
        <f>BBJSF_BBJUF!AC17</f>
        <v>0</v>
      </c>
      <c r="AA97" t="e">
        <f>BBJSF_BBJUF!#REF!</f>
        <v>#REF!</v>
      </c>
    </row>
    <row r="98" spans="1:27" x14ac:dyDescent="0.25">
      <c r="A98">
        <f>ELLQF!A4</f>
        <v>0</v>
      </c>
      <c r="B98" t="e">
        <f ca="1">ELLQF!B4</f>
        <v>#NAME?</v>
      </c>
      <c r="C98" t="str">
        <f>ELLQF!C4</f>
        <v>ALRS RM Equity</v>
      </c>
      <c r="D98">
        <f>ELLQF!D4</f>
        <v>1.8617115313807383E-2</v>
      </c>
      <c r="E98">
        <f>ELLQF!E4</f>
        <v>630300</v>
      </c>
      <c r="F98">
        <f>ELLQF!F4</f>
        <v>52.7</v>
      </c>
      <c r="G98" t="e">
        <f ca="1">ELLQF!G4</f>
        <v>#NAME?</v>
      </c>
      <c r="H98" t="e">
        <f ca="1">ELLQF!K4</f>
        <v>#NAME?</v>
      </c>
      <c r="I98">
        <f>ELLQF!L4</f>
        <v>0.8187938057197337</v>
      </c>
      <c r="J98">
        <f>ELLQF!M4</f>
        <v>0.82843628278099657</v>
      </c>
      <c r="K98">
        <f>ELLQF!N4</f>
        <v>33216659.75</v>
      </c>
      <c r="L98">
        <f>ELLQF!O4</f>
        <v>565256.23</v>
      </c>
      <c r="M98">
        <f>ELLQF!P4</f>
        <v>60414255</v>
      </c>
      <c r="N98">
        <f>ELLQF!Q4</f>
        <v>1033535</v>
      </c>
      <c r="O98">
        <f>ELLQF!R4</f>
        <v>27197595.25</v>
      </c>
      <c r="P98">
        <f>ELLQF!S4</f>
        <v>468278.77</v>
      </c>
      <c r="Q98" t="e">
        <f ca="1">ELLQF!T4</f>
        <v>#NAME?</v>
      </c>
      <c r="R98">
        <f>ELLQF!U4</f>
        <v>1005437.91</v>
      </c>
      <c r="S98" t="e">
        <f>ELLQF!#REF!</f>
        <v>#REF!</v>
      </c>
      <c r="T98" t="e">
        <f>ELLQF!#REF!</f>
        <v>#REF!</v>
      </c>
      <c r="U98" t="e">
        <f>ELLQF!#REF!</f>
        <v>#REF!</v>
      </c>
      <c r="V98" t="e">
        <f>ELLQF!#REF!</f>
        <v>#REF!</v>
      </c>
      <c r="W98" t="e">
        <f>ELLQF!#REF!</f>
        <v>#REF!</v>
      </c>
      <c r="X98" t="e">
        <f ca="1">ELLQF!V4</f>
        <v>#NAME?</v>
      </c>
      <c r="Y98" t="e">
        <f ca="1">ELLQF!W4</f>
        <v>#NAME?</v>
      </c>
    </row>
    <row r="99" spans="1:27" x14ac:dyDescent="0.25">
      <c r="A99">
        <f>ELLQF!A5</f>
        <v>0</v>
      </c>
      <c r="B99" t="e">
        <f ca="1">ELLQF!B5</f>
        <v>#NAME?</v>
      </c>
      <c r="C99" t="str">
        <f>ELLQF!C5</f>
        <v>BANEP RM Equity</v>
      </c>
      <c r="D99">
        <f>ELLQF!D5</f>
        <v>1.4037097976692036E-2</v>
      </c>
      <c r="E99">
        <f>ELLQF!E5</f>
        <v>35629</v>
      </c>
      <c r="F99">
        <f>ELLQF!F5</f>
        <v>897.74</v>
      </c>
      <c r="G99" t="e">
        <f ca="1">ELLQF!G5</f>
        <v>#NAME?</v>
      </c>
      <c r="H99" t="e">
        <f ca="1">ELLQF!K5</f>
        <v>#NAME?</v>
      </c>
      <c r="I99">
        <f>ELLQF!L5</f>
        <v>0.42413808395861174</v>
      </c>
      <c r="J99">
        <f>ELLQF!M5</f>
        <v>0.43168825196234928</v>
      </c>
      <c r="K99">
        <f>ELLQF!N5</f>
        <v>31985435.27</v>
      </c>
      <c r="L99">
        <f>ELLQF!O5</f>
        <v>544304.18000000005</v>
      </c>
      <c r="M99">
        <f>ELLQF!P5</f>
        <v>45551676.5</v>
      </c>
      <c r="N99">
        <f>ELLQF!Q5</f>
        <v>779273.9</v>
      </c>
      <c r="O99">
        <f>ELLQF!R5</f>
        <v>13566241.23</v>
      </c>
      <c r="P99">
        <f>ELLQF!S5</f>
        <v>234969.71999999997</v>
      </c>
      <c r="Q99" t="e">
        <f ca="1">ELLQF!T5</f>
        <v>#NAME?</v>
      </c>
      <c r="R99">
        <f>ELLQF!U5</f>
        <v>777223.1</v>
      </c>
      <c r="S99" t="e">
        <f>ELLQF!#REF!</f>
        <v>#REF!</v>
      </c>
      <c r="T99" t="e">
        <f>ELLQF!#REF!</f>
        <v>#REF!</v>
      </c>
      <c r="U99" t="e">
        <f>ELLQF!#REF!</f>
        <v>#REF!</v>
      </c>
      <c r="V99" t="e">
        <f>ELLQF!#REF!</f>
        <v>#REF!</v>
      </c>
      <c r="W99" t="e">
        <f>ELLQF!#REF!</f>
        <v>#REF!</v>
      </c>
      <c r="X99" t="e">
        <f ca="1">ELLQF!V5</f>
        <v>#NAME?</v>
      </c>
      <c r="Y99" t="e">
        <f ca="1">ELLQF!W5</f>
        <v>#NAME?</v>
      </c>
    </row>
    <row r="100" spans="1:27" x14ac:dyDescent="0.25">
      <c r="A100">
        <f>ELLQF!A6</f>
        <v>0</v>
      </c>
      <c r="B100" t="e">
        <f ca="1">ELLQF!B6</f>
        <v>#NAME?</v>
      </c>
      <c r="C100" t="str">
        <f>ELLQF!C6</f>
        <v>BSPB RM Equity</v>
      </c>
      <c r="D100">
        <f>ELLQF!D6</f>
        <v>2.4011158490816632E-3</v>
      </c>
      <c r="E100">
        <f>ELLQF!E6</f>
        <v>122417</v>
      </c>
      <c r="F100">
        <f>ELLQF!F6</f>
        <v>32.76</v>
      </c>
      <c r="G100" t="e">
        <f ca="1">ELLQF!G6</f>
        <v>#NAME?</v>
      </c>
      <c r="H100" t="e">
        <f ca="1">ELLQF!K6</f>
        <v>#NAME?</v>
      </c>
      <c r="I100">
        <f>ELLQF!L6</f>
        <v>0.94277229537283014</v>
      </c>
      <c r="J100">
        <f>ELLQF!M6</f>
        <v>0.95307218466953803</v>
      </c>
      <c r="K100">
        <f>ELLQF!N6</f>
        <v>4010682.09</v>
      </c>
      <c r="L100">
        <f>ELLQF!O6</f>
        <v>68250.78</v>
      </c>
      <c r="M100">
        <f>ELLQF!P6</f>
        <v>7791842.0499999998</v>
      </c>
      <c r="N100">
        <f>ELLQF!Q6</f>
        <v>133298.70000000001</v>
      </c>
      <c r="O100">
        <f>ELLQF!R6</f>
        <v>3781159.96</v>
      </c>
      <c r="P100">
        <f>ELLQF!S6</f>
        <v>65047.920000000013</v>
      </c>
      <c r="Q100" t="e">
        <f ca="1">ELLQF!T6</f>
        <v>#NAME?</v>
      </c>
      <c r="R100">
        <f>ELLQF!U6</f>
        <v>139781.16</v>
      </c>
      <c r="S100" t="e">
        <f>ELLQF!#REF!</f>
        <v>#REF!</v>
      </c>
      <c r="T100" t="e">
        <f>ELLQF!#REF!</f>
        <v>#REF!</v>
      </c>
      <c r="U100" t="e">
        <f>ELLQF!#REF!</f>
        <v>#REF!</v>
      </c>
      <c r="V100" t="e">
        <f>ELLQF!#REF!</f>
        <v>#REF!</v>
      </c>
      <c r="W100" t="e">
        <f>ELLQF!#REF!</f>
        <v>#REF!</v>
      </c>
      <c r="X100" t="e">
        <f ca="1">ELLQF!V6</f>
        <v>#NAME?</v>
      </c>
      <c r="Y100" t="e">
        <f ca="1">ELLQF!W6</f>
        <v>#NAME?</v>
      </c>
    </row>
    <row r="101" spans="1:27" x14ac:dyDescent="0.25">
      <c r="A101">
        <f>ELLQF!A7</f>
        <v>0</v>
      </c>
      <c r="B101" t="e">
        <f ca="1">ELLQF!B7</f>
        <v>#NAME?</v>
      </c>
      <c r="C101" t="str">
        <f>ELLQF!C7</f>
        <v>DIXY RM Equity</v>
      </c>
      <c r="D101">
        <f>ELLQF!D7</f>
        <v>1.7025711179681753E-3</v>
      </c>
      <c r="E101">
        <f>ELLQF!E7</f>
        <v>22100</v>
      </c>
      <c r="F101">
        <f>ELLQF!F7</f>
        <v>340</v>
      </c>
      <c r="G101" t="e">
        <f ca="1">ELLQF!G7</f>
        <v>#NAME?</v>
      </c>
      <c r="H101" t="e">
        <f ca="1">ELLQF!K7</f>
        <v>#NAME?</v>
      </c>
      <c r="I101">
        <f>ELLQF!L7</f>
        <v>-0.26470588235294112</v>
      </c>
      <c r="J101">
        <f>ELLQF!M7</f>
        <v>-0.26080762275859981</v>
      </c>
      <c r="K101">
        <f>ELLQF!N7</f>
        <v>7514000</v>
      </c>
      <c r="L101">
        <f>ELLQF!O7</f>
        <v>127867.62</v>
      </c>
      <c r="M101">
        <f>ELLQF!P7</f>
        <v>5525000</v>
      </c>
      <c r="N101">
        <f>ELLQF!Q7</f>
        <v>94518.77</v>
      </c>
      <c r="O101">
        <f>ELLQF!R7</f>
        <v>-1989000</v>
      </c>
      <c r="P101">
        <f>ELLQF!S7</f>
        <v>-33348.849999999991</v>
      </c>
      <c r="Q101" t="e">
        <f ca="1">ELLQF!T7</f>
        <v>#NAME?</v>
      </c>
      <c r="R101">
        <f>ELLQF!U7</f>
        <v>94159.55</v>
      </c>
      <c r="S101" t="e">
        <f>ELLQF!#REF!</f>
        <v>#REF!</v>
      </c>
      <c r="T101" t="e">
        <f>ELLQF!#REF!</f>
        <v>#REF!</v>
      </c>
      <c r="U101" t="e">
        <f>ELLQF!#REF!</f>
        <v>#REF!</v>
      </c>
      <c r="V101" t="e">
        <f>ELLQF!#REF!</f>
        <v>#REF!</v>
      </c>
      <c r="W101" t="e">
        <f>ELLQF!#REF!</f>
        <v>#REF!</v>
      </c>
      <c r="X101" t="e">
        <f ca="1">ELLQF!V7</f>
        <v>#NAME?</v>
      </c>
      <c r="Y101" t="e">
        <f ca="1">ELLQF!W7</f>
        <v>#NAME?</v>
      </c>
    </row>
    <row r="102" spans="1:27" x14ac:dyDescent="0.25">
      <c r="A102">
        <f>ELLQF!A8</f>
        <v>0</v>
      </c>
      <c r="B102" t="e">
        <f ca="1">ELLQF!B8</f>
        <v>#NAME?</v>
      </c>
      <c r="C102" t="str">
        <f>ELLQF!C8</f>
        <v>ETLN LI Equity</v>
      </c>
      <c r="D102">
        <f>ELLQF!D8</f>
        <v>2.1926944389623795E-2</v>
      </c>
      <c r="E102">
        <f>ELLQF!E8</f>
        <v>323745</v>
      </c>
      <c r="F102">
        <f>ELLQF!F8</f>
        <v>2.39</v>
      </c>
      <c r="G102" t="e">
        <f ca="1">ELLQF!G8</f>
        <v>#NAME?</v>
      </c>
      <c r="H102" t="e">
        <f ca="1">ELLQF!K8</f>
        <v>#NAME?</v>
      </c>
      <c r="I102">
        <f>ELLQF!L8</f>
        <v>1.2264860421751176</v>
      </c>
      <c r="J102">
        <f>ELLQF!M8</f>
        <v>0.57500746338381026</v>
      </c>
      <c r="K102">
        <f>ELLQF!N8</f>
        <v>31956223.75</v>
      </c>
      <c r="L102">
        <f>ELLQF!O8</f>
        <v>772873.29</v>
      </c>
      <c r="M102">
        <f>ELLQF!P8</f>
        <v>71150086.140000001</v>
      </c>
      <c r="N102">
        <f>ELLQF!Q8</f>
        <v>1217281.2</v>
      </c>
      <c r="O102">
        <f>ELLQF!R8</f>
        <v>39193862.390000001</v>
      </c>
      <c r="P102">
        <f>ELLQF!S8</f>
        <v>444407.90999999992</v>
      </c>
      <c r="Q102" t="e">
        <f ca="1">ELLQF!T8</f>
        <v>#NAME?</v>
      </c>
      <c r="R102">
        <f>ELLQF!U8</f>
        <v>1210806.3</v>
      </c>
      <c r="S102" t="e">
        <f>ELLQF!#REF!</f>
        <v>#REF!</v>
      </c>
      <c r="T102" t="e">
        <f>ELLQF!#REF!</f>
        <v>#REF!</v>
      </c>
      <c r="U102" t="e">
        <f>ELLQF!#REF!</f>
        <v>#REF!</v>
      </c>
      <c r="V102" t="e">
        <f>ELLQF!#REF!</f>
        <v>#REF!</v>
      </c>
      <c r="W102" t="e">
        <f>ELLQF!#REF!</f>
        <v>#REF!</v>
      </c>
      <c r="X102" t="e">
        <f ca="1">ELLQF!V8</f>
        <v>#NAME?</v>
      </c>
      <c r="Y102" t="e">
        <f ca="1">ELLQF!W8</f>
        <v>#NAME?</v>
      </c>
    </row>
    <row r="103" spans="1:27" x14ac:dyDescent="0.25">
      <c r="A103">
        <f>ELLQF!A9</f>
        <v>0</v>
      </c>
      <c r="B103" t="e">
        <f ca="1">ELLQF!B9</f>
        <v>#NAME?</v>
      </c>
      <c r="C103" t="str">
        <f>ELLQF!C9</f>
        <v>GAZP RM Equity</v>
      </c>
      <c r="D103">
        <f>ELLQF!D9</f>
        <v>1.9934422285560256E-2</v>
      </c>
      <c r="E103">
        <f>ELLQF!E9</f>
        <v>479889</v>
      </c>
      <c r="F103">
        <f>ELLQF!F9</f>
        <v>139.82</v>
      </c>
      <c r="G103" t="e">
        <f ca="1">ELLQF!G9</f>
        <v>#NAME?</v>
      </c>
      <c r="H103" t="e">
        <f ca="1">ELLQF!K9</f>
        <v>#NAME?</v>
      </c>
      <c r="I103">
        <f>ELLQF!L9</f>
        <v>-3.5921394673696261E-2</v>
      </c>
      <c r="J103">
        <f>ELLQF!M9</f>
        <v>-3.081025905859891E-2</v>
      </c>
      <c r="K103">
        <f>ELLQF!N9</f>
        <v>67099339.039999999</v>
      </c>
      <c r="L103">
        <f>ELLQF!O9</f>
        <v>1141846.29</v>
      </c>
      <c r="M103">
        <f>ELLQF!P9</f>
        <v>64689037.200000003</v>
      </c>
      <c r="N103">
        <f>ELLQF!Q9</f>
        <v>1106665.71</v>
      </c>
      <c r="O103">
        <f>ELLQF!R9</f>
        <v>-2410301.8399999961</v>
      </c>
      <c r="P103">
        <f>ELLQF!S9</f>
        <v>-35180.580000000075</v>
      </c>
      <c r="Q103" t="e">
        <f ca="1">ELLQF!T9</f>
        <v>#NAME?</v>
      </c>
      <c r="R103">
        <f>ELLQF!U9</f>
        <v>1076370.49</v>
      </c>
      <c r="S103" t="e">
        <f>ELLQF!#REF!</f>
        <v>#REF!</v>
      </c>
      <c r="T103" t="e">
        <f>ELLQF!#REF!</f>
        <v>#REF!</v>
      </c>
      <c r="U103" t="e">
        <f>ELLQF!#REF!</f>
        <v>#REF!</v>
      </c>
      <c r="V103" t="e">
        <f>ELLQF!#REF!</f>
        <v>#REF!</v>
      </c>
      <c r="W103" t="e">
        <f>ELLQF!#REF!</f>
        <v>#REF!</v>
      </c>
      <c r="X103" t="e">
        <f ca="1">ELLQF!V9</f>
        <v>#NAME?</v>
      </c>
      <c r="Y103" t="e">
        <f ca="1">ELLQF!W9</f>
        <v>#NAME?</v>
      </c>
    </row>
    <row r="104" spans="1:27" x14ac:dyDescent="0.25">
      <c r="A104">
        <f>ELLQF!A12</f>
        <v>0</v>
      </c>
      <c r="B104" t="e">
        <f ca="1">ELLQF!B12</f>
        <v>#NAME?</v>
      </c>
      <c r="C104" t="str">
        <f>ELLQF!C12</f>
        <v>HGM LN Equity</v>
      </c>
      <c r="D104">
        <f>ELLQF!D12</f>
        <v>0.19426998657082445</v>
      </c>
      <c r="E104">
        <f>ELLQF!E12</f>
        <v>5086969</v>
      </c>
      <c r="F104">
        <f>ELLQF!F12</f>
        <v>42.18</v>
      </c>
      <c r="G104" t="e">
        <f ca="1">ELLQF!G12</f>
        <v>#NAME?</v>
      </c>
      <c r="H104" t="e">
        <f ca="1">ELLQF!K12</f>
        <v>#NAME?</v>
      </c>
      <c r="I104">
        <f>ELLQF!L12</f>
        <v>5.2432597696909298</v>
      </c>
      <c r="J104">
        <f>ELLQF!M12</f>
        <v>3.0980041409566752</v>
      </c>
      <c r="K104">
        <f>ELLQF!N12</f>
        <v>100994546</v>
      </c>
      <c r="L104">
        <f>ELLQF!O12</f>
        <v>2631759</v>
      </c>
      <c r="M104">
        <f>ELLQF!P12</f>
        <v>630535186</v>
      </c>
      <c r="N104">
        <f>ELLQF!Q12</f>
        <v>10784959.279999999</v>
      </c>
      <c r="O104">
        <f>ELLQF!R12</f>
        <v>529540640</v>
      </c>
      <c r="P104">
        <f>ELLQF!S12</f>
        <v>8153200.2799999993</v>
      </c>
      <c r="Q104" t="e">
        <f ca="1">ELLQF!T12</f>
        <v>#NAME?</v>
      </c>
      <c r="R104">
        <f>ELLQF!U12</f>
        <v>11229533.67</v>
      </c>
      <c r="S104" t="e">
        <f>ELLQF!#REF!</f>
        <v>#REF!</v>
      </c>
      <c r="T104" t="e">
        <f>ELLQF!#REF!</f>
        <v>#REF!</v>
      </c>
      <c r="U104" t="e">
        <f>ELLQF!#REF!</f>
        <v>#REF!</v>
      </c>
      <c r="V104" t="e">
        <f>ELLQF!#REF!</f>
        <v>#REF!</v>
      </c>
      <c r="W104" t="e">
        <f>ELLQF!#REF!</f>
        <v>#REF!</v>
      </c>
      <c r="X104" t="e">
        <f ca="1">ELLQF!V12</f>
        <v>#NAME?</v>
      </c>
      <c r="Y104" t="e">
        <f ca="1">ELLQF!W12</f>
        <v>#NAME?</v>
      </c>
    </row>
    <row r="105" spans="1:27" x14ac:dyDescent="0.25">
      <c r="A105">
        <f>ELLQF!A13</f>
        <v>0</v>
      </c>
      <c r="B105" t="e">
        <f ca="1">ELLQF!B13</f>
        <v>#NAME?</v>
      </c>
      <c r="C105" t="str">
        <f>ELLQF!C13</f>
        <v>HMSG LI Equity</v>
      </c>
      <c r="D105">
        <f>ELLQF!D13</f>
        <v>8.6408590091611812E-3</v>
      </c>
      <c r="E105">
        <f>ELLQF!E13</f>
        <v>61500</v>
      </c>
      <c r="F105">
        <f>ELLQF!F13</f>
        <v>2.71</v>
      </c>
      <c r="G105" t="e">
        <f ca="1">ELLQF!G13</f>
        <v>#NAME?</v>
      </c>
      <c r="H105" t="e">
        <f ca="1">ELLQF!K13</f>
        <v>#NAME?</v>
      </c>
      <c r="I105">
        <f>ELLQF!L13</f>
        <v>1.976521437957842</v>
      </c>
      <c r="J105">
        <f>ELLQF!M13</f>
        <v>1.8749428622336612</v>
      </c>
      <c r="K105">
        <f>ELLQF!N13</f>
        <v>9419876.7200000007</v>
      </c>
      <c r="L105">
        <f>ELLQF!O13</f>
        <v>166855.49</v>
      </c>
      <c r="M105">
        <f>ELLQF!P13</f>
        <v>28038465</v>
      </c>
      <c r="N105">
        <f>ELLQF!Q13</f>
        <v>479700</v>
      </c>
      <c r="O105">
        <f>ELLQF!R13</f>
        <v>18618588.280000001</v>
      </c>
      <c r="P105">
        <f>ELLQF!S13</f>
        <v>312844.51</v>
      </c>
      <c r="Q105" t="e">
        <f ca="1">ELLQF!T13</f>
        <v>#NAME?</v>
      </c>
      <c r="R105">
        <f>ELLQF!U13</f>
        <v>479700</v>
      </c>
      <c r="S105" t="e">
        <f>ELLQF!#REF!</f>
        <v>#REF!</v>
      </c>
      <c r="T105" t="e">
        <f>ELLQF!#REF!</f>
        <v>#REF!</v>
      </c>
      <c r="U105" t="e">
        <f>ELLQF!#REF!</f>
        <v>#REF!</v>
      </c>
      <c r="V105" t="e">
        <f>ELLQF!#REF!</f>
        <v>#REF!</v>
      </c>
      <c r="W105" t="e">
        <f>ELLQF!#REF!</f>
        <v>#REF!</v>
      </c>
      <c r="X105" t="e">
        <f ca="1">ELLQF!V13</f>
        <v>#NAME?</v>
      </c>
      <c r="Y105" t="e">
        <f ca="1">ELLQF!W13</f>
        <v>#NAME?</v>
      </c>
    </row>
    <row r="106" spans="1:27" x14ac:dyDescent="0.25">
      <c r="A106" t="e">
        <f>ELLQF!#REF!</f>
        <v>#REF!</v>
      </c>
      <c r="B106" t="e">
        <f>ELLQF!#REF!</f>
        <v>#REF!</v>
      </c>
      <c r="C106" t="e">
        <f>ELLQF!#REF!</f>
        <v>#REF!</v>
      </c>
      <c r="D106" t="e">
        <f>ELLQF!#REF!</f>
        <v>#REF!</v>
      </c>
      <c r="E106" t="e">
        <f>ELLQF!#REF!</f>
        <v>#REF!</v>
      </c>
      <c r="F106" t="e">
        <f>ELLQF!#REF!</f>
        <v>#REF!</v>
      </c>
      <c r="G106" t="e">
        <f>ELLQF!#REF!</f>
        <v>#REF!</v>
      </c>
      <c r="H106" t="e">
        <f>ELLQF!#REF!</f>
        <v>#REF!</v>
      </c>
      <c r="I106" t="e">
        <f>ELLQF!#REF!</f>
        <v>#REF!</v>
      </c>
      <c r="J106" t="e">
        <f>ELLQF!#REF!</f>
        <v>#REF!</v>
      </c>
      <c r="K106" t="e">
        <f>ELLQF!#REF!</f>
        <v>#REF!</v>
      </c>
      <c r="L106" t="e">
        <f>ELLQF!#REF!</f>
        <v>#REF!</v>
      </c>
      <c r="M106" t="e">
        <f>ELLQF!#REF!</f>
        <v>#REF!</v>
      </c>
      <c r="N106" t="e">
        <f>ELLQF!#REF!</f>
        <v>#REF!</v>
      </c>
      <c r="O106" t="e">
        <f>ELLQF!#REF!</f>
        <v>#REF!</v>
      </c>
      <c r="P106" t="e">
        <f>ELLQF!#REF!</f>
        <v>#REF!</v>
      </c>
      <c r="Q106" t="e">
        <f>ELLQF!#REF!</f>
        <v>#REF!</v>
      </c>
      <c r="R106" t="e">
        <f>ELLQF!#REF!</f>
        <v>#REF!</v>
      </c>
      <c r="S106" t="e">
        <f>ELLQF!#REF!</f>
        <v>#REF!</v>
      </c>
      <c r="T106" t="e">
        <f>ELLQF!#REF!</f>
        <v>#REF!</v>
      </c>
      <c r="U106" t="e">
        <f>ELLQF!#REF!</f>
        <v>#REF!</v>
      </c>
      <c r="V106" t="e">
        <f>ELLQF!#REF!</f>
        <v>#REF!</v>
      </c>
      <c r="W106" t="e">
        <f>ELLQF!#REF!</f>
        <v>#REF!</v>
      </c>
      <c r="X106" t="e">
        <f>ELLQF!#REF!</f>
        <v>#REF!</v>
      </c>
      <c r="Y106" t="e">
        <f>ELLQF!#REF!</f>
        <v>#REF!</v>
      </c>
    </row>
    <row r="107" spans="1:27" x14ac:dyDescent="0.25">
      <c r="A107">
        <f>ELLQF!A14</f>
        <v>0</v>
      </c>
      <c r="B107" t="e">
        <f ca="1">ELLQF!B14</f>
        <v>#NAME?</v>
      </c>
      <c r="C107" t="str">
        <f>ELLQF!C14</f>
        <v>KCEL LI Equity</v>
      </c>
      <c r="D107">
        <f>ELLQF!D14</f>
        <v>1.5466666945460618E-2</v>
      </c>
      <c r="E107">
        <f>ELLQF!E14</f>
        <v>233961</v>
      </c>
      <c r="F107">
        <f>ELLQF!F14</f>
        <v>3.53</v>
      </c>
      <c r="G107" t="e">
        <f ca="1">ELLQF!G14</f>
        <v>#NAME?</v>
      </c>
      <c r="H107" t="e">
        <f ca="1">ELLQF!K14</f>
        <v>#NAME?</v>
      </c>
      <c r="I107">
        <f>ELLQF!L14</f>
        <v>-5.9075962150799466E-2</v>
      </c>
      <c r="J107">
        <f>ELLQF!M14</f>
        <v>3.8297204274461594E-2</v>
      </c>
      <c r="K107">
        <f>ELLQF!N14</f>
        <v>53338338.729999997</v>
      </c>
      <c r="L107">
        <f>ELLQF!O14</f>
        <v>826966.37</v>
      </c>
      <c r="M107">
        <f>ELLQF!P14</f>
        <v>50187325.049999997</v>
      </c>
      <c r="N107">
        <f>ELLQF!Q14</f>
        <v>858636.87</v>
      </c>
      <c r="O107">
        <f>ELLQF!R14</f>
        <v>-3151013.6799999997</v>
      </c>
      <c r="P107">
        <f>ELLQF!S14</f>
        <v>31670.5</v>
      </c>
      <c r="Q107" t="e">
        <f ca="1">ELLQF!T14</f>
        <v>#NAME?</v>
      </c>
      <c r="R107">
        <f>ELLQF!U14</f>
        <v>842259.6</v>
      </c>
      <c r="S107" t="e">
        <f>ELLQF!#REF!</f>
        <v>#REF!</v>
      </c>
      <c r="T107" t="e">
        <f>ELLQF!#REF!</f>
        <v>#REF!</v>
      </c>
      <c r="U107" t="e">
        <f>ELLQF!#REF!</f>
        <v>#REF!</v>
      </c>
      <c r="V107" t="e">
        <f>ELLQF!#REF!</f>
        <v>#REF!</v>
      </c>
      <c r="W107" t="e">
        <f>ELLQF!#REF!</f>
        <v>#REF!</v>
      </c>
      <c r="X107" t="e">
        <f ca="1">ELLQF!V14</f>
        <v>#NAME?</v>
      </c>
      <c r="Y107" t="e">
        <f ca="1">ELLQF!W14</f>
        <v>#NAME?</v>
      </c>
    </row>
    <row r="108" spans="1:27" x14ac:dyDescent="0.25">
      <c r="A108">
        <f>ELLQF!A15</f>
        <v>0</v>
      </c>
      <c r="B108" t="e">
        <f ca="1">ELLQF!B15</f>
        <v>#NAME?</v>
      </c>
      <c r="C108" t="str">
        <f>ELLQF!C15</f>
        <v>KMAZ RM Equity</v>
      </c>
      <c r="D108">
        <f>ELLQF!D15</f>
        <v>7.2624501582413585E-3</v>
      </c>
      <c r="E108">
        <f>ELLQF!E15</f>
        <v>408800</v>
      </c>
      <c r="F108">
        <f>ELLQF!F15</f>
        <v>29.73</v>
      </c>
      <c r="G108" t="e">
        <f ca="1">ELLQF!G15</f>
        <v>#NAME?</v>
      </c>
      <c r="H108" t="e">
        <f ca="1">ELLQF!K15</f>
        <v>#NAME?</v>
      </c>
      <c r="I108">
        <f>ELLQF!L15</f>
        <v>0.93926619683548451</v>
      </c>
      <c r="J108">
        <f>ELLQF!M15</f>
        <v>0.94954738639980341</v>
      </c>
      <c r="K108">
        <f>ELLQF!N15</f>
        <v>12152699.84</v>
      </c>
      <c r="L108">
        <f>ELLQF!O15</f>
        <v>206805.54</v>
      </c>
      <c r="M108">
        <f>ELLQF!P15</f>
        <v>23567320</v>
      </c>
      <c r="N108">
        <f>ELLQF!Q15</f>
        <v>403177.2</v>
      </c>
      <c r="O108">
        <f>ELLQF!R15</f>
        <v>11414620.16</v>
      </c>
      <c r="P108">
        <f>ELLQF!S15</f>
        <v>196371.66</v>
      </c>
      <c r="Q108" t="e">
        <f ca="1">ELLQF!T15</f>
        <v>#NAME?</v>
      </c>
      <c r="R108">
        <f>ELLQF!U15</f>
        <v>397116.42</v>
      </c>
      <c r="S108" t="e">
        <f>ELLQF!#REF!</f>
        <v>#REF!</v>
      </c>
      <c r="T108" t="e">
        <f>ELLQF!#REF!</f>
        <v>#REF!</v>
      </c>
      <c r="U108" t="e">
        <f>ELLQF!#REF!</f>
        <v>#REF!</v>
      </c>
      <c r="V108" t="e">
        <f>ELLQF!#REF!</f>
        <v>#REF!</v>
      </c>
      <c r="W108" t="e">
        <f>ELLQF!#REF!</f>
        <v>#REF!</v>
      </c>
      <c r="X108" t="e">
        <f ca="1">ELLQF!V15</f>
        <v>#NAME?</v>
      </c>
      <c r="Y108" t="e">
        <f ca="1">ELLQF!W15</f>
        <v>#NAME?</v>
      </c>
    </row>
    <row r="109" spans="1:27" x14ac:dyDescent="0.25">
      <c r="A109">
        <f>ELLQF!A16</f>
        <v>0</v>
      </c>
      <c r="B109" t="e">
        <f ca="1">ELLQF!B16</f>
        <v>#NAME?</v>
      </c>
      <c r="C109" t="str">
        <f>ELLQF!C16</f>
        <v>KMG LI Equity</v>
      </c>
      <c r="D109">
        <f>ELLQF!D16</f>
        <v>1.5002437020356531E-2</v>
      </c>
      <c r="E109">
        <f>ELLQF!E16</f>
        <v>79700</v>
      </c>
      <c r="F109">
        <f>ELLQF!F16</f>
        <v>9.6300000000000008</v>
      </c>
      <c r="G109" t="e">
        <f ca="1">ELLQF!G16</f>
        <v>#NAME?</v>
      </c>
      <c r="H109" t="e">
        <f ca="1">ELLQF!K16</f>
        <v>#NAME?</v>
      </c>
      <c r="I109">
        <f>ELLQF!L16</f>
        <v>0.24129419135357622</v>
      </c>
      <c r="J109">
        <f>ELLQF!M16</f>
        <v>8.4863521065029923E-2</v>
      </c>
      <c r="K109">
        <f>ELLQF!N16</f>
        <v>39217906.270000003</v>
      </c>
      <c r="L109">
        <f>ELLQF!O16</f>
        <v>767714.08</v>
      </c>
      <c r="M109">
        <f>ELLQF!P16</f>
        <v>48680959.25</v>
      </c>
      <c r="N109">
        <f>ELLQF!Q16</f>
        <v>832865</v>
      </c>
      <c r="O109">
        <f>ELLQF!R16</f>
        <v>9463052.9799999967</v>
      </c>
      <c r="P109">
        <f>ELLQF!S16</f>
        <v>65150.920000000042</v>
      </c>
      <c r="Q109" t="e">
        <f ca="1">ELLQF!T16</f>
        <v>#NAME?</v>
      </c>
      <c r="R109">
        <f>ELLQF!U16</f>
        <v>832865</v>
      </c>
      <c r="S109" t="e">
        <f>ELLQF!#REF!</f>
        <v>#REF!</v>
      </c>
      <c r="T109" t="e">
        <f>ELLQF!#REF!</f>
        <v>#REF!</v>
      </c>
      <c r="U109" t="e">
        <f>ELLQF!#REF!</f>
        <v>#REF!</v>
      </c>
      <c r="V109" t="e">
        <f>ELLQF!#REF!</f>
        <v>#REF!</v>
      </c>
      <c r="W109" t="e">
        <f>ELLQF!#REF!</f>
        <v>#REF!</v>
      </c>
      <c r="X109" t="e">
        <f ca="1">ELLQF!V16</f>
        <v>#NAME?</v>
      </c>
      <c r="Y109" t="e">
        <f ca="1">ELLQF!W16</f>
        <v>#NAME?</v>
      </c>
    </row>
    <row r="110" spans="1:27" x14ac:dyDescent="0.25">
      <c r="A110">
        <f>ELLQF!A17</f>
        <v>0</v>
      </c>
      <c r="B110" t="e">
        <f ca="1">ELLQF!B17</f>
        <v>#NAME?</v>
      </c>
      <c r="C110" t="str">
        <f>ELLQF!C17</f>
        <v>LKOH RM Equity</v>
      </c>
      <c r="D110">
        <f>ELLQF!D17</f>
        <v>5.595907495496974E-2</v>
      </c>
      <c r="E110">
        <f>ELLQF!E17</f>
        <v>58863</v>
      </c>
      <c r="F110">
        <f>ELLQF!F17</f>
        <v>2163.83</v>
      </c>
      <c r="G110" t="e">
        <f ca="1">ELLQF!G17</f>
        <v>#NAME?</v>
      </c>
      <c r="H110" t="e">
        <f ca="1">ELLQF!K17</f>
        <v>#NAME?</v>
      </c>
      <c r="I110">
        <f>ELLQF!L17</f>
        <v>0.4257123219733161</v>
      </c>
      <c r="J110">
        <f>ELLQF!M17</f>
        <v>0.43327084755299694</v>
      </c>
      <c r="K110">
        <f>ELLQF!N17</f>
        <v>127369562.70999999</v>
      </c>
      <c r="L110">
        <f>ELLQF!O17</f>
        <v>2167479.7999999998</v>
      </c>
      <c r="M110">
        <f>ELLQF!P17</f>
        <v>181592355</v>
      </c>
      <c r="N110">
        <f>ELLQF!Q17</f>
        <v>3106585.61</v>
      </c>
      <c r="O110">
        <f>ELLQF!R17</f>
        <v>54222792.290000007</v>
      </c>
      <c r="P110">
        <f>ELLQF!S17</f>
        <v>939105.81</v>
      </c>
      <c r="Q110" t="e">
        <f ca="1">ELLQF!T17</f>
        <v>#NAME?</v>
      </c>
      <c r="R110">
        <f>ELLQF!U17</f>
        <v>3120359.96</v>
      </c>
      <c r="S110" t="e">
        <f>ELLQF!#REF!</f>
        <v>#REF!</v>
      </c>
      <c r="T110" t="e">
        <f>ELLQF!#REF!</f>
        <v>#REF!</v>
      </c>
      <c r="U110" t="e">
        <f>ELLQF!#REF!</f>
        <v>#REF!</v>
      </c>
      <c r="V110" t="e">
        <f>ELLQF!#REF!</f>
        <v>#REF!</v>
      </c>
      <c r="W110" t="e">
        <f>ELLQF!#REF!</f>
        <v>#REF!</v>
      </c>
      <c r="X110" t="e">
        <f ca="1">ELLQF!V17</f>
        <v>#NAME?</v>
      </c>
      <c r="Y110" t="e">
        <f ca="1">ELLQF!W17</f>
        <v>#NAME?</v>
      </c>
    </row>
    <row r="111" spans="1:27" x14ac:dyDescent="0.25">
      <c r="A111">
        <f>ELLQF!A19</f>
        <v>0</v>
      </c>
      <c r="B111" t="e">
        <f ca="1">ELLQF!B19</f>
        <v>#NAME?</v>
      </c>
      <c r="C111" t="str">
        <f>ELLQF!C19</f>
        <v>LXFT US Equity</v>
      </c>
      <c r="D111">
        <f>ELLQF!D19</f>
        <v>2.7116842093790378E-3</v>
      </c>
      <c r="E111">
        <f>ELLQF!E19</f>
        <v>2600</v>
      </c>
      <c r="F111">
        <f>ELLQF!F19</f>
        <v>51.48</v>
      </c>
      <c r="G111" t="e">
        <f ca="1">ELLQF!G19</f>
        <v>#NAME?</v>
      </c>
      <c r="H111" t="e">
        <f ca="1">ELLQF!K19</f>
        <v>#NAME?</v>
      </c>
      <c r="I111">
        <f>ELLQF!L19</f>
        <v>3.2457400430933259E-2</v>
      </c>
      <c r="J111">
        <f>ELLQF!M19</f>
        <v>0.12480627464669913</v>
      </c>
      <c r="K111">
        <f>ELLQF!N19</f>
        <v>8522446.5399999991</v>
      </c>
      <c r="L111">
        <f>ELLQF!O19</f>
        <v>133836.38</v>
      </c>
      <c r="M111">
        <f>ELLQF!P19</f>
        <v>8799063</v>
      </c>
      <c r="N111">
        <f>ELLQF!Q19</f>
        <v>150540</v>
      </c>
      <c r="O111">
        <f>ELLQF!R19</f>
        <v>276616.46000000089</v>
      </c>
      <c r="P111">
        <f>ELLQF!S19</f>
        <v>16703.619999999995</v>
      </c>
      <c r="Q111" t="e">
        <f ca="1">ELLQF!T19</f>
        <v>#NAME?</v>
      </c>
      <c r="R111">
        <f>ELLQF!U19</f>
        <v>154700</v>
      </c>
      <c r="S111" t="e">
        <f>ELLQF!#REF!</f>
        <v>#REF!</v>
      </c>
      <c r="T111" t="e">
        <f>ELLQF!#REF!</f>
        <v>#REF!</v>
      </c>
      <c r="U111" t="e">
        <f>ELLQF!#REF!</f>
        <v>#REF!</v>
      </c>
      <c r="V111" t="e">
        <f>ELLQF!#REF!</f>
        <v>#REF!</v>
      </c>
      <c r="W111" t="e">
        <f>ELLQF!#REF!</f>
        <v>#REF!</v>
      </c>
      <c r="X111" t="e">
        <f ca="1">ELLQF!V19</f>
        <v>#NAME?</v>
      </c>
      <c r="Y111" t="e">
        <f ca="1">ELLQF!W19</f>
        <v>#NAME?</v>
      </c>
    </row>
    <row r="112" spans="1:27" x14ac:dyDescent="0.25">
      <c r="A112">
        <f>ELLQF!A20</f>
        <v>0</v>
      </c>
      <c r="B112" t="e">
        <f ca="1">ELLQF!B20</f>
        <v>#NAME?</v>
      </c>
      <c r="C112" t="str">
        <f>ELLQF!C20</f>
        <v>MFON RM Equity</v>
      </c>
      <c r="D112">
        <f>ELLQF!D20</f>
        <v>2.6881264573133192E-2</v>
      </c>
      <c r="E112">
        <f>ELLQF!E20</f>
        <v>132190</v>
      </c>
      <c r="F112">
        <f>ELLQF!F20</f>
        <v>691.07</v>
      </c>
      <c r="G112" t="e">
        <f ca="1">ELLQF!G20</f>
        <v>#NAME?</v>
      </c>
      <c r="H112" t="e">
        <f ca="1">ELLQF!K20</f>
        <v>#NAME?</v>
      </c>
      <c r="I112">
        <f>ELLQF!L20</f>
        <v>-4.5099342432012413E-2</v>
      </c>
      <c r="J112">
        <f>ELLQF!M20</f>
        <v>-4.0036869043505674E-2</v>
      </c>
      <c r="K112">
        <f>ELLQF!N20</f>
        <v>91352100.670000002</v>
      </c>
      <c r="L112">
        <f>ELLQF!O20</f>
        <v>1554561.62</v>
      </c>
      <c r="M112">
        <f>ELLQF!P20</f>
        <v>87232181</v>
      </c>
      <c r="N112">
        <f>ELLQF!Q20</f>
        <v>1492321.84</v>
      </c>
      <c r="O112">
        <f>ELLQF!R20</f>
        <v>-4119919.6700000018</v>
      </c>
      <c r="P112">
        <f>ELLQF!S20</f>
        <v>-62239.780000000028</v>
      </c>
      <c r="Q112" t="e">
        <f ca="1">ELLQF!T20</f>
        <v>#NAME?</v>
      </c>
      <c r="R112">
        <f>ELLQF!U20</f>
        <v>1490480.15</v>
      </c>
      <c r="S112" t="e">
        <f>ELLQF!#REF!</f>
        <v>#REF!</v>
      </c>
      <c r="T112" t="e">
        <f>ELLQF!#REF!</f>
        <v>#REF!</v>
      </c>
      <c r="U112" t="e">
        <f>ELLQF!#REF!</f>
        <v>#REF!</v>
      </c>
      <c r="V112" t="e">
        <f>ELLQF!#REF!</f>
        <v>#REF!</v>
      </c>
      <c r="W112" t="e">
        <f>ELLQF!#REF!</f>
        <v>#REF!</v>
      </c>
      <c r="X112" t="e">
        <f ca="1">ELLQF!V20</f>
        <v>#NAME?</v>
      </c>
      <c r="Y112" t="e">
        <f ca="1">ELLQF!W20</f>
        <v>#NAME?</v>
      </c>
    </row>
    <row r="113" spans="1:25" x14ac:dyDescent="0.25">
      <c r="A113" t="e">
        <f>ELLQF!#REF!</f>
        <v>#REF!</v>
      </c>
      <c r="B113" t="e">
        <f>ELLQF!#REF!</f>
        <v>#REF!</v>
      </c>
      <c r="C113" t="e">
        <f>ELLQF!#REF!</f>
        <v>#REF!</v>
      </c>
      <c r="D113" t="e">
        <f>ELLQF!#REF!</f>
        <v>#REF!</v>
      </c>
      <c r="E113" t="e">
        <f>ELLQF!#REF!</f>
        <v>#REF!</v>
      </c>
      <c r="F113" t="e">
        <f>ELLQF!#REF!</f>
        <v>#REF!</v>
      </c>
      <c r="G113" t="e">
        <f>ELLQF!#REF!</f>
        <v>#REF!</v>
      </c>
      <c r="H113" t="e">
        <f>ELLQF!#REF!</f>
        <v>#REF!</v>
      </c>
      <c r="I113" t="e">
        <f>ELLQF!#REF!</f>
        <v>#REF!</v>
      </c>
      <c r="J113" t="e">
        <f>ELLQF!#REF!</f>
        <v>#REF!</v>
      </c>
      <c r="K113" t="e">
        <f>ELLQF!#REF!</f>
        <v>#REF!</v>
      </c>
      <c r="L113" t="e">
        <f>ELLQF!#REF!</f>
        <v>#REF!</v>
      </c>
      <c r="M113" t="e">
        <f>ELLQF!#REF!</f>
        <v>#REF!</v>
      </c>
      <c r="N113" t="e">
        <f>ELLQF!#REF!</f>
        <v>#REF!</v>
      </c>
      <c r="O113" t="e">
        <f>ELLQF!#REF!</f>
        <v>#REF!</v>
      </c>
      <c r="P113" t="e">
        <f>ELLQF!#REF!</f>
        <v>#REF!</v>
      </c>
      <c r="Q113" t="e">
        <f>ELLQF!#REF!</f>
        <v>#REF!</v>
      </c>
      <c r="R113" t="e">
        <f>ELLQF!#REF!</f>
        <v>#REF!</v>
      </c>
      <c r="S113" t="e">
        <f>ELLQF!#REF!</f>
        <v>#REF!</v>
      </c>
      <c r="T113" t="e">
        <f>ELLQF!#REF!</f>
        <v>#REF!</v>
      </c>
      <c r="U113" t="e">
        <f>ELLQF!#REF!</f>
        <v>#REF!</v>
      </c>
      <c r="V113" t="e">
        <f>ELLQF!#REF!</f>
        <v>#REF!</v>
      </c>
      <c r="W113" t="e">
        <f>ELLQF!#REF!</f>
        <v>#REF!</v>
      </c>
      <c r="X113" t="e">
        <f>ELLQF!#REF!</f>
        <v>#REF!</v>
      </c>
      <c r="Y113" t="e">
        <f>ELLQF!#REF!</f>
        <v>#REF!</v>
      </c>
    </row>
    <row r="114" spans="1:25" x14ac:dyDescent="0.25">
      <c r="A114">
        <f>ELLQF!A21</f>
        <v>0</v>
      </c>
      <c r="B114" t="e">
        <f ca="1">ELLQF!B21</f>
        <v>#NAME?</v>
      </c>
      <c r="C114" t="str">
        <f>ELLQF!C21</f>
        <v>MHPC LI Equity</v>
      </c>
      <c r="D114">
        <f>ELLQF!D21</f>
        <v>2.0038614977572144E-3</v>
      </c>
      <c r="E114">
        <f>ELLQF!E21</f>
        <v>11710</v>
      </c>
      <c r="F114">
        <f>ELLQF!F21</f>
        <v>9.08</v>
      </c>
      <c r="G114" t="e">
        <f ca="1">ELLQF!G21</f>
        <v>#NAME?</v>
      </c>
      <c r="H114" t="e">
        <f ca="1">ELLQF!K21</f>
        <v>#NAME?</v>
      </c>
      <c r="I114">
        <f>ELLQF!L21</f>
        <v>6.6882168454500013E-2</v>
      </c>
      <c r="J114">
        <f>ELLQF!M21</f>
        <v>4.6119535507692211E-2</v>
      </c>
      <c r="K114">
        <f>ELLQF!N21</f>
        <v>6094647.04</v>
      </c>
      <c r="L114">
        <f>ELLQF!O21</f>
        <v>106340.62</v>
      </c>
      <c r="M114">
        <f>ELLQF!P21</f>
        <v>6502270.25</v>
      </c>
      <c r="N114">
        <f>ELLQF!Q21</f>
        <v>111245</v>
      </c>
      <c r="O114">
        <f>ELLQF!R21</f>
        <v>407623.20999999996</v>
      </c>
      <c r="P114">
        <f>ELLQF!S21</f>
        <v>4904.3800000000047</v>
      </c>
      <c r="Q114" t="e">
        <f ca="1">ELLQF!T21</f>
        <v>#NAME?</v>
      </c>
      <c r="R114">
        <f>ELLQF!U21</f>
        <v>52772.5</v>
      </c>
      <c r="S114" t="e">
        <f>ELLQF!#REF!</f>
        <v>#REF!</v>
      </c>
      <c r="T114" t="e">
        <f>ELLQF!#REF!</f>
        <v>#REF!</v>
      </c>
      <c r="U114" t="e">
        <f>ELLQF!#REF!</f>
        <v>#REF!</v>
      </c>
      <c r="V114" t="e">
        <f>ELLQF!#REF!</f>
        <v>#REF!</v>
      </c>
      <c r="W114" t="e">
        <f>ELLQF!#REF!</f>
        <v>#REF!</v>
      </c>
      <c r="X114" t="e">
        <f ca="1">ELLQF!V21</f>
        <v>#NAME?</v>
      </c>
      <c r="Y114" t="e">
        <f ca="1">ELLQF!W21</f>
        <v>#NAME?</v>
      </c>
    </row>
    <row r="115" spans="1:25" x14ac:dyDescent="0.25">
      <c r="A115" t="e">
        <f>ELLQF!#REF!</f>
        <v>#REF!</v>
      </c>
      <c r="B115" t="e">
        <f>ELLQF!#REF!</f>
        <v>#REF!</v>
      </c>
      <c r="C115" t="e">
        <f>ELLQF!#REF!</f>
        <v>#REF!</v>
      </c>
      <c r="D115" t="e">
        <f>ELLQF!#REF!</f>
        <v>#REF!</v>
      </c>
      <c r="E115" t="e">
        <f>ELLQF!#REF!</f>
        <v>#REF!</v>
      </c>
      <c r="F115" t="e">
        <f>ELLQF!#REF!</f>
        <v>#REF!</v>
      </c>
      <c r="G115" t="e">
        <f>ELLQF!#REF!</f>
        <v>#REF!</v>
      </c>
      <c r="H115" t="e">
        <f>ELLQF!#REF!</f>
        <v>#REF!</v>
      </c>
      <c r="I115" t="e">
        <f>ELLQF!#REF!</f>
        <v>#REF!</v>
      </c>
      <c r="J115" t="e">
        <f>ELLQF!#REF!</f>
        <v>#REF!</v>
      </c>
      <c r="K115" t="e">
        <f>ELLQF!#REF!</f>
        <v>#REF!</v>
      </c>
      <c r="L115" t="e">
        <f>ELLQF!#REF!</f>
        <v>#REF!</v>
      </c>
      <c r="M115" t="e">
        <f>ELLQF!#REF!</f>
        <v>#REF!</v>
      </c>
      <c r="N115" t="e">
        <f>ELLQF!#REF!</f>
        <v>#REF!</v>
      </c>
      <c r="O115" t="e">
        <f>ELLQF!#REF!</f>
        <v>#REF!</v>
      </c>
      <c r="P115" t="e">
        <f>ELLQF!#REF!</f>
        <v>#REF!</v>
      </c>
      <c r="Q115" t="e">
        <f>ELLQF!#REF!</f>
        <v>#REF!</v>
      </c>
      <c r="R115" t="e">
        <f>ELLQF!#REF!</f>
        <v>#REF!</v>
      </c>
      <c r="S115" t="e">
        <f>ELLQF!#REF!</f>
        <v>#REF!</v>
      </c>
      <c r="T115" t="e">
        <f>ELLQF!#REF!</f>
        <v>#REF!</v>
      </c>
      <c r="U115" t="e">
        <f>ELLQF!#REF!</f>
        <v>#REF!</v>
      </c>
      <c r="V115" t="e">
        <f>ELLQF!#REF!</f>
        <v>#REF!</v>
      </c>
      <c r="W115" t="e">
        <f>ELLQF!#REF!</f>
        <v>#REF!</v>
      </c>
      <c r="X115" t="e">
        <f>ELLQF!#REF!</f>
        <v>#REF!</v>
      </c>
      <c r="Y115" t="e">
        <f>ELLQF!#REF!</f>
        <v>#REF!</v>
      </c>
    </row>
    <row r="116" spans="1:25" x14ac:dyDescent="0.25">
      <c r="A116" t="e">
        <f>ELLQF!#REF!</f>
        <v>#REF!</v>
      </c>
      <c r="B116" t="e">
        <f>ELLQF!#REF!</f>
        <v>#REF!</v>
      </c>
      <c r="C116" t="e">
        <f>ELLQF!#REF!</f>
        <v>#REF!</v>
      </c>
      <c r="D116" t="e">
        <f>ELLQF!#REF!</f>
        <v>#REF!</v>
      </c>
      <c r="E116" t="e">
        <f>ELLQF!#REF!</f>
        <v>#REF!</v>
      </c>
      <c r="F116" t="e">
        <f>ELLQF!#REF!</f>
        <v>#REF!</v>
      </c>
      <c r="G116" t="e">
        <f>ELLQF!#REF!</f>
        <v>#REF!</v>
      </c>
      <c r="H116" t="e">
        <f>ELLQF!#REF!</f>
        <v>#REF!</v>
      </c>
      <c r="I116" t="e">
        <f>ELLQF!#REF!</f>
        <v>#REF!</v>
      </c>
      <c r="J116" t="e">
        <f>ELLQF!#REF!</f>
        <v>#REF!</v>
      </c>
      <c r="K116" t="e">
        <f>ELLQF!#REF!</f>
        <v>#REF!</v>
      </c>
      <c r="L116" t="e">
        <f>ELLQF!#REF!</f>
        <v>#REF!</v>
      </c>
      <c r="M116" t="e">
        <f>ELLQF!#REF!</f>
        <v>#REF!</v>
      </c>
      <c r="N116" t="e">
        <f>ELLQF!#REF!</f>
        <v>#REF!</v>
      </c>
      <c r="O116" t="e">
        <f>ELLQF!#REF!</f>
        <v>#REF!</v>
      </c>
      <c r="P116" t="e">
        <f>ELLQF!#REF!</f>
        <v>#REF!</v>
      </c>
      <c r="Q116" t="e">
        <f>ELLQF!#REF!</f>
        <v>#REF!</v>
      </c>
      <c r="R116" t="e">
        <f>ELLQF!#REF!</f>
        <v>#REF!</v>
      </c>
      <c r="S116" t="e">
        <f>ELLQF!#REF!</f>
        <v>#REF!</v>
      </c>
      <c r="T116" t="e">
        <f>ELLQF!#REF!</f>
        <v>#REF!</v>
      </c>
      <c r="U116" t="e">
        <f>ELLQF!#REF!</f>
        <v>#REF!</v>
      </c>
      <c r="V116" t="e">
        <f>ELLQF!#REF!</f>
        <v>#REF!</v>
      </c>
      <c r="W116" t="e">
        <f>ELLQF!#REF!</f>
        <v>#REF!</v>
      </c>
      <c r="X116" t="e">
        <f>ELLQF!#REF!</f>
        <v>#REF!</v>
      </c>
      <c r="Y116" t="e">
        <f>ELLQF!#REF!</f>
        <v>#REF!</v>
      </c>
    </row>
    <row r="117" spans="1:25" x14ac:dyDescent="0.25">
      <c r="A117">
        <f>ELLQF!A22</f>
        <v>0</v>
      </c>
      <c r="B117" t="e">
        <f ca="1">ELLQF!B22</f>
        <v>#NAME?</v>
      </c>
      <c r="C117" t="str">
        <f>ELLQF!C22</f>
        <v>MRKV RM Equity</v>
      </c>
      <c r="D117">
        <f>ELLQF!D22</f>
        <v>1.8560031965464603E-4</v>
      </c>
      <c r="E117">
        <f>ELLQF!E22</f>
        <v>11300000</v>
      </c>
      <c r="F117">
        <f>ELLQF!F22</f>
        <v>0.02</v>
      </c>
      <c r="G117" t="e">
        <f ca="1">ELLQF!G22</f>
        <v>#NAME?</v>
      </c>
      <c r="H117" t="e">
        <f ca="1">ELLQF!K22</f>
        <v>#NAME?</v>
      </c>
      <c r="I117">
        <f>ELLQF!L22</f>
        <v>1.1916117623569309</v>
      </c>
      <c r="J117">
        <f>ELLQF!M22</f>
        <v>1.2032326835036491</v>
      </c>
      <c r="K117">
        <f>ELLQF!N22</f>
        <v>274816.01</v>
      </c>
      <c r="L117">
        <f>ELLQF!O22</f>
        <v>4676.6099999999997</v>
      </c>
      <c r="M117">
        <f>ELLQF!P22</f>
        <v>602290</v>
      </c>
      <c r="N117">
        <f>ELLQF!Q22</f>
        <v>10303.66</v>
      </c>
      <c r="O117">
        <f>ELLQF!R22</f>
        <v>327473.99</v>
      </c>
      <c r="P117">
        <f>ELLQF!S22</f>
        <v>5627.05</v>
      </c>
      <c r="Q117" t="e">
        <f ca="1">ELLQF!T22</f>
        <v>#NAME?</v>
      </c>
      <c r="R117">
        <f>ELLQF!U22</f>
        <v>10399.299999999999</v>
      </c>
      <c r="S117" t="e">
        <f>ELLQF!#REF!</f>
        <v>#REF!</v>
      </c>
      <c r="T117" t="e">
        <f>ELLQF!#REF!</f>
        <v>#REF!</v>
      </c>
      <c r="U117" t="e">
        <f>ELLQF!#REF!</f>
        <v>#REF!</v>
      </c>
      <c r="V117" t="e">
        <f>ELLQF!#REF!</f>
        <v>#REF!</v>
      </c>
      <c r="W117" t="e">
        <f>ELLQF!#REF!</f>
        <v>#REF!</v>
      </c>
      <c r="X117" t="e">
        <f ca="1">ELLQF!V22</f>
        <v>#NAME?</v>
      </c>
      <c r="Y117" t="e">
        <f ca="1">ELLQF!W22</f>
        <v>#NAME?</v>
      </c>
    </row>
    <row r="118" spans="1:25" x14ac:dyDescent="0.25">
      <c r="A118">
        <f>ELLQF!A23</f>
        <v>0</v>
      </c>
      <c r="B118" t="e">
        <f ca="1">ELLQF!B23</f>
        <v>#NAME?</v>
      </c>
      <c r="C118" t="str">
        <f>ELLQF!C23</f>
        <v>MTSS RM Equity</v>
      </c>
      <c r="D118">
        <f>ELLQF!D23</f>
        <v>2.8841737142105087E-2</v>
      </c>
      <c r="E118">
        <f>ELLQF!E23</f>
        <v>340900</v>
      </c>
      <c r="F118">
        <f>ELLQF!F23</f>
        <v>223.86</v>
      </c>
      <c r="G118" t="e">
        <f ca="1">ELLQF!G23</f>
        <v>#NAME?</v>
      </c>
      <c r="H118" t="e">
        <f ca="1">ELLQF!K23</f>
        <v>#NAME?</v>
      </c>
      <c r="I118">
        <f>ELLQF!L23</f>
        <v>0.22645678675979974</v>
      </c>
      <c r="J118">
        <f>ELLQF!M23</f>
        <v>0.23295894405683537</v>
      </c>
      <c r="K118">
        <f>ELLQF!N23</f>
        <v>76312590.879999995</v>
      </c>
      <c r="L118">
        <f>ELLQF!O23</f>
        <v>1298630.5</v>
      </c>
      <c r="M118">
        <f>ELLQF!P23</f>
        <v>93594095</v>
      </c>
      <c r="N118">
        <f>ELLQF!Q23</f>
        <v>1601158.09</v>
      </c>
      <c r="O118">
        <f>ELLQF!R23</f>
        <v>17281504.120000005</v>
      </c>
      <c r="P118">
        <f>ELLQF!S23</f>
        <v>302527.59000000008</v>
      </c>
      <c r="Q118" t="e">
        <f ca="1">ELLQF!T23</f>
        <v>#NAME?</v>
      </c>
      <c r="R118">
        <f>ELLQF!U23</f>
        <v>1598268.32</v>
      </c>
      <c r="S118" t="e">
        <f>ELLQF!#REF!</f>
        <v>#REF!</v>
      </c>
      <c r="T118" t="e">
        <f>ELLQF!#REF!</f>
        <v>#REF!</v>
      </c>
      <c r="U118" t="e">
        <f>ELLQF!#REF!</f>
        <v>#REF!</v>
      </c>
      <c r="V118" t="e">
        <f>ELLQF!#REF!</f>
        <v>#REF!</v>
      </c>
      <c r="W118" t="e">
        <f>ELLQF!#REF!</f>
        <v>#REF!</v>
      </c>
      <c r="X118" t="e">
        <f ca="1">ELLQF!V23</f>
        <v>#NAME?</v>
      </c>
      <c r="Y118" t="e">
        <f ca="1">ELLQF!W23</f>
        <v>#NAME?</v>
      </c>
    </row>
    <row r="119" spans="1:25" x14ac:dyDescent="0.25">
      <c r="A119">
        <f>ELLQF!A24</f>
        <v>0</v>
      </c>
      <c r="B119" t="e">
        <f ca="1">ELLQF!B24</f>
        <v>#NAME?</v>
      </c>
      <c r="C119" t="str">
        <f>ELLQF!C24</f>
        <v>MVID RM Equity</v>
      </c>
      <c r="D119">
        <f>ELLQF!D24</f>
        <v>4.0297971029016194E-2</v>
      </c>
      <c r="E119">
        <f>ELLQF!E24</f>
        <v>343230</v>
      </c>
      <c r="F119">
        <f>ELLQF!F24</f>
        <v>173.72</v>
      </c>
      <c r="G119" t="e">
        <f ca="1">ELLQF!G24</f>
        <v>#NAME?</v>
      </c>
      <c r="H119" t="e">
        <f ca="1">ELLQF!K24</f>
        <v>#NAME?</v>
      </c>
      <c r="I119">
        <f>ELLQF!L24</f>
        <v>1.1931326911949789</v>
      </c>
      <c r="J119">
        <f>ELLQF!M24</f>
        <v>1.2047597544518633</v>
      </c>
      <c r="K119">
        <f>ELLQF!N24</f>
        <v>59627322.380000003</v>
      </c>
      <c r="L119">
        <f>ELLQF!O24</f>
        <v>1014693.1</v>
      </c>
      <c r="M119">
        <f>ELLQF!P24</f>
        <v>130770630</v>
      </c>
      <c r="N119">
        <f>ELLQF!Q24</f>
        <v>2237154.5099999998</v>
      </c>
      <c r="O119">
        <f>ELLQF!R24</f>
        <v>71143307.620000005</v>
      </c>
      <c r="P119">
        <f>ELLQF!S24</f>
        <v>1222461.4099999997</v>
      </c>
      <c r="Q119" t="e">
        <f ca="1">ELLQF!T24</f>
        <v>#NAME?</v>
      </c>
      <c r="R119">
        <f>ELLQF!U24</f>
        <v>2194140.34</v>
      </c>
      <c r="S119" t="e">
        <f>ELLQF!#REF!</f>
        <v>#REF!</v>
      </c>
      <c r="T119" t="e">
        <f>ELLQF!#REF!</f>
        <v>#REF!</v>
      </c>
      <c r="U119" t="e">
        <f>ELLQF!#REF!</f>
        <v>#REF!</v>
      </c>
      <c r="V119" t="e">
        <f>ELLQF!#REF!</f>
        <v>#REF!</v>
      </c>
      <c r="W119" t="e">
        <f>ELLQF!#REF!</f>
        <v>#REF!</v>
      </c>
      <c r="X119" t="e">
        <f ca="1">ELLQF!V24</f>
        <v>#NAME?</v>
      </c>
      <c r="Y119" t="e">
        <f ca="1">ELLQF!W24</f>
        <v>#NAME?</v>
      </c>
    </row>
    <row r="120" spans="1:25" x14ac:dyDescent="0.25">
      <c r="A120" t="e">
        <f>ELLQF!#REF!</f>
        <v>#REF!</v>
      </c>
      <c r="B120" t="e">
        <f>ELLQF!#REF!</f>
        <v>#REF!</v>
      </c>
      <c r="C120" t="e">
        <f>ELLQF!#REF!</f>
        <v>#REF!</v>
      </c>
      <c r="D120" t="e">
        <f>ELLQF!#REF!</f>
        <v>#REF!</v>
      </c>
      <c r="E120" t="e">
        <f>ELLQF!#REF!</f>
        <v>#REF!</v>
      </c>
      <c r="F120" t="e">
        <f>ELLQF!#REF!</f>
        <v>#REF!</v>
      </c>
      <c r="G120" t="e">
        <f>ELLQF!#REF!</f>
        <v>#REF!</v>
      </c>
      <c r="H120" t="e">
        <f>ELLQF!#REF!</f>
        <v>#REF!</v>
      </c>
      <c r="I120" t="e">
        <f>ELLQF!#REF!</f>
        <v>#REF!</v>
      </c>
      <c r="J120" t="e">
        <f>ELLQF!#REF!</f>
        <v>#REF!</v>
      </c>
      <c r="K120" t="e">
        <f>ELLQF!#REF!</f>
        <v>#REF!</v>
      </c>
      <c r="L120" t="e">
        <f>ELLQF!#REF!</f>
        <v>#REF!</v>
      </c>
      <c r="M120" t="e">
        <f>ELLQF!#REF!</f>
        <v>#REF!</v>
      </c>
      <c r="N120" t="e">
        <f>ELLQF!#REF!</f>
        <v>#REF!</v>
      </c>
      <c r="O120" t="e">
        <f>ELLQF!#REF!</f>
        <v>#REF!</v>
      </c>
      <c r="P120" t="e">
        <f>ELLQF!#REF!</f>
        <v>#REF!</v>
      </c>
      <c r="Q120" t="e">
        <f>ELLQF!#REF!</f>
        <v>#REF!</v>
      </c>
      <c r="R120" t="e">
        <f>ELLQF!#REF!</f>
        <v>#REF!</v>
      </c>
      <c r="S120" t="e">
        <f>ELLQF!#REF!</f>
        <v>#REF!</v>
      </c>
      <c r="T120" t="e">
        <f>ELLQF!#REF!</f>
        <v>#REF!</v>
      </c>
      <c r="U120" t="e">
        <f>ELLQF!#REF!</f>
        <v>#REF!</v>
      </c>
      <c r="V120" t="e">
        <f>ELLQF!#REF!</f>
        <v>#REF!</v>
      </c>
      <c r="W120" t="e">
        <f>ELLQF!#REF!</f>
        <v>#REF!</v>
      </c>
      <c r="X120" t="e">
        <f>ELLQF!#REF!</f>
        <v>#REF!</v>
      </c>
      <c r="Y120" t="e">
        <f>ELLQF!#REF!</f>
        <v>#REF!</v>
      </c>
    </row>
    <row r="121" spans="1:25" x14ac:dyDescent="0.25">
      <c r="A121">
        <f>ELLQF!A27</f>
        <v>0</v>
      </c>
      <c r="B121" t="e">
        <f ca="1">ELLQF!B27</f>
        <v>#NAME?</v>
      </c>
      <c r="C121" t="str">
        <f>ELLQF!C27</f>
        <v>NMTP RM Equity</v>
      </c>
      <c r="D121">
        <f>ELLQF!D27</f>
        <v>2.2841622456992887E-2</v>
      </c>
      <c r="E121">
        <f>ELLQF!E27</f>
        <v>12101742</v>
      </c>
      <c r="F121">
        <f>ELLQF!F27</f>
        <v>1.46</v>
      </c>
      <c r="G121" t="e">
        <f ca="1">ELLQF!G27</f>
        <v>#NAME?</v>
      </c>
      <c r="H121" t="e">
        <f ca="1">ELLQF!K27</f>
        <v>#NAME?</v>
      </c>
      <c r="I121">
        <f>ELLQF!L27</f>
        <v>3.1813860896977602</v>
      </c>
      <c r="J121">
        <f>ELLQF!M27</f>
        <v>3.2035540632095856</v>
      </c>
      <c r="K121">
        <f>ELLQF!N27</f>
        <v>17726937.469999999</v>
      </c>
      <c r="L121">
        <f>ELLQF!O27</f>
        <v>301663.74</v>
      </c>
      <c r="M121">
        <f>ELLQF!P27</f>
        <v>74123169.75</v>
      </c>
      <c r="N121">
        <f>ELLQF!Q27</f>
        <v>1268059.8400000001</v>
      </c>
      <c r="O121">
        <f>ELLQF!R27</f>
        <v>56396232.280000001</v>
      </c>
      <c r="P121">
        <f>ELLQF!S27</f>
        <v>966396.10000000009</v>
      </c>
      <c r="Q121" t="e">
        <f ca="1">ELLQF!T27</f>
        <v>#NAME?</v>
      </c>
      <c r="R121">
        <f>ELLQF!U27</f>
        <v>1273552.79</v>
      </c>
      <c r="S121" t="e">
        <f>ELLQF!#REF!</f>
        <v>#REF!</v>
      </c>
      <c r="T121" t="e">
        <f>ELLQF!#REF!</f>
        <v>#REF!</v>
      </c>
      <c r="U121" t="e">
        <f>ELLQF!#REF!</f>
        <v>#REF!</v>
      </c>
      <c r="V121" t="e">
        <f>ELLQF!#REF!</f>
        <v>#REF!</v>
      </c>
      <c r="W121" t="e">
        <f>ELLQF!#REF!</f>
        <v>#REF!</v>
      </c>
      <c r="X121" t="e">
        <f ca="1">ELLQF!V27</f>
        <v>#NAME?</v>
      </c>
      <c r="Y121" t="e">
        <f ca="1">ELLQF!W27</f>
        <v>#NAME?</v>
      </c>
    </row>
    <row r="122" spans="1:25" x14ac:dyDescent="0.25">
      <c r="A122">
        <f>ELLQF!A29</f>
        <v>0</v>
      </c>
      <c r="B122" t="e">
        <f ca="1">ELLQF!B29</f>
        <v>#NAME?</v>
      </c>
      <c r="C122" t="str">
        <f>ELLQF!C29</f>
        <v>PHAG LN Equity</v>
      </c>
      <c r="D122">
        <f>ELLQF!D29</f>
        <v>2.7919683632331785E-3</v>
      </c>
      <c r="E122">
        <f>ELLQF!E29</f>
        <v>9200</v>
      </c>
      <c r="F122">
        <f>ELLQF!F29</f>
        <v>16.350000000000001</v>
      </c>
      <c r="G122" t="e">
        <f ca="1">ELLQF!G29</f>
        <v>#NAME?</v>
      </c>
      <c r="H122" t="e">
        <f ca="1">ELLQF!K29</f>
        <v>#NAME?</v>
      </c>
      <c r="I122">
        <f>ELLQF!L29</f>
        <v>-7.8779477008926957E-2</v>
      </c>
      <c r="J122">
        <f>ELLQF!M29</f>
        <v>3.0714147111424062E-2</v>
      </c>
      <c r="K122">
        <f>ELLQF!N29</f>
        <v>9834317</v>
      </c>
      <c r="L122">
        <f>ELLQF!O29</f>
        <v>150378.26</v>
      </c>
      <c r="M122">
        <f>ELLQF!P29</f>
        <v>9059574.6500000004</v>
      </c>
      <c r="N122">
        <f>ELLQF!Q29</f>
        <v>154997</v>
      </c>
      <c r="O122">
        <f>ELLQF!R29</f>
        <v>-774742.34999999963</v>
      </c>
      <c r="P122">
        <f>ELLQF!S29</f>
        <v>4618.7399999999907</v>
      </c>
      <c r="Q122" t="e">
        <f ca="1">ELLQF!T29</f>
        <v>#NAME?</v>
      </c>
      <c r="R122">
        <f>ELLQF!U29</f>
        <v>160770</v>
      </c>
      <c r="S122" t="e">
        <f>ELLQF!#REF!</f>
        <v>#REF!</v>
      </c>
      <c r="T122" t="e">
        <f>ELLQF!#REF!</f>
        <v>#REF!</v>
      </c>
      <c r="U122" t="e">
        <f>ELLQF!#REF!</f>
        <v>#REF!</v>
      </c>
      <c r="V122" t="e">
        <f>ELLQF!#REF!</f>
        <v>#REF!</v>
      </c>
      <c r="W122" t="e">
        <f>ELLQF!#REF!</f>
        <v>#REF!</v>
      </c>
      <c r="X122" t="e">
        <f ca="1">ELLQF!V29</f>
        <v>#NAME?</v>
      </c>
      <c r="Y122" t="e">
        <f ca="1">ELLQF!W29</f>
        <v>#NAME?</v>
      </c>
    </row>
    <row r="123" spans="1:25" x14ac:dyDescent="0.25">
      <c r="A123">
        <f>ELLQF!A30</f>
        <v>0</v>
      </c>
      <c r="B123" t="e">
        <f ca="1">ELLQF!B30</f>
        <v>#NAME?</v>
      </c>
      <c r="C123" t="str">
        <f>ELLQF!C30</f>
        <v>PHAU LN Equity</v>
      </c>
      <c r="D123">
        <f>ELLQF!D30</f>
        <v>6.9115102347884856E-3</v>
      </c>
      <c r="E123">
        <f>ELLQF!E30</f>
        <v>3258</v>
      </c>
      <c r="F123">
        <f>ELLQF!F30</f>
        <v>101.81</v>
      </c>
      <c r="G123" t="e">
        <f ca="1">ELLQF!G30</f>
        <v>#NAME?</v>
      </c>
      <c r="H123" t="e">
        <f ca="1">ELLQF!K30</f>
        <v>#NAME?</v>
      </c>
      <c r="I123">
        <f>ELLQF!L30</f>
        <v>0.57194731042474301</v>
      </c>
      <c r="J123">
        <f>ELLQF!M30</f>
        <v>0.15675959783156856</v>
      </c>
      <c r="K123">
        <f>ELLQF!N30</f>
        <v>14266987.66</v>
      </c>
      <c r="L123">
        <f>ELLQF!O30</f>
        <v>331697.84000000003</v>
      </c>
      <c r="M123">
        <f>ELLQF!P30</f>
        <v>22426952.879999999</v>
      </c>
      <c r="N123">
        <f>ELLQF!Q30</f>
        <v>383694.66</v>
      </c>
      <c r="O123">
        <f>ELLQF!R30</f>
        <v>8159965.2199999988</v>
      </c>
      <c r="P123">
        <f>ELLQF!S30</f>
        <v>51996.819999999949</v>
      </c>
      <c r="Q123" t="e">
        <f ca="1">ELLQF!T30</f>
        <v>#NAME?</v>
      </c>
      <c r="R123">
        <f>ELLQF!U30</f>
        <v>389168.1</v>
      </c>
      <c r="S123" t="e">
        <f>ELLQF!#REF!</f>
        <v>#REF!</v>
      </c>
      <c r="T123" t="e">
        <f>ELLQF!#REF!</f>
        <v>#REF!</v>
      </c>
      <c r="U123" t="e">
        <f>ELLQF!#REF!</f>
        <v>#REF!</v>
      </c>
      <c r="V123" t="e">
        <f>ELLQF!#REF!</f>
        <v>#REF!</v>
      </c>
      <c r="W123" t="e">
        <f>ELLQF!#REF!</f>
        <v>#REF!</v>
      </c>
      <c r="X123" t="e">
        <f ca="1">ELLQF!V30</f>
        <v>#NAME?</v>
      </c>
      <c r="Y123" t="e">
        <f ca="1">ELLQF!W30</f>
        <v>#NAME?</v>
      </c>
    </row>
    <row r="124" spans="1:25" x14ac:dyDescent="0.25">
      <c r="A124">
        <f>ELLQF!A31</f>
        <v>0</v>
      </c>
      <c r="B124" t="e">
        <f ca="1">ELLQF!B31</f>
        <v>#NAME?</v>
      </c>
      <c r="C124" t="str">
        <f>ELLQF!C31</f>
        <v>PHPD LN Equity</v>
      </c>
      <c r="D124">
        <f>ELLQF!D31</f>
        <v>3.4779412479254363E-3</v>
      </c>
      <c r="E124">
        <f>ELLQF!E31</f>
        <v>2650</v>
      </c>
      <c r="F124">
        <f>ELLQF!F31</f>
        <v>56.7</v>
      </c>
      <c r="G124" t="e">
        <f ca="1">ELLQF!G31</f>
        <v>#NAME?</v>
      </c>
      <c r="H124" t="e">
        <f ca="1">ELLQF!K31</f>
        <v>#NAME?</v>
      </c>
      <c r="I124">
        <f>ELLQF!L31</f>
        <v>0.1484976604484316</v>
      </c>
      <c r="J124">
        <f>ELLQF!M31</f>
        <v>0.28500479882695773</v>
      </c>
      <c r="K124">
        <f>ELLQF!N31</f>
        <v>9826286.9299999997</v>
      </c>
      <c r="L124">
        <f>ELLQF!O31</f>
        <v>150255.47</v>
      </c>
      <c r="M124">
        <f>ELLQF!P31</f>
        <v>11285467.550000001</v>
      </c>
      <c r="N124">
        <f>ELLQF!Q31</f>
        <v>193079</v>
      </c>
      <c r="O124">
        <f>ELLQF!R31</f>
        <v>1459180.620000001</v>
      </c>
      <c r="P124">
        <f>ELLQF!S31</f>
        <v>42823.53</v>
      </c>
      <c r="Q124" t="e">
        <f ca="1">ELLQF!T31</f>
        <v>#NAME?</v>
      </c>
      <c r="R124">
        <f>ELLQF!U31</f>
        <v>194934</v>
      </c>
      <c r="S124" t="e">
        <f>ELLQF!#REF!</f>
        <v>#REF!</v>
      </c>
      <c r="T124" t="e">
        <f>ELLQF!#REF!</f>
        <v>#REF!</v>
      </c>
      <c r="U124" t="e">
        <f>ELLQF!#REF!</f>
        <v>#REF!</v>
      </c>
      <c r="V124" t="e">
        <f>ELLQF!#REF!</f>
        <v>#REF!</v>
      </c>
      <c r="W124" t="e">
        <f>ELLQF!#REF!</f>
        <v>#REF!</v>
      </c>
      <c r="X124" t="e">
        <f ca="1">ELLQF!V31</f>
        <v>#NAME?</v>
      </c>
      <c r="Y124" t="e">
        <f ca="1">ELLQF!W31</f>
        <v>#NAME?</v>
      </c>
    </row>
    <row r="125" spans="1:25" x14ac:dyDescent="0.25">
      <c r="A125">
        <f>ELLQF!A32</f>
        <v>0</v>
      </c>
      <c r="B125" t="e">
        <f ca="1">ELLQF!B32</f>
        <v>#NAME?</v>
      </c>
      <c r="C125" t="str">
        <f>ELLQF!C32</f>
        <v>POLY LN Equity</v>
      </c>
      <c r="D125">
        <f>ELLQF!D32</f>
        <v>4.3882971385243136E-2</v>
      </c>
      <c r="E125">
        <f>ELLQF!E32</f>
        <v>215491</v>
      </c>
      <c r="F125">
        <f>ELLQF!F32</f>
        <v>540.75</v>
      </c>
      <c r="G125" t="e">
        <f ca="1">ELLQF!G32</f>
        <v>#NAME?</v>
      </c>
      <c r="H125" t="e">
        <f ca="1">ELLQF!K32</f>
        <v>#NAME?</v>
      </c>
      <c r="I125">
        <f>ELLQF!L32</f>
        <v>1.5968989854183042</v>
      </c>
      <c r="J125">
        <f>ELLQF!M32</f>
        <v>0.70457503118879883</v>
      </c>
      <c r="K125">
        <f>ELLQF!N32</f>
        <v>54845953</v>
      </c>
      <c r="L125">
        <f>ELLQF!O32</f>
        <v>1429199</v>
      </c>
      <c r="M125">
        <f>ELLQF!P32</f>
        <v>142429399.69999999</v>
      </c>
      <c r="N125">
        <f>ELLQF!Q32</f>
        <v>2436176.9300000002</v>
      </c>
      <c r="O125">
        <f>ELLQF!R32</f>
        <v>87583446.699999988</v>
      </c>
      <c r="P125">
        <f>ELLQF!S32</f>
        <v>1006977.9300000002</v>
      </c>
      <c r="Q125" t="e">
        <f ca="1">ELLQF!T32</f>
        <v>#NAME?</v>
      </c>
      <c r="R125">
        <f>ELLQF!U32</f>
        <v>2488981.5</v>
      </c>
      <c r="S125" t="e">
        <f>ELLQF!#REF!</f>
        <v>#REF!</v>
      </c>
      <c r="T125" t="e">
        <f>ELLQF!#REF!</f>
        <v>#REF!</v>
      </c>
      <c r="U125" t="e">
        <f>ELLQF!#REF!</f>
        <v>#REF!</v>
      </c>
      <c r="V125" t="e">
        <f>ELLQF!#REF!</f>
        <v>#REF!</v>
      </c>
      <c r="W125" t="e">
        <f>ELLQF!#REF!</f>
        <v>#REF!</v>
      </c>
      <c r="X125" t="e">
        <f ca="1">ELLQF!V32</f>
        <v>#NAME?</v>
      </c>
      <c r="Y125" t="e">
        <f ca="1">ELLQF!W32</f>
        <v>#NAME?</v>
      </c>
    </row>
    <row r="126" spans="1:25" x14ac:dyDescent="0.25">
      <c r="A126">
        <f>ELLQF!A33</f>
        <v>0</v>
      </c>
      <c r="B126" t="e">
        <f ca="1">ELLQF!B33</f>
        <v>#NAME?</v>
      </c>
      <c r="C126" t="str">
        <f>ELLQF!C33</f>
        <v>PRTK RM Equity</v>
      </c>
      <c r="D126">
        <f>ELLQF!D33</f>
        <v>9.2687661138859782E-3</v>
      </c>
      <c r="E126">
        <f>ELLQF!E33</f>
        <v>278500</v>
      </c>
      <c r="F126">
        <f>ELLQF!F33</f>
        <v>46.4</v>
      </c>
      <c r="G126" t="e">
        <f ca="1">ELLQF!G33</f>
        <v>#NAME?</v>
      </c>
      <c r="H126" t="e">
        <f ca="1">ELLQF!K33</f>
        <v>#NAME?</v>
      </c>
      <c r="I126">
        <f>ELLQF!L33</f>
        <v>1.3277490542201895</v>
      </c>
      <c r="J126">
        <f>ELLQF!M33</f>
        <v>1.3400897928466784</v>
      </c>
      <c r="K126">
        <f>ELLQF!N33</f>
        <v>12921495.960000001</v>
      </c>
      <c r="L126">
        <f>ELLQF!O33</f>
        <v>219888.34</v>
      </c>
      <c r="M126">
        <f>ELLQF!P33</f>
        <v>30078000</v>
      </c>
      <c r="N126">
        <f>ELLQF!Q33</f>
        <v>514558.46</v>
      </c>
      <c r="O126">
        <f>ELLQF!R33</f>
        <v>17156504.039999999</v>
      </c>
      <c r="P126">
        <f>ELLQF!S33</f>
        <v>294670.12</v>
      </c>
      <c r="Q126" t="e">
        <f ca="1">ELLQF!T33</f>
        <v>#NAME?</v>
      </c>
      <c r="R126">
        <f>ELLQF!U33</f>
        <v>520197.01</v>
      </c>
      <c r="S126" t="e">
        <f>ELLQF!#REF!</f>
        <v>#REF!</v>
      </c>
      <c r="T126" t="e">
        <f>ELLQF!#REF!</f>
        <v>#REF!</v>
      </c>
      <c r="U126" t="e">
        <f>ELLQF!#REF!</f>
        <v>#REF!</v>
      </c>
      <c r="V126" t="e">
        <f>ELLQF!#REF!</f>
        <v>#REF!</v>
      </c>
      <c r="W126" t="e">
        <f>ELLQF!#REF!</f>
        <v>#REF!</v>
      </c>
      <c r="X126" t="e">
        <f ca="1">ELLQF!V33</f>
        <v>#NAME?</v>
      </c>
      <c r="Y126" t="e">
        <f ca="1">ELLQF!W33</f>
        <v>#NAME?</v>
      </c>
    </row>
    <row r="127" spans="1:25" x14ac:dyDescent="0.25">
      <c r="A127">
        <f>ELLQF!A37</f>
        <v>0</v>
      </c>
      <c r="B127" t="e">
        <f ca="1">ELLQF!B37</f>
        <v>#NAME?</v>
      </c>
      <c r="C127" t="str">
        <f>ELLQF!C37</f>
        <v>SVAV RM Equity</v>
      </c>
      <c r="D127">
        <f>ELLQF!D37</f>
        <v>6.9240552417685567E-4</v>
      </c>
      <c r="E127">
        <f>ELLQF!E37</f>
        <v>3770</v>
      </c>
      <c r="F127">
        <f>ELLQF!F37</f>
        <v>416</v>
      </c>
      <c r="G127" t="e">
        <f ca="1">ELLQF!G37</f>
        <v>#NAME?</v>
      </c>
      <c r="H127" t="e">
        <f ca="1">ELLQF!K37</f>
        <v>#NAME?</v>
      </c>
      <c r="I127">
        <f>ELLQF!L37</f>
        <v>0.43269230769230771</v>
      </c>
      <c r="J127">
        <f>ELLQF!M37</f>
        <v>0.4402879293658053</v>
      </c>
      <c r="K127">
        <f>ELLQF!N37</f>
        <v>1568320</v>
      </c>
      <c r="L127">
        <f>ELLQF!O37</f>
        <v>26688.49</v>
      </c>
      <c r="M127">
        <f>ELLQF!P37</f>
        <v>2246920</v>
      </c>
      <c r="N127">
        <f>ELLQF!Q37</f>
        <v>38439.11</v>
      </c>
      <c r="O127">
        <f>ELLQF!R37</f>
        <v>678600</v>
      </c>
      <c r="P127">
        <f>ELLQF!S37</f>
        <v>11750.619999999999</v>
      </c>
      <c r="Q127" t="e">
        <f ca="1">ELLQF!T37</f>
        <v>#NAME?</v>
      </c>
      <c r="R127">
        <f>ELLQF!U37</f>
        <v>38550.03</v>
      </c>
      <c r="S127" t="e">
        <f>ELLQF!#REF!</f>
        <v>#REF!</v>
      </c>
      <c r="T127" t="e">
        <f>ELLQF!#REF!</f>
        <v>#REF!</v>
      </c>
      <c r="U127" t="e">
        <f>ELLQF!#REF!</f>
        <v>#REF!</v>
      </c>
      <c r="V127" t="e">
        <f>ELLQF!#REF!</f>
        <v>#REF!</v>
      </c>
      <c r="W127" t="e">
        <f>ELLQF!#REF!</f>
        <v>#REF!</v>
      </c>
      <c r="X127" t="e">
        <f ca="1">ELLQF!V37</f>
        <v>#NAME?</v>
      </c>
      <c r="Y127" t="e">
        <f ca="1">ELLQF!W37</f>
        <v>#NAME?</v>
      </c>
    </row>
    <row r="128" spans="1:25" x14ac:dyDescent="0.25">
      <c r="A128" t="e">
        <f>ELLQF!#REF!</f>
        <v>#REF!</v>
      </c>
      <c r="B128" t="e">
        <f>ELLQF!#REF!</f>
        <v>#REF!</v>
      </c>
      <c r="C128" t="e">
        <f>ELLQF!#REF!</f>
        <v>#REF!</v>
      </c>
      <c r="D128" t="e">
        <f>ELLQF!#REF!</f>
        <v>#REF!</v>
      </c>
      <c r="E128" t="e">
        <f>ELLQF!#REF!</f>
        <v>#REF!</v>
      </c>
      <c r="F128" t="e">
        <f>ELLQF!#REF!</f>
        <v>#REF!</v>
      </c>
      <c r="G128" t="e">
        <f>ELLQF!#REF!</f>
        <v>#REF!</v>
      </c>
      <c r="H128" t="e">
        <f>ELLQF!#REF!</f>
        <v>#REF!</v>
      </c>
      <c r="I128" t="e">
        <f>ELLQF!#REF!</f>
        <v>#REF!</v>
      </c>
      <c r="J128" t="e">
        <f>ELLQF!#REF!</f>
        <v>#REF!</v>
      </c>
      <c r="K128" t="e">
        <f>ELLQF!#REF!</f>
        <v>#REF!</v>
      </c>
      <c r="L128" t="e">
        <f>ELLQF!#REF!</f>
        <v>#REF!</v>
      </c>
      <c r="M128" t="e">
        <f>ELLQF!#REF!</f>
        <v>#REF!</v>
      </c>
      <c r="N128" t="e">
        <f>ELLQF!#REF!</f>
        <v>#REF!</v>
      </c>
      <c r="O128" t="e">
        <f>ELLQF!#REF!</f>
        <v>#REF!</v>
      </c>
      <c r="P128" t="e">
        <f>ELLQF!#REF!</f>
        <v>#REF!</v>
      </c>
      <c r="Q128" t="e">
        <f>ELLQF!#REF!</f>
        <v>#REF!</v>
      </c>
      <c r="R128" t="e">
        <f>ELLQF!#REF!</f>
        <v>#REF!</v>
      </c>
      <c r="S128" t="e">
        <f>ELLQF!#REF!</f>
        <v>#REF!</v>
      </c>
      <c r="T128" t="e">
        <f>ELLQF!#REF!</f>
        <v>#REF!</v>
      </c>
      <c r="U128" t="e">
        <f>ELLQF!#REF!</f>
        <v>#REF!</v>
      </c>
      <c r="V128" t="e">
        <f>ELLQF!#REF!</f>
        <v>#REF!</v>
      </c>
      <c r="W128" t="e">
        <f>ELLQF!#REF!</f>
        <v>#REF!</v>
      </c>
      <c r="X128" t="e">
        <f>ELLQF!#REF!</f>
        <v>#REF!</v>
      </c>
      <c r="Y128" t="e">
        <f>ELLQF!#REF!</f>
        <v>#REF!</v>
      </c>
    </row>
    <row r="129" spans="1:25" x14ac:dyDescent="0.25">
      <c r="A129">
        <f>ELLQF!A38</f>
        <v>0</v>
      </c>
      <c r="B129" t="e">
        <f ca="1">ELLQF!B38</f>
        <v>#NAME?</v>
      </c>
      <c r="C129" t="str">
        <f>ELLQF!C38</f>
        <v>TGKA RM Equity</v>
      </c>
      <c r="D129">
        <f>ELLQF!D38</f>
        <v>4.5279648528806947E-3</v>
      </c>
      <c r="E129">
        <f>ELLQF!E38</f>
        <v>922099968</v>
      </c>
      <c r="F129">
        <f>ELLQF!F38</f>
        <v>0.01</v>
      </c>
      <c r="G129" t="e">
        <f ca="1">ELLQF!G38</f>
        <v>#NAME?</v>
      </c>
      <c r="H129" t="e">
        <f ca="1">ELLQF!K38</f>
        <v>#NAME?</v>
      </c>
      <c r="I129">
        <f>ELLQF!L38</f>
        <v>2.1448587884389281</v>
      </c>
      <c r="J129">
        <f>ELLQF!M38</f>
        <v>2.1615316534390856</v>
      </c>
      <c r="K129">
        <f>ELLQF!N38</f>
        <v>4672280.6900000004</v>
      </c>
      <c r="L129">
        <f>ELLQF!O38</f>
        <v>79509.37</v>
      </c>
      <c r="M129">
        <f>ELLQF!P38</f>
        <v>14693662.99</v>
      </c>
      <c r="N129">
        <f>ELLQF!Q38</f>
        <v>251371.39</v>
      </c>
      <c r="O129">
        <f>ELLQF!R38</f>
        <v>10021382.300000001</v>
      </c>
      <c r="P129">
        <f>ELLQF!S38</f>
        <v>171862.02000000002</v>
      </c>
      <c r="Q129" t="e">
        <f ca="1">ELLQF!T38</f>
        <v>#NAME?</v>
      </c>
      <c r="R129">
        <f>ELLQF!U38</f>
        <v>247430.24</v>
      </c>
      <c r="S129" t="e">
        <f>ELLQF!#REF!</f>
        <v>#REF!</v>
      </c>
      <c r="T129" t="e">
        <f>ELLQF!#REF!</f>
        <v>#REF!</v>
      </c>
      <c r="U129" t="e">
        <f>ELLQF!#REF!</f>
        <v>#REF!</v>
      </c>
      <c r="V129" t="e">
        <f>ELLQF!#REF!</f>
        <v>#REF!</v>
      </c>
      <c r="W129" t="e">
        <f>ELLQF!#REF!</f>
        <v>#REF!</v>
      </c>
      <c r="X129" t="e">
        <f ca="1">ELLQF!V38</f>
        <v>#NAME?</v>
      </c>
      <c r="Y129" t="e">
        <f ca="1">ELLQF!W38</f>
        <v>#NAME?</v>
      </c>
    </row>
    <row r="130" spans="1:25" x14ac:dyDescent="0.25">
      <c r="A130">
        <f>ELLQF!A39</f>
        <v>0</v>
      </c>
      <c r="B130" t="e">
        <f ca="1">ELLQF!B39</f>
        <v>#NAME?</v>
      </c>
      <c r="C130" t="str">
        <f>ELLQF!C39</f>
        <v>TRMK RM Equity</v>
      </c>
      <c r="D130">
        <f>ELLQF!D39</f>
        <v>7.2882769058547729E-3</v>
      </c>
      <c r="E130">
        <f>ELLQF!E39</f>
        <v>313260</v>
      </c>
      <c r="F130">
        <f>ELLQF!F39</f>
        <v>48.9</v>
      </c>
      <c r="G130" t="e">
        <f ca="1">ELLQF!G39</f>
        <v>#NAME?</v>
      </c>
      <c r="H130" t="e">
        <f ca="1">ELLQF!K39</f>
        <v>#NAME?</v>
      </c>
      <c r="I130">
        <f>ELLQF!L39</f>
        <v>0.54402017437751105</v>
      </c>
      <c r="J130">
        <f>ELLQF!M39</f>
        <v>0.55220595242169024</v>
      </c>
      <c r="K130">
        <f>ELLQF!N39</f>
        <v>15317889.23</v>
      </c>
      <c r="L130">
        <f>ELLQF!O39</f>
        <v>260668.36</v>
      </c>
      <c r="M130">
        <f>ELLQF!P39</f>
        <v>23651130</v>
      </c>
      <c r="N130">
        <f>ELLQF!Q39</f>
        <v>404610.98</v>
      </c>
      <c r="O130">
        <f>ELLQF!R39</f>
        <v>8333240.7699999996</v>
      </c>
      <c r="P130">
        <f>ELLQF!S39</f>
        <v>143942.62</v>
      </c>
      <c r="Q130" t="e">
        <f ca="1">ELLQF!T39</f>
        <v>#NAME?</v>
      </c>
      <c r="R130">
        <f>ELLQF!U39</f>
        <v>391328.08</v>
      </c>
      <c r="S130" t="e">
        <f>ELLQF!#REF!</f>
        <v>#REF!</v>
      </c>
      <c r="T130" t="e">
        <f>ELLQF!#REF!</f>
        <v>#REF!</v>
      </c>
      <c r="U130" t="e">
        <f>ELLQF!#REF!</f>
        <v>#REF!</v>
      </c>
      <c r="V130" t="e">
        <f>ELLQF!#REF!</f>
        <v>#REF!</v>
      </c>
      <c r="W130" t="e">
        <f>ELLQF!#REF!</f>
        <v>#REF!</v>
      </c>
      <c r="X130" t="e">
        <f ca="1">ELLQF!V39</f>
        <v>#NAME?</v>
      </c>
      <c r="Y130" t="e">
        <f ca="1">ELLQF!W39</f>
        <v>#NAME?</v>
      </c>
    </row>
    <row r="131" spans="1:25" x14ac:dyDescent="0.25">
      <c r="A131">
        <f>ELLQF!A40</f>
        <v>0</v>
      </c>
      <c r="B131" t="e">
        <f ca="1">ELLQF!B40</f>
        <v>#NAME?</v>
      </c>
      <c r="C131" t="str">
        <f>ELLQF!C40</f>
        <v>UPRO RM Equity</v>
      </c>
      <c r="D131">
        <f>ELLQF!D40</f>
        <v>1.5617055359359358E-2</v>
      </c>
      <c r="E131">
        <f>ELLQF!E40</f>
        <v>19552000</v>
      </c>
      <c r="F131">
        <f>ELLQF!F40</f>
        <v>2.48</v>
      </c>
      <c r="G131" t="e">
        <f ca="1">ELLQF!G40</f>
        <v>#NAME?</v>
      </c>
      <c r="H131" t="e">
        <f ca="1">ELLQF!K40</f>
        <v>#NAME?</v>
      </c>
      <c r="I131">
        <f>ELLQF!L40</f>
        <v>4.3611286413790529E-2</v>
      </c>
      <c r="J131">
        <f>ELLQF!M40</f>
        <v>4.9144072517354198E-2</v>
      </c>
      <c r="K131">
        <f>ELLQF!N40</f>
        <v>48560977.310000002</v>
      </c>
      <c r="L131">
        <f>ELLQF!O40</f>
        <v>826374.33</v>
      </c>
      <c r="M131">
        <f>ELLQF!P40</f>
        <v>50678784</v>
      </c>
      <c r="N131">
        <f>ELLQF!Q40</f>
        <v>866985.73</v>
      </c>
      <c r="O131">
        <f>ELLQF!R40</f>
        <v>2117806.6899999976</v>
      </c>
      <c r="P131">
        <f>ELLQF!S40</f>
        <v>40611.400000000023</v>
      </c>
      <c r="Q131" t="e">
        <f ca="1">ELLQF!T40</f>
        <v>#NAME?</v>
      </c>
      <c r="R131">
        <f>ELLQF!U40</f>
        <v>855027.22</v>
      </c>
      <c r="S131" t="e">
        <f>ELLQF!#REF!</f>
        <v>#REF!</v>
      </c>
      <c r="T131" t="e">
        <f>ELLQF!#REF!</f>
        <v>#REF!</v>
      </c>
      <c r="U131" t="e">
        <f>ELLQF!#REF!</f>
        <v>#REF!</v>
      </c>
      <c r="V131" t="e">
        <f>ELLQF!#REF!</f>
        <v>#REF!</v>
      </c>
      <c r="W131" t="e">
        <f>ELLQF!#REF!</f>
        <v>#REF!</v>
      </c>
      <c r="X131" t="e">
        <f ca="1">ELLQF!V40</f>
        <v>#NAME?</v>
      </c>
      <c r="Y131" t="e">
        <f ca="1">ELLQF!W40</f>
        <v>#NAME?</v>
      </c>
    </row>
    <row r="132" spans="1:25" x14ac:dyDescent="0.25">
      <c r="A132">
        <f>ELLQF!A41</f>
        <v>0</v>
      </c>
      <c r="B132" t="e">
        <f ca="1">ELLQF!B41</f>
        <v>#NAME?</v>
      </c>
      <c r="C132" t="str">
        <f>ELLQF!C41</f>
        <v>URKA RM Equity</v>
      </c>
      <c r="D132">
        <f>ELLQF!D41</f>
        <v>4.2919582614259315E-3</v>
      </c>
      <c r="E132">
        <f>ELLQF!E41</f>
        <v>83400</v>
      </c>
      <c r="F132">
        <f>ELLQF!F41</f>
        <v>160.35</v>
      </c>
      <c r="G132" t="e">
        <f ca="1">ELLQF!G41</f>
        <v>#NAME?</v>
      </c>
      <c r="H132" t="e">
        <f ca="1">ELLQF!K41</f>
        <v>#NAME?</v>
      </c>
      <c r="I132">
        <f>ELLQF!L41</f>
        <v>4.1493412987127609E-2</v>
      </c>
      <c r="J132">
        <f>ELLQF!M41</f>
        <v>4.7014987023784371E-2</v>
      </c>
      <c r="K132">
        <f>ELLQF!N41</f>
        <v>13372912.23</v>
      </c>
      <c r="L132">
        <f>ELLQF!O41</f>
        <v>227570.2</v>
      </c>
      <c r="M132">
        <f>ELLQF!P41</f>
        <v>13927800</v>
      </c>
      <c r="N132">
        <f>ELLQF!Q41</f>
        <v>238269.41</v>
      </c>
      <c r="O132">
        <f>ELLQF!R41</f>
        <v>554887.76999999955</v>
      </c>
      <c r="P132">
        <f>ELLQF!S41</f>
        <v>10699.209999999992</v>
      </c>
      <c r="Q132" t="e">
        <f ca="1">ELLQF!T41</f>
        <v>#NAME?</v>
      </c>
      <c r="R132">
        <f>ELLQF!U41</f>
        <v>237577.07</v>
      </c>
      <c r="S132" t="e">
        <f>ELLQF!#REF!</f>
        <v>#REF!</v>
      </c>
      <c r="T132" t="e">
        <f>ELLQF!#REF!</f>
        <v>#REF!</v>
      </c>
      <c r="U132" t="e">
        <f>ELLQF!#REF!</f>
        <v>#REF!</v>
      </c>
      <c r="V132" t="e">
        <f>ELLQF!#REF!</f>
        <v>#REF!</v>
      </c>
      <c r="W132" t="e">
        <f>ELLQF!#REF!</f>
        <v>#REF!</v>
      </c>
      <c r="X132" t="e">
        <f ca="1">ELLQF!V41</f>
        <v>#NAME?</v>
      </c>
      <c r="Y132" t="e">
        <f ca="1">ELLQF!W41</f>
        <v>#NAME?</v>
      </c>
    </row>
    <row r="133" spans="1:25" x14ac:dyDescent="0.25">
      <c r="A133">
        <f>ELLQF!A42</f>
        <v>0</v>
      </c>
      <c r="B133" t="e">
        <f ca="1">ELLQF!B42</f>
        <v>#NAME?</v>
      </c>
      <c r="C133" t="str">
        <f>ELLQF!C42</f>
        <v>VIP US Equity</v>
      </c>
      <c r="D133">
        <f>ELLQF!D42</f>
        <v>1.7974532979074743E-2</v>
      </c>
      <c r="E133">
        <f>ELLQF!E42</f>
        <v>243976</v>
      </c>
      <c r="F133">
        <f>ELLQF!F42</f>
        <v>4.4000000000000004</v>
      </c>
      <c r="G133" t="e">
        <f ca="1">ELLQF!G42</f>
        <v>#NAME?</v>
      </c>
      <c r="H133" t="e">
        <f ca="1">ELLQF!K42</f>
        <v>#NAME?</v>
      </c>
      <c r="I133">
        <f>ELLQF!L42</f>
        <v>0.33591552544608727</v>
      </c>
      <c r="J133">
        <f>ELLQF!M42</f>
        <v>-7.1009597399226521E-2</v>
      </c>
      <c r="K133">
        <f>ELLQF!N42</f>
        <v>43659216.049999997</v>
      </c>
      <c r="L133">
        <f>ELLQF!O42</f>
        <v>1074135.79</v>
      </c>
      <c r="M133">
        <f>ELLQF!P42</f>
        <v>58325024.549999997</v>
      </c>
      <c r="N133">
        <f>ELLQF!Q42</f>
        <v>997861.84</v>
      </c>
      <c r="O133">
        <f>ELLQF!R42</f>
        <v>14665808.5</v>
      </c>
      <c r="P133">
        <f>ELLQF!S42</f>
        <v>-76273.95000000007</v>
      </c>
      <c r="Q133" t="e">
        <f ca="1">ELLQF!T42</f>
        <v>#NAME?</v>
      </c>
      <c r="R133">
        <f>ELLQF!U42</f>
        <v>1013720.28</v>
      </c>
      <c r="S133" t="e">
        <f>ELLQF!#REF!</f>
        <v>#REF!</v>
      </c>
      <c r="T133" t="e">
        <f>ELLQF!#REF!</f>
        <v>#REF!</v>
      </c>
      <c r="U133" t="e">
        <f>ELLQF!#REF!</f>
        <v>#REF!</v>
      </c>
      <c r="V133" t="e">
        <f>ELLQF!#REF!</f>
        <v>#REF!</v>
      </c>
      <c r="W133" t="e">
        <f>ELLQF!#REF!</f>
        <v>#REF!</v>
      </c>
      <c r="X133" t="e">
        <f ca="1">ELLQF!V42</f>
        <v>#NAME?</v>
      </c>
      <c r="Y133" t="e">
        <f ca="1">ELLQF!W42</f>
        <v>#NAME?</v>
      </c>
    </row>
    <row r="134" spans="1:25" x14ac:dyDescent="0.25">
      <c r="A134">
        <f>ELLQF!A43</f>
        <v>0</v>
      </c>
      <c r="B134" t="e">
        <f ca="1">ELLQF!B43</f>
        <v>#NAME?</v>
      </c>
      <c r="C134" t="str">
        <f>ELLQF!C43</f>
        <v>YNDX US Equity</v>
      </c>
      <c r="D134">
        <f>ELLQF!D43</f>
        <v>2.7957745202242892E-2</v>
      </c>
      <c r="E134">
        <f>ELLQF!E43</f>
        <v>66300</v>
      </c>
      <c r="F134">
        <f>ELLQF!F43</f>
        <v>15</v>
      </c>
      <c r="G134" t="e">
        <f ca="1">ELLQF!G43</f>
        <v>#NAME?</v>
      </c>
      <c r="H134" t="e">
        <f ca="1">ELLQF!K43</f>
        <v>#NAME?</v>
      </c>
      <c r="I134">
        <f>ELLQF!L43</f>
        <v>0.69353335484086154</v>
      </c>
      <c r="J134">
        <f>ELLQF!M43</f>
        <v>0.56077424944675691</v>
      </c>
      <c r="K134">
        <f>ELLQF!N43</f>
        <v>53568033.420000002</v>
      </c>
      <c r="L134">
        <f>ELLQF!O43</f>
        <v>994431.45</v>
      </c>
      <c r="M134">
        <f>ELLQF!P43</f>
        <v>90719251.349999994</v>
      </c>
      <c r="N134">
        <f>ELLQF!Q43</f>
        <v>1552083</v>
      </c>
      <c r="O134">
        <f>ELLQF!R43</f>
        <v>37151217.929999992</v>
      </c>
      <c r="P134">
        <f>ELLQF!S43</f>
        <v>557651.55000000005</v>
      </c>
      <c r="Q134" t="e">
        <f ca="1">ELLQF!T43</f>
        <v>#NAME?</v>
      </c>
      <c r="R134">
        <f>ELLQF!U43</f>
        <v>1540149</v>
      </c>
      <c r="S134" t="e">
        <f>ELLQF!#REF!</f>
        <v>#REF!</v>
      </c>
      <c r="T134" t="e">
        <f>ELLQF!#REF!</f>
        <v>#REF!</v>
      </c>
      <c r="U134" t="e">
        <f>ELLQF!#REF!</f>
        <v>#REF!</v>
      </c>
      <c r="V134" t="e">
        <f>ELLQF!#REF!</f>
        <v>#REF!</v>
      </c>
      <c r="W134" t="e">
        <f>ELLQF!#REF!</f>
        <v>#REF!</v>
      </c>
      <c r="X134" t="e">
        <f ca="1">ELLQF!V43</f>
        <v>#NAME?</v>
      </c>
      <c r="Y134" t="e">
        <f ca="1">ELLQF!W43</f>
        <v>#NAME?</v>
      </c>
    </row>
    <row r="135" spans="1:25" x14ac:dyDescent="0.25">
      <c r="A135">
        <f>ELLQF!A44</f>
        <v>0</v>
      </c>
      <c r="B135" t="e">
        <f ca="1">ELLQF!B44</f>
        <v>#NAME?</v>
      </c>
      <c r="C135" t="str">
        <f>ELLQF!C44</f>
        <v>EJ634925     Corp</v>
      </c>
      <c r="D135">
        <f>ELLQF!D44</f>
        <v>1.8395825022109354E-2</v>
      </c>
      <c r="E135">
        <f>ELLQF!E44</f>
        <v>1000</v>
      </c>
      <c r="F135">
        <f>ELLQF!F44</f>
        <v>36.92</v>
      </c>
      <c r="G135" t="e">
        <f ca="1">ELLQF!G44</f>
        <v>#NAME?</v>
      </c>
      <c r="H135" t="e">
        <f ca="1">ELLQF!K44</f>
        <v>#NAME?</v>
      </c>
      <c r="I135">
        <f>ELLQF!L44</f>
        <v>1.4723733647935928</v>
      </c>
      <c r="J135">
        <f>ELLQF!M44</f>
        <v>1.7662495184965192</v>
      </c>
      <c r="K135">
        <f>ELLQF!N44</f>
        <v>24143627.879999999</v>
      </c>
      <c r="L135">
        <f>ELLQF!O44</f>
        <v>369182.17</v>
      </c>
      <c r="M135">
        <f>ELLQF!P44</f>
        <v>59692062.5</v>
      </c>
      <c r="N135">
        <f>ELLQF!Q44</f>
        <v>1021250</v>
      </c>
      <c r="O135">
        <f>ELLQF!R44</f>
        <v>35548434.620000005</v>
      </c>
      <c r="P135">
        <f>ELLQF!S44</f>
        <v>652067.83000000007</v>
      </c>
      <c r="Q135" t="e">
        <f ca="1">ELLQF!T44</f>
        <v>#NAME?</v>
      </c>
      <c r="R135">
        <f>ELLQF!U44</f>
        <v>1038281.25</v>
      </c>
      <c r="S135" t="e">
        <f>ELLQF!#REF!</f>
        <v>#REF!</v>
      </c>
      <c r="T135" t="e">
        <f>ELLQF!#REF!</f>
        <v>#REF!</v>
      </c>
      <c r="U135" t="e">
        <f>ELLQF!#REF!</f>
        <v>#REF!</v>
      </c>
      <c r="V135" t="e">
        <f>ELLQF!#REF!</f>
        <v>#REF!</v>
      </c>
      <c r="W135" t="e">
        <f>ELLQF!#REF!</f>
        <v>#REF!</v>
      </c>
      <c r="X135" t="e">
        <f ca="1">ELLQF!V44</f>
        <v>#NAME?</v>
      </c>
      <c r="Y135" t="e">
        <f ca="1">ELLQF!W44</f>
        <v>#NAME?</v>
      </c>
    </row>
    <row r="136" spans="1:25" x14ac:dyDescent="0.25">
      <c r="A136">
        <f>ELLQF!A45</f>
        <v>0</v>
      </c>
      <c r="B136" t="e">
        <f ca="1">ELLQF!B45</f>
        <v>#NAME?</v>
      </c>
      <c r="C136" t="str">
        <f>ELLQF!C45</f>
        <v>JK610487     Corp</v>
      </c>
      <c r="D136">
        <f>ELLQF!D45</f>
        <v>3.2689358547978625E-5</v>
      </c>
      <c r="E136">
        <f>ELLQF!E45</f>
        <v>104</v>
      </c>
      <c r="F136">
        <f>ELLQF!F45</f>
        <v>100.69</v>
      </c>
      <c r="G136" t="e">
        <f ca="1">ELLQF!G45</f>
        <v>#NAME?</v>
      </c>
      <c r="H136" t="e">
        <f ca="1">ELLQF!K45</f>
        <v>#NAME?</v>
      </c>
      <c r="I136">
        <f>ELLQF!L45</f>
        <v>1.3045056057451765E-2</v>
      </c>
      <c r="J136">
        <f>ELLQF!M45</f>
        <v>1.8418128556517033E-2</v>
      </c>
      <c r="K136">
        <f>ELLQF!N45</f>
        <v>104714</v>
      </c>
      <c r="L136">
        <f>ELLQF!O45</f>
        <v>1781.94</v>
      </c>
      <c r="M136">
        <f>ELLQF!P45</f>
        <v>106080</v>
      </c>
      <c r="N136">
        <f>ELLQF!Q45</f>
        <v>1814.76</v>
      </c>
      <c r="O136">
        <f>ELLQF!R45</f>
        <v>1366</v>
      </c>
      <c r="P136">
        <f>ELLQF!S45</f>
        <v>32.819999999999936</v>
      </c>
      <c r="Q136" t="e">
        <f ca="1">ELLQF!T45</f>
        <v>#NAME?</v>
      </c>
      <c r="R136">
        <f>ELLQF!U45</f>
        <v>1876.85</v>
      </c>
      <c r="S136" t="e">
        <f>ELLQF!#REF!</f>
        <v>#REF!</v>
      </c>
      <c r="T136" t="e">
        <f>ELLQF!#REF!</f>
        <v>#REF!</v>
      </c>
      <c r="U136" t="e">
        <f>ELLQF!#REF!</f>
        <v>#REF!</v>
      </c>
      <c r="V136" t="e">
        <f>ELLQF!#REF!</f>
        <v>#REF!</v>
      </c>
      <c r="W136" t="e">
        <f>ELLQF!#REF!</f>
        <v>#REF!</v>
      </c>
      <c r="X136" t="e">
        <f ca="1">ELLQF!V45</f>
        <v>#NAME?</v>
      </c>
      <c r="Y136" t="e">
        <f ca="1">ELLQF!W45</f>
        <v>#NAME?</v>
      </c>
    </row>
    <row r="137" spans="1:25" x14ac:dyDescent="0.25">
      <c r="A137">
        <f>ELLQF!A46</f>
        <v>0</v>
      </c>
      <c r="B137" t="e">
        <f ca="1">ELLQF!B46</f>
        <v>#NAME?</v>
      </c>
      <c r="C137" t="str">
        <f>ELLQF!C46</f>
        <v>JK549945     Corp</v>
      </c>
      <c r="D137">
        <f>ELLQF!D46</f>
        <v>9.2632098091747717E-6</v>
      </c>
      <c r="E137">
        <f>ELLQF!E46</f>
        <v>30</v>
      </c>
      <c r="F137">
        <f>ELLQF!F46</f>
        <v>104.3</v>
      </c>
      <c r="G137" t="e">
        <f ca="1">ELLQF!G46</f>
        <v>#NAME?</v>
      </c>
      <c r="H137" t="e">
        <f ca="1">ELLQF!K46</f>
        <v>#NAME?</v>
      </c>
      <c r="I137">
        <f>ELLQF!L46</f>
        <v>-3.9309683604985657E-2</v>
      </c>
      <c r="J137">
        <f>ELLQF!M46</f>
        <v>-3.4217890209777169E-2</v>
      </c>
      <c r="K137">
        <f>ELLQF!N46</f>
        <v>31290</v>
      </c>
      <c r="L137">
        <f>ELLQF!O46</f>
        <v>532.47</v>
      </c>
      <c r="M137">
        <f>ELLQF!P46</f>
        <v>30060</v>
      </c>
      <c r="N137">
        <f>ELLQF!Q46</f>
        <v>514.25</v>
      </c>
      <c r="O137">
        <f>ELLQF!R46</f>
        <v>-1230</v>
      </c>
      <c r="P137">
        <f>ELLQF!S46</f>
        <v>-18.220000000000027</v>
      </c>
      <c r="Q137" t="e">
        <f ca="1">ELLQF!T46</f>
        <v>#NAME?</v>
      </c>
      <c r="R137">
        <f>ELLQF!U46</f>
        <v>539.83000000000004</v>
      </c>
      <c r="S137" t="e">
        <f>ELLQF!#REF!</f>
        <v>#REF!</v>
      </c>
      <c r="T137" t="e">
        <f>ELLQF!#REF!</f>
        <v>#REF!</v>
      </c>
      <c r="U137" t="e">
        <f>ELLQF!#REF!</f>
        <v>#REF!</v>
      </c>
      <c r="V137" t="e">
        <f>ELLQF!#REF!</f>
        <v>#REF!</v>
      </c>
      <c r="W137" t="e">
        <f>ELLQF!#REF!</f>
        <v>#REF!</v>
      </c>
      <c r="X137" t="e">
        <f ca="1">ELLQF!V46</f>
        <v>#NAME?</v>
      </c>
      <c r="Y137" t="e">
        <f ca="1">ELLQF!W46</f>
        <v>#NAME?</v>
      </c>
    </row>
    <row r="138" spans="1:25" x14ac:dyDescent="0.25">
      <c r="A138">
        <f>ELLQF!A47</f>
        <v>0</v>
      </c>
      <c r="B138" t="e">
        <f ca="1">ELLQF!B47</f>
        <v>#NAME?</v>
      </c>
      <c r="C138" t="str">
        <f>ELLQF!C47</f>
        <v>AM281135     Corp</v>
      </c>
      <c r="D138">
        <f>ELLQF!D47</f>
        <v>6.2512480936820862E-6</v>
      </c>
      <c r="E138">
        <f>ELLQF!E47</f>
        <v>20</v>
      </c>
      <c r="F138">
        <f>ELLQF!F47</f>
        <v>101.43</v>
      </c>
      <c r="G138" t="e">
        <f ca="1">ELLQF!G47</f>
        <v>#NAME?</v>
      </c>
      <c r="H138" t="e">
        <f ca="1">ELLQF!K47</f>
        <v>#NAME?</v>
      </c>
      <c r="I138">
        <f>ELLQF!L47</f>
        <v>0</v>
      </c>
      <c r="J138">
        <f>ELLQF!M47</f>
        <v>5.3011210567481815E-3</v>
      </c>
      <c r="K138">
        <f>ELLQF!N47</f>
        <v>20286</v>
      </c>
      <c r="L138">
        <f>ELLQF!O47</f>
        <v>345.21</v>
      </c>
      <c r="M138">
        <f>ELLQF!P47</f>
        <v>20286</v>
      </c>
      <c r="N138">
        <f>ELLQF!Q47</f>
        <v>347.04</v>
      </c>
      <c r="O138">
        <f>ELLQF!R47</f>
        <v>0</v>
      </c>
      <c r="P138">
        <f>ELLQF!S47</f>
        <v>1.8300000000000409</v>
      </c>
      <c r="Q138" t="e">
        <f ca="1">ELLQF!T47</f>
        <v>#NAME?</v>
      </c>
      <c r="R138">
        <f>ELLQF!U47</f>
        <v>347.88</v>
      </c>
      <c r="S138" t="e">
        <f>ELLQF!#REF!</f>
        <v>#REF!</v>
      </c>
      <c r="T138" t="e">
        <f>ELLQF!#REF!</f>
        <v>#REF!</v>
      </c>
      <c r="U138" t="e">
        <f>ELLQF!#REF!</f>
        <v>#REF!</v>
      </c>
      <c r="V138" t="e">
        <f>ELLQF!#REF!</f>
        <v>#REF!</v>
      </c>
      <c r="W138" t="e">
        <f>ELLQF!#REF!</f>
        <v>#REF!</v>
      </c>
      <c r="X138" t="e">
        <f ca="1">ELLQF!V47</f>
        <v>#NAME?</v>
      </c>
      <c r="Y138" t="e">
        <f ca="1">ELLQF!W47</f>
        <v>#NAME?</v>
      </c>
    </row>
    <row r="139" spans="1:25" x14ac:dyDescent="0.25">
      <c r="A139">
        <f>ELLQF!A48</f>
        <v>0</v>
      </c>
      <c r="B139" t="e">
        <f ca="1">ELLQF!B48</f>
        <v>#NAME?</v>
      </c>
      <c r="C139" t="str">
        <f>ELLQF!C48</f>
        <v>EJ878424     Corp</v>
      </c>
      <c r="D139">
        <f>ELLQF!D48</f>
        <v>3.8457856961765942E-3</v>
      </c>
      <c r="E139">
        <f>ELLQF!E48</f>
        <v>200</v>
      </c>
      <c r="F139">
        <f>ELLQF!F48</f>
        <v>85</v>
      </c>
      <c r="G139" t="e">
        <f ca="1">ELLQF!G48</f>
        <v>#NAME?</v>
      </c>
      <c r="H139" t="e">
        <f ca="1">ELLQF!K48</f>
        <v>#NAME?</v>
      </c>
      <c r="I139">
        <f>ELLQF!L48</f>
        <v>0.82852966818811224</v>
      </c>
      <c r="J139">
        <f>ELLQF!M48</f>
        <v>0.25588235294117645</v>
      </c>
      <c r="K139">
        <f>ELLQF!N48</f>
        <v>6824650</v>
      </c>
      <c r="L139">
        <f>ELLQF!O48</f>
        <v>170000</v>
      </c>
      <c r="M139">
        <f>ELLQF!P48</f>
        <v>12479075</v>
      </c>
      <c r="N139">
        <f>ELLQF!Q48</f>
        <v>213500</v>
      </c>
      <c r="O139">
        <f>ELLQF!R48</f>
        <v>5654425</v>
      </c>
      <c r="P139">
        <f>ELLQF!S48</f>
        <v>43500</v>
      </c>
      <c r="Q139" t="e">
        <f ca="1">ELLQF!T48</f>
        <v>#NAME?</v>
      </c>
      <c r="R139">
        <f>ELLQF!U48</f>
        <v>193875</v>
      </c>
      <c r="S139" t="e">
        <f>ELLQF!#REF!</f>
        <v>#REF!</v>
      </c>
      <c r="T139" t="e">
        <f>ELLQF!#REF!</f>
        <v>#REF!</v>
      </c>
      <c r="U139" t="e">
        <f>ELLQF!#REF!</f>
        <v>#REF!</v>
      </c>
      <c r="V139" t="e">
        <f>ELLQF!#REF!</f>
        <v>#REF!</v>
      </c>
      <c r="W139" t="e">
        <f>ELLQF!#REF!</f>
        <v>#REF!</v>
      </c>
      <c r="X139" t="e">
        <f ca="1">ELLQF!V48</f>
        <v>#NAME?</v>
      </c>
      <c r="Y139" t="e">
        <f ca="1">ELLQF!W48</f>
        <v>#NAME?</v>
      </c>
    </row>
    <row r="140" spans="1:25" x14ac:dyDescent="0.25">
      <c r="A140">
        <f>ELLQF!A49</f>
        <v>0</v>
      </c>
      <c r="B140" t="e">
        <f ca="1">ELLQF!B49</f>
        <v>#NAME?</v>
      </c>
      <c r="C140" t="str">
        <f>ELLQF!C49</f>
        <v>QZ580267     Corp</v>
      </c>
      <c r="D140">
        <f>ELLQF!D49</f>
        <v>9.4204637160957155E-6</v>
      </c>
      <c r="E140">
        <f>ELLQF!E49</f>
        <v>30</v>
      </c>
      <c r="F140">
        <f>ELLQF!F49</f>
        <v>100</v>
      </c>
      <c r="G140" t="e">
        <f ca="1">ELLQF!G49</f>
        <v>#NAME?</v>
      </c>
      <c r="H140" t="e">
        <f ca="1">ELLQF!K49</f>
        <v>#NAME?</v>
      </c>
      <c r="I140">
        <f>ELLQF!L49</f>
        <v>1.8999999999999906E-2</v>
      </c>
      <c r="J140">
        <f>ELLQF!M49</f>
        <v>2.4406487502938168E-2</v>
      </c>
      <c r="K140">
        <f>ELLQF!N49</f>
        <v>30000</v>
      </c>
      <c r="L140">
        <f>ELLQF!O49</f>
        <v>510.52</v>
      </c>
      <c r="M140">
        <f>ELLQF!P49</f>
        <v>30570</v>
      </c>
      <c r="N140">
        <f>ELLQF!Q49</f>
        <v>522.98</v>
      </c>
      <c r="O140">
        <f>ELLQF!R49</f>
        <v>570</v>
      </c>
      <c r="P140">
        <f>ELLQF!S49</f>
        <v>12.460000000000036</v>
      </c>
      <c r="Q140" t="e">
        <f ca="1">ELLQF!T49</f>
        <v>#NAME?</v>
      </c>
      <c r="R140">
        <f>ELLQF!U49</f>
        <v>530.11</v>
      </c>
      <c r="S140" t="e">
        <f>ELLQF!#REF!</f>
        <v>#REF!</v>
      </c>
      <c r="T140" t="e">
        <f>ELLQF!#REF!</f>
        <v>#REF!</v>
      </c>
      <c r="U140" t="e">
        <f>ELLQF!#REF!</f>
        <v>#REF!</v>
      </c>
      <c r="V140" t="e">
        <f>ELLQF!#REF!</f>
        <v>#REF!</v>
      </c>
      <c r="W140" t="e">
        <f>ELLQF!#REF!</f>
        <v>#REF!</v>
      </c>
      <c r="X140" t="e">
        <f ca="1">ELLQF!V49</f>
        <v>#NAME?</v>
      </c>
      <c r="Y140" t="e">
        <f ca="1">ELLQF!W49</f>
        <v>#NAME?</v>
      </c>
    </row>
    <row r="141" spans="1:25" x14ac:dyDescent="0.25">
      <c r="A141">
        <f>ELLQF!A50</f>
        <v>0</v>
      </c>
      <c r="B141" t="e">
        <f ca="1">ELLQF!B50</f>
        <v>#NAME?</v>
      </c>
      <c r="C141" t="str">
        <f>ELLQF!C50</f>
        <v>JK576342     Corp</v>
      </c>
      <c r="D141">
        <f>ELLQF!D50</f>
        <v>6.4281362226584519E-6</v>
      </c>
      <c r="E141">
        <f>ELLQF!E50</f>
        <v>20</v>
      </c>
      <c r="F141">
        <f>ELLQF!F50</f>
        <v>100</v>
      </c>
      <c r="G141" t="e">
        <f ca="1">ELLQF!G50</f>
        <v>#NAME?</v>
      </c>
      <c r="H141" t="e">
        <f ca="1">ELLQF!K50</f>
        <v>#NAME?</v>
      </c>
      <c r="I141">
        <f>ELLQF!L50</f>
        <v>4.2999999999999927E-2</v>
      </c>
      <c r="J141">
        <f>ELLQF!M50</f>
        <v>4.8508887909504805E-2</v>
      </c>
      <c r="K141">
        <f>ELLQF!N50</f>
        <v>20000</v>
      </c>
      <c r="L141">
        <f>ELLQF!O50</f>
        <v>340.35</v>
      </c>
      <c r="M141">
        <f>ELLQF!P50</f>
        <v>20860</v>
      </c>
      <c r="N141">
        <f>ELLQF!Q50</f>
        <v>356.86</v>
      </c>
      <c r="O141">
        <f>ELLQF!R50</f>
        <v>860</v>
      </c>
      <c r="P141">
        <f>ELLQF!S50</f>
        <v>16.509999999999991</v>
      </c>
      <c r="Q141" t="e">
        <f ca="1">ELLQF!T50</f>
        <v>#NAME?</v>
      </c>
      <c r="R141">
        <f>ELLQF!U50</f>
        <v>375.21</v>
      </c>
      <c r="S141" t="e">
        <f>ELLQF!#REF!</f>
        <v>#REF!</v>
      </c>
      <c r="T141" t="e">
        <f>ELLQF!#REF!</f>
        <v>#REF!</v>
      </c>
      <c r="U141" t="e">
        <f>ELLQF!#REF!</f>
        <v>#REF!</v>
      </c>
      <c r="V141" t="e">
        <f>ELLQF!#REF!</f>
        <v>#REF!</v>
      </c>
      <c r="W141" t="e">
        <f>ELLQF!#REF!</f>
        <v>#REF!</v>
      </c>
      <c r="X141" t="e">
        <f ca="1">ELLQF!V50</f>
        <v>#NAME?</v>
      </c>
      <c r="Y141" t="e">
        <f ca="1">ELLQF!W50</f>
        <v>#NAME?</v>
      </c>
    </row>
    <row r="142" spans="1:25" x14ac:dyDescent="0.25">
      <c r="A142">
        <f>ELLQF!A51</f>
        <v>0</v>
      </c>
      <c r="B142" t="e">
        <f ca="1">ELLQF!B51</f>
        <v>#NAME?</v>
      </c>
      <c r="C142" t="str">
        <f>ELLQF!C51</f>
        <v>EJ606056     Corp</v>
      </c>
      <c r="D142">
        <f>ELLQF!D51</f>
        <v>3.6881715283005045E-2</v>
      </c>
      <c r="E142">
        <f>ELLQF!E51</f>
        <v>2000</v>
      </c>
      <c r="F142">
        <f>ELLQF!F51</f>
        <v>84.24</v>
      </c>
      <c r="G142" t="e">
        <f ca="1">ELLQF!G51</f>
        <v>#NAME?</v>
      </c>
      <c r="H142" t="e">
        <f ca="1">ELLQF!K51</f>
        <v>#NAME?</v>
      </c>
      <c r="I142">
        <f>ELLQF!L51</f>
        <v>0.7694105816905028</v>
      </c>
      <c r="J142">
        <f>ELLQF!M51</f>
        <v>0.2152778066305272</v>
      </c>
      <c r="K142">
        <f>ELLQF!N51</f>
        <v>67636294.390000001</v>
      </c>
      <c r="L142">
        <f>ELLQF!O51</f>
        <v>1684799.96</v>
      </c>
      <c r="M142">
        <f>ELLQF!P51</f>
        <v>119676375</v>
      </c>
      <c r="N142">
        <f>ELLQF!Q51</f>
        <v>2047500</v>
      </c>
      <c r="O142">
        <f>ELLQF!R51</f>
        <v>52040080.609999999</v>
      </c>
      <c r="P142">
        <f>ELLQF!S51</f>
        <v>362700.04000000004</v>
      </c>
      <c r="Q142" t="e">
        <f ca="1">ELLQF!T51</f>
        <v>#NAME?</v>
      </c>
      <c r="R142">
        <f>ELLQF!U51</f>
        <v>1698750</v>
      </c>
      <c r="S142" t="e">
        <f>ELLQF!#REF!</f>
        <v>#REF!</v>
      </c>
      <c r="T142" t="e">
        <f>ELLQF!#REF!</f>
        <v>#REF!</v>
      </c>
      <c r="U142" t="e">
        <f>ELLQF!#REF!</f>
        <v>#REF!</v>
      </c>
      <c r="V142" t="e">
        <f>ELLQF!#REF!</f>
        <v>#REF!</v>
      </c>
      <c r="W142" t="e">
        <f>ELLQF!#REF!</f>
        <v>#REF!</v>
      </c>
      <c r="X142" t="e">
        <f ca="1">ELLQF!V51</f>
        <v>#NAME?</v>
      </c>
      <c r="Y142" t="e">
        <f ca="1">ELLQF!W51</f>
        <v>#NAME?</v>
      </c>
    </row>
    <row r="143" spans="1:25" x14ac:dyDescent="0.25">
      <c r="A143">
        <f>ELLQF!A52</f>
        <v>0</v>
      </c>
      <c r="B143" t="e">
        <f ca="1">ELLQF!B52</f>
        <v>#NAME?</v>
      </c>
      <c r="C143" t="str">
        <f>ELLQF!C52</f>
        <v>EJ644860     Corp</v>
      </c>
      <c r="D143">
        <f>ELLQF!D52</f>
        <v>4.7734576556758669E-3</v>
      </c>
      <c r="E143">
        <f>ELLQF!E52</f>
        <v>250</v>
      </c>
      <c r="F143">
        <f>ELLQF!F52</f>
        <v>89.39</v>
      </c>
      <c r="G143" t="e">
        <f ca="1">ELLQF!G52</f>
        <v>#NAME?</v>
      </c>
      <c r="H143" t="e">
        <f ca="1">ELLQF!K52</f>
        <v>#NAME?</v>
      </c>
      <c r="I143">
        <f>ELLQF!L52</f>
        <v>0.72648832464255908</v>
      </c>
      <c r="J143">
        <f>ELLQF!M52</f>
        <v>0.18579766998364855</v>
      </c>
      <c r="K143">
        <f>ELLQF!N52</f>
        <v>8971534.75</v>
      </c>
      <c r="L143">
        <f>ELLQF!O52</f>
        <v>223478.26</v>
      </c>
      <c r="M143">
        <f>ELLQF!P52</f>
        <v>15489250</v>
      </c>
      <c r="N143">
        <f>ELLQF!Q52</f>
        <v>265000</v>
      </c>
      <c r="O143">
        <f>ELLQF!R52</f>
        <v>6517715.25</v>
      </c>
      <c r="P143">
        <f>ELLQF!S52</f>
        <v>41521.739999999991</v>
      </c>
      <c r="Q143" t="e">
        <f ca="1">ELLQF!T52</f>
        <v>#NAME?</v>
      </c>
      <c r="R143">
        <f>ELLQF!U52</f>
        <v>485423.44</v>
      </c>
      <c r="S143" t="e">
        <f>ELLQF!#REF!</f>
        <v>#REF!</v>
      </c>
      <c r="T143" t="e">
        <f>ELLQF!#REF!</f>
        <v>#REF!</v>
      </c>
      <c r="U143" t="e">
        <f>ELLQF!#REF!</f>
        <v>#REF!</v>
      </c>
      <c r="V143" t="e">
        <f>ELLQF!#REF!</f>
        <v>#REF!</v>
      </c>
      <c r="W143" t="e">
        <f>ELLQF!#REF!</f>
        <v>#REF!</v>
      </c>
      <c r="X143" t="e">
        <f ca="1">ELLQF!V52</f>
        <v>#NAME?</v>
      </c>
      <c r="Y143" t="e">
        <f ca="1">ELLQF!W52</f>
        <v>#NAME?</v>
      </c>
    </row>
    <row r="144" spans="1:25" x14ac:dyDescent="0.25">
      <c r="A144">
        <f>ELLQF!A53</f>
        <v>0</v>
      </c>
      <c r="B144" t="e">
        <f ca="1">ELLQF!B53</f>
        <v>#NAME?</v>
      </c>
      <c r="C144" t="str">
        <f>ELLQF!C53</f>
        <v>JV410549     Corp</v>
      </c>
      <c r="D144">
        <f>ELLQF!D53</f>
        <v>9.7670347549455407E-6</v>
      </c>
      <c r="E144">
        <f>ELLQF!E53</f>
        <v>30</v>
      </c>
      <c r="F144">
        <f>ELLQF!F53</f>
        <v>105.8</v>
      </c>
      <c r="G144" t="e">
        <f ca="1">ELLQF!G53</f>
        <v>#NAME?</v>
      </c>
      <c r="H144" t="e">
        <f ca="1">ELLQF!K53</f>
        <v>#NAME?</v>
      </c>
      <c r="I144">
        <f>ELLQF!L53</f>
        <v>-1.4177693761814325E-3</v>
      </c>
      <c r="J144">
        <f>ELLQF!M53</f>
        <v>3.8694388387980894E-3</v>
      </c>
      <c r="K144">
        <f>ELLQF!N53</f>
        <v>31740</v>
      </c>
      <c r="L144">
        <f>ELLQF!O53</f>
        <v>540.13</v>
      </c>
      <c r="M144">
        <f>ELLQF!P53</f>
        <v>31695</v>
      </c>
      <c r="N144">
        <f>ELLQF!Q53</f>
        <v>542.22</v>
      </c>
      <c r="O144">
        <f>ELLQF!R53</f>
        <v>-45</v>
      </c>
      <c r="P144">
        <f>ELLQF!S53</f>
        <v>2.0900000000000318</v>
      </c>
      <c r="Q144" t="e">
        <f ca="1">ELLQF!T53</f>
        <v>#NAME?</v>
      </c>
      <c r="R144">
        <f>ELLQF!U53</f>
        <v>553.27</v>
      </c>
      <c r="S144" t="e">
        <f>ELLQF!#REF!</f>
        <v>#REF!</v>
      </c>
      <c r="T144" t="e">
        <f>ELLQF!#REF!</f>
        <v>#REF!</v>
      </c>
      <c r="U144" t="e">
        <f>ELLQF!#REF!</f>
        <v>#REF!</v>
      </c>
      <c r="V144" t="e">
        <f>ELLQF!#REF!</f>
        <v>#REF!</v>
      </c>
      <c r="W144" t="e">
        <f>ELLQF!#REF!</f>
        <v>#REF!</v>
      </c>
      <c r="X144" t="e">
        <f ca="1">ELLQF!V53</f>
        <v>#NAME?</v>
      </c>
      <c r="Y144" t="e">
        <f ca="1">ELLQF!W53</f>
        <v>#NAME?</v>
      </c>
    </row>
    <row r="145" spans="1:25" x14ac:dyDescent="0.25">
      <c r="A145">
        <f>ELLQF!A54</f>
        <v>0</v>
      </c>
      <c r="B145" t="e">
        <f ca="1">ELLQF!B54</f>
        <v>#NAME?</v>
      </c>
      <c r="C145" t="str">
        <f>ELLQF!C54</f>
        <v>EJ545131     Corp</v>
      </c>
      <c r="D145">
        <f>ELLQF!D54</f>
        <v>9.0227356216152521E-7</v>
      </c>
      <c r="E145">
        <f>ELLQF!E54</f>
        <v>3</v>
      </c>
      <c r="F145">
        <f>ELLQF!F54</f>
        <v>92.46</v>
      </c>
      <c r="G145" t="e">
        <f ca="1">ELLQF!G54</f>
        <v>#NAME?</v>
      </c>
      <c r="H145" t="e">
        <f ca="1">ELLQF!K54</f>
        <v>#NAME?</v>
      </c>
      <c r="I145">
        <f>ELLQF!L54</f>
        <v>5.5591607181483926E-2</v>
      </c>
      <c r="J145">
        <f>ELLQF!M54</f>
        <v>6.1228813559321971E-2</v>
      </c>
      <c r="K145">
        <f>ELLQF!N54</f>
        <v>2773.8</v>
      </c>
      <c r="L145">
        <f>ELLQF!O54</f>
        <v>47.2</v>
      </c>
      <c r="M145">
        <f>ELLQF!P54</f>
        <v>2928</v>
      </c>
      <c r="N145">
        <f>ELLQF!Q54</f>
        <v>50.09</v>
      </c>
      <c r="O145">
        <f>ELLQF!R54</f>
        <v>154.19999999999982</v>
      </c>
      <c r="P145">
        <f>ELLQF!S54</f>
        <v>2.8900000000000006</v>
      </c>
      <c r="Q145" t="e">
        <f ca="1">ELLQF!T54</f>
        <v>#NAME?</v>
      </c>
      <c r="R145">
        <f>ELLQF!U54</f>
        <v>50.15</v>
      </c>
      <c r="S145" t="e">
        <f>ELLQF!#REF!</f>
        <v>#REF!</v>
      </c>
      <c r="T145" t="e">
        <f>ELLQF!#REF!</f>
        <v>#REF!</v>
      </c>
      <c r="U145" t="e">
        <f>ELLQF!#REF!</f>
        <v>#REF!</v>
      </c>
      <c r="V145" t="e">
        <f>ELLQF!#REF!</f>
        <v>#REF!</v>
      </c>
      <c r="W145" t="e">
        <f>ELLQF!#REF!</f>
        <v>#REF!</v>
      </c>
      <c r="X145" t="e">
        <f ca="1">ELLQF!V54</f>
        <v>#NAME?</v>
      </c>
      <c r="Y145" t="e">
        <f ca="1">ELLQF!W54</f>
        <v>#NAME?</v>
      </c>
    </row>
    <row r="146" spans="1:25" x14ac:dyDescent="0.25">
      <c r="A146" t="e">
        <f>ELLQF!#REF!</f>
        <v>#REF!</v>
      </c>
      <c r="B146" t="e">
        <f>ELLQF!#REF!</f>
        <v>#REF!</v>
      </c>
      <c r="C146" t="e">
        <f>ELLQF!#REF!</f>
        <v>#REF!</v>
      </c>
      <c r="D146" t="e">
        <f>ELLQF!#REF!</f>
        <v>#REF!</v>
      </c>
      <c r="E146" t="e">
        <f>ELLQF!#REF!</f>
        <v>#REF!</v>
      </c>
      <c r="F146" t="e">
        <f>ELLQF!#REF!</f>
        <v>#REF!</v>
      </c>
      <c r="G146" t="e">
        <f>ELLQF!#REF!</f>
        <v>#REF!</v>
      </c>
      <c r="H146" t="e">
        <f>ELLQF!#REF!</f>
        <v>#REF!</v>
      </c>
      <c r="I146" t="e">
        <f>ELLQF!#REF!</f>
        <v>#REF!</v>
      </c>
      <c r="J146" t="e">
        <f>ELLQF!#REF!</f>
        <v>#REF!</v>
      </c>
      <c r="K146" t="e">
        <f>ELLQF!#REF!</f>
        <v>#REF!</v>
      </c>
      <c r="L146" t="e">
        <f>ELLQF!#REF!</f>
        <v>#REF!</v>
      </c>
      <c r="M146" t="e">
        <f>ELLQF!#REF!</f>
        <v>#REF!</v>
      </c>
      <c r="N146" t="e">
        <f>ELLQF!#REF!</f>
        <v>#REF!</v>
      </c>
      <c r="O146" t="e">
        <f>ELLQF!#REF!</f>
        <v>#REF!</v>
      </c>
      <c r="P146" t="e">
        <f>ELLQF!#REF!</f>
        <v>#REF!</v>
      </c>
      <c r="Q146" t="e">
        <f>ELLQF!#REF!</f>
        <v>#REF!</v>
      </c>
      <c r="R146" t="e">
        <f>ELLQF!#REF!</f>
        <v>#REF!</v>
      </c>
      <c r="S146" t="e">
        <f>ELLQF!#REF!</f>
        <v>#REF!</v>
      </c>
      <c r="T146" t="e">
        <f>ELLQF!#REF!</f>
        <v>#REF!</v>
      </c>
      <c r="U146" t="e">
        <f>ELLQF!#REF!</f>
        <v>#REF!</v>
      </c>
      <c r="V146" t="e">
        <f>ELLQF!#REF!</f>
        <v>#REF!</v>
      </c>
      <c r="W146" t="e">
        <f>ELLQF!#REF!</f>
        <v>#REF!</v>
      </c>
      <c r="X146" t="e">
        <f>ELLQF!#REF!</f>
        <v>#REF!</v>
      </c>
      <c r="Y146" t="e">
        <f>ELLQF!#REF!</f>
        <v>#REF!</v>
      </c>
    </row>
    <row r="147" spans="1:25" x14ac:dyDescent="0.25">
      <c r="A147" t="e">
        <f>ELLQF!#REF!</f>
        <v>#REF!</v>
      </c>
      <c r="B147" t="e">
        <f>ELLQF!#REF!</f>
        <v>#REF!</v>
      </c>
      <c r="C147" t="e">
        <f>ELLQF!#REF!</f>
        <v>#REF!</v>
      </c>
      <c r="D147" t="e">
        <f>ELLQF!#REF!</f>
        <v>#REF!</v>
      </c>
      <c r="E147" t="e">
        <f>ELLQF!#REF!</f>
        <v>#REF!</v>
      </c>
      <c r="F147" t="e">
        <f>ELLQF!#REF!</f>
        <v>#REF!</v>
      </c>
      <c r="G147" t="e">
        <f>ELLQF!#REF!</f>
        <v>#REF!</v>
      </c>
      <c r="H147" t="e">
        <f>ELLQF!#REF!</f>
        <v>#REF!</v>
      </c>
      <c r="I147" t="e">
        <f>ELLQF!#REF!</f>
        <v>#REF!</v>
      </c>
      <c r="J147" t="e">
        <f>ELLQF!#REF!</f>
        <v>#REF!</v>
      </c>
      <c r="K147" t="e">
        <f>ELLQF!#REF!</f>
        <v>#REF!</v>
      </c>
      <c r="L147" t="e">
        <f>ELLQF!#REF!</f>
        <v>#REF!</v>
      </c>
      <c r="M147" t="e">
        <f>ELLQF!#REF!</f>
        <v>#REF!</v>
      </c>
      <c r="N147" t="e">
        <f>ELLQF!#REF!</f>
        <v>#REF!</v>
      </c>
      <c r="O147" t="e">
        <f>ELLQF!#REF!</f>
        <v>#REF!</v>
      </c>
      <c r="P147" t="e">
        <f>ELLQF!#REF!</f>
        <v>#REF!</v>
      </c>
      <c r="Q147" t="e">
        <f>ELLQF!#REF!</f>
        <v>#REF!</v>
      </c>
      <c r="R147" t="e">
        <f>ELLQF!#REF!</f>
        <v>#REF!</v>
      </c>
      <c r="S147" t="e">
        <f>ELLQF!#REF!</f>
        <v>#REF!</v>
      </c>
      <c r="T147" t="e">
        <f>ELLQF!#REF!</f>
        <v>#REF!</v>
      </c>
      <c r="U147" t="e">
        <f>ELLQF!#REF!</f>
        <v>#REF!</v>
      </c>
      <c r="V147" t="e">
        <f>ELLQF!#REF!</f>
        <v>#REF!</v>
      </c>
      <c r="W147" t="e">
        <f>ELLQF!#REF!</f>
        <v>#REF!</v>
      </c>
      <c r="X147" t="e">
        <f>ELLQF!#REF!</f>
        <v>#REF!</v>
      </c>
      <c r="Y147" t="e">
        <f>ELLQF!#REF!</f>
        <v>#REF!</v>
      </c>
    </row>
    <row r="148" spans="1:25" x14ac:dyDescent="0.25">
      <c r="A148" t="e">
        <f>ELLQF!#REF!</f>
        <v>#REF!</v>
      </c>
      <c r="B148" t="e">
        <f>ELLQF!#REF!</f>
        <v>#REF!</v>
      </c>
      <c r="C148" t="e">
        <f>ELLQF!#REF!</f>
        <v>#REF!</v>
      </c>
      <c r="D148" t="e">
        <f>ELLQF!#REF!</f>
        <v>#REF!</v>
      </c>
      <c r="E148" t="e">
        <f>ELLQF!#REF!</f>
        <v>#REF!</v>
      </c>
      <c r="F148" t="e">
        <f>ELLQF!#REF!</f>
        <v>#REF!</v>
      </c>
      <c r="G148" t="e">
        <f>ELLQF!#REF!</f>
        <v>#REF!</v>
      </c>
      <c r="H148" t="e">
        <f>ELLQF!#REF!</f>
        <v>#REF!</v>
      </c>
      <c r="I148" t="e">
        <f>ELLQF!#REF!</f>
        <v>#REF!</v>
      </c>
      <c r="J148" t="e">
        <f>ELLQF!#REF!</f>
        <v>#REF!</v>
      </c>
      <c r="K148" t="e">
        <f>ELLQF!#REF!</f>
        <v>#REF!</v>
      </c>
      <c r="L148" t="e">
        <f>ELLQF!#REF!</f>
        <v>#REF!</v>
      </c>
      <c r="M148" t="e">
        <f>ELLQF!#REF!</f>
        <v>#REF!</v>
      </c>
      <c r="N148" t="e">
        <f>ELLQF!#REF!</f>
        <v>#REF!</v>
      </c>
      <c r="O148" t="e">
        <f>ELLQF!#REF!</f>
        <v>#REF!</v>
      </c>
      <c r="P148" t="e">
        <f>ELLQF!#REF!</f>
        <v>#REF!</v>
      </c>
      <c r="Q148" t="e">
        <f>ELLQF!#REF!</f>
        <v>#REF!</v>
      </c>
      <c r="R148" t="e">
        <f>ELLQF!#REF!</f>
        <v>#REF!</v>
      </c>
      <c r="S148" t="e">
        <f>ELLQF!#REF!</f>
        <v>#REF!</v>
      </c>
      <c r="T148" t="e">
        <f>ELLQF!#REF!</f>
        <v>#REF!</v>
      </c>
      <c r="U148" t="e">
        <f>ELLQF!#REF!</f>
        <v>#REF!</v>
      </c>
      <c r="V148" t="e">
        <f>ELLQF!#REF!</f>
        <v>#REF!</v>
      </c>
      <c r="W148" t="e">
        <f>ELLQF!#REF!</f>
        <v>#REF!</v>
      </c>
      <c r="X148" t="e">
        <f>ELLQF!#REF!</f>
        <v>#REF!</v>
      </c>
      <c r="Y148" t="e">
        <f>ELLQF!#REF!</f>
        <v>#REF!</v>
      </c>
    </row>
    <row r="149" spans="1:25" x14ac:dyDescent="0.25">
      <c r="A149" t="e">
        <f>ELLQF!#REF!</f>
        <v>#REF!</v>
      </c>
      <c r="B149" t="e">
        <f>ELLQF!#REF!</f>
        <v>#REF!</v>
      </c>
      <c r="C149" t="e">
        <f>ELLQF!#REF!</f>
        <v>#REF!</v>
      </c>
      <c r="D149" t="e">
        <f>ELLQF!#REF!</f>
        <v>#REF!</v>
      </c>
      <c r="E149" t="e">
        <f>ELLQF!#REF!</f>
        <v>#REF!</v>
      </c>
      <c r="F149" t="e">
        <f>ELLQF!#REF!</f>
        <v>#REF!</v>
      </c>
      <c r="G149" t="e">
        <f>ELLQF!#REF!</f>
        <v>#REF!</v>
      </c>
      <c r="H149" t="e">
        <f>ELLQF!#REF!</f>
        <v>#REF!</v>
      </c>
      <c r="I149" t="e">
        <f>ELLQF!#REF!</f>
        <v>#REF!</v>
      </c>
      <c r="J149" t="e">
        <f>ELLQF!#REF!</f>
        <v>#REF!</v>
      </c>
      <c r="K149" t="e">
        <f>ELLQF!#REF!</f>
        <v>#REF!</v>
      </c>
      <c r="L149" t="e">
        <f>ELLQF!#REF!</f>
        <v>#REF!</v>
      </c>
      <c r="M149" t="e">
        <f>ELLQF!#REF!</f>
        <v>#REF!</v>
      </c>
      <c r="N149" t="e">
        <f>ELLQF!#REF!</f>
        <v>#REF!</v>
      </c>
      <c r="O149" t="e">
        <f>ELLQF!#REF!</f>
        <v>#REF!</v>
      </c>
      <c r="P149" t="e">
        <f>ELLQF!#REF!</f>
        <v>#REF!</v>
      </c>
      <c r="Q149" t="e">
        <f>ELLQF!#REF!</f>
        <v>#REF!</v>
      </c>
      <c r="R149" t="e">
        <f>ELLQF!#REF!</f>
        <v>#REF!</v>
      </c>
      <c r="S149" t="e">
        <f>ELLQF!#REF!</f>
        <v>#REF!</v>
      </c>
      <c r="T149" t="e">
        <f>ELLQF!#REF!</f>
        <v>#REF!</v>
      </c>
      <c r="U149" t="e">
        <f>ELLQF!#REF!</f>
        <v>#REF!</v>
      </c>
      <c r="V149" t="e">
        <f>ELLQF!#REF!</f>
        <v>#REF!</v>
      </c>
      <c r="W149" t="e">
        <f>ELLQF!#REF!</f>
        <v>#REF!</v>
      </c>
      <c r="X149" t="e">
        <f>ELLQF!#REF!</f>
        <v>#REF!</v>
      </c>
      <c r="Y149" t="e">
        <f>ELLQF!#REF!</f>
        <v>#REF!</v>
      </c>
    </row>
    <row r="150" spans="1:25" x14ac:dyDescent="0.25">
      <c r="A150" t="e">
        <f>ELLQF!#REF!</f>
        <v>#REF!</v>
      </c>
      <c r="B150" t="e">
        <f>ELLQF!#REF!</f>
        <v>#REF!</v>
      </c>
      <c r="C150" t="e">
        <f>ELLQF!#REF!</f>
        <v>#REF!</v>
      </c>
      <c r="D150" t="e">
        <f>ELLQF!#REF!</f>
        <v>#REF!</v>
      </c>
      <c r="E150" t="e">
        <f>ELLQF!#REF!</f>
        <v>#REF!</v>
      </c>
      <c r="F150" t="e">
        <f>ELLQF!#REF!</f>
        <v>#REF!</v>
      </c>
      <c r="G150" t="e">
        <f>ELLQF!#REF!</f>
        <v>#REF!</v>
      </c>
      <c r="H150" t="e">
        <f>ELLQF!#REF!</f>
        <v>#REF!</v>
      </c>
      <c r="I150" t="e">
        <f>ELLQF!#REF!</f>
        <v>#REF!</v>
      </c>
      <c r="J150" t="e">
        <f>ELLQF!#REF!</f>
        <v>#REF!</v>
      </c>
      <c r="K150" t="e">
        <f>ELLQF!#REF!</f>
        <v>#REF!</v>
      </c>
      <c r="L150" t="e">
        <f>ELLQF!#REF!</f>
        <v>#REF!</v>
      </c>
      <c r="M150" t="e">
        <f>ELLQF!#REF!</f>
        <v>#REF!</v>
      </c>
      <c r="N150" t="e">
        <f>ELLQF!#REF!</f>
        <v>#REF!</v>
      </c>
      <c r="O150" t="e">
        <f>ELLQF!#REF!</f>
        <v>#REF!</v>
      </c>
      <c r="P150" t="e">
        <f>ELLQF!#REF!</f>
        <v>#REF!</v>
      </c>
      <c r="Q150" t="e">
        <f>ELLQF!#REF!</f>
        <v>#REF!</v>
      </c>
      <c r="R150" t="e">
        <f>ELLQF!#REF!</f>
        <v>#REF!</v>
      </c>
      <c r="S150" t="e">
        <f>ELLQF!#REF!</f>
        <v>#REF!</v>
      </c>
      <c r="T150" t="e">
        <f>ELLQF!#REF!</f>
        <v>#REF!</v>
      </c>
      <c r="U150" t="e">
        <f>ELLQF!#REF!</f>
        <v>#REF!</v>
      </c>
      <c r="V150" t="e">
        <f>ELLQF!#REF!</f>
        <v>#REF!</v>
      </c>
      <c r="W150" t="e">
        <f>ELLQF!#REF!</f>
        <v>#REF!</v>
      </c>
      <c r="X150" t="e">
        <f>ELLQF!#REF!</f>
        <v>#REF!</v>
      </c>
      <c r="Y150" t="e">
        <f>ELLQF!#REF!</f>
        <v>#REF!</v>
      </c>
    </row>
    <row r="151" spans="1:25" x14ac:dyDescent="0.25">
      <c r="A151" t="e">
        <f>ELLQF!#REF!</f>
        <v>#REF!</v>
      </c>
      <c r="B151" t="e">
        <f>ELLQF!#REF!</f>
        <v>#REF!</v>
      </c>
      <c r="C151" t="e">
        <f>ELLQF!#REF!</f>
        <v>#REF!</v>
      </c>
      <c r="D151" t="e">
        <f>ELLQF!#REF!</f>
        <v>#REF!</v>
      </c>
      <c r="E151" t="e">
        <f>ELLQF!#REF!</f>
        <v>#REF!</v>
      </c>
      <c r="F151" t="e">
        <f>ELLQF!#REF!</f>
        <v>#REF!</v>
      </c>
      <c r="G151" t="e">
        <f>ELLQF!#REF!</f>
        <v>#REF!</v>
      </c>
      <c r="H151" t="e">
        <f>ELLQF!#REF!</f>
        <v>#REF!</v>
      </c>
      <c r="I151" t="e">
        <f>ELLQF!#REF!</f>
        <v>#REF!</v>
      </c>
      <c r="J151" t="e">
        <f>ELLQF!#REF!</f>
        <v>#REF!</v>
      </c>
      <c r="K151" t="e">
        <f>ELLQF!#REF!</f>
        <v>#REF!</v>
      </c>
      <c r="L151" t="e">
        <f>ELLQF!#REF!</f>
        <v>#REF!</v>
      </c>
      <c r="M151" t="e">
        <f>ELLQF!#REF!</f>
        <v>#REF!</v>
      </c>
      <c r="N151" t="e">
        <f>ELLQF!#REF!</f>
        <v>#REF!</v>
      </c>
      <c r="O151" t="e">
        <f>ELLQF!#REF!</f>
        <v>#REF!</v>
      </c>
      <c r="P151" t="e">
        <f>ELLQF!#REF!</f>
        <v>#REF!</v>
      </c>
      <c r="Q151" t="e">
        <f>ELLQF!#REF!</f>
        <v>#REF!</v>
      </c>
      <c r="R151" t="e">
        <f>ELLQF!#REF!</f>
        <v>#REF!</v>
      </c>
      <c r="S151" t="e">
        <f>ELLQF!#REF!</f>
        <v>#REF!</v>
      </c>
      <c r="T151" t="e">
        <f>ELLQF!#REF!</f>
        <v>#REF!</v>
      </c>
      <c r="U151" t="e">
        <f>ELLQF!#REF!</f>
        <v>#REF!</v>
      </c>
      <c r="V151" t="e">
        <f>ELLQF!#REF!</f>
        <v>#REF!</v>
      </c>
      <c r="W151" t="e">
        <f>ELLQF!#REF!</f>
        <v>#REF!</v>
      </c>
      <c r="X151" t="e">
        <f>ELLQF!#REF!</f>
        <v>#REF!</v>
      </c>
      <c r="Y151" t="e">
        <f>ELLQF!#REF!</f>
        <v>#REF!</v>
      </c>
    </row>
    <row r="152" spans="1:25" x14ac:dyDescent="0.25">
      <c r="A152">
        <f>ELLQF!A62</f>
        <v>0</v>
      </c>
      <c r="B152" t="e">
        <f ca="1">ELLQF!B62</f>
        <v>#NAME?</v>
      </c>
      <c r="C152" t="str">
        <f>ELLQF!C62</f>
        <v>EJ359552     Corp</v>
      </c>
      <c r="D152">
        <f>ELLQF!D62</f>
        <v>7.2682647700574041E-3</v>
      </c>
      <c r="E152">
        <f>ELLQF!E62</f>
        <v>400</v>
      </c>
      <c r="F152">
        <f>ELLQF!F62</f>
        <v>84.75</v>
      </c>
      <c r="G152" t="e">
        <f ca="1">ELLQF!G62</f>
        <v>#NAME?</v>
      </c>
      <c r="H152" t="e">
        <f ca="1">ELLQF!K62</f>
        <v>#NAME?</v>
      </c>
      <c r="I152">
        <f>ELLQF!L62</f>
        <v>0.73299334161452356</v>
      </c>
      <c r="J152">
        <f>ELLQF!M62</f>
        <v>0.19026548672566368</v>
      </c>
      <c r="K152">
        <f>ELLQF!N62</f>
        <v>13609155</v>
      </c>
      <c r="L152">
        <f>ELLQF!O62</f>
        <v>339000</v>
      </c>
      <c r="M152">
        <f>ELLQF!P62</f>
        <v>23584575</v>
      </c>
      <c r="N152">
        <f>ELLQF!Q62</f>
        <v>403500</v>
      </c>
      <c r="O152">
        <f>ELLQF!R62</f>
        <v>9975420</v>
      </c>
      <c r="P152">
        <f>ELLQF!S62</f>
        <v>64500</v>
      </c>
      <c r="Q152" t="e">
        <f ca="1">ELLQF!T62</f>
        <v>#NAME?</v>
      </c>
      <c r="R152">
        <f>ELLQF!U62</f>
        <v>411425.42</v>
      </c>
      <c r="S152" t="e">
        <f>ELLQF!#REF!</f>
        <v>#REF!</v>
      </c>
      <c r="T152" t="e">
        <f>ELLQF!#REF!</f>
        <v>#REF!</v>
      </c>
      <c r="U152" t="e">
        <f>ELLQF!#REF!</f>
        <v>#REF!</v>
      </c>
      <c r="V152" t="e">
        <f>ELLQF!#REF!</f>
        <v>#REF!</v>
      </c>
      <c r="W152" t="e">
        <f>ELLQF!#REF!</f>
        <v>#REF!</v>
      </c>
      <c r="X152" t="e">
        <f ca="1">ELLQF!V62</f>
        <v>#NAME?</v>
      </c>
      <c r="Y152" t="e">
        <f ca="1">ELLQF!W62</f>
        <v>#NAME?</v>
      </c>
    </row>
    <row r="153" spans="1:25" x14ac:dyDescent="0.25">
      <c r="A153">
        <f>ELLQF!A63</f>
        <v>0</v>
      </c>
      <c r="B153" t="e">
        <f ca="1">ELLQF!B63</f>
        <v>#NAME?</v>
      </c>
      <c r="C153" t="str">
        <f>ELLQF!C63</f>
        <v>QZ914276     Corp</v>
      </c>
      <c r="D153">
        <f>ELLQF!D63</f>
        <v>4.6916784188578722E-6</v>
      </c>
      <c r="E153">
        <f>ELLQF!E63</f>
        <v>15</v>
      </c>
      <c r="F153">
        <f>ELLQF!F63</f>
        <v>100</v>
      </c>
      <c r="G153" t="e">
        <f ca="1">ELLQF!G63</f>
        <v>#NAME?</v>
      </c>
      <c r="H153" t="e">
        <f ca="1">ELLQF!K63</f>
        <v>#NAME?</v>
      </c>
      <c r="I153">
        <f>ELLQF!L63</f>
        <v>1.4999999999999902E-2</v>
      </c>
      <c r="J153">
        <f>ELLQF!M63</f>
        <v>2.0371386037765449E-2</v>
      </c>
      <c r="K153">
        <f>ELLQF!N63</f>
        <v>15000</v>
      </c>
      <c r="L153">
        <f>ELLQF!O63</f>
        <v>255.26</v>
      </c>
      <c r="M153">
        <f>ELLQF!P63</f>
        <v>15225</v>
      </c>
      <c r="N153">
        <f>ELLQF!Q63</f>
        <v>260.45999999999998</v>
      </c>
      <c r="O153">
        <f>ELLQF!R63</f>
        <v>225</v>
      </c>
      <c r="P153">
        <f>ELLQF!S63</f>
        <v>5.1999999999999886</v>
      </c>
      <c r="Q153" t="e">
        <f ca="1">ELLQF!T63</f>
        <v>#NAME?</v>
      </c>
      <c r="R153">
        <f>ELLQF!U63</f>
        <v>265</v>
      </c>
      <c r="S153" t="e">
        <f>ELLQF!#REF!</f>
        <v>#REF!</v>
      </c>
      <c r="T153" t="e">
        <f>ELLQF!#REF!</f>
        <v>#REF!</v>
      </c>
      <c r="U153" t="e">
        <f>ELLQF!#REF!</f>
        <v>#REF!</v>
      </c>
      <c r="V153" t="e">
        <f>ELLQF!#REF!</f>
        <v>#REF!</v>
      </c>
      <c r="W153" t="e">
        <f>ELLQF!#REF!</f>
        <v>#REF!</v>
      </c>
      <c r="X153" t="e">
        <f ca="1">ELLQF!V63</f>
        <v>#NAME?</v>
      </c>
      <c r="Y153" t="e">
        <f ca="1">ELLQF!W63</f>
        <v>#NAME?</v>
      </c>
    </row>
    <row r="154" spans="1:25" x14ac:dyDescent="0.25">
      <c r="A154" t="e">
        <f>ELLQF!#REF!</f>
        <v>#REF!</v>
      </c>
      <c r="B154" t="e">
        <f>ELLQF!#REF!</f>
        <v>#REF!</v>
      </c>
      <c r="C154" t="e">
        <f>ELLQF!#REF!</f>
        <v>#REF!</v>
      </c>
      <c r="D154" t="e">
        <f>ELLQF!#REF!</f>
        <v>#REF!</v>
      </c>
      <c r="E154" t="e">
        <f>ELLQF!#REF!</f>
        <v>#REF!</v>
      </c>
      <c r="F154" t="e">
        <f>ELLQF!#REF!</f>
        <v>#REF!</v>
      </c>
      <c r="G154" t="e">
        <f>ELLQF!#REF!</f>
        <v>#REF!</v>
      </c>
      <c r="H154" t="e">
        <f>ELLQF!#REF!</f>
        <v>#REF!</v>
      </c>
      <c r="I154" t="e">
        <f>ELLQF!#REF!</f>
        <v>#REF!</v>
      </c>
      <c r="J154" t="e">
        <f>ELLQF!#REF!</f>
        <v>#REF!</v>
      </c>
      <c r="K154" t="e">
        <f>ELLQF!#REF!</f>
        <v>#REF!</v>
      </c>
      <c r="L154" t="e">
        <f>ELLQF!#REF!</f>
        <v>#REF!</v>
      </c>
      <c r="M154" t="e">
        <f>ELLQF!#REF!</f>
        <v>#REF!</v>
      </c>
      <c r="N154" t="e">
        <f>ELLQF!#REF!</f>
        <v>#REF!</v>
      </c>
      <c r="O154" t="e">
        <f>ELLQF!#REF!</f>
        <v>#REF!</v>
      </c>
      <c r="P154" t="e">
        <f>ELLQF!#REF!</f>
        <v>#REF!</v>
      </c>
      <c r="Q154" t="e">
        <f>ELLQF!#REF!</f>
        <v>#REF!</v>
      </c>
      <c r="R154" t="e">
        <f>ELLQF!#REF!</f>
        <v>#REF!</v>
      </c>
      <c r="S154" t="e">
        <f>ELLQF!#REF!</f>
        <v>#REF!</v>
      </c>
      <c r="T154" t="e">
        <f>ELLQF!#REF!</f>
        <v>#REF!</v>
      </c>
      <c r="U154" t="e">
        <f>ELLQF!#REF!</f>
        <v>#REF!</v>
      </c>
      <c r="V154" t="e">
        <f>ELLQF!#REF!</f>
        <v>#REF!</v>
      </c>
      <c r="W154" t="e">
        <f>ELLQF!#REF!</f>
        <v>#REF!</v>
      </c>
      <c r="X154" t="e">
        <f>ELLQF!#REF!</f>
        <v>#REF!</v>
      </c>
      <c r="Y154" t="e">
        <f>ELLQF!#REF!</f>
        <v>#REF!</v>
      </c>
    </row>
    <row r="155" spans="1:25" x14ac:dyDescent="0.25">
      <c r="A155" t="e">
        <f>ELLQF!#REF!</f>
        <v>#REF!</v>
      </c>
      <c r="B155" t="e">
        <f>ELLQF!#REF!</f>
        <v>#REF!</v>
      </c>
      <c r="C155" t="e">
        <f>ELLQF!#REF!</f>
        <v>#REF!</v>
      </c>
      <c r="D155" t="e">
        <f>ELLQF!#REF!</f>
        <v>#REF!</v>
      </c>
      <c r="E155" t="e">
        <f>ELLQF!#REF!</f>
        <v>#REF!</v>
      </c>
      <c r="F155" t="e">
        <f>ELLQF!#REF!</f>
        <v>#REF!</v>
      </c>
      <c r="G155" t="e">
        <f>ELLQF!#REF!</f>
        <v>#REF!</v>
      </c>
      <c r="H155" t="e">
        <f>ELLQF!#REF!</f>
        <v>#REF!</v>
      </c>
      <c r="I155" t="e">
        <f>ELLQF!#REF!</f>
        <v>#REF!</v>
      </c>
      <c r="J155" t="e">
        <f>ELLQF!#REF!</f>
        <v>#REF!</v>
      </c>
      <c r="K155" t="e">
        <f>ELLQF!#REF!</f>
        <v>#REF!</v>
      </c>
      <c r="L155" t="e">
        <f>ELLQF!#REF!</f>
        <v>#REF!</v>
      </c>
      <c r="M155" t="e">
        <f>ELLQF!#REF!</f>
        <v>#REF!</v>
      </c>
      <c r="N155" t="e">
        <f>ELLQF!#REF!</f>
        <v>#REF!</v>
      </c>
      <c r="O155" t="e">
        <f>ELLQF!#REF!</f>
        <v>#REF!</v>
      </c>
      <c r="P155" t="e">
        <f>ELLQF!#REF!</f>
        <v>#REF!</v>
      </c>
      <c r="Q155" t="e">
        <f>ELLQF!#REF!</f>
        <v>#REF!</v>
      </c>
      <c r="R155" t="e">
        <f>ELLQF!#REF!</f>
        <v>#REF!</v>
      </c>
      <c r="S155" t="e">
        <f>ELLQF!#REF!</f>
        <v>#REF!</v>
      </c>
      <c r="T155" t="e">
        <f>ELLQF!#REF!</f>
        <v>#REF!</v>
      </c>
      <c r="U155" t="e">
        <f>ELLQF!#REF!</f>
        <v>#REF!</v>
      </c>
      <c r="V155" t="e">
        <f>ELLQF!#REF!</f>
        <v>#REF!</v>
      </c>
      <c r="W155" t="e">
        <f>ELLQF!#REF!</f>
        <v>#REF!</v>
      </c>
      <c r="X155" t="e">
        <f>ELLQF!#REF!</f>
        <v>#REF!</v>
      </c>
      <c r="Y155" t="e">
        <f>ELLQF!#REF!</f>
        <v>#REF!</v>
      </c>
    </row>
    <row r="156" spans="1:25" x14ac:dyDescent="0.25">
      <c r="A156">
        <f>ELLQF!A64</f>
        <v>0</v>
      </c>
      <c r="B156" t="e">
        <f ca="1">ELLQF!B64</f>
        <v>#NAME?</v>
      </c>
      <c r="C156" t="str">
        <f>ELLQF!C64</f>
        <v>EJ801440     Corp</v>
      </c>
      <c r="D156">
        <f>ELLQF!D64</f>
        <v>0</v>
      </c>
      <c r="E156">
        <f>ELLQF!E64</f>
        <v>5.59</v>
      </c>
      <c r="F156">
        <f>ELLQF!F64</f>
        <v>97.5</v>
      </c>
      <c r="G156" t="e">
        <f ca="1">ELLQF!G64</f>
        <v>#NAME?</v>
      </c>
      <c r="H156" t="e">
        <f ca="1">ELLQF!K64</f>
        <v>#NAME?</v>
      </c>
      <c r="I156">
        <f>ELLQF!L64</f>
        <v>-1</v>
      </c>
      <c r="J156">
        <f>ELLQF!M64</f>
        <v>-1</v>
      </c>
      <c r="K156">
        <f>ELLQF!N64</f>
        <v>5450.25</v>
      </c>
      <c r="L156">
        <f>ELLQF!O64</f>
        <v>92.75</v>
      </c>
      <c r="M156">
        <f>ELLQF!P64</f>
        <v>0</v>
      </c>
      <c r="N156">
        <f>ELLQF!Q64</f>
        <v>0</v>
      </c>
      <c r="O156">
        <f>ELLQF!R64</f>
        <v>-5450.25</v>
      </c>
      <c r="P156">
        <f>ELLQF!S64</f>
        <v>-92.75</v>
      </c>
      <c r="Q156" t="e">
        <f ca="1">ELLQF!T64</f>
        <v>#NAME?</v>
      </c>
      <c r="R156">
        <f>ELLQF!U64</f>
        <v>0</v>
      </c>
      <c r="S156" t="e">
        <f>ELLQF!#REF!</f>
        <v>#REF!</v>
      </c>
      <c r="T156" t="e">
        <f>ELLQF!#REF!</f>
        <v>#REF!</v>
      </c>
      <c r="U156" t="e">
        <f>ELLQF!#REF!</f>
        <v>#REF!</v>
      </c>
      <c r="V156" t="e">
        <f>ELLQF!#REF!</f>
        <v>#REF!</v>
      </c>
      <c r="W156" t="e">
        <f>ELLQF!#REF!</f>
        <v>#REF!</v>
      </c>
      <c r="X156" t="e">
        <f ca="1">ELLQF!V64</f>
        <v>#NAME?</v>
      </c>
      <c r="Y156" t="e">
        <f ca="1">ELLQF!W64</f>
        <v>#NAME?</v>
      </c>
    </row>
    <row r="157" spans="1:25" x14ac:dyDescent="0.25">
      <c r="A157">
        <f>ELLQF!A65</f>
        <v>0</v>
      </c>
      <c r="B157" t="e">
        <f ca="1">ELLQF!B65</f>
        <v>#NAME?</v>
      </c>
      <c r="C157" t="str">
        <f>ELLQF!C65</f>
        <v>EJ920101     Corp</v>
      </c>
      <c r="D157">
        <f>ELLQF!D65</f>
        <v>7.2626807252526515E-6</v>
      </c>
      <c r="E157">
        <f>ELLQF!E65</f>
        <v>48</v>
      </c>
      <c r="F157">
        <f>ELLQF!F65</f>
        <v>95.86</v>
      </c>
      <c r="G157" t="e">
        <f ca="1">ELLQF!G65</f>
        <v>#NAME?</v>
      </c>
      <c r="H157" t="e">
        <f ca="1">ELLQF!K65</f>
        <v>#NAME?</v>
      </c>
      <c r="I157">
        <f>ELLQF!L65</f>
        <v>-0.1804715209680785</v>
      </c>
      <c r="J157">
        <f>ELLQF!M65</f>
        <v>-0.17612080591769175</v>
      </c>
      <c r="K157">
        <f>ELLQF!N65</f>
        <v>28758</v>
      </c>
      <c r="L157">
        <f>ELLQF!O65</f>
        <v>489.38</v>
      </c>
      <c r="M157">
        <f>ELLQF!P65</f>
        <v>23568</v>
      </c>
      <c r="N157">
        <f>ELLQF!Q65</f>
        <v>403.19</v>
      </c>
      <c r="O157">
        <f>ELLQF!R65</f>
        <v>-5190</v>
      </c>
      <c r="P157">
        <f>ELLQF!S65</f>
        <v>-86.19</v>
      </c>
      <c r="Q157" t="e">
        <f ca="1">ELLQF!T65</f>
        <v>#NAME?</v>
      </c>
      <c r="R157">
        <f>ELLQF!U65</f>
        <v>411.78</v>
      </c>
      <c r="S157" t="e">
        <f>ELLQF!#REF!</f>
        <v>#REF!</v>
      </c>
      <c r="T157" t="e">
        <f>ELLQF!#REF!</f>
        <v>#REF!</v>
      </c>
      <c r="U157" t="e">
        <f>ELLQF!#REF!</f>
        <v>#REF!</v>
      </c>
      <c r="V157" t="e">
        <f>ELLQF!#REF!</f>
        <v>#REF!</v>
      </c>
      <c r="W157" t="e">
        <f>ELLQF!#REF!</f>
        <v>#REF!</v>
      </c>
      <c r="X157" t="e">
        <f ca="1">ELLQF!V65</f>
        <v>#NAME?</v>
      </c>
      <c r="Y157" t="e">
        <f ca="1">ELLQF!W65</f>
        <v>#NAME?</v>
      </c>
    </row>
    <row r="158" spans="1:25" x14ac:dyDescent="0.25">
      <c r="A158">
        <f>ELLQF!A66</f>
        <v>0</v>
      </c>
      <c r="B158" t="e">
        <f ca="1">ELLQF!B66</f>
        <v>#NAME?</v>
      </c>
      <c r="C158" t="str">
        <f>ELLQF!C66</f>
        <v>EJ101924     Corp</v>
      </c>
      <c r="D158">
        <f>ELLQF!D66</f>
        <v>1.5392509569540156E-5</v>
      </c>
      <c r="E158">
        <f>ELLQF!E66</f>
        <v>50</v>
      </c>
      <c r="F158">
        <f>ELLQF!F66</f>
        <v>98.05</v>
      </c>
      <c r="G158" t="e">
        <f ca="1">ELLQF!G66</f>
        <v>#NAME?</v>
      </c>
      <c r="H158" t="e">
        <f ca="1">ELLQF!K66</f>
        <v>#NAME?</v>
      </c>
      <c r="I158">
        <f>ELLQF!L66</f>
        <v>1.8867924528301883E-2</v>
      </c>
      <c r="J158">
        <f>ELLQF!M66</f>
        <v>2.4272717465568805E-2</v>
      </c>
      <c r="K158">
        <f>ELLQF!N66</f>
        <v>49025</v>
      </c>
      <c r="L158">
        <f>ELLQF!O66</f>
        <v>834.27</v>
      </c>
      <c r="M158">
        <f>ELLQF!P66</f>
        <v>49950</v>
      </c>
      <c r="N158">
        <f>ELLQF!Q66</f>
        <v>854.52</v>
      </c>
      <c r="O158">
        <f>ELLQF!R66</f>
        <v>925</v>
      </c>
      <c r="P158">
        <f>ELLQF!S66</f>
        <v>20.25</v>
      </c>
      <c r="Q158" t="e">
        <f ca="1">ELLQF!T66</f>
        <v>#NAME?</v>
      </c>
      <c r="R158">
        <f>ELLQF!U66</f>
        <v>891.64</v>
      </c>
      <c r="S158" t="e">
        <f>ELLQF!#REF!</f>
        <v>#REF!</v>
      </c>
      <c r="T158" t="e">
        <f>ELLQF!#REF!</f>
        <v>#REF!</v>
      </c>
      <c r="U158" t="e">
        <f>ELLQF!#REF!</f>
        <v>#REF!</v>
      </c>
      <c r="V158" t="e">
        <f>ELLQF!#REF!</f>
        <v>#REF!</v>
      </c>
      <c r="W158" t="e">
        <f>ELLQF!#REF!</f>
        <v>#REF!</v>
      </c>
      <c r="X158" t="e">
        <f ca="1">ELLQF!V66</f>
        <v>#NAME?</v>
      </c>
      <c r="Y158" t="e">
        <f ca="1">ELLQF!W66</f>
        <v>#NAME?</v>
      </c>
    </row>
    <row r="159" spans="1:25" x14ac:dyDescent="0.25">
      <c r="A159" t="e">
        <f>ELLQF!#REF!</f>
        <v>#REF!</v>
      </c>
      <c r="B159" t="e">
        <f>ELLQF!#REF!</f>
        <v>#REF!</v>
      </c>
      <c r="C159" t="e">
        <f>ELLQF!#REF!</f>
        <v>#REF!</v>
      </c>
      <c r="D159" t="e">
        <f>ELLQF!#REF!</f>
        <v>#REF!</v>
      </c>
      <c r="E159" t="e">
        <f>ELLQF!#REF!</f>
        <v>#REF!</v>
      </c>
      <c r="F159" t="e">
        <f>ELLQF!#REF!</f>
        <v>#REF!</v>
      </c>
      <c r="G159" t="e">
        <f>ELLQF!#REF!</f>
        <v>#REF!</v>
      </c>
      <c r="H159" t="e">
        <f>ELLQF!#REF!</f>
        <v>#REF!</v>
      </c>
      <c r="I159" t="e">
        <f>ELLQF!#REF!</f>
        <v>#REF!</v>
      </c>
      <c r="J159" t="e">
        <f>ELLQF!#REF!</f>
        <v>#REF!</v>
      </c>
      <c r="K159" t="e">
        <f>ELLQF!#REF!</f>
        <v>#REF!</v>
      </c>
      <c r="L159" t="e">
        <f>ELLQF!#REF!</f>
        <v>#REF!</v>
      </c>
      <c r="M159" t="e">
        <f>ELLQF!#REF!</f>
        <v>#REF!</v>
      </c>
      <c r="N159" t="e">
        <f>ELLQF!#REF!</f>
        <v>#REF!</v>
      </c>
      <c r="O159" t="e">
        <f>ELLQF!#REF!</f>
        <v>#REF!</v>
      </c>
      <c r="P159" t="e">
        <f>ELLQF!#REF!</f>
        <v>#REF!</v>
      </c>
      <c r="Q159" t="e">
        <f>ELLQF!#REF!</f>
        <v>#REF!</v>
      </c>
      <c r="R159" t="e">
        <f>ELLQF!#REF!</f>
        <v>#REF!</v>
      </c>
      <c r="S159" t="e">
        <f>ELLQF!#REF!</f>
        <v>#REF!</v>
      </c>
      <c r="T159" t="e">
        <f>ELLQF!#REF!</f>
        <v>#REF!</v>
      </c>
      <c r="U159" t="e">
        <f>ELLQF!#REF!</f>
        <v>#REF!</v>
      </c>
      <c r="V159" t="e">
        <f>ELLQF!#REF!</f>
        <v>#REF!</v>
      </c>
      <c r="W159" t="e">
        <f>ELLQF!#REF!</f>
        <v>#REF!</v>
      </c>
      <c r="X159" t="e">
        <f>ELLQF!#REF!</f>
        <v>#REF!</v>
      </c>
      <c r="Y159" t="e">
        <f>ELLQF!#REF!</f>
        <v>#REF!</v>
      </c>
    </row>
    <row r="160" spans="1:25" x14ac:dyDescent="0.25">
      <c r="A160">
        <f>ELLQF!A67</f>
        <v>0</v>
      </c>
      <c r="B160" t="e">
        <f ca="1">ELLQF!B67</f>
        <v>#NAME?</v>
      </c>
      <c r="C160" t="str">
        <f>ELLQF!C67</f>
        <v>EJ548954     Corp</v>
      </c>
      <c r="D160">
        <f>ELLQF!D67</f>
        <v>1.5323139521322145E-2</v>
      </c>
      <c r="E160">
        <f>ELLQF!E67</f>
        <v>50000</v>
      </c>
      <c r="F160">
        <f>ELLQF!F67</f>
        <v>70.03</v>
      </c>
      <c r="G160" t="e">
        <f ca="1">ELLQF!G67</f>
        <v>#NAME?</v>
      </c>
      <c r="H160" t="e">
        <f ca="1">ELLQF!K67</f>
        <v>#NAME?</v>
      </c>
      <c r="I160">
        <f>ELLQF!L67</f>
        <v>0.42010569373881124</v>
      </c>
      <c r="J160">
        <f>ELLQF!M67</f>
        <v>0.42763448596222497</v>
      </c>
      <c r="K160">
        <f>ELLQF!N67</f>
        <v>35014999.390000001</v>
      </c>
      <c r="L160">
        <f>ELLQF!O67</f>
        <v>595859.03</v>
      </c>
      <c r="M160">
        <f>ELLQF!P67</f>
        <v>49725000</v>
      </c>
      <c r="N160">
        <f>ELLQF!Q67</f>
        <v>850668.9</v>
      </c>
      <c r="O160">
        <f>ELLQF!R67</f>
        <v>14710000.609999999</v>
      </c>
      <c r="P160">
        <f>ELLQF!S67</f>
        <v>254809.87</v>
      </c>
      <c r="Q160" t="e">
        <f ca="1">ELLQF!T67</f>
        <v>#NAME?</v>
      </c>
      <c r="R160">
        <f>ELLQF!U67</f>
        <v>851398.33</v>
      </c>
      <c r="S160" t="e">
        <f>ELLQF!#REF!</f>
        <v>#REF!</v>
      </c>
      <c r="T160" t="e">
        <f>ELLQF!#REF!</f>
        <v>#REF!</v>
      </c>
      <c r="U160" t="e">
        <f>ELLQF!#REF!</f>
        <v>#REF!</v>
      </c>
      <c r="V160" t="e">
        <f>ELLQF!#REF!</f>
        <v>#REF!</v>
      </c>
      <c r="W160" t="e">
        <f>ELLQF!#REF!</f>
        <v>#REF!</v>
      </c>
      <c r="X160" t="e">
        <f ca="1">ELLQF!V67</f>
        <v>#NAME?</v>
      </c>
      <c r="Y160" t="e">
        <f ca="1">ELLQF!W67</f>
        <v>#NAME?</v>
      </c>
    </row>
    <row r="161" spans="1:25" x14ac:dyDescent="0.25">
      <c r="A161" t="e">
        <f>ELLQF!#REF!</f>
        <v>#REF!</v>
      </c>
      <c r="B161" t="e">
        <f>ELLQF!#REF!</f>
        <v>#REF!</v>
      </c>
      <c r="C161" t="e">
        <f>ELLQF!#REF!</f>
        <v>#REF!</v>
      </c>
      <c r="D161" t="e">
        <f>ELLQF!#REF!</f>
        <v>#REF!</v>
      </c>
      <c r="E161" t="e">
        <f>ELLQF!#REF!</f>
        <v>#REF!</v>
      </c>
      <c r="F161" t="e">
        <f>ELLQF!#REF!</f>
        <v>#REF!</v>
      </c>
      <c r="G161" t="e">
        <f>ELLQF!#REF!</f>
        <v>#REF!</v>
      </c>
      <c r="H161" t="e">
        <f>ELLQF!#REF!</f>
        <v>#REF!</v>
      </c>
      <c r="I161" t="e">
        <f>ELLQF!#REF!</f>
        <v>#REF!</v>
      </c>
      <c r="J161" t="e">
        <f>ELLQF!#REF!</f>
        <v>#REF!</v>
      </c>
      <c r="K161" t="e">
        <f>ELLQF!#REF!</f>
        <v>#REF!</v>
      </c>
      <c r="L161" t="e">
        <f>ELLQF!#REF!</f>
        <v>#REF!</v>
      </c>
      <c r="M161" t="e">
        <f>ELLQF!#REF!</f>
        <v>#REF!</v>
      </c>
      <c r="N161" t="e">
        <f>ELLQF!#REF!</f>
        <v>#REF!</v>
      </c>
      <c r="O161" t="e">
        <f>ELLQF!#REF!</f>
        <v>#REF!</v>
      </c>
      <c r="P161" t="e">
        <f>ELLQF!#REF!</f>
        <v>#REF!</v>
      </c>
      <c r="Q161" t="e">
        <f>ELLQF!#REF!</f>
        <v>#REF!</v>
      </c>
      <c r="R161" t="e">
        <f>ELLQF!#REF!</f>
        <v>#REF!</v>
      </c>
      <c r="S161" t="e">
        <f>ELLQF!#REF!</f>
        <v>#REF!</v>
      </c>
      <c r="T161" t="e">
        <f>ELLQF!#REF!</f>
        <v>#REF!</v>
      </c>
      <c r="U161" t="e">
        <f>ELLQF!#REF!</f>
        <v>#REF!</v>
      </c>
      <c r="V161" t="e">
        <f>ELLQF!#REF!</f>
        <v>#REF!</v>
      </c>
      <c r="W161" t="e">
        <f>ELLQF!#REF!</f>
        <v>#REF!</v>
      </c>
      <c r="X161" t="e">
        <f>ELLQF!#REF!</f>
        <v>#REF!</v>
      </c>
      <c r="Y161" t="e">
        <f>ELLQF!#REF!</f>
        <v>#REF!</v>
      </c>
    </row>
    <row r="162" spans="1:25" x14ac:dyDescent="0.25">
      <c r="A162">
        <f>ELLQF!A68</f>
        <v>0</v>
      </c>
      <c r="B162" t="e">
        <f ca="1">ELLQF!B68</f>
        <v>#NAME?</v>
      </c>
      <c r="C162" t="str">
        <f>ELLQF!C68</f>
        <v>EI178316     Corp</v>
      </c>
      <c r="D162">
        <f>ELLQF!D68</f>
        <v>4.949445132264369E-3</v>
      </c>
      <c r="E162">
        <f>ELLQF!E68</f>
        <v>344</v>
      </c>
      <c r="F162">
        <f>ELLQF!F68</f>
        <v>41.54</v>
      </c>
      <c r="G162" t="e">
        <f ca="1">ELLQF!G68</f>
        <v>#NAME?</v>
      </c>
      <c r="H162" t="e">
        <f ca="1">ELLQF!K68</f>
        <v>#NAME?</v>
      </c>
      <c r="I162">
        <f>ELLQF!L68</f>
        <v>0.71042330558636624</v>
      </c>
      <c r="J162">
        <f>ELLQF!M68</f>
        <v>0.92302497139992878</v>
      </c>
      <c r="K162">
        <f>ELLQF!N68</f>
        <v>9389667.7200000007</v>
      </c>
      <c r="L162">
        <f>ELLQF!O68</f>
        <v>142884.26</v>
      </c>
      <c r="M162">
        <f>ELLQF!P68</f>
        <v>16060306.5</v>
      </c>
      <c r="N162">
        <f>ELLQF!Q68</f>
        <v>274770</v>
      </c>
      <c r="O162">
        <f>ELLQF!R68</f>
        <v>6670638.7799999993</v>
      </c>
      <c r="P162">
        <f>ELLQF!S68</f>
        <v>131885.74</v>
      </c>
      <c r="Q162" t="e">
        <f ca="1">ELLQF!T68</f>
        <v>#NAME?</v>
      </c>
      <c r="R162">
        <f>ELLQF!U68</f>
        <v>282037</v>
      </c>
      <c r="S162" t="e">
        <f>ELLQF!#REF!</f>
        <v>#REF!</v>
      </c>
      <c r="T162" t="e">
        <f>ELLQF!#REF!</f>
        <v>#REF!</v>
      </c>
      <c r="U162" t="e">
        <f>ELLQF!#REF!</f>
        <v>#REF!</v>
      </c>
      <c r="V162" t="e">
        <f>ELLQF!#REF!</f>
        <v>#REF!</v>
      </c>
      <c r="W162" t="e">
        <f>ELLQF!#REF!</f>
        <v>#REF!</v>
      </c>
      <c r="X162" t="e">
        <f ca="1">ELLQF!V68</f>
        <v>#NAME?</v>
      </c>
      <c r="Y162" t="e">
        <f ca="1">ELLQF!W68</f>
        <v>#NAME?</v>
      </c>
    </row>
    <row r="163" spans="1:25" x14ac:dyDescent="0.25">
      <c r="A163">
        <f>ELLQF!A69</f>
        <v>0</v>
      </c>
      <c r="B163" t="e">
        <f ca="1">ELLQF!B69</f>
        <v>#NAME?</v>
      </c>
      <c r="C163" t="str">
        <f>ELLQF!C69</f>
        <v>EJ394063     Corp</v>
      </c>
      <c r="D163">
        <f>ELLQF!D69</f>
        <v>1.8270045313534683E-2</v>
      </c>
      <c r="E163">
        <f>ELLQF!E69</f>
        <v>930</v>
      </c>
      <c r="F163">
        <f>ELLQF!F69</f>
        <v>96.39</v>
      </c>
      <c r="G163" t="e">
        <f ca="1">ELLQF!G69</f>
        <v>#NAME?</v>
      </c>
      <c r="H163" t="e">
        <f ca="1">ELLQF!K69</f>
        <v>#NAME?</v>
      </c>
      <c r="I163">
        <f>ELLQF!L69</f>
        <v>-4.1199134143157345E-2</v>
      </c>
      <c r="J163">
        <f>ELLQF!M69</f>
        <v>0.13145555780287266</v>
      </c>
      <c r="K163">
        <f>ELLQF!N69</f>
        <v>61831320.560000002</v>
      </c>
      <c r="L163">
        <f>ELLQF!O69</f>
        <v>896426.99</v>
      </c>
      <c r="M163">
        <f>ELLQF!P69</f>
        <v>59283923.689999998</v>
      </c>
      <c r="N163">
        <f>ELLQF!Q69</f>
        <v>1014267.3</v>
      </c>
      <c r="O163">
        <f>ELLQF!R69</f>
        <v>-2547396.8700000048</v>
      </c>
      <c r="P163">
        <f>ELLQF!S69</f>
        <v>117840.31000000006</v>
      </c>
      <c r="Q163" t="e">
        <f ca="1">ELLQF!T69</f>
        <v>#NAME?</v>
      </c>
      <c r="R163">
        <f>ELLQF!U69</f>
        <v>1037938.13</v>
      </c>
      <c r="S163" t="e">
        <f>ELLQF!#REF!</f>
        <v>#REF!</v>
      </c>
      <c r="T163" t="e">
        <f>ELLQF!#REF!</f>
        <v>#REF!</v>
      </c>
      <c r="U163" t="e">
        <f>ELLQF!#REF!</f>
        <v>#REF!</v>
      </c>
      <c r="V163" t="e">
        <f>ELLQF!#REF!</f>
        <v>#REF!</v>
      </c>
      <c r="W163" t="e">
        <f>ELLQF!#REF!</f>
        <v>#REF!</v>
      </c>
      <c r="X163" t="e">
        <f ca="1">ELLQF!V69</f>
        <v>#NAME?</v>
      </c>
      <c r="Y163" t="e">
        <f ca="1">ELLQF!W69</f>
        <v>#NAME?</v>
      </c>
    </row>
    <row r="164" spans="1:25" x14ac:dyDescent="0.25">
      <c r="A164" t="e">
        <f>ELLQF!#REF!</f>
        <v>#REF!</v>
      </c>
      <c r="B164" t="e">
        <f>ELLQF!#REF!</f>
        <v>#REF!</v>
      </c>
      <c r="C164" t="e">
        <f>ELLQF!#REF!</f>
        <v>#REF!</v>
      </c>
      <c r="D164" t="e">
        <f>ELLQF!#REF!</f>
        <v>#REF!</v>
      </c>
      <c r="E164" t="e">
        <f>ELLQF!#REF!</f>
        <v>#REF!</v>
      </c>
      <c r="F164" t="e">
        <f>ELLQF!#REF!</f>
        <v>#REF!</v>
      </c>
      <c r="G164" t="e">
        <f>ELLQF!#REF!</f>
        <v>#REF!</v>
      </c>
      <c r="H164" t="e">
        <f>ELLQF!#REF!</f>
        <v>#REF!</v>
      </c>
      <c r="I164" t="e">
        <f>ELLQF!#REF!</f>
        <v>#REF!</v>
      </c>
      <c r="J164" t="e">
        <f>ELLQF!#REF!</f>
        <v>#REF!</v>
      </c>
      <c r="K164" t="e">
        <f>ELLQF!#REF!</f>
        <v>#REF!</v>
      </c>
      <c r="L164" t="e">
        <f>ELLQF!#REF!</f>
        <v>#REF!</v>
      </c>
      <c r="M164" t="e">
        <f>ELLQF!#REF!</f>
        <v>#REF!</v>
      </c>
      <c r="N164" t="e">
        <f>ELLQF!#REF!</f>
        <v>#REF!</v>
      </c>
      <c r="O164" t="e">
        <f>ELLQF!#REF!</f>
        <v>#REF!</v>
      </c>
      <c r="P164" t="e">
        <f>ELLQF!#REF!</f>
        <v>#REF!</v>
      </c>
      <c r="Q164" t="e">
        <f>ELLQF!#REF!</f>
        <v>#REF!</v>
      </c>
      <c r="R164" t="e">
        <f>ELLQF!#REF!</f>
        <v>#REF!</v>
      </c>
      <c r="S164" t="e">
        <f>ELLQF!#REF!</f>
        <v>#REF!</v>
      </c>
      <c r="T164" t="e">
        <f>ELLQF!#REF!</f>
        <v>#REF!</v>
      </c>
      <c r="U164" t="e">
        <f>ELLQF!#REF!</f>
        <v>#REF!</v>
      </c>
      <c r="V164" t="e">
        <f>ELLQF!#REF!</f>
        <v>#REF!</v>
      </c>
      <c r="W164" t="e">
        <f>ELLQF!#REF!</f>
        <v>#REF!</v>
      </c>
      <c r="X164" t="e">
        <f>ELLQF!#REF!</f>
        <v>#REF!</v>
      </c>
      <c r="Y164" t="e">
        <f>ELLQF!#REF!</f>
        <v>#REF!</v>
      </c>
    </row>
    <row r="165" spans="1:25" x14ac:dyDescent="0.25">
      <c r="A165">
        <f>ELLQF!A70</f>
        <v>0</v>
      </c>
      <c r="B165" t="e">
        <f ca="1">ELLQF!B70</f>
        <v>#NAME?</v>
      </c>
      <c r="C165" t="str">
        <f>ELLQF!C70</f>
        <v>JK907252     Corp</v>
      </c>
      <c r="D165">
        <f>ELLQF!D70</f>
        <v>1.5469425283463689E-5</v>
      </c>
      <c r="E165">
        <f>ELLQF!E70</f>
        <v>50</v>
      </c>
      <c r="F165">
        <f>ELLQF!F70</f>
        <v>100</v>
      </c>
      <c r="G165" t="e">
        <f ca="1">ELLQF!G70</f>
        <v>#NAME?</v>
      </c>
      <c r="H165" t="e">
        <f ca="1">ELLQF!K70</f>
        <v>#NAME?</v>
      </c>
      <c r="I165">
        <f>ELLQF!L70</f>
        <v>4.0000000000000036E-3</v>
      </c>
      <c r="J165">
        <f>ELLQF!M70</f>
        <v>9.319982135721494E-3</v>
      </c>
      <c r="K165">
        <f>ELLQF!N70</f>
        <v>50000</v>
      </c>
      <c r="L165">
        <f>ELLQF!O70</f>
        <v>850.86</v>
      </c>
      <c r="M165">
        <f>ELLQF!P70</f>
        <v>50200</v>
      </c>
      <c r="N165">
        <f>ELLQF!Q70</f>
        <v>858.79</v>
      </c>
      <c r="O165">
        <f>ELLQF!R70</f>
        <v>200</v>
      </c>
      <c r="P165">
        <f>ELLQF!S70</f>
        <v>7.92999999999995</v>
      </c>
      <c r="Q165" t="e">
        <f ca="1">ELLQF!T70</f>
        <v>#NAME?</v>
      </c>
      <c r="R165">
        <f>ELLQF!U70</f>
        <v>796.08</v>
      </c>
      <c r="S165" t="e">
        <f>ELLQF!#REF!</f>
        <v>#REF!</v>
      </c>
      <c r="T165" t="e">
        <f>ELLQF!#REF!</f>
        <v>#REF!</v>
      </c>
      <c r="U165" t="e">
        <f>ELLQF!#REF!</f>
        <v>#REF!</v>
      </c>
      <c r="V165" t="e">
        <f>ELLQF!#REF!</f>
        <v>#REF!</v>
      </c>
      <c r="W165" t="e">
        <f>ELLQF!#REF!</f>
        <v>#REF!</v>
      </c>
      <c r="X165" t="e">
        <f ca="1">ELLQF!V70</f>
        <v>#NAME?</v>
      </c>
      <c r="Y165" t="e">
        <f ca="1">ELLQF!W70</f>
        <v>#NAME?</v>
      </c>
    </row>
    <row r="166" spans="1:25" x14ac:dyDescent="0.25">
      <c r="A166" t="e">
        <f>ELLQF!#REF!</f>
        <v>#REF!</v>
      </c>
      <c r="B166" t="e">
        <f>ELLQF!#REF!</f>
        <v>#REF!</v>
      </c>
      <c r="C166" t="e">
        <f>ELLQF!#REF!</f>
        <v>#REF!</v>
      </c>
      <c r="D166" t="e">
        <f>ELLQF!#REF!</f>
        <v>#REF!</v>
      </c>
      <c r="E166" t="e">
        <f>ELLQF!#REF!</f>
        <v>#REF!</v>
      </c>
      <c r="F166" t="e">
        <f>ELLQF!#REF!</f>
        <v>#REF!</v>
      </c>
      <c r="G166" t="e">
        <f>ELLQF!#REF!</f>
        <v>#REF!</v>
      </c>
      <c r="H166" t="e">
        <f>ELLQF!#REF!</f>
        <v>#REF!</v>
      </c>
      <c r="I166" t="e">
        <f>ELLQF!#REF!</f>
        <v>#REF!</v>
      </c>
      <c r="J166" t="e">
        <f>ELLQF!#REF!</f>
        <v>#REF!</v>
      </c>
      <c r="K166" t="e">
        <f>ELLQF!#REF!</f>
        <v>#REF!</v>
      </c>
      <c r="L166" t="e">
        <f>ELLQF!#REF!</f>
        <v>#REF!</v>
      </c>
      <c r="M166" t="e">
        <f>ELLQF!#REF!</f>
        <v>#REF!</v>
      </c>
      <c r="N166" t="e">
        <f>ELLQF!#REF!</f>
        <v>#REF!</v>
      </c>
      <c r="O166" t="e">
        <f>ELLQF!#REF!</f>
        <v>#REF!</v>
      </c>
      <c r="P166" t="e">
        <f>ELLQF!#REF!</f>
        <v>#REF!</v>
      </c>
      <c r="Q166" t="e">
        <f>ELLQF!#REF!</f>
        <v>#REF!</v>
      </c>
      <c r="R166" t="e">
        <f>ELLQF!#REF!</f>
        <v>#REF!</v>
      </c>
      <c r="S166" t="e">
        <f>ELLQF!#REF!</f>
        <v>#REF!</v>
      </c>
      <c r="T166" t="e">
        <f>ELLQF!#REF!</f>
        <v>#REF!</v>
      </c>
      <c r="U166" t="e">
        <f>ELLQF!#REF!</f>
        <v>#REF!</v>
      </c>
      <c r="V166" t="e">
        <f>ELLQF!#REF!</f>
        <v>#REF!</v>
      </c>
      <c r="W166" t="e">
        <f>ELLQF!#REF!</f>
        <v>#REF!</v>
      </c>
      <c r="X166" t="e">
        <f>ELLQF!#REF!</f>
        <v>#REF!</v>
      </c>
      <c r="Y166" t="e">
        <f>ELLQF!#REF!</f>
        <v>#REF!</v>
      </c>
    </row>
    <row r="167" spans="1:25" x14ac:dyDescent="0.25">
      <c r="A167" t="e">
        <f>ELLQF!#REF!</f>
        <v>#REF!</v>
      </c>
      <c r="B167" t="e">
        <f>ELLQF!#REF!</f>
        <v>#REF!</v>
      </c>
      <c r="C167" t="e">
        <f>ELLQF!#REF!</f>
        <v>#REF!</v>
      </c>
      <c r="D167" t="e">
        <f>ELLQF!#REF!</f>
        <v>#REF!</v>
      </c>
      <c r="E167" t="e">
        <f>ELLQF!#REF!</f>
        <v>#REF!</v>
      </c>
      <c r="F167" t="e">
        <f>ELLQF!#REF!</f>
        <v>#REF!</v>
      </c>
      <c r="G167" t="e">
        <f>ELLQF!#REF!</f>
        <v>#REF!</v>
      </c>
      <c r="H167" t="e">
        <f>ELLQF!#REF!</f>
        <v>#REF!</v>
      </c>
      <c r="I167" t="e">
        <f>ELLQF!#REF!</f>
        <v>#REF!</v>
      </c>
      <c r="J167" t="e">
        <f>ELLQF!#REF!</f>
        <v>#REF!</v>
      </c>
      <c r="K167" t="e">
        <f>ELLQF!#REF!</f>
        <v>#REF!</v>
      </c>
      <c r="L167" t="e">
        <f>ELLQF!#REF!</f>
        <v>#REF!</v>
      </c>
      <c r="M167" t="e">
        <f>ELLQF!#REF!</f>
        <v>#REF!</v>
      </c>
      <c r="N167" t="e">
        <f>ELLQF!#REF!</f>
        <v>#REF!</v>
      </c>
      <c r="O167" t="e">
        <f>ELLQF!#REF!</f>
        <v>#REF!</v>
      </c>
      <c r="P167" t="e">
        <f>ELLQF!#REF!</f>
        <v>#REF!</v>
      </c>
      <c r="Q167" t="e">
        <f>ELLQF!#REF!</f>
        <v>#REF!</v>
      </c>
      <c r="R167" t="e">
        <f>ELLQF!#REF!</f>
        <v>#REF!</v>
      </c>
      <c r="S167" t="e">
        <f>ELLQF!#REF!</f>
        <v>#REF!</v>
      </c>
      <c r="T167" t="e">
        <f>ELLQF!#REF!</f>
        <v>#REF!</v>
      </c>
      <c r="U167" t="e">
        <f>ELLQF!#REF!</f>
        <v>#REF!</v>
      </c>
      <c r="V167" t="e">
        <f>ELLQF!#REF!</f>
        <v>#REF!</v>
      </c>
      <c r="W167" t="e">
        <f>ELLQF!#REF!</f>
        <v>#REF!</v>
      </c>
      <c r="X167" t="e">
        <f>ELLQF!#REF!</f>
        <v>#REF!</v>
      </c>
      <c r="Y167" t="e">
        <f>ELLQF!#REF!</f>
        <v>#REF!</v>
      </c>
    </row>
    <row r="168" spans="1:25" x14ac:dyDescent="0.25">
      <c r="A168" t="e">
        <f>ELLQF!#REF!</f>
        <v>#REF!</v>
      </c>
      <c r="B168" t="e">
        <f>ELLQF!#REF!</f>
        <v>#REF!</v>
      </c>
      <c r="C168" t="e">
        <f>ELLQF!#REF!</f>
        <v>#REF!</v>
      </c>
      <c r="D168" t="e">
        <f>ELLQF!#REF!</f>
        <v>#REF!</v>
      </c>
      <c r="E168" t="e">
        <f>ELLQF!#REF!</f>
        <v>#REF!</v>
      </c>
      <c r="F168" t="e">
        <f>ELLQF!#REF!</f>
        <v>#REF!</v>
      </c>
      <c r="G168" t="e">
        <f>ELLQF!#REF!</f>
        <v>#REF!</v>
      </c>
      <c r="H168" t="e">
        <f>ELLQF!#REF!</f>
        <v>#REF!</v>
      </c>
      <c r="I168" t="e">
        <f>ELLQF!#REF!</f>
        <v>#REF!</v>
      </c>
      <c r="J168" t="e">
        <f>ELLQF!#REF!</f>
        <v>#REF!</v>
      </c>
      <c r="K168" t="e">
        <f>ELLQF!#REF!</f>
        <v>#REF!</v>
      </c>
      <c r="L168" t="e">
        <f>ELLQF!#REF!</f>
        <v>#REF!</v>
      </c>
      <c r="M168" t="e">
        <f>ELLQF!#REF!</f>
        <v>#REF!</v>
      </c>
      <c r="N168" t="e">
        <f>ELLQF!#REF!</f>
        <v>#REF!</v>
      </c>
      <c r="O168" t="e">
        <f>ELLQF!#REF!</f>
        <v>#REF!</v>
      </c>
      <c r="P168" t="e">
        <f>ELLQF!#REF!</f>
        <v>#REF!</v>
      </c>
      <c r="Q168" t="e">
        <f>ELLQF!#REF!</f>
        <v>#REF!</v>
      </c>
      <c r="R168" t="e">
        <f>ELLQF!#REF!</f>
        <v>#REF!</v>
      </c>
      <c r="S168" t="e">
        <f>ELLQF!#REF!</f>
        <v>#REF!</v>
      </c>
      <c r="T168" t="e">
        <f>ELLQF!#REF!</f>
        <v>#REF!</v>
      </c>
      <c r="U168" t="e">
        <f>ELLQF!#REF!</f>
        <v>#REF!</v>
      </c>
      <c r="V168" t="e">
        <f>ELLQF!#REF!</f>
        <v>#REF!</v>
      </c>
      <c r="W168" t="e">
        <f>ELLQF!#REF!</f>
        <v>#REF!</v>
      </c>
      <c r="X168" t="e">
        <f>ELLQF!#REF!</f>
        <v>#REF!</v>
      </c>
      <c r="Y168" t="e">
        <f>ELLQF!#REF!</f>
        <v>#REF!</v>
      </c>
    </row>
    <row r="169" spans="1:25" x14ac:dyDescent="0.25">
      <c r="A169" t="e">
        <f>EMIQF1!#REF!</f>
        <v>#REF!</v>
      </c>
      <c r="B169" t="e">
        <f>EMIQF1!#REF!</f>
        <v>#REF!</v>
      </c>
      <c r="C169" t="e">
        <f>EMIQF1!#REF!</f>
        <v>#REF!</v>
      </c>
      <c r="D169" t="e">
        <f>EMIQF1!#REF!</f>
        <v>#REF!</v>
      </c>
      <c r="E169" t="e">
        <f>EMIQF1!#REF!</f>
        <v>#REF!</v>
      </c>
      <c r="F169" t="e">
        <f>EMIQF1!#REF!</f>
        <v>#REF!</v>
      </c>
      <c r="G169" t="e">
        <f>EMIQF1!#REF!</f>
        <v>#REF!</v>
      </c>
      <c r="H169" t="e">
        <f>EMIQF1!#REF!</f>
        <v>#REF!</v>
      </c>
      <c r="I169" t="e">
        <f>EMIQF1!#REF!</f>
        <v>#REF!</v>
      </c>
      <c r="J169" t="e">
        <f>EMIQF1!#REF!</f>
        <v>#REF!</v>
      </c>
      <c r="K169" t="e">
        <f>EMIQF1!#REF!</f>
        <v>#REF!</v>
      </c>
      <c r="L169" t="e">
        <f>EMIQF1!#REF!</f>
        <v>#REF!</v>
      </c>
      <c r="M169" t="e">
        <f>EMIQF1!#REF!</f>
        <v>#REF!</v>
      </c>
      <c r="N169" t="e">
        <f>EMIQF1!#REF!</f>
        <v>#REF!</v>
      </c>
      <c r="O169" t="e">
        <f>EMIQF1!#REF!</f>
        <v>#REF!</v>
      </c>
      <c r="P169" t="e">
        <f>EMIQF1!#REF!</f>
        <v>#REF!</v>
      </c>
      <c r="Q169" t="e">
        <f>EMIQF1!#REF!</f>
        <v>#REF!</v>
      </c>
      <c r="R169" t="e">
        <f>EMIQF1!#REF!</f>
        <v>#REF!</v>
      </c>
      <c r="S169" t="e">
        <f>EMIQF1!#REF!</f>
        <v>#REF!</v>
      </c>
      <c r="T169" t="e">
        <f>EMIQF1!#REF!</f>
        <v>#REF!</v>
      </c>
      <c r="U169" t="e">
        <f>EMIQF1!#REF!</f>
        <v>#REF!</v>
      </c>
      <c r="V169" t="e">
        <f>EMIQF1!#REF!</f>
        <v>#REF!</v>
      </c>
      <c r="W169" t="e">
        <f>EMIQF1!#REF!</f>
        <v>#REF!</v>
      </c>
      <c r="X169" t="e">
        <f>EMIQF1!#REF!</f>
        <v>#REF!</v>
      </c>
      <c r="Y169" t="e">
        <f>EMIQF1!#REF!</f>
        <v>#REF!</v>
      </c>
    </row>
    <row r="170" spans="1:25" x14ac:dyDescent="0.25">
      <c r="A170" t="e">
        <f>EMIQF1!#REF!</f>
        <v>#REF!</v>
      </c>
      <c r="B170" t="e">
        <f>EMIQF1!#REF!</f>
        <v>#REF!</v>
      </c>
      <c r="C170" t="e">
        <f>EMIQF1!#REF!</f>
        <v>#REF!</v>
      </c>
      <c r="D170" t="e">
        <f>EMIQF1!#REF!</f>
        <v>#REF!</v>
      </c>
      <c r="E170" t="e">
        <f>EMIQF1!#REF!</f>
        <v>#REF!</v>
      </c>
      <c r="F170" t="e">
        <f>EMIQF1!#REF!</f>
        <v>#REF!</v>
      </c>
      <c r="G170" t="e">
        <f>EMIQF1!#REF!</f>
        <v>#REF!</v>
      </c>
      <c r="H170" t="e">
        <f>EMIQF1!#REF!</f>
        <v>#REF!</v>
      </c>
      <c r="I170" t="e">
        <f>EMIQF1!#REF!</f>
        <v>#REF!</v>
      </c>
      <c r="J170" t="e">
        <f>EMIQF1!#REF!</f>
        <v>#REF!</v>
      </c>
      <c r="K170" t="e">
        <f>EMIQF1!#REF!</f>
        <v>#REF!</v>
      </c>
      <c r="L170" t="e">
        <f>EMIQF1!#REF!</f>
        <v>#REF!</v>
      </c>
      <c r="M170" t="e">
        <f>EMIQF1!#REF!</f>
        <v>#REF!</v>
      </c>
      <c r="N170" t="e">
        <f>EMIQF1!#REF!</f>
        <v>#REF!</v>
      </c>
      <c r="O170" t="e">
        <f>EMIQF1!#REF!</f>
        <v>#REF!</v>
      </c>
      <c r="P170" t="e">
        <f>EMIQF1!#REF!</f>
        <v>#REF!</v>
      </c>
      <c r="Q170" t="e">
        <f>EMIQF1!#REF!</f>
        <v>#REF!</v>
      </c>
      <c r="R170" t="e">
        <f>EMIQF1!#REF!</f>
        <v>#REF!</v>
      </c>
      <c r="S170" t="e">
        <f>EMIQF1!#REF!</f>
        <v>#REF!</v>
      </c>
      <c r="T170" t="e">
        <f>EMIQF1!#REF!</f>
        <v>#REF!</v>
      </c>
      <c r="U170" t="e">
        <f>EMIQF1!#REF!</f>
        <v>#REF!</v>
      </c>
      <c r="V170" t="e">
        <f>EMIQF1!#REF!</f>
        <v>#REF!</v>
      </c>
      <c r="W170" t="e">
        <f>EMIQF1!#REF!</f>
        <v>#REF!</v>
      </c>
      <c r="X170" t="e">
        <f>EMIQF1!#REF!</f>
        <v>#REF!</v>
      </c>
      <c r="Y170" t="e">
        <f>EMIQF1!#REF!</f>
        <v>#REF!</v>
      </c>
    </row>
    <row r="171" spans="1:25" x14ac:dyDescent="0.25">
      <c r="A171" t="e">
        <f>EMIQF1!#REF!</f>
        <v>#REF!</v>
      </c>
      <c r="B171" t="e">
        <f>EMIQF1!#REF!</f>
        <v>#REF!</v>
      </c>
      <c r="C171" t="e">
        <f>EMIQF1!#REF!</f>
        <v>#REF!</v>
      </c>
      <c r="D171" t="e">
        <f>EMIQF1!#REF!</f>
        <v>#REF!</v>
      </c>
      <c r="E171" t="e">
        <f>EMIQF1!#REF!</f>
        <v>#REF!</v>
      </c>
      <c r="F171" t="e">
        <f>EMIQF1!#REF!</f>
        <v>#REF!</v>
      </c>
      <c r="G171" t="e">
        <f>EMIQF1!#REF!</f>
        <v>#REF!</v>
      </c>
      <c r="H171" t="e">
        <f>EMIQF1!#REF!</f>
        <v>#REF!</v>
      </c>
      <c r="I171" t="e">
        <f>EMIQF1!#REF!</f>
        <v>#REF!</v>
      </c>
      <c r="J171" t="e">
        <f>EMIQF1!#REF!</f>
        <v>#REF!</v>
      </c>
      <c r="K171" t="e">
        <f>EMIQF1!#REF!</f>
        <v>#REF!</v>
      </c>
      <c r="L171" t="e">
        <f>EMIQF1!#REF!</f>
        <v>#REF!</v>
      </c>
      <c r="M171" t="e">
        <f>EMIQF1!#REF!</f>
        <v>#REF!</v>
      </c>
      <c r="N171" t="e">
        <f>EMIQF1!#REF!</f>
        <v>#REF!</v>
      </c>
      <c r="O171" t="e">
        <f>EMIQF1!#REF!</f>
        <v>#REF!</v>
      </c>
      <c r="P171" t="e">
        <f>EMIQF1!#REF!</f>
        <v>#REF!</v>
      </c>
      <c r="Q171" t="e">
        <f>EMIQF1!#REF!</f>
        <v>#REF!</v>
      </c>
      <c r="R171" t="e">
        <f>EMIQF1!#REF!</f>
        <v>#REF!</v>
      </c>
      <c r="S171" t="e">
        <f>EMIQF1!#REF!</f>
        <v>#REF!</v>
      </c>
      <c r="T171" t="e">
        <f>EMIQF1!#REF!</f>
        <v>#REF!</v>
      </c>
      <c r="U171" t="e">
        <f>EMIQF1!#REF!</f>
        <v>#REF!</v>
      </c>
      <c r="V171" t="e">
        <f>EMIQF1!#REF!</f>
        <v>#REF!</v>
      </c>
      <c r="W171" t="e">
        <f>EMIQF1!#REF!</f>
        <v>#REF!</v>
      </c>
      <c r="X171" t="e">
        <f>EMIQF1!#REF!</f>
        <v>#REF!</v>
      </c>
      <c r="Y171" t="e">
        <f>EMIQF1!#REF!</f>
        <v>#REF!</v>
      </c>
    </row>
    <row r="172" spans="1:25" x14ac:dyDescent="0.25">
      <c r="A172" t="e">
        <f>EMIQF1!#REF!</f>
        <v>#REF!</v>
      </c>
      <c r="B172" t="e">
        <f>EMIQF1!#REF!</f>
        <v>#REF!</v>
      </c>
      <c r="C172" t="e">
        <f>EMIQF1!#REF!</f>
        <v>#REF!</v>
      </c>
      <c r="D172" t="e">
        <f>EMIQF1!#REF!</f>
        <v>#REF!</v>
      </c>
      <c r="E172" t="e">
        <f>EMIQF1!#REF!</f>
        <v>#REF!</v>
      </c>
      <c r="F172" t="e">
        <f>EMIQF1!#REF!</f>
        <v>#REF!</v>
      </c>
      <c r="G172" t="e">
        <f>EMIQF1!#REF!</f>
        <v>#REF!</v>
      </c>
      <c r="H172" t="e">
        <f>EMIQF1!#REF!</f>
        <v>#REF!</v>
      </c>
      <c r="I172" t="e">
        <f>EMIQF1!#REF!</f>
        <v>#REF!</v>
      </c>
      <c r="J172" t="e">
        <f>EMIQF1!#REF!</f>
        <v>#REF!</v>
      </c>
      <c r="K172" t="e">
        <f>EMIQF1!#REF!</f>
        <v>#REF!</v>
      </c>
      <c r="L172" t="e">
        <f>EMIQF1!#REF!</f>
        <v>#REF!</v>
      </c>
      <c r="M172" t="e">
        <f>EMIQF1!#REF!</f>
        <v>#REF!</v>
      </c>
      <c r="N172" t="e">
        <f>EMIQF1!#REF!</f>
        <v>#REF!</v>
      </c>
      <c r="O172" t="e">
        <f>EMIQF1!#REF!</f>
        <v>#REF!</v>
      </c>
      <c r="P172" t="e">
        <f>EMIQF1!#REF!</f>
        <v>#REF!</v>
      </c>
      <c r="Q172" t="e">
        <f>EMIQF1!#REF!</f>
        <v>#REF!</v>
      </c>
      <c r="R172" t="e">
        <f>EMIQF1!#REF!</f>
        <v>#REF!</v>
      </c>
      <c r="S172" t="e">
        <f>EMIQF1!#REF!</f>
        <v>#REF!</v>
      </c>
      <c r="T172" t="e">
        <f>EMIQF1!#REF!</f>
        <v>#REF!</v>
      </c>
      <c r="U172" t="e">
        <f>EMIQF1!#REF!</f>
        <v>#REF!</v>
      </c>
      <c r="V172" t="e">
        <f>EMIQF1!#REF!</f>
        <v>#REF!</v>
      </c>
      <c r="W172" t="e">
        <f>EMIQF1!#REF!</f>
        <v>#REF!</v>
      </c>
      <c r="X172" t="e">
        <f>EMIQF1!#REF!</f>
        <v>#REF!</v>
      </c>
      <c r="Y172" t="e">
        <f>EMIQF1!#REF!</f>
        <v>#REF!</v>
      </c>
    </row>
    <row r="173" spans="1:25" x14ac:dyDescent="0.25">
      <c r="A173" t="e">
        <f>EMIQF1!#REF!</f>
        <v>#REF!</v>
      </c>
      <c r="B173" t="e">
        <f>EMIQF1!#REF!</f>
        <v>#REF!</v>
      </c>
      <c r="C173" t="e">
        <f>EMIQF1!#REF!</f>
        <v>#REF!</v>
      </c>
      <c r="D173" t="e">
        <f>EMIQF1!#REF!</f>
        <v>#REF!</v>
      </c>
      <c r="E173" t="e">
        <f>EMIQF1!#REF!</f>
        <v>#REF!</v>
      </c>
      <c r="F173" t="e">
        <f>EMIQF1!#REF!</f>
        <v>#REF!</v>
      </c>
      <c r="G173" t="e">
        <f>EMIQF1!#REF!</f>
        <v>#REF!</v>
      </c>
      <c r="H173" t="e">
        <f>EMIQF1!#REF!</f>
        <v>#REF!</v>
      </c>
      <c r="I173" t="e">
        <f>EMIQF1!#REF!</f>
        <v>#REF!</v>
      </c>
      <c r="J173" t="e">
        <f>EMIQF1!#REF!</f>
        <v>#REF!</v>
      </c>
      <c r="K173" t="e">
        <f>EMIQF1!#REF!</f>
        <v>#REF!</v>
      </c>
      <c r="L173" t="e">
        <f>EMIQF1!#REF!</f>
        <v>#REF!</v>
      </c>
      <c r="M173" t="e">
        <f>EMIQF1!#REF!</f>
        <v>#REF!</v>
      </c>
      <c r="N173" t="e">
        <f>EMIQF1!#REF!</f>
        <v>#REF!</v>
      </c>
      <c r="O173" t="e">
        <f>EMIQF1!#REF!</f>
        <v>#REF!</v>
      </c>
      <c r="P173" t="e">
        <f>EMIQF1!#REF!</f>
        <v>#REF!</v>
      </c>
      <c r="Q173" t="e">
        <f>EMIQF1!#REF!</f>
        <v>#REF!</v>
      </c>
      <c r="R173" t="e">
        <f>EMIQF1!#REF!</f>
        <v>#REF!</v>
      </c>
      <c r="S173" t="e">
        <f>EMIQF1!#REF!</f>
        <v>#REF!</v>
      </c>
      <c r="T173" t="e">
        <f>EMIQF1!#REF!</f>
        <v>#REF!</v>
      </c>
      <c r="U173" t="e">
        <f>EMIQF1!#REF!</f>
        <v>#REF!</v>
      </c>
      <c r="V173" t="e">
        <f>EMIQF1!#REF!</f>
        <v>#REF!</v>
      </c>
      <c r="W173" t="e">
        <f>EMIQF1!#REF!</f>
        <v>#REF!</v>
      </c>
      <c r="X173" t="e">
        <f>EMIQF1!#REF!</f>
        <v>#REF!</v>
      </c>
      <c r="Y173" t="e">
        <f>EMIQF1!#REF!</f>
        <v>#REF!</v>
      </c>
    </row>
    <row r="174" spans="1:25" x14ac:dyDescent="0.25">
      <c r="A174" t="e">
        <f>EMIQF1!#REF!</f>
        <v>#REF!</v>
      </c>
      <c r="B174" t="e">
        <f>EMIQF1!#REF!</f>
        <v>#REF!</v>
      </c>
      <c r="C174" t="e">
        <f>EMIQF1!#REF!</f>
        <v>#REF!</v>
      </c>
      <c r="D174" t="e">
        <f>EMIQF1!#REF!</f>
        <v>#REF!</v>
      </c>
      <c r="E174" t="e">
        <f>EMIQF1!#REF!</f>
        <v>#REF!</v>
      </c>
      <c r="F174" t="e">
        <f>EMIQF1!#REF!</f>
        <v>#REF!</v>
      </c>
      <c r="G174" t="e">
        <f>EMIQF1!#REF!</f>
        <v>#REF!</v>
      </c>
      <c r="H174" t="e">
        <f>EMIQF1!#REF!</f>
        <v>#REF!</v>
      </c>
      <c r="I174" t="e">
        <f>EMIQF1!#REF!</f>
        <v>#REF!</v>
      </c>
      <c r="J174" t="e">
        <f>EMIQF1!#REF!</f>
        <v>#REF!</v>
      </c>
      <c r="K174" t="e">
        <f>EMIQF1!#REF!</f>
        <v>#REF!</v>
      </c>
      <c r="L174" t="e">
        <f>EMIQF1!#REF!</f>
        <v>#REF!</v>
      </c>
      <c r="M174" t="e">
        <f>EMIQF1!#REF!</f>
        <v>#REF!</v>
      </c>
      <c r="N174" t="e">
        <f>EMIQF1!#REF!</f>
        <v>#REF!</v>
      </c>
      <c r="O174" t="e">
        <f>EMIQF1!#REF!</f>
        <v>#REF!</v>
      </c>
      <c r="P174" t="e">
        <f>EMIQF1!#REF!</f>
        <v>#REF!</v>
      </c>
      <c r="Q174" t="e">
        <f>EMIQF1!#REF!</f>
        <v>#REF!</v>
      </c>
      <c r="R174" t="e">
        <f>EMIQF1!#REF!</f>
        <v>#REF!</v>
      </c>
      <c r="S174" t="e">
        <f>EMIQF1!#REF!</f>
        <v>#REF!</v>
      </c>
      <c r="T174" t="e">
        <f>EMIQF1!#REF!</f>
        <v>#REF!</v>
      </c>
      <c r="U174" t="e">
        <f>EMIQF1!#REF!</f>
        <v>#REF!</v>
      </c>
      <c r="V174" t="e">
        <f>EMIQF1!#REF!</f>
        <v>#REF!</v>
      </c>
      <c r="W174" t="e">
        <f>EMIQF1!#REF!</f>
        <v>#REF!</v>
      </c>
      <c r="X174" t="e">
        <f>EMIQF1!#REF!</f>
        <v>#REF!</v>
      </c>
      <c r="Y174" t="e">
        <f>EMIQF1!#REF!</f>
        <v>#REF!</v>
      </c>
    </row>
    <row r="175" spans="1:25" x14ac:dyDescent="0.25">
      <c r="A175" t="e">
        <f>EMIQF1!#REF!</f>
        <v>#REF!</v>
      </c>
      <c r="B175" t="e">
        <f>EMIQF1!#REF!</f>
        <v>#REF!</v>
      </c>
      <c r="C175" t="e">
        <f>EMIQF1!#REF!</f>
        <v>#REF!</v>
      </c>
      <c r="D175" t="e">
        <f>EMIQF1!#REF!</f>
        <v>#REF!</v>
      </c>
      <c r="E175" t="e">
        <f>EMIQF1!#REF!</f>
        <v>#REF!</v>
      </c>
      <c r="F175" t="e">
        <f>EMIQF1!#REF!</f>
        <v>#REF!</v>
      </c>
      <c r="G175" t="e">
        <f>EMIQF1!#REF!</f>
        <v>#REF!</v>
      </c>
      <c r="H175" t="e">
        <f>EMIQF1!#REF!</f>
        <v>#REF!</v>
      </c>
      <c r="I175" t="e">
        <f>EMIQF1!#REF!</f>
        <v>#REF!</v>
      </c>
      <c r="J175" t="e">
        <f>EMIQF1!#REF!</f>
        <v>#REF!</v>
      </c>
      <c r="K175" t="e">
        <f>EMIQF1!#REF!</f>
        <v>#REF!</v>
      </c>
      <c r="L175" t="e">
        <f>EMIQF1!#REF!</f>
        <v>#REF!</v>
      </c>
      <c r="M175" t="e">
        <f>EMIQF1!#REF!</f>
        <v>#REF!</v>
      </c>
      <c r="N175" t="e">
        <f>EMIQF1!#REF!</f>
        <v>#REF!</v>
      </c>
      <c r="O175" t="e">
        <f>EMIQF1!#REF!</f>
        <v>#REF!</v>
      </c>
      <c r="P175" t="e">
        <f>EMIQF1!#REF!</f>
        <v>#REF!</v>
      </c>
      <c r="Q175" t="e">
        <f>EMIQF1!#REF!</f>
        <v>#REF!</v>
      </c>
      <c r="R175" t="e">
        <f>EMIQF1!#REF!</f>
        <v>#REF!</v>
      </c>
      <c r="S175" t="e">
        <f>EMIQF1!#REF!</f>
        <v>#REF!</v>
      </c>
      <c r="T175" t="e">
        <f>EMIQF1!#REF!</f>
        <v>#REF!</v>
      </c>
      <c r="U175" t="e">
        <f>EMIQF1!#REF!</f>
        <v>#REF!</v>
      </c>
      <c r="V175" t="e">
        <f>EMIQF1!#REF!</f>
        <v>#REF!</v>
      </c>
      <c r="W175" t="e">
        <f>EMIQF1!#REF!</f>
        <v>#REF!</v>
      </c>
      <c r="X175" t="e">
        <f>EMIQF1!#REF!</f>
        <v>#REF!</v>
      </c>
      <c r="Y175" t="e">
        <f>EMIQF1!#REF!</f>
        <v>#REF!</v>
      </c>
    </row>
    <row r="176" spans="1:25" x14ac:dyDescent="0.25">
      <c r="A176" t="str">
        <f>EMIQF1!A4</f>
        <v>EMIQF</v>
      </c>
      <c r="B176" t="e">
        <f ca="1">EMIQF1!B4</f>
        <v>#NAME?</v>
      </c>
      <c r="C176" t="str">
        <f>EMIQF1!C4</f>
        <v>XS0918297382 Corp</v>
      </c>
      <c r="D176" t="e">
        <f ca="1">EMIQF1!D4</f>
        <v>#NAME?</v>
      </c>
      <c r="E176">
        <f>EMIQF1!E4</f>
        <v>410000</v>
      </c>
      <c r="F176">
        <f>EMIQF1!F4</f>
        <v>85</v>
      </c>
      <c r="G176" t="e">
        <f ca="1">EMIQF1!G4</f>
        <v>#NAME?</v>
      </c>
      <c r="H176" t="e">
        <f ca="1">EMIQF1!H4</f>
        <v>#NAME?</v>
      </c>
      <c r="I176" t="e">
        <f ca="1">EMIQF1!I4</f>
        <v>#NAME?</v>
      </c>
      <c r="J176" t="e">
        <f ca="1">EMIQF1!J4</f>
        <v>#NAME?</v>
      </c>
      <c r="K176" t="e">
        <f ca="1">EMIQF1!K4</f>
        <v>#NAME?</v>
      </c>
      <c r="L176">
        <f>EMIQF1!L4</f>
        <v>348500</v>
      </c>
      <c r="M176" t="e">
        <f ca="1">EMIQF1!M4</f>
        <v>#NAME?</v>
      </c>
      <c r="N176" t="e">
        <f ca="1">EMIQF1!N4</f>
        <v>#NAME?</v>
      </c>
      <c r="O176" t="e">
        <f ca="1">EMIQF1!O4</f>
        <v>#NAME?</v>
      </c>
      <c r="P176" t="e">
        <f ca="1">EMIQF1!P4</f>
        <v>#NAME?</v>
      </c>
      <c r="Q176" t="e">
        <f ca="1">EMIQF1!Q4</f>
        <v>#NAME?</v>
      </c>
      <c r="R176" t="e">
        <f ca="1">EMIQF1!R4</f>
        <v>#NAME?</v>
      </c>
      <c r="S176" t="e">
        <f ca="1">EMIQF1!S4</f>
        <v>#NAME?</v>
      </c>
      <c r="T176" t="e">
        <f ca="1">EMIQF1!T4</f>
        <v>#NAME?</v>
      </c>
      <c r="U176" t="e">
        <f ca="1">EMIQF1!U4</f>
        <v>#NAME?</v>
      </c>
      <c r="V176" t="e">
        <f ca="1">EMIQF1!V4</f>
        <v>#NAME?</v>
      </c>
      <c r="W176" t="e">
        <f ca="1">EMIQF1!W4</f>
        <v>#NAME?</v>
      </c>
      <c r="X176" t="e">
        <f ca="1">EMIQF1!X4</f>
        <v>#NAME?</v>
      </c>
      <c r="Y176">
        <f>EMIQF1!Y4</f>
        <v>0</v>
      </c>
    </row>
    <row r="177" spans="1:28" x14ac:dyDescent="0.25">
      <c r="A177" t="str">
        <f>EMIQF1!A5</f>
        <v>EMIQF</v>
      </c>
      <c r="B177" t="e">
        <f ca="1">EMIQF1!B5</f>
        <v>#NAME?</v>
      </c>
      <c r="C177" t="str">
        <f>EMIQF1!C5</f>
        <v>XS0524610812 Corp</v>
      </c>
      <c r="D177" t="e">
        <f ca="1">EMIQF1!D5</f>
        <v>#NAME?</v>
      </c>
      <c r="E177">
        <f>EMIQF1!E5</f>
        <v>2500000</v>
      </c>
      <c r="F177">
        <f>EMIQF1!F5</f>
        <v>88.063999999999993</v>
      </c>
      <c r="G177" t="e">
        <f ca="1">EMIQF1!G5</f>
        <v>#NAME?</v>
      </c>
      <c r="H177" t="e">
        <f ca="1">EMIQF1!H5</f>
        <v>#NAME?</v>
      </c>
      <c r="I177" t="e">
        <f ca="1">EMIQF1!I5</f>
        <v>#NAME?</v>
      </c>
      <c r="J177" t="e">
        <f ca="1">EMIQF1!J5</f>
        <v>#NAME?</v>
      </c>
      <c r="K177" t="e">
        <f ca="1">EMIQF1!K5</f>
        <v>#NAME?</v>
      </c>
      <c r="L177">
        <f>EMIQF1!L5</f>
        <v>2201600</v>
      </c>
      <c r="M177" t="e">
        <f ca="1">EMIQF1!M5</f>
        <v>#NAME?</v>
      </c>
      <c r="N177" t="e">
        <f ca="1">EMIQF1!N5</f>
        <v>#NAME?</v>
      </c>
      <c r="O177" t="e">
        <f ca="1">EMIQF1!O5</f>
        <v>#NAME?</v>
      </c>
      <c r="P177" t="e">
        <f ca="1">EMIQF1!P5</f>
        <v>#NAME?</v>
      </c>
      <c r="Q177" t="e">
        <f ca="1">EMIQF1!Q5</f>
        <v>#NAME?</v>
      </c>
      <c r="R177" t="e">
        <f ca="1">EMIQF1!R5</f>
        <v>#NAME?</v>
      </c>
      <c r="S177" t="e">
        <f ca="1">EMIQF1!S5</f>
        <v>#NAME?</v>
      </c>
      <c r="T177" t="e">
        <f ca="1">EMIQF1!T5</f>
        <v>#NAME?</v>
      </c>
      <c r="U177" t="e">
        <f ca="1">EMIQF1!U5</f>
        <v>#NAME?</v>
      </c>
      <c r="V177" t="e">
        <f ca="1">EMIQF1!V5</f>
        <v>#NAME?</v>
      </c>
      <c r="W177" t="e">
        <f ca="1">EMIQF1!W5</f>
        <v>#NAME?</v>
      </c>
      <c r="X177" t="e">
        <f ca="1">EMIQF1!X5</f>
        <v>#NAME?</v>
      </c>
      <c r="Y177">
        <f>EMIQF1!Y5</f>
        <v>0</v>
      </c>
    </row>
    <row r="178" spans="1:28" x14ac:dyDescent="0.25">
      <c r="A178" t="str">
        <f>EMIQF1!A6</f>
        <v>EMIQF</v>
      </c>
      <c r="B178" t="e">
        <f ca="1">EMIQF1!B6</f>
        <v>#NAME?</v>
      </c>
      <c r="C178" t="str">
        <f>EMIQF1!C6</f>
        <v>XS0588433267 Corp</v>
      </c>
      <c r="D178" t="e">
        <f ca="1">EMIQF1!D6</f>
        <v>#NAME?</v>
      </c>
      <c r="E178">
        <f>EMIQF1!E6</f>
        <v>1500000</v>
      </c>
      <c r="F178">
        <f>EMIQF1!F6</f>
        <v>90</v>
      </c>
      <c r="G178" t="e">
        <f ca="1">EMIQF1!G6</f>
        <v>#NAME?</v>
      </c>
      <c r="H178" t="e">
        <f ca="1">EMIQF1!H6</f>
        <v>#NAME?</v>
      </c>
      <c r="I178" t="e">
        <f ca="1">EMIQF1!I6</f>
        <v>#NAME?</v>
      </c>
      <c r="J178" t="e">
        <f ca="1">EMIQF1!J6</f>
        <v>#NAME?</v>
      </c>
      <c r="K178" t="e">
        <f ca="1">EMIQF1!K6</f>
        <v>#NAME?</v>
      </c>
      <c r="L178">
        <f>EMIQF1!L6</f>
        <v>1350000</v>
      </c>
      <c r="M178" t="e">
        <f ca="1">EMIQF1!M6</f>
        <v>#NAME?</v>
      </c>
      <c r="N178" t="e">
        <f ca="1">EMIQF1!N6</f>
        <v>#NAME?</v>
      </c>
      <c r="O178" t="e">
        <f ca="1">EMIQF1!O6</f>
        <v>#NAME?</v>
      </c>
      <c r="P178" t="e">
        <f ca="1">EMIQF1!P6</f>
        <v>#NAME?</v>
      </c>
      <c r="Q178" t="e">
        <f ca="1">EMIQF1!Q6</f>
        <v>#NAME?</v>
      </c>
      <c r="R178" t="e">
        <f ca="1">EMIQF1!R6</f>
        <v>#NAME?</v>
      </c>
      <c r="S178" t="e">
        <f ca="1">EMIQF1!S6</f>
        <v>#NAME?</v>
      </c>
      <c r="T178" t="e">
        <f ca="1">EMIQF1!T6</f>
        <v>#NAME?</v>
      </c>
      <c r="U178" t="e">
        <f ca="1">EMIQF1!U6</f>
        <v>#NAME?</v>
      </c>
      <c r="V178" t="e">
        <f ca="1">EMIQF1!V6</f>
        <v>#NAME?</v>
      </c>
      <c r="W178" t="e">
        <f ca="1">EMIQF1!W6</f>
        <v>#NAME?</v>
      </c>
      <c r="X178" t="e">
        <f ca="1">EMIQF1!X6</f>
        <v>#NAME?</v>
      </c>
      <c r="Y178">
        <f>EMIQF1!Y6</f>
        <v>0</v>
      </c>
    </row>
    <row r="179" spans="1:28" x14ac:dyDescent="0.25">
      <c r="A179" t="str">
        <f>EMIQF1!A7</f>
        <v>EMIQF</v>
      </c>
      <c r="B179" t="e">
        <f ca="1">EMIQF1!B7</f>
        <v>#NAME?</v>
      </c>
      <c r="C179" t="str">
        <f>EMIQF1!C7</f>
        <v>XS0997544860 Corp</v>
      </c>
      <c r="D179" t="e">
        <f ca="1">EMIQF1!D7</f>
        <v>#NAME?</v>
      </c>
      <c r="E179">
        <f>EMIQF1!E7</f>
        <v>1500000</v>
      </c>
      <c r="F179">
        <f>EMIQF1!F7</f>
        <v>83.5</v>
      </c>
      <c r="G179" t="e">
        <f ca="1">EMIQF1!G7</f>
        <v>#NAME?</v>
      </c>
      <c r="H179" t="e">
        <f ca="1">EMIQF1!H7</f>
        <v>#NAME?</v>
      </c>
      <c r="I179" t="e">
        <f ca="1">EMIQF1!I7</f>
        <v>#NAME?</v>
      </c>
      <c r="J179" t="e">
        <f ca="1">EMIQF1!J7</f>
        <v>#NAME?</v>
      </c>
      <c r="K179" t="e">
        <f ca="1">EMIQF1!K7</f>
        <v>#NAME?</v>
      </c>
      <c r="L179">
        <f>EMIQF1!L7</f>
        <v>1252500</v>
      </c>
      <c r="M179" t="e">
        <f ca="1">EMIQF1!M7</f>
        <v>#NAME?</v>
      </c>
      <c r="N179" t="e">
        <f ca="1">EMIQF1!N7</f>
        <v>#NAME?</v>
      </c>
      <c r="O179" t="e">
        <f ca="1">EMIQF1!O7</f>
        <v>#NAME?</v>
      </c>
      <c r="P179" t="e">
        <f ca="1">EMIQF1!P7</f>
        <v>#NAME?</v>
      </c>
      <c r="Q179" t="e">
        <f ca="1">EMIQF1!Q7</f>
        <v>#NAME?</v>
      </c>
      <c r="R179" t="e">
        <f ca="1">EMIQF1!R7</f>
        <v>#NAME?</v>
      </c>
      <c r="S179" t="e">
        <f ca="1">EMIQF1!S7</f>
        <v>#NAME?</v>
      </c>
      <c r="T179" t="e">
        <f ca="1">EMIQF1!T7</f>
        <v>#NAME?</v>
      </c>
      <c r="U179" t="e">
        <f ca="1">EMIQF1!U7</f>
        <v>#NAME?</v>
      </c>
      <c r="V179" t="e">
        <f ca="1">EMIQF1!V7</f>
        <v>#NAME?</v>
      </c>
      <c r="W179" t="e">
        <f ca="1">EMIQF1!W7</f>
        <v>#NAME?</v>
      </c>
      <c r="X179" t="e">
        <f ca="1">EMIQF1!X7</f>
        <v>#NAME?</v>
      </c>
      <c r="Y179">
        <f>EMIQF1!Y7</f>
        <v>0</v>
      </c>
    </row>
    <row r="180" spans="1:28" x14ac:dyDescent="0.25">
      <c r="A180" t="e">
        <f>EMIQF1!#REF!</f>
        <v>#REF!</v>
      </c>
      <c r="B180" t="e">
        <f>EMIQF1!#REF!</f>
        <v>#REF!</v>
      </c>
      <c r="C180" t="e">
        <f>EMIQF1!#REF!</f>
        <v>#REF!</v>
      </c>
      <c r="D180" t="e">
        <f>EMIQF1!#REF!</f>
        <v>#REF!</v>
      </c>
      <c r="E180" t="e">
        <f>EMIQF1!#REF!</f>
        <v>#REF!</v>
      </c>
      <c r="F180" t="e">
        <f>EMIQF1!#REF!</f>
        <v>#REF!</v>
      </c>
      <c r="G180" t="e">
        <f>EMIQF1!#REF!</f>
        <v>#REF!</v>
      </c>
      <c r="H180" t="e">
        <f>EMIQF1!#REF!</f>
        <v>#REF!</v>
      </c>
      <c r="I180" t="e">
        <f>EMIQF1!#REF!</f>
        <v>#REF!</v>
      </c>
      <c r="J180" t="e">
        <f>EMIQF1!#REF!</f>
        <v>#REF!</v>
      </c>
      <c r="K180" t="e">
        <f>EMIQF1!#REF!</f>
        <v>#REF!</v>
      </c>
      <c r="L180" t="e">
        <f>EMIQF1!#REF!</f>
        <v>#REF!</v>
      </c>
      <c r="M180" t="e">
        <f>EMIQF1!#REF!</f>
        <v>#REF!</v>
      </c>
      <c r="N180" t="e">
        <f>EMIQF1!#REF!</f>
        <v>#REF!</v>
      </c>
      <c r="O180" t="e">
        <f>EMIQF1!#REF!</f>
        <v>#REF!</v>
      </c>
      <c r="P180" t="e">
        <f>EMIQF1!#REF!</f>
        <v>#REF!</v>
      </c>
      <c r="Q180" t="e">
        <f>EMIQF1!#REF!</f>
        <v>#REF!</v>
      </c>
      <c r="R180" t="e">
        <f>EMIQF1!#REF!</f>
        <v>#REF!</v>
      </c>
      <c r="S180" t="e">
        <f>EMIQF1!#REF!</f>
        <v>#REF!</v>
      </c>
      <c r="T180" t="e">
        <f>EMIQF1!#REF!</f>
        <v>#REF!</v>
      </c>
      <c r="U180" t="e">
        <f>EMIQF1!#REF!</f>
        <v>#REF!</v>
      </c>
      <c r="V180" t="e">
        <f>EMIQF1!#REF!</f>
        <v>#REF!</v>
      </c>
      <c r="W180" t="e">
        <f>EMIQF1!#REF!</f>
        <v>#REF!</v>
      </c>
      <c r="X180" t="e">
        <f>EMIQF1!#REF!</f>
        <v>#REF!</v>
      </c>
      <c r="Y180" t="e">
        <f>EMIQF1!#REF!</f>
        <v>#REF!</v>
      </c>
    </row>
    <row r="181" spans="1:28" x14ac:dyDescent="0.25">
      <c r="A181" t="e">
        <f>EMIQF1!#REF!</f>
        <v>#REF!</v>
      </c>
      <c r="B181" t="e">
        <f>EMIQF1!#REF!</f>
        <v>#REF!</v>
      </c>
      <c r="C181" t="e">
        <f>EMIQF1!#REF!</f>
        <v>#REF!</v>
      </c>
      <c r="D181" t="e">
        <f>EMIQF1!#REF!</f>
        <v>#REF!</v>
      </c>
      <c r="E181" t="e">
        <f>EMIQF1!#REF!</f>
        <v>#REF!</v>
      </c>
      <c r="F181" t="e">
        <f>EMIQF1!#REF!</f>
        <v>#REF!</v>
      </c>
      <c r="G181" t="e">
        <f>EMIQF1!#REF!</f>
        <v>#REF!</v>
      </c>
      <c r="H181" t="e">
        <f>EMIQF1!#REF!</f>
        <v>#REF!</v>
      </c>
      <c r="I181" t="e">
        <f>EMIQF1!#REF!</f>
        <v>#REF!</v>
      </c>
      <c r="J181" t="e">
        <f>EMIQF1!#REF!</f>
        <v>#REF!</v>
      </c>
      <c r="K181" t="e">
        <f>EMIQF1!#REF!</f>
        <v>#REF!</v>
      </c>
      <c r="L181" t="e">
        <f>EMIQF1!#REF!</f>
        <v>#REF!</v>
      </c>
      <c r="M181" t="e">
        <f>EMIQF1!#REF!</f>
        <v>#REF!</v>
      </c>
      <c r="N181" t="e">
        <f>EMIQF1!#REF!</f>
        <v>#REF!</v>
      </c>
      <c r="O181" t="e">
        <f>EMIQF1!#REF!</f>
        <v>#REF!</v>
      </c>
      <c r="P181" t="e">
        <f>EMIQF1!#REF!</f>
        <v>#REF!</v>
      </c>
      <c r="Q181" t="e">
        <f>EMIQF1!#REF!</f>
        <v>#REF!</v>
      </c>
      <c r="R181" t="e">
        <f>EMIQF1!#REF!</f>
        <v>#REF!</v>
      </c>
      <c r="S181" t="e">
        <f>EMIQF1!#REF!</f>
        <v>#REF!</v>
      </c>
      <c r="T181" t="e">
        <f>EMIQF1!#REF!</f>
        <v>#REF!</v>
      </c>
      <c r="U181" t="e">
        <f>EMIQF1!#REF!</f>
        <v>#REF!</v>
      </c>
      <c r="V181" t="e">
        <f>EMIQF1!#REF!</f>
        <v>#REF!</v>
      </c>
      <c r="W181" t="e">
        <f>EMIQF1!#REF!</f>
        <v>#REF!</v>
      </c>
      <c r="X181" t="e">
        <f>EMIQF1!#REF!</f>
        <v>#REF!</v>
      </c>
      <c r="Y181" t="e">
        <f>EMIQF1!#REF!</f>
        <v>#REF!</v>
      </c>
    </row>
    <row r="182" spans="1:28" x14ac:dyDescent="0.25">
      <c r="A182" t="e">
        <f>EMIQF1!#REF!</f>
        <v>#REF!</v>
      </c>
      <c r="B182" t="e">
        <f>EMIQF1!#REF!</f>
        <v>#REF!</v>
      </c>
      <c r="C182" t="e">
        <f>EMIQF1!#REF!</f>
        <v>#REF!</v>
      </c>
      <c r="D182" t="e">
        <f>EMIQF1!#REF!</f>
        <v>#REF!</v>
      </c>
      <c r="E182" t="e">
        <f>EMIQF1!#REF!</f>
        <v>#REF!</v>
      </c>
      <c r="F182" t="e">
        <f>EMIQF1!#REF!</f>
        <v>#REF!</v>
      </c>
      <c r="G182" t="e">
        <f>EMIQF1!#REF!</f>
        <v>#REF!</v>
      </c>
      <c r="H182" t="e">
        <f>EMIQF1!#REF!</f>
        <v>#REF!</v>
      </c>
      <c r="I182" t="e">
        <f>EMIQF1!#REF!</f>
        <v>#REF!</v>
      </c>
      <c r="J182" t="e">
        <f>EMIQF1!#REF!</f>
        <v>#REF!</v>
      </c>
      <c r="K182" t="e">
        <f>EMIQF1!#REF!</f>
        <v>#REF!</v>
      </c>
      <c r="L182" t="e">
        <f>EMIQF1!#REF!</f>
        <v>#REF!</v>
      </c>
      <c r="M182" t="e">
        <f>EMIQF1!#REF!</f>
        <v>#REF!</v>
      </c>
      <c r="N182" t="e">
        <f>EMIQF1!#REF!</f>
        <v>#REF!</v>
      </c>
      <c r="O182" t="e">
        <f>EMIQF1!#REF!</f>
        <v>#REF!</v>
      </c>
      <c r="P182" t="e">
        <f>EMIQF1!#REF!</f>
        <v>#REF!</v>
      </c>
      <c r="Q182" t="e">
        <f>EMIQF1!#REF!</f>
        <v>#REF!</v>
      </c>
      <c r="R182" t="e">
        <f>EMIQF1!#REF!</f>
        <v>#REF!</v>
      </c>
      <c r="S182" t="e">
        <f>EMIQF1!#REF!</f>
        <v>#REF!</v>
      </c>
      <c r="T182" t="e">
        <f>EMIQF1!#REF!</f>
        <v>#REF!</v>
      </c>
      <c r="U182" t="e">
        <f>EMIQF1!#REF!</f>
        <v>#REF!</v>
      </c>
      <c r="V182" t="e">
        <f>EMIQF1!#REF!</f>
        <v>#REF!</v>
      </c>
      <c r="W182" t="e">
        <f>EMIQF1!#REF!</f>
        <v>#REF!</v>
      </c>
      <c r="X182" t="e">
        <f>EMIQF1!#REF!</f>
        <v>#REF!</v>
      </c>
      <c r="Y182" t="e">
        <f>EMIQF1!#REF!</f>
        <v>#REF!</v>
      </c>
    </row>
    <row r="183" spans="1:28" x14ac:dyDescent="0.25">
      <c r="A183" t="str">
        <f>EMIQF1!A8</f>
        <v>EMIQF</v>
      </c>
      <c r="B183" t="e">
        <f ca="1">EMIQF1!B8</f>
        <v>#NAME?</v>
      </c>
      <c r="C183" t="str">
        <f>EMIQF1!C8</f>
        <v>XS0935311240 Corp</v>
      </c>
      <c r="D183" t="e">
        <f ca="1">EMIQF1!D8</f>
        <v>#NAME?</v>
      </c>
      <c r="E183">
        <f>EMIQF1!E8</f>
        <v>500000</v>
      </c>
      <c r="F183">
        <f>EMIQF1!F8</f>
        <v>71.53</v>
      </c>
      <c r="G183" t="e">
        <f ca="1">EMIQF1!G8</f>
        <v>#NAME?</v>
      </c>
      <c r="H183" t="e">
        <f ca="1">EMIQF1!H8</f>
        <v>#NAME?</v>
      </c>
      <c r="I183" t="e">
        <f ca="1">EMIQF1!I8</f>
        <v>#NAME?</v>
      </c>
      <c r="J183" t="e">
        <f ca="1">EMIQF1!J8</f>
        <v>#NAME?</v>
      </c>
      <c r="K183" t="e">
        <f ca="1">EMIQF1!K8</f>
        <v>#NAME?</v>
      </c>
      <c r="L183">
        <f>EMIQF1!L8</f>
        <v>357650</v>
      </c>
      <c r="M183" t="e">
        <f ca="1">EMIQF1!M8</f>
        <v>#NAME?</v>
      </c>
      <c r="N183" t="e">
        <f ca="1">EMIQF1!N8</f>
        <v>#NAME?</v>
      </c>
      <c r="O183" t="e">
        <f ca="1">EMIQF1!O8</f>
        <v>#NAME?</v>
      </c>
      <c r="P183" t="e">
        <f ca="1">EMIQF1!P8</f>
        <v>#NAME?</v>
      </c>
      <c r="Q183" t="e">
        <f ca="1">EMIQF1!Q8</f>
        <v>#NAME?</v>
      </c>
      <c r="R183" t="e">
        <f ca="1">EMIQF1!R8</f>
        <v>#NAME?</v>
      </c>
      <c r="S183" t="e">
        <f ca="1">EMIQF1!S8</f>
        <v>#NAME?</v>
      </c>
      <c r="T183" t="e">
        <f ca="1">EMIQF1!T8</f>
        <v>#NAME?</v>
      </c>
      <c r="U183" t="e">
        <f ca="1">EMIQF1!U8</f>
        <v>#NAME?</v>
      </c>
      <c r="V183" t="e">
        <f ca="1">EMIQF1!V8</f>
        <v>#NAME?</v>
      </c>
      <c r="W183" t="e">
        <f ca="1">EMIQF1!W8</f>
        <v>#NAME?</v>
      </c>
      <c r="X183" t="e">
        <f ca="1">EMIQF1!X8</f>
        <v>#NAME?</v>
      </c>
      <c r="Y183">
        <f>EMIQF1!Y8</f>
        <v>0</v>
      </c>
    </row>
    <row r="184" spans="1:28" x14ac:dyDescent="0.25">
      <c r="A184" t="str">
        <f>FOOQF!A4</f>
        <v>FOOQF</v>
      </c>
      <c r="B184" t="str">
        <f>FOOQF!B4</f>
        <v>Polymetal</v>
      </c>
      <c r="C184" t="str">
        <f>FOOQF!C4</f>
        <v>POLY LN Equity</v>
      </c>
      <c r="D184" t="e">
        <f ca="1">FOOQF!D4</f>
        <v>#NAME?</v>
      </c>
      <c r="E184">
        <f>FOOQF!E4</f>
        <v>13000</v>
      </c>
      <c r="F184">
        <f>FOOQF!F4</f>
        <v>5.2030000000000003</v>
      </c>
      <c r="G184" t="e">
        <f ca="1">FOOQF!G4</f>
        <v>#NAME?</v>
      </c>
      <c r="H184" t="e">
        <f ca="1">FOOQF!K4</f>
        <v>#NAME?</v>
      </c>
      <c r="I184" t="e">
        <f ca="1">FOOQF!L4</f>
        <v>#NAME?</v>
      </c>
      <c r="J184" t="e">
        <f ca="1">FOOQF!M4</f>
        <v>#NAME?</v>
      </c>
      <c r="K184" t="e">
        <f ca="1">FOOQF!N4</f>
        <v>#NAME?</v>
      </c>
      <c r="L184" t="e">
        <f ca="1">FOOQF!O4</f>
        <v>#NAME?</v>
      </c>
      <c r="M184" t="e">
        <f ca="1">FOOQF!P4</f>
        <v>#NAME?</v>
      </c>
      <c r="N184" t="e">
        <f ca="1">FOOQF!Q4</f>
        <v>#NAME?</v>
      </c>
      <c r="O184" t="e">
        <f ca="1">FOOQF!R4</f>
        <v>#NAME?</v>
      </c>
      <c r="P184" t="e">
        <f ca="1">FOOQF!S4</f>
        <v>#NAME?</v>
      </c>
      <c r="Q184" t="e">
        <f ca="1">FOOQF!T4</f>
        <v>#NAME?</v>
      </c>
      <c r="R184" t="e">
        <f>FOOQF!#REF!</f>
        <v>#REF!</v>
      </c>
      <c r="S184" t="e">
        <f ca="1">FOOQF!U4</f>
        <v>#NAME?</v>
      </c>
      <c r="T184" t="e">
        <f ca="1">FOOQF!V4</f>
        <v>#NAME?</v>
      </c>
      <c r="U184" t="e">
        <f>FOOQF!#REF!</f>
        <v>#REF!</v>
      </c>
      <c r="V184" t="e">
        <f>FOOQF!#REF!</f>
        <v>#REF!</v>
      </c>
      <c r="W184" t="e">
        <f>FOOQF!#REF!</f>
        <v>#REF!</v>
      </c>
      <c r="X184" t="e">
        <f>FOOQF!#REF!</f>
        <v>#REF!</v>
      </c>
      <c r="Y184" t="e">
        <f ca="1">FOOQF!W4</f>
        <v>#NAME?</v>
      </c>
      <c r="Z184" t="e">
        <f ca="1">FOOQF!X4</f>
        <v>#NAME?</v>
      </c>
    </row>
    <row r="185" spans="1:28" x14ac:dyDescent="0.25">
      <c r="A185" t="str">
        <f>FOOQF!A5</f>
        <v>FOOQF</v>
      </c>
      <c r="B185" t="str">
        <f>FOOQF!B5</f>
        <v>Yandex</v>
      </c>
      <c r="C185" t="str">
        <f>FOOQF!C5</f>
        <v>YNDX US Equity</v>
      </c>
      <c r="D185" t="e">
        <f ca="1">FOOQF!D5</f>
        <v>#NAME?</v>
      </c>
      <c r="E185">
        <f>FOOQF!E5</f>
        <v>13380</v>
      </c>
      <c r="F185">
        <f>FOOQF!F5</f>
        <v>14.950397608370704</v>
      </c>
      <c r="G185" t="e">
        <f ca="1">FOOQF!G5</f>
        <v>#NAME?</v>
      </c>
      <c r="H185" t="e">
        <f ca="1">FOOQF!K5</f>
        <v>#NAME?</v>
      </c>
      <c r="I185" t="e">
        <f ca="1">FOOQF!L5</f>
        <v>#NAME?</v>
      </c>
      <c r="J185" t="e">
        <f ca="1">FOOQF!M5</f>
        <v>#NAME?</v>
      </c>
      <c r="K185" t="e">
        <f ca="1">FOOQF!N5</f>
        <v>#NAME?</v>
      </c>
      <c r="L185">
        <f>FOOQF!O5</f>
        <v>200036.32</v>
      </c>
      <c r="M185" t="e">
        <f ca="1">FOOQF!P5</f>
        <v>#NAME?</v>
      </c>
      <c r="N185" t="e">
        <f ca="1">FOOQF!Q5</f>
        <v>#NAME?</v>
      </c>
      <c r="O185" t="e">
        <f ca="1">FOOQF!R5</f>
        <v>#NAME?</v>
      </c>
      <c r="P185" t="e">
        <f ca="1">FOOQF!S5</f>
        <v>#NAME?</v>
      </c>
      <c r="Q185" t="e">
        <f ca="1">FOOQF!T5</f>
        <v>#NAME?</v>
      </c>
      <c r="R185" t="e">
        <f>FOOQF!#REF!</f>
        <v>#REF!</v>
      </c>
      <c r="S185" t="e">
        <f ca="1">FOOQF!U5</f>
        <v>#NAME?</v>
      </c>
      <c r="T185" t="e">
        <f ca="1">FOOQF!V5</f>
        <v>#NAME?</v>
      </c>
      <c r="U185" t="e">
        <f>FOOQF!#REF!</f>
        <v>#REF!</v>
      </c>
      <c r="V185" t="e">
        <f>FOOQF!#REF!</f>
        <v>#REF!</v>
      </c>
      <c r="W185" t="e">
        <f>FOOQF!#REF!</f>
        <v>#REF!</v>
      </c>
      <c r="X185" t="e">
        <f>FOOQF!#REF!</f>
        <v>#REF!</v>
      </c>
      <c r="Y185" t="e">
        <f ca="1">FOOQF!W5</f>
        <v>#NAME?</v>
      </c>
      <c r="Z185" t="e">
        <f ca="1">FOOQF!X5</f>
        <v>#NAME?</v>
      </c>
    </row>
    <row r="186" spans="1:28" x14ac:dyDescent="0.25">
      <c r="A186" t="str">
        <f>FOOQF!A6</f>
        <v>FOOQF</v>
      </c>
      <c r="B186" t="str">
        <f>FOOQF!B6</f>
        <v>High Gold Mining</v>
      </c>
      <c r="C186" t="str">
        <f>FOOQF!C6</f>
        <v>HGM LN Equity</v>
      </c>
      <c r="D186" t="e">
        <f ca="1">FOOQF!D6</f>
        <v>#NAME?</v>
      </c>
      <c r="E186">
        <f>FOOQF!E6</f>
        <v>66694</v>
      </c>
      <c r="F186" t="e">
        <f ca="1">FOOQF!F6</f>
        <v>#NAME?</v>
      </c>
      <c r="G186" t="e">
        <f ca="1">FOOQF!G6</f>
        <v>#NAME?</v>
      </c>
      <c r="H186" t="e">
        <f ca="1">FOOQF!K6</f>
        <v>#NAME?</v>
      </c>
      <c r="I186" t="e">
        <f ca="1">FOOQF!L6</f>
        <v>#NAME?</v>
      </c>
      <c r="J186" t="e">
        <f ca="1">FOOQF!M6</f>
        <v>#NAME?</v>
      </c>
      <c r="K186" t="e">
        <f ca="1">FOOQF!N6</f>
        <v>#NAME?</v>
      </c>
      <c r="L186" t="e">
        <f ca="1">FOOQF!O6</f>
        <v>#NAME?</v>
      </c>
      <c r="M186" t="e">
        <f ca="1">FOOQF!P6</f>
        <v>#NAME?</v>
      </c>
      <c r="N186" t="e">
        <f ca="1">FOOQF!Q6</f>
        <v>#NAME?</v>
      </c>
      <c r="O186" t="e">
        <f ca="1">FOOQF!R6</f>
        <v>#NAME?</v>
      </c>
      <c r="P186" t="e">
        <f ca="1">FOOQF!S6</f>
        <v>#NAME?</v>
      </c>
      <c r="Q186" t="e">
        <f ca="1">FOOQF!T6</f>
        <v>#NAME?</v>
      </c>
      <c r="R186" t="e">
        <f>FOOQF!#REF!</f>
        <v>#REF!</v>
      </c>
      <c r="S186" t="e">
        <f ca="1">FOOQF!U6</f>
        <v>#NAME?</v>
      </c>
      <c r="T186" t="e">
        <f ca="1">FOOQF!V6</f>
        <v>#NAME?</v>
      </c>
      <c r="U186" t="e">
        <f>FOOQF!#REF!</f>
        <v>#REF!</v>
      </c>
      <c r="V186" t="e">
        <f>FOOQF!#REF!</f>
        <v>#REF!</v>
      </c>
      <c r="W186" t="e">
        <f>FOOQF!#REF!</f>
        <v>#REF!</v>
      </c>
      <c r="X186" t="e">
        <f>FOOQF!#REF!</f>
        <v>#REF!</v>
      </c>
      <c r="Y186" t="e">
        <f ca="1">FOOQF!W6</f>
        <v>#NAME?</v>
      </c>
      <c r="Z186" t="e">
        <f ca="1">FOOQF!X6</f>
        <v>#NAME?</v>
      </c>
    </row>
    <row r="187" spans="1:28" x14ac:dyDescent="0.25">
      <c r="A187" t="str">
        <f>FOOQF!A7</f>
        <v>FOOQF</v>
      </c>
      <c r="B187" t="str">
        <f>FOOQF!B7</f>
        <v>Gazpromneft</v>
      </c>
      <c r="C187" t="str">
        <f>FOOQF!C7</f>
        <v>GAZ LI Equity</v>
      </c>
      <c r="D187" t="e">
        <f ca="1">FOOQF!D7</f>
        <v>#NAME?</v>
      </c>
      <c r="E187">
        <f>FOOQF!E7</f>
        <v>12000</v>
      </c>
      <c r="F187" t="e">
        <f ca="1">FOOQF!F7</f>
        <v>#NAME?</v>
      </c>
      <c r="G187" t="e">
        <f ca="1">FOOQF!G7</f>
        <v>#NAME?</v>
      </c>
      <c r="H187" t="e">
        <f ca="1">FOOQF!K7</f>
        <v>#NAME?</v>
      </c>
      <c r="I187" t="e">
        <f ca="1">FOOQF!L7</f>
        <v>#NAME?</v>
      </c>
      <c r="J187" t="e">
        <f ca="1">FOOQF!M7</f>
        <v>#NAME?</v>
      </c>
      <c r="K187" t="e">
        <f ca="1">FOOQF!N7</f>
        <v>#NAME?</v>
      </c>
      <c r="L187" t="e">
        <f ca="1">FOOQF!O7</f>
        <v>#NAME?</v>
      </c>
      <c r="M187" t="e">
        <f ca="1">FOOQF!P7</f>
        <v>#NAME?</v>
      </c>
      <c r="N187" t="e">
        <f ca="1">FOOQF!Q7</f>
        <v>#NAME?</v>
      </c>
      <c r="O187" t="e">
        <f ca="1">FOOQF!R7</f>
        <v>#NAME?</v>
      </c>
      <c r="P187" t="e">
        <f ca="1">FOOQF!S7</f>
        <v>#NAME?</v>
      </c>
      <c r="Q187" t="e">
        <f ca="1">FOOQF!T7</f>
        <v>#NAME?</v>
      </c>
      <c r="R187" t="e">
        <f>FOOQF!#REF!</f>
        <v>#REF!</v>
      </c>
      <c r="S187" t="e">
        <f ca="1">FOOQF!U7</f>
        <v>#NAME?</v>
      </c>
      <c r="T187" t="e">
        <f ca="1">FOOQF!V7</f>
        <v>#NAME?</v>
      </c>
      <c r="U187" t="e">
        <f>FOOQF!#REF!</f>
        <v>#REF!</v>
      </c>
      <c r="V187" t="e">
        <f>FOOQF!#REF!</f>
        <v>#REF!</v>
      </c>
      <c r="W187" t="e">
        <f>FOOQF!#REF!</f>
        <v>#REF!</v>
      </c>
      <c r="X187" t="e">
        <f>FOOQF!#REF!</f>
        <v>#REF!</v>
      </c>
      <c r="Y187" t="e">
        <f ca="1">FOOQF!W7</f>
        <v>#NAME?</v>
      </c>
      <c r="Z187" t="e">
        <f ca="1">FOOQF!X7</f>
        <v>#NAME?</v>
      </c>
    </row>
    <row r="188" spans="1:28" x14ac:dyDescent="0.25">
      <c r="A188" t="str">
        <f>FOOQF!A8</f>
        <v>FOOQF</v>
      </c>
      <c r="B188" t="str">
        <f>FOOQF!B8</f>
        <v>X5</v>
      </c>
      <c r="C188" t="str">
        <f>FOOQF!C8</f>
        <v>FIVE LI Equity</v>
      </c>
      <c r="D188" t="e">
        <f ca="1">FOOQF!D8</f>
        <v>#NAME?</v>
      </c>
      <c r="E188">
        <f>FOOQF!E8</f>
        <v>4500</v>
      </c>
      <c r="F188">
        <f>FOOQF!F8</f>
        <v>12.3</v>
      </c>
      <c r="G188" t="e">
        <f ca="1">FOOQF!G8</f>
        <v>#NAME?</v>
      </c>
      <c r="H188" t="e">
        <f ca="1">FOOQF!K8</f>
        <v>#NAME?</v>
      </c>
      <c r="I188" t="e">
        <f ca="1">FOOQF!L8</f>
        <v>#NAME?</v>
      </c>
      <c r="J188" t="e">
        <f ca="1">FOOQF!M8</f>
        <v>#NAME?</v>
      </c>
      <c r="K188" t="e">
        <f ca="1">FOOQF!N8</f>
        <v>#NAME?</v>
      </c>
      <c r="L188">
        <f>FOOQF!O8</f>
        <v>55350</v>
      </c>
      <c r="M188" t="e">
        <f ca="1">FOOQF!P8</f>
        <v>#NAME?</v>
      </c>
      <c r="N188" t="e">
        <f ca="1">FOOQF!Q8</f>
        <v>#NAME?</v>
      </c>
      <c r="O188" t="e">
        <f ca="1">FOOQF!R8</f>
        <v>#NAME?</v>
      </c>
      <c r="P188" t="e">
        <f ca="1">FOOQF!S8</f>
        <v>#NAME?</v>
      </c>
      <c r="Q188" t="e">
        <f ca="1">FOOQF!T8</f>
        <v>#NAME?</v>
      </c>
      <c r="R188" t="e">
        <f>FOOQF!#REF!</f>
        <v>#REF!</v>
      </c>
      <c r="S188" t="e">
        <f ca="1">FOOQF!U8</f>
        <v>#NAME?</v>
      </c>
      <c r="T188" t="e">
        <f ca="1">FOOQF!V8</f>
        <v>#NAME?</v>
      </c>
      <c r="U188" t="e">
        <f>FOOQF!#REF!</f>
        <v>#REF!</v>
      </c>
      <c r="V188" t="e">
        <f>FOOQF!#REF!</f>
        <v>#REF!</v>
      </c>
      <c r="W188" t="e">
        <f>FOOQF!#REF!</f>
        <v>#REF!</v>
      </c>
      <c r="X188" t="e">
        <f>FOOQF!#REF!</f>
        <v>#REF!</v>
      </c>
      <c r="Y188" t="e">
        <f ca="1">FOOQF!W8</f>
        <v>#NAME?</v>
      </c>
      <c r="Z188" t="e">
        <f ca="1">FOOQF!X8</f>
        <v>#NAME?</v>
      </c>
    </row>
    <row r="189" spans="1:28" x14ac:dyDescent="0.25">
      <c r="A189" t="str">
        <f>FOOQF!A9</f>
        <v>FOOQF</v>
      </c>
      <c r="B189" t="str">
        <f>FOOQF!B9</f>
        <v>MTS</v>
      </c>
      <c r="C189" t="str">
        <f>FOOQF!C9</f>
        <v>MTSS RX Equity</v>
      </c>
      <c r="D189" t="e">
        <f ca="1">FOOQF!D9</f>
        <v>#NAME?</v>
      </c>
      <c r="E189">
        <f>FOOQF!E9</f>
        <v>13400</v>
      </c>
      <c r="F189">
        <f>FOOQF!F9</f>
        <v>230.5</v>
      </c>
      <c r="G189" t="e">
        <f ca="1">FOOQF!G9</f>
        <v>#NAME?</v>
      </c>
      <c r="H189" t="e">
        <f ca="1">FOOQF!K9</f>
        <v>#NAME?</v>
      </c>
      <c r="I189" t="e">
        <f ca="1">FOOQF!L9</f>
        <v>#NAME?</v>
      </c>
      <c r="J189" t="e">
        <f ca="1">FOOQF!M9</f>
        <v>#NAME?</v>
      </c>
      <c r="K189">
        <f>FOOQF!N9</f>
        <v>3088700</v>
      </c>
      <c r="L189" t="e">
        <f ca="1">FOOQF!O9</f>
        <v>#NAME?</v>
      </c>
      <c r="M189" t="e">
        <f ca="1">FOOQF!P9</f>
        <v>#NAME?</v>
      </c>
      <c r="N189" t="e">
        <f ca="1">FOOQF!Q9</f>
        <v>#NAME?</v>
      </c>
      <c r="O189" t="e">
        <f ca="1">FOOQF!R9</f>
        <v>#NAME?</v>
      </c>
      <c r="P189" t="e">
        <f ca="1">FOOQF!S9</f>
        <v>#NAME?</v>
      </c>
      <c r="Q189" t="e">
        <f ca="1">FOOQF!T9</f>
        <v>#NAME?</v>
      </c>
      <c r="R189" t="e">
        <f>FOOQF!#REF!</f>
        <v>#REF!</v>
      </c>
      <c r="S189" t="e">
        <f ca="1">FOOQF!U9</f>
        <v>#NAME?</v>
      </c>
      <c r="T189" t="e">
        <f ca="1">FOOQF!V9</f>
        <v>#NAME?</v>
      </c>
      <c r="U189" t="e">
        <f>FOOQF!#REF!</f>
        <v>#REF!</v>
      </c>
      <c r="V189" t="e">
        <f>FOOQF!#REF!</f>
        <v>#REF!</v>
      </c>
      <c r="W189" t="e">
        <f>FOOQF!#REF!</f>
        <v>#REF!</v>
      </c>
      <c r="X189" t="e">
        <f>FOOQF!#REF!</f>
        <v>#REF!</v>
      </c>
      <c r="Y189" t="e">
        <f ca="1">FOOQF!W9</f>
        <v>#NAME?</v>
      </c>
      <c r="Z189" t="e">
        <f ca="1">FOOQF!X9</f>
        <v>#NAME?</v>
      </c>
    </row>
    <row r="190" spans="1:28" x14ac:dyDescent="0.25">
      <c r="A190" t="str">
        <f>FOOQF!A10</f>
        <v>FOOQF</v>
      </c>
      <c r="B190" t="str">
        <f>FOOQF!B10</f>
        <v>Gazprom</v>
      </c>
      <c r="C190" t="str">
        <f>FOOQF!C10</f>
        <v>OGZD LI Equity</v>
      </c>
      <c r="D190" t="e">
        <f ca="1">FOOQF!D10</f>
        <v>#NAME?</v>
      </c>
      <c r="E190">
        <f>FOOQF!E10</f>
        <v>11200</v>
      </c>
      <c r="F190">
        <f>FOOQF!F10</f>
        <v>5</v>
      </c>
      <c r="G190" t="e">
        <f ca="1">FOOQF!G10</f>
        <v>#NAME?</v>
      </c>
      <c r="H190" t="e">
        <f ca="1">FOOQF!K10</f>
        <v>#NAME?</v>
      </c>
      <c r="I190" t="e">
        <f ca="1">FOOQF!L10</f>
        <v>#NAME?</v>
      </c>
      <c r="J190" t="e">
        <f ca="1">FOOQF!M10</f>
        <v>#NAME?</v>
      </c>
      <c r="K190" t="e">
        <f ca="1">FOOQF!N10</f>
        <v>#NAME?</v>
      </c>
      <c r="L190">
        <f>FOOQF!O10</f>
        <v>56000</v>
      </c>
      <c r="M190" t="e">
        <f ca="1">FOOQF!P10</f>
        <v>#NAME?</v>
      </c>
      <c r="N190" t="e">
        <f ca="1">FOOQF!Q10</f>
        <v>#NAME?</v>
      </c>
      <c r="O190" t="e">
        <f ca="1">FOOQF!R10</f>
        <v>#NAME?</v>
      </c>
      <c r="P190" t="e">
        <f ca="1">FOOQF!S10</f>
        <v>#NAME?</v>
      </c>
      <c r="Q190" t="e">
        <f ca="1">FOOQF!T10</f>
        <v>#NAME?</v>
      </c>
      <c r="R190" t="e">
        <f>FOOQF!#REF!</f>
        <v>#REF!</v>
      </c>
      <c r="S190" t="e">
        <f ca="1">FOOQF!U10</f>
        <v>#NAME?</v>
      </c>
      <c r="T190" t="e">
        <f ca="1">FOOQF!V10</f>
        <v>#NAME?</v>
      </c>
      <c r="U190" t="e">
        <f>FOOQF!#REF!</f>
        <v>#REF!</v>
      </c>
      <c r="V190" t="e">
        <f>FOOQF!#REF!</f>
        <v>#REF!</v>
      </c>
      <c r="W190" t="e">
        <f>FOOQF!#REF!</f>
        <v>#REF!</v>
      </c>
      <c r="X190" t="e">
        <f>FOOQF!#REF!</f>
        <v>#REF!</v>
      </c>
      <c r="Y190" t="e">
        <f ca="1">FOOQF!W10</f>
        <v>#NAME?</v>
      </c>
      <c r="Z190" t="e">
        <f ca="1">FOOQF!X10</f>
        <v>#NAME?</v>
      </c>
    </row>
    <row r="191" spans="1:28" x14ac:dyDescent="0.25">
      <c r="A191" t="str">
        <f>FOOQF!A11</f>
        <v>FOOQF</v>
      </c>
      <c r="B191" t="str">
        <f>FOOQF!B11</f>
        <v>GMKN</v>
      </c>
      <c r="C191" t="str">
        <f>FOOQF!C11</f>
        <v>MNOD LI Equity</v>
      </c>
      <c r="D191" t="e">
        <f ca="1">FOOQF!D11</f>
        <v>#NAME?</v>
      </c>
      <c r="E191">
        <f>FOOQF!E11</f>
        <v>7007</v>
      </c>
      <c r="F191">
        <f>FOOQF!F11</f>
        <v>15.890000000000002</v>
      </c>
      <c r="G191" t="e">
        <f ca="1">FOOQF!G11</f>
        <v>#NAME?</v>
      </c>
      <c r="H191" t="e">
        <f ca="1">FOOQF!K11</f>
        <v>#NAME?</v>
      </c>
      <c r="I191" t="e">
        <f ca="1">FOOQF!L11</f>
        <v>#NAME?</v>
      </c>
      <c r="J191" t="e">
        <f ca="1">FOOQF!M11</f>
        <v>#NAME?</v>
      </c>
      <c r="K191" t="e">
        <f ca="1">FOOQF!N11</f>
        <v>#NAME?</v>
      </c>
      <c r="L191">
        <f>FOOQF!O11</f>
        <v>111341.23000000001</v>
      </c>
      <c r="M191" t="e">
        <f ca="1">FOOQF!P11</f>
        <v>#NAME?</v>
      </c>
      <c r="N191" t="e">
        <f ca="1">FOOQF!Q11</f>
        <v>#NAME?</v>
      </c>
      <c r="O191" t="e">
        <f ca="1">FOOQF!R11</f>
        <v>#NAME?</v>
      </c>
      <c r="P191" t="e">
        <f ca="1">FOOQF!S11</f>
        <v>#NAME?</v>
      </c>
      <c r="Q191" t="e">
        <f ca="1">FOOQF!T11</f>
        <v>#NAME?</v>
      </c>
      <c r="R191" t="e">
        <f>FOOQF!#REF!</f>
        <v>#REF!</v>
      </c>
      <c r="S191" t="e">
        <f ca="1">FOOQF!U11</f>
        <v>#NAME?</v>
      </c>
      <c r="T191" t="e">
        <f ca="1">FOOQF!V11</f>
        <v>#NAME?</v>
      </c>
      <c r="U191" t="e">
        <f>FOOQF!#REF!</f>
        <v>#REF!</v>
      </c>
      <c r="V191" t="e">
        <f>FOOQF!#REF!</f>
        <v>#REF!</v>
      </c>
      <c r="W191" t="e">
        <f>FOOQF!#REF!</f>
        <v>#REF!</v>
      </c>
      <c r="X191" t="e">
        <f>FOOQF!#REF!</f>
        <v>#REF!</v>
      </c>
      <c r="Y191" t="e">
        <f ca="1">FOOQF!W11</f>
        <v>#NAME?</v>
      </c>
      <c r="Z191" t="e">
        <f ca="1">FOOQF!X11</f>
        <v>#NAME?</v>
      </c>
    </row>
    <row r="192" spans="1:28" x14ac:dyDescent="0.25">
      <c r="A192" t="str">
        <f>INFLE!A4</f>
        <v>INFLE</v>
      </c>
      <c r="B192" t="str">
        <f>INFLE!B4</f>
        <v>WZR (1.14 CAD)</v>
      </c>
      <c r="C192" t="str">
        <f>INFLE!C4</f>
        <v>WZR CN Equity</v>
      </c>
      <c r="D192" t="e">
        <f ca="1">INFLE!D4</f>
        <v>#NAME?</v>
      </c>
      <c r="E192">
        <f>INFLE!E4</f>
        <v>202000</v>
      </c>
      <c r="F192" t="e">
        <f ca="1">INFLE!F4</f>
        <v>#NAME?</v>
      </c>
      <c r="G192" t="e">
        <f ca="1">INFLE!G4</f>
        <v>#NAME?</v>
      </c>
      <c r="H192" t="e">
        <f ca="1">INFLE!K4</f>
        <v>#NAME?</v>
      </c>
      <c r="I192" t="e">
        <f ca="1">INFLE!L4</f>
        <v>#NAME?</v>
      </c>
      <c r="J192" t="e">
        <f ca="1">INFLE!M4</f>
        <v>#NAME?</v>
      </c>
      <c r="K192" t="e">
        <f ca="1">INFLE!N4</f>
        <v>#NAME?</v>
      </c>
      <c r="L192" t="e">
        <f ca="1">INFLE!O4</f>
        <v>#NAME?</v>
      </c>
      <c r="M192" t="e">
        <f ca="1">INFLE!P4</f>
        <v>#NAME?</v>
      </c>
      <c r="N192" t="e">
        <f ca="1">INFLE!Q4</f>
        <v>#NAME?</v>
      </c>
      <c r="O192" t="e">
        <f ca="1">INFLE!R4</f>
        <v>#NAME?</v>
      </c>
      <c r="P192" t="e">
        <f ca="1">INFLE!S4</f>
        <v>#NAME?</v>
      </c>
      <c r="Q192" t="e">
        <f ca="1">INFLE!T4</f>
        <v>#NAME?</v>
      </c>
      <c r="R192" t="e">
        <f ca="1">INFLE!U4</f>
        <v>#NAME?</v>
      </c>
      <c r="S192" t="e">
        <f ca="1">INFLE!V4</f>
        <v>#NAME?</v>
      </c>
      <c r="T192" t="e">
        <f ca="1">INFLE!W4</f>
        <v>#NAME?</v>
      </c>
      <c r="U192" t="e">
        <f ca="1">INFLE!X4</f>
        <v>#NAME?</v>
      </c>
      <c r="V192" t="e">
        <f ca="1">INFLE!Y4</f>
        <v>#NAME?</v>
      </c>
      <c r="W192" t="e">
        <f ca="1">INFLE!Z4</f>
        <v>#NAME?</v>
      </c>
      <c r="X192" t="e">
        <f ca="1">INFLE!AA4</f>
        <v>#NAME?</v>
      </c>
      <c r="Y192" t="e">
        <f ca="1">INFLE!AB4</f>
        <v>#NAME?</v>
      </c>
      <c r="Z192" t="e">
        <f ca="1">INFLE!AC4</f>
        <v>#NAME?</v>
      </c>
      <c r="AA192" t="e">
        <f>INFLE!#REF!</f>
        <v>#REF!</v>
      </c>
      <c r="AB192" t="e">
        <f>INFLE!#REF!</f>
        <v>#REF!</v>
      </c>
    </row>
    <row r="193" spans="1:28" x14ac:dyDescent="0.25">
      <c r="A193" t="str">
        <f>INFLE!A5</f>
        <v>INFLE</v>
      </c>
      <c r="B193" t="str">
        <f>INFLE!B5</f>
        <v>GMKN</v>
      </c>
      <c r="C193" t="str">
        <f>INFLE!C5</f>
        <v>GMKN RX Equity</v>
      </c>
      <c r="D193" t="e">
        <f ca="1">INFLE!D5</f>
        <v>#NAME?</v>
      </c>
      <c r="E193">
        <f>INFLE!E5</f>
        <v>1106</v>
      </c>
      <c r="F193" t="e">
        <f ca="1">INFLE!F5</f>
        <v>#NAME?</v>
      </c>
      <c r="G193" t="e">
        <f ca="1">INFLE!G5</f>
        <v>#NAME?</v>
      </c>
      <c r="H193" t="e">
        <f ca="1">INFLE!K5</f>
        <v>#NAME?</v>
      </c>
      <c r="I193" t="e">
        <f ca="1">INFLE!L5</f>
        <v>#NAME?</v>
      </c>
      <c r="J193" t="e">
        <f ca="1">INFLE!M5</f>
        <v>#NAME?</v>
      </c>
      <c r="K193" t="e">
        <f ca="1">INFLE!N5</f>
        <v>#NAME?</v>
      </c>
      <c r="L193" t="e">
        <f ca="1">INFLE!O5</f>
        <v>#NAME?</v>
      </c>
      <c r="M193" t="e">
        <f ca="1">INFLE!P5</f>
        <v>#NAME?</v>
      </c>
      <c r="N193" t="e">
        <f ca="1">INFLE!Q5</f>
        <v>#NAME?</v>
      </c>
      <c r="O193" t="e">
        <f ca="1">INFLE!R5</f>
        <v>#NAME?</v>
      </c>
      <c r="P193" t="e">
        <f ca="1">INFLE!S5</f>
        <v>#NAME?</v>
      </c>
      <c r="Q193" t="e">
        <f ca="1">INFLE!T5</f>
        <v>#NAME?</v>
      </c>
      <c r="R193" t="e">
        <f ca="1">INFLE!U5</f>
        <v>#NAME?</v>
      </c>
      <c r="S193" t="e">
        <f ca="1">INFLE!V5</f>
        <v>#NAME?</v>
      </c>
      <c r="T193" t="e">
        <f ca="1">INFLE!W5</f>
        <v>#NAME?</v>
      </c>
      <c r="U193" t="e">
        <f ca="1">INFLE!X5</f>
        <v>#NAME?</v>
      </c>
      <c r="V193" t="e">
        <f ca="1">INFLE!Y5</f>
        <v>#NAME?</v>
      </c>
      <c r="W193" t="e">
        <f ca="1">INFLE!Z5</f>
        <v>#NAME?</v>
      </c>
      <c r="X193" t="e">
        <f ca="1">INFLE!AA5</f>
        <v>#NAME?</v>
      </c>
      <c r="Y193" t="e">
        <f ca="1">INFLE!AB5</f>
        <v>#NAME?</v>
      </c>
      <c r="Z193" t="e">
        <f ca="1">INFLE!AC5</f>
        <v>#NAME?</v>
      </c>
      <c r="AA193" t="e">
        <f>INFLE!#REF!</f>
        <v>#REF!</v>
      </c>
      <c r="AB193" t="e">
        <f>INFLE!#REF!</f>
        <v>#REF!</v>
      </c>
    </row>
    <row r="194" spans="1:28" x14ac:dyDescent="0.25">
      <c r="A194" t="str">
        <f>INFLE!A6</f>
        <v>INFLE</v>
      </c>
      <c r="B194" t="str">
        <f>INFLE!B6</f>
        <v>Surgutneftegaz</v>
      </c>
      <c r="C194" t="str">
        <f>INFLE!C6</f>
        <v>SNGSP RX Equity</v>
      </c>
      <c r="D194" t="e">
        <f ca="1">INFLE!D6</f>
        <v>#NAME?</v>
      </c>
      <c r="E194">
        <f>INFLE!E6</f>
        <v>269500</v>
      </c>
      <c r="F194" t="e">
        <f ca="1">INFLE!F6</f>
        <v>#NAME?</v>
      </c>
      <c r="G194" t="e">
        <f ca="1">INFLE!G6</f>
        <v>#NAME?</v>
      </c>
      <c r="H194" t="e">
        <f ca="1">INFLE!K6</f>
        <v>#NAME?</v>
      </c>
      <c r="I194" t="e">
        <f ca="1">INFLE!L6</f>
        <v>#NAME?</v>
      </c>
      <c r="J194" t="e">
        <f ca="1">INFLE!M6</f>
        <v>#NAME?</v>
      </c>
      <c r="K194" t="e">
        <f ca="1">INFLE!N6</f>
        <v>#NAME?</v>
      </c>
      <c r="L194" t="e">
        <f ca="1">INFLE!O6</f>
        <v>#NAME?</v>
      </c>
      <c r="M194" t="e">
        <f ca="1">INFLE!P6</f>
        <v>#NAME?</v>
      </c>
      <c r="N194" t="e">
        <f ca="1">INFLE!Q6</f>
        <v>#NAME?</v>
      </c>
      <c r="O194" t="e">
        <f ca="1">INFLE!R6</f>
        <v>#NAME?</v>
      </c>
      <c r="P194" t="e">
        <f ca="1">INFLE!S6</f>
        <v>#NAME?</v>
      </c>
      <c r="Q194" t="e">
        <f ca="1">INFLE!T6</f>
        <v>#NAME?</v>
      </c>
      <c r="R194" t="e">
        <f ca="1">INFLE!U6</f>
        <v>#NAME?</v>
      </c>
      <c r="S194" t="e">
        <f ca="1">INFLE!V6</f>
        <v>#NAME?</v>
      </c>
      <c r="T194" t="e">
        <f ca="1">INFLE!W6</f>
        <v>#NAME?</v>
      </c>
      <c r="U194" t="e">
        <f ca="1">INFLE!X6</f>
        <v>#NAME?</v>
      </c>
      <c r="V194" t="e">
        <f ca="1">INFLE!Y6</f>
        <v>#NAME?</v>
      </c>
      <c r="W194" t="e">
        <f ca="1">INFLE!Z6</f>
        <v>#NAME?</v>
      </c>
      <c r="X194" t="e">
        <f ca="1">INFLE!AA6</f>
        <v>#NAME?</v>
      </c>
      <c r="Y194" t="e">
        <f ca="1">INFLE!AB6</f>
        <v>#NAME?</v>
      </c>
      <c r="Z194" t="e">
        <f ca="1">INFLE!AC6</f>
        <v>#NAME?</v>
      </c>
      <c r="AA194" t="e">
        <f>INFLE!#REF!</f>
        <v>#REF!</v>
      </c>
      <c r="AB194" t="e">
        <f>INFLE!#REF!</f>
        <v>#REF!</v>
      </c>
    </row>
    <row r="195" spans="1:28" x14ac:dyDescent="0.25">
      <c r="A195" t="e">
        <f>INFLE!#REF!</f>
        <v>#REF!</v>
      </c>
      <c r="B195" t="e">
        <f>INFLE!#REF!</f>
        <v>#REF!</v>
      </c>
      <c r="C195" t="e">
        <f>INFLE!#REF!</f>
        <v>#REF!</v>
      </c>
      <c r="D195" t="e">
        <f>INFLE!#REF!</f>
        <v>#REF!</v>
      </c>
      <c r="E195" t="e">
        <f>INFLE!#REF!</f>
        <v>#REF!</v>
      </c>
      <c r="F195" t="e">
        <f>INFLE!#REF!</f>
        <v>#REF!</v>
      </c>
      <c r="G195" t="e">
        <f>INFLE!#REF!</f>
        <v>#REF!</v>
      </c>
      <c r="H195" t="e">
        <f>INFLE!#REF!</f>
        <v>#REF!</v>
      </c>
      <c r="I195" t="e">
        <f>INFLE!#REF!</f>
        <v>#REF!</v>
      </c>
      <c r="J195" t="e">
        <f>INFLE!#REF!</f>
        <v>#REF!</v>
      </c>
      <c r="K195" t="e">
        <f>INFLE!#REF!</f>
        <v>#REF!</v>
      </c>
      <c r="L195" t="e">
        <f>INFLE!#REF!</f>
        <v>#REF!</v>
      </c>
      <c r="M195" t="e">
        <f>INFLE!#REF!</f>
        <v>#REF!</v>
      </c>
      <c r="N195" t="e">
        <f>INFLE!#REF!</f>
        <v>#REF!</v>
      </c>
      <c r="O195" t="e">
        <f>INFLE!#REF!</f>
        <v>#REF!</v>
      </c>
      <c r="P195" t="e">
        <f>INFLE!#REF!</f>
        <v>#REF!</v>
      </c>
      <c r="Q195" t="e">
        <f>INFLE!#REF!</f>
        <v>#REF!</v>
      </c>
      <c r="R195" t="e">
        <f>INFLE!#REF!</f>
        <v>#REF!</v>
      </c>
      <c r="S195" t="e">
        <f>INFLE!#REF!</f>
        <v>#REF!</v>
      </c>
      <c r="T195" t="e">
        <f>INFLE!#REF!</f>
        <v>#REF!</v>
      </c>
      <c r="U195" t="e">
        <f>INFLE!#REF!</f>
        <v>#REF!</v>
      </c>
      <c r="V195" t="e">
        <f>INFLE!#REF!</f>
        <v>#REF!</v>
      </c>
      <c r="W195" t="e">
        <f>INFLE!#REF!</f>
        <v>#REF!</v>
      </c>
      <c r="X195" t="e">
        <f>INFLE!#REF!</f>
        <v>#REF!</v>
      </c>
      <c r="Y195" t="e">
        <f>INFLE!#REF!</f>
        <v>#REF!</v>
      </c>
      <c r="Z195" t="e">
        <f>INFLE!#REF!</f>
        <v>#REF!</v>
      </c>
      <c r="AA195" t="e">
        <f>INFLE!#REF!</f>
        <v>#REF!</v>
      </c>
      <c r="AB195" t="e">
        <f>INFLE!#REF!</f>
        <v>#REF!</v>
      </c>
    </row>
    <row r="196" spans="1:28" x14ac:dyDescent="0.25">
      <c r="A196" t="str">
        <f>INFLE!A7</f>
        <v>INFLE</v>
      </c>
      <c r="B196" t="str">
        <f>INFLE!B7</f>
        <v xml:space="preserve">E.ON </v>
      </c>
      <c r="C196" t="str">
        <f>INFLE!C7</f>
        <v>UPRO RX Equity</v>
      </c>
      <c r="D196" t="e">
        <f ca="1">INFLE!D7</f>
        <v>#NAME?</v>
      </c>
      <c r="E196">
        <f>INFLE!E7</f>
        <v>2272000</v>
      </c>
      <c r="F196" t="e">
        <f ca="1">INFLE!F7</f>
        <v>#NAME?</v>
      </c>
      <c r="G196" t="e">
        <f ca="1">INFLE!G7</f>
        <v>#NAME?</v>
      </c>
      <c r="H196" t="e">
        <f ca="1">INFLE!K7</f>
        <v>#NAME?</v>
      </c>
      <c r="I196" t="e">
        <f ca="1">INFLE!L7</f>
        <v>#NAME?</v>
      </c>
      <c r="J196" t="e">
        <f ca="1">INFLE!M7</f>
        <v>#NAME?</v>
      </c>
      <c r="K196" t="e">
        <f ca="1">INFLE!N7</f>
        <v>#NAME?</v>
      </c>
      <c r="L196" t="e">
        <f ca="1">INFLE!O7</f>
        <v>#NAME?</v>
      </c>
      <c r="M196" t="e">
        <f ca="1">INFLE!P7</f>
        <v>#NAME?</v>
      </c>
      <c r="N196" t="e">
        <f ca="1">INFLE!Q7</f>
        <v>#NAME?</v>
      </c>
      <c r="O196" t="e">
        <f ca="1">INFLE!R7</f>
        <v>#NAME?</v>
      </c>
      <c r="P196" t="e">
        <f ca="1">INFLE!S7</f>
        <v>#NAME?</v>
      </c>
      <c r="Q196" t="e">
        <f ca="1">INFLE!T7</f>
        <v>#NAME?</v>
      </c>
      <c r="R196" t="e">
        <f ca="1">INFLE!U7</f>
        <v>#NAME?</v>
      </c>
      <c r="S196" t="e">
        <f ca="1">INFLE!V7</f>
        <v>#NAME?</v>
      </c>
      <c r="T196" t="e">
        <f ca="1">INFLE!W7</f>
        <v>#NAME?</v>
      </c>
      <c r="U196" t="e">
        <f ca="1">INFLE!X7</f>
        <v>#NAME?</v>
      </c>
      <c r="V196" t="e">
        <f ca="1">INFLE!Y7</f>
        <v>#NAME?</v>
      </c>
      <c r="W196" t="e">
        <f ca="1">INFLE!Z7</f>
        <v>#NAME?</v>
      </c>
      <c r="X196" t="e">
        <f ca="1">INFLE!AA7</f>
        <v>#NAME?</v>
      </c>
      <c r="Y196" t="e">
        <f ca="1">INFLE!AB7</f>
        <v>#NAME?</v>
      </c>
      <c r="Z196" t="e">
        <f ca="1">INFLE!AC7</f>
        <v>#NAME?</v>
      </c>
      <c r="AA196" t="e">
        <f>INFLE!#REF!</f>
        <v>#REF!</v>
      </c>
      <c r="AB196" t="e">
        <f>INFLE!#REF!</f>
        <v>#REF!</v>
      </c>
    </row>
    <row r="197" spans="1:28" x14ac:dyDescent="0.25">
      <c r="A197" t="str">
        <f>INFLE!A8</f>
        <v>INFLE</v>
      </c>
      <c r="B197" t="str">
        <f>INFLE!B8</f>
        <v xml:space="preserve">Megafon </v>
      </c>
      <c r="C197" t="str">
        <f>INFLE!C8</f>
        <v>MFON LI Equity</v>
      </c>
      <c r="D197" t="e">
        <f ca="1">INFLE!D8</f>
        <v>#NAME?</v>
      </c>
      <c r="E197">
        <f>INFLE!E8</f>
        <v>2462</v>
      </c>
      <c r="F197">
        <f>INFLE!F8</f>
        <v>14.119999999999997</v>
      </c>
      <c r="G197" t="e">
        <f ca="1">INFLE!G8</f>
        <v>#NAME?</v>
      </c>
      <c r="H197" t="e">
        <f ca="1">INFLE!K8</f>
        <v>#NAME?</v>
      </c>
      <c r="I197" t="e">
        <f ca="1">INFLE!L8</f>
        <v>#NAME?</v>
      </c>
      <c r="J197" t="e">
        <f ca="1">INFLE!M8</f>
        <v>#NAME?</v>
      </c>
      <c r="K197" t="e">
        <f ca="1">INFLE!N8</f>
        <v>#NAME?</v>
      </c>
      <c r="L197">
        <f>INFLE!O8</f>
        <v>34763.439999999995</v>
      </c>
      <c r="M197" t="e">
        <f ca="1">INFLE!P8</f>
        <v>#NAME?</v>
      </c>
      <c r="N197" t="e">
        <f ca="1">INFLE!Q8</f>
        <v>#NAME?</v>
      </c>
      <c r="O197" t="e">
        <f ca="1">INFLE!R8</f>
        <v>#NAME?</v>
      </c>
      <c r="P197" t="e">
        <f ca="1">INFLE!S8</f>
        <v>#NAME?</v>
      </c>
      <c r="Q197" t="e">
        <f ca="1">INFLE!T8</f>
        <v>#NAME?</v>
      </c>
      <c r="R197" t="e">
        <f ca="1">INFLE!U8</f>
        <v>#NAME?</v>
      </c>
      <c r="S197" t="e">
        <f ca="1">INFLE!V8</f>
        <v>#NAME?</v>
      </c>
      <c r="T197" t="e">
        <f ca="1">INFLE!W8</f>
        <v>#NAME?</v>
      </c>
      <c r="U197" t="e">
        <f ca="1">INFLE!X8</f>
        <v>#NAME?</v>
      </c>
      <c r="V197" t="e">
        <f ca="1">INFLE!Y8</f>
        <v>#NAME?</v>
      </c>
      <c r="W197" t="e">
        <f ca="1">INFLE!Z8</f>
        <v>#NAME?</v>
      </c>
      <c r="X197" t="e">
        <f ca="1">INFLE!AA8</f>
        <v>#NAME?</v>
      </c>
      <c r="Y197" t="e">
        <f ca="1">INFLE!AB8</f>
        <v>#NAME?</v>
      </c>
      <c r="Z197" t="e">
        <f ca="1">INFLE!AC8</f>
        <v>#NAME?</v>
      </c>
      <c r="AA197" t="e">
        <f>INFLE!#REF!</f>
        <v>#REF!</v>
      </c>
      <c r="AB197" t="e">
        <f>INFLE!#REF!</f>
        <v>#REF!</v>
      </c>
    </row>
    <row r="198" spans="1:28" x14ac:dyDescent="0.25">
      <c r="A198" t="str">
        <f>INFLE!A9</f>
        <v>INFLE</v>
      </c>
      <c r="B198" t="str">
        <f>INFLE!B9</f>
        <v xml:space="preserve">Alrosa </v>
      </c>
      <c r="C198" t="str">
        <f>INFLE!C9</f>
        <v xml:space="preserve">ALRS RX Equity </v>
      </c>
      <c r="D198" t="e">
        <f ca="1">INFLE!D9</f>
        <v>#NAME?</v>
      </c>
      <c r="E198">
        <f>INFLE!E9</f>
        <v>141000</v>
      </c>
      <c r="F198" t="e">
        <f ca="1">INFLE!F9</f>
        <v>#NAME?</v>
      </c>
      <c r="G198" t="e">
        <f ca="1">INFLE!G9</f>
        <v>#NAME?</v>
      </c>
      <c r="H198" t="e">
        <f ca="1">INFLE!K9</f>
        <v>#NAME?</v>
      </c>
      <c r="I198" t="e">
        <f ca="1">INFLE!L9</f>
        <v>#NAME?</v>
      </c>
      <c r="J198" t="e">
        <f ca="1">INFLE!M9</f>
        <v>#NAME?</v>
      </c>
      <c r="K198" t="e">
        <f ca="1">INFLE!N9</f>
        <v>#NAME?</v>
      </c>
      <c r="L198" t="e">
        <f ca="1">INFLE!O9</f>
        <v>#NAME?</v>
      </c>
      <c r="M198" t="e">
        <f ca="1">INFLE!P9</f>
        <v>#NAME?</v>
      </c>
      <c r="N198" t="e">
        <f ca="1">INFLE!Q9</f>
        <v>#NAME?</v>
      </c>
      <c r="O198" t="e">
        <f ca="1">INFLE!R9</f>
        <v>#NAME?</v>
      </c>
      <c r="P198" t="e">
        <f ca="1">INFLE!S9</f>
        <v>#NAME?</v>
      </c>
      <c r="Q198" t="e">
        <f ca="1">INFLE!T9</f>
        <v>#NAME?</v>
      </c>
      <c r="R198" t="e">
        <f ca="1">INFLE!U9</f>
        <v>#NAME?</v>
      </c>
      <c r="S198" t="e">
        <f ca="1">INFLE!V9</f>
        <v>#NAME?</v>
      </c>
      <c r="T198" t="e">
        <f ca="1">INFLE!W9</f>
        <v>#NAME?</v>
      </c>
      <c r="U198" t="e">
        <f ca="1">INFLE!X9</f>
        <v>#NAME?</v>
      </c>
      <c r="V198" t="e">
        <f ca="1">INFLE!Y9</f>
        <v>#NAME?</v>
      </c>
      <c r="W198" t="e">
        <f ca="1">INFLE!Z9</f>
        <v>#NAME?</v>
      </c>
      <c r="X198" t="e">
        <f ca="1">INFLE!AA9</f>
        <v>#NAME?</v>
      </c>
      <c r="Y198" t="e">
        <f ca="1">INFLE!AB9</f>
        <v>#NAME?</v>
      </c>
      <c r="Z198" t="e">
        <f ca="1">INFLE!AC9</f>
        <v>#NAME?</v>
      </c>
      <c r="AA198" t="e">
        <f>INFLE!#REF!</f>
        <v>#REF!</v>
      </c>
      <c r="AB198" t="e">
        <f>INFLE!#REF!</f>
        <v>#REF!</v>
      </c>
    </row>
    <row r="199" spans="1:28" x14ac:dyDescent="0.25">
      <c r="A199" t="str">
        <f>INFLE!A10</f>
        <v>INFLE</v>
      </c>
      <c r="B199" t="str">
        <f>INFLE!B10</f>
        <v>Lukoil</v>
      </c>
      <c r="C199" t="str">
        <f>INFLE!C10</f>
        <v>LKOH RX Equity</v>
      </c>
      <c r="D199" t="e">
        <f ca="1">INFLE!D10</f>
        <v>#NAME?</v>
      </c>
      <c r="E199">
        <f>INFLE!E10</f>
        <v>11484</v>
      </c>
      <c r="F199" t="e">
        <f ca="1">INFLE!F10</f>
        <v>#NAME?</v>
      </c>
      <c r="G199" t="e">
        <f ca="1">INFLE!G10</f>
        <v>#NAME?</v>
      </c>
      <c r="H199" t="e">
        <f ca="1">INFLE!K10</f>
        <v>#NAME?</v>
      </c>
      <c r="I199" t="e">
        <f ca="1">INFLE!L10</f>
        <v>#NAME?</v>
      </c>
      <c r="J199" t="e">
        <f ca="1">INFLE!M10</f>
        <v>#NAME?</v>
      </c>
      <c r="K199" t="e">
        <f ca="1">INFLE!N10</f>
        <v>#NAME?</v>
      </c>
      <c r="L199" t="e">
        <f ca="1">INFLE!O10</f>
        <v>#NAME?</v>
      </c>
      <c r="M199" t="e">
        <f ca="1">INFLE!P10</f>
        <v>#NAME?</v>
      </c>
      <c r="N199" t="e">
        <f ca="1">INFLE!Q10</f>
        <v>#NAME?</v>
      </c>
      <c r="O199" t="e">
        <f ca="1">INFLE!R10</f>
        <v>#NAME?</v>
      </c>
      <c r="P199" t="e">
        <f ca="1">INFLE!S10</f>
        <v>#NAME?</v>
      </c>
      <c r="Q199" t="e">
        <f ca="1">INFLE!T10</f>
        <v>#NAME?</v>
      </c>
      <c r="R199" t="e">
        <f ca="1">INFLE!U10</f>
        <v>#NAME?</v>
      </c>
      <c r="S199" t="e">
        <f ca="1">INFLE!V10</f>
        <v>#NAME?</v>
      </c>
      <c r="T199" t="e">
        <f ca="1">INFLE!W10</f>
        <v>#NAME?</v>
      </c>
      <c r="U199" t="e">
        <f ca="1">INFLE!X10</f>
        <v>#NAME?</v>
      </c>
      <c r="V199" t="e">
        <f ca="1">INFLE!Y10</f>
        <v>#NAME?</v>
      </c>
      <c r="W199" t="e">
        <f ca="1">INFLE!Z10</f>
        <v>#NAME?</v>
      </c>
      <c r="X199" t="e">
        <f ca="1">INFLE!AA10</f>
        <v>#NAME?</v>
      </c>
      <c r="Y199" t="e">
        <f ca="1">INFLE!AB10</f>
        <v>#NAME?</v>
      </c>
      <c r="Z199" t="e">
        <f ca="1">INFLE!AC10</f>
        <v>#NAME?</v>
      </c>
      <c r="AA199" t="e">
        <f>INFLE!#REF!</f>
        <v>#REF!</v>
      </c>
      <c r="AB199" t="e">
        <f>INFLE!#REF!</f>
        <v>#REF!</v>
      </c>
    </row>
    <row r="200" spans="1:28" x14ac:dyDescent="0.25">
      <c r="A200" t="str">
        <f>INFLE!A12</f>
        <v>INFLE</v>
      </c>
      <c r="B200" t="str">
        <f>INFLE!B12</f>
        <v xml:space="preserve">Gazprom </v>
      </c>
      <c r="C200" t="str">
        <f>INFLE!C12</f>
        <v>GAZP RX Equity</v>
      </c>
      <c r="D200" t="e">
        <f ca="1">INFLE!D12</f>
        <v>#NAME?</v>
      </c>
      <c r="E200">
        <f>INFLE!E12</f>
        <v>139710</v>
      </c>
      <c r="F200" t="e">
        <f ca="1">INFLE!F12</f>
        <v>#NAME?</v>
      </c>
      <c r="G200" t="e">
        <f ca="1">INFLE!G12</f>
        <v>#NAME?</v>
      </c>
      <c r="H200" t="e">
        <f ca="1">INFLE!K12</f>
        <v>#NAME?</v>
      </c>
      <c r="I200" t="e">
        <f ca="1">INFLE!L12</f>
        <v>#NAME?</v>
      </c>
      <c r="J200" t="e">
        <f ca="1">INFLE!M12</f>
        <v>#NAME?</v>
      </c>
      <c r="K200" t="e">
        <f ca="1">INFLE!N12</f>
        <v>#NAME?</v>
      </c>
      <c r="L200" t="e">
        <f ca="1">INFLE!O12</f>
        <v>#NAME?</v>
      </c>
      <c r="M200" t="e">
        <f ca="1">INFLE!P12</f>
        <v>#NAME?</v>
      </c>
      <c r="N200" t="e">
        <f ca="1">INFLE!Q12</f>
        <v>#NAME?</v>
      </c>
      <c r="O200" t="e">
        <f ca="1">INFLE!R12</f>
        <v>#NAME?</v>
      </c>
      <c r="P200" t="e">
        <f ca="1">INFLE!S12</f>
        <v>#NAME?</v>
      </c>
      <c r="Q200" t="e">
        <f ca="1">INFLE!T12</f>
        <v>#NAME?</v>
      </c>
      <c r="R200" t="e">
        <f ca="1">INFLE!U12</f>
        <v>#NAME?</v>
      </c>
      <c r="S200" t="e">
        <f ca="1">INFLE!V12</f>
        <v>#NAME?</v>
      </c>
      <c r="T200" t="e">
        <f ca="1">INFLE!W12</f>
        <v>#NAME?</v>
      </c>
      <c r="U200" t="e">
        <f ca="1">INFLE!X12</f>
        <v>#NAME?</v>
      </c>
      <c r="V200" t="e">
        <f ca="1">INFLE!Y12</f>
        <v>#NAME?</v>
      </c>
      <c r="W200" t="e">
        <f ca="1">INFLE!Z12</f>
        <v>#NAME?</v>
      </c>
      <c r="X200" t="e">
        <f ca="1">INFLE!AA12</f>
        <v>#NAME?</v>
      </c>
      <c r="Y200" t="e">
        <f ca="1">INFLE!AB12</f>
        <v>#NAME?</v>
      </c>
      <c r="Z200" t="e">
        <f ca="1">INFLE!AC12</f>
        <v>#NAME?</v>
      </c>
      <c r="AA200" t="e">
        <f>INFLE!#REF!</f>
        <v>#REF!</v>
      </c>
      <c r="AB200" t="e">
        <f>INFLE!#REF!</f>
        <v>#REF!</v>
      </c>
    </row>
    <row r="201" spans="1:28" x14ac:dyDescent="0.25">
      <c r="A201" t="e">
        <f>INFLE!#REF!</f>
        <v>#REF!</v>
      </c>
      <c r="B201" t="e">
        <f>INFLE!#REF!</f>
        <v>#REF!</v>
      </c>
      <c r="C201" t="e">
        <f>INFLE!#REF!</f>
        <v>#REF!</v>
      </c>
      <c r="D201" t="e">
        <f>INFLE!#REF!</f>
        <v>#REF!</v>
      </c>
      <c r="E201" t="e">
        <f>INFLE!#REF!</f>
        <v>#REF!</v>
      </c>
      <c r="F201" t="e">
        <f>INFLE!#REF!</f>
        <v>#REF!</v>
      </c>
      <c r="G201" t="e">
        <f>INFLE!#REF!</f>
        <v>#REF!</v>
      </c>
      <c r="H201" t="e">
        <f>INFLE!#REF!</f>
        <v>#REF!</v>
      </c>
      <c r="I201" t="e">
        <f>INFLE!#REF!</f>
        <v>#REF!</v>
      </c>
      <c r="J201" t="e">
        <f>INFLE!#REF!</f>
        <v>#REF!</v>
      </c>
      <c r="K201" t="e">
        <f>INFLE!#REF!</f>
        <v>#REF!</v>
      </c>
      <c r="L201" t="e">
        <f>INFLE!#REF!</f>
        <v>#REF!</v>
      </c>
      <c r="M201" t="e">
        <f>INFLE!#REF!</f>
        <v>#REF!</v>
      </c>
      <c r="N201" t="e">
        <f>INFLE!#REF!</f>
        <v>#REF!</v>
      </c>
      <c r="O201" t="e">
        <f>INFLE!#REF!</f>
        <v>#REF!</v>
      </c>
      <c r="P201" t="e">
        <f>INFLE!#REF!</f>
        <v>#REF!</v>
      </c>
      <c r="Q201" t="e">
        <f>INFLE!#REF!</f>
        <v>#REF!</v>
      </c>
      <c r="R201" t="e">
        <f>INFLE!#REF!</f>
        <v>#REF!</v>
      </c>
      <c r="S201" t="e">
        <f>INFLE!#REF!</f>
        <v>#REF!</v>
      </c>
      <c r="T201" t="e">
        <f>INFLE!#REF!</f>
        <v>#REF!</v>
      </c>
      <c r="U201" t="e">
        <f>INFLE!#REF!</f>
        <v>#REF!</v>
      </c>
      <c r="V201" t="e">
        <f>INFLE!#REF!</f>
        <v>#REF!</v>
      </c>
      <c r="W201" t="e">
        <f>INFLE!#REF!</f>
        <v>#REF!</v>
      </c>
      <c r="X201" t="e">
        <f>INFLE!#REF!</f>
        <v>#REF!</v>
      </c>
      <c r="Y201" t="e">
        <f>INFLE!#REF!</f>
        <v>#REF!</v>
      </c>
      <c r="Z201" t="e">
        <f>INFLE!#REF!</f>
        <v>#REF!</v>
      </c>
      <c r="AA201" t="e">
        <f>INFLE!#REF!</f>
        <v>#REF!</v>
      </c>
      <c r="AB201" t="e">
        <f>INFLE!#REF!</f>
        <v>#REF!</v>
      </c>
    </row>
    <row r="202" spans="1:28" x14ac:dyDescent="0.25">
      <c r="A202" t="e">
        <f>INFLE!#REF!</f>
        <v>#REF!</v>
      </c>
      <c r="B202" t="e">
        <f>INFLE!#REF!</f>
        <v>#REF!</v>
      </c>
      <c r="C202" t="e">
        <f>INFLE!#REF!</f>
        <v>#REF!</v>
      </c>
      <c r="D202" t="e">
        <f>INFLE!#REF!</f>
        <v>#REF!</v>
      </c>
      <c r="E202" t="e">
        <f>INFLE!#REF!</f>
        <v>#REF!</v>
      </c>
      <c r="F202" t="e">
        <f>INFLE!#REF!</f>
        <v>#REF!</v>
      </c>
      <c r="G202" t="e">
        <f>INFLE!#REF!</f>
        <v>#REF!</v>
      </c>
      <c r="H202" t="e">
        <f>INFLE!#REF!</f>
        <v>#REF!</v>
      </c>
      <c r="I202" t="e">
        <f>INFLE!#REF!</f>
        <v>#REF!</v>
      </c>
      <c r="J202" t="e">
        <f>INFLE!#REF!</f>
        <v>#REF!</v>
      </c>
      <c r="K202" t="e">
        <f>INFLE!#REF!</f>
        <v>#REF!</v>
      </c>
      <c r="L202" t="e">
        <f>INFLE!#REF!</f>
        <v>#REF!</v>
      </c>
      <c r="M202" t="e">
        <f>INFLE!#REF!</f>
        <v>#REF!</v>
      </c>
      <c r="N202" t="e">
        <f>INFLE!#REF!</f>
        <v>#REF!</v>
      </c>
      <c r="O202" t="e">
        <f>INFLE!#REF!</f>
        <v>#REF!</v>
      </c>
      <c r="P202" t="e">
        <f>INFLE!#REF!</f>
        <v>#REF!</v>
      </c>
      <c r="Q202" t="e">
        <f>INFLE!#REF!</f>
        <v>#REF!</v>
      </c>
      <c r="R202" t="e">
        <f>INFLE!#REF!</f>
        <v>#REF!</v>
      </c>
      <c r="S202" t="e">
        <f>INFLE!#REF!</f>
        <v>#REF!</v>
      </c>
      <c r="T202" t="e">
        <f>INFLE!#REF!</f>
        <v>#REF!</v>
      </c>
      <c r="U202" t="e">
        <f>INFLE!#REF!</f>
        <v>#REF!</v>
      </c>
      <c r="V202" t="e">
        <f>INFLE!#REF!</f>
        <v>#REF!</v>
      </c>
      <c r="W202" t="e">
        <f>INFLE!#REF!</f>
        <v>#REF!</v>
      </c>
      <c r="X202" t="e">
        <f>INFLE!#REF!</f>
        <v>#REF!</v>
      </c>
      <c r="Y202" t="e">
        <f>INFLE!#REF!</f>
        <v>#REF!</v>
      </c>
      <c r="Z202" t="e">
        <f>INFLE!#REF!</f>
        <v>#REF!</v>
      </c>
      <c r="AA202" t="e">
        <f>INFLE!#REF!</f>
        <v>#REF!</v>
      </c>
      <c r="AB202" t="e">
        <f>INFLE!#REF!</f>
        <v>#REF!</v>
      </c>
    </row>
    <row r="203" spans="1:28" x14ac:dyDescent="0.25">
      <c r="A203" t="str">
        <f>INFLE!A13</f>
        <v>INFLE</v>
      </c>
      <c r="B203" t="str">
        <f>INFLE!B13</f>
        <v>Gazpromneft</v>
      </c>
      <c r="C203" t="str">
        <f>INFLE!C13</f>
        <v>SIBN RX Equity</v>
      </c>
      <c r="D203" t="e">
        <f ca="1">INFLE!D13</f>
        <v>#NAME?</v>
      </c>
      <c r="E203">
        <f>INFLE!E13</f>
        <v>18200</v>
      </c>
      <c r="F203" t="e">
        <f ca="1">INFLE!F13</f>
        <v>#NAME?</v>
      </c>
      <c r="G203" t="e">
        <f ca="1">INFLE!G13</f>
        <v>#NAME?</v>
      </c>
      <c r="H203" t="e">
        <f ca="1">INFLE!K13</f>
        <v>#NAME?</v>
      </c>
      <c r="I203" t="e">
        <f ca="1">INFLE!L13</f>
        <v>#NAME?</v>
      </c>
      <c r="J203" t="e">
        <f ca="1">INFLE!M13</f>
        <v>#NAME?</v>
      </c>
      <c r="K203" t="e">
        <f ca="1">INFLE!N13</f>
        <v>#NAME?</v>
      </c>
      <c r="L203" t="e">
        <f ca="1">INFLE!O13</f>
        <v>#NAME?</v>
      </c>
      <c r="M203" t="e">
        <f ca="1">INFLE!P13</f>
        <v>#NAME?</v>
      </c>
      <c r="N203" t="e">
        <f ca="1">INFLE!Q13</f>
        <v>#NAME?</v>
      </c>
      <c r="O203" t="e">
        <f ca="1">INFLE!R13</f>
        <v>#NAME?</v>
      </c>
      <c r="P203" t="e">
        <f ca="1">INFLE!S13</f>
        <v>#NAME?</v>
      </c>
      <c r="Q203" t="e">
        <f ca="1">INFLE!T13</f>
        <v>#NAME?</v>
      </c>
      <c r="R203" t="e">
        <f ca="1">INFLE!U13</f>
        <v>#NAME?</v>
      </c>
      <c r="S203" t="e">
        <f ca="1">INFLE!V13</f>
        <v>#NAME?</v>
      </c>
      <c r="T203" t="e">
        <f ca="1">INFLE!W13</f>
        <v>#NAME?</v>
      </c>
      <c r="U203" t="e">
        <f ca="1">INFLE!X13</f>
        <v>#NAME?</v>
      </c>
      <c r="V203" t="e">
        <f ca="1">INFLE!Y13</f>
        <v>#NAME?</v>
      </c>
      <c r="W203" t="e">
        <f ca="1">INFLE!Z13</f>
        <v>#NAME?</v>
      </c>
      <c r="X203" t="e">
        <f ca="1">INFLE!AA13</f>
        <v>#NAME?</v>
      </c>
      <c r="Y203" t="e">
        <f ca="1">INFLE!AB13</f>
        <v>#NAME?</v>
      </c>
      <c r="Z203" t="e">
        <f ca="1">INFLE!AC13</f>
        <v>#NAME?</v>
      </c>
      <c r="AA203" t="e">
        <f>INFLE!#REF!</f>
        <v>#REF!</v>
      </c>
      <c r="AB203" t="e">
        <f>INFLE!#REF!</f>
        <v>#REF!</v>
      </c>
    </row>
    <row r="204" spans="1:28" x14ac:dyDescent="0.25">
      <c r="A204" t="str">
        <f>INFLE!A14</f>
        <v>INFLE</v>
      </c>
      <c r="B204" t="str">
        <f>INFLE!B14</f>
        <v>Uralkaliy</v>
      </c>
      <c r="C204" t="str">
        <f>INFLE!C14</f>
        <v xml:space="preserve">URKA RX Equity </v>
      </c>
      <c r="D204" t="e">
        <f ca="1">INFLE!D14</f>
        <v>#NAME?</v>
      </c>
      <c r="E204">
        <f>INFLE!E14</f>
        <v>76000</v>
      </c>
      <c r="F204">
        <f>INFLE!F14</f>
        <v>171.46131578947367</v>
      </c>
      <c r="G204" t="e">
        <f ca="1">INFLE!G14</f>
        <v>#NAME?</v>
      </c>
      <c r="H204" t="e">
        <f ca="1">INFLE!K14</f>
        <v>#NAME?</v>
      </c>
      <c r="I204" t="e">
        <f ca="1">INFLE!L14</f>
        <v>#NAME?</v>
      </c>
      <c r="J204" t="e">
        <f ca="1">INFLE!M14</f>
        <v>#NAME?</v>
      </c>
      <c r="K204">
        <f>INFLE!N14</f>
        <v>13031060</v>
      </c>
      <c r="L204" t="e">
        <f ca="1">INFLE!O14</f>
        <v>#NAME?</v>
      </c>
      <c r="M204" t="e">
        <f ca="1">INFLE!P14</f>
        <v>#NAME?</v>
      </c>
      <c r="N204" t="e">
        <f ca="1">INFLE!Q14</f>
        <v>#NAME?</v>
      </c>
      <c r="O204" t="e">
        <f ca="1">INFLE!R14</f>
        <v>#NAME?</v>
      </c>
      <c r="P204" t="e">
        <f ca="1">INFLE!S14</f>
        <v>#NAME?</v>
      </c>
      <c r="Q204" t="e">
        <f ca="1">INFLE!T14</f>
        <v>#NAME?</v>
      </c>
      <c r="R204" t="e">
        <f ca="1">INFLE!U14</f>
        <v>#NAME?</v>
      </c>
      <c r="S204" t="e">
        <f ca="1">INFLE!V14</f>
        <v>#NAME?</v>
      </c>
      <c r="T204" t="e">
        <f ca="1">INFLE!W14</f>
        <v>#NAME?</v>
      </c>
      <c r="U204" t="e">
        <f ca="1">INFLE!X14</f>
        <v>#NAME?</v>
      </c>
      <c r="V204" t="e">
        <f ca="1">INFLE!Y14</f>
        <v>#NAME?</v>
      </c>
      <c r="W204" t="e">
        <f ca="1">INFLE!Z14</f>
        <v>#NAME?</v>
      </c>
      <c r="X204" t="e">
        <f ca="1">INFLE!AA14</f>
        <v>#NAME?</v>
      </c>
      <c r="Y204" t="e">
        <f ca="1">INFLE!AB14</f>
        <v>#NAME?</v>
      </c>
      <c r="Z204" t="e">
        <f ca="1">INFLE!AC14</f>
        <v>#NAME?</v>
      </c>
      <c r="AA204" t="e">
        <f>INFLE!#REF!</f>
        <v>#REF!</v>
      </c>
      <c r="AB204" t="e">
        <f>INFLE!#REF!</f>
        <v>#REF!</v>
      </c>
    </row>
    <row r="205" spans="1:28" x14ac:dyDescent="0.25">
      <c r="A205" t="e">
        <f>INFLE!#REF!</f>
        <v>#REF!</v>
      </c>
      <c r="B205" t="e">
        <f>INFLE!#REF!</f>
        <v>#REF!</v>
      </c>
      <c r="C205" t="e">
        <f>INFLE!#REF!</f>
        <v>#REF!</v>
      </c>
      <c r="D205" t="e">
        <f>INFLE!#REF!</f>
        <v>#REF!</v>
      </c>
      <c r="E205" t="e">
        <f>INFLE!#REF!</f>
        <v>#REF!</v>
      </c>
      <c r="F205" t="e">
        <f>INFLE!#REF!</f>
        <v>#REF!</v>
      </c>
      <c r="G205" t="e">
        <f>INFLE!#REF!</f>
        <v>#REF!</v>
      </c>
      <c r="H205" t="e">
        <f>INFLE!#REF!</f>
        <v>#REF!</v>
      </c>
      <c r="I205" t="e">
        <f>INFLE!#REF!</f>
        <v>#REF!</v>
      </c>
      <c r="J205" t="e">
        <f>INFLE!#REF!</f>
        <v>#REF!</v>
      </c>
      <c r="K205" t="e">
        <f>INFLE!#REF!</f>
        <v>#REF!</v>
      </c>
      <c r="L205" t="e">
        <f>INFLE!#REF!</f>
        <v>#REF!</v>
      </c>
      <c r="M205" t="e">
        <f>INFLE!#REF!</f>
        <v>#REF!</v>
      </c>
      <c r="N205" t="e">
        <f>INFLE!#REF!</f>
        <v>#REF!</v>
      </c>
      <c r="O205" t="e">
        <f>INFLE!#REF!</f>
        <v>#REF!</v>
      </c>
      <c r="P205" t="e">
        <f>INFLE!#REF!</f>
        <v>#REF!</v>
      </c>
      <c r="Q205" t="e">
        <f>INFLE!#REF!</f>
        <v>#REF!</v>
      </c>
      <c r="R205" t="e">
        <f>INFLE!#REF!</f>
        <v>#REF!</v>
      </c>
      <c r="S205" t="e">
        <f>INFLE!#REF!</f>
        <v>#REF!</v>
      </c>
      <c r="T205" t="e">
        <f>INFLE!#REF!</f>
        <v>#REF!</v>
      </c>
      <c r="U205" t="e">
        <f>INFLE!#REF!</f>
        <v>#REF!</v>
      </c>
      <c r="V205" t="e">
        <f>INFLE!#REF!</f>
        <v>#REF!</v>
      </c>
      <c r="W205" t="e">
        <f>INFLE!#REF!</f>
        <v>#REF!</v>
      </c>
      <c r="X205" t="e">
        <f>INFLE!#REF!</f>
        <v>#REF!</v>
      </c>
      <c r="Y205" t="e">
        <f>INFLE!#REF!</f>
        <v>#REF!</v>
      </c>
      <c r="Z205" t="e">
        <f>INFLE!#REF!</f>
        <v>#REF!</v>
      </c>
      <c r="AA205" t="e">
        <f>INFLE!#REF!</f>
        <v>#REF!</v>
      </c>
      <c r="AB205" t="e">
        <f>INFLE!#REF!</f>
        <v>#REF!</v>
      </c>
    </row>
    <row r="206" spans="1:28" x14ac:dyDescent="0.25">
      <c r="A206" t="str">
        <f>INFLE!A16</f>
        <v>INFLE</v>
      </c>
      <c r="B206" t="e">
        <f ca="1">INFLE!B16</f>
        <v>#NAME?</v>
      </c>
      <c r="C206" t="str">
        <f>INFLE!C16</f>
        <v>XS1255387976 Corp</v>
      </c>
      <c r="D206" t="e">
        <f ca="1">INFLE!D16</f>
        <v>#NAME?</v>
      </c>
      <c r="E206">
        <f>INFLE!E16</f>
        <v>100000</v>
      </c>
      <c r="F206">
        <f>INFLE!F16</f>
        <v>89.75</v>
      </c>
      <c r="G206" t="e">
        <f ca="1">INFLE!G16</f>
        <v>#NAME?</v>
      </c>
      <c r="H206" t="e">
        <f ca="1">INFLE!K16</f>
        <v>#NAME?</v>
      </c>
      <c r="I206" t="e">
        <f ca="1">INFLE!L16</f>
        <v>#NAME?</v>
      </c>
      <c r="J206" t="e">
        <f ca="1">INFLE!M16</f>
        <v>#NAME?</v>
      </c>
      <c r="K206" t="e">
        <f ca="1">INFLE!N16</f>
        <v>#NAME?</v>
      </c>
      <c r="L206">
        <f>INFLE!O16</f>
        <v>89750</v>
      </c>
      <c r="M206" t="e">
        <f ca="1">INFLE!P16</f>
        <v>#NAME?</v>
      </c>
      <c r="N206" t="e">
        <f ca="1">INFLE!Q16</f>
        <v>#NAME?</v>
      </c>
      <c r="O206" t="e">
        <f ca="1">INFLE!R16</f>
        <v>#NAME?</v>
      </c>
      <c r="P206" t="e">
        <f ca="1">INFLE!S16</f>
        <v>#NAME?</v>
      </c>
      <c r="Q206" t="e">
        <f ca="1">INFLE!T16</f>
        <v>#NAME?</v>
      </c>
      <c r="R206" t="e">
        <f ca="1">INFLE!U16</f>
        <v>#NAME?</v>
      </c>
      <c r="S206" t="e">
        <f ca="1">INFLE!V16</f>
        <v>#NAME?</v>
      </c>
      <c r="T206" t="e">
        <f ca="1">INFLE!W16</f>
        <v>#NAME?</v>
      </c>
      <c r="U206" t="e">
        <f ca="1">INFLE!X16</f>
        <v>#NAME?</v>
      </c>
      <c r="V206" t="e">
        <f ca="1">INFLE!Y16</f>
        <v>#NAME?</v>
      </c>
      <c r="W206" t="e">
        <f ca="1">INFLE!Z16</f>
        <v>#NAME?</v>
      </c>
      <c r="X206" t="e">
        <f ca="1">INFLE!AA16</f>
        <v>#NAME?</v>
      </c>
      <c r="Y206">
        <f>INFLE!AB16</f>
        <v>0</v>
      </c>
      <c r="Z206">
        <f>INFLE!AC16</f>
        <v>0</v>
      </c>
      <c r="AA206" t="e">
        <f>INFLE!#REF!</f>
        <v>#REF!</v>
      </c>
      <c r="AB206" t="e">
        <f>INFLE!#REF!</f>
        <v>#REF!</v>
      </c>
    </row>
    <row r="207" spans="1:28" x14ac:dyDescent="0.25">
      <c r="A207" t="e">
        <f>INFLE!#REF!</f>
        <v>#REF!</v>
      </c>
      <c r="B207" t="e">
        <f>INFLE!#REF!</f>
        <v>#REF!</v>
      </c>
      <c r="C207" t="e">
        <f>INFLE!#REF!</f>
        <v>#REF!</v>
      </c>
      <c r="D207" t="e">
        <f>INFLE!#REF!</f>
        <v>#REF!</v>
      </c>
      <c r="E207" t="e">
        <f>INFLE!#REF!</f>
        <v>#REF!</v>
      </c>
      <c r="F207" t="e">
        <f>INFLE!#REF!</f>
        <v>#REF!</v>
      </c>
      <c r="G207" t="e">
        <f>INFLE!#REF!</f>
        <v>#REF!</v>
      </c>
      <c r="H207" t="e">
        <f>INFLE!#REF!</f>
        <v>#REF!</v>
      </c>
      <c r="I207" t="e">
        <f>INFLE!#REF!</f>
        <v>#REF!</v>
      </c>
      <c r="J207" t="e">
        <f>INFLE!#REF!</f>
        <v>#REF!</v>
      </c>
      <c r="K207" t="e">
        <f>INFLE!#REF!</f>
        <v>#REF!</v>
      </c>
      <c r="L207" t="e">
        <f>INFLE!#REF!</f>
        <v>#REF!</v>
      </c>
      <c r="M207" t="e">
        <f>INFLE!#REF!</f>
        <v>#REF!</v>
      </c>
      <c r="N207" t="e">
        <f>INFLE!#REF!</f>
        <v>#REF!</v>
      </c>
      <c r="O207" t="e">
        <f>INFLE!#REF!</f>
        <v>#REF!</v>
      </c>
      <c r="P207" t="e">
        <f>INFLE!#REF!</f>
        <v>#REF!</v>
      </c>
      <c r="Q207" t="e">
        <f>INFLE!#REF!</f>
        <v>#REF!</v>
      </c>
      <c r="R207" t="e">
        <f>INFLE!#REF!</f>
        <v>#REF!</v>
      </c>
      <c r="S207" t="e">
        <f>INFLE!#REF!</f>
        <v>#REF!</v>
      </c>
      <c r="T207" t="e">
        <f>INFLE!#REF!</f>
        <v>#REF!</v>
      </c>
      <c r="U207" t="e">
        <f>INFLE!#REF!</f>
        <v>#REF!</v>
      </c>
      <c r="V207" t="e">
        <f>INFLE!#REF!</f>
        <v>#REF!</v>
      </c>
      <c r="W207" t="e">
        <f>INFLE!#REF!</f>
        <v>#REF!</v>
      </c>
      <c r="X207" t="e">
        <f>INFLE!#REF!</f>
        <v>#REF!</v>
      </c>
      <c r="Y207" t="e">
        <f>INFLE!#REF!</f>
        <v>#REF!</v>
      </c>
      <c r="Z207" t="e">
        <f>INFLE!#REF!</f>
        <v>#REF!</v>
      </c>
      <c r="AA207" t="e">
        <f>INFLE!#REF!</f>
        <v>#REF!</v>
      </c>
      <c r="AB207" t="e">
        <f>INFLE!#REF!</f>
        <v>#REF!</v>
      </c>
    </row>
    <row r="208" spans="1:28" x14ac:dyDescent="0.25">
      <c r="A208" t="e">
        <f>INFLE!#REF!</f>
        <v>#REF!</v>
      </c>
      <c r="B208" t="e">
        <f>INFLE!#REF!</f>
        <v>#REF!</v>
      </c>
      <c r="C208" t="e">
        <f>INFLE!#REF!</f>
        <v>#REF!</v>
      </c>
      <c r="D208" t="e">
        <f>INFLE!#REF!</f>
        <v>#REF!</v>
      </c>
      <c r="E208" t="e">
        <f>INFLE!#REF!</f>
        <v>#REF!</v>
      </c>
      <c r="F208" t="e">
        <f>INFLE!#REF!</f>
        <v>#REF!</v>
      </c>
      <c r="G208" t="e">
        <f>INFLE!#REF!</f>
        <v>#REF!</v>
      </c>
      <c r="H208" t="e">
        <f>INFLE!#REF!</f>
        <v>#REF!</v>
      </c>
      <c r="I208" t="e">
        <f>INFLE!#REF!</f>
        <v>#REF!</v>
      </c>
      <c r="J208" t="e">
        <f>INFLE!#REF!</f>
        <v>#REF!</v>
      </c>
      <c r="K208" t="e">
        <f>INFLE!#REF!</f>
        <v>#REF!</v>
      </c>
      <c r="L208" t="e">
        <f>INFLE!#REF!</f>
        <v>#REF!</v>
      </c>
      <c r="M208" t="e">
        <f>INFLE!#REF!</f>
        <v>#REF!</v>
      </c>
      <c r="N208" t="e">
        <f>INFLE!#REF!</f>
        <v>#REF!</v>
      </c>
      <c r="O208" t="e">
        <f>INFLE!#REF!</f>
        <v>#REF!</v>
      </c>
      <c r="P208" t="e">
        <f>INFLE!#REF!</f>
        <v>#REF!</v>
      </c>
      <c r="Q208" t="e">
        <f>INFLE!#REF!</f>
        <v>#REF!</v>
      </c>
      <c r="R208" t="e">
        <f>INFLE!#REF!</f>
        <v>#REF!</v>
      </c>
      <c r="S208" t="e">
        <f>INFLE!#REF!</f>
        <v>#REF!</v>
      </c>
      <c r="T208" t="e">
        <f>INFLE!#REF!</f>
        <v>#REF!</v>
      </c>
      <c r="U208" t="e">
        <f>INFLE!#REF!</f>
        <v>#REF!</v>
      </c>
      <c r="V208" t="e">
        <f>INFLE!#REF!</f>
        <v>#REF!</v>
      </c>
      <c r="W208" t="e">
        <f>INFLE!#REF!</f>
        <v>#REF!</v>
      </c>
      <c r="X208" t="e">
        <f>INFLE!#REF!</f>
        <v>#REF!</v>
      </c>
      <c r="Y208" t="e">
        <f>INFLE!#REF!</f>
        <v>#REF!</v>
      </c>
      <c r="Z208" t="e">
        <f>INFLE!#REF!</f>
        <v>#REF!</v>
      </c>
      <c r="AA208" t="e">
        <f>INFLE!#REF!</f>
        <v>#REF!</v>
      </c>
      <c r="AB208" t="e">
        <f>INFLE!#REF!</f>
        <v>#REF!</v>
      </c>
    </row>
    <row r="209" spans="1:28" x14ac:dyDescent="0.25">
      <c r="A209" t="str">
        <f>INFLE!A18</f>
        <v>INFLE</v>
      </c>
      <c r="B209" t="e">
        <f ca="1">INFLE!B18</f>
        <v>#NAME?</v>
      </c>
      <c r="C209" t="str">
        <f>INFLE!C18</f>
        <v>XS0935311240 Corp</v>
      </c>
      <c r="D209" t="e">
        <f ca="1">INFLE!D18</f>
        <v>#NAME?</v>
      </c>
      <c r="E209">
        <f>INFLE!E18</f>
        <v>2450000</v>
      </c>
      <c r="F209">
        <f>INFLE!F18</f>
        <v>72.550370372222218</v>
      </c>
      <c r="G209" t="e">
        <f ca="1">INFLE!G18</f>
        <v>#NAME?</v>
      </c>
      <c r="H209" t="e">
        <f ca="1">INFLE!K18</f>
        <v>#NAME?</v>
      </c>
      <c r="I209" t="e">
        <f ca="1">INFLE!L18</f>
        <v>#NAME?</v>
      </c>
      <c r="J209" t="e">
        <f ca="1">INFLE!M18</f>
        <v>#NAME?</v>
      </c>
      <c r="K209" t="e">
        <f ca="1">INFLE!N18</f>
        <v>#NAME?</v>
      </c>
      <c r="L209">
        <f>INFLE!O18</f>
        <v>1777484.0741194445</v>
      </c>
      <c r="M209" t="e">
        <f ca="1">INFLE!P18</f>
        <v>#NAME?</v>
      </c>
      <c r="N209" t="e">
        <f ca="1">INFLE!Q18</f>
        <v>#NAME?</v>
      </c>
      <c r="O209" t="e">
        <f ca="1">INFLE!R18</f>
        <v>#NAME?</v>
      </c>
      <c r="P209" t="e">
        <f ca="1">INFLE!S18</f>
        <v>#NAME?</v>
      </c>
      <c r="Q209" t="e">
        <f ca="1">INFLE!T18</f>
        <v>#NAME?</v>
      </c>
      <c r="R209" t="e">
        <f ca="1">INFLE!U18</f>
        <v>#NAME?</v>
      </c>
      <c r="S209" t="e">
        <f ca="1">INFLE!V18</f>
        <v>#NAME?</v>
      </c>
      <c r="T209" t="e">
        <f ca="1">INFLE!W18</f>
        <v>#NAME?</v>
      </c>
      <c r="U209" t="e">
        <f ca="1">INFLE!X18</f>
        <v>#NAME?</v>
      </c>
      <c r="V209" t="e">
        <f ca="1">INFLE!Y18</f>
        <v>#NAME?</v>
      </c>
      <c r="W209" t="e">
        <f ca="1">INFLE!Z18</f>
        <v>#NAME?</v>
      </c>
      <c r="X209" t="e">
        <f ca="1">INFLE!AA18</f>
        <v>#NAME?</v>
      </c>
      <c r="Y209">
        <f>INFLE!AB18</f>
        <v>0</v>
      </c>
      <c r="Z209">
        <f>INFLE!AC18</f>
        <v>0</v>
      </c>
      <c r="AA209" t="e">
        <f>INFLE!#REF!</f>
        <v>#REF!</v>
      </c>
      <c r="AB209" t="e">
        <f>INFLE!#REF!</f>
        <v>#REF!</v>
      </c>
    </row>
    <row r="210" spans="1:28" x14ac:dyDescent="0.25">
      <c r="A210" t="e">
        <f>INFLE!#REF!</f>
        <v>#REF!</v>
      </c>
      <c r="B210" t="e">
        <f>INFLE!#REF!</f>
        <v>#REF!</v>
      </c>
      <c r="C210" t="e">
        <f>INFLE!#REF!</f>
        <v>#REF!</v>
      </c>
      <c r="D210" t="e">
        <f>INFLE!#REF!</f>
        <v>#REF!</v>
      </c>
      <c r="E210" t="e">
        <f>INFLE!#REF!</f>
        <v>#REF!</v>
      </c>
      <c r="F210" t="e">
        <f>INFLE!#REF!</f>
        <v>#REF!</v>
      </c>
      <c r="G210" t="e">
        <f>INFLE!#REF!</f>
        <v>#REF!</v>
      </c>
      <c r="H210" t="e">
        <f>INFLE!#REF!</f>
        <v>#REF!</v>
      </c>
      <c r="I210" t="e">
        <f>INFLE!#REF!</f>
        <v>#REF!</v>
      </c>
      <c r="J210" t="e">
        <f>INFLE!#REF!</f>
        <v>#REF!</v>
      </c>
      <c r="K210" t="e">
        <f>INFLE!#REF!</f>
        <v>#REF!</v>
      </c>
      <c r="L210" t="e">
        <f>INFLE!#REF!</f>
        <v>#REF!</v>
      </c>
      <c r="M210" t="e">
        <f>INFLE!#REF!</f>
        <v>#REF!</v>
      </c>
      <c r="N210" t="e">
        <f>INFLE!#REF!</f>
        <v>#REF!</v>
      </c>
      <c r="O210" t="e">
        <f>INFLE!#REF!</f>
        <v>#REF!</v>
      </c>
      <c r="P210" t="e">
        <f>INFLE!#REF!</f>
        <v>#REF!</v>
      </c>
      <c r="Q210" t="e">
        <f>INFLE!#REF!</f>
        <v>#REF!</v>
      </c>
      <c r="R210" t="e">
        <f>INFLE!#REF!</f>
        <v>#REF!</v>
      </c>
      <c r="S210" t="e">
        <f>INFLE!#REF!</f>
        <v>#REF!</v>
      </c>
      <c r="T210" t="e">
        <f>INFLE!#REF!</f>
        <v>#REF!</v>
      </c>
      <c r="U210" t="e">
        <f>INFLE!#REF!</f>
        <v>#REF!</v>
      </c>
      <c r="V210" t="e">
        <f>INFLE!#REF!</f>
        <v>#REF!</v>
      </c>
      <c r="W210" t="e">
        <f>INFLE!#REF!</f>
        <v>#REF!</v>
      </c>
      <c r="X210" t="e">
        <f>INFLE!#REF!</f>
        <v>#REF!</v>
      </c>
      <c r="Y210" t="e">
        <f>INFLE!#REF!</f>
        <v>#REF!</v>
      </c>
      <c r="Z210" t="e">
        <f>INFLE!#REF!</f>
        <v>#REF!</v>
      </c>
      <c r="AA210" t="e">
        <f>INFLE!#REF!</f>
        <v>#REF!</v>
      </c>
      <c r="AB210" t="e">
        <f>INFLE!#REF!</f>
        <v>#REF!</v>
      </c>
    </row>
    <row r="211" spans="1:28" x14ac:dyDescent="0.25">
      <c r="A211" t="e">
        <f>INFLE!#REF!</f>
        <v>#REF!</v>
      </c>
      <c r="B211" t="e">
        <f>INFLE!#REF!</f>
        <v>#REF!</v>
      </c>
      <c r="C211" t="e">
        <f>INFLE!#REF!</f>
        <v>#REF!</v>
      </c>
      <c r="D211" t="e">
        <f>INFLE!#REF!</f>
        <v>#REF!</v>
      </c>
      <c r="E211" t="e">
        <f>INFLE!#REF!</f>
        <v>#REF!</v>
      </c>
      <c r="F211" t="e">
        <f>INFLE!#REF!</f>
        <v>#REF!</v>
      </c>
      <c r="G211" t="e">
        <f>INFLE!#REF!</f>
        <v>#REF!</v>
      </c>
      <c r="H211" t="e">
        <f>INFLE!#REF!</f>
        <v>#REF!</v>
      </c>
      <c r="I211" t="e">
        <f>INFLE!#REF!</f>
        <v>#REF!</v>
      </c>
      <c r="J211" t="e">
        <f>INFLE!#REF!</f>
        <v>#REF!</v>
      </c>
      <c r="K211" t="e">
        <f>INFLE!#REF!</f>
        <v>#REF!</v>
      </c>
      <c r="L211" t="e">
        <f>INFLE!#REF!</f>
        <v>#REF!</v>
      </c>
      <c r="M211" t="e">
        <f>INFLE!#REF!</f>
        <v>#REF!</v>
      </c>
      <c r="N211" t="e">
        <f>INFLE!#REF!</f>
        <v>#REF!</v>
      </c>
      <c r="O211" t="e">
        <f>INFLE!#REF!</f>
        <v>#REF!</v>
      </c>
      <c r="P211" t="e">
        <f>INFLE!#REF!</f>
        <v>#REF!</v>
      </c>
      <c r="Q211" t="e">
        <f>INFLE!#REF!</f>
        <v>#REF!</v>
      </c>
      <c r="R211" t="e">
        <f>INFLE!#REF!</f>
        <v>#REF!</v>
      </c>
      <c r="S211" t="e">
        <f>INFLE!#REF!</f>
        <v>#REF!</v>
      </c>
      <c r="T211" t="e">
        <f>INFLE!#REF!</f>
        <v>#REF!</v>
      </c>
      <c r="U211" t="e">
        <f>INFLE!#REF!</f>
        <v>#REF!</v>
      </c>
      <c r="V211" t="e">
        <f>INFLE!#REF!</f>
        <v>#REF!</v>
      </c>
      <c r="W211" t="e">
        <f>INFLE!#REF!</f>
        <v>#REF!</v>
      </c>
      <c r="X211" t="e">
        <f>INFLE!#REF!</f>
        <v>#REF!</v>
      </c>
      <c r="Y211" t="e">
        <f>INFLE!#REF!</f>
        <v>#REF!</v>
      </c>
      <c r="Z211" t="e">
        <f>INFLE!#REF!</f>
        <v>#REF!</v>
      </c>
      <c r="AA211" t="e">
        <f>INFLE!#REF!</f>
        <v>#REF!</v>
      </c>
      <c r="AB211" t="e">
        <f>INFLE!#REF!</f>
        <v>#REF!</v>
      </c>
    </row>
    <row r="212" spans="1:28" x14ac:dyDescent="0.25">
      <c r="A212" t="e">
        <f>INFLE!#REF!</f>
        <v>#REF!</v>
      </c>
      <c r="B212" t="e">
        <f>INFLE!#REF!</f>
        <v>#REF!</v>
      </c>
      <c r="C212" t="e">
        <f>INFLE!#REF!</f>
        <v>#REF!</v>
      </c>
      <c r="D212" t="e">
        <f>INFLE!#REF!</f>
        <v>#REF!</v>
      </c>
      <c r="E212" t="e">
        <f>INFLE!#REF!</f>
        <v>#REF!</v>
      </c>
      <c r="F212" t="e">
        <f>INFLE!#REF!</f>
        <v>#REF!</v>
      </c>
      <c r="G212" t="e">
        <f>INFLE!#REF!</f>
        <v>#REF!</v>
      </c>
      <c r="H212" t="e">
        <f>INFLE!#REF!</f>
        <v>#REF!</v>
      </c>
      <c r="I212" t="e">
        <f>INFLE!#REF!</f>
        <v>#REF!</v>
      </c>
      <c r="J212" t="e">
        <f>INFLE!#REF!</f>
        <v>#REF!</v>
      </c>
      <c r="K212" t="e">
        <f>INFLE!#REF!</f>
        <v>#REF!</v>
      </c>
      <c r="L212" t="e">
        <f>INFLE!#REF!</f>
        <v>#REF!</v>
      </c>
      <c r="M212" t="e">
        <f>INFLE!#REF!</f>
        <v>#REF!</v>
      </c>
      <c r="N212" t="e">
        <f>INFLE!#REF!</f>
        <v>#REF!</v>
      </c>
      <c r="O212" t="e">
        <f>INFLE!#REF!</f>
        <v>#REF!</v>
      </c>
      <c r="P212" t="e">
        <f>INFLE!#REF!</f>
        <v>#REF!</v>
      </c>
      <c r="Q212" t="e">
        <f>INFLE!#REF!</f>
        <v>#REF!</v>
      </c>
      <c r="R212" t="e">
        <f>INFLE!#REF!</f>
        <v>#REF!</v>
      </c>
      <c r="S212" t="e">
        <f>INFLE!#REF!</f>
        <v>#REF!</v>
      </c>
      <c r="T212" t="e">
        <f>INFLE!#REF!</f>
        <v>#REF!</v>
      </c>
      <c r="U212" t="e">
        <f>INFLE!#REF!</f>
        <v>#REF!</v>
      </c>
      <c r="V212" t="e">
        <f>INFLE!#REF!</f>
        <v>#REF!</v>
      </c>
      <c r="W212" t="e">
        <f>INFLE!#REF!</f>
        <v>#REF!</v>
      </c>
      <c r="X212" t="e">
        <f>INFLE!#REF!</f>
        <v>#REF!</v>
      </c>
      <c r="Y212" t="e">
        <f>INFLE!#REF!</f>
        <v>#REF!</v>
      </c>
      <c r="Z212" t="e">
        <f>INFLE!#REF!</f>
        <v>#REF!</v>
      </c>
      <c r="AA212" t="e">
        <f>INFLE!#REF!</f>
        <v>#REF!</v>
      </c>
      <c r="AB212" t="e">
        <f>INFLE!#REF!</f>
        <v>#REF!</v>
      </c>
    </row>
    <row r="213" spans="1:28" x14ac:dyDescent="0.25">
      <c r="A213" t="e">
        <f>LABKS!#REF!</f>
        <v>#REF!</v>
      </c>
      <c r="B213" t="e">
        <f>LABKS!#REF!</f>
        <v>#REF!</v>
      </c>
      <c r="C213" t="e">
        <f>LABKS!#REF!</f>
        <v>#REF!</v>
      </c>
      <c r="D213" t="e">
        <f>LABKS!#REF!</f>
        <v>#REF!</v>
      </c>
      <c r="E213" t="e">
        <f>LABKS!#REF!</f>
        <v>#REF!</v>
      </c>
      <c r="F213" t="e">
        <f>LABKS!#REF!</f>
        <v>#REF!</v>
      </c>
      <c r="G213" t="e">
        <f>LABKS!#REF!</f>
        <v>#REF!</v>
      </c>
      <c r="H213" t="e">
        <f>LABKS!#REF!</f>
        <v>#REF!</v>
      </c>
      <c r="I213" t="e">
        <f>LABKS!#REF!</f>
        <v>#REF!</v>
      </c>
      <c r="J213" t="e">
        <f>LABKS!#REF!</f>
        <v>#REF!</v>
      </c>
      <c r="K213" t="e">
        <f>LABKS!#REF!</f>
        <v>#REF!</v>
      </c>
      <c r="L213" t="e">
        <f>LABKS!#REF!</f>
        <v>#REF!</v>
      </c>
      <c r="M213" t="e">
        <f>LABKS!#REF!</f>
        <v>#REF!</v>
      </c>
      <c r="N213" t="e">
        <f>LABKS!#REF!</f>
        <v>#REF!</v>
      </c>
      <c r="O213" t="e">
        <f>LABKS!#REF!</f>
        <v>#REF!</v>
      </c>
      <c r="P213" t="e">
        <f>LABKS!#REF!</f>
        <v>#REF!</v>
      </c>
      <c r="Q213" t="e">
        <f>LABKS!#REF!</f>
        <v>#REF!</v>
      </c>
      <c r="R213" t="e">
        <f>LABKS!#REF!</f>
        <v>#REF!</v>
      </c>
      <c r="S213" t="e">
        <f>LABKS!#REF!</f>
        <v>#REF!</v>
      </c>
      <c r="T213" t="e">
        <f>LABKS!#REF!</f>
        <v>#REF!</v>
      </c>
      <c r="U213" t="e">
        <f>LABKS!#REF!</f>
        <v>#REF!</v>
      </c>
      <c r="V213" t="e">
        <f>LABKS!#REF!</f>
        <v>#REF!</v>
      </c>
      <c r="W213" t="e">
        <f>LABKS!#REF!</f>
        <v>#REF!</v>
      </c>
      <c r="X213" t="e">
        <f>LABKS!#REF!</f>
        <v>#REF!</v>
      </c>
      <c r="Y213" t="e">
        <f>LABKS!#REF!</f>
        <v>#REF!</v>
      </c>
    </row>
    <row r="214" spans="1:28" x14ac:dyDescent="0.25">
      <c r="A214" t="e">
        <f>LABKS!#REF!</f>
        <v>#REF!</v>
      </c>
      <c r="B214" t="e">
        <f>LABKS!#REF!</f>
        <v>#REF!</v>
      </c>
      <c r="C214" t="e">
        <f>LABKS!#REF!</f>
        <v>#REF!</v>
      </c>
      <c r="D214" t="e">
        <f>LABKS!#REF!</f>
        <v>#REF!</v>
      </c>
      <c r="E214" t="e">
        <f>LABKS!#REF!</f>
        <v>#REF!</v>
      </c>
      <c r="F214" t="e">
        <f>LABKS!#REF!</f>
        <v>#REF!</v>
      </c>
      <c r="G214" t="e">
        <f>LABKS!#REF!</f>
        <v>#REF!</v>
      </c>
      <c r="H214" t="e">
        <f>LABKS!#REF!</f>
        <v>#REF!</v>
      </c>
      <c r="I214" t="e">
        <f>LABKS!#REF!</f>
        <v>#REF!</v>
      </c>
      <c r="J214" t="e">
        <f>LABKS!#REF!</f>
        <v>#REF!</v>
      </c>
      <c r="K214" t="e">
        <f>LABKS!#REF!</f>
        <v>#REF!</v>
      </c>
      <c r="L214" t="e">
        <f>LABKS!#REF!</f>
        <v>#REF!</v>
      </c>
      <c r="M214" t="e">
        <f>LABKS!#REF!</f>
        <v>#REF!</v>
      </c>
      <c r="N214" t="e">
        <f>LABKS!#REF!</f>
        <v>#REF!</v>
      </c>
      <c r="O214" t="e">
        <f>LABKS!#REF!</f>
        <v>#REF!</v>
      </c>
      <c r="P214" t="e">
        <f>LABKS!#REF!</f>
        <v>#REF!</v>
      </c>
      <c r="Q214" t="e">
        <f>LABKS!#REF!</f>
        <v>#REF!</v>
      </c>
      <c r="R214" t="e">
        <f>LABKS!#REF!</f>
        <v>#REF!</v>
      </c>
      <c r="S214" t="e">
        <f>LABKS!#REF!</f>
        <v>#REF!</v>
      </c>
      <c r="T214" t="e">
        <f>LABKS!#REF!</f>
        <v>#REF!</v>
      </c>
      <c r="U214" t="e">
        <f>LABKS!#REF!</f>
        <v>#REF!</v>
      </c>
      <c r="V214" t="e">
        <f>LABKS!#REF!</f>
        <v>#REF!</v>
      </c>
      <c r="W214" t="e">
        <f>LABKS!#REF!</f>
        <v>#REF!</v>
      </c>
      <c r="X214" t="e">
        <f>LABKS!#REF!</f>
        <v>#REF!</v>
      </c>
      <c r="Y214" t="e">
        <f>LABKS!#REF!</f>
        <v>#REF!</v>
      </c>
    </row>
    <row r="215" spans="1:28" x14ac:dyDescent="0.25">
      <c r="A215" t="str">
        <f>LABKS!A4</f>
        <v>LABKS</v>
      </c>
      <c r="B215" t="str">
        <f>LABKS!B4</f>
        <v>Vimpelcom</v>
      </c>
      <c r="C215" t="str">
        <f>LABKS!C4</f>
        <v>VIP US Equity</v>
      </c>
      <c r="D215" t="e">
        <f ca="1">LABKS!D4</f>
        <v>#NAME?</v>
      </c>
      <c r="E215">
        <f>LABKS!E4</f>
        <v>22222</v>
      </c>
      <c r="F215">
        <f>LABKS!F4</f>
        <v>4.4957209999999996</v>
      </c>
      <c r="G215" t="e">
        <f ca="1">LABKS!G4</f>
        <v>#NAME?</v>
      </c>
      <c r="H215" t="e">
        <f ca="1">LABKS!K4</f>
        <v>#NAME?</v>
      </c>
      <c r="I215" t="e">
        <f ca="1">LABKS!L4</f>
        <v>#NAME?</v>
      </c>
      <c r="J215" t="e">
        <f ca="1">LABKS!M4</f>
        <v>#NAME?</v>
      </c>
      <c r="K215" t="e">
        <f ca="1">LABKS!N4</f>
        <v>#NAME?</v>
      </c>
      <c r="L215">
        <f>LABKS!O4</f>
        <v>99903.912061999989</v>
      </c>
      <c r="M215" t="e">
        <f ca="1">LABKS!P4</f>
        <v>#NAME?</v>
      </c>
      <c r="N215" t="e">
        <f ca="1">LABKS!Q4</f>
        <v>#NAME?</v>
      </c>
      <c r="O215" t="e">
        <f ca="1">LABKS!R4</f>
        <v>#NAME?</v>
      </c>
      <c r="P215" t="e">
        <f ca="1">LABKS!S4</f>
        <v>#NAME?</v>
      </c>
      <c r="Q215" t="e">
        <f ca="1">LABKS!T4</f>
        <v>#NAME?</v>
      </c>
      <c r="R215" t="e">
        <f ca="1">LABKS!U4</f>
        <v>#NAME?</v>
      </c>
      <c r="S215" t="e">
        <f ca="1">LABKS!V4</f>
        <v>#NAME?</v>
      </c>
      <c r="T215" t="e">
        <f ca="1">LABKS!W4</f>
        <v>#NAME?</v>
      </c>
      <c r="U215" t="e">
        <f>LABKS!#REF!</f>
        <v>#REF!</v>
      </c>
      <c r="V215" t="e">
        <f>LABKS!#REF!</f>
        <v>#REF!</v>
      </c>
      <c r="W215" t="e">
        <f>LABKS!#REF!</f>
        <v>#REF!</v>
      </c>
      <c r="X215" t="e">
        <f ca="1">LABKS!X4</f>
        <v>#NAME?</v>
      </c>
      <c r="Y215" t="e">
        <f ca="1">LABKS!Y4</f>
        <v>#NAME?</v>
      </c>
    </row>
    <row r="216" spans="1:28" x14ac:dyDescent="0.25">
      <c r="A216" t="str">
        <f>LABKS!A7</f>
        <v>LABKS</v>
      </c>
      <c r="B216" t="str">
        <f>LABKS!B7</f>
        <v>Yandex</v>
      </c>
      <c r="C216" t="str">
        <f>LABKS!C7</f>
        <v>YNDX US Equity</v>
      </c>
      <c r="D216" t="e">
        <f ca="1">LABKS!D7</f>
        <v>#NAME?</v>
      </c>
      <c r="E216">
        <f>LABKS!E7</f>
        <v>2800</v>
      </c>
      <c r="F216">
        <f>LABKS!F7</f>
        <v>17.949821</v>
      </c>
      <c r="G216" t="e">
        <f ca="1">LABKS!G7</f>
        <v>#NAME?</v>
      </c>
      <c r="H216" t="e">
        <f ca="1">LABKS!K7</f>
        <v>#NAME?</v>
      </c>
      <c r="I216" t="e">
        <f ca="1">LABKS!L7</f>
        <v>#NAME?</v>
      </c>
      <c r="J216" t="e">
        <f ca="1">LABKS!M7</f>
        <v>#NAME?</v>
      </c>
      <c r="K216" t="e">
        <f ca="1">LABKS!N7</f>
        <v>#NAME?</v>
      </c>
      <c r="L216">
        <f>LABKS!O7</f>
        <v>50259.498800000001</v>
      </c>
      <c r="M216" t="e">
        <f ca="1">LABKS!P7</f>
        <v>#NAME?</v>
      </c>
      <c r="N216" t="e">
        <f ca="1">LABKS!Q7</f>
        <v>#NAME?</v>
      </c>
      <c r="O216" t="e">
        <f ca="1">LABKS!R7</f>
        <v>#NAME?</v>
      </c>
      <c r="P216" t="e">
        <f ca="1">LABKS!S7</f>
        <v>#NAME?</v>
      </c>
      <c r="Q216" t="e">
        <f ca="1">LABKS!T7</f>
        <v>#NAME?</v>
      </c>
      <c r="R216" t="e">
        <f ca="1">LABKS!U7</f>
        <v>#NAME?</v>
      </c>
      <c r="S216" t="e">
        <f ca="1">LABKS!V7</f>
        <v>#NAME?</v>
      </c>
      <c r="T216" t="e">
        <f ca="1">LABKS!W7</f>
        <v>#NAME?</v>
      </c>
      <c r="U216" t="e">
        <f>LABKS!#REF!</f>
        <v>#REF!</v>
      </c>
      <c r="V216" t="e">
        <f>LABKS!#REF!</f>
        <v>#REF!</v>
      </c>
      <c r="W216" t="e">
        <f>LABKS!#REF!</f>
        <v>#REF!</v>
      </c>
      <c r="X216" t="e">
        <f ca="1">LABKS!X7</f>
        <v>#NAME?</v>
      </c>
      <c r="Y216" t="e">
        <f ca="1">LABKS!Y7</f>
        <v>#NAME?</v>
      </c>
    </row>
    <row r="217" spans="1:28" x14ac:dyDescent="0.25">
      <c r="A217" t="str">
        <f>LABKS!A8</f>
        <v>LABKS</v>
      </c>
      <c r="B217" t="str">
        <f>LABKS!B8</f>
        <v>Megafon</v>
      </c>
      <c r="C217" t="str">
        <f>LABKS!C8</f>
        <v>MFON LI Equity</v>
      </c>
      <c r="D217" t="e">
        <f ca="1">LABKS!D8</f>
        <v>#NAME?</v>
      </c>
      <c r="E217">
        <f>LABKS!E8</f>
        <v>4000</v>
      </c>
      <c r="F217">
        <f>LABKS!F8</f>
        <v>12.5</v>
      </c>
      <c r="G217" t="e">
        <f ca="1">LABKS!G8</f>
        <v>#NAME?</v>
      </c>
      <c r="H217" t="e">
        <f ca="1">LABKS!K8</f>
        <v>#NAME?</v>
      </c>
      <c r="I217" t="e">
        <f ca="1">LABKS!L8</f>
        <v>#NAME?</v>
      </c>
      <c r="J217" t="e">
        <f ca="1">LABKS!M8</f>
        <v>#NAME?</v>
      </c>
      <c r="K217" t="e">
        <f ca="1">LABKS!N8</f>
        <v>#NAME?</v>
      </c>
      <c r="L217">
        <f>LABKS!O8</f>
        <v>50000</v>
      </c>
      <c r="M217" t="e">
        <f ca="1">LABKS!P8</f>
        <v>#NAME?</v>
      </c>
      <c r="N217" t="e">
        <f ca="1">LABKS!Q8</f>
        <v>#NAME?</v>
      </c>
      <c r="O217" t="e">
        <f ca="1">LABKS!R8</f>
        <v>#NAME?</v>
      </c>
      <c r="P217" t="e">
        <f ca="1">LABKS!S8</f>
        <v>#NAME?</v>
      </c>
      <c r="Q217" t="e">
        <f ca="1">LABKS!T8</f>
        <v>#NAME?</v>
      </c>
      <c r="R217" t="e">
        <f ca="1">LABKS!U8</f>
        <v>#NAME?</v>
      </c>
      <c r="S217" t="e">
        <f ca="1">LABKS!V8</f>
        <v>#NAME?</v>
      </c>
      <c r="T217" t="e">
        <f ca="1">LABKS!W8</f>
        <v>#NAME?</v>
      </c>
      <c r="U217" t="e">
        <f>LABKS!#REF!</f>
        <v>#REF!</v>
      </c>
      <c r="V217" t="e">
        <f>LABKS!#REF!</f>
        <v>#REF!</v>
      </c>
      <c r="W217" t="e">
        <f>LABKS!#REF!</f>
        <v>#REF!</v>
      </c>
      <c r="X217" t="e">
        <f ca="1">LABKS!X8</f>
        <v>#NAME?</v>
      </c>
      <c r="Y217" t="e">
        <f ca="1">LABKS!Y8</f>
        <v>#NAME?</v>
      </c>
    </row>
    <row r="218" spans="1:28" x14ac:dyDescent="0.25">
      <c r="A218" t="str">
        <f>LABKS!A9</f>
        <v>LABKS</v>
      </c>
      <c r="B218" t="str">
        <f>LABKS!B9</f>
        <v>Etalon</v>
      </c>
      <c r="C218" t="str">
        <f>LABKS!C9</f>
        <v>ETLN LI Equity</v>
      </c>
      <c r="D218" t="e">
        <f ca="1">LABKS!D9</f>
        <v>#NAME?</v>
      </c>
      <c r="E218">
        <f>LABKS!E9</f>
        <v>26000</v>
      </c>
      <c r="F218">
        <f>LABKS!F9</f>
        <v>1.915</v>
      </c>
      <c r="G218" t="e">
        <f ca="1">LABKS!G9</f>
        <v>#NAME?</v>
      </c>
      <c r="H218" t="e">
        <f ca="1">LABKS!K9</f>
        <v>#NAME?</v>
      </c>
      <c r="I218" t="e">
        <f ca="1">LABKS!L9</f>
        <v>#NAME?</v>
      </c>
      <c r="J218" t="e">
        <f ca="1">LABKS!M9</f>
        <v>#NAME?</v>
      </c>
      <c r="K218" t="e">
        <f ca="1">LABKS!N9</f>
        <v>#NAME?</v>
      </c>
      <c r="L218">
        <f>LABKS!O9</f>
        <v>49790</v>
      </c>
      <c r="M218" t="e">
        <f ca="1">LABKS!P9</f>
        <v>#NAME?</v>
      </c>
      <c r="N218" t="e">
        <f ca="1">LABKS!Q9</f>
        <v>#NAME?</v>
      </c>
      <c r="O218" t="e">
        <f ca="1">LABKS!R9</f>
        <v>#NAME?</v>
      </c>
      <c r="P218" t="e">
        <f ca="1">LABKS!S9</f>
        <v>#NAME?</v>
      </c>
      <c r="Q218" t="e">
        <f ca="1">LABKS!T9</f>
        <v>#NAME?</v>
      </c>
      <c r="R218" t="e">
        <f ca="1">LABKS!U9</f>
        <v>#NAME?</v>
      </c>
      <c r="S218" t="e">
        <f ca="1">LABKS!V9</f>
        <v>#NAME?</v>
      </c>
      <c r="T218" t="e">
        <f ca="1">LABKS!W9</f>
        <v>#NAME?</v>
      </c>
      <c r="U218" t="e">
        <f>LABKS!#REF!</f>
        <v>#REF!</v>
      </c>
      <c r="V218" t="e">
        <f>LABKS!#REF!</f>
        <v>#REF!</v>
      </c>
      <c r="W218" t="e">
        <f>LABKS!#REF!</f>
        <v>#REF!</v>
      </c>
      <c r="X218" t="e">
        <f ca="1">LABKS!X9</f>
        <v>#NAME?</v>
      </c>
      <c r="Y218" t="e">
        <f ca="1">LABKS!Y9</f>
        <v>#NAME?</v>
      </c>
    </row>
    <row r="219" spans="1:28" x14ac:dyDescent="0.25">
      <c r="A219" t="e">
        <f>LABKS!#REF!</f>
        <v>#REF!</v>
      </c>
      <c r="B219" t="e">
        <f>LABKS!#REF!</f>
        <v>#REF!</v>
      </c>
      <c r="C219" t="e">
        <f>LABKS!#REF!</f>
        <v>#REF!</v>
      </c>
      <c r="D219" t="e">
        <f>LABKS!#REF!</f>
        <v>#REF!</v>
      </c>
      <c r="E219" t="e">
        <f>LABKS!#REF!</f>
        <v>#REF!</v>
      </c>
      <c r="F219" t="e">
        <f>LABKS!#REF!</f>
        <v>#REF!</v>
      </c>
      <c r="G219" t="e">
        <f>LABKS!#REF!</f>
        <v>#REF!</v>
      </c>
      <c r="H219" t="e">
        <f>LABKS!#REF!</f>
        <v>#REF!</v>
      </c>
      <c r="I219" t="e">
        <f>LABKS!#REF!</f>
        <v>#REF!</v>
      </c>
      <c r="J219" t="e">
        <f>LABKS!#REF!</f>
        <v>#REF!</v>
      </c>
      <c r="K219" t="e">
        <f>LABKS!#REF!</f>
        <v>#REF!</v>
      </c>
      <c r="L219" t="e">
        <f>LABKS!#REF!</f>
        <v>#REF!</v>
      </c>
      <c r="M219" t="e">
        <f>LABKS!#REF!</f>
        <v>#REF!</v>
      </c>
      <c r="N219" t="e">
        <f>LABKS!#REF!</f>
        <v>#REF!</v>
      </c>
      <c r="O219" t="e">
        <f>LABKS!#REF!</f>
        <v>#REF!</v>
      </c>
      <c r="P219" t="e">
        <f>LABKS!#REF!</f>
        <v>#REF!</v>
      </c>
      <c r="Q219" t="e">
        <f>LABKS!#REF!</f>
        <v>#REF!</v>
      </c>
      <c r="R219" t="e">
        <f>LABKS!#REF!</f>
        <v>#REF!</v>
      </c>
      <c r="S219" t="e">
        <f>LABKS!#REF!</f>
        <v>#REF!</v>
      </c>
      <c r="T219" t="e">
        <f>LABKS!#REF!</f>
        <v>#REF!</v>
      </c>
      <c r="U219" t="e">
        <f>LABKS!#REF!</f>
        <v>#REF!</v>
      </c>
      <c r="V219" t="e">
        <f>LABKS!#REF!</f>
        <v>#REF!</v>
      </c>
      <c r="W219" t="e">
        <f>LABKS!#REF!</f>
        <v>#REF!</v>
      </c>
      <c r="X219" t="e">
        <f>LABKS!#REF!</f>
        <v>#REF!</v>
      </c>
      <c r="Y219" t="e">
        <f>LABKS!#REF!</f>
        <v>#REF!</v>
      </c>
    </row>
    <row r="220" spans="1:28" x14ac:dyDescent="0.25">
      <c r="A220" t="e">
        <f>LABKS!#REF!</f>
        <v>#REF!</v>
      </c>
      <c r="B220" t="e">
        <f>LABKS!#REF!</f>
        <v>#REF!</v>
      </c>
      <c r="C220" t="e">
        <f>LABKS!#REF!</f>
        <v>#REF!</v>
      </c>
      <c r="D220" t="e">
        <f>LABKS!#REF!</f>
        <v>#REF!</v>
      </c>
      <c r="E220" t="e">
        <f>LABKS!#REF!</f>
        <v>#REF!</v>
      </c>
      <c r="F220" t="e">
        <f>LABKS!#REF!</f>
        <v>#REF!</v>
      </c>
      <c r="G220" t="e">
        <f>LABKS!#REF!</f>
        <v>#REF!</v>
      </c>
      <c r="H220" t="e">
        <f>LABKS!#REF!</f>
        <v>#REF!</v>
      </c>
      <c r="I220" t="e">
        <f>LABKS!#REF!</f>
        <v>#REF!</v>
      </c>
      <c r="J220" t="e">
        <f>LABKS!#REF!</f>
        <v>#REF!</v>
      </c>
      <c r="K220" t="e">
        <f>LABKS!#REF!</f>
        <v>#REF!</v>
      </c>
      <c r="L220" t="e">
        <f>LABKS!#REF!</f>
        <v>#REF!</v>
      </c>
      <c r="M220" t="e">
        <f>LABKS!#REF!</f>
        <v>#REF!</v>
      </c>
      <c r="N220" t="e">
        <f>LABKS!#REF!</f>
        <v>#REF!</v>
      </c>
      <c r="O220" t="e">
        <f>LABKS!#REF!</f>
        <v>#REF!</v>
      </c>
      <c r="P220" t="e">
        <f>LABKS!#REF!</f>
        <v>#REF!</v>
      </c>
      <c r="Q220" t="e">
        <f>LABKS!#REF!</f>
        <v>#REF!</v>
      </c>
      <c r="R220" t="e">
        <f>LABKS!#REF!</f>
        <v>#REF!</v>
      </c>
      <c r="S220" t="e">
        <f>LABKS!#REF!</f>
        <v>#REF!</v>
      </c>
      <c r="T220" t="e">
        <f>LABKS!#REF!</f>
        <v>#REF!</v>
      </c>
      <c r="U220" t="e">
        <f>LABKS!#REF!</f>
        <v>#REF!</v>
      </c>
      <c r="V220" t="e">
        <f>LABKS!#REF!</f>
        <v>#REF!</v>
      </c>
      <c r="W220" t="e">
        <f>LABKS!#REF!</f>
        <v>#REF!</v>
      </c>
      <c r="X220" t="e">
        <f>LABKS!#REF!</f>
        <v>#REF!</v>
      </c>
      <c r="Y220" t="e">
        <f>LABKS!#REF!</f>
        <v>#REF!</v>
      </c>
    </row>
    <row r="221" spans="1:28" x14ac:dyDescent="0.25">
      <c r="A221" t="str">
        <f>LABKS!A10</f>
        <v>LABKS</v>
      </c>
      <c r="B221" t="str">
        <f>LABKS!B10</f>
        <v>Polymetal</v>
      </c>
      <c r="C221" t="str">
        <f>LABKS!C10</f>
        <v>POLY LN Equity</v>
      </c>
      <c r="D221" t="e">
        <f ca="1">LABKS!D10</f>
        <v>#NAME?</v>
      </c>
      <c r="E221">
        <f>LABKS!E10</f>
        <v>4800</v>
      </c>
      <c r="F221">
        <f>LABKS!F10</f>
        <v>8.5094999999999992</v>
      </c>
      <c r="G221" t="e">
        <f ca="1">LABKS!G10</f>
        <v>#NAME?</v>
      </c>
      <c r="H221" t="e">
        <f ca="1">LABKS!K10</f>
        <v>#NAME?</v>
      </c>
      <c r="I221" t="e">
        <f ca="1">LABKS!L10</f>
        <v>#NAME?</v>
      </c>
      <c r="J221" t="e">
        <f ca="1">LABKS!M10</f>
        <v>#NAME?</v>
      </c>
      <c r="K221" t="e">
        <f ca="1">LABKS!N10</f>
        <v>#NAME?</v>
      </c>
      <c r="L221" t="e">
        <f ca="1">LABKS!O10</f>
        <v>#NAME?</v>
      </c>
      <c r="M221" t="e">
        <f ca="1">LABKS!P10</f>
        <v>#NAME?</v>
      </c>
      <c r="N221" t="e">
        <f ca="1">LABKS!Q10</f>
        <v>#NAME?</v>
      </c>
      <c r="O221" t="e">
        <f ca="1">LABKS!R10</f>
        <v>#NAME?</v>
      </c>
      <c r="P221" t="e">
        <f ca="1">LABKS!S10</f>
        <v>#NAME?</v>
      </c>
      <c r="Q221" t="e">
        <f ca="1">LABKS!T10</f>
        <v>#NAME?</v>
      </c>
      <c r="R221" t="e">
        <f ca="1">LABKS!U10</f>
        <v>#NAME?</v>
      </c>
      <c r="S221" t="e">
        <f ca="1">LABKS!V10</f>
        <v>#NAME?</v>
      </c>
      <c r="T221" t="e">
        <f ca="1">LABKS!W10</f>
        <v>#NAME?</v>
      </c>
      <c r="U221" t="e">
        <f>LABKS!#REF!</f>
        <v>#REF!</v>
      </c>
      <c r="V221" t="e">
        <f>LABKS!#REF!</f>
        <v>#REF!</v>
      </c>
      <c r="W221" t="e">
        <f>LABKS!#REF!</f>
        <v>#REF!</v>
      </c>
      <c r="X221" t="e">
        <f ca="1">LABKS!X10</f>
        <v>#NAME?</v>
      </c>
      <c r="Y221" t="e">
        <f ca="1">LABKS!Y10</f>
        <v>#NAME?</v>
      </c>
    </row>
    <row r="222" spans="1:28" x14ac:dyDescent="0.25">
      <c r="A222" t="str">
        <f>LABKS!A11</f>
        <v>LABKS</v>
      </c>
      <c r="B222" t="str">
        <f>LABKS!B11</f>
        <v>Rusal</v>
      </c>
      <c r="C222" t="str">
        <f>LABKS!C11</f>
        <v>RUALR RX Equity</v>
      </c>
      <c r="D222" t="e">
        <f ca="1">LABKS!D11</f>
        <v>#NAME?</v>
      </c>
      <c r="E222">
        <f>LABKS!E11</f>
        <v>27350</v>
      </c>
      <c r="F222">
        <f>LABKS!F11</f>
        <v>233.3601462522852</v>
      </c>
      <c r="G222" t="e">
        <f ca="1">LABKS!G11</f>
        <v>#NAME?</v>
      </c>
      <c r="H222" t="e">
        <f ca="1">LABKS!K11</f>
        <v>#NAME?</v>
      </c>
      <c r="I222" t="e">
        <f ca="1">LABKS!L11</f>
        <v>#NAME?</v>
      </c>
      <c r="J222" t="e">
        <f ca="1">LABKS!M11</f>
        <v>#NAME?</v>
      </c>
      <c r="K222">
        <f>LABKS!N11</f>
        <v>6382400</v>
      </c>
      <c r="L222" t="e">
        <f ca="1">LABKS!O11</f>
        <v>#NAME?</v>
      </c>
      <c r="M222" t="e">
        <f ca="1">LABKS!P11</f>
        <v>#NAME?</v>
      </c>
      <c r="N222" t="e">
        <f ca="1">LABKS!Q11</f>
        <v>#NAME?</v>
      </c>
      <c r="O222" t="e">
        <f ca="1">LABKS!R11</f>
        <v>#NAME?</v>
      </c>
      <c r="P222" t="e">
        <f ca="1">LABKS!S11</f>
        <v>#NAME?</v>
      </c>
      <c r="Q222" t="e">
        <f ca="1">LABKS!T11</f>
        <v>#NAME?</v>
      </c>
      <c r="R222" t="e">
        <f ca="1">LABKS!U11</f>
        <v>#NAME?</v>
      </c>
      <c r="S222" t="e">
        <f ca="1">LABKS!V11</f>
        <v>#NAME?</v>
      </c>
      <c r="T222" t="e">
        <f ca="1">LABKS!W11</f>
        <v>#NAME?</v>
      </c>
      <c r="U222" t="e">
        <f>LABKS!#REF!</f>
        <v>#REF!</v>
      </c>
      <c r="V222" t="e">
        <f>LABKS!#REF!</f>
        <v>#REF!</v>
      </c>
      <c r="W222" t="e">
        <f>LABKS!#REF!</f>
        <v>#REF!</v>
      </c>
      <c r="X222" t="e">
        <f ca="1">LABKS!X11</f>
        <v>#NAME?</v>
      </c>
      <c r="Y222" t="e">
        <f ca="1">LABKS!Y11</f>
        <v>#NAME?</v>
      </c>
    </row>
    <row r="223" spans="1:28" x14ac:dyDescent="0.25">
      <c r="A223" t="str">
        <f>LABKS!A12</f>
        <v>LABKS</v>
      </c>
      <c r="B223" t="str">
        <f>LABKS!B12</f>
        <v>GMKN</v>
      </c>
      <c r="C223" t="str">
        <f>LABKS!C12</f>
        <v>MNOD LI Equity</v>
      </c>
      <c r="D223" t="e">
        <f ca="1">LABKS!D12</f>
        <v>#NAME?</v>
      </c>
      <c r="E223">
        <f>LABKS!E12</f>
        <v>3364</v>
      </c>
      <c r="F223">
        <f>LABKS!F12</f>
        <v>14.875</v>
      </c>
      <c r="G223" t="e">
        <f ca="1">LABKS!G12</f>
        <v>#NAME?</v>
      </c>
      <c r="H223" t="e">
        <f ca="1">LABKS!K12</f>
        <v>#NAME?</v>
      </c>
      <c r="I223" t="e">
        <f ca="1">LABKS!L12</f>
        <v>#NAME?</v>
      </c>
      <c r="J223" t="e">
        <f ca="1">LABKS!M12</f>
        <v>#NAME?</v>
      </c>
      <c r="K223" t="e">
        <f ca="1">LABKS!N12</f>
        <v>#NAME?</v>
      </c>
      <c r="L223">
        <f>LABKS!O12</f>
        <v>50039.5</v>
      </c>
      <c r="M223" t="e">
        <f ca="1">LABKS!P12</f>
        <v>#NAME?</v>
      </c>
      <c r="N223" t="e">
        <f ca="1">LABKS!Q12</f>
        <v>#NAME?</v>
      </c>
      <c r="O223" t="e">
        <f ca="1">LABKS!R12</f>
        <v>#NAME?</v>
      </c>
      <c r="P223" t="e">
        <f ca="1">LABKS!S12</f>
        <v>#NAME?</v>
      </c>
      <c r="Q223" t="e">
        <f ca="1">LABKS!T12</f>
        <v>#NAME?</v>
      </c>
      <c r="R223" t="e">
        <f ca="1">LABKS!U12</f>
        <v>#NAME?</v>
      </c>
      <c r="S223" t="e">
        <f ca="1">LABKS!V12</f>
        <v>#NAME?</v>
      </c>
      <c r="T223" t="e">
        <f ca="1">LABKS!W12</f>
        <v>#NAME?</v>
      </c>
      <c r="U223" t="e">
        <f>LABKS!#REF!</f>
        <v>#REF!</v>
      </c>
      <c r="V223" t="e">
        <f>LABKS!#REF!</f>
        <v>#REF!</v>
      </c>
      <c r="W223" t="e">
        <f>LABKS!#REF!</f>
        <v>#REF!</v>
      </c>
      <c r="X223" t="e">
        <f ca="1">LABKS!X12</f>
        <v>#NAME?</v>
      </c>
      <c r="Y223" t="e">
        <f ca="1">LABKS!Y12</f>
        <v>#NAME?</v>
      </c>
    </row>
    <row r="224" spans="1:28" x14ac:dyDescent="0.25">
      <c r="A224" t="e">
        <f>LABKS!#REF!</f>
        <v>#REF!</v>
      </c>
      <c r="B224" t="e">
        <f>LABKS!#REF!</f>
        <v>#REF!</v>
      </c>
      <c r="C224" t="e">
        <f>LABKS!#REF!</f>
        <v>#REF!</v>
      </c>
      <c r="D224" t="e">
        <f>LABKS!#REF!</f>
        <v>#REF!</v>
      </c>
      <c r="E224" t="e">
        <f>LABKS!#REF!</f>
        <v>#REF!</v>
      </c>
      <c r="F224" t="e">
        <f>LABKS!#REF!</f>
        <v>#REF!</v>
      </c>
      <c r="G224" t="e">
        <f>LABKS!#REF!</f>
        <v>#REF!</v>
      </c>
      <c r="H224" t="e">
        <f>LABKS!#REF!</f>
        <v>#REF!</v>
      </c>
      <c r="I224" t="e">
        <f>LABKS!#REF!</f>
        <v>#REF!</v>
      </c>
      <c r="J224" t="e">
        <f>LABKS!#REF!</f>
        <v>#REF!</v>
      </c>
      <c r="K224" t="e">
        <f>LABKS!#REF!</f>
        <v>#REF!</v>
      </c>
      <c r="L224" t="e">
        <f>LABKS!#REF!</f>
        <v>#REF!</v>
      </c>
      <c r="M224" t="e">
        <f>LABKS!#REF!</f>
        <v>#REF!</v>
      </c>
      <c r="N224" t="e">
        <f>LABKS!#REF!</f>
        <v>#REF!</v>
      </c>
      <c r="O224" t="e">
        <f>LABKS!#REF!</f>
        <v>#REF!</v>
      </c>
      <c r="P224" t="e">
        <f>LABKS!#REF!</f>
        <v>#REF!</v>
      </c>
      <c r="Q224" t="e">
        <f>LABKS!#REF!</f>
        <v>#REF!</v>
      </c>
      <c r="R224" t="e">
        <f>LABKS!#REF!</f>
        <v>#REF!</v>
      </c>
      <c r="S224" t="e">
        <f>LABKS!#REF!</f>
        <v>#REF!</v>
      </c>
      <c r="T224" t="e">
        <f>LABKS!#REF!</f>
        <v>#REF!</v>
      </c>
      <c r="U224" t="e">
        <f>LABKS!#REF!</f>
        <v>#REF!</v>
      </c>
      <c r="V224" t="e">
        <f>LABKS!#REF!</f>
        <v>#REF!</v>
      </c>
      <c r="W224" t="e">
        <f>LABKS!#REF!</f>
        <v>#REF!</v>
      </c>
      <c r="X224" t="e">
        <f>LABKS!#REF!</f>
        <v>#REF!</v>
      </c>
      <c r="Y224" t="e">
        <f>LABKS!#REF!</f>
        <v>#REF!</v>
      </c>
    </row>
    <row r="225" spans="1:26" x14ac:dyDescent="0.25">
      <c r="A225" t="str">
        <f>LABKS!A14</f>
        <v>LABKS</v>
      </c>
      <c r="B225" t="str">
        <f>LABKS!B14</f>
        <v>Gazpromneft</v>
      </c>
      <c r="C225" t="str">
        <f>LABKS!C14</f>
        <v>GAZ LI Equity</v>
      </c>
      <c r="D225" t="e">
        <f ca="1">LABKS!D14</f>
        <v>#NAME?</v>
      </c>
      <c r="E225">
        <f>LABKS!E14</f>
        <v>7304</v>
      </c>
      <c r="F225">
        <f>LABKS!F14</f>
        <v>11.36987951807229</v>
      </c>
      <c r="G225" t="e">
        <f ca="1">LABKS!G14</f>
        <v>#NAME?</v>
      </c>
      <c r="H225" t="e">
        <f ca="1">LABKS!K14</f>
        <v>#NAME?</v>
      </c>
      <c r="I225" t="e">
        <f ca="1">LABKS!L14</f>
        <v>#NAME?</v>
      </c>
      <c r="J225" t="e">
        <f ca="1">LABKS!M14</f>
        <v>#NAME?</v>
      </c>
      <c r="K225" t="e">
        <f ca="1">LABKS!N14</f>
        <v>#NAME?</v>
      </c>
      <c r="L225">
        <f>LABKS!O14</f>
        <v>83045.600000000006</v>
      </c>
      <c r="M225" t="e">
        <f ca="1">LABKS!P14</f>
        <v>#NAME?</v>
      </c>
      <c r="N225" t="e">
        <f ca="1">LABKS!Q14</f>
        <v>#NAME?</v>
      </c>
      <c r="O225" t="e">
        <f ca="1">LABKS!R14</f>
        <v>#NAME?</v>
      </c>
      <c r="P225" t="e">
        <f ca="1">LABKS!S14</f>
        <v>#NAME?</v>
      </c>
      <c r="Q225" t="e">
        <f ca="1">LABKS!T14</f>
        <v>#NAME?</v>
      </c>
      <c r="R225" t="e">
        <f ca="1">LABKS!U14</f>
        <v>#NAME?</v>
      </c>
      <c r="S225" t="e">
        <f ca="1">LABKS!V14</f>
        <v>#NAME?</v>
      </c>
      <c r="T225" t="e">
        <f ca="1">LABKS!W14</f>
        <v>#NAME?</v>
      </c>
      <c r="U225" t="e">
        <f>LABKS!#REF!</f>
        <v>#REF!</v>
      </c>
      <c r="V225" t="e">
        <f>LABKS!#REF!</f>
        <v>#REF!</v>
      </c>
      <c r="W225" t="e">
        <f>LABKS!#REF!</f>
        <v>#REF!</v>
      </c>
      <c r="X225" t="e">
        <f ca="1">LABKS!X14</f>
        <v>#NAME?</v>
      </c>
      <c r="Y225" t="e">
        <f ca="1">LABKS!Y14</f>
        <v>#NAME?</v>
      </c>
    </row>
    <row r="226" spans="1:26" x14ac:dyDescent="0.25">
      <c r="A226" t="e">
        <f>LABKS!#REF!</f>
        <v>#REF!</v>
      </c>
      <c r="B226" t="e">
        <f>LABKS!#REF!</f>
        <v>#REF!</v>
      </c>
      <c r="C226" t="e">
        <f>LABKS!#REF!</f>
        <v>#REF!</v>
      </c>
      <c r="D226" t="e">
        <f>LABKS!#REF!</f>
        <v>#REF!</v>
      </c>
      <c r="E226" t="e">
        <f>LABKS!#REF!</f>
        <v>#REF!</v>
      </c>
      <c r="F226" t="e">
        <f>LABKS!#REF!</f>
        <v>#REF!</v>
      </c>
      <c r="G226" t="e">
        <f>LABKS!#REF!</f>
        <v>#REF!</v>
      </c>
      <c r="H226" t="e">
        <f>LABKS!#REF!</f>
        <v>#REF!</v>
      </c>
      <c r="I226" t="e">
        <f>LABKS!#REF!</f>
        <v>#REF!</v>
      </c>
      <c r="J226" t="e">
        <f>LABKS!#REF!</f>
        <v>#REF!</v>
      </c>
      <c r="K226" t="e">
        <f>LABKS!#REF!</f>
        <v>#REF!</v>
      </c>
      <c r="L226" t="e">
        <f>LABKS!#REF!</f>
        <v>#REF!</v>
      </c>
      <c r="M226" t="e">
        <f>LABKS!#REF!</f>
        <v>#REF!</v>
      </c>
      <c r="N226" t="e">
        <f>LABKS!#REF!</f>
        <v>#REF!</v>
      </c>
      <c r="O226" t="e">
        <f>LABKS!#REF!</f>
        <v>#REF!</v>
      </c>
      <c r="P226" t="e">
        <f>LABKS!#REF!</f>
        <v>#REF!</v>
      </c>
      <c r="Q226" t="e">
        <f>LABKS!#REF!</f>
        <v>#REF!</v>
      </c>
      <c r="R226" t="e">
        <f>LABKS!#REF!</f>
        <v>#REF!</v>
      </c>
      <c r="S226" t="e">
        <f>LABKS!#REF!</f>
        <v>#REF!</v>
      </c>
      <c r="T226" t="e">
        <f>LABKS!#REF!</f>
        <v>#REF!</v>
      </c>
      <c r="U226" t="e">
        <f>LABKS!#REF!</f>
        <v>#REF!</v>
      </c>
      <c r="V226" t="e">
        <f>LABKS!#REF!</f>
        <v>#REF!</v>
      </c>
      <c r="W226" t="e">
        <f>LABKS!#REF!</f>
        <v>#REF!</v>
      </c>
      <c r="X226" t="e">
        <f>LABKS!#REF!</f>
        <v>#REF!</v>
      </c>
      <c r="Y226" t="e">
        <f>LABKS!#REF!</f>
        <v>#REF!</v>
      </c>
    </row>
    <row r="227" spans="1:26" x14ac:dyDescent="0.25">
      <c r="A227" t="e">
        <f>LABKS!#REF!</f>
        <v>#REF!</v>
      </c>
      <c r="B227" t="e">
        <f>LABKS!#REF!</f>
        <v>#REF!</v>
      </c>
      <c r="C227" t="e">
        <f>LABKS!#REF!</f>
        <v>#REF!</v>
      </c>
      <c r="D227" t="e">
        <f>LABKS!#REF!</f>
        <v>#REF!</v>
      </c>
      <c r="E227" t="e">
        <f>LABKS!#REF!</f>
        <v>#REF!</v>
      </c>
      <c r="F227" t="e">
        <f>LABKS!#REF!</f>
        <v>#REF!</v>
      </c>
      <c r="G227" t="e">
        <f>LABKS!#REF!</f>
        <v>#REF!</v>
      </c>
      <c r="H227" t="e">
        <f>LABKS!#REF!</f>
        <v>#REF!</v>
      </c>
      <c r="I227" t="e">
        <f>LABKS!#REF!</f>
        <v>#REF!</v>
      </c>
      <c r="J227" t="e">
        <f>LABKS!#REF!</f>
        <v>#REF!</v>
      </c>
      <c r="K227" t="e">
        <f>LABKS!#REF!</f>
        <v>#REF!</v>
      </c>
      <c r="L227" t="e">
        <f>LABKS!#REF!</f>
        <v>#REF!</v>
      </c>
      <c r="M227" t="e">
        <f>LABKS!#REF!</f>
        <v>#REF!</v>
      </c>
      <c r="N227" t="e">
        <f>LABKS!#REF!</f>
        <v>#REF!</v>
      </c>
      <c r="O227" t="e">
        <f>LABKS!#REF!</f>
        <v>#REF!</v>
      </c>
      <c r="P227" t="e">
        <f>LABKS!#REF!</f>
        <v>#REF!</v>
      </c>
      <c r="Q227" t="e">
        <f>LABKS!#REF!</f>
        <v>#REF!</v>
      </c>
      <c r="R227" t="e">
        <f>LABKS!#REF!</f>
        <v>#REF!</v>
      </c>
      <c r="S227" t="e">
        <f>LABKS!#REF!</f>
        <v>#REF!</v>
      </c>
      <c r="T227" t="e">
        <f>LABKS!#REF!</f>
        <v>#REF!</v>
      </c>
      <c r="U227" t="e">
        <f>LABKS!#REF!</f>
        <v>#REF!</v>
      </c>
      <c r="V227" t="e">
        <f>LABKS!#REF!</f>
        <v>#REF!</v>
      </c>
      <c r="W227" t="e">
        <f>LABKS!#REF!</f>
        <v>#REF!</v>
      </c>
      <c r="X227" t="e">
        <f>LABKS!#REF!</f>
        <v>#REF!</v>
      </c>
      <c r="Y227" t="e">
        <f>LABKS!#REF!</f>
        <v>#REF!</v>
      </c>
    </row>
    <row r="228" spans="1:26" x14ac:dyDescent="0.25">
      <c r="A228" t="str">
        <f>LABKS!A15</f>
        <v>LABKS</v>
      </c>
      <c r="B228" t="e">
        <f ca="1">LABKS!B15</f>
        <v>#NAME?</v>
      </c>
      <c r="C228" t="str">
        <f>LABKS!C15</f>
        <v>XS0808638612 Corp</v>
      </c>
      <c r="D228" t="e">
        <f ca="1">LABKS!D15</f>
        <v>#NAME?</v>
      </c>
      <c r="E228">
        <f>LABKS!E15</f>
        <v>800000</v>
      </c>
      <c r="F228">
        <f>LABKS!F15</f>
        <v>95.75</v>
      </c>
      <c r="G228" t="e">
        <f ca="1">LABKS!G15</f>
        <v>#NAME?</v>
      </c>
      <c r="H228" t="e">
        <f ca="1">LABKS!K15</f>
        <v>#NAME?</v>
      </c>
      <c r="I228" t="e">
        <f ca="1">LABKS!L15</f>
        <v>#NAME?</v>
      </c>
      <c r="J228" t="e">
        <f ca="1">LABKS!M15</f>
        <v>#NAME?</v>
      </c>
      <c r="K228" t="e">
        <f ca="1">LABKS!N15</f>
        <v>#NAME?</v>
      </c>
      <c r="L228">
        <f>LABKS!O15</f>
        <v>766000</v>
      </c>
      <c r="M228" t="e">
        <f ca="1">LABKS!P15</f>
        <v>#NAME?</v>
      </c>
      <c r="N228" t="e">
        <f ca="1">LABKS!Q15</f>
        <v>#NAME?</v>
      </c>
      <c r="O228" t="e">
        <f ca="1">LABKS!R15</f>
        <v>#NAME?</v>
      </c>
      <c r="P228" t="e">
        <f ca="1">LABKS!S15</f>
        <v>#NAME?</v>
      </c>
      <c r="Q228" t="e">
        <f ca="1">LABKS!T15</f>
        <v>#NAME?</v>
      </c>
      <c r="R228" t="e">
        <f ca="1">LABKS!U15</f>
        <v>#NAME?</v>
      </c>
      <c r="S228" t="e">
        <f ca="1">LABKS!V15</f>
        <v>#NAME?</v>
      </c>
      <c r="T228" t="e">
        <f ca="1">LABKS!W15</f>
        <v>#NAME?</v>
      </c>
      <c r="U228" t="e">
        <f>LABKS!#REF!</f>
        <v>#REF!</v>
      </c>
      <c r="V228" t="e">
        <f>LABKS!#REF!</f>
        <v>#REF!</v>
      </c>
      <c r="W228" t="e">
        <f>LABKS!#REF!</f>
        <v>#REF!</v>
      </c>
      <c r="X228">
        <f>LABKS!X15</f>
        <v>0</v>
      </c>
      <c r="Y228">
        <f>LABKS!Y15</f>
        <v>0</v>
      </c>
    </row>
    <row r="229" spans="1:26" x14ac:dyDescent="0.25">
      <c r="A229" t="e">
        <f>LABKS!#REF!</f>
        <v>#REF!</v>
      </c>
      <c r="B229" t="e">
        <f>LABKS!#REF!</f>
        <v>#REF!</v>
      </c>
      <c r="C229" t="e">
        <f>LABKS!#REF!</f>
        <v>#REF!</v>
      </c>
      <c r="D229" t="e">
        <f>LABKS!#REF!</f>
        <v>#REF!</v>
      </c>
      <c r="E229" t="e">
        <f>LABKS!#REF!</f>
        <v>#REF!</v>
      </c>
      <c r="F229" t="e">
        <f>LABKS!#REF!</f>
        <v>#REF!</v>
      </c>
      <c r="G229" t="e">
        <f>LABKS!#REF!</f>
        <v>#REF!</v>
      </c>
      <c r="H229" t="e">
        <f>LABKS!#REF!</f>
        <v>#REF!</v>
      </c>
      <c r="I229" t="e">
        <f>LABKS!#REF!</f>
        <v>#REF!</v>
      </c>
      <c r="J229" t="e">
        <f>LABKS!#REF!</f>
        <v>#REF!</v>
      </c>
      <c r="K229" t="e">
        <f>LABKS!#REF!</f>
        <v>#REF!</v>
      </c>
      <c r="L229" t="e">
        <f>LABKS!#REF!</f>
        <v>#REF!</v>
      </c>
      <c r="M229" t="e">
        <f>LABKS!#REF!</f>
        <v>#REF!</v>
      </c>
      <c r="N229" t="e">
        <f>LABKS!#REF!</f>
        <v>#REF!</v>
      </c>
      <c r="O229" t="e">
        <f>LABKS!#REF!</f>
        <v>#REF!</v>
      </c>
      <c r="P229" t="e">
        <f>LABKS!#REF!</f>
        <v>#REF!</v>
      </c>
      <c r="Q229" t="e">
        <f>LABKS!#REF!</f>
        <v>#REF!</v>
      </c>
      <c r="R229" t="e">
        <f>LABKS!#REF!</f>
        <v>#REF!</v>
      </c>
      <c r="S229" t="e">
        <f>LABKS!#REF!</f>
        <v>#REF!</v>
      </c>
      <c r="T229" t="e">
        <f>LABKS!#REF!</f>
        <v>#REF!</v>
      </c>
      <c r="U229" t="e">
        <f>LABKS!#REF!</f>
        <v>#REF!</v>
      </c>
      <c r="V229" t="e">
        <f>LABKS!#REF!</f>
        <v>#REF!</v>
      </c>
      <c r="W229" t="e">
        <f>LABKS!#REF!</f>
        <v>#REF!</v>
      </c>
      <c r="X229" t="e">
        <f>LABKS!#REF!</f>
        <v>#REF!</v>
      </c>
      <c r="Y229" t="e">
        <f>LABKS!#REF!</f>
        <v>#REF!</v>
      </c>
    </row>
    <row r="230" spans="1:26" x14ac:dyDescent="0.25">
      <c r="A230" t="str">
        <f>LABKS!A16</f>
        <v>LABKS</v>
      </c>
      <c r="B230" t="e">
        <f ca="1">LABKS!B16</f>
        <v>#NAME?</v>
      </c>
      <c r="C230" t="str">
        <f>LABKS!C16</f>
        <v>XS0922301717 Corp</v>
      </c>
      <c r="D230" t="e">
        <f ca="1">LABKS!D16</f>
        <v>#NAME?</v>
      </c>
      <c r="E230">
        <f>LABKS!E16</f>
        <v>1000000</v>
      </c>
      <c r="F230">
        <f>LABKS!F16</f>
        <v>97.224999999999994</v>
      </c>
      <c r="G230" t="e">
        <f ca="1">LABKS!G16</f>
        <v>#NAME?</v>
      </c>
      <c r="H230" t="e">
        <f ca="1">LABKS!K16</f>
        <v>#NAME?</v>
      </c>
      <c r="I230" t="e">
        <f ca="1">LABKS!L16</f>
        <v>#NAME?</v>
      </c>
      <c r="J230" t="e">
        <f ca="1">LABKS!M16</f>
        <v>#NAME?</v>
      </c>
      <c r="K230" t="e">
        <f ca="1">LABKS!N16</f>
        <v>#NAME?</v>
      </c>
      <c r="L230">
        <f>LABKS!O16</f>
        <v>972250</v>
      </c>
      <c r="M230" t="e">
        <f ca="1">LABKS!P16</f>
        <v>#NAME?</v>
      </c>
      <c r="N230" t="e">
        <f ca="1">LABKS!Q16</f>
        <v>#NAME?</v>
      </c>
      <c r="O230" t="e">
        <f ca="1">LABKS!R16</f>
        <v>#NAME?</v>
      </c>
      <c r="P230" t="e">
        <f ca="1">LABKS!S16</f>
        <v>#NAME?</v>
      </c>
      <c r="Q230" t="e">
        <f ca="1">LABKS!T16</f>
        <v>#NAME?</v>
      </c>
      <c r="R230" t="e">
        <f ca="1">LABKS!U16</f>
        <v>#NAME?</v>
      </c>
      <c r="S230" t="e">
        <f ca="1">LABKS!V16</f>
        <v>#NAME?</v>
      </c>
      <c r="T230" t="e">
        <f ca="1">LABKS!W16</f>
        <v>#NAME?</v>
      </c>
      <c r="U230" t="e">
        <f>LABKS!#REF!</f>
        <v>#REF!</v>
      </c>
      <c r="V230" t="e">
        <f>LABKS!#REF!</f>
        <v>#REF!</v>
      </c>
      <c r="W230" t="e">
        <f>LABKS!#REF!</f>
        <v>#REF!</v>
      </c>
      <c r="X230">
        <f>LABKS!X16</f>
        <v>0</v>
      </c>
      <c r="Y230">
        <f>LABKS!Y16</f>
        <v>0</v>
      </c>
    </row>
    <row r="231" spans="1:26" x14ac:dyDescent="0.25">
      <c r="A231" t="str">
        <f>LABKS!A17</f>
        <v>LABKS</v>
      </c>
      <c r="B231" t="e">
        <f ca="1">LABKS!B17</f>
        <v>#NAME?</v>
      </c>
      <c r="C231" t="str">
        <f>LABKS!C17</f>
        <v>XS0555493203 Corp</v>
      </c>
      <c r="D231" t="e">
        <f ca="1">LABKS!D17</f>
        <v>#NAME?</v>
      </c>
      <c r="E231">
        <f>LABKS!E17</f>
        <v>1000000</v>
      </c>
      <c r="F231">
        <f>LABKS!F17</f>
        <v>106.515</v>
      </c>
      <c r="G231" t="e">
        <f ca="1">LABKS!G17</f>
        <v>#NAME?</v>
      </c>
      <c r="H231" t="e">
        <f ca="1">LABKS!K17</f>
        <v>#NAME?</v>
      </c>
      <c r="I231" t="e">
        <f ca="1">LABKS!L17</f>
        <v>#NAME?</v>
      </c>
      <c r="J231" t="e">
        <f ca="1">LABKS!M17</f>
        <v>#NAME?</v>
      </c>
      <c r="K231" t="e">
        <f ca="1">LABKS!N17</f>
        <v>#NAME?</v>
      </c>
      <c r="L231">
        <f>LABKS!O17</f>
        <v>1065150</v>
      </c>
      <c r="M231" t="e">
        <f ca="1">LABKS!P17</f>
        <v>#NAME?</v>
      </c>
      <c r="N231" t="e">
        <f ca="1">LABKS!Q17</f>
        <v>#NAME?</v>
      </c>
      <c r="O231" t="e">
        <f ca="1">LABKS!R17</f>
        <v>#NAME?</v>
      </c>
      <c r="P231" t="e">
        <f ca="1">LABKS!S17</f>
        <v>#NAME?</v>
      </c>
      <c r="Q231" t="e">
        <f ca="1">LABKS!T17</f>
        <v>#NAME?</v>
      </c>
      <c r="R231" t="e">
        <f ca="1">LABKS!U17</f>
        <v>#NAME?</v>
      </c>
      <c r="S231" t="e">
        <f ca="1">LABKS!V17</f>
        <v>#NAME?</v>
      </c>
      <c r="T231" t="e">
        <f ca="1">LABKS!W17</f>
        <v>#NAME?</v>
      </c>
      <c r="U231" t="e">
        <f>LABKS!#REF!</f>
        <v>#REF!</v>
      </c>
      <c r="V231" t="e">
        <f>LABKS!#REF!</f>
        <v>#REF!</v>
      </c>
      <c r="W231" t="e">
        <f>LABKS!#REF!</f>
        <v>#REF!</v>
      </c>
      <c r="X231">
        <f>LABKS!X17</f>
        <v>0</v>
      </c>
      <c r="Y231">
        <f>LABKS!Y17</f>
        <v>0</v>
      </c>
    </row>
    <row r="232" spans="1:26" x14ac:dyDescent="0.25">
      <c r="A232" t="e">
        <f>LABKS!#REF!</f>
        <v>#REF!</v>
      </c>
      <c r="B232" t="e">
        <f>LABKS!#REF!</f>
        <v>#REF!</v>
      </c>
      <c r="C232" t="e">
        <f>LABKS!#REF!</f>
        <v>#REF!</v>
      </c>
      <c r="D232" t="e">
        <f>LABKS!#REF!</f>
        <v>#REF!</v>
      </c>
      <c r="E232" t="e">
        <f>LABKS!#REF!</f>
        <v>#REF!</v>
      </c>
      <c r="F232" t="e">
        <f>LABKS!#REF!</f>
        <v>#REF!</v>
      </c>
      <c r="G232" t="e">
        <f>LABKS!#REF!</f>
        <v>#REF!</v>
      </c>
      <c r="H232" t="e">
        <f>LABKS!#REF!</f>
        <v>#REF!</v>
      </c>
      <c r="I232" t="e">
        <f>LABKS!#REF!</f>
        <v>#REF!</v>
      </c>
      <c r="J232" t="e">
        <f>LABKS!#REF!</f>
        <v>#REF!</v>
      </c>
      <c r="K232" t="e">
        <f>LABKS!#REF!</f>
        <v>#REF!</v>
      </c>
      <c r="L232" t="e">
        <f>LABKS!#REF!</f>
        <v>#REF!</v>
      </c>
      <c r="M232" t="e">
        <f>LABKS!#REF!</f>
        <v>#REF!</v>
      </c>
      <c r="N232" t="e">
        <f>LABKS!#REF!</f>
        <v>#REF!</v>
      </c>
      <c r="O232" t="e">
        <f>LABKS!#REF!</f>
        <v>#REF!</v>
      </c>
      <c r="P232" t="e">
        <f>LABKS!#REF!</f>
        <v>#REF!</v>
      </c>
      <c r="Q232" t="e">
        <f>LABKS!#REF!</f>
        <v>#REF!</v>
      </c>
      <c r="R232" t="e">
        <f>LABKS!#REF!</f>
        <v>#REF!</v>
      </c>
      <c r="S232" t="e">
        <f>LABKS!#REF!</f>
        <v>#REF!</v>
      </c>
      <c r="T232" t="e">
        <f>LABKS!#REF!</f>
        <v>#REF!</v>
      </c>
      <c r="U232" t="e">
        <f>LABKS!#REF!</f>
        <v>#REF!</v>
      </c>
      <c r="V232" t="e">
        <f>LABKS!#REF!</f>
        <v>#REF!</v>
      </c>
      <c r="W232" t="e">
        <f>LABKS!#REF!</f>
        <v>#REF!</v>
      </c>
      <c r="X232" t="e">
        <f>LABKS!#REF!</f>
        <v>#REF!</v>
      </c>
      <c r="Y232" t="e">
        <f>LABKS!#REF!</f>
        <v>#REF!</v>
      </c>
    </row>
    <row r="233" spans="1:26" x14ac:dyDescent="0.25">
      <c r="A233" t="e">
        <f>LABKS!#REF!</f>
        <v>#REF!</v>
      </c>
      <c r="B233" t="e">
        <f>LABKS!#REF!</f>
        <v>#REF!</v>
      </c>
      <c r="C233" t="e">
        <f>LABKS!#REF!</f>
        <v>#REF!</v>
      </c>
      <c r="D233" t="e">
        <f>LABKS!#REF!</f>
        <v>#REF!</v>
      </c>
      <c r="E233" t="e">
        <f>LABKS!#REF!</f>
        <v>#REF!</v>
      </c>
      <c r="F233" t="e">
        <f>LABKS!#REF!</f>
        <v>#REF!</v>
      </c>
      <c r="G233" t="e">
        <f>LABKS!#REF!</f>
        <v>#REF!</v>
      </c>
      <c r="H233" t="e">
        <f>LABKS!#REF!</f>
        <v>#REF!</v>
      </c>
      <c r="I233" t="e">
        <f>LABKS!#REF!</f>
        <v>#REF!</v>
      </c>
      <c r="J233" t="e">
        <f>LABKS!#REF!</f>
        <v>#REF!</v>
      </c>
      <c r="K233" t="e">
        <f>LABKS!#REF!</f>
        <v>#REF!</v>
      </c>
      <c r="L233" t="e">
        <f>LABKS!#REF!</f>
        <v>#REF!</v>
      </c>
      <c r="M233" t="e">
        <f>LABKS!#REF!</f>
        <v>#REF!</v>
      </c>
      <c r="N233" t="e">
        <f>LABKS!#REF!</f>
        <v>#REF!</v>
      </c>
      <c r="O233" t="e">
        <f>LABKS!#REF!</f>
        <v>#REF!</v>
      </c>
      <c r="P233" t="e">
        <f>LABKS!#REF!</f>
        <v>#REF!</v>
      </c>
      <c r="Q233" t="e">
        <f>LABKS!#REF!</f>
        <v>#REF!</v>
      </c>
      <c r="R233" t="e">
        <f>LABKS!#REF!</f>
        <v>#REF!</v>
      </c>
      <c r="S233" t="e">
        <f>LABKS!#REF!</f>
        <v>#REF!</v>
      </c>
      <c r="T233" t="e">
        <f>LABKS!#REF!</f>
        <v>#REF!</v>
      </c>
      <c r="U233" t="e">
        <f>LABKS!#REF!</f>
        <v>#REF!</v>
      </c>
      <c r="V233" t="e">
        <f>LABKS!#REF!</f>
        <v>#REF!</v>
      </c>
      <c r="W233" t="e">
        <f>LABKS!#REF!</f>
        <v>#REF!</v>
      </c>
      <c r="X233" t="e">
        <f>LABKS!#REF!</f>
        <v>#REF!</v>
      </c>
      <c r="Y233" t="e">
        <f>LABKS!#REF!</f>
        <v>#REF!</v>
      </c>
    </row>
    <row r="234" spans="1:26" x14ac:dyDescent="0.25">
      <c r="A234" t="str">
        <f>LABKS!A18</f>
        <v>LABKS</v>
      </c>
      <c r="B234" t="e">
        <f ca="1">LABKS!B18</f>
        <v>#NAME?</v>
      </c>
      <c r="C234" t="str">
        <f>LABKS!C18</f>
        <v>XS0524610812 Corp</v>
      </c>
      <c r="D234" t="e">
        <f ca="1">LABKS!D18</f>
        <v>#NAME?</v>
      </c>
      <c r="E234">
        <f>LABKS!E18</f>
        <v>500000</v>
      </c>
      <c r="F234">
        <f>LABKS!F18</f>
        <v>99.625</v>
      </c>
      <c r="G234" t="e">
        <f ca="1">LABKS!G18</f>
        <v>#NAME?</v>
      </c>
      <c r="H234" t="e">
        <f ca="1">LABKS!K18</f>
        <v>#NAME?</v>
      </c>
      <c r="I234" t="e">
        <f ca="1">LABKS!L18</f>
        <v>#NAME?</v>
      </c>
      <c r="J234" t="e">
        <f ca="1">LABKS!M18</f>
        <v>#NAME?</v>
      </c>
      <c r="K234" t="e">
        <f ca="1">LABKS!N18</f>
        <v>#NAME?</v>
      </c>
      <c r="L234">
        <f>LABKS!O18</f>
        <v>498125</v>
      </c>
      <c r="M234" t="e">
        <f ca="1">LABKS!P18</f>
        <v>#NAME?</v>
      </c>
      <c r="N234" t="e">
        <f ca="1">LABKS!Q18</f>
        <v>#NAME?</v>
      </c>
      <c r="O234" t="e">
        <f ca="1">LABKS!R18</f>
        <v>#NAME?</v>
      </c>
      <c r="P234" t="e">
        <f ca="1">LABKS!S18</f>
        <v>#NAME?</v>
      </c>
      <c r="Q234" t="e">
        <f ca="1">LABKS!T18</f>
        <v>#NAME?</v>
      </c>
      <c r="R234" t="e">
        <f ca="1">LABKS!U18</f>
        <v>#NAME?</v>
      </c>
      <c r="S234" t="e">
        <f ca="1">LABKS!V18</f>
        <v>#NAME?</v>
      </c>
      <c r="T234" t="e">
        <f ca="1">LABKS!W18</f>
        <v>#NAME?</v>
      </c>
      <c r="U234" t="e">
        <f>LABKS!#REF!</f>
        <v>#REF!</v>
      </c>
      <c r="V234" t="e">
        <f>LABKS!#REF!</f>
        <v>#REF!</v>
      </c>
      <c r="W234" t="e">
        <f>LABKS!#REF!</f>
        <v>#REF!</v>
      </c>
      <c r="X234">
        <f>LABKS!X18</f>
        <v>0</v>
      </c>
      <c r="Y234">
        <f>LABKS!Y18</f>
        <v>0</v>
      </c>
    </row>
    <row r="235" spans="1:26" x14ac:dyDescent="0.25">
      <c r="A235" t="e">
        <f>LABKS!#REF!</f>
        <v>#REF!</v>
      </c>
      <c r="B235" t="e">
        <f>LABKS!#REF!</f>
        <v>#REF!</v>
      </c>
      <c r="C235" t="e">
        <f>LABKS!#REF!</f>
        <v>#REF!</v>
      </c>
      <c r="D235" t="e">
        <f>LABKS!#REF!</f>
        <v>#REF!</v>
      </c>
      <c r="E235" t="e">
        <f>LABKS!#REF!</f>
        <v>#REF!</v>
      </c>
      <c r="F235" t="e">
        <f>LABKS!#REF!</f>
        <v>#REF!</v>
      </c>
      <c r="G235" t="e">
        <f>LABKS!#REF!</f>
        <v>#REF!</v>
      </c>
      <c r="H235" t="e">
        <f>LABKS!#REF!</f>
        <v>#REF!</v>
      </c>
      <c r="I235" t="e">
        <f>LABKS!#REF!</f>
        <v>#REF!</v>
      </c>
      <c r="J235" t="e">
        <f>LABKS!#REF!</f>
        <v>#REF!</v>
      </c>
      <c r="K235" t="e">
        <f>LABKS!#REF!</f>
        <v>#REF!</v>
      </c>
      <c r="L235" t="e">
        <f>LABKS!#REF!</f>
        <v>#REF!</v>
      </c>
      <c r="M235" t="e">
        <f>LABKS!#REF!</f>
        <v>#REF!</v>
      </c>
      <c r="N235" t="e">
        <f>LABKS!#REF!</f>
        <v>#REF!</v>
      </c>
      <c r="O235" t="e">
        <f>LABKS!#REF!</f>
        <v>#REF!</v>
      </c>
      <c r="P235" t="e">
        <f>LABKS!#REF!</f>
        <v>#REF!</v>
      </c>
      <c r="Q235" t="e">
        <f>LABKS!#REF!</f>
        <v>#REF!</v>
      </c>
      <c r="R235" t="e">
        <f>LABKS!#REF!</f>
        <v>#REF!</v>
      </c>
      <c r="S235" t="e">
        <f>LABKS!#REF!</f>
        <v>#REF!</v>
      </c>
      <c r="T235" t="e">
        <f>LABKS!#REF!</f>
        <v>#REF!</v>
      </c>
      <c r="U235" t="e">
        <f>LABKS!#REF!</f>
        <v>#REF!</v>
      </c>
      <c r="V235" t="e">
        <f>LABKS!#REF!</f>
        <v>#REF!</v>
      </c>
      <c r="W235" t="e">
        <f>LABKS!#REF!</f>
        <v>#REF!</v>
      </c>
      <c r="X235" t="e">
        <f>LABKS!#REF!</f>
        <v>#REF!</v>
      </c>
      <c r="Y235" t="e">
        <f>LABKS!#REF!</f>
        <v>#REF!</v>
      </c>
    </row>
    <row r="236" spans="1:26" x14ac:dyDescent="0.25">
      <c r="A236" t="e">
        <f>LABKS!#REF!</f>
        <v>#REF!</v>
      </c>
      <c r="B236" t="e">
        <f>LABKS!#REF!</f>
        <v>#REF!</v>
      </c>
      <c r="C236" t="e">
        <f>LABKS!#REF!</f>
        <v>#REF!</v>
      </c>
      <c r="D236" t="e">
        <f>LABKS!#REF!</f>
        <v>#REF!</v>
      </c>
      <c r="E236" t="e">
        <f>LABKS!#REF!</f>
        <v>#REF!</v>
      </c>
      <c r="F236" t="e">
        <f>LABKS!#REF!</f>
        <v>#REF!</v>
      </c>
      <c r="G236" t="e">
        <f>LABKS!#REF!</f>
        <v>#REF!</v>
      </c>
      <c r="H236" t="e">
        <f>LABKS!#REF!</f>
        <v>#REF!</v>
      </c>
      <c r="I236" t="e">
        <f>LABKS!#REF!</f>
        <v>#REF!</v>
      </c>
      <c r="J236" t="e">
        <f>LABKS!#REF!</f>
        <v>#REF!</v>
      </c>
      <c r="K236" t="e">
        <f>LABKS!#REF!</f>
        <v>#REF!</v>
      </c>
      <c r="L236" t="e">
        <f>LABKS!#REF!</f>
        <v>#REF!</v>
      </c>
      <c r="M236" t="e">
        <f>LABKS!#REF!</f>
        <v>#REF!</v>
      </c>
      <c r="N236" t="e">
        <f>LABKS!#REF!</f>
        <v>#REF!</v>
      </c>
      <c r="O236" t="e">
        <f>LABKS!#REF!</f>
        <v>#REF!</v>
      </c>
      <c r="P236" t="e">
        <f>LABKS!#REF!</f>
        <v>#REF!</v>
      </c>
      <c r="Q236" t="e">
        <f>LABKS!#REF!</f>
        <v>#REF!</v>
      </c>
      <c r="R236" t="e">
        <f>LABKS!#REF!</f>
        <v>#REF!</v>
      </c>
      <c r="S236" t="e">
        <f>LABKS!#REF!</f>
        <v>#REF!</v>
      </c>
      <c r="T236" t="e">
        <f>LABKS!#REF!</f>
        <v>#REF!</v>
      </c>
      <c r="U236" t="e">
        <f>LABKS!#REF!</f>
        <v>#REF!</v>
      </c>
      <c r="V236" t="e">
        <f>LABKS!#REF!</f>
        <v>#REF!</v>
      </c>
      <c r="W236" t="e">
        <f>LABKS!#REF!</f>
        <v>#REF!</v>
      </c>
      <c r="X236" t="e">
        <f>LABKS!#REF!</f>
        <v>#REF!</v>
      </c>
      <c r="Y236" t="e">
        <f>LABKS!#REF!</f>
        <v>#REF!</v>
      </c>
    </row>
    <row r="237" spans="1:26" x14ac:dyDescent="0.25">
      <c r="A237" t="e">
        <f>LABKS!#REF!</f>
        <v>#REF!</v>
      </c>
      <c r="B237" t="e">
        <f>LABKS!#REF!</f>
        <v>#REF!</v>
      </c>
      <c r="C237" t="e">
        <f>LABKS!#REF!</f>
        <v>#REF!</v>
      </c>
      <c r="D237" t="e">
        <f>LABKS!#REF!</f>
        <v>#REF!</v>
      </c>
      <c r="E237" t="e">
        <f>LABKS!#REF!</f>
        <v>#REF!</v>
      </c>
      <c r="F237" t="e">
        <f>LABKS!#REF!</f>
        <v>#REF!</v>
      </c>
      <c r="G237" t="e">
        <f>LABKS!#REF!</f>
        <v>#REF!</v>
      </c>
      <c r="H237" t="e">
        <f>LABKS!#REF!</f>
        <v>#REF!</v>
      </c>
      <c r="I237" t="e">
        <f>LABKS!#REF!</f>
        <v>#REF!</v>
      </c>
      <c r="J237" t="e">
        <f>LABKS!#REF!</f>
        <v>#REF!</v>
      </c>
      <c r="K237" t="e">
        <f>LABKS!#REF!</f>
        <v>#REF!</v>
      </c>
      <c r="L237" t="e">
        <f>LABKS!#REF!</f>
        <v>#REF!</v>
      </c>
      <c r="M237" t="e">
        <f>LABKS!#REF!</f>
        <v>#REF!</v>
      </c>
      <c r="N237" t="e">
        <f>LABKS!#REF!</f>
        <v>#REF!</v>
      </c>
      <c r="O237" t="e">
        <f>LABKS!#REF!</f>
        <v>#REF!</v>
      </c>
      <c r="P237" t="e">
        <f>LABKS!#REF!</f>
        <v>#REF!</v>
      </c>
      <c r="Q237" t="e">
        <f>LABKS!#REF!</f>
        <v>#REF!</v>
      </c>
      <c r="R237" t="e">
        <f>LABKS!#REF!</f>
        <v>#REF!</v>
      </c>
      <c r="S237" t="e">
        <f>LABKS!#REF!</f>
        <v>#REF!</v>
      </c>
      <c r="T237" t="e">
        <f>LABKS!#REF!</f>
        <v>#REF!</v>
      </c>
      <c r="U237" t="e">
        <f>LABKS!#REF!</f>
        <v>#REF!</v>
      </c>
      <c r="V237" t="e">
        <f>LABKS!#REF!</f>
        <v>#REF!</v>
      </c>
      <c r="W237" t="e">
        <f>LABKS!#REF!</f>
        <v>#REF!</v>
      </c>
      <c r="X237" t="e">
        <f>LABKS!#REF!</f>
        <v>#REF!</v>
      </c>
      <c r="Y237" t="e">
        <f>LABKS!#REF!</f>
        <v>#REF!</v>
      </c>
    </row>
    <row r="238" spans="1:26" x14ac:dyDescent="0.25">
      <c r="A238" t="e">
        <f>LABKS!#REF!</f>
        <v>#REF!</v>
      </c>
      <c r="B238" t="e">
        <f>LABKS!#REF!</f>
        <v>#REF!</v>
      </c>
      <c r="C238" t="e">
        <f>LABKS!#REF!</f>
        <v>#REF!</v>
      </c>
      <c r="D238" t="e">
        <f>LABKS!#REF!</f>
        <v>#REF!</v>
      </c>
      <c r="E238" t="e">
        <f>LABKS!#REF!</f>
        <v>#REF!</v>
      </c>
      <c r="F238" t="e">
        <f>LABKS!#REF!</f>
        <v>#REF!</v>
      </c>
      <c r="G238" t="e">
        <f>LABKS!#REF!</f>
        <v>#REF!</v>
      </c>
      <c r="H238" t="e">
        <f>LABKS!#REF!</f>
        <v>#REF!</v>
      </c>
      <c r="I238" t="e">
        <f>LABKS!#REF!</f>
        <v>#REF!</v>
      </c>
      <c r="J238" t="e">
        <f>LABKS!#REF!</f>
        <v>#REF!</v>
      </c>
      <c r="K238" t="e">
        <f>LABKS!#REF!</f>
        <v>#REF!</v>
      </c>
      <c r="L238" t="e">
        <f>LABKS!#REF!</f>
        <v>#REF!</v>
      </c>
      <c r="M238" t="e">
        <f>LABKS!#REF!</f>
        <v>#REF!</v>
      </c>
      <c r="N238" t="e">
        <f>LABKS!#REF!</f>
        <v>#REF!</v>
      </c>
      <c r="O238" t="e">
        <f>LABKS!#REF!</f>
        <v>#REF!</v>
      </c>
      <c r="P238" t="e">
        <f>LABKS!#REF!</f>
        <v>#REF!</v>
      </c>
      <c r="Q238" t="e">
        <f>LABKS!#REF!</f>
        <v>#REF!</v>
      </c>
      <c r="R238" t="e">
        <f>LABKS!#REF!</f>
        <v>#REF!</v>
      </c>
      <c r="S238" t="e">
        <f>LABKS!#REF!</f>
        <v>#REF!</v>
      </c>
      <c r="T238" t="e">
        <f>LABKS!#REF!</f>
        <v>#REF!</v>
      </c>
      <c r="U238" t="e">
        <f>LABKS!#REF!</f>
        <v>#REF!</v>
      </c>
      <c r="V238" t="e">
        <f>LABKS!#REF!</f>
        <v>#REF!</v>
      </c>
      <c r="W238" t="e">
        <f>LABKS!#REF!</f>
        <v>#REF!</v>
      </c>
      <c r="X238" t="e">
        <f>LABKS!#REF!</f>
        <v>#REF!</v>
      </c>
      <c r="Y238" t="e">
        <f>LABKS!#REF!</f>
        <v>#REF!</v>
      </c>
    </row>
    <row r="239" spans="1:26" x14ac:dyDescent="0.25">
      <c r="A239" t="e">
        <f>LABKS!#REF!</f>
        <v>#REF!</v>
      </c>
      <c r="B239" t="e">
        <f>LABKS!#REF!</f>
        <v>#REF!</v>
      </c>
      <c r="C239" t="e">
        <f>LABKS!#REF!</f>
        <v>#REF!</v>
      </c>
      <c r="D239" t="e">
        <f>LABKS!#REF!</f>
        <v>#REF!</v>
      </c>
      <c r="E239" t="e">
        <f>LABKS!#REF!</f>
        <v>#REF!</v>
      </c>
      <c r="F239" t="e">
        <f>LABKS!#REF!</f>
        <v>#REF!</v>
      </c>
      <c r="G239" t="e">
        <f>LABKS!#REF!</f>
        <v>#REF!</v>
      </c>
      <c r="H239" t="e">
        <f>LABKS!#REF!</f>
        <v>#REF!</v>
      </c>
      <c r="I239" t="e">
        <f>LABKS!#REF!</f>
        <v>#REF!</v>
      </c>
      <c r="J239" t="e">
        <f>LABKS!#REF!</f>
        <v>#REF!</v>
      </c>
      <c r="K239" t="e">
        <f>LABKS!#REF!</f>
        <v>#REF!</v>
      </c>
      <c r="L239" t="e">
        <f>LABKS!#REF!</f>
        <v>#REF!</v>
      </c>
      <c r="M239" t="e">
        <f>LABKS!#REF!</f>
        <v>#REF!</v>
      </c>
      <c r="N239" t="e">
        <f>LABKS!#REF!</f>
        <v>#REF!</v>
      </c>
      <c r="O239" t="e">
        <f>LABKS!#REF!</f>
        <v>#REF!</v>
      </c>
      <c r="P239" t="e">
        <f>LABKS!#REF!</f>
        <v>#REF!</v>
      </c>
      <c r="Q239" t="e">
        <f>LABKS!#REF!</f>
        <v>#REF!</v>
      </c>
      <c r="R239" t="e">
        <f>LABKS!#REF!</f>
        <v>#REF!</v>
      </c>
      <c r="S239" t="e">
        <f>LABKS!#REF!</f>
        <v>#REF!</v>
      </c>
      <c r="T239" t="e">
        <f>LABKS!#REF!</f>
        <v>#REF!</v>
      </c>
      <c r="U239" t="e">
        <f>LABKS!#REF!</f>
        <v>#REF!</v>
      </c>
      <c r="V239" t="e">
        <f>LABKS!#REF!</f>
        <v>#REF!</v>
      </c>
      <c r="W239" t="e">
        <f>LABKS!#REF!</f>
        <v>#REF!</v>
      </c>
      <c r="X239" t="e">
        <f>LABKS!#REF!</f>
        <v>#REF!</v>
      </c>
      <c r="Y239" t="e">
        <f>LABKS!#REF!</f>
        <v>#REF!</v>
      </c>
    </row>
    <row r="240" spans="1:26" x14ac:dyDescent="0.25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  <c r="G240" t="e">
        <f>#REF!</f>
        <v>#REF!</v>
      </c>
      <c r="H240" t="e">
        <f>#REF!</f>
        <v>#REF!</v>
      </c>
      <c r="I240" t="e">
        <f>#REF!</f>
        <v>#REF!</v>
      </c>
      <c r="J240" t="e">
        <f>#REF!</f>
        <v>#REF!</v>
      </c>
      <c r="K240" t="e">
        <f>#REF!</f>
        <v>#REF!</v>
      </c>
      <c r="L240" t="e">
        <f>#REF!</f>
        <v>#REF!</v>
      </c>
      <c r="M240" t="e">
        <f>#REF!</f>
        <v>#REF!</v>
      </c>
      <c r="N240" t="e">
        <f>#REF!</f>
        <v>#REF!</v>
      </c>
      <c r="O240" t="e">
        <f>#REF!</f>
        <v>#REF!</v>
      </c>
      <c r="P240" t="e">
        <f>#REF!</f>
        <v>#REF!</v>
      </c>
      <c r="Q240" t="e">
        <f>#REF!</f>
        <v>#REF!</v>
      </c>
      <c r="R240" t="e">
        <f>#REF!</f>
        <v>#REF!</v>
      </c>
      <c r="S240" t="e">
        <f>#REF!</f>
        <v>#REF!</v>
      </c>
      <c r="T240" t="e">
        <f>#REF!</f>
        <v>#REF!</v>
      </c>
      <c r="U240" t="e">
        <f>#REF!</f>
        <v>#REF!</v>
      </c>
      <c r="V240" t="e">
        <f>#REF!</f>
        <v>#REF!</v>
      </c>
      <c r="W240" t="e">
        <f>#REF!</f>
        <v>#REF!</v>
      </c>
      <c r="X240" t="e">
        <f>#REF!</f>
        <v>#REF!</v>
      </c>
      <c r="Y240" t="e">
        <f>#REF!</f>
        <v>#REF!</v>
      </c>
      <c r="Z240" t="e">
        <f>#REF!</f>
        <v>#REF!</v>
      </c>
    </row>
    <row r="241" spans="1:29" x14ac:dyDescent="0.25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  <c r="G241" t="e">
        <f>#REF!</f>
        <v>#REF!</v>
      </c>
      <c r="H241" t="e">
        <f>#REF!</f>
        <v>#REF!</v>
      </c>
      <c r="I241" t="e">
        <f>#REF!</f>
        <v>#REF!</v>
      </c>
      <c r="J241" t="e">
        <f>#REF!</f>
        <v>#REF!</v>
      </c>
      <c r="K241" t="e">
        <f>#REF!</f>
        <v>#REF!</v>
      </c>
      <c r="L241" t="e">
        <f>#REF!</f>
        <v>#REF!</v>
      </c>
      <c r="M241" t="e">
        <f>#REF!</f>
        <v>#REF!</v>
      </c>
      <c r="N241" t="e">
        <f>#REF!</f>
        <v>#REF!</v>
      </c>
      <c r="O241" t="e">
        <f>#REF!</f>
        <v>#REF!</v>
      </c>
      <c r="P241" t="e">
        <f>#REF!</f>
        <v>#REF!</v>
      </c>
      <c r="Q241" t="e">
        <f>#REF!</f>
        <v>#REF!</v>
      </c>
      <c r="R241" t="e">
        <f>#REF!</f>
        <v>#REF!</v>
      </c>
      <c r="S241" t="e">
        <f>#REF!</f>
        <v>#REF!</v>
      </c>
      <c r="T241" t="e">
        <f>#REF!</f>
        <v>#REF!</v>
      </c>
      <c r="U241" t="e">
        <f>#REF!</f>
        <v>#REF!</v>
      </c>
      <c r="V241" t="e">
        <f>#REF!</f>
        <v>#REF!</v>
      </c>
      <c r="W241" t="e">
        <f>#REF!</f>
        <v>#REF!</v>
      </c>
      <c r="X241" t="e">
        <f>#REF!</f>
        <v>#REF!</v>
      </c>
      <c r="Y241" t="e">
        <f>#REF!</f>
        <v>#REF!</v>
      </c>
      <c r="Z241" t="e">
        <f>#REF!</f>
        <v>#REF!</v>
      </c>
    </row>
    <row r="242" spans="1:29" x14ac:dyDescent="0.25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  <c r="G242" t="e">
        <f>#REF!</f>
        <v>#REF!</v>
      </c>
      <c r="H242" t="e">
        <f>#REF!</f>
        <v>#REF!</v>
      </c>
      <c r="I242" t="e">
        <f>#REF!</f>
        <v>#REF!</v>
      </c>
      <c r="J242" t="e">
        <f>#REF!</f>
        <v>#REF!</v>
      </c>
      <c r="K242" t="e">
        <f>#REF!</f>
        <v>#REF!</v>
      </c>
      <c r="L242" t="e">
        <f>#REF!</f>
        <v>#REF!</v>
      </c>
      <c r="M242" t="e">
        <f>#REF!</f>
        <v>#REF!</v>
      </c>
      <c r="N242" t="e">
        <f>#REF!</f>
        <v>#REF!</v>
      </c>
      <c r="O242" t="e">
        <f>#REF!</f>
        <v>#REF!</v>
      </c>
      <c r="P242" t="e">
        <f>#REF!</f>
        <v>#REF!</v>
      </c>
      <c r="Q242" t="e">
        <f>#REF!</f>
        <v>#REF!</v>
      </c>
      <c r="R242" t="e">
        <f>#REF!</f>
        <v>#REF!</v>
      </c>
      <c r="S242" t="e">
        <f>#REF!</f>
        <v>#REF!</v>
      </c>
      <c r="T242" t="e">
        <f>#REF!</f>
        <v>#REF!</v>
      </c>
      <c r="U242" t="e">
        <f>#REF!</f>
        <v>#REF!</v>
      </c>
      <c r="V242" t="e">
        <f>#REF!</f>
        <v>#REF!</v>
      </c>
      <c r="W242" t="e">
        <f>#REF!</f>
        <v>#REF!</v>
      </c>
      <c r="X242" t="e">
        <f>#REF!</f>
        <v>#REF!</v>
      </c>
      <c r="Y242" t="e">
        <f>#REF!</f>
        <v>#REF!</v>
      </c>
      <c r="Z242" t="e">
        <f>#REF!</f>
        <v>#REF!</v>
      </c>
    </row>
    <row r="243" spans="1:29" x14ac:dyDescent="0.25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  <c r="G243" t="e">
        <f>#REF!</f>
        <v>#REF!</v>
      </c>
      <c r="H243" t="e">
        <f>#REF!</f>
        <v>#REF!</v>
      </c>
      <c r="I243" t="e">
        <f>#REF!</f>
        <v>#REF!</v>
      </c>
      <c r="J243" t="e">
        <f>#REF!</f>
        <v>#REF!</v>
      </c>
      <c r="K243" t="e">
        <f>#REF!</f>
        <v>#REF!</v>
      </c>
      <c r="L243" t="e">
        <f>#REF!</f>
        <v>#REF!</v>
      </c>
      <c r="M243" t="e">
        <f>#REF!</f>
        <v>#REF!</v>
      </c>
      <c r="N243" t="e">
        <f>#REF!</f>
        <v>#REF!</v>
      </c>
      <c r="O243" t="e">
        <f>#REF!</f>
        <v>#REF!</v>
      </c>
      <c r="P243" t="e">
        <f>#REF!</f>
        <v>#REF!</v>
      </c>
      <c r="Q243" t="e">
        <f>#REF!</f>
        <v>#REF!</v>
      </c>
      <c r="R243" t="e">
        <f>#REF!</f>
        <v>#REF!</v>
      </c>
      <c r="S243" t="e">
        <f>#REF!</f>
        <v>#REF!</v>
      </c>
      <c r="T243" t="e">
        <f>#REF!</f>
        <v>#REF!</v>
      </c>
      <c r="U243" t="e">
        <f>#REF!</f>
        <v>#REF!</v>
      </c>
      <c r="V243" t="e">
        <f>#REF!</f>
        <v>#REF!</v>
      </c>
      <c r="W243" t="e">
        <f>#REF!</f>
        <v>#REF!</v>
      </c>
      <c r="X243" t="e">
        <f>#REF!</f>
        <v>#REF!</v>
      </c>
      <c r="Y243" t="e">
        <f>#REF!</f>
        <v>#REF!</v>
      </c>
      <c r="Z243" t="e">
        <f>#REF!</f>
        <v>#REF!</v>
      </c>
    </row>
    <row r="244" spans="1:29" x14ac:dyDescent="0.25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  <c r="G244" t="e">
        <f>#REF!</f>
        <v>#REF!</v>
      </c>
      <c r="H244" t="e">
        <f>#REF!</f>
        <v>#REF!</v>
      </c>
      <c r="I244" t="e">
        <f>#REF!</f>
        <v>#REF!</v>
      </c>
      <c r="J244" t="e">
        <f>#REF!</f>
        <v>#REF!</v>
      </c>
      <c r="K244" t="e">
        <f>#REF!</f>
        <v>#REF!</v>
      </c>
      <c r="L244" t="e">
        <f>#REF!</f>
        <v>#REF!</v>
      </c>
      <c r="M244" t="e">
        <f>#REF!</f>
        <v>#REF!</v>
      </c>
      <c r="N244" t="e">
        <f>#REF!</f>
        <v>#REF!</v>
      </c>
      <c r="O244" t="e">
        <f>#REF!</f>
        <v>#REF!</v>
      </c>
      <c r="P244" t="e">
        <f>#REF!</f>
        <v>#REF!</v>
      </c>
      <c r="Q244" t="e">
        <f>#REF!</f>
        <v>#REF!</v>
      </c>
      <c r="R244" t="e">
        <f>#REF!</f>
        <v>#REF!</v>
      </c>
      <c r="S244" t="e">
        <f>#REF!</f>
        <v>#REF!</v>
      </c>
      <c r="T244" t="e">
        <f>#REF!</f>
        <v>#REF!</v>
      </c>
      <c r="U244" t="e">
        <f>#REF!</f>
        <v>#REF!</v>
      </c>
      <c r="V244" t="e">
        <f>#REF!</f>
        <v>#REF!</v>
      </c>
      <c r="W244" t="e">
        <f>#REF!</f>
        <v>#REF!</v>
      </c>
      <c r="X244" t="e">
        <f>#REF!</f>
        <v>#REF!</v>
      </c>
      <c r="Y244" t="e">
        <f>#REF!</f>
        <v>#REF!</v>
      </c>
      <c r="Z244" t="e">
        <f>#REF!</f>
        <v>#REF!</v>
      </c>
    </row>
    <row r="245" spans="1:29" x14ac:dyDescent="0.25">
      <c r="A245" t="str">
        <f>madun2!A4</f>
        <v>MADUN2</v>
      </c>
      <c r="B245" t="str">
        <f>madun2!B4</f>
        <v>WZR</v>
      </c>
      <c r="C245" t="str">
        <f>madun2!C4</f>
        <v>WZR CN Equity</v>
      </c>
      <c r="D245" t="e">
        <f ca="1">madun2!D4</f>
        <v>#NAME?</v>
      </c>
      <c r="E245">
        <f>madun2!E4</f>
        <v>210500</v>
      </c>
      <c r="F245" t="e">
        <f ca="1">madun2!F4</f>
        <v>#NAME?</v>
      </c>
      <c r="G245" t="e">
        <f ca="1">madun2!G4</f>
        <v>#NAME?</v>
      </c>
      <c r="H245" t="e">
        <f ca="1">madun2!K4</f>
        <v>#NAME?</v>
      </c>
      <c r="I245" t="e">
        <f ca="1">madun2!L4</f>
        <v>#NAME?</v>
      </c>
      <c r="J245" t="e">
        <f ca="1">madun2!M4</f>
        <v>#NAME?</v>
      </c>
      <c r="K245" t="e">
        <f ca="1">madun2!N4</f>
        <v>#NAME?</v>
      </c>
      <c r="L245" t="e">
        <f ca="1">madun2!O4</f>
        <v>#NAME?</v>
      </c>
      <c r="M245" t="e">
        <f ca="1">madun2!P4</f>
        <v>#NAME?</v>
      </c>
      <c r="N245" t="e">
        <f ca="1">madun2!Q4</f>
        <v>#NAME?</v>
      </c>
      <c r="O245" t="e">
        <f ca="1">madun2!R4</f>
        <v>#NAME?</v>
      </c>
      <c r="P245" t="e">
        <f ca="1">madun2!S4</f>
        <v>#NAME?</v>
      </c>
      <c r="Q245" t="e">
        <f ca="1">madun2!T4</f>
        <v>#NAME?</v>
      </c>
      <c r="R245" t="e">
        <f>madun2!#REF!</f>
        <v>#REF!</v>
      </c>
      <c r="S245" t="e">
        <f ca="1">madun2!U4</f>
        <v>#NAME?</v>
      </c>
      <c r="T245" t="e">
        <f ca="1">madun2!V4</f>
        <v>#NAME?</v>
      </c>
      <c r="U245" t="e">
        <f>madun2!#REF!</f>
        <v>#REF!</v>
      </c>
      <c r="V245" t="e">
        <f>madun2!#REF!</f>
        <v>#REF!</v>
      </c>
      <c r="W245" t="e">
        <f>madun2!#REF!</f>
        <v>#REF!</v>
      </c>
      <c r="X245" t="e">
        <f>madun2!#REF!</f>
        <v>#REF!</v>
      </c>
      <c r="Y245" t="e">
        <f ca="1">madun2!W4</f>
        <v>#NAME?</v>
      </c>
      <c r="Z245" t="e">
        <f ca="1">madun2!X4</f>
        <v>#NAME?</v>
      </c>
      <c r="AA245" t="e">
        <f>madun2!#REF!</f>
        <v>#REF!</v>
      </c>
      <c r="AB245" t="e">
        <f>madun2!#REF!</f>
        <v>#REF!</v>
      </c>
      <c r="AC245" t="e">
        <f>madun2!#REF!</f>
        <v>#REF!</v>
      </c>
    </row>
    <row r="246" spans="1:29" x14ac:dyDescent="0.25">
      <c r="A246" t="str">
        <f>madun2!A5</f>
        <v>MADUN2</v>
      </c>
      <c r="B246" t="str">
        <f>madun2!B5</f>
        <v>Bashneft pref</v>
      </c>
      <c r="C246" t="str">
        <f>madun2!C5</f>
        <v>BANEP RX Equity</v>
      </c>
      <c r="D246" t="e">
        <f ca="1">madun2!D5</f>
        <v>#NAME?</v>
      </c>
      <c r="E246">
        <f>madun2!E5</f>
        <v>5600</v>
      </c>
      <c r="F246" t="e">
        <f ca="1">madun2!F5</f>
        <v>#NAME?</v>
      </c>
      <c r="G246" t="e">
        <f ca="1">madun2!G5</f>
        <v>#NAME?</v>
      </c>
      <c r="H246" t="e">
        <f ca="1">madun2!K5</f>
        <v>#NAME?</v>
      </c>
      <c r="I246" t="e">
        <f ca="1">madun2!L5</f>
        <v>#NAME?</v>
      </c>
      <c r="J246" t="e">
        <f ca="1">madun2!M5</f>
        <v>#NAME?</v>
      </c>
      <c r="K246" t="e">
        <f ca="1">madun2!N5</f>
        <v>#NAME?</v>
      </c>
      <c r="L246" t="e">
        <f ca="1">madun2!O5</f>
        <v>#NAME?</v>
      </c>
      <c r="M246" t="e">
        <f ca="1">madun2!P5</f>
        <v>#NAME?</v>
      </c>
      <c r="N246" t="e">
        <f ca="1">madun2!Q5</f>
        <v>#NAME?</v>
      </c>
      <c r="O246" t="e">
        <f ca="1">madun2!R5</f>
        <v>#NAME?</v>
      </c>
      <c r="P246" t="e">
        <f ca="1">madun2!S5</f>
        <v>#NAME?</v>
      </c>
      <c r="Q246" t="e">
        <f ca="1">madun2!T5</f>
        <v>#NAME?</v>
      </c>
      <c r="R246" t="e">
        <f>madun2!#REF!</f>
        <v>#REF!</v>
      </c>
      <c r="S246" t="e">
        <f ca="1">madun2!U5</f>
        <v>#NAME?</v>
      </c>
      <c r="T246" t="e">
        <f ca="1">madun2!V5</f>
        <v>#NAME?</v>
      </c>
      <c r="U246" t="e">
        <f>madun2!#REF!</f>
        <v>#REF!</v>
      </c>
      <c r="V246" t="e">
        <f>madun2!#REF!</f>
        <v>#REF!</v>
      </c>
      <c r="W246" t="e">
        <f>madun2!#REF!</f>
        <v>#REF!</v>
      </c>
      <c r="X246" t="e">
        <f>madun2!#REF!</f>
        <v>#REF!</v>
      </c>
      <c r="Y246" t="e">
        <f ca="1">madun2!W5</f>
        <v>#NAME?</v>
      </c>
      <c r="Z246" t="e">
        <f ca="1">madun2!X5</f>
        <v>#NAME?</v>
      </c>
      <c r="AA246" t="e">
        <f>madun2!#REF!</f>
        <v>#REF!</v>
      </c>
      <c r="AB246" t="e">
        <f>madun2!#REF!</f>
        <v>#REF!</v>
      </c>
      <c r="AC246" t="e">
        <f>madun2!#REF!</f>
        <v>#REF!</v>
      </c>
    </row>
    <row r="247" spans="1:29" x14ac:dyDescent="0.25">
      <c r="A247" t="str">
        <f>madun2!A6</f>
        <v>MADUN2</v>
      </c>
      <c r="B247" t="str">
        <f>madun2!B6</f>
        <v>Kazmunaigaz</v>
      </c>
      <c r="C247" t="str">
        <f>madun2!C6</f>
        <v>KMG LI Equity</v>
      </c>
      <c r="D247" t="e">
        <f ca="1">madun2!D6</f>
        <v>#NAME?</v>
      </c>
      <c r="E247">
        <f>madun2!E6</f>
        <v>12000</v>
      </c>
      <c r="F247">
        <f>madun2!F6</f>
        <v>10.4175</v>
      </c>
      <c r="G247" t="e">
        <f ca="1">madun2!G6</f>
        <v>#NAME?</v>
      </c>
      <c r="H247" t="e">
        <f ca="1">madun2!K6</f>
        <v>#NAME?</v>
      </c>
      <c r="I247" t="e">
        <f ca="1">madun2!L6</f>
        <v>#NAME?</v>
      </c>
      <c r="J247" t="e">
        <f ca="1">madun2!M6</f>
        <v>#NAME?</v>
      </c>
      <c r="K247" t="e">
        <f ca="1">madun2!N6</f>
        <v>#NAME?</v>
      </c>
      <c r="L247">
        <f>madun2!O6</f>
        <v>125010</v>
      </c>
      <c r="M247" t="e">
        <f ca="1">madun2!P6</f>
        <v>#NAME?</v>
      </c>
      <c r="N247" t="e">
        <f ca="1">madun2!Q6</f>
        <v>#NAME?</v>
      </c>
      <c r="O247" t="e">
        <f ca="1">madun2!R6</f>
        <v>#NAME?</v>
      </c>
      <c r="P247" t="e">
        <f ca="1">madun2!S6</f>
        <v>#NAME?</v>
      </c>
      <c r="Q247" t="e">
        <f ca="1">madun2!T6</f>
        <v>#NAME?</v>
      </c>
      <c r="R247" t="e">
        <f>madun2!#REF!</f>
        <v>#REF!</v>
      </c>
      <c r="S247" t="e">
        <f ca="1">madun2!U6</f>
        <v>#NAME?</v>
      </c>
      <c r="T247" t="e">
        <f ca="1">madun2!V6</f>
        <v>#NAME?</v>
      </c>
      <c r="U247" t="e">
        <f>madun2!#REF!</f>
        <v>#REF!</v>
      </c>
      <c r="V247" t="e">
        <f>madun2!#REF!</f>
        <v>#REF!</v>
      </c>
      <c r="W247" t="e">
        <f>madun2!#REF!</f>
        <v>#REF!</v>
      </c>
      <c r="X247" t="e">
        <f>madun2!#REF!</f>
        <v>#REF!</v>
      </c>
      <c r="Y247" t="e">
        <f ca="1">madun2!W6</f>
        <v>#NAME?</v>
      </c>
      <c r="Z247" t="e">
        <f ca="1">madun2!X6</f>
        <v>#NAME?</v>
      </c>
      <c r="AA247" t="e">
        <f>madun2!#REF!</f>
        <v>#REF!</v>
      </c>
      <c r="AB247" t="e">
        <f>madun2!#REF!</f>
        <v>#REF!</v>
      </c>
      <c r="AC247" t="e">
        <f>madun2!#REF!</f>
        <v>#REF!</v>
      </c>
    </row>
    <row r="248" spans="1:29" x14ac:dyDescent="0.25">
      <c r="A248" t="str">
        <f>madun2!A7</f>
        <v>MADUN2</v>
      </c>
      <c r="B248" t="str">
        <f>madun2!B7</f>
        <v>Vimpelcom</v>
      </c>
      <c r="C248" t="str">
        <f>madun2!C7</f>
        <v>VIP US Equity</v>
      </c>
      <c r="D248" t="e">
        <f ca="1">madun2!D7</f>
        <v>#NAME?</v>
      </c>
      <c r="E248">
        <f>madun2!E7</f>
        <v>60000</v>
      </c>
      <c r="F248" t="e">
        <f ca="1">madun2!F7</f>
        <v>#NAME?</v>
      </c>
      <c r="G248" t="e">
        <f ca="1">madun2!G7</f>
        <v>#NAME?</v>
      </c>
      <c r="H248" t="e">
        <f ca="1">madun2!K7</f>
        <v>#NAME?</v>
      </c>
      <c r="I248" t="e">
        <f ca="1">madun2!L7</f>
        <v>#NAME?</v>
      </c>
      <c r="J248" t="e">
        <f ca="1">madun2!M7</f>
        <v>#NAME?</v>
      </c>
      <c r="K248" t="e">
        <f ca="1">madun2!N7</f>
        <v>#NAME?</v>
      </c>
      <c r="L248" t="e">
        <f ca="1">madun2!O7</f>
        <v>#NAME?</v>
      </c>
      <c r="M248" t="e">
        <f ca="1">madun2!P7</f>
        <v>#NAME?</v>
      </c>
      <c r="N248" t="e">
        <f ca="1">madun2!Q7</f>
        <v>#NAME?</v>
      </c>
      <c r="O248" t="e">
        <f ca="1">madun2!R7</f>
        <v>#NAME?</v>
      </c>
      <c r="P248" t="e">
        <f ca="1">madun2!S7</f>
        <v>#NAME?</v>
      </c>
      <c r="Q248" t="e">
        <f ca="1">madun2!T7</f>
        <v>#NAME?</v>
      </c>
      <c r="R248" t="e">
        <f>madun2!#REF!</f>
        <v>#REF!</v>
      </c>
      <c r="S248" t="e">
        <f ca="1">madun2!U7</f>
        <v>#NAME?</v>
      </c>
      <c r="T248" t="e">
        <f ca="1">madun2!V7</f>
        <v>#NAME?</v>
      </c>
      <c r="U248" t="e">
        <f>madun2!#REF!</f>
        <v>#REF!</v>
      </c>
      <c r="V248" t="e">
        <f>madun2!#REF!</f>
        <v>#REF!</v>
      </c>
      <c r="W248" t="e">
        <f>madun2!#REF!</f>
        <v>#REF!</v>
      </c>
      <c r="X248" t="e">
        <f>madun2!#REF!</f>
        <v>#REF!</v>
      </c>
      <c r="Y248" t="e">
        <f ca="1">madun2!W7</f>
        <v>#NAME?</v>
      </c>
      <c r="Z248" t="e">
        <f ca="1">madun2!X7</f>
        <v>#NAME?</v>
      </c>
      <c r="AA248" t="e">
        <f>madun2!#REF!</f>
        <v>#REF!</v>
      </c>
      <c r="AB248" t="e">
        <f>madun2!#REF!</f>
        <v>#REF!</v>
      </c>
      <c r="AC248" t="e">
        <f>madun2!#REF!</f>
        <v>#REF!</v>
      </c>
    </row>
    <row r="249" spans="1:29" x14ac:dyDescent="0.25">
      <c r="A249" t="str">
        <f>madun2!A8</f>
        <v>MADUN2</v>
      </c>
      <c r="B249" t="str">
        <f>madun2!B8</f>
        <v>Qiwi</v>
      </c>
      <c r="C249" t="str">
        <f>madun2!C8</f>
        <v>QIWI US Equity</v>
      </c>
      <c r="D249" t="e">
        <f ca="1">madun2!D8</f>
        <v>#NAME?</v>
      </c>
      <c r="E249">
        <f>madun2!E8</f>
        <v>3157</v>
      </c>
      <c r="F249">
        <f>madun2!F8</f>
        <v>20.018788153310101</v>
      </c>
      <c r="G249" t="e">
        <f ca="1">madun2!G8</f>
        <v>#NAME?</v>
      </c>
      <c r="H249" t="e">
        <f ca="1">madun2!K8</f>
        <v>#NAME?</v>
      </c>
      <c r="I249" t="e">
        <f ca="1">madun2!L8</f>
        <v>#NAME?</v>
      </c>
      <c r="J249" t="e">
        <f ca="1">madun2!M8</f>
        <v>#NAME?</v>
      </c>
      <c r="K249" t="e">
        <f ca="1">madun2!N8</f>
        <v>#NAME?</v>
      </c>
      <c r="L249">
        <f>madun2!O8</f>
        <v>63199.314199999993</v>
      </c>
      <c r="M249" t="e">
        <f ca="1">madun2!P8</f>
        <v>#NAME?</v>
      </c>
      <c r="N249" t="e">
        <f ca="1">madun2!Q8</f>
        <v>#NAME?</v>
      </c>
      <c r="O249" t="e">
        <f ca="1">madun2!R8</f>
        <v>#NAME?</v>
      </c>
      <c r="P249" t="e">
        <f ca="1">madun2!S8</f>
        <v>#NAME?</v>
      </c>
      <c r="Q249" t="e">
        <f ca="1">madun2!T8</f>
        <v>#NAME?</v>
      </c>
      <c r="R249" t="e">
        <f>madun2!#REF!</f>
        <v>#REF!</v>
      </c>
      <c r="S249" t="e">
        <f ca="1">madun2!U8</f>
        <v>#NAME?</v>
      </c>
      <c r="T249" t="e">
        <f ca="1">madun2!V8</f>
        <v>#NAME?</v>
      </c>
      <c r="U249" t="e">
        <f>madun2!#REF!</f>
        <v>#REF!</v>
      </c>
      <c r="V249" t="e">
        <f>madun2!#REF!</f>
        <v>#REF!</v>
      </c>
      <c r="W249" t="e">
        <f>madun2!#REF!</f>
        <v>#REF!</v>
      </c>
      <c r="X249" t="e">
        <f>madun2!#REF!</f>
        <v>#REF!</v>
      </c>
      <c r="Y249" t="e">
        <f ca="1">madun2!W8</f>
        <v>#NAME?</v>
      </c>
      <c r="Z249" t="e">
        <f ca="1">madun2!X8</f>
        <v>#NAME?</v>
      </c>
      <c r="AA249" t="e">
        <f>madun2!#REF!</f>
        <v>#REF!</v>
      </c>
      <c r="AB249" t="e">
        <f>madun2!#REF!</f>
        <v>#REF!</v>
      </c>
      <c r="AC249" t="e">
        <f>madun2!#REF!</f>
        <v>#REF!</v>
      </c>
    </row>
    <row r="250" spans="1:29" x14ac:dyDescent="0.25">
      <c r="A250" t="str">
        <f>madun2!A9</f>
        <v>MADUN2</v>
      </c>
      <c r="B250" t="str">
        <f>madun2!B9</f>
        <v>Polymetal</v>
      </c>
      <c r="C250" t="str">
        <f>madun2!C9</f>
        <v>POLY LN Equity</v>
      </c>
      <c r="D250" t="e">
        <f ca="1">madun2!D9</f>
        <v>#NAME?</v>
      </c>
      <c r="E250">
        <f>madun2!E9</f>
        <v>25240</v>
      </c>
      <c r="F250">
        <f>madun2!F9</f>
        <v>4.7320000000000002</v>
      </c>
      <c r="G250" t="e">
        <f ca="1">madun2!G9</f>
        <v>#NAME?</v>
      </c>
      <c r="H250" t="e">
        <f ca="1">madun2!K9</f>
        <v>#NAME?</v>
      </c>
      <c r="I250" t="e">
        <f ca="1">madun2!L9</f>
        <v>#NAME?</v>
      </c>
      <c r="J250" t="e">
        <f ca="1">madun2!M9</f>
        <v>#NAME?</v>
      </c>
      <c r="K250" t="e">
        <f ca="1">madun2!N9</f>
        <v>#NAME?</v>
      </c>
      <c r="L250" t="e">
        <f ca="1">madun2!O9</f>
        <v>#NAME?</v>
      </c>
      <c r="M250" t="e">
        <f ca="1">madun2!P9</f>
        <v>#NAME?</v>
      </c>
      <c r="N250" t="e">
        <f ca="1">madun2!Q9</f>
        <v>#NAME?</v>
      </c>
      <c r="O250" t="e">
        <f ca="1">madun2!R9</f>
        <v>#NAME?</v>
      </c>
      <c r="P250" t="e">
        <f ca="1">madun2!S9</f>
        <v>#NAME?</v>
      </c>
      <c r="Q250" t="e">
        <f ca="1">madun2!T9</f>
        <v>#NAME?</v>
      </c>
      <c r="R250" t="e">
        <f>madun2!#REF!</f>
        <v>#REF!</v>
      </c>
      <c r="S250" t="e">
        <f ca="1">madun2!U9</f>
        <v>#NAME?</v>
      </c>
      <c r="T250" t="e">
        <f ca="1">madun2!V9</f>
        <v>#NAME?</v>
      </c>
      <c r="U250" t="e">
        <f>madun2!#REF!</f>
        <v>#REF!</v>
      </c>
      <c r="V250" t="e">
        <f>madun2!#REF!</f>
        <v>#REF!</v>
      </c>
      <c r="W250" t="e">
        <f>madun2!#REF!</f>
        <v>#REF!</v>
      </c>
      <c r="X250" t="e">
        <f>madun2!#REF!</f>
        <v>#REF!</v>
      </c>
      <c r="Y250" t="e">
        <f ca="1">madun2!W9</f>
        <v>#NAME?</v>
      </c>
      <c r="Z250" t="e">
        <f ca="1">madun2!X9</f>
        <v>#NAME?</v>
      </c>
      <c r="AA250" t="e">
        <f>madun2!#REF!</f>
        <v>#REF!</v>
      </c>
      <c r="AB250" t="e">
        <f>madun2!#REF!</f>
        <v>#REF!</v>
      </c>
      <c r="AC250" t="e">
        <f>madun2!#REF!</f>
        <v>#REF!</v>
      </c>
    </row>
    <row r="251" spans="1:29" x14ac:dyDescent="0.25">
      <c r="A251" t="str">
        <f>madun2!A10</f>
        <v>MADUN2</v>
      </c>
      <c r="B251" t="str">
        <f>madun2!B10</f>
        <v>Megafon</v>
      </c>
      <c r="C251" t="str">
        <f>madun2!C10</f>
        <v>MFON RX Equity</v>
      </c>
      <c r="D251" t="e">
        <f ca="1">madun2!D10</f>
        <v>#NAME?</v>
      </c>
      <c r="E251">
        <f>madun2!E10</f>
        <v>10500</v>
      </c>
      <c r="F251">
        <f>madun2!F10</f>
        <v>742.17619795238102</v>
      </c>
      <c r="G251" t="e">
        <f ca="1">madun2!G10</f>
        <v>#NAME?</v>
      </c>
      <c r="H251" t="e">
        <f ca="1">madun2!K10</f>
        <v>#NAME?</v>
      </c>
      <c r="I251" t="e">
        <f ca="1">madun2!L10</f>
        <v>#NAME?</v>
      </c>
      <c r="J251" t="e">
        <f ca="1">madun2!M10</f>
        <v>#NAME?</v>
      </c>
      <c r="K251">
        <f>madun2!N10</f>
        <v>7792850.0785000008</v>
      </c>
      <c r="L251" t="e">
        <f ca="1">madun2!O10</f>
        <v>#NAME?</v>
      </c>
      <c r="M251" t="e">
        <f ca="1">madun2!P10</f>
        <v>#NAME?</v>
      </c>
      <c r="N251" t="e">
        <f ca="1">madun2!Q10</f>
        <v>#NAME?</v>
      </c>
      <c r="O251" t="e">
        <f ca="1">madun2!R10</f>
        <v>#NAME?</v>
      </c>
      <c r="P251" t="e">
        <f ca="1">madun2!S10</f>
        <v>#NAME?</v>
      </c>
      <c r="Q251" t="e">
        <f ca="1">madun2!T10</f>
        <v>#NAME?</v>
      </c>
      <c r="R251" t="e">
        <f>madun2!#REF!</f>
        <v>#REF!</v>
      </c>
      <c r="S251" t="e">
        <f ca="1">madun2!U10</f>
        <v>#NAME?</v>
      </c>
      <c r="T251" t="e">
        <f ca="1">madun2!V10</f>
        <v>#NAME?</v>
      </c>
      <c r="U251" t="e">
        <f>madun2!#REF!</f>
        <v>#REF!</v>
      </c>
      <c r="V251" t="e">
        <f>madun2!#REF!</f>
        <v>#REF!</v>
      </c>
      <c r="W251" t="e">
        <f>madun2!#REF!</f>
        <v>#REF!</v>
      </c>
      <c r="X251" t="e">
        <f>madun2!#REF!</f>
        <v>#REF!</v>
      </c>
      <c r="Y251" t="e">
        <f ca="1">madun2!W10</f>
        <v>#NAME?</v>
      </c>
      <c r="Z251" t="e">
        <f ca="1">madun2!X10</f>
        <v>#NAME?</v>
      </c>
      <c r="AA251" t="e">
        <f>madun2!#REF!</f>
        <v>#REF!</v>
      </c>
      <c r="AB251" t="e">
        <f>madun2!#REF!</f>
        <v>#REF!</v>
      </c>
      <c r="AC251" t="e">
        <f>madun2!#REF!</f>
        <v>#REF!</v>
      </c>
    </row>
    <row r="252" spans="1:29" x14ac:dyDescent="0.25">
      <c r="A252" t="str">
        <f>madun2!A11</f>
        <v>MADUN2</v>
      </c>
      <c r="B252" t="str">
        <f>madun2!B11</f>
        <v>Yandex</v>
      </c>
      <c r="C252" t="str">
        <f>madun2!C11</f>
        <v>YNDX US Equity</v>
      </c>
      <c r="D252" t="e">
        <f ca="1">madun2!D11</f>
        <v>#NAME?</v>
      </c>
      <c r="E252">
        <f>madun2!E11</f>
        <v>12090</v>
      </c>
      <c r="F252">
        <f>madun2!F11</f>
        <v>18.096</v>
      </c>
      <c r="G252" t="e">
        <f ca="1">madun2!G11</f>
        <v>#NAME?</v>
      </c>
      <c r="H252" t="e">
        <f ca="1">madun2!K11</f>
        <v>#NAME?</v>
      </c>
      <c r="I252" t="e">
        <f ca="1">madun2!L11</f>
        <v>#NAME?</v>
      </c>
      <c r="J252" t="e">
        <f ca="1">madun2!M11</f>
        <v>#NAME?</v>
      </c>
      <c r="K252" t="e">
        <f ca="1">madun2!N11</f>
        <v>#NAME?</v>
      </c>
      <c r="L252">
        <f>madun2!O11</f>
        <v>218780.64</v>
      </c>
      <c r="M252" t="e">
        <f ca="1">madun2!P11</f>
        <v>#NAME?</v>
      </c>
      <c r="N252" t="e">
        <f ca="1">madun2!Q11</f>
        <v>#NAME?</v>
      </c>
      <c r="O252" t="e">
        <f ca="1">madun2!R11</f>
        <v>#NAME?</v>
      </c>
      <c r="P252" t="e">
        <f ca="1">madun2!S11</f>
        <v>#NAME?</v>
      </c>
      <c r="Q252" t="e">
        <f ca="1">madun2!T11</f>
        <v>#NAME?</v>
      </c>
      <c r="R252" t="e">
        <f>madun2!#REF!</f>
        <v>#REF!</v>
      </c>
      <c r="S252" t="e">
        <f ca="1">madun2!U11</f>
        <v>#NAME?</v>
      </c>
      <c r="T252" t="e">
        <f ca="1">madun2!V11</f>
        <v>#NAME?</v>
      </c>
      <c r="U252" t="e">
        <f>madun2!#REF!</f>
        <v>#REF!</v>
      </c>
      <c r="V252" t="e">
        <f>madun2!#REF!</f>
        <v>#REF!</v>
      </c>
      <c r="W252" t="e">
        <f>madun2!#REF!</f>
        <v>#REF!</v>
      </c>
      <c r="X252" t="e">
        <f>madun2!#REF!</f>
        <v>#REF!</v>
      </c>
      <c r="Y252" t="e">
        <f ca="1">madun2!W11</f>
        <v>#NAME?</v>
      </c>
      <c r="Z252" t="e">
        <f ca="1">madun2!X11</f>
        <v>#NAME?</v>
      </c>
      <c r="AA252" t="e">
        <f>madun2!#REF!</f>
        <v>#REF!</v>
      </c>
      <c r="AB252" t="e">
        <f>madun2!#REF!</f>
        <v>#REF!</v>
      </c>
      <c r="AC252" t="e">
        <f>madun2!#REF!</f>
        <v>#REF!</v>
      </c>
    </row>
    <row r="253" spans="1:29" x14ac:dyDescent="0.25">
      <c r="A253" t="str">
        <f>madun2!A12</f>
        <v>MADUN2</v>
      </c>
      <c r="B253" t="str">
        <f>madun2!B12</f>
        <v>Mvideo</v>
      </c>
      <c r="C253" t="str">
        <f>madun2!C12</f>
        <v>MVID RX Equity</v>
      </c>
      <c r="D253" t="e">
        <f ca="1">madun2!D12</f>
        <v>#NAME?</v>
      </c>
      <c r="E253">
        <f>madun2!E12</f>
        <v>36000</v>
      </c>
      <c r="F253" t="e">
        <f ca="1">madun2!F12</f>
        <v>#NAME?</v>
      </c>
      <c r="G253" t="e">
        <f ca="1">madun2!G12</f>
        <v>#NAME?</v>
      </c>
      <c r="H253" t="e">
        <f ca="1">madun2!K12</f>
        <v>#NAME?</v>
      </c>
      <c r="I253" t="e">
        <f ca="1">madun2!L12</f>
        <v>#NAME?</v>
      </c>
      <c r="J253" t="e">
        <f ca="1">madun2!M12</f>
        <v>#NAME?</v>
      </c>
      <c r="K253" t="e">
        <f ca="1">madun2!N12</f>
        <v>#NAME?</v>
      </c>
      <c r="L253" t="e">
        <f ca="1">madun2!O12</f>
        <v>#NAME?</v>
      </c>
      <c r="M253" t="e">
        <f ca="1">madun2!P12</f>
        <v>#NAME?</v>
      </c>
      <c r="N253" t="e">
        <f ca="1">madun2!Q12</f>
        <v>#NAME?</v>
      </c>
      <c r="O253" t="e">
        <f ca="1">madun2!R12</f>
        <v>#NAME?</v>
      </c>
      <c r="P253" t="e">
        <f ca="1">madun2!S12</f>
        <v>#NAME?</v>
      </c>
      <c r="Q253" t="e">
        <f ca="1">madun2!T12</f>
        <v>#NAME?</v>
      </c>
      <c r="R253" t="e">
        <f>madun2!#REF!</f>
        <v>#REF!</v>
      </c>
      <c r="S253" t="e">
        <f ca="1">madun2!U12</f>
        <v>#NAME?</v>
      </c>
      <c r="T253" t="e">
        <f ca="1">madun2!V12</f>
        <v>#NAME?</v>
      </c>
      <c r="U253" t="e">
        <f>madun2!#REF!</f>
        <v>#REF!</v>
      </c>
      <c r="V253" t="e">
        <f>madun2!#REF!</f>
        <v>#REF!</v>
      </c>
      <c r="W253" t="e">
        <f>madun2!#REF!</f>
        <v>#REF!</v>
      </c>
      <c r="X253" t="e">
        <f>madun2!#REF!</f>
        <v>#REF!</v>
      </c>
      <c r="Y253" t="e">
        <f ca="1">madun2!W12</f>
        <v>#NAME?</v>
      </c>
      <c r="Z253" t="e">
        <f ca="1">madun2!X12</f>
        <v>#NAME?</v>
      </c>
      <c r="AA253" t="e">
        <f>madun2!#REF!</f>
        <v>#REF!</v>
      </c>
      <c r="AB253" t="e">
        <f>madun2!#REF!</f>
        <v>#REF!</v>
      </c>
      <c r="AC253" t="e">
        <f>madun2!#REF!</f>
        <v>#REF!</v>
      </c>
    </row>
    <row r="254" spans="1:29" x14ac:dyDescent="0.25">
      <c r="A254" t="str">
        <f>madun2!A13</f>
        <v>MADUN2</v>
      </c>
      <c r="B254" t="str">
        <f>madun2!B13</f>
        <v>High Gold Minimg</v>
      </c>
      <c r="C254" t="str">
        <f>madun2!C13</f>
        <v>HGM LN Equity</v>
      </c>
      <c r="D254" t="e">
        <f ca="1">madun2!D13</f>
        <v>#NAME?</v>
      </c>
      <c r="E254">
        <f>madun2!E13</f>
        <v>258653</v>
      </c>
      <c r="F254" t="e">
        <f ca="1">madun2!F13</f>
        <v>#NAME?</v>
      </c>
      <c r="G254" t="e">
        <f ca="1">madun2!G13</f>
        <v>#NAME?</v>
      </c>
      <c r="H254" t="e">
        <f ca="1">madun2!K13</f>
        <v>#NAME?</v>
      </c>
      <c r="I254" t="e">
        <f ca="1">madun2!L13</f>
        <v>#NAME?</v>
      </c>
      <c r="J254" t="e">
        <f ca="1">madun2!M13</f>
        <v>#NAME?</v>
      </c>
      <c r="K254" t="e">
        <f ca="1">madun2!N13</f>
        <v>#NAME?</v>
      </c>
      <c r="L254" t="e">
        <f ca="1">madun2!O13</f>
        <v>#NAME?</v>
      </c>
      <c r="M254" t="e">
        <f ca="1">madun2!P13</f>
        <v>#NAME?</v>
      </c>
      <c r="N254" t="e">
        <f ca="1">madun2!Q13</f>
        <v>#NAME?</v>
      </c>
      <c r="O254" t="e">
        <f ca="1">madun2!R13</f>
        <v>#NAME?</v>
      </c>
      <c r="P254" t="e">
        <f ca="1">madun2!S13</f>
        <v>#NAME?</v>
      </c>
      <c r="Q254" t="e">
        <f ca="1">madun2!T13</f>
        <v>#NAME?</v>
      </c>
      <c r="R254" t="e">
        <f>madun2!#REF!</f>
        <v>#REF!</v>
      </c>
      <c r="S254" t="e">
        <f ca="1">madun2!U13</f>
        <v>#NAME?</v>
      </c>
      <c r="T254" t="e">
        <f ca="1">madun2!V13</f>
        <v>#NAME?</v>
      </c>
      <c r="U254" t="e">
        <f>madun2!#REF!</f>
        <v>#REF!</v>
      </c>
      <c r="V254" t="e">
        <f>madun2!#REF!</f>
        <v>#REF!</v>
      </c>
      <c r="W254" t="e">
        <f>madun2!#REF!</f>
        <v>#REF!</v>
      </c>
      <c r="X254" t="e">
        <f>madun2!#REF!</f>
        <v>#REF!</v>
      </c>
      <c r="Y254" t="e">
        <f ca="1">madun2!W13</f>
        <v>#NAME?</v>
      </c>
      <c r="Z254" t="e">
        <f ca="1">madun2!X13</f>
        <v>#NAME?</v>
      </c>
      <c r="AA254" t="e">
        <f>madun2!#REF!</f>
        <v>#REF!</v>
      </c>
      <c r="AB254" t="e">
        <f>madun2!#REF!</f>
        <v>#REF!</v>
      </c>
      <c r="AC254" t="e">
        <f>madun2!#REF!</f>
        <v>#REF!</v>
      </c>
    </row>
    <row r="255" spans="1:29" x14ac:dyDescent="0.25">
      <c r="A255" t="str">
        <f>madun2!A14</f>
        <v>MADUN2</v>
      </c>
      <c r="B255" t="str">
        <f>madun2!B14</f>
        <v>TMK</v>
      </c>
      <c r="C255" t="str">
        <f>madun2!C14</f>
        <v>TRMK RX Equity</v>
      </c>
      <c r="D255" t="e">
        <f ca="1">madun2!D14</f>
        <v>#NAME?</v>
      </c>
      <c r="E255">
        <f>madun2!E14</f>
        <v>180000</v>
      </c>
      <c r="F255" t="e">
        <f ca="1">madun2!F14</f>
        <v>#NAME?</v>
      </c>
      <c r="G255" t="e">
        <f ca="1">madun2!G14</f>
        <v>#NAME?</v>
      </c>
      <c r="H255" t="e">
        <f ca="1">madun2!K14</f>
        <v>#NAME?</v>
      </c>
      <c r="I255" t="e">
        <f ca="1">madun2!L14</f>
        <v>#NAME?</v>
      </c>
      <c r="J255" t="e">
        <f ca="1">madun2!M14</f>
        <v>#NAME?</v>
      </c>
      <c r="K255" t="e">
        <f ca="1">madun2!N14</f>
        <v>#NAME?</v>
      </c>
      <c r="L255" t="e">
        <f ca="1">madun2!O14</f>
        <v>#NAME?</v>
      </c>
      <c r="M255" t="e">
        <f ca="1">madun2!P14</f>
        <v>#NAME?</v>
      </c>
      <c r="N255" t="e">
        <f ca="1">madun2!Q14</f>
        <v>#NAME?</v>
      </c>
      <c r="O255" t="e">
        <f ca="1">madun2!R14</f>
        <v>#NAME?</v>
      </c>
      <c r="P255" t="e">
        <f ca="1">madun2!S14</f>
        <v>#NAME?</v>
      </c>
      <c r="Q255" t="e">
        <f ca="1">madun2!T14</f>
        <v>#NAME?</v>
      </c>
      <c r="R255" t="e">
        <f>madun2!#REF!</f>
        <v>#REF!</v>
      </c>
      <c r="S255" t="e">
        <f ca="1">madun2!U14</f>
        <v>#NAME?</v>
      </c>
      <c r="T255" t="e">
        <f ca="1">madun2!V14</f>
        <v>#NAME?</v>
      </c>
      <c r="U255" t="e">
        <f>madun2!#REF!</f>
        <v>#REF!</v>
      </c>
      <c r="V255" t="e">
        <f>madun2!#REF!</f>
        <v>#REF!</v>
      </c>
      <c r="W255" t="e">
        <f>madun2!#REF!</f>
        <v>#REF!</v>
      </c>
      <c r="X255" t="e">
        <f>madun2!#REF!</f>
        <v>#REF!</v>
      </c>
      <c r="Y255" t="e">
        <f ca="1">madun2!W14</f>
        <v>#NAME?</v>
      </c>
      <c r="Z255" t="e">
        <f ca="1">madun2!X14</f>
        <v>#NAME?</v>
      </c>
      <c r="AA255" t="e">
        <f>madun2!#REF!</f>
        <v>#REF!</v>
      </c>
      <c r="AB255" t="e">
        <f>madun2!#REF!</f>
        <v>#REF!</v>
      </c>
      <c r="AC255" t="e">
        <f>madun2!#REF!</f>
        <v>#REF!</v>
      </c>
    </row>
    <row r="256" spans="1:29" x14ac:dyDescent="0.25">
      <c r="A256" t="str">
        <f>madun2!A15</f>
        <v>MADUN2</v>
      </c>
      <c r="B256" t="str">
        <f>madun2!B15</f>
        <v>Surgut preff</v>
      </c>
      <c r="C256" t="str">
        <f>madun2!C15</f>
        <v>SNGSP RX Equity</v>
      </c>
      <c r="D256" t="e">
        <f ca="1">madun2!D15</f>
        <v>#NAME?</v>
      </c>
      <c r="E256">
        <f>madun2!E15</f>
        <v>108000</v>
      </c>
      <c r="F256">
        <f>madun2!F15</f>
        <v>38.221191527777783</v>
      </c>
      <c r="G256" t="e">
        <f ca="1">madun2!G15</f>
        <v>#NAME?</v>
      </c>
      <c r="H256" t="e">
        <f ca="1">madun2!K15</f>
        <v>#NAME?</v>
      </c>
      <c r="I256" t="e">
        <f ca="1">madun2!L15</f>
        <v>#NAME?</v>
      </c>
      <c r="J256" t="e">
        <f ca="1">madun2!M15</f>
        <v>#NAME?</v>
      </c>
      <c r="K256">
        <f>madun2!N15</f>
        <v>4127888.6850000005</v>
      </c>
      <c r="L256" t="e">
        <f ca="1">madun2!O15</f>
        <v>#NAME?</v>
      </c>
      <c r="M256" t="e">
        <f ca="1">madun2!P15</f>
        <v>#NAME?</v>
      </c>
      <c r="N256" t="e">
        <f ca="1">madun2!Q15</f>
        <v>#NAME?</v>
      </c>
      <c r="O256" t="e">
        <f ca="1">madun2!R15</f>
        <v>#NAME?</v>
      </c>
      <c r="P256" t="e">
        <f ca="1">madun2!S15</f>
        <v>#NAME?</v>
      </c>
      <c r="Q256" t="e">
        <f ca="1">madun2!T15</f>
        <v>#NAME?</v>
      </c>
      <c r="R256" t="e">
        <f>madun2!#REF!</f>
        <v>#REF!</v>
      </c>
      <c r="S256" t="e">
        <f ca="1">madun2!U15</f>
        <v>#NAME?</v>
      </c>
      <c r="T256" t="e">
        <f ca="1">madun2!V15</f>
        <v>#NAME?</v>
      </c>
      <c r="U256" t="e">
        <f>madun2!#REF!</f>
        <v>#REF!</v>
      </c>
      <c r="V256" t="e">
        <f>madun2!#REF!</f>
        <v>#REF!</v>
      </c>
      <c r="W256" t="e">
        <f>madun2!#REF!</f>
        <v>#REF!</v>
      </c>
      <c r="X256" t="e">
        <f>madun2!#REF!</f>
        <v>#REF!</v>
      </c>
      <c r="Y256" t="e">
        <f ca="1">madun2!W15</f>
        <v>#NAME?</v>
      </c>
      <c r="Z256" t="e">
        <f ca="1">madun2!X15</f>
        <v>#NAME?</v>
      </c>
      <c r="AA256" t="e">
        <f>madun2!#REF!</f>
        <v>#REF!</v>
      </c>
      <c r="AB256" t="e">
        <f>madun2!#REF!</f>
        <v>#REF!</v>
      </c>
      <c r="AC256" t="e">
        <f>madun2!#REF!</f>
        <v>#REF!</v>
      </c>
    </row>
    <row r="257" spans="1:29" x14ac:dyDescent="0.25">
      <c r="A257" t="str">
        <f>madun2!A16</f>
        <v>MADUN2</v>
      </c>
      <c r="B257" t="str">
        <f>madun2!B16</f>
        <v>Kcel</v>
      </c>
      <c r="C257" t="str">
        <f>madun2!C16</f>
        <v>KCEL LI Equity</v>
      </c>
      <c r="D257" t="e">
        <f ca="1">madun2!D16</f>
        <v>#NAME?</v>
      </c>
      <c r="E257">
        <f>madun2!E16</f>
        <v>22800</v>
      </c>
      <c r="F257">
        <f>madun2!F16</f>
        <v>3.7494736842105265</v>
      </c>
      <c r="G257" t="e">
        <f ca="1">madun2!G16</f>
        <v>#NAME?</v>
      </c>
      <c r="H257" t="e">
        <f ca="1">madun2!K16</f>
        <v>#NAME?</v>
      </c>
      <c r="I257" t="e">
        <f ca="1">madun2!L16</f>
        <v>#NAME?</v>
      </c>
      <c r="J257" t="e">
        <f ca="1">madun2!M16</f>
        <v>#NAME?</v>
      </c>
      <c r="K257" t="e">
        <f ca="1">madun2!N16</f>
        <v>#NAME?</v>
      </c>
      <c r="L257">
        <f>madun2!O16</f>
        <v>85488</v>
      </c>
      <c r="M257" t="e">
        <f ca="1">madun2!P16</f>
        <v>#NAME?</v>
      </c>
      <c r="N257" t="e">
        <f ca="1">madun2!Q16</f>
        <v>#NAME?</v>
      </c>
      <c r="O257" t="e">
        <f ca="1">madun2!R16</f>
        <v>#NAME?</v>
      </c>
      <c r="P257" t="e">
        <f ca="1">madun2!S16</f>
        <v>#NAME?</v>
      </c>
      <c r="Q257" t="e">
        <f ca="1">madun2!T16</f>
        <v>#NAME?</v>
      </c>
      <c r="R257" t="e">
        <f>madun2!#REF!</f>
        <v>#REF!</v>
      </c>
      <c r="S257" t="e">
        <f ca="1">madun2!U16</f>
        <v>#NAME?</v>
      </c>
      <c r="T257" t="e">
        <f ca="1">madun2!V16</f>
        <v>#NAME?</v>
      </c>
      <c r="U257" t="e">
        <f>madun2!#REF!</f>
        <v>#REF!</v>
      </c>
      <c r="V257" t="e">
        <f>madun2!#REF!</f>
        <v>#REF!</v>
      </c>
      <c r="W257" t="e">
        <f>madun2!#REF!</f>
        <v>#REF!</v>
      </c>
      <c r="X257" t="e">
        <f>madun2!#REF!</f>
        <v>#REF!</v>
      </c>
      <c r="Y257" t="e">
        <f ca="1">madun2!W16</f>
        <v>#NAME?</v>
      </c>
      <c r="Z257" t="e">
        <f ca="1">madun2!X16</f>
        <v>#NAME?</v>
      </c>
      <c r="AA257" t="e">
        <f>madun2!#REF!</f>
        <v>#REF!</v>
      </c>
      <c r="AB257" t="e">
        <f>madun2!#REF!</f>
        <v>#REF!</v>
      </c>
      <c r="AC257" t="e">
        <f>madun2!#REF!</f>
        <v>#REF!</v>
      </c>
    </row>
    <row r="258" spans="1:29" x14ac:dyDescent="0.25">
      <c r="A258" t="str">
        <f>madun2!A17</f>
        <v>MADUN2</v>
      </c>
      <c r="B258" t="str">
        <f>madun2!B17</f>
        <v>Lukoil</v>
      </c>
      <c r="C258" t="str">
        <f>madun2!C17</f>
        <v>LKOH RX Equity</v>
      </c>
      <c r="D258" t="e">
        <f ca="1">madun2!D17</f>
        <v>#NAME?</v>
      </c>
      <c r="E258">
        <f>madun2!E17</f>
        <v>12550</v>
      </c>
      <c r="F258" t="e">
        <f ca="1">madun2!F17</f>
        <v>#NAME?</v>
      </c>
      <c r="G258" t="e">
        <f ca="1">madun2!G17</f>
        <v>#NAME?</v>
      </c>
      <c r="H258" t="e">
        <f ca="1">madun2!K17</f>
        <v>#NAME?</v>
      </c>
      <c r="I258" t="e">
        <f ca="1">madun2!L17</f>
        <v>#NAME?</v>
      </c>
      <c r="J258" t="e">
        <f ca="1">madun2!M17</f>
        <v>#NAME?</v>
      </c>
      <c r="K258" t="e">
        <f ca="1">madun2!N17</f>
        <v>#NAME?</v>
      </c>
      <c r="L258" t="e">
        <f ca="1">madun2!O17</f>
        <v>#NAME?</v>
      </c>
      <c r="M258" t="e">
        <f ca="1">madun2!P17</f>
        <v>#NAME?</v>
      </c>
      <c r="N258" t="e">
        <f ca="1">madun2!Q17</f>
        <v>#NAME?</v>
      </c>
      <c r="O258" t="e">
        <f ca="1">madun2!R17</f>
        <v>#NAME?</v>
      </c>
      <c r="P258" t="e">
        <f ca="1">madun2!S17</f>
        <v>#NAME?</v>
      </c>
      <c r="Q258" t="e">
        <f ca="1">madun2!T17</f>
        <v>#NAME?</v>
      </c>
      <c r="R258" t="e">
        <f>madun2!#REF!</f>
        <v>#REF!</v>
      </c>
      <c r="S258" t="e">
        <f ca="1">madun2!U17</f>
        <v>#NAME?</v>
      </c>
      <c r="T258" t="e">
        <f ca="1">madun2!V17</f>
        <v>#NAME?</v>
      </c>
      <c r="U258" t="e">
        <f>madun2!#REF!</f>
        <v>#REF!</v>
      </c>
      <c r="V258" t="e">
        <f>madun2!#REF!</f>
        <v>#REF!</v>
      </c>
      <c r="W258" t="e">
        <f>madun2!#REF!</f>
        <v>#REF!</v>
      </c>
      <c r="X258" t="e">
        <f>madun2!#REF!</f>
        <v>#REF!</v>
      </c>
      <c r="Y258" t="e">
        <f ca="1">madun2!W17</f>
        <v>#NAME?</v>
      </c>
      <c r="Z258" t="e">
        <f ca="1">madun2!X17</f>
        <v>#NAME?</v>
      </c>
      <c r="AA258" t="e">
        <f>madun2!#REF!</f>
        <v>#REF!</v>
      </c>
      <c r="AB258" t="e">
        <f>madun2!#REF!</f>
        <v>#REF!</v>
      </c>
      <c r="AC258" t="e">
        <f>madun2!#REF!</f>
        <v>#REF!</v>
      </c>
    </row>
    <row r="259" spans="1:29" x14ac:dyDescent="0.25">
      <c r="A259" t="str">
        <f>madun2!A18</f>
        <v>MADUN2</v>
      </c>
      <c r="B259" t="str">
        <f>madun2!B18</f>
        <v>Alrosa</v>
      </c>
      <c r="C259" t="str">
        <f>madun2!C18</f>
        <v>ALRS RX Equity</v>
      </c>
      <c r="D259" t="e">
        <f ca="1">madun2!D18</f>
        <v>#NAME?</v>
      </c>
      <c r="E259">
        <f>madun2!E18</f>
        <v>98400</v>
      </c>
      <c r="F259">
        <f>madun2!F18</f>
        <v>53.858066158536587</v>
      </c>
      <c r="G259" t="e">
        <f ca="1">madun2!G18</f>
        <v>#NAME?</v>
      </c>
      <c r="H259" t="e">
        <f ca="1">madun2!K18</f>
        <v>#NAME?</v>
      </c>
      <c r="I259" t="e">
        <f ca="1">madun2!L18</f>
        <v>#NAME?</v>
      </c>
      <c r="J259" t="e">
        <f ca="1">madun2!M18</f>
        <v>#NAME?</v>
      </c>
      <c r="K259">
        <f>madun2!N18</f>
        <v>5299633.71</v>
      </c>
      <c r="L259" t="e">
        <f ca="1">madun2!O18</f>
        <v>#NAME?</v>
      </c>
      <c r="M259" t="e">
        <f ca="1">madun2!P18</f>
        <v>#NAME?</v>
      </c>
      <c r="N259" t="e">
        <f ca="1">madun2!Q18</f>
        <v>#NAME?</v>
      </c>
      <c r="O259" t="e">
        <f ca="1">madun2!R18</f>
        <v>#NAME?</v>
      </c>
      <c r="P259" t="e">
        <f ca="1">madun2!S18</f>
        <v>#NAME?</v>
      </c>
      <c r="Q259" t="e">
        <f ca="1">madun2!T18</f>
        <v>#NAME?</v>
      </c>
      <c r="R259" t="e">
        <f>madun2!#REF!</f>
        <v>#REF!</v>
      </c>
      <c r="S259" t="e">
        <f ca="1">madun2!U18</f>
        <v>#NAME?</v>
      </c>
      <c r="T259" t="e">
        <f ca="1">madun2!V18</f>
        <v>#NAME?</v>
      </c>
      <c r="U259" t="e">
        <f>madun2!#REF!</f>
        <v>#REF!</v>
      </c>
      <c r="V259" t="e">
        <f>madun2!#REF!</f>
        <v>#REF!</v>
      </c>
      <c r="W259" t="e">
        <f>madun2!#REF!</f>
        <v>#REF!</v>
      </c>
      <c r="X259" t="e">
        <f>madun2!#REF!</f>
        <v>#REF!</v>
      </c>
      <c r="Y259" t="e">
        <f ca="1">madun2!W18</f>
        <v>#NAME?</v>
      </c>
      <c r="Z259" t="e">
        <f ca="1">madun2!X18</f>
        <v>#NAME?</v>
      </c>
      <c r="AA259" t="e">
        <f>madun2!#REF!</f>
        <v>#REF!</v>
      </c>
      <c r="AB259" t="e">
        <f>madun2!#REF!</f>
        <v>#REF!</v>
      </c>
      <c r="AC259" t="e">
        <f>madun2!#REF!</f>
        <v>#REF!</v>
      </c>
    </row>
    <row r="260" spans="1:29" x14ac:dyDescent="0.25">
      <c r="A260" t="str">
        <f>madun2!A19</f>
        <v>MADUN2</v>
      </c>
      <c r="B260" t="str">
        <f>madun2!B19</f>
        <v>Gazpromneft</v>
      </c>
      <c r="C260" t="str">
        <f>madun2!C19</f>
        <v>SIBN RX Equity</v>
      </c>
      <c r="D260" t="e">
        <f ca="1">madun2!D19</f>
        <v>#NAME?</v>
      </c>
      <c r="E260">
        <f>madun2!E19</f>
        <v>71110</v>
      </c>
      <c r="F260" t="e">
        <f ca="1">madun2!F19</f>
        <v>#NAME?</v>
      </c>
      <c r="G260" t="e">
        <f ca="1">madun2!G19</f>
        <v>#NAME?</v>
      </c>
      <c r="H260" t="e">
        <f ca="1">madun2!K19</f>
        <v>#NAME?</v>
      </c>
      <c r="I260" t="e">
        <f ca="1">madun2!L19</f>
        <v>#NAME?</v>
      </c>
      <c r="J260" t="e">
        <f ca="1">madun2!M19</f>
        <v>#NAME?</v>
      </c>
      <c r="K260" t="e">
        <f ca="1">madun2!N19</f>
        <v>#NAME?</v>
      </c>
      <c r="L260" t="e">
        <f ca="1">madun2!O19</f>
        <v>#NAME?</v>
      </c>
      <c r="M260" t="e">
        <f ca="1">madun2!P19</f>
        <v>#NAME?</v>
      </c>
      <c r="N260" t="e">
        <f ca="1">madun2!Q19</f>
        <v>#NAME?</v>
      </c>
      <c r="O260" t="e">
        <f ca="1">madun2!R19</f>
        <v>#NAME?</v>
      </c>
      <c r="P260" t="e">
        <f ca="1">madun2!S19</f>
        <v>#NAME?</v>
      </c>
      <c r="Q260" t="e">
        <f ca="1">madun2!T19</f>
        <v>#NAME?</v>
      </c>
      <c r="R260" t="e">
        <f>madun2!#REF!</f>
        <v>#REF!</v>
      </c>
      <c r="S260" t="e">
        <f ca="1">madun2!U19</f>
        <v>#NAME?</v>
      </c>
      <c r="T260" t="e">
        <f ca="1">madun2!V19</f>
        <v>#NAME?</v>
      </c>
      <c r="U260" t="e">
        <f>madun2!#REF!</f>
        <v>#REF!</v>
      </c>
      <c r="V260" t="e">
        <f>madun2!#REF!</f>
        <v>#REF!</v>
      </c>
      <c r="W260" t="e">
        <f>madun2!#REF!</f>
        <v>#REF!</v>
      </c>
      <c r="X260" t="e">
        <f>madun2!#REF!</f>
        <v>#REF!</v>
      </c>
      <c r="Y260" t="e">
        <f ca="1">madun2!W19</f>
        <v>#NAME?</v>
      </c>
      <c r="Z260" t="e">
        <f ca="1">madun2!X19</f>
        <v>#NAME?</v>
      </c>
      <c r="AA260" t="e">
        <f>madun2!#REF!</f>
        <v>#REF!</v>
      </c>
      <c r="AB260" t="e">
        <f>madun2!#REF!</f>
        <v>#REF!</v>
      </c>
      <c r="AC260" t="e">
        <f>madun2!#REF!</f>
        <v>#REF!</v>
      </c>
    </row>
    <row r="261" spans="1:29" x14ac:dyDescent="0.25">
      <c r="A261" t="e">
        <f>madun2!#REF!</f>
        <v>#REF!</v>
      </c>
      <c r="B261" t="e">
        <f>madun2!#REF!</f>
        <v>#REF!</v>
      </c>
      <c r="C261" t="e">
        <f>madun2!#REF!</f>
        <v>#REF!</v>
      </c>
      <c r="D261" t="e">
        <f>madun2!#REF!</f>
        <v>#REF!</v>
      </c>
      <c r="E261" t="e">
        <f>madun2!#REF!</f>
        <v>#REF!</v>
      </c>
      <c r="F261" t="e">
        <f>madun2!#REF!</f>
        <v>#REF!</v>
      </c>
      <c r="G261" t="e">
        <f>madun2!#REF!</f>
        <v>#REF!</v>
      </c>
      <c r="H261" t="e">
        <f>madun2!#REF!</f>
        <v>#REF!</v>
      </c>
      <c r="I261" t="e">
        <f>madun2!#REF!</f>
        <v>#REF!</v>
      </c>
      <c r="J261" t="e">
        <f>madun2!#REF!</f>
        <v>#REF!</v>
      </c>
      <c r="K261" t="e">
        <f>madun2!#REF!</f>
        <v>#REF!</v>
      </c>
      <c r="L261" t="e">
        <f>madun2!#REF!</f>
        <v>#REF!</v>
      </c>
      <c r="M261" t="e">
        <f>madun2!#REF!</f>
        <v>#REF!</v>
      </c>
      <c r="N261" t="e">
        <f>madun2!#REF!</f>
        <v>#REF!</v>
      </c>
      <c r="O261" t="e">
        <f>madun2!#REF!</f>
        <v>#REF!</v>
      </c>
      <c r="P261" t="e">
        <f>madun2!#REF!</f>
        <v>#REF!</v>
      </c>
      <c r="Q261" t="e">
        <f>madun2!#REF!</f>
        <v>#REF!</v>
      </c>
      <c r="R261" t="e">
        <f>madun2!#REF!</f>
        <v>#REF!</v>
      </c>
      <c r="S261" t="e">
        <f>madun2!#REF!</f>
        <v>#REF!</v>
      </c>
      <c r="T261" t="e">
        <f>madun2!#REF!</f>
        <v>#REF!</v>
      </c>
      <c r="U261" t="e">
        <f>madun2!#REF!</f>
        <v>#REF!</v>
      </c>
      <c r="V261" t="e">
        <f>madun2!#REF!</f>
        <v>#REF!</v>
      </c>
      <c r="W261" t="e">
        <f>madun2!#REF!</f>
        <v>#REF!</v>
      </c>
      <c r="X261" t="e">
        <f>madun2!#REF!</f>
        <v>#REF!</v>
      </c>
      <c r="Y261" t="e">
        <f>madun2!#REF!</f>
        <v>#REF!</v>
      </c>
      <c r="Z261" t="e">
        <f>madun2!#REF!</f>
        <v>#REF!</v>
      </c>
      <c r="AA261" t="e">
        <f>madun2!#REF!</f>
        <v>#REF!</v>
      </c>
      <c r="AB261" t="e">
        <f>madun2!#REF!</f>
        <v>#REF!</v>
      </c>
      <c r="AC261" t="e">
        <f>madun2!#REF!</f>
        <v>#REF!</v>
      </c>
    </row>
    <row r="262" spans="1:29" x14ac:dyDescent="0.25">
      <c r="A262" t="str">
        <f>madun2!A20</f>
        <v>MADUN2</v>
      </c>
      <c r="B262" t="str">
        <f>madun2!B20</f>
        <v>EONR</v>
      </c>
      <c r="C262" t="str">
        <f>madun2!C20</f>
        <v>UPRO RX Equity</v>
      </c>
      <c r="D262" t="e">
        <f ca="1">madun2!D20</f>
        <v>#NAME?</v>
      </c>
      <c r="E262">
        <f>madun2!E20</f>
        <v>1600000</v>
      </c>
      <c r="F262">
        <f>madun2!F20</f>
        <v>2.5499999999999998</v>
      </c>
      <c r="G262" t="e">
        <f ca="1">madun2!G20</f>
        <v>#NAME?</v>
      </c>
      <c r="H262" t="e">
        <f ca="1">madun2!K20</f>
        <v>#NAME?</v>
      </c>
      <c r="I262" t="e">
        <f ca="1">madun2!L20</f>
        <v>#NAME?</v>
      </c>
      <c r="J262" t="e">
        <f ca="1">madun2!M20</f>
        <v>#NAME?</v>
      </c>
      <c r="K262">
        <f>madun2!N20</f>
        <v>4079999.9999999995</v>
      </c>
      <c r="L262" t="e">
        <f ca="1">madun2!O20</f>
        <v>#NAME?</v>
      </c>
      <c r="M262" t="e">
        <f ca="1">madun2!P20</f>
        <v>#NAME?</v>
      </c>
      <c r="N262" t="e">
        <f ca="1">madun2!Q20</f>
        <v>#NAME?</v>
      </c>
      <c r="O262" t="e">
        <f ca="1">madun2!R20</f>
        <v>#NAME?</v>
      </c>
      <c r="P262" t="e">
        <f ca="1">madun2!S20</f>
        <v>#NAME?</v>
      </c>
      <c r="Q262" t="e">
        <f ca="1">madun2!T20</f>
        <v>#NAME?</v>
      </c>
      <c r="R262" t="e">
        <f>madun2!#REF!</f>
        <v>#REF!</v>
      </c>
      <c r="S262" t="e">
        <f ca="1">madun2!U20</f>
        <v>#NAME?</v>
      </c>
      <c r="T262" t="e">
        <f ca="1">madun2!V20</f>
        <v>#NAME?</v>
      </c>
      <c r="U262" t="e">
        <f>madun2!#REF!</f>
        <v>#REF!</v>
      </c>
      <c r="V262" t="e">
        <f>madun2!#REF!</f>
        <v>#REF!</v>
      </c>
      <c r="W262" t="e">
        <f>madun2!#REF!</f>
        <v>#REF!</v>
      </c>
      <c r="X262" t="e">
        <f>madun2!#REF!</f>
        <v>#REF!</v>
      </c>
      <c r="Y262" t="e">
        <f ca="1">madun2!W20</f>
        <v>#NAME?</v>
      </c>
      <c r="Z262" t="e">
        <f ca="1">madun2!X20</f>
        <v>#NAME?</v>
      </c>
      <c r="AA262" t="e">
        <f>madun2!#REF!</f>
        <v>#REF!</v>
      </c>
      <c r="AB262" t="e">
        <f>madun2!#REF!</f>
        <v>#REF!</v>
      </c>
      <c r="AC262" t="e">
        <f>madun2!#REF!</f>
        <v>#REF!</v>
      </c>
    </row>
    <row r="263" spans="1:29" x14ac:dyDescent="0.25">
      <c r="A263" t="str">
        <f>madun2!A21</f>
        <v>MADUN2</v>
      </c>
      <c r="B263" t="str">
        <f>madun2!B21</f>
        <v>Gazprom</v>
      </c>
      <c r="C263" t="str">
        <f>madun2!C21</f>
        <v>GAZP RX Equity</v>
      </c>
      <c r="D263" t="e">
        <f ca="1">madun2!D21</f>
        <v>#NAME?</v>
      </c>
      <c r="E263">
        <f>madun2!E21</f>
        <v>180000</v>
      </c>
      <c r="F263" t="e">
        <f ca="1">madun2!F21</f>
        <v>#NAME?</v>
      </c>
      <c r="G263" t="e">
        <f ca="1">madun2!G21</f>
        <v>#NAME?</v>
      </c>
      <c r="H263" t="e">
        <f ca="1">madun2!K21</f>
        <v>#NAME?</v>
      </c>
      <c r="I263" t="e">
        <f ca="1">madun2!L21</f>
        <v>#NAME?</v>
      </c>
      <c r="J263" t="e">
        <f ca="1">madun2!M21</f>
        <v>#NAME?</v>
      </c>
      <c r="K263" t="e">
        <f ca="1">madun2!N21</f>
        <v>#NAME?</v>
      </c>
      <c r="L263" t="e">
        <f ca="1">madun2!O21</f>
        <v>#NAME?</v>
      </c>
      <c r="M263" t="e">
        <f ca="1">madun2!P21</f>
        <v>#NAME?</v>
      </c>
      <c r="N263" t="e">
        <f ca="1">madun2!Q21</f>
        <v>#NAME?</v>
      </c>
      <c r="O263" t="e">
        <f ca="1">madun2!R21</f>
        <v>#NAME?</v>
      </c>
      <c r="P263" t="e">
        <f ca="1">madun2!S21</f>
        <v>#NAME?</v>
      </c>
      <c r="Q263" t="e">
        <f ca="1">madun2!T21</f>
        <v>#NAME?</v>
      </c>
      <c r="R263" t="e">
        <f>madun2!#REF!</f>
        <v>#REF!</v>
      </c>
      <c r="S263" t="e">
        <f ca="1">madun2!U21</f>
        <v>#NAME?</v>
      </c>
      <c r="T263" t="e">
        <f ca="1">madun2!V21</f>
        <v>#NAME?</v>
      </c>
      <c r="U263" t="e">
        <f>madun2!#REF!</f>
        <v>#REF!</v>
      </c>
      <c r="V263" t="e">
        <f>madun2!#REF!</f>
        <v>#REF!</v>
      </c>
      <c r="W263" t="e">
        <f>madun2!#REF!</f>
        <v>#REF!</v>
      </c>
      <c r="X263" t="e">
        <f>madun2!#REF!</f>
        <v>#REF!</v>
      </c>
      <c r="Y263" t="e">
        <f ca="1">madun2!W21</f>
        <v>#NAME?</v>
      </c>
      <c r="Z263" t="e">
        <f ca="1">madun2!X21</f>
        <v>#NAME?</v>
      </c>
      <c r="AA263" t="e">
        <f>madun2!#REF!</f>
        <v>#REF!</v>
      </c>
      <c r="AB263" t="e">
        <f>madun2!#REF!</f>
        <v>#REF!</v>
      </c>
      <c r="AC263" t="e">
        <f>madun2!#REF!</f>
        <v>#REF!</v>
      </c>
    </row>
    <row r="264" spans="1:29" x14ac:dyDescent="0.25">
      <c r="A264" t="str">
        <f>madun2!A22</f>
        <v>MADUN2</v>
      </c>
      <c r="B264" t="str">
        <f>madun2!B22</f>
        <v>Etalon</v>
      </c>
      <c r="C264" t="str">
        <f>madun2!C22</f>
        <v>ETLN LI Equity</v>
      </c>
      <c r="D264" t="e">
        <f ca="1">madun2!D22</f>
        <v>#NAME?</v>
      </c>
      <c r="E264">
        <f>madun2!E22</f>
        <v>49357</v>
      </c>
      <c r="F264">
        <f>madun2!F22</f>
        <v>2.2552829385902711</v>
      </c>
      <c r="G264" t="e">
        <f ca="1">madun2!G22</f>
        <v>#NAME?</v>
      </c>
      <c r="H264" t="e">
        <f ca="1">madun2!K22</f>
        <v>#NAME?</v>
      </c>
      <c r="I264" t="e">
        <f ca="1">madun2!L22</f>
        <v>#NAME?</v>
      </c>
      <c r="J264" t="e">
        <f ca="1">madun2!M22</f>
        <v>#NAME?</v>
      </c>
      <c r="K264" t="e">
        <f ca="1">madun2!N22</f>
        <v>#NAME?</v>
      </c>
      <c r="L264">
        <f>madun2!O22</f>
        <v>111314.00000000001</v>
      </c>
      <c r="M264" t="e">
        <f ca="1">madun2!P22</f>
        <v>#NAME?</v>
      </c>
      <c r="N264" t="e">
        <f ca="1">madun2!Q22</f>
        <v>#NAME?</v>
      </c>
      <c r="O264" t="e">
        <f ca="1">madun2!R22</f>
        <v>#NAME?</v>
      </c>
      <c r="P264" t="e">
        <f ca="1">madun2!S22</f>
        <v>#NAME?</v>
      </c>
      <c r="Q264" t="e">
        <f ca="1">madun2!T22</f>
        <v>#NAME?</v>
      </c>
      <c r="R264" t="e">
        <f>madun2!#REF!</f>
        <v>#REF!</v>
      </c>
      <c r="S264" t="e">
        <f ca="1">madun2!U22</f>
        <v>#NAME?</v>
      </c>
      <c r="T264" t="e">
        <f ca="1">madun2!V22</f>
        <v>#NAME?</v>
      </c>
      <c r="U264" t="e">
        <f>madun2!#REF!</f>
        <v>#REF!</v>
      </c>
      <c r="V264" t="e">
        <f>madun2!#REF!</f>
        <v>#REF!</v>
      </c>
      <c r="W264" t="e">
        <f>madun2!#REF!</f>
        <v>#REF!</v>
      </c>
      <c r="X264" t="e">
        <f>madun2!#REF!</f>
        <v>#REF!</v>
      </c>
      <c r="Y264" t="e">
        <f ca="1">madun2!W22</f>
        <v>#NAME?</v>
      </c>
      <c r="Z264" t="e">
        <f ca="1">madun2!X22</f>
        <v>#NAME?</v>
      </c>
      <c r="AA264" t="e">
        <f>madun2!#REF!</f>
        <v>#REF!</v>
      </c>
      <c r="AB264" t="e">
        <f>madun2!#REF!</f>
        <v>#REF!</v>
      </c>
      <c r="AC264" t="e">
        <f>madun2!#REF!</f>
        <v>#REF!</v>
      </c>
    </row>
    <row r="265" spans="1:29" x14ac:dyDescent="0.25">
      <c r="A265" t="str">
        <f>madun2!A23</f>
        <v>MADUN2</v>
      </c>
      <c r="B265" t="str">
        <f>madun2!B23</f>
        <v>Sberbank</v>
      </c>
      <c r="C265" t="str">
        <f>madun2!C23</f>
        <v>SBER RX Equity</v>
      </c>
      <c r="D265" t="e">
        <f ca="1">madun2!D23</f>
        <v>#NAME?</v>
      </c>
      <c r="E265">
        <f>madun2!E23</f>
        <v>50000</v>
      </c>
      <c r="F265" t="e">
        <f ca="1">madun2!F23</f>
        <v>#NAME?</v>
      </c>
      <c r="G265" t="e">
        <f ca="1">madun2!G23</f>
        <v>#NAME?</v>
      </c>
      <c r="H265" t="e">
        <f ca="1">madun2!K23</f>
        <v>#NAME?</v>
      </c>
      <c r="I265" t="e">
        <f ca="1">madun2!L23</f>
        <v>#NAME?</v>
      </c>
      <c r="J265" t="e">
        <f ca="1">madun2!M23</f>
        <v>#NAME?</v>
      </c>
      <c r="K265" t="e">
        <f ca="1">madun2!N23</f>
        <v>#NAME?</v>
      </c>
      <c r="L265" t="e">
        <f ca="1">madun2!O23</f>
        <v>#NAME?</v>
      </c>
      <c r="M265" t="e">
        <f ca="1">madun2!P23</f>
        <v>#NAME?</v>
      </c>
      <c r="N265" t="e">
        <f ca="1">madun2!Q23</f>
        <v>#NAME?</v>
      </c>
      <c r="O265" t="e">
        <f ca="1">madun2!R23</f>
        <v>#NAME?</v>
      </c>
      <c r="P265" t="e">
        <f ca="1">madun2!S23</f>
        <v>#NAME?</v>
      </c>
      <c r="Q265" t="e">
        <f ca="1">madun2!T23</f>
        <v>#NAME?</v>
      </c>
      <c r="R265" t="e">
        <f>madun2!#REF!</f>
        <v>#REF!</v>
      </c>
      <c r="S265" t="e">
        <f ca="1">madun2!U23</f>
        <v>#NAME?</v>
      </c>
      <c r="T265" t="e">
        <f ca="1">madun2!V23</f>
        <v>#NAME?</v>
      </c>
      <c r="U265" t="e">
        <f>madun2!#REF!</f>
        <v>#REF!</v>
      </c>
      <c r="V265" t="e">
        <f>madun2!#REF!</f>
        <v>#REF!</v>
      </c>
      <c r="W265" t="e">
        <f>madun2!#REF!</f>
        <v>#REF!</v>
      </c>
      <c r="X265" t="e">
        <f>madun2!#REF!</f>
        <v>#REF!</v>
      </c>
      <c r="Y265" t="e">
        <f ca="1">madun2!W23</f>
        <v>#NAME?</v>
      </c>
      <c r="Z265" t="e">
        <f ca="1">madun2!X23</f>
        <v>#NAME?</v>
      </c>
      <c r="AA265" t="e">
        <f>madun2!#REF!</f>
        <v>#REF!</v>
      </c>
      <c r="AB265" t="e">
        <f>madun2!#REF!</f>
        <v>#REF!</v>
      </c>
      <c r="AC265" t="e">
        <f>madun2!#REF!</f>
        <v>#REF!</v>
      </c>
    </row>
    <row r="266" spans="1:29" x14ac:dyDescent="0.25">
      <c r="A266" t="str">
        <f>madun2!A24</f>
        <v>MADUN2</v>
      </c>
      <c r="B266" t="str">
        <f>madun2!B24</f>
        <v>Kamaz</v>
      </c>
      <c r="C266" t="str">
        <f>madun2!C24</f>
        <v>KMAZ RX Equity</v>
      </c>
      <c r="D266" t="e">
        <f ca="1">madun2!D24</f>
        <v>#NAME?</v>
      </c>
      <c r="E266">
        <f>madun2!E24</f>
        <v>82800</v>
      </c>
      <c r="F266" t="e">
        <f ca="1">madun2!F24</f>
        <v>#NAME?</v>
      </c>
      <c r="G266" t="e">
        <f ca="1">madun2!G24</f>
        <v>#NAME?</v>
      </c>
      <c r="H266" t="e">
        <f ca="1">madun2!K24</f>
        <v>#NAME?</v>
      </c>
      <c r="I266" t="e">
        <f ca="1">madun2!L24</f>
        <v>#NAME?</v>
      </c>
      <c r="J266" t="e">
        <f ca="1">madun2!M24</f>
        <v>#NAME?</v>
      </c>
      <c r="K266" t="e">
        <f ca="1">madun2!N24</f>
        <v>#NAME?</v>
      </c>
      <c r="L266" t="e">
        <f ca="1">madun2!O24</f>
        <v>#NAME?</v>
      </c>
      <c r="M266" t="e">
        <f ca="1">madun2!P24</f>
        <v>#NAME?</v>
      </c>
      <c r="N266" t="e">
        <f ca="1">madun2!Q24</f>
        <v>#NAME?</v>
      </c>
      <c r="O266" t="e">
        <f ca="1">madun2!R24</f>
        <v>#NAME?</v>
      </c>
      <c r="P266" t="e">
        <f ca="1">madun2!S24</f>
        <v>#NAME?</v>
      </c>
      <c r="Q266" t="e">
        <f ca="1">madun2!T24</f>
        <v>#NAME?</v>
      </c>
      <c r="R266" t="e">
        <f>madun2!#REF!</f>
        <v>#REF!</v>
      </c>
      <c r="S266" t="e">
        <f ca="1">madun2!U24</f>
        <v>#NAME?</v>
      </c>
      <c r="T266" t="e">
        <f ca="1">madun2!V24</f>
        <v>#NAME?</v>
      </c>
      <c r="U266" t="e">
        <f>madun2!#REF!</f>
        <v>#REF!</v>
      </c>
      <c r="V266" t="e">
        <f>madun2!#REF!</f>
        <v>#REF!</v>
      </c>
      <c r="W266" t="e">
        <f>madun2!#REF!</f>
        <v>#REF!</v>
      </c>
      <c r="X266" t="e">
        <f>madun2!#REF!</f>
        <v>#REF!</v>
      </c>
      <c r="Y266" t="e">
        <f ca="1">madun2!W24</f>
        <v>#NAME?</v>
      </c>
      <c r="Z266" t="e">
        <f ca="1">madun2!X24</f>
        <v>#NAME?</v>
      </c>
      <c r="AA266" t="e">
        <f>madun2!#REF!</f>
        <v>#REF!</v>
      </c>
      <c r="AB266" t="e">
        <f>madun2!#REF!</f>
        <v>#REF!</v>
      </c>
      <c r="AC266" t="e">
        <f>madun2!#REF!</f>
        <v>#REF!</v>
      </c>
    </row>
    <row r="267" spans="1:29" x14ac:dyDescent="0.25">
      <c r="A267" t="str">
        <f>madun2!A25</f>
        <v>MADUN2</v>
      </c>
      <c r="B267" t="str">
        <f>madun2!B25</f>
        <v>Rusal</v>
      </c>
      <c r="C267" t="str">
        <f>madun2!C25</f>
        <v>RUALR RX Equity</v>
      </c>
      <c r="D267" t="e">
        <f ca="1">madun2!D25</f>
        <v>#NAME?</v>
      </c>
      <c r="E267">
        <f>madun2!E25</f>
        <v>67855</v>
      </c>
      <c r="F267">
        <f>madun2!F25</f>
        <v>257.94925740918137</v>
      </c>
      <c r="G267" t="e">
        <f ca="1">madun2!G25</f>
        <v>#NAME?</v>
      </c>
      <c r="H267" t="e">
        <f ca="1">madun2!K25</f>
        <v>#NAME?</v>
      </c>
      <c r="I267" t="e">
        <f ca="1">madun2!L25</f>
        <v>#NAME?</v>
      </c>
      <c r="J267" t="e">
        <f ca="1">madun2!M25</f>
        <v>#NAME?</v>
      </c>
      <c r="K267">
        <f>madun2!N25</f>
        <v>17503146.861500002</v>
      </c>
      <c r="L267" t="e">
        <f ca="1">madun2!O25</f>
        <v>#NAME?</v>
      </c>
      <c r="M267" t="e">
        <f ca="1">madun2!P25</f>
        <v>#NAME?</v>
      </c>
      <c r="N267" t="e">
        <f ca="1">madun2!Q25</f>
        <v>#NAME?</v>
      </c>
      <c r="O267" t="e">
        <f ca="1">madun2!R25</f>
        <v>#NAME?</v>
      </c>
      <c r="P267" t="e">
        <f ca="1">madun2!S25</f>
        <v>#NAME?</v>
      </c>
      <c r="Q267" t="e">
        <f ca="1">madun2!T25</f>
        <v>#NAME?</v>
      </c>
      <c r="R267" t="e">
        <f>madun2!#REF!</f>
        <v>#REF!</v>
      </c>
      <c r="S267" t="e">
        <f ca="1">madun2!U25</f>
        <v>#NAME?</v>
      </c>
      <c r="T267" t="e">
        <f ca="1">madun2!V25</f>
        <v>#NAME?</v>
      </c>
      <c r="U267" t="e">
        <f>madun2!#REF!</f>
        <v>#REF!</v>
      </c>
      <c r="V267" t="e">
        <f>madun2!#REF!</f>
        <v>#REF!</v>
      </c>
      <c r="W267" t="e">
        <f>madun2!#REF!</f>
        <v>#REF!</v>
      </c>
      <c r="X267" t="e">
        <f>madun2!#REF!</f>
        <v>#REF!</v>
      </c>
      <c r="Y267" t="e">
        <f ca="1">madun2!W25</f>
        <v>#NAME?</v>
      </c>
      <c r="Z267" t="e">
        <f ca="1">madun2!X25</f>
        <v>#NAME?</v>
      </c>
      <c r="AA267" t="e">
        <f>madun2!#REF!</f>
        <v>#REF!</v>
      </c>
      <c r="AB267" t="e">
        <f>madun2!#REF!</f>
        <v>#REF!</v>
      </c>
      <c r="AC267" t="e">
        <f>madun2!#REF!</f>
        <v>#REF!</v>
      </c>
    </row>
    <row r="268" spans="1:29" x14ac:dyDescent="0.25">
      <c r="A268" t="str">
        <f>madun2!A27</f>
        <v>MADUN2</v>
      </c>
      <c r="B268" t="str">
        <f>madun2!B27</f>
        <v>Bashneft</v>
      </c>
      <c r="C268" t="str">
        <f>madun2!C27</f>
        <v>BANE RX Equity</v>
      </c>
      <c r="D268" t="e">
        <f ca="1">madun2!D27</f>
        <v>#NAME?</v>
      </c>
      <c r="E268">
        <f>madun2!E27</f>
        <v>10645</v>
      </c>
      <c r="F268" t="e">
        <f ca="1">madun2!F27</f>
        <v>#NAME?</v>
      </c>
      <c r="G268" t="e">
        <f ca="1">madun2!G27</f>
        <v>#NAME?</v>
      </c>
      <c r="H268" t="e">
        <f ca="1">madun2!K27</f>
        <v>#NAME?</v>
      </c>
      <c r="I268" t="e">
        <f ca="1">madun2!L27</f>
        <v>#NAME?</v>
      </c>
      <c r="J268" t="e">
        <f ca="1">madun2!M27</f>
        <v>#NAME?</v>
      </c>
      <c r="K268" t="e">
        <f ca="1">madun2!N27</f>
        <v>#NAME?</v>
      </c>
      <c r="L268" t="e">
        <f ca="1">madun2!O27</f>
        <v>#NAME?</v>
      </c>
      <c r="M268" t="e">
        <f ca="1">madun2!P27</f>
        <v>#NAME?</v>
      </c>
      <c r="N268" t="e">
        <f ca="1">madun2!Q27</f>
        <v>#NAME?</v>
      </c>
      <c r="O268" t="e">
        <f ca="1">madun2!R27</f>
        <v>#NAME?</v>
      </c>
      <c r="P268" t="e">
        <f ca="1">madun2!S27</f>
        <v>#NAME?</v>
      </c>
      <c r="Q268" t="e">
        <f ca="1">madun2!T27</f>
        <v>#NAME?</v>
      </c>
      <c r="R268" t="e">
        <f>madun2!#REF!</f>
        <v>#REF!</v>
      </c>
      <c r="S268" t="e">
        <f ca="1">madun2!U27</f>
        <v>#NAME?</v>
      </c>
      <c r="T268" t="e">
        <f ca="1">madun2!V27</f>
        <v>#NAME?</v>
      </c>
      <c r="U268" t="e">
        <f>madun2!#REF!</f>
        <v>#REF!</v>
      </c>
      <c r="V268" t="e">
        <f>madun2!#REF!</f>
        <v>#REF!</v>
      </c>
      <c r="W268" t="e">
        <f>madun2!#REF!</f>
        <v>#REF!</v>
      </c>
      <c r="X268" t="e">
        <f>madun2!#REF!</f>
        <v>#REF!</v>
      </c>
      <c r="Y268" t="e">
        <f ca="1">madun2!W27</f>
        <v>#NAME?</v>
      </c>
      <c r="Z268" t="e">
        <f ca="1">madun2!X27</f>
        <v>#NAME?</v>
      </c>
      <c r="AA268" t="e">
        <f>madun2!#REF!</f>
        <v>#REF!</v>
      </c>
      <c r="AB268" t="e">
        <f>madun2!#REF!</f>
        <v>#REF!</v>
      </c>
      <c r="AC268" t="e">
        <f>madun2!#REF!</f>
        <v>#REF!</v>
      </c>
    </row>
    <row r="269" spans="1:29" x14ac:dyDescent="0.25">
      <c r="A269" t="str">
        <f>madun2!A28</f>
        <v>MADUN2</v>
      </c>
      <c r="B269" t="str">
        <f>madun2!B28</f>
        <v>NMTP</v>
      </c>
      <c r="C269" t="str">
        <f>madun2!C28</f>
        <v>NMTP RX Equity</v>
      </c>
      <c r="D269" t="e">
        <f ca="1">madun2!D28</f>
        <v>#NAME?</v>
      </c>
      <c r="E269">
        <f>madun2!E28</f>
        <v>1572138</v>
      </c>
      <c r="F269" t="e">
        <f ca="1">madun2!F28</f>
        <v>#NAME?</v>
      </c>
      <c r="G269" t="e">
        <f ca="1">madun2!G28</f>
        <v>#NAME?</v>
      </c>
      <c r="H269" t="e">
        <f ca="1">madun2!K28</f>
        <v>#NAME?</v>
      </c>
      <c r="I269" t="e">
        <f ca="1">madun2!L28</f>
        <v>#NAME?</v>
      </c>
      <c r="J269" t="e">
        <f ca="1">madun2!M28</f>
        <v>#NAME?</v>
      </c>
      <c r="K269" t="e">
        <f ca="1">madun2!N28</f>
        <v>#NAME?</v>
      </c>
      <c r="L269" t="e">
        <f ca="1">madun2!O28</f>
        <v>#NAME?</v>
      </c>
      <c r="M269" t="e">
        <f ca="1">madun2!P28</f>
        <v>#NAME?</v>
      </c>
      <c r="N269" t="e">
        <f ca="1">madun2!Q28</f>
        <v>#NAME?</v>
      </c>
      <c r="O269" t="e">
        <f ca="1">madun2!R28</f>
        <v>#NAME?</v>
      </c>
      <c r="P269" t="e">
        <f ca="1">madun2!S28</f>
        <v>#NAME?</v>
      </c>
      <c r="Q269" t="e">
        <f ca="1">madun2!T28</f>
        <v>#NAME?</v>
      </c>
      <c r="R269" t="e">
        <f>madun2!#REF!</f>
        <v>#REF!</v>
      </c>
      <c r="S269" t="e">
        <f ca="1">madun2!U28</f>
        <v>#NAME?</v>
      </c>
      <c r="T269" t="e">
        <f ca="1">madun2!V28</f>
        <v>#NAME?</v>
      </c>
      <c r="U269" t="e">
        <f>madun2!#REF!</f>
        <v>#REF!</v>
      </c>
      <c r="V269" t="e">
        <f>madun2!#REF!</f>
        <v>#REF!</v>
      </c>
      <c r="W269" t="e">
        <f>madun2!#REF!</f>
        <v>#REF!</v>
      </c>
      <c r="X269" t="e">
        <f>madun2!#REF!</f>
        <v>#REF!</v>
      </c>
      <c r="Y269" t="e">
        <f ca="1">madun2!W28</f>
        <v>#NAME?</v>
      </c>
      <c r="Z269" t="e">
        <f ca="1">madun2!X28</f>
        <v>#NAME?</v>
      </c>
      <c r="AA269" t="e">
        <f>madun2!#REF!</f>
        <v>#REF!</v>
      </c>
      <c r="AB269" t="e">
        <f>madun2!#REF!</f>
        <v>#REF!</v>
      </c>
      <c r="AC269" t="e">
        <f>madun2!#REF!</f>
        <v>#REF!</v>
      </c>
    </row>
    <row r="270" spans="1:29" x14ac:dyDescent="0.25">
      <c r="A270" t="str">
        <f>madun2!A29</f>
        <v>MADUN2</v>
      </c>
      <c r="B270" t="str">
        <f>madun2!B29</f>
        <v>RSEA</v>
      </c>
      <c r="C270" t="str">
        <f>madun2!C29</f>
        <v>AQUA RM Equity</v>
      </c>
      <c r="D270" t="e">
        <f ca="1">madun2!D29</f>
        <v>#NAME?</v>
      </c>
      <c r="E270">
        <f>madun2!E29</f>
        <v>7000</v>
      </c>
      <c r="F270" t="e">
        <f ca="1">madun2!F29</f>
        <v>#NAME?</v>
      </c>
      <c r="G270" t="e">
        <f ca="1">madun2!G29</f>
        <v>#NAME?</v>
      </c>
      <c r="H270" t="e">
        <f ca="1">madun2!K29</f>
        <v>#NAME?</v>
      </c>
      <c r="I270" t="e">
        <f ca="1">madun2!L29</f>
        <v>#NAME?</v>
      </c>
      <c r="J270" t="e">
        <f ca="1">madun2!M29</f>
        <v>#NAME?</v>
      </c>
      <c r="K270" t="e">
        <f ca="1">madun2!N29</f>
        <v>#NAME?</v>
      </c>
      <c r="L270" t="e">
        <f ca="1">madun2!O29</f>
        <v>#NAME?</v>
      </c>
      <c r="M270" t="e">
        <f ca="1">madun2!P29</f>
        <v>#NAME?</v>
      </c>
      <c r="N270" t="e">
        <f ca="1">madun2!Q29</f>
        <v>#NAME?</v>
      </c>
      <c r="O270" t="e">
        <f ca="1">madun2!R29</f>
        <v>#NAME?</v>
      </c>
      <c r="P270" t="e">
        <f ca="1">madun2!S29</f>
        <v>#NAME?</v>
      </c>
      <c r="Q270" t="e">
        <f ca="1">madun2!T29</f>
        <v>#NAME?</v>
      </c>
      <c r="R270" t="e">
        <f>madun2!#REF!</f>
        <v>#REF!</v>
      </c>
      <c r="S270" t="e">
        <f ca="1">madun2!U29</f>
        <v>#NAME?</v>
      </c>
      <c r="T270" t="e">
        <f ca="1">madun2!V29</f>
        <v>#NAME?</v>
      </c>
      <c r="U270" t="e">
        <f>madun2!#REF!</f>
        <v>#REF!</v>
      </c>
      <c r="V270" t="e">
        <f>madun2!#REF!</f>
        <v>#REF!</v>
      </c>
      <c r="W270" t="e">
        <f>madun2!#REF!</f>
        <v>#REF!</v>
      </c>
      <c r="X270" t="e">
        <f>madun2!#REF!</f>
        <v>#REF!</v>
      </c>
      <c r="Y270" t="e">
        <f ca="1">madun2!W29</f>
        <v>#NAME?</v>
      </c>
      <c r="Z270" t="e">
        <f ca="1">madun2!X29</f>
        <v>#NAME?</v>
      </c>
      <c r="AA270" t="e">
        <f>madun2!#REF!</f>
        <v>#REF!</v>
      </c>
      <c r="AB270" t="e">
        <f>madun2!#REF!</f>
        <v>#REF!</v>
      </c>
      <c r="AC270" t="e">
        <f>madun2!#REF!</f>
        <v>#REF!</v>
      </c>
    </row>
    <row r="271" spans="1:29" x14ac:dyDescent="0.25">
      <c r="A271" t="e">
        <f>madun2!#REF!</f>
        <v>#REF!</v>
      </c>
      <c r="B271" t="e">
        <f>madun2!#REF!</f>
        <v>#REF!</v>
      </c>
      <c r="C271" t="e">
        <f>madun2!#REF!</f>
        <v>#REF!</v>
      </c>
      <c r="D271" t="e">
        <f>madun2!#REF!</f>
        <v>#REF!</v>
      </c>
      <c r="E271" t="e">
        <f>madun2!#REF!</f>
        <v>#REF!</v>
      </c>
      <c r="F271" t="e">
        <f>madun2!#REF!</f>
        <v>#REF!</v>
      </c>
      <c r="G271" t="e">
        <f>madun2!#REF!</f>
        <v>#REF!</v>
      </c>
      <c r="H271" t="e">
        <f>madun2!#REF!</f>
        <v>#REF!</v>
      </c>
      <c r="I271" t="e">
        <f>madun2!#REF!</f>
        <v>#REF!</v>
      </c>
      <c r="J271" t="e">
        <f>madun2!#REF!</f>
        <v>#REF!</v>
      </c>
      <c r="K271" t="e">
        <f>madun2!#REF!</f>
        <v>#REF!</v>
      </c>
      <c r="L271" t="e">
        <f>madun2!#REF!</f>
        <v>#REF!</v>
      </c>
      <c r="M271" t="e">
        <f>madun2!#REF!</f>
        <v>#REF!</v>
      </c>
      <c r="N271" t="e">
        <f>madun2!#REF!</f>
        <v>#REF!</v>
      </c>
      <c r="O271" t="e">
        <f>madun2!#REF!</f>
        <v>#REF!</v>
      </c>
      <c r="P271" t="e">
        <f>madun2!#REF!</f>
        <v>#REF!</v>
      </c>
      <c r="Q271" t="e">
        <f>madun2!#REF!</f>
        <v>#REF!</v>
      </c>
      <c r="R271" t="e">
        <f>madun2!#REF!</f>
        <v>#REF!</v>
      </c>
      <c r="S271" t="e">
        <f>madun2!#REF!</f>
        <v>#REF!</v>
      </c>
      <c r="T271" t="e">
        <f>madun2!#REF!</f>
        <v>#REF!</v>
      </c>
      <c r="U271" t="e">
        <f>madun2!#REF!</f>
        <v>#REF!</v>
      </c>
      <c r="V271" t="e">
        <f>madun2!#REF!</f>
        <v>#REF!</v>
      </c>
      <c r="W271" t="e">
        <f>madun2!#REF!</f>
        <v>#REF!</v>
      </c>
      <c r="X271" t="e">
        <f>madun2!#REF!</f>
        <v>#REF!</v>
      </c>
      <c r="Y271" t="e">
        <f>madun2!#REF!</f>
        <v>#REF!</v>
      </c>
      <c r="Z271" t="e">
        <f>madun2!#REF!</f>
        <v>#REF!</v>
      </c>
      <c r="AA271" t="e">
        <f>madun2!#REF!</f>
        <v>#REF!</v>
      </c>
      <c r="AB271" t="e">
        <f>madun2!#REF!</f>
        <v>#REF!</v>
      </c>
      <c r="AC271" t="e">
        <f>madun2!#REF!</f>
        <v>#REF!</v>
      </c>
    </row>
    <row r="272" spans="1:29" x14ac:dyDescent="0.25">
      <c r="A272" t="e">
        <f>madun2!#REF!</f>
        <v>#REF!</v>
      </c>
      <c r="B272" t="e">
        <f>madun2!#REF!</f>
        <v>#REF!</v>
      </c>
      <c r="C272" t="e">
        <f>madun2!#REF!</f>
        <v>#REF!</v>
      </c>
      <c r="D272" t="e">
        <f>madun2!#REF!</f>
        <v>#REF!</v>
      </c>
      <c r="E272" t="e">
        <f>madun2!#REF!</f>
        <v>#REF!</v>
      </c>
      <c r="F272" t="e">
        <f>madun2!#REF!</f>
        <v>#REF!</v>
      </c>
      <c r="G272" t="e">
        <f>madun2!#REF!</f>
        <v>#REF!</v>
      </c>
      <c r="H272" t="e">
        <f>madun2!#REF!</f>
        <v>#REF!</v>
      </c>
      <c r="I272" t="e">
        <f>madun2!#REF!</f>
        <v>#REF!</v>
      </c>
      <c r="J272" t="e">
        <f>madun2!#REF!</f>
        <v>#REF!</v>
      </c>
      <c r="K272" t="e">
        <f>madun2!#REF!</f>
        <v>#REF!</v>
      </c>
      <c r="L272" t="e">
        <f>madun2!#REF!</f>
        <v>#REF!</v>
      </c>
      <c r="M272" t="e">
        <f>madun2!#REF!</f>
        <v>#REF!</v>
      </c>
      <c r="N272" t="e">
        <f>madun2!#REF!</f>
        <v>#REF!</v>
      </c>
      <c r="O272" t="e">
        <f>madun2!#REF!</f>
        <v>#REF!</v>
      </c>
      <c r="P272" t="e">
        <f>madun2!#REF!</f>
        <v>#REF!</v>
      </c>
      <c r="Q272" t="e">
        <f>madun2!#REF!</f>
        <v>#REF!</v>
      </c>
      <c r="R272" t="e">
        <f>madun2!#REF!</f>
        <v>#REF!</v>
      </c>
      <c r="S272" t="e">
        <f>madun2!#REF!</f>
        <v>#REF!</v>
      </c>
      <c r="T272" t="e">
        <f>madun2!#REF!</f>
        <v>#REF!</v>
      </c>
      <c r="U272" t="e">
        <f>madun2!#REF!</f>
        <v>#REF!</v>
      </c>
      <c r="V272" t="e">
        <f>madun2!#REF!</f>
        <v>#REF!</v>
      </c>
      <c r="W272" t="e">
        <f>madun2!#REF!</f>
        <v>#REF!</v>
      </c>
      <c r="X272" t="e">
        <f>madun2!#REF!</f>
        <v>#REF!</v>
      </c>
      <c r="Y272" t="e">
        <f>madun2!#REF!</f>
        <v>#REF!</v>
      </c>
      <c r="Z272" t="e">
        <f>madun2!#REF!</f>
        <v>#REF!</v>
      </c>
      <c r="AA272" t="e">
        <f>madun2!#REF!</f>
        <v>#REF!</v>
      </c>
      <c r="AB272" t="e">
        <f>madun2!#REF!</f>
        <v>#REF!</v>
      </c>
      <c r="AC272" t="e">
        <f>madun2!#REF!</f>
        <v>#REF!</v>
      </c>
    </row>
    <row r="273" spans="1:26" x14ac:dyDescent="0.25">
      <c r="A273" t="str">
        <f>XFEQF!A4</f>
        <v>XFEQF</v>
      </c>
      <c r="B273" t="str">
        <f>XFEQF!B4</f>
        <v>Kazmunaigaz</v>
      </c>
      <c r="C273" t="str">
        <f>XFEQF!C4</f>
        <v>KMG LI Equity</v>
      </c>
      <c r="D273" t="e">
        <f ca="1">XFEQF!D4</f>
        <v>#NAME?</v>
      </c>
      <c r="E273">
        <f>XFEQF!E4</f>
        <v>2600</v>
      </c>
      <c r="F273">
        <f>XFEQF!F4</f>
        <v>11.1</v>
      </c>
      <c r="G273" t="e">
        <f ca="1">XFEQF!G4</f>
        <v>#NAME?</v>
      </c>
      <c r="H273" t="e">
        <f ca="1">XFEQF!K4</f>
        <v>#NAME?</v>
      </c>
      <c r="I273" t="e">
        <f ca="1">XFEQF!L4</f>
        <v>#NAME?</v>
      </c>
      <c r="J273" t="e">
        <f ca="1">XFEQF!M4</f>
        <v>#NAME?</v>
      </c>
      <c r="K273" t="e">
        <f ca="1">XFEQF!N4</f>
        <v>#NAME?</v>
      </c>
      <c r="L273">
        <f>XFEQF!O4</f>
        <v>28860</v>
      </c>
      <c r="M273" t="e">
        <f ca="1">XFEQF!P4</f>
        <v>#NAME?</v>
      </c>
      <c r="N273" t="e">
        <f ca="1">XFEQF!Q4</f>
        <v>#NAME?</v>
      </c>
      <c r="O273" t="e">
        <f ca="1">XFEQF!R4</f>
        <v>#NAME?</v>
      </c>
      <c r="P273" t="e">
        <f ca="1">XFEQF!S4</f>
        <v>#NAME?</v>
      </c>
      <c r="Q273" t="e">
        <f ca="1">XFEQF!T4</f>
        <v>#NAME?</v>
      </c>
      <c r="R273" t="e">
        <f>XFEQF!#REF!</f>
        <v>#REF!</v>
      </c>
      <c r="S273" t="e">
        <f ca="1">XFEQF!U4</f>
        <v>#NAME?</v>
      </c>
      <c r="T273" t="e">
        <f ca="1">XFEQF!V4</f>
        <v>#NAME?</v>
      </c>
      <c r="U273" t="e">
        <f>XFEQF!#REF!</f>
        <v>#REF!</v>
      </c>
      <c r="V273" t="e">
        <f>XFEQF!#REF!</f>
        <v>#REF!</v>
      </c>
      <c r="W273" t="e">
        <f>XFEQF!#REF!</f>
        <v>#REF!</v>
      </c>
      <c r="X273" t="e">
        <f>XFEQF!#REF!</f>
        <v>#REF!</v>
      </c>
      <c r="Y273" t="e">
        <f ca="1">XFEQF!W4</f>
        <v>#NAME?</v>
      </c>
      <c r="Z273" t="e">
        <f ca="1">XFEQF!X4</f>
        <v>#NAME?</v>
      </c>
    </row>
    <row r="274" spans="1:26" x14ac:dyDescent="0.25">
      <c r="A274" t="str">
        <f>XFEQF!A5</f>
        <v>XFEQF</v>
      </c>
      <c r="B274" t="str">
        <f>XFEQF!B5</f>
        <v>Vimpelcom</v>
      </c>
      <c r="C274" t="str">
        <f>XFEQF!C5</f>
        <v>VIP US Equity</v>
      </c>
      <c r="D274" t="e">
        <f ca="1">XFEQF!D5</f>
        <v>#NAME?</v>
      </c>
      <c r="E274">
        <f>XFEQF!E5</f>
        <v>7240</v>
      </c>
      <c r="F274">
        <f>XFEQF!F5</f>
        <v>3.4986999999999999</v>
      </c>
      <c r="G274" t="e">
        <f ca="1">XFEQF!G5</f>
        <v>#NAME?</v>
      </c>
      <c r="H274" t="e">
        <f ca="1">XFEQF!K5</f>
        <v>#NAME?</v>
      </c>
      <c r="I274" t="e">
        <f ca="1">XFEQF!L5</f>
        <v>#NAME?</v>
      </c>
      <c r="J274" t="e">
        <f ca="1">XFEQF!M5</f>
        <v>#NAME?</v>
      </c>
      <c r="K274" t="e">
        <f ca="1">XFEQF!N5</f>
        <v>#NAME?</v>
      </c>
      <c r="L274">
        <f>XFEQF!O5</f>
        <v>25330.588</v>
      </c>
      <c r="M274" t="e">
        <f ca="1">XFEQF!P5</f>
        <v>#NAME?</v>
      </c>
      <c r="N274" t="e">
        <f ca="1">XFEQF!Q5</f>
        <v>#NAME?</v>
      </c>
      <c r="O274" t="e">
        <f ca="1">XFEQF!R5</f>
        <v>#NAME?</v>
      </c>
      <c r="P274" t="e">
        <f ca="1">XFEQF!S5</f>
        <v>#NAME?</v>
      </c>
      <c r="Q274" t="e">
        <f ca="1">XFEQF!T5</f>
        <v>#NAME?</v>
      </c>
      <c r="R274" t="e">
        <f>XFEQF!#REF!</f>
        <v>#REF!</v>
      </c>
      <c r="S274" t="e">
        <f ca="1">XFEQF!U5</f>
        <v>#NAME?</v>
      </c>
      <c r="T274" t="e">
        <f ca="1">XFEQF!V5</f>
        <v>#NAME?</v>
      </c>
      <c r="U274" t="e">
        <f>XFEQF!#REF!</f>
        <v>#REF!</v>
      </c>
      <c r="V274" t="e">
        <f>XFEQF!#REF!</f>
        <v>#REF!</v>
      </c>
      <c r="W274" t="e">
        <f>XFEQF!#REF!</f>
        <v>#REF!</v>
      </c>
      <c r="X274" t="e">
        <f>XFEQF!#REF!</f>
        <v>#REF!</v>
      </c>
      <c r="Y274" t="e">
        <f ca="1">XFEQF!W5</f>
        <v>#NAME?</v>
      </c>
      <c r="Z274" t="e">
        <f ca="1">XFEQF!X5</f>
        <v>#NAME?</v>
      </c>
    </row>
    <row r="275" spans="1:26" x14ac:dyDescent="0.25">
      <c r="A275" t="e">
        <f>XFEQF!#REF!</f>
        <v>#REF!</v>
      </c>
      <c r="B275" t="e">
        <f>XFEQF!#REF!</f>
        <v>#REF!</v>
      </c>
      <c r="C275" t="e">
        <f>XFEQF!#REF!</f>
        <v>#REF!</v>
      </c>
      <c r="D275" t="e">
        <f>XFEQF!#REF!</f>
        <v>#REF!</v>
      </c>
      <c r="E275" t="e">
        <f>XFEQF!#REF!</f>
        <v>#REF!</v>
      </c>
      <c r="F275" t="e">
        <f>XFEQF!#REF!</f>
        <v>#REF!</v>
      </c>
      <c r="G275" t="e">
        <f>XFEQF!#REF!</f>
        <v>#REF!</v>
      </c>
      <c r="H275" t="e">
        <f>XFEQF!#REF!</f>
        <v>#REF!</v>
      </c>
      <c r="I275" t="e">
        <f>XFEQF!#REF!</f>
        <v>#REF!</v>
      </c>
      <c r="J275" t="e">
        <f>XFEQF!#REF!</f>
        <v>#REF!</v>
      </c>
      <c r="K275" t="e">
        <f>XFEQF!#REF!</f>
        <v>#REF!</v>
      </c>
      <c r="L275" t="e">
        <f>XFEQF!#REF!</f>
        <v>#REF!</v>
      </c>
      <c r="M275" t="e">
        <f>XFEQF!#REF!</f>
        <v>#REF!</v>
      </c>
      <c r="N275" t="e">
        <f>XFEQF!#REF!</f>
        <v>#REF!</v>
      </c>
      <c r="O275" t="e">
        <f>XFEQF!#REF!</f>
        <v>#REF!</v>
      </c>
      <c r="P275" t="e">
        <f>XFEQF!#REF!</f>
        <v>#REF!</v>
      </c>
      <c r="Q275" t="e">
        <f>XFEQF!#REF!</f>
        <v>#REF!</v>
      </c>
      <c r="R275" t="e">
        <f>XFEQF!#REF!</f>
        <v>#REF!</v>
      </c>
      <c r="S275" t="e">
        <f>XFEQF!#REF!</f>
        <v>#REF!</v>
      </c>
      <c r="T275" t="e">
        <f>XFEQF!#REF!</f>
        <v>#REF!</v>
      </c>
      <c r="U275" t="e">
        <f>XFEQF!#REF!</f>
        <v>#REF!</v>
      </c>
      <c r="V275" t="e">
        <f>XFEQF!#REF!</f>
        <v>#REF!</v>
      </c>
      <c r="W275" t="e">
        <f>XFEQF!#REF!</f>
        <v>#REF!</v>
      </c>
      <c r="X275" t="e">
        <f>XFEQF!#REF!</f>
        <v>#REF!</v>
      </c>
      <c r="Y275" t="e">
        <f>XFEQF!#REF!</f>
        <v>#REF!</v>
      </c>
      <c r="Z275" t="e">
        <f>XFEQF!#REF!</f>
        <v>#REF!</v>
      </c>
    </row>
    <row r="276" spans="1:26" x14ac:dyDescent="0.25">
      <c r="A276" t="str">
        <f>XFEQF!A6</f>
        <v>XFEQF</v>
      </c>
      <c r="B276" t="str">
        <f>XFEQF!B6</f>
        <v>Megafon</v>
      </c>
      <c r="C276" t="str">
        <f>XFEQF!C6</f>
        <v>MFON RX Equity</v>
      </c>
      <c r="D276" t="e">
        <f ca="1">XFEQF!D6</f>
        <v>#NAME?</v>
      </c>
      <c r="E276">
        <f>XFEQF!E6</f>
        <v>2000</v>
      </c>
      <c r="F276">
        <f>XFEQF!F6</f>
        <v>845</v>
      </c>
      <c r="G276" t="e">
        <f ca="1">XFEQF!G6</f>
        <v>#NAME?</v>
      </c>
      <c r="H276" t="e">
        <f ca="1">XFEQF!K6</f>
        <v>#NAME?</v>
      </c>
      <c r="I276" t="e">
        <f ca="1">XFEQF!L6</f>
        <v>#NAME?</v>
      </c>
      <c r="J276" t="e">
        <f ca="1">XFEQF!M6</f>
        <v>#NAME?</v>
      </c>
      <c r="K276">
        <f>XFEQF!N6</f>
        <v>1690000</v>
      </c>
      <c r="L276" t="e">
        <f ca="1">XFEQF!O6</f>
        <v>#NAME?</v>
      </c>
      <c r="M276" t="e">
        <f ca="1">XFEQF!P6</f>
        <v>#NAME?</v>
      </c>
      <c r="N276" t="e">
        <f ca="1">XFEQF!Q6</f>
        <v>#NAME?</v>
      </c>
      <c r="O276" t="e">
        <f ca="1">XFEQF!R6</f>
        <v>#NAME?</v>
      </c>
      <c r="P276" t="e">
        <f ca="1">XFEQF!S6</f>
        <v>#NAME?</v>
      </c>
      <c r="Q276" t="e">
        <f ca="1">XFEQF!T6</f>
        <v>#NAME?</v>
      </c>
      <c r="R276" t="e">
        <f>XFEQF!#REF!</f>
        <v>#REF!</v>
      </c>
      <c r="S276" t="e">
        <f ca="1">XFEQF!U6</f>
        <v>#NAME?</v>
      </c>
      <c r="T276" t="e">
        <f ca="1">XFEQF!V6</f>
        <v>#NAME?</v>
      </c>
      <c r="U276" t="e">
        <f>XFEQF!#REF!</f>
        <v>#REF!</v>
      </c>
      <c r="V276" t="e">
        <f>XFEQF!#REF!</f>
        <v>#REF!</v>
      </c>
      <c r="W276" t="e">
        <f>XFEQF!#REF!</f>
        <v>#REF!</v>
      </c>
      <c r="X276" t="e">
        <f>XFEQF!#REF!</f>
        <v>#REF!</v>
      </c>
      <c r="Y276" t="e">
        <f ca="1">XFEQF!W6</f>
        <v>#NAME?</v>
      </c>
      <c r="Z276" t="e">
        <f ca="1">XFEQF!X6</f>
        <v>#NAME?</v>
      </c>
    </row>
    <row r="277" spans="1:26" x14ac:dyDescent="0.25">
      <c r="A277" t="str">
        <f>XFEQF!A7</f>
        <v>XFEQF</v>
      </c>
      <c r="B277" t="str">
        <f>XFEQF!B7</f>
        <v>Lukoil</v>
      </c>
      <c r="C277" t="str">
        <f>XFEQF!C7</f>
        <v>LKOD LI Equity</v>
      </c>
      <c r="D277" t="e">
        <f ca="1">XFEQF!D7</f>
        <v>#NAME?</v>
      </c>
      <c r="E277">
        <f>XFEQF!E7</f>
        <v>1550</v>
      </c>
      <c r="F277">
        <f>XFEQF!F7</f>
        <v>34</v>
      </c>
      <c r="G277" t="e">
        <f ca="1">XFEQF!G7</f>
        <v>#NAME?</v>
      </c>
      <c r="H277" t="e">
        <f ca="1">XFEQF!K7</f>
        <v>#NAME?</v>
      </c>
      <c r="I277" t="e">
        <f ca="1">XFEQF!L7</f>
        <v>#NAME?</v>
      </c>
      <c r="J277" t="e">
        <f ca="1">XFEQF!M7</f>
        <v>#NAME?</v>
      </c>
      <c r="K277" t="e">
        <f ca="1">XFEQF!N7</f>
        <v>#NAME?</v>
      </c>
      <c r="L277">
        <f>XFEQF!O7</f>
        <v>52700</v>
      </c>
      <c r="M277" t="e">
        <f ca="1">XFEQF!P7</f>
        <v>#NAME?</v>
      </c>
      <c r="N277" t="e">
        <f ca="1">XFEQF!Q7</f>
        <v>#NAME?</v>
      </c>
      <c r="O277" t="e">
        <f ca="1">XFEQF!R7</f>
        <v>#NAME?</v>
      </c>
      <c r="P277" t="e">
        <f ca="1">XFEQF!S7</f>
        <v>#NAME?</v>
      </c>
      <c r="Q277" t="e">
        <f ca="1">XFEQF!T7</f>
        <v>#NAME?</v>
      </c>
      <c r="R277" t="e">
        <f>XFEQF!#REF!</f>
        <v>#REF!</v>
      </c>
      <c r="S277" t="e">
        <f ca="1">XFEQF!U7</f>
        <v>#NAME?</v>
      </c>
      <c r="T277" t="e">
        <f ca="1">XFEQF!V7</f>
        <v>#NAME?</v>
      </c>
      <c r="U277" t="e">
        <f>XFEQF!#REF!</f>
        <v>#REF!</v>
      </c>
      <c r="V277" t="e">
        <f>XFEQF!#REF!</f>
        <v>#REF!</v>
      </c>
      <c r="W277" t="e">
        <f>XFEQF!#REF!</f>
        <v>#REF!</v>
      </c>
      <c r="X277" t="e">
        <f>XFEQF!#REF!</f>
        <v>#REF!</v>
      </c>
      <c r="Y277" t="e">
        <f ca="1">XFEQF!W7</f>
        <v>#NAME?</v>
      </c>
      <c r="Z277" t="e">
        <f ca="1">XFEQF!X7</f>
        <v>#NAME?</v>
      </c>
    </row>
    <row r="278" spans="1:26" x14ac:dyDescent="0.25">
      <c r="A278" t="str">
        <f>XFEQF!A8</f>
        <v>XFEQF</v>
      </c>
      <c r="B278" t="str">
        <f>XFEQF!B8</f>
        <v>Gazpromneft</v>
      </c>
      <c r="C278" t="str">
        <f>XFEQF!C8</f>
        <v>GAZ LI Equity</v>
      </c>
      <c r="D278" t="e">
        <f ca="1">XFEQF!D8</f>
        <v>#NAME?</v>
      </c>
      <c r="E278">
        <f>XFEQF!E8</f>
        <v>4290</v>
      </c>
      <c r="F278" t="e">
        <f ca="1">XFEQF!F8</f>
        <v>#NAME?</v>
      </c>
      <c r="G278" t="e">
        <f ca="1">XFEQF!G8</f>
        <v>#NAME?</v>
      </c>
      <c r="H278" t="e">
        <f ca="1">XFEQF!K8</f>
        <v>#NAME?</v>
      </c>
      <c r="I278" t="e">
        <f ca="1">XFEQF!L8</f>
        <v>#NAME?</v>
      </c>
      <c r="J278" t="e">
        <f ca="1">XFEQF!M8</f>
        <v>#NAME?</v>
      </c>
      <c r="K278" t="e">
        <f ca="1">XFEQF!N8</f>
        <v>#NAME?</v>
      </c>
      <c r="L278" t="e">
        <f ca="1">XFEQF!O8</f>
        <v>#NAME?</v>
      </c>
      <c r="M278" t="e">
        <f ca="1">XFEQF!P8</f>
        <v>#NAME?</v>
      </c>
      <c r="N278" t="e">
        <f ca="1">XFEQF!Q8</f>
        <v>#NAME?</v>
      </c>
      <c r="O278" t="e">
        <f ca="1">XFEQF!R8</f>
        <v>#NAME?</v>
      </c>
      <c r="P278" t="e">
        <f ca="1">XFEQF!S8</f>
        <v>#NAME?</v>
      </c>
      <c r="Q278" t="e">
        <f ca="1">XFEQF!T8</f>
        <v>#NAME?</v>
      </c>
      <c r="R278" t="e">
        <f>XFEQF!#REF!</f>
        <v>#REF!</v>
      </c>
      <c r="S278" t="e">
        <f ca="1">XFEQF!U8</f>
        <v>#NAME?</v>
      </c>
      <c r="T278" t="e">
        <f ca="1">XFEQF!V8</f>
        <v>#NAME?</v>
      </c>
      <c r="U278" t="e">
        <f>XFEQF!#REF!</f>
        <v>#REF!</v>
      </c>
      <c r="V278" t="e">
        <f>XFEQF!#REF!</f>
        <v>#REF!</v>
      </c>
      <c r="W278" t="e">
        <f>XFEQF!#REF!</f>
        <v>#REF!</v>
      </c>
      <c r="X278" t="e">
        <f>XFEQF!#REF!</f>
        <v>#REF!</v>
      </c>
      <c r="Y278" t="e">
        <f ca="1">XFEQF!W8</f>
        <v>#NAME?</v>
      </c>
      <c r="Z278" t="e">
        <f ca="1">XFEQF!X8</f>
        <v>#NAME?</v>
      </c>
    </row>
    <row r="279" spans="1:26" x14ac:dyDescent="0.25">
      <c r="A279" t="str">
        <f>XFEQF!A9</f>
        <v>XFEQF</v>
      </c>
      <c r="B279" t="str">
        <f>XFEQF!B9</f>
        <v>Gazprom</v>
      </c>
      <c r="C279" t="str">
        <f>XFEQF!C9</f>
        <v>OGZD LI Equity</v>
      </c>
      <c r="D279" t="e">
        <f ca="1">XFEQF!D9</f>
        <v>#NAME?</v>
      </c>
      <c r="E279">
        <f>XFEQF!E9</f>
        <v>13835</v>
      </c>
      <c r="F279">
        <f>XFEQF!F9</f>
        <v>3.9676487170220454</v>
      </c>
      <c r="G279" t="e">
        <f ca="1">XFEQF!G9</f>
        <v>#NAME?</v>
      </c>
      <c r="H279" t="e">
        <f ca="1">XFEQF!K9</f>
        <v>#NAME?</v>
      </c>
      <c r="I279" t="e">
        <f ca="1">XFEQF!L9</f>
        <v>#NAME?</v>
      </c>
      <c r="J279" t="e">
        <f ca="1">XFEQF!M9</f>
        <v>#NAME?</v>
      </c>
      <c r="K279" t="e">
        <f ca="1">XFEQF!N9</f>
        <v>#NAME?</v>
      </c>
      <c r="L279">
        <f>XFEQF!O9</f>
        <v>54892.42</v>
      </c>
      <c r="M279" t="e">
        <f ca="1">XFEQF!P9</f>
        <v>#NAME?</v>
      </c>
      <c r="N279" t="e">
        <f ca="1">XFEQF!Q9</f>
        <v>#NAME?</v>
      </c>
      <c r="O279" t="e">
        <f ca="1">XFEQF!R9</f>
        <v>#NAME?</v>
      </c>
      <c r="P279" t="e">
        <f ca="1">XFEQF!S9</f>
        <v>#NAME?</v>
      </c>
      <c r="Q279" t="e">
        <f ca="1">XFEQF!T9</f>
        <v>#NAME?</v>
      </c>
      <c r="R279" t="e">
        <f>XFEQF!#REF!</f>
        <v>#REF!</v>
      </c>
      <c r="S279" t="e">
        <f ca="1">XFEQF!U9</f>
        <v>#NAME?</v>
      </c>
      <c r="T279" t="e">
        <f ca="1">XFEQF!V9</f>
        <v>#NAME?</v>
      </c>
      <c r="U279" t="e">
        <f>XFEQF!#REF!</f>
        <v>#REF!</v>
      </c>
      <c r="V279" t="e">
        <f>XFEQF!#REF!</f>
        <v>#REF!</v>
      </c>
      <c r="W279" t="e">
        <f>XFEQF!#REF!</f>
        <v>#REF!</v>
      </c>
      <c r="X279" t="e">
        <f>XFEQF!#REF!</f>
        <v>#REF!</v>
      </c>
      <c r="Y279" t="e">
        <f ca="1">XFEQF!W9</f>
        <v>#NAME?</v>
      </c>
      <c r="Z279" t="e">
        <f ca="1">XFEQF!X9</f>
        <v>#NAME?</v>
      </c>
    </row>
    <row r="280" spans="1:26" x14ac:dyDescent="0.25">
      <c r="A280" t="str">
        <f>XFEQF!A10</f>
        <v>XFEQF</v>
      </c>
      <c r="B280" t="str">
        <f>XFEQF!B10</f>
        <v>Alrosa</v>
      </c>
      <c r="C280" t="str">
        <f>XFEQF!C10</f>
        <v>ALRS RX Equity</v>
      </c>
      <c r="D280" t="e">
        <f ca="1">XFEQF!D10</f>
        <v>#NAME?</v>
      </c>
      <c r="E280">
        <f>XFEQF!E10</f>
        <v>64000</v>
      </c>
      <c r="F280">
        <f>XFEQF!F10</f>
        <v>57.491799999999998</v>
      </c>
      <c r="G280" t="e">
        <f ca="1">XFEQF!G10</f>
        <v>#NAME?</v>
      </c>
      <c r="H280" t="e">
        <f ca="1">XFEQF!K10</f>
        <v>#NAME?</v>
      </c>
      <c r="I280" t="e">
        <f ca="1">XFEQF!L10</f>
        <v>#NAME?</v>
      </c>
      <c r="J280" t="e">
        <f ca="1">XFEQF!M10</f>
        <v>#NAME?</v>
      </c>
      <c r="K280">
        <f>XFEQF!N10</f>
        <v>3679475.1999999997</v>
      </c>
      <c r="L280" t="e">
        <f ca="1">XFEQF!O10</f>
        <v>#NAME?</v>
      </c>
      <c r="M280" t="e">
        <f ca="1">XFEQF!P10</f>
        <v>#NAME?</v>
      </c>
      <c r="N280" t="e">
        <f ca="1">XFEQF!Q10</f>
        <v>#NAME?</v>
      </c>
      <c r="O280" t="e">
        <f ca="1">XFEQF!R10</f>
        <v>#NAME?</v>
      </c>
      <c r="P280" t="e">
        <f ca="1">XFEQF!S10</f>
        <v>#NAME?</v>
      </c>
      <c r="Q280" t="e">
        <f ca="1">XFEQF!T10</f>
        <v>#NAME?</v>
      </c>
      <c r="R280" t="e">
        <f>XFEQF!#REF!</f>
        <v>#REF!</v>
      </c>
      <c r="S280" t="e">
        <f ca="1">XFEQF!U10</f>
        <v>#NAME?</v>
      </c>
      <c r="T280" t="e">
        <f ca="1">XFEQF!V10</f>
        <v>#NAME?</v>
      </c>
      <c r="U280" t="e">
        <f>XFEQF!#REF!</f>
        <v>#REF!</v>
      </c>
      <c r="V280" t="e">
        <f>XFEQF!#REF!</f>
        <v>#REF!</v>
      </c>
      <c r="W280" t="e">
        <f>XFEQF!#REF!</f>
        <v>#REF!</v>
      </c>
      <c r="X280" t="e">
        <f>XFEQF!#REF!</f>
        <v>#REF!</v>
      </c>
      <c r="Y280" t="e">
        <f ca="1">XFEQF!W10</f>
        <v>#NAME?</v>
      </c>
      <c r="Z280" t="e">
        <f ca="1">XFEQF!X10</f>
        <v>#NAME?</v>
      </c>
    </row>
    <row r="281" spans="1:26" x14ac:dyDescent="0.25">
      <c r="A281" t="str">
        <f>XFEQF!A11</f>
        <v>XFEQF</v>
      </c>
      <c r="B281" t="str">
        <f>XFEQF!B11</f>
        <v>GMKN</v>
      </c>
      <c r="C281" t="str">
        <f>XFEQF!C11</f>
        <v>MNOD LI Equity</v>
      </c>
      <c r="D281" t="e">
        <f ca="1">XFEQF!D11</f>
        <v>#NAME?</v>
      </c>
      <c r="E281">
        <f>XFEQF!E11</f>
        <v>3972</v>
      </c>
      <c r="F281">
        <f>XFEQF!F11</f>
        <v>14.324531722054381</v>
      </c>
      <c r="G281" t="e">
        <f ca="1">XFEQF!G11</f>
        <v>#NAME?</v>
      </c>
      <c r="H281" t="e">
        <f ca="1">XFEQF!K11</f>
        <v>#NAME?</v>
      </c>
      <c r="I281" t="e">
        <f ca="1">XFEQF!L11</f>
        <v>#NAME?</v>
      </c>
      <c r="J281" t="e">
        <f ca="1">XFEQF!M11</f>
        <v>#NAME?</v>
      </c>
      <c r="K281" t="e">
        <f ca="1">XFEQF!N11</f>
        <v>#NAME?</v>
      </c>
      <c r="L281">
        <f>XFEQF!O11</f>
        <v>56897.04</v>
      </c>
      <c r="M281" t="e">
        <f ca="1">XFEQF!P11</f>
        <v>#NAME?</v>
      </c>
      <c r="N281" t="e">
        <f ca="1">XFEQF!Q11</f>
        <v>#NAME?</v>
      </c>
      <c r="O281" t="e">
        <f ca="1">XFEQF!R11</f>
        <v>#NAME?</v>
      </c>
      <c r="P281" t="e">
        <f ca="1">XFEQF!S11</f>
        <v>#NAME?</v>
      </c>
      <c r="Q281" t="e">
        <f ca="1">XFEQF!T11</f>
        <v>#NAME?</v>
      </c>
      <c r="R281" t="e">
        <f>XFEQF!#REF!</f>
        <v>#REF!</v>
      </c>
      <c r="S281" t="e">
        <f ca="1">XFEQF!U11</f>
        <v>#NAME?</v>
      </c>
      <c r="T281" t="e">
        <f ca="1">XFEQF!V11</f>
        <v>#NAME?</v>
      </c>
      <c r="U281" t="e">
        <f>XFEQF!#REF!</f>
        <v>#REF!</v>
      </c>
      <c r="V281" t="e">
        <f>XFEQF!#REF!</f>
        <v>#REF!</v>
      </c>
      <c r="W281" t="e">
        <f>XFEQF!#REF!</f>
        <v>#REF!</v>
      </c>
      <c r="X281" t="e">
        <f>XFEQF!#REF!</f>
        <v>#REF!</v>
      </c>
      <c r="Y281" t="e">
        <f ca="1">XFEQF!W11</f>
        <v>#NAME?</v>
      </c>
      <c r="Z281" t="e">
        <f ca="1">XFEQF!X11</f>
        <v>#NAME?</v>
      </c>
    </row>
    <row r="282" spans="1:26" x14ac:dyDescent="0.25">
      <c r="A282" t="str">
        <f>XFEQF!A12</f>
        <v>XFEQF</v>
      </c>
      <c r="B282" t="str">
        <f>XFEQF!B12</f>
        <v>MTS</v>
      </c>
      <c r="C282" t="str">
        <f>XFEQF!C12</f>
        <v>MTSS RX Equity</v>
      </c>
      <c r="D282" t="e">
        <f ca="1">XFEQF!D12</f>
        <v>#NAME?</v>
      </c>
      <c r="E282">
        <f>XFEQF!E12</f>
        <v>8550</v>
      </c>
      <c r="F282">
        <f>XFEQF!F12</f>
        <v>195</v>
      </c>
      <c r="G282" t="e">
        <f ca="1">XFEQF!G12</f>
        <v>#NAME?</v>
      </c>
      <c r="H282" t="e">
        <f ca="1">XFEQF!K12</f>
        <v>#NAME?</v>
      </c>
      <c r="I282" t="e">
        <f ca="1">XFEQF!L12</f>
        <v>#NAME?</v>
      </c>
      <c r="J282" t="e">
        <f ca="1">XFEQF!M12</f>
        <v>#NAME?</v>
      </c>
      <c r="K282">
        <f>XFEQF!N12</f>
        <v>1667250</v>
      </c>
      <c r="L282" t="e">
        <f ca="1">XFEQF!O12</f>
        <v>#NAME?</v>
      </c>
      <c r="M282" t="e">
        <f ca="1">XFEQF!P12</f>
        <v>#NAME?</v>
      </c>
      <c r="N282" t="e">
        <f ca="1">XFEQF!Q12</f>
        <v>#NAME?</v>
      </c>
      <c r="O282" t="e">
        <f ca="1">XFEQF!R12</f>
        <v>#NAME?</v>
      </c>
      <c r="P282" t="e">
        <f ca="1">XFEQF!S12</f>
        <v>#NAME?</v>
      </c>
      <c r="Q282" t="e">
        <f ca="1">XFEQF!T12</f>
        <v>#NAME?</v>
      </c>
      <c r="R282" t="e">
        <f>XFEQF!#REF!</f>
        <v>#REF!</v>
      </c>
      <c r="S282" t="e">
        <f ca="1">XFEQF!U12</f>
        <v>#NAME?</v>
      </c>
      <c r="T282" t="e">
        <f ca="1">XFEQF!V12</f>
        <v>#NAME?</v>
      </c>
      <c r="U282" t="e">
        <f>XFEQF!#REF!</f>
        <v>#REF!</v>
      </c>
      <c r="V282" t="e">
        <f>XFEQF!#REF!</f>
        <v>#REF!</v>
      </c>
      <c r="W282" t="e">
        <f>XFEQF!#REF!</f>
        <v>#REF!</v>
      </c>
      <c r="X282" t="e">
        <f>XFEQF!#REF!</f>
        <v>#REF!</v>
      </c>
      <c r="Y282" t="e">
        <f ca="1">XFEQF!W12</f>
        <v>#NAME?</v>
      </c>
      <c r="Z282" t="e">
        <f ca="1">XFEQF!X12</f>
        <v>#NAME?</v>
      </c>
    </row>
    <row r="283" spans="1:26" x14ac:dyDescent="0.25">
      <c r="A283" t="str">
        <f>XFEQF!A13</f>
        <v>XFEQF</v>
      </c>
      <c r="B283" t="str">
        <f>XFEQF!B13</f>
        <v>Polymetal</v>
      </c>
      <c r="C283" t="str">
        <f>XFEQF!C13</f>
        <v>POLY LN Equity</v>
      </c>
      <c r="D283" t="e">
        <f ca="1">XFEQF!D13</f>
        <v>#NAME?</v>
      </c>
      <c r="E283">
        <f>XFEQF!E13</f>
        <v>6337</v>
      </c>
      <c r="F283">
        <f>XFEQF!F13</f>
        <v>4.9889572352848353</v>
      </c>
      <c r="G283" t="e">
        <f ca="1">XFEQF!G13</f>
        <v>#NAME?</v>
      </c>
      <c r="H283" t="e">
        <f ca="1">XFEQF!K13</f>
        <v>#NAME?</v>
      </c>
      <c r="I283" t="e">
        <f ca="1">XFEQF!L13</f>
        <v>#NAME?</v>
      </c>
      <c r="J283" t="e">
        <f ca="1">XFEQF!M13</f>
        <v>#NAME?</v>
      </c>
      <c r="K283" t="e">
        <f ca="1">XFEQF!N13</f>
        <v>#NAME?</v>
      </c>
      <c r="L283" t="e">
        <f ca="1">XFEQF!O13</f>
        <v>#NAME?</v>
      </c>
      <c r="M283" t="e">
        <f ca="1">XFEQF!P13</f>
        <v>#NAME?</v>
      </c>
      <c r="N283" t="e">
        <f ca="1">XFEQF!Q13</f>
        <v>#NAME?</v>
      </c>
      <c r="O283" t="e">
        <f ca="1">XFEQF!R13</f>
        <v>#NAME?</v>
      </c>
      <c r="P283" t="e">
        <f ca="1">XFEQF!S13</f>
        <v>#NAME?</v>
      </c>
      <c r="Q283" t="e">
        <f ca="1">XFEQF!T13</f>
        <v>#NAME?</v>
      </c>
      <c r="R283" t="e">
        <f>XFEQF!#REF!</f>
        <v>#REF!</v>
      </c>
      <c r="S283" t="e">
        <f ca="1">XFEQF!U13</f>
        <v>#NAME?</v>
      </c>
      <c r="T283" t="e">
        <f ca="1">XFEQF!V13</f>
        <v>#NAME?</v>
      </c>
      <c r="U283" t="e">
        <f>XFEQF!#REF!</f>
        <v>#REF!</v>
      </c>
      <c r="V283" t="e">
        <f>XFEQF!#REF!</f>
        <v>#REF!</v>
      </c>
      <c r="W283" t="e">
        <f>XFEQF!#REF!</f>
        <v>#REF!</v>
      </c>
      <c r="X283" t="e">
        <f>XFEQF!#REF!</f>
        <v>#REF!</v>
      </c>
      <c r="Y283" t="e">
        <f ca="1">XFEQF!W13</f>
        <v>#NAME?</v>
      </c>
      <c r="Z283" t="e">
        <f ca="1">XFEQF!X13</f>
        <v>#NAME?</v>
      </c>
    </row>
    <row r="284" spans="1:26" x14ac:dyDescent="0.25">
      <c r="A284" t="e">
        <f>XFEQF!#REF!</f>
        <v>#REF!</v>
      </c>
      <c r="B284" t="e">
        <f>XFEQF!#REF!</f>
        <v>#REF!</v>
      </c>
      <c r="C284" t="e">
        <f>XFEQF!#REF!</f>
        <v>#REF!</v>
      </c>
      <c r="D284" t="e">
        <f>XFEQF!#REF!</f>
        <v>#REF!</v>
      </c>
      <c r="E284" t="e">
        <f>XFEQF!#REF!</f>
        <v>#REF!</v>
      </c>
      <c r="F284" t="e">
        <f>XFEQF!#REF!</f>
        <v>#REF!</v>
      </c>
      <c r="G284" t="e">
        <f>XFEQF!#REF!</f>
        <v>#REF!</v>
      </c>
      <c r="H284" t="e">
        <f>XFEQF!#REF!</f>
        <v>#REF!</v>
      </c>
      <c r="I284" t="e">
        <f>XFEQF!#REF!</f>
        <v>#REF!</v>
      </c>
      <c r="J284" t="e">
        <f>XFEQF!#REF!</f>
        <v>#REF!</v>
      </c>
      <c r="K284" t="e">
        <f>XFEQF!#REF!</f>
        <v>#REF!</v>
      </c>
      <c r="L284" t="e">
        <f>XFEQF!#REF!</f>
        <v>#REF!</v>
      </c>
      <c r="M284" t="e">
        <f>XFEQF!#REF!</f>
        <v>#REF!</v>
      </c>
      <c r="N284" t="e">
        <f>XFEQF!#REF!</f>
        <v>#REF!</v>
      </c>
      <c r="O284" t="e">
        <f>XFEQF!#REF!</f>
        <v>#REF!</v>
      </c>
      <c r="P284" t="e">
        <f>XFEQF!#REF!</f>
        <v>#REF!</v>
      </c>
      <c r="Q284" t="e">
        <f>XFEQF!#REF!</f>
        <v>#REF!</v>
      </c>
      <c r="R284" t="e">
        <f>XFEQF!#REF!</f>
        <v>#REF!</v>
      </c>
      <c r="S284" t="e">
        <f>XFEQF!#REF!</f>
        <v>#REF!</v>
      </c>
      <c r="T284" t="e">
        <f>XFEQF!#REF!</f>
        <v>#REF!</v>
      </c>
      <c r="U284" t="e">
        <f>XFEQF!#REF!</f>
        <v>#REF!</v>
      </c>
      <c r="V284" t="e">
        <f>XFEQF!#REF!</f>
        <v>#REF!</v>
      </c>
      <c r="W284" t="e">
        <f>XFEQF!#REF!</f>
        <v>#REF!</v>
      </c>
      <c r="X284" t="e">
        <f>XFEQF!#REF!</f>
        <v>#REF!</v>
      </c>
      <c r="Y284" t="e">
        <f>XFEQF!#REF!</f>
        <v>#REF!</v>
      </c>
      <c r="Z284" t="e">
        <f>XFEQF!#REF!</f>
        <v>#REF!</v>
      </c>
    </row>
    <row r="285" spans="1:26" x14ac:dyDescent="0.25">
      <c r="A285" t="str">
        <f>XFEQF!A14</f>
        <v>XFEQF</v>
      </c>
      <c r="B285" t="str">
        <f>XFEQF!B14</f>
        <v>High Gold Minimg</v>
      </c>
      <c r="C285" t="str">
        <f>XFEQF!C14</f>
        <v>HGM LN Equity</v>
      </c>
      <c r="D285" t="e">
        <f ca="1">XFEQF!D14</f>
        <v>#NAME?</v>
      </c>
      <c r="E285">
        <f>XFEQF!E14</f>
        <v>33651</v>
      </c>
      <c r="F285">
        <f>XFEQF!F14</f>
        <v>0.44829276990282607</v>
      </c>
      <c r="G285" t="e">
        <f ca="1">XFEQF!G14</f>
        <v>#NAME?</v>
      </c>
      <c r="H285" t="e">
        <f ca="1">XFEQF!K14</f>
        <v>#NAME?</v>
      </c>
      <c r="I285" t="e">
        <f ca="1">XFEQF!L14</f>
        <v>#NAME?</v>
      </c>
      <c r="J285" t="e">
        <f ca="1">XFEQF!M14</f>
        <v>#NAME?</v>
      </c>
      <c r="K285" t="e">
        <f ca="1">XFEQF!N14</f>
        <v>#NAME?</v>
      </c>
      <c r="L285" t="e">
        <f ca="1">XFEQF!O14</f>
        <v>#NAME?</v>
      </c>
      <c r="M285" t="e">
        <f ca="1">XFEQF!P14</f>
        <v>#NAME?</v>
      </c>
      <c r="N285" t="e">
        <f ca="1">XFEQF!Q14</f>
        <v>#NAME?</v>
      </c>
      <c r="O285" t="e">
        <f ca="1">XFEQF!R14</f>
        <v>#NAME?</v>
      </c>
      <c r="P285" t="e">
        <f ca="1">XFEQF!S14</f>
        <v>#NAME?</v>
      </c>
      <c r="Q285" t="e">
        <f ca="1">XFEQF!T14</f>
        <v>#NAME?</v>
      </c>
      <c r="R285" t="e">
        <f>XFEQF!#REF!</f>
        <v>#REF!</v>
      </c>
      <c r="S285" t="e">
        <f ca="1">XFEQF!U14</f>
        <v>#NAME?</v>
      </c>
      <c r="T285" t="e">
        <f ca="1">XFEQF!V14</f>
        <v>#NAME?</v>
      </c>
      <c r="U285" t="e">
        <f>XFEQF!#REF!</f>
        <v>#REF!</v>
      </c>
      <c r="V285" t="e">
        <f>XFEQF!#REF!</f>
        <v>#REF!</v>
      </c>
      <c r="W285" t="e">
        <f>XFEQF!#REF!</f>
        <v>#REF!</v>
      </c>
      <c r="X285" t="e">
        <f>XFEQF!#REF!</f>
        <v>#REF!</v>
      </c>
      <c r="Y285" t="e">
        <f ca="1">XFEQF!W14</f>
        <v>#NAME?</v>
      </c>
      <c r="Z285" t="e">
        <f ca="1">XFEQF!X14</f>
        <v>#NAME?</v>
      </c>
    </row>
    <row r="286" spans="1:26" x14ac:dyDescent="0.25">
      <c r="A286" t="str">
        <f>XFEQF!A15</f>
        <v>XFEQF</v>
      </c>
      <c r="B286" t="str">
        <f>XFEQF!B15</f>
        <v>Uralkaliy</v>
      </c>
      <c r="C286" t="str">
        <f>XFEQF!C15</f>
        <v>URKA RX Equity</v>
      </c>
      <c r="D286" t="e">
        <f ca="1">XFEQF!D15</f>
        <v>#NAME?</v>
      </c>
      <c r="E286">
        <f>XFEQF!E15</f>
        <v>125000</v>
      </c>
      <c r="F286" t="e">
        <f ca="1">XFEQF!F15</f>
        <v>#NAME?</v>
      </c>
      <c r="G286" t="e">
        <f ca="1">XFEQF!G15</f>
        <v>#NAME?</v>
      </c>
      <c r="H286" t="e">
        <f ca="1">XFEQF!K15</f>
        <v>#NAME?</v>
      </c>
      <c r="I286" t="e">
        <f ca="1">XFEQF!L15</f>
        <v>#NAME?</v>
      </c>
      <c r="J286" t="e">
        <f ca="1">XFEQF!M15</f>
        <v>#NAME?</v>
      </c>
      <c r="K286" t="e">
        <f ca="1">XFEQF!N15</f>
        <v>#NAME?</v>
      </c>
      <c r="L286">
        <f>XFEQF!O15</f>
        <v>557750</v>
      </c>
      <c r="M286" t="e">
        <f ca="1">XFEQF!P15</f>
        <v>#NAME?</v>
      </c>
      <c r="N286" t="e">
        <f ca="1">XFEQF!Q15</f>
        <v>#NAME?</v>
      </c>
      <c r="O286" t="e">
        <f ca="1">XFEQF!R15</f>
        <v>#NAME?</v>
      </c>
      <c r="P286" t="e">
        <f ca="1">XFEQF!S15</f>
        <v>#NAME?</v>
      </c>
      <c r="Q286" t="e">
        <f ca="1">XFEQF!T15</f>
        <v>#NAME?</v>
      </c>
      <c r="R286" t="e">
        <f>XFEQF!#REF!</f>
        <v>#REF!</v>
      </c>
      <c r="S286" t="e">
        <f ca="1">XFEQF!U15</f>
        <v>#NAME?</v>
      </c>
      <c r="T286" t="e">
        <f ca="1">XFEQF!V15</f>
        <v>#NAME?</v>
      </c>
      <c r="U286" t="e">
        <f>XFEQF!#REF!</f>
        <v>#REF!</v>
      </c>
      <c r="V286" t="e">
        <f>XFEQF!#REF!</f>
        <v>#REF!</v>
      </c>
      <c r="W286" t="e">
        <f>XFEQF!#REF!</f>
        <v>#REF!</v>
      </c>
      <c r="X286" t="e">
        <f>XFEQF!#REF!</f>
        <v>#REF!</v>
      </c>
      <c r="Y286" t="e">
        <f ca="1">XFEQF!W15</f>
        <v>#NAME?</v>
      </c>
      <c r="Z286" t="e">
        <f ca="1">XFEQF!X15</f>
        <v>#NAME?</v>
      </c>
    </row>
    <row r="287" spans="1:26" x14ac:dyDescent="0.25">
      <c r="A287" t="e">
        <f>XFEQF!#REF!</f>
        <v>#REF!</v>
      </c>
      <c r="B287" t="e">
        <f>XFEQF!#REF!</f>
        <v>#REF!</v>
      </c>
      <c r="C287" t="e">
        <f>XFEQF!#REF!</f>
        <v>#REF!</v>
      </c>
      <c r="D287" t="e">
        <f>XFEQF!#REF!</f>
        <v>#REF!</v>
      </c>
      <c r="E287" t="e">
        <f>XFEQF!#REF!</f>
        <v>#REF!</v>
      </c>
      <c r="F287" t="e">
        <f>XFEQF!#REF!</f>
        <v>#REF!</v>
      </c>
      <c r="G287" t="e">
        <f>XFEQF!#REF!</f>
        <v>#REF!</v>
      </c>
      <c r="H287" t="e">
        <f>XFEQF!#REF!</f>
        <v>#REF!</v>
      </c>
      <c r="I287" t="e">
        <f>XFEQF!#REF!</f>
        <v>#REF!</v>
      </c>
      <c r="J287" t="e">
        <f>XFEQF!#REF!</f>
        <v>#REF!</v>
      </c>
      <c r="K287" t="e">
        <f>XFEQF!#REF!</f>
        <v>#REF!</v>
      </c>
      <c r="L287" t="e">
        <f>XFEQF!#REF!</f>
        <v>#REF!</v>
      </c>
      <c r="M287" t="e">
        <f>XFEQF!#REF!</f>
        <v>#REF!</v>
      </c>
      <c r="N287" t="e">
        <f>XFEQF!#REF!</f>
        <v>#REF!</v>
      </c>
      <c r="O287" t="e">
        <f>XFEQF!#REF!</f>
        <v>#REF!</v>
      </c>
      <c r="P287" t="e">
        <f>XFEQF!#REF!</f>
        <v>#REF!</v>
      </c>
      <c r="Q287" t="e">
        <f>XFEQF!#REF!</f>
        <v>#REF!</v>
      </c>
      <c r="R287" t="e">
        <f>XFEQF!#REF!</f>
        <v>#REF!</v>
      </c>
      <c r="S287" t="e">
        <f>XFEQF!#REF!</f>
        <v>#REF!</v>
      </c>
      <c r="T287" t="e">
        <f>XFEQF!#REF!</f>
        <v>#REF!</v>
      </c>
      <c r="U287" t="e">
        <f>XFEQF!#REF!</f>
        <v>#REF!</v>
      </c>
      <c r="V287" t="e">
        <f>XFEQF!#REF!</f>
        <v>#REF!</v>
      </c>
      <c r="W287" t="e">
        <f>XFEQF!#REF!</f>
        <v>#REF!</v>
      </c>
      <c r="X287" t="e">
        <f>XFEQF!#REF!</f>
        <v>#REF!</v>
      </c>
      <c r="Y287" t="e">
        <f>XFEQF!#REF!</f>
        <v>#REF!</v>
      </c>
      <c r="Z287" t="e">
        <f>XFEQF!#REF!</f>
        <v>#REF!</v>
      </c>
    </row>
    <row r="288" spans="1:26" x14ac:dyDescent="0.25">
      <c r="A288" t="e">
        <f>XFEQF!#REF!</f>
        <v>#REF!</v>
      </c>
      <c r="B288" t="e">
        <f>XFEQF!#REF!</f>
        <v>#REF!</v>
      </c>
      <c r="C288" t="e">
        <f>XFEQF!#REF!</f>
        <v>#REF!</v>
      </c>
      <c r="D288" t="e">
        <f>XFEQF!#REF!</f>
        <v>#REF!</v>
      </c>
      <c r="E288" t="e">
        <f>XFEQF!#REF!</f>
        <v>#REF!</v>
      </c>
      <c r="F288" t="e">
        <f>XFEQF!#REF!</f>
        <v>#REF!</v>
      </c>
      <c r="G288" t="e">
        <f>XFEQF!#REF!</f>
        <v>#REF!</v>
      </c>
      <c r="H288" t="e">
        <f>XFEQF!#REF!</f>
        <v>#REF!</v>
      </c>
      <c r="I288" t="e">
        <f>XFEQF!#REF!</f>
        <v>#REF!</v>
      </c>
      <c r="J288" t="e">
        <f>XFEQF!#REF!</f>
        <v>#REF!</v>
      </c>
      <c r="K288" t="e">
        <f>XFEQF!#REF!</f>
        <v>#REF!</v>
      </c>
      <c r="L288" t="e">
        <f>XFEQF!#REF!</f>
        <v>#REF!</v>
      </c>
      <c r="M288" t="e">
        <f>XFEQF!#REF!</f>
        <v>#REF!</v>
      </c>
      <c r="N288" t="e">
        <f>XFEQF!#REF!</f>
        <v>#REF!</v>
      </c>
      <c r="O288" t="e">
        <f>XFEQF!#REF!</f>
        <v>#REF!</v>
      </c>
      <c r="P288" t="e">
        <f>XFEQF!#REF!</f>
        <v>#REF!</v>
      </c>
      <c r="Q288" t="e">
        <f>XFEQF!#REF!</f>
        <v>#REF!</v>
      </c>
      <c r="R288" t="e">
        <f>XFEQF!#REF!</f>
        <v>#REF!</v>
      </c>
      <c r="S288" t="e">
        <f>XFEQF!#REF!</f>
        <v>#REF!</v>
      </c>
      <c r="T288" t="e">
        <f>XFEQF!#REF!</f>
        <v>#REF!</v>
      </c>
      <c r="U288" t="e">
        <f>XFEQF!#REF!</f>
        <v>#REF!</v>
      </c>
      <c r="V288" t="e">
        <f>XFEQF!#REF!</f>
        <v>#REF!</v>
      </c>
      <c r="W288" t="e">
        <f>XFEQF!#REF!</f>
        <v>#REF!</v>
      </c>
      <c r="X288" t="e">
        <f>XFEQF!#REF!</f>
        <v>#REF!</v>
      </c>
      <c r="Y288" t="e">
        <f>XFEQF!#REF!</f>
        <v>#REF!</v>
      </c>
      <c r="Z288" t="e">
        <f>XFEQF!#REF!</f>
        <v>#REF!</v>
      </c>
    </row>
    <row r="289" spans="1:28" x14ac:dyDescent="0.25">
      <c r="A289" t="e">
        <f>XFEQF!#REF!</f>
        <v>#REF!</v>
      </c>
      <c r="B289" t="e">
        <f>XFEQF!#REF!</f>
        <v>#REF!</v>
      </c>
      <c r="C289" t="e">
        <f>XFEQF!#REF!</f>
        <v>#REF!</v>
      </c>
      <c r="D289" t="e">
        <f>XFEQF!#REF!</f>
        <v>#REF!</v>
      </c>
      <c r="E289" t="e">
        <f>XFEQF!#REF!</f>
        <v>#REF!</v>
      </c>
      <c r="F289" t="e">
        <f>XFEQF!#REF!</f>
        <v>#REF!</v>
      </c>
      <c r="G289" t="e">
        <f>XFEQF!#REF!</f>
        <v>#REF!</v>
      </c>
      <c r="H289" t="e">
        <f>XFEQF!#REF!</f>
        <v>#REF!</v>
      </c>
      <c r="I289" t="e">
        <f>XFEQF!#REF!</f>
        <v>#REF!</v>
      </c>
      <c r="J289" t="e">
        <f>XFEQF!#REF!</f>
        <v>#REF!</v>
      </c>
      <c r="K289" t="e">
        <f>XFEQF!#REF!</f>
        <v>#REF!</v>
      </c>
      <c r="L289" t="e">
        <f>XFEQF!#REF!</f>
        <v>#REF!</v>
      </c>
      <c r="M289" t="e">
        <f>XFEQF!#REF!</f>
        <v>#REF!</v>
      </c>
      <c r="N289" t="e">
        <f>XFEQF!#REF!</f>
        <v>#REF!</v>
      </c>
      <c r="O289" t="e">
        <f>XFEQF!#REF!</f>
        <v>#REF!</v>
      </c>
      <c r="P289" t="e">
        <f>XFEQF!#REF!</f>
        <v>#REF!</v>
      </c>
      <c r="Q289" t="e">
        <f>XFEQF!#REF!</f>
        <v>#REF!</v>
      </c>
      <c r="R289" t="e">
        <f>XFEQF!#REF!</f>
        <v>#REF!</v>
      </c>
      <c r="S289" t="e">
        <f>XFEQF!#REF!</f>
        <v>#REF!</v>
      </c>
      <c r="T289" t="e">
        <f>XFEQF!#REF!</f>
        <v>#REF!</v>
      </c>
      <c r="U289" t="e">
        <f>XFEQF!#REF!</f>
        <v>#REF!</v>
      </c>
      <c r="V289" t="e">
        <f>XFEQF!#REF!</f>
        <v>#REF!</v>
      </c>
      <c r="W289" t="e">
        <f>XFEQF!#REF!</f>
        <v>#REF!</v>
      </c>
      <c r="X289" t="e">
        <f>XFEQF!#REF!</f>
        <v>#REF!</v>
      </c>
      <c r="Y289" t="e">
        <f>XFEQF!#REF!</f>
        <v>#REF!</v>
      </c>
      <c r="Z289" t="e">
        <f>XFEQF!#REF!</f>
        <v>#REF!</v>
      </c>
    </row>
    <row r="290" spans="1:28" x14ac:dyDescent="0.25">
      <c r="A290" t="e">
        <f>XGAQF!#REF!</f>
        <v>#REF!</v>
      </c>
      <c r="B290" t="e">
        <f>XGAQF!#REF!</f>
        <v>#REF!</v>
      </c>
      <c r="C290" t="e">
        <f>XGAQF!#REF!</f>
        <v>#REF!</v>
      </c>
      <c r="D290" t="e">
        <f>XGAQF!#REF!</f>
        <v>#REF!</v>
      </c>
      <c r="E290" t="e">
        <f>XGAQF!#REF!</f>
        <v>#REF!</v>
      </c>
      <c r="F290" t="e">
        <f>XGAQF!#REF!</f>
        <v>#REF!</v>
      </c>
      <c r="G290" t="e">
        <f>XGAQF!#REF!</f>
        <v>#REF!</v>
      </c>
      <c r="H290" t="e">
        <f>XGAQF!#REF!</f>
        <v>#REF!</v>
      </c>
      <c r="I290" t="e">
        <f>XGAQF!#REF!</f>
        <v>#REF!</v>
      </c>
      <c r="J290" t="e">
        <f>XGAQF!#REF!</f>
        <v>#REF!</v>
      </c>
      <c r="K290" t="e">
        <f>XGAQF!#REF!</f>
        <v>#REF!</v>
      </c>
      <c r="L290" t="e">
        <f>XGAQF!#REF!</f>
        <v>#REF!</v>
      </c>
      <c r="M290" t="e">
        <f>XGAQF!#REF!</f>
        <v>#REF!</v>
      </c>
      <c r="N290" t="e">
        <f>XGAQF!#REF!</f>
        <v>#REF!</v>
      </c>
      <c r="O290" t="e">
        <f>XGAQF!#REF!</f>
        <v>#REF!</v>
      </c>
      <c r="P290" t="e">
        <f>XGAQF!#REF!</f>
        <v>#REF!</v>
      </c>
      <c r="Q290" t="e">
        <f>XGAQF!#REF!</f>
        <v>#REF!</v>
      </c>
      <c r="R290" t="e">
        <f>XGAQF!#REF!</f>
        <v>#REF!</v>
      </c>
      <c r="S290" t="e">
        <f>XGAQF!#REF!</f>
        <v>#REF!</v>
      </c>
      <c r="T290" t="e">
        <f>XGAQF!#REF!</f>
        <v>#REF!</v>
      </c>
      <c r="U290" t="e">
        <f>XGAQF!#REF!</f>
        <v>#REF!</v>
      </c>
      <c r="V290" t="e">
        <f>XGAQF!#REF!</f>
        <v>#REF!</v>
      </c>
      <c r="W290" t="e">
        <f>XGAQF!#REF!</f>
        <v>#REF!</v>
      </c>
      <c r="X290" t="e">
        <f>XGAQF!#REF!</f>
        <v>#REF!</v>
      </c>
      <c r="Y290" t="e">
        <f>XGAQF!#REF!</f>
        <v>#REF!</v>
      </c>
      <c r="Z290" t="e">
        <f>XGAQF!#REF!</f>
        <v>#REF!</v>
      </c>
      <c r="AA290" t="e">
        <f>XGAQF!#REF!</f>
        <v>#REF!</v>
      </c>
      <c r="AB290" t="e">
        <f>XGAQF!#REF!</f>
        <v>#REF!</v>
      </c>
    </row>
    <row r="291" spans="1:28" x14ac:dyDescent="0.25">
      <c r="A291" t="e">
        <f>XGAQF!#REF!</f>
        <v>#REF!</v>
      </c>
      <c r="B291" t="e">
        <f>XGAQF!#REF!</f>
        <v>#REF!</v>
      </c>
      <c r="C291" t="e">
        <f>XGAQF!#REF!</f>
        <v>#REF!</v>
      </c>
      <c r="D291" t="e">
        <f>XGAQF!#REF!</f>
        <v>#REF!</v>
      </c>
      <c r="E291" t="e">
        <f>XGAQF!#REF!</f>
        <v>#REF!</v>
      </c>
      <c r="F291" t="e">
        <f>XGAQF!#REF!</f>
        <v>#REF!</v>
      </c>
      <c r="G291" t="e">
        <f>XGAQF!#REF!</f>
        <v>#REF!</v>
      </c>
      <c r="H291" t="e">
        <f>XGAQF!#REF!</f>
        <v>#REF!</v>
      </c>
      <c r="I291" t="e">
        <f>XGAQF!#REF!</f>
        <v>#REF!</v>
      </c>
      <c r="J291" t="e">
        <f>XGAQF!#REF!</f>
        <v>#REF!</v>
      </c>
      <c r="K291" t="e">
        <f>XGAQF!#REF!</f>
        <v>#REF!</v>
      </c>
      <c r="L291" t="e">
        <f>XGAQF!#REF!</f>
        <v>#REF!</v>
      </c>
      <c r="M291" t="e">
        <f>XGAQF!#REF!</f>
        <v>#REF!</v>
      </c>
      <c r="N291" t="e">
        <f>XGAQF!#REF!</f>
        <v>#REF!</v>
      </c>
      <c r="O291" t="e">
        <f>XGAQF!#REF!</f>
        <v>#REF!</v>
      </c>
      <c r="P291" t="e">
        <f>XGAQF!#REF!</f>
        <v>#REF!</v>
      </c>
      <c r="Q291" t="e">
        <f>XGAQF!#REF!</f>
        <v>#REF!</v>
      </c>
      <c r="R291" t="e">
        <f>XGAQF!#REF!</f>
        <v>#REF!</v>
      </c>
      <c r="S291" t="e">
        <f>XGAQF!#REF!</f>
        <v>#REF!</v>
      </c>
      <c r="T291" t="e">
        <f>XGAQF!#REF!</f>
        <v>#REF!</v>
      </c>
      <c r="U291" t="e">
        <f>XGAQF!#REF!</f>
        <v>#REF!</v>
      </c>
      <c r="V291" t="e">
        <f>XGAQF!#REF!</f>
        <v>#REF!</v>
      </c>
      <c r="W291" t="e">
        <f>XGAQF!#REF!</f>
        <v>#REF!</v>
      </c>
      <c r="X291" t="e">
        <f>XGAQF!#REF!</f>
        <v>#REF!</v>
      </c>
      <c r="Y291" t="e">
        <f>XGAQF!#REF!</f>
        <v>#REF!</v>
      </c>
      <c r="Z291" t="e">
        <f>XGAQF!#REF!</f>
        <v>#REF!</v>
      </c>
      <c r="AA291" t="e">
        <f>XGAQF!#REF!</f>
        <v>#REF!</v>
      </c>
      <c r="AB291" t="e">
        <f>XGAQF!#REF!</f>
        <v>#REF!</v>
      </c>
    </row>
    <row r="292" spans="1:28" x14ac:dyDescent="0.25">
      <c r="A292" t="e">
        <f>XGAQF!#REF!</f>
        <v>#REF!</v>
      </c>
      <c r="B292" t="e">
        <f>XGAQF!#REF!</f>
        <v>#REF!</v>
      </c>
      <c r="C292" t="e">
        <f>XGAQF!#REF!</f>
        <v>#REF!</v>
      </c>
      <c r="D292" t="e">
        <f>XGAQF!#REF!</f>
        <v>#REF!</v>
      </c>
      <c r="E292" t="e">
        <f>XGAQF!#REF!</f>
        <v>#REF!</v>
      </c>
      <c r="F292" t="e">
        <f>XGAQF!#REF!</f>
        <v>#REF!</v>
      </c>
      <c r="G292" t="e">
        <f>XGAQF!#REF!</f>
        <v>#REF!</v>
      </c>
      <c r="H292" t="e">
        <f>XGAQF!#REF!</f>
        <v>#REF!</v>
      </c>
      <c r="I292" t="e">
        <f>XGAQF!#REF!</f>
        <v>#REF!</v>
      </c>
      <c r="J292" t="e">
        <f>XGAQF!#REF!</f>
        <v>#REF!</v>
      </c>
      <c r="K292" t="e">
        <f>XGAQF!#REF!</f>
        <v>#REF!</v>
      </c>
      <c r="L292" t="e">
        <f>XGAQF!#REF!</f>
        <v>#REF!</v>
      </c>
      <c r="M292" t="e">
        <f>XGAQF!#REF!</f>
        <v>#REF!</v>
      </c>
      <c r="N292" t="e">
        <f>XGAQF!#REF!</f>
        <v>#REF!</v>
      </c>
      <c r="O292" t="e">
        <f>XGAQF!#REF!</f>
        <v>#REF!</v>
      </c>
      <c r="P292" t="e">
        <f>XGAQF!#REF!</f>
        <v>#REF!</v>
      </c>
      <c r="Q292" t="e">
        <f>XGAQF!#REF!</f>
        <v>#REF!</v>
      </c>
      <c r="R292" t="e">
        <f>XGAQF!#REF!</f>
        <v>#REF!</v>
      </c>
      <c r="S292" t="e">
        <f>XGAQF!#REF!</f>
        <v>#REF!</v>
      </c>
      <c r="T292" t="e">
        <f>XGAQF!#REF!</f>
        <v>#REF!</v>
      </c>
      <c r="U292" t="e">
        <f>XGAQF!#REF!</f>
        <v>#REF!</v>
      </c>
      <c r="V292" t="e">
        <f>XGAQF!#REF!</f>
        <v>#REF!</v>
      </c>
      <c r="W292" t="e">
        <f>XGAQF!#REF!</f>
        <v>#REF!</v>
      </c>
      <c r="X292" t="e">
        <f>XGAQF!#REF!</f>
        <v>#REF!</v>
      </c>
      <c r="Y292" t="e">
        <f>XGAQF!#REF!</f>
        <v>#REF!</v>
      </c>
      <c r="Z292" t="e">
        <f>XGAQF!#REF!</f>
        <v>#REF!</v>
      </c>
      <c r="AA292" t="e">
        <f>XGAQF!#REF!</f>
        <v>#REF!</v>
      </c>
      <c r="AB292" t="e">
        <f>XGAQF!#REF!</f>
        <v>#REF!</v>
      </c>
    </row>
    <row r="293" spans="1:28" x14ac:dyDescent="0.25">
      <c r="A293" t="e">
        <f>XGAQF!#REF!</f>
        <v>#REF!</v>
      </c>
      <c r="B293" t="e">
        <f>XGAQF!#REF!</f>
        <v>#REF!</v>
      </c>
      <c r="C293" t="e">
        <f>XGAQF!#REF!</f>
        <v>#REF!</v>
      </c>
      <c r="D293" t="e">
        <f>XGAQF!#REF!</f>
        <v>#REF!</v>
      </c>
      <c r="E293" t="e">
        <f>XGAQF!#REF!</f>
        <v>#REF!</v>
      </c>
      <c r="F293" t="e">
        <f>XGAQF!#REF!</f>
        <v>#REF!</v>
      </c>
      <c r="G293" t="e">
        <f>XGAQF!#REF!</f>
        <v>#REF!</v>
      </c>
      <c r="H293" t="e">
        <f>XGAQF!#REF!</f>
        <v>#REF!</v>
      </c>
      <c r="I293" t="e">
        <f>XGAQF!#REF!</f>
        <v>#REF!</v>
      </c>
      <c r="J293" t="e">
        <f>XGAQF!#REF!</f>
        <v>#REF!</v>
      </c>
      <c r="K293" t="e">
        <f>XGAQF!#REF!</f>
        <v>#REF!</v>
      </c>
      <c r="L293" t="e">
        <f>XGAQF!#REF!</f>
        <v>#REF!</v>
      </c>
      <c r="M293" t="e">
        <f>XGAQF!#REF!</f>
        <v>#REF!</v>
      </c>
      <c r="N293" t="e">
        <f>XGAQF!#REF!</f>
        <v>#REF!</v>
      </c>
      <c r="O293" t="e">
        <f>XGAQF!#REF!</f>
        <v>#REF!</v>
      </c>
      <c r="P293" t="e">
        <f>XGAQF!#REF!</f>
        <v>#REF!</v>
      </c>
      <c r="Q293" t="e">
        <f>XGAQF!#REF!</f>
        <v>#REF!</v>
      </c>
      <c r="R293" t="e">
        <f>XGAQF!#REF!</f>
        <v>#REF!</v>
      </c>
      <c r="S293" t="e">
        <f>XGAQF!#REF!</f>
        <v>#REF!</v>
      </c>
      <c r="T293" t="e">
        <f>XGAQF!#REF!</f>
        <v>#REF!</v>
      </c>
      <c r="U293" t="e">
        <f>XGAQF!#REF!</f>
        <v>#REF!</v>
      </c>
      <c r="V293" t="e">
        <f>XGAQF!#REF!</f>
        <v>#REF!</v>
      </c>
      <c r="W293" t="e">
        <f>XGAQF!#REF!</f>
        <v>#REF!</v>
      </c>
      <c r="X293" t="e">
        <f>XGAQF!#REF!</f>
        <v>#REF!</v>
      </c>
      <c r="Y293" t="e">
        <f>XGAQF!#REF!</f>
        <v>#REF!</v>
      </c>
      <c r="Z293" t="e">
        <f>XGAQF!#REF!</f>
        <v>#REF!</v>
      </c>
      <c r="AA293" t="e">
        <f>XGAQF!#REF!</f>
        <v>#REF!</v>
      </c>
      <c r="AB293" t="e">
        <f>XGAQF!#REF!</f>
        <v>#REF!</v>
      </c>
    </row>
    <row r="294" spans="1:28" x14ac:dyDescent="0.25">
      <c r="A294" t="str">
        <f>XGAQF!A4</f>
        <v>XGAQF</v>
      </c>
      <c r="B294" t="str">
        <f>XGAQF!B4</f>
        <v>Vimpelcom</v>
      </c>
      <c r="C294" t="str">
        <f>XGAQF!C4</f>
        <v>VIP US Equity</v>
      </c>
      <c r="D294" t="e">
        <f ca="1">XGAQF!D4</f>
        <v>#NAME?</v>
      </c>
      <c r="E294">
        <f>XGAQF!E4</f>
        <v>10540</v>
      </c>
      <c r="F294">
        <f>XGAQF!F4</f>
        <v>3.5157387096774193</v>
      </c>
      <c r="G294" t="e">
        <f ca="1">XGAQF!G4</f>
        <v>#NAME?</v>
      </c>
      <c r="H294" t="e">
        <f ca="1">XGAQF!J4</f>
        <v>#NAME?</v>
      </c>
      <c r="I294" t="e">
        <f ca="1">XGAQF!K4</f>
        <v>#NAME?</v>
      </c>
      <c r="J294" t="e">
        <f ca="1">XGAQF!L4</f>
        <v>#NAME?</v>
      </c>
      <c r="K294" t="e">
        <f ca="1">XGAQF!M4</f>
        <v>#NAME?</v>
      </c>
      <c r="L294">
        <f>XGAQF!N4</f>
        <v>37055.885999999999</v>
      </c>
      <c r="M294" t="e">
        <f ca="1">XGAQF!O4</f>
        <v>#NAME?</v>
      </c>
      <c r="N294" t="e">
        <f ca="1">XGAQF!P4</f>
        <v>#NAME?</v>
      </c>
      <c r="O294" t="e">
        <f ca="1">XGAQF!Q4</f>
        <v>#NAME?</v>
      </c>
      <c r="P294" t="e">
        <f ca="1">XGAQF!R4</f>
        <v>#NAME?</v>
      </c>
      <c r="Q294" t="e">
        <f ca="1">XGAQF!S4</f>
        <v>#NAME?</v>
      </c>
      <c r="R294" t="e">
        <f ca="1">XGAQF!T4</f>
        <v>#NAME?</v>
      </c>
      <c r="S294" t="e">
        <f ca="1">XGAQF!U4</f>
        <v>#NAME?</v>
      </c>
      <c r="T294" t="e">
        <f ca="1">XGAQF!V4</f>
        <v>#NAME?</v>
      </c>
      <c r="U294" t="e">
        <f>XGAQF!#REF!</f>
        <v>#REF!</v>
      </c>
      <c r="V294" t="e">
        <f>XGAQF!#REF!</f>
        <v>#REF!</v>
      </c>
      <c r="W294" t="e">
        <f>XGAQF!#REF!</f>
        <v>#REF!</v>
      </c>
      <c r="X294" t="e">
        <f>XGAQF!#REF!</f>
        <v>#REF!</v>
      </c>
      <c r="Y294" t="e">
        <f ca="1">XGAQF!W4</f>
        <v>#NAME?</v>
      </c>
      <c r="Z294" t="e">
        <f ca="1">XGAQF!X4</f>
        <v>#NAME?</v>
      </c>
      <c r="AA294" t="e">
        <f>XGAQF!#REF!</f>
        <v>#REF!</v>
      </c>
      <c r="AB294" t="e">
        <f>XGAQF!#REF!</f>
        <v>#REF!</v>
      </c>
    </row>
    <row r="295" spans="1:28" x14ac:dyDescent="0.25">
      <c r="A295" t="str">
        <f>XGAQF!A5</f>
        <v>XGAQF</v>
      </c>
      <c r="B295" t="str">
        <f>XGAQF!B5</f>
        <v>Kazmunaigaz</v>
      </c>
      <c r="C295" t="str">
        <f>XGAQF!C5</f>
        <v>KMG LI Equity</v>
      </c>
      <c r="D295" t="e">
        <f ca="1">XGAQF!D5</f>
        <v>#NAME?</v>
      </c>
      <c r="E295">
        <f>XGAQF!E5</f>
        <v>3270</v>
      </c>
      <c r="F295">
        <f>XGAQF!F5</f>
        <v>7.63</v>
      </c>
      <c r="G295" t="e">
        <f ca="1">XGAQF!G5</f>
        <v>#NAME?</v>
      </c>
      <c r="H295" t="e">
        <f ca="1">XGAQF!J5</f>
        <v>#NAME?</v>
      </c>
      <c r="I295" t="e">
        <f ca="1">XGAQF!K5</f>
        <v>#NAME?</v>
      </c>
      <c r="J295" t="e">
        <f ca="1">XGAQF!L5</f>
        <v>#NAME?</v>
      </c>
      <c r="K295" t="e">
        <f ca="1">XGAQF!M5</f>
        <v>#NAME?</v>
      </c>
      <c r="L295">
        <f>XGAQF!N5</f>
        <v>24950.1</v>
      </c>
      <c r="M295" t="e">
        <f ca="1">XGAQF!O5</f>
        <v>#NAME?</v>
      </c>
      <c r="N295" t="e">
        <f ca="1">XGAQF!P5</f>
        <v>#NAME?</v>
      </c>
      <c r="O295" t="e">
        <f ca="1">XGAQF!Q5</f>
        <v>#NAME?</v>
      </c>
      <c r="P295" t="e">
        <f ca="1">XGAQF!R5</f>
        <v>#NAME?</v>
      </c>
      <c r="Q295" t="e">
        <f ca="1">XGAQF!S5</f>
        <v>#NAME?</v>
      </c>
      <c r="R295" t="e">
        <f ca="1">XGAQF!T5</f>
        <v>#NAME?</v>
      </c>
      <c r="S295" t="e">
        <f ca="1">XGAQF!U5</f>
        <v>#NAME?</v>
      </c>
      <c r="T295" t="e">
        <f ca="1">XGAQF!V5</f>
        <v>#NAME?</v>
      </c>
      <c r="U295" t="e">
        <f>XGAQF!#REF!</f>
        <v>#REF!</v>
      </c>
      <c r="V295" t="e">
        <f>XGAQF!#REF!</f>
        <v>#REF!</v>
      </c>
      <c r="W295" t="e">
        <f>XGAQF!#REF!</f>
        <v>#REF!</v>
      </c>
      <c r="X295" t="e">
        <f>XGAQF!#REF!</f>
        <v>#REF!</v>
      </c>
      <c r="Y295" t="e">
        <f ca="1">XGAQF!W5</f>
        <v>#NAME?</v>
      </c>
      <c r="Z295" t="e">
        <f ca="1">XGAQF!X5</f>
        <v>#NAME?</v>
      </c>
      <c r="AA295" t="e">
        <f>XGAQF!#REF!</f>
        <v>#REF!</v>
      </c>
      <c r="AB295" t="e">
        <f>XGAQF!#REF!</f>
        <v>#REF!</v>
      </c>
    </row>
    <row r="296" spans="1:28" x14ac:dyDescent="0.25">
      <c r="A296" t="str">
        <f>XGAQF!A8</f>
        <v>XGAQF</v>
      </c>
      <c r="B296" t="str">
        <f>XGAQF!B8</f>
        <v>Megafon</v>
      </c>
      <c r="C296" t="str">
        <f>XGAQF!C8</f>
        <v>MFON RX Equity</v>
      </c>
      <c r="D296" t="e">
        <f ca="1">XGAQF!D8</f>
        <v>#NAME?</v>
      </c>
      <c r="E296">
        <f>XGAQF!E8</f>
        <v>6200</v>
      </c>
      <c r="F296">
        <f>XGAQF!F8</f>
        <v>755.72258064516132</v>
      </c>
      <c r="G296" t="e">
        <f ca="1">XGAQF!G8</f>
        <v>#NAME?</v>
      </c>
      <c r="H296" t="e">
        <f ca="1">XGAQF!J8</f>
        <v>#NAME?</v>
      </c>
      <c r="I296" t="e">
        <f ca="1">XGAQF!K8</f>
        <v>#NAME?</v>
      </c>
      <c r="J296" t="e">
        <f ca="1">XGAQF!L8</f>
        <v>#NAME?</v>
      </c>
      <c r="K296">
        <f>XGAQF!M8</f>
        <v>4685480</v>
      </c>
      <c r="L296" t="e">
        <f ca="1">XGAQF!N8</f>
        <v>#NAME?</v>
      </c>
      <c r="M296" t="e">
        <f ca="1">XGAQF!O8</f>
        <v>#NAME?</v>
      </c>
      <c r="N296" t="e">
        <f ca="1">XGAQF!P8</f>
        <v>#NAME?</v>
      </c>
      <c r="O296" t="e">
        <f ca="1">XGAQF!Q8</f>
        <v>#NAME?</v>
      </c>
      <c r="P296" t="e">
        <f ca="1">XGAQF!R8</f>
        <v>#NAME?</v>
      </c>
      <c r="Q296" t="e">
        <f ca="1">XGAQF!S8</f>
        <v>#NAME?</v>
      </c>
      <c r="R296" t="e">
        <f ca="1">XGAQF!T8</f>
        <v>#NAME?</v>
      </c>
      <c r="S296" t="e">
        <f ca="1">XGAQF!U8</f>
        <v>#NAME?</v>
      </c>
      <c r="T296" t="e">
        <f ca="1">XGAQF!V8</f>
        <v>#NAME?</v>
      </c>
      <c r="U296" t="e">
        <f>XGAQF!#REF!</f>
        <v>#REF!</v>
      </c>
      <c r="V296" t="e">
        <f>XGAQF!#REF!</f>
        <v>#REF!</v>
      </c>
      <c r="W296" t="e">
        <f>XGAQF!#REF!</f>
        <v>#REF!</v>
      </c>
      <c r="X296" t="e">
        <f>XGAQF!#REF!</f>
        <v>#REF!</v>
      </c>
      <c r="Y296" t="e">
        <f ca="1">XGAQF!W8</f>
        <v>#NAME?</v>
      </c>
      <c r="Z296" t="e">
        <f ca="1">XGAQF!X8</f>
        <v>#NAME?</v>
      </c>
      <c r="AA296" t="e">
        <f>XGAQF!#REF!</f>
        <v>#REF!</v>
      </c>
      <c r="AB296" t="e">
        <f>XGAQF!#REF!</f>
        <v>#REF!</v>
      </c>
    </row>
    <row r="297" spans="1:28" x14ac:dyDescent="0.25">
      <c r="A297" t="e">
        <f>XGAQF!#REF!</f>
        <v>#REF!</v>
      </c>
      <c r="B297" t="e">
        <f>XGAQF!#REF!</f>
        <v>#REF!</v>
      </c>
      <c r="C297" t="e">
        <f>XGAQF!#REF!</f>
        <v>#REF!</v>
      </c>
      <c r="D297" t="e">
        <f>XGAQF!#REF!</f>
        <v>#REF!</v>
      </c>
      <c r="E297" t="e">
        <f>XGAQF!#REF!</f>
        <v>#REF!</v>
      </c>
      <c r="F297" t="e">
        <f>XGAQF!#REF!</f>
        <v>#REF!</v>
      </c>
      <c r="G297" t="e">
        <f>XGAQF!#REF!</f>
        <v>#REF!</v>
      </c>
      <c r="H297" t="e">
        <f>XGAQF!#REF!</f>
        <v>#REF!</v>
      </c>
      <c r="I297" t="e">
        <f>XGAQF!#REF!</f>
        <v>#REF!</v>
      </c>
      <c r="J297" t="e">
        <f>XGAQF!#REF!</f>
        <v>#REF!</v>
      </c>
      <c r="K297" t="e">
        <f>XGAQF!#REF!</f>
        <v>#REF!</v>
      </c>
      <c r="L297" t="e">
        <f>XGAQF!#REF!</f>
        <v>#REF!</v>
      </c>
      <c r="M297" t="e">
        <f>XGAQF!#REF!</f>
        <v>#REF!</v>
      </c>
      <c r="N297" t="e">
        <f>XGAQF!#REF!</f>
        <v>#REF!</v>
      </c>
      <c r="O297" t="e">
        <f>XGAQF!#REF!</f>
        <v>#REF!</v>
      </c>
      <c r="P297" t="e">
        <f>XGAQF!#REF!</f>
        <v>#REF!</v>
      </c>
      <c r="Q297" t="e">
        <f>XGAQF!#REF!</f>
        <v>#REF!</v>
      </c>
      <c r="R297" t="e">
        <f>XGAQF!#REF!</f>
        <v>#REF!</v>
      </c>
      <c r="S297" t="e">
        <f>XGAQF!#REF!</f>
        <v>#REF!</v>
      </c>
      <c r="T297" t="e">
        <f>XGAQF!#REF!</f>
        <v>#REF!</v>
      </c>
      <c r="U297" t="e">
        <f>XGAQF!#REF!</f>
        <v>#REF!</v>
      </c>
      <c r="V297" t="e">
        <f>XGAQF!#REF!</f>
        <v>#REF!</v>
      </c>
      <c r="W297" t="e">
        <f>XGAQF!#REF!</f>
        <v>#REF!</v>
      </c>
      <c r="X297" t="e">
        <f>XGAQF!#REF!</f>
        <v>#REF!</v>
      </c>
      <c r="Y297" t="e">
        <f>XGAQF!#REF!</f>
        <v>#REF!</v>
      </c>
      <c r="Z297" t="e">
        <f>XGAQF!#REF!</f>
        <v>#REF!</v>
      </c>
      <c r="AA297" t="e">
        <f>XGAQF!#REF!</f>
        <v>#REF!</v>
      </c>
      <c r="AB297" t="e">
        <f>XGAQF!#REF!</f>
        <v>#REF!</v>
      </c>
    </row>
    <row r="298" spans="1:28" x14ac:dyDescent="0.25">
      <c r="A298" t="str">
        <f>XGAQF!A10</f>
        <v>XGAQF</v>
      </c>
      <c r="B298" t="str">
        <f>XGAQF!B10</f>
        <v>Rusal</v>
      </c>
      <c r="C298" t="str">
        <f>XGAQF!C10</f>
        <v>RUALR RX Equity</v>
      </c>
      <c r="D298" t="e">
        <f ca="1">XGAQF!D10</f>
        <v>#NAME?</v>
      </c>
      <c r="E298">
        <f>XGAQF!E10</f>
        <v>15830</v>
      </c>
      <c r="F298">
        <f>XGAQF!F10</f>
        <v>261.95073278584965</v>
      </c>
      <c r="G298" t="e">
        <f ca="1">XGAQF!G10</f>
        <v>#NAME?</v>
      </c>
      <c r="H298" t="e">
        <f ca="1">XGAQF!J10</f>
        <v>#NAME?</v>
      </c>
      <c r="I298" t="e">
        <f ca="1">XGAQF!K10</f>
        <v>#NAME?</v>
      </c>
      <c r="J298" t="e">
        <f ca="1">XGAQF!L10</f>
        <v>#NAME?</v>
      </c>
      <c r="K298">
        <f>XGAQF!M10</f>
        <v>4146680.1</v>
      </c>
      <c r="L298" t="e">
        <f ca="1">XGAQF!N10</f>
        <v>#NAME?</v>
      </c>
      <c r="M298" t="e">
        <f ca="1">XGAQF!O10</f>
        <v>#NAME?</v>
      </c>
      <c r="N298" t="e">
        <f ca="1">XGAQF!P10</f>
        <v>#NAME?</v>
      </c>
      <c r="O298" t="e">
        <f ca="1">XGAQF!Q10</f>
        <v>#NAME?</v>
      </c>
      <c r="P298" t="e">
        <f ca="1">XGAQF!R10</f>
        <v>#NAME?</v>
      </c>
      <c r="Q298" t="e">
        <f ca="1">XGAQF!S10</f>
        <v>#NAME?</v>
      </c>
      <c r="R298" t="e">
        <f ca="1">XGAQF!T10</f>
        <v>#NAME?</v>
      </c>
      <c r="S298" t="e">
        <f ca="1">XGAQF!U10</f>
        <v>#NAME?</v>
      </c>
      <c r="T298" t="e">
        <f ca="1">XGAQF!V10</f>
        <v>#NAME?</v>
      </c>
      <c r="U298" t="e">
        <f>XGAQF!#REF!</f>
        <v>#REF!</v>
      </c>
      <c r="V298" t="e">
        <f>XGAQF!#REF!</f>
        <v>#REF!</v>
      </c>
      <c r="W298" t="e">
        <f>XGAQF!#REF!</f>
        <v>#REF!</v>
      </c>
      <c r="X298" t="e">
        <f>XGAQF!#REF!</f>
        <v>#REF!</v>
      </c>
      <c r="Y298" t="e">
        <f ca="1">XGAQF!W10</f>
        <v>#NAME?</v>
      </c>
      <c r="Z298" t="e">
        <f ca="1">XGAQF!X10</f>
        <v>#NAME?</v>
      </c>
      <c r="AA298" t="e">
        <f>XGAQF!#REF!</f>
        <v>#REF!</v>
      </c>
      <c r="AB298" t="e">
        <f>XGAQF!#REF!</f>
        <v>#REF!</v>
      </c>
    </row>
    <row r="299" spans="1:28" x14ac:dyDescent="0.25">
      <c r="A299" t="str">
        <f>XGAQF!A11</f>
        <v>XGAQF</v>
      </c>
      <c r="B299" t="str">
        <f>XGAQF!B11</f>
        <v>Etalon</v>
      </c>
      <c r="C299" t="str">
        <f>XGAQF!C11</f>
        <v>ETLN LI Equity</v>
      </c>
      <c r="D299" t="e">
        <f ca="1">XGAQF!D11</f>
        <v>#NAME?</v>
      </c>
      <c r="E299">
        <f>XGAQF!E11</f>
        <v>12000</v>
      </c>
      <c r="F299">
        <f>XGAQF!F11</f>
        <v>1.57323733</v>
      </c>
      <c r="G299" t="e">
        <f ca="1">XGAQF!G11</f>
        <v>#NAME?</v>
      </c>
      <c r="H299" t="e">
        <f ca="1">XGAQF!J11</f>
        <v>#NAME?</v>
      </c>
      <c r="I299" t="e">
        <f ca="1">XGAQF!K11</f>
        <v>#NAME?</v>
      </c>
      <c r="J299" t="e">
        <f ca="1">XGAQF!L11</f>
        <v>#NAME?</v>
      </c>
      <c r="K299" t="e">
        <f ca="1">XGAQF!M11</f>
        <v>#NAME?</v>
      </c>
      <c r="L299">
        <f>XGAQF!N11</f>
        <v>18878.847959999999</v>
      </c>
      <c r="M299" t="e">
        <f ca="1">XGAQF!O11</f>
        <v>#NAME?</v>
      </c>
      <c r="N299" t="e">
        <f ca="1">XGAQF!P11</f>
        <v>#NAME?</v>
      </c>
      <c r="O299" t="e">
        <f ca="1">XGAQF!Q11</f>
        <v>#NAME?</v>
      </c>
      <c r="P299" t="e">
        <f ca="1">XGAQF!R11</f>
        <v>#NAME?</v>
      </c>
      <c r="Q299" t="e">
        <f ca="1">XGAQF!S11</f>
        <v>#NAME?</v>
      </c>
      <c r="R299" t="e">
        <f ca="1">XGAQF!T11</f>
        <v>#NAME?</v>
      </c>
      <c r="S299" t="e">
        <f ca="1">XGAQF!U11</f>
        <v>#NAME?</v>
      </c>
      <c r="T299" t="e">
        <f ca="1">XGAQF!V11</f>
        <v>#NAME?</v>
      </c>
      <c r="U299" t="e">
        <f>XGAQF!#REF!</f>
        <v>#REF!</v>
      </c>
      <c r="V299" t="e">
        <f>XGAQF!#REF!</f>
        <v>#REF!</v>
      </c>
      <c r="W299" t="e">
        <f>XGAQF!#REF!</f>
        <v>#REF!</v>
      </c>
      <c r="X299" t="e">
        <f>XGAQF!#REF!</f>
        <v>#REF!</v>
      </c>
      <c r="Y299" t="e">
        <f ca="1">XGAQF!W11</f>
        <v>#NAME?</v>
      </c>
      <c r="Z299" t="e">
        <f ca="1">XGAQF!X11</f>
        <v>#NAME?</v>
      </c>
      <c r="AA299" t="e">
        <f>XGAQF!#REF!</f>
        <v>#REF!</v>
      </c>
      <c r="AB299" t="e">
        <f>XGAQF!#REF!</f>
        <v>#REF!</v>
      </c>
    </row>
    <row r="300" spans="1:28" x14ac:dyDescent="0.25">
      <c r="A300" t="str">
        <f>XGAQF!A13</f>
        <v>XGAQF</v>
      </c>
      <c r="B300" t="str">
        <f>XGAQF!B13</f>
        <v>Phosagro</v>
      </c>
      <c r="C300" t="str">
        <f>XGAQF!C13</f>
        <v>PHOR RX Equity</v>
      </c>
      <c r="D300" t="e">
        <f ca="1">XGAQF!D13</f>
        <v>#NAME?</v>
      </c>
      <c r="E300">
        <f>XGAQF!E13</f>
        <v>802</v>
      </c>
      <c r="F300">
        <f>XGAQF!F13</f>
        <v>2459.7370000000001</v>
      </c>
      <c r="G300" t="e">
        <f ca="1">XGAQF!G13</f>
        <v>#NAME?</v>
      </c>
      <c r="H300" t="e">
        <f ca="1">XGAQF!J13</f>
        <v>#NAME?</v>
      </c>
      <c r="I300" t="e">
        <f ca="1">XGAQF!K13</f>
        <v>#NAME?</v>
      </c>
      <c r="J300" t="e">
        <f ca="1">XGAQF!L13</f>
        <v>#NAME?</v>
      </c>
      <c r="K300">
        <f>XGAQF!M13</f>
        <v>1972709.074</v>
      </c>
      <c r="L300" t="e">
        <f ca="1">XGAQF!N13</f>
        <v>#NAME?</v>
      </c>
      <c r="M300" t="e">
        <f ca="1">XGAQF!O13</f>
        <v>#NAME?</v>
      </c>
      <c r="N300" t="e">
        <f ca="1">XGAQF!P13</f>
        <v>#NAME?</v>
      </c>
      <c r="O300" t="e">
        <f ca="1">XGAQF!Q13</f>
        <v>#NAME?</v>
      </c>
      <c r="P300" t="e">
        <f ca="1">XGAQF!R13</f>
        <v>#NAME?</v>
      </c>
      <c r="Q300" t="e">
        <f ca="1">XGAQF!S13</f>
        <v>#NAME?</v>
      </c>
      <c r="R300" t="e">
        <f ca="1">XGAQF!T13</f>
        <v>#NAME?</v>
      </c>
      <c r="S300" t="e">
        <f ca="1">XGAQF!U13</f>
        <v>#NAME?</v>
      </c>
      <c r="T300" t="e">
        <f ca="1">XGAQF!V13</f>
        <v>#NAME?</v>
      </c>
      <c r="U300" t="e">
        <f>XGAQF!#REF!</f>
        <v>#REF!</v>
      </c>
      <c r="V300" t="e">
        <f>XGAQF!#REF!</f>
        <v>#REF!</v>
      </c>
      <c r="W300" t="e">
        <f>XGAQF!#REF!</f>
        <v>#REF!</v>
      </c>
      <c r="X300" t="e">
        <f>XGAQF!#REF!</f>
        <v>#REF!</v>
      </c>
      <c r="Y300" t="e">
        <f ca="1">XGAQF!W13</f>
        <v>#NAME?</v>
      </c>
      <c r="Z300" t="e">
        <f ca="1">XGAQF!X13</f>
        <v>#NAME?</v>
      </c>
      <c r="AA300" t="e">
        <f>XGAQF!#REF!</f>
        <v>#REF!</v>
      </c>
      <c r="AB300" t="e">
        <f>XGAQF!#REF!</f>
        <v>#REF!</v>
      </c>
    </row>
    <row r="301" spans="1:28" x14ac:dyDescent="0.25">
      <c r="A301" t="e">
        <f>XGAQF!#REF!</f>
        <v>#REF!</v>
      </c>
      <c r="B301" t="e">
        <f>XGAQF!#REF!</f>
        <v>#REF!</v>
      </c>
      <c r="C301" t="e">
        <f>XGAQF!#REF!</f>
        <v>#REF!</v>
      </c>
      <c r="D301" t="e">
        <f>XGAQF!#REF!</f>
        <v>#REF!</v>
      </c>
      <c r="E301" t="e">
        <f>XGAQF!#REF!</f>
        <v>#REF!</v>
      </c>
      <c r="F301" t="e">
        <f>XGAQF!#REF!</f>
        <v>#REF!</v>
      </c>
      <c r="G301" t="e">
        <f>XGAQF!#REF!</f>
        <v>#REF!</v>
      </c>
      <c r="H301" t="e">
        <f>XGAQF!#REF!</f>
        <v>#REF!</v>
      </c>
      <c r="I301" t="e">
        <f>XGAQF!#REF!</f>
        <v>#REF!</v>
      </c>
      <c r="J301" t="e">
        <f>XGAQF!#REF!</f>
        <v>#REF!</v>
      </c>
      <c r="K301" t="e">
        <f>XGAQF!#REF!</f>
        <v>#REF!</v>
      </c>
      <c r="L301" t="e">
        <f>XGAQF!#REF!</f>
        <v>#REF!</v>
      </c>
      <c r="M301" t="e">
        <f>XGAQF!#REF!</f>
        <v>#REF!</v>
      </c>
      <c r="N301" t="e">
        <f>XGAQF!#REF!</f>
        <v>#REF!</v>
      </c>
      <c r="O301" t="e">
        <f>XGAQF!#REF!</f>
        <v>#REF!</v>
      </c>
      <c r="P301" t="e">
        <f>XGAQF!#REF!</f>
        <v>#REF!</v>
      </c>
      <c r="Q301" t="e">
        <f>XGAQF!#REF!</f>
        <v>#REF!</v>
      </c>
      <c r="R301" t="e">
        <f>XGAQF!#REF!</f>
        <v>#REF!</v>
      </c>
      <c r="S301" t="e">
        <f>XGAQF!#REF!</f>
        <v>#REF!</v>
      </c>
      <c r="T301" t="e">
        <f>XGAQF!#REF!</f>
        <v>#REF!</v>
      </c>
      <c r="U301" t="e">
        <f>XGAQF!#REF!</f>
        <v>#REF!</v>
      </c>
      <c r="V301" t="e">
        <f>XGAQF!#REF!</f>
        <v>#REF!</v>
      </c>
      <c r="W301" t="e">
        <f>XGAQF!#REF!</f>
        <v>#REF!</v>
      </c>
      <c r="X301" t="e">
        <f>XGAQF!#REF!</f>
        <v>#REF!</v>
      </c>
      <c r="Y301" t="e">
        <f>XGAQF!#REF!</f>
        <v>#REF!</v>
      </c>
      <c r="Z301" t="e">
        <f>XGAQF!#REF!</f>
        <v>#REF!</v>
      </c>
      <c r="AA301" t="e">
        <f>XGAQF!#REF!</f>
        <v>#REF!</v>
      </c>
      <c r="AB301" t="e">
        <f>XGAQF!#REF!</f>
        <v>#REF!</v>
      </c>
    </row>
    <row r="302" spans="1:28" x14ac:dyDescent="0.25">
      <c r="A302" t="str">
        <f>XGAQF!A17</f>
        <v>XGAQF</v>
      </c>
      <c r="B302" t="e">
        <f ca="1">XGAQF!B17</f>
        <v>#NAME?</v>
      </c>
      <c r="C302" t="str">
        <f>XGAQF!C17</f>
        <v>XS1032750165 Corp</v>
      </c>
      <c r="D302" t="e">
        <f ca="1">XGAQF!D17</f>
        <v>#NAME?</v>
      </c>
      <c r="E302">
        <f>XGAQF!E17</f>
        <v>400000</v>
      </c>
      <c r="F302">
        <f>XGAQF!F17</f>
        <v>100.12</v>
      </c>
      <c r="G302" t="e">
        <f ca="1">XGAQF!G17</f>
        <v>#NAME?</v>
      </c>
      <c r="H302" t="e">
        <f ca="1">XGAQF!J17</f>
        <v>#NAME?</v>
      </c>
      <c r="I302" t="e">
        <f ca="1">XGAQF!K17</f>
        <v>#NAME?</v>
      </c>
      <c r="J302" t="e">
        <f ca="1">XGAQF!L17</f>
        <v>#NAME?</v>
      </c>
      <c r="K302" t="e">
        <f ca="1">XGAQF!M17</f>
        <v>#NAME?</v>
      </c>
      <c r="L302">
        <f>XGAQF!N17</f>
        <v>400480</v>
      </c>
      <c r="M302" t="e">
        <f ca="1">XGAQF!O17</f>
        <v>#NAME?</v>
      </c>
      <c r="N302" t="e">
        <f ca="1">XGAQF!P17</f>
        <v>#NAME?</v>
      </c>
      <c r="O302" t="e">
        <f ca="1">XGAQF!Q17</f>
        <v>#NAME?</v>
      </c>
      <c r="P302" t="e">
        <f ca="1">XGAQF!R17</f>
        <v>#NAME?</v>
      </c>
      <c r="Q302" t="e">
        <f ca="1">XGAQF!S17</f>
        <v>#NAME?</v>
      </c>
      <c r="R302" t="e">
        <f ca="1">XGAQF!T17</f>
        <v>#NAME?</v>
      </c>
      <c r="S302" t="e">
        <f ca="1">XGAQF!U17</f>
        <v>#NAME?</v>
      </c>
      <c r="T302" t="e">
        <f ca="1">XGAQF!V17</f>
        <v>#NAME?</v>
      </c>
      <c r="U302" t="e">
        <f>XGAQF!#REF!</f>
        <v>#REF!</v>
      </c>
      <c r="V302" t="e">
        <f>XGAQF!#REF!</f>
        <v>#REF!</v>
      </c>
      <c r="W302" t="e">
        <f>XGAQF!#REF!</f>
        <v>#REF!</v>
      </c>
      <c r="X302" t="e">
        <f>XGAQF!#REF!</f>
        <v>#REF!</v>
      </c>
      <c r="Y302">
        <f>XGAQF!W17</f>
        <v>0</v>
      </c>
      <c r="Z302">
        <f>XGAQF!X17</f>
        <v>0</v>
      </c>
      <c r="AA302" t="e">
        <f>XGAQF!#REF!</f>
        <v>#REF!</v>
      </c>
      <c r="AB302" t="e">
        <f>XGAQF!#REF!</f>
        <v>#REF!</v>
      </c>
    </row>
    <row r="303" spans="1:28" x14ac:dyDescent="0.25">
      <c r="A303" t="e">
        <f>XGAQF!#REF!</f>
        <v>#REF!</v>
      </c>
      <c r="B303" t="e">
        <f>XGAQF!#REF!</f>
        <v>#REF!</v>
      </c>
      <c r="C303" t="e">
        <f>XGAQF!#REF!</f>
        <v>#REF!</v>
      </c>
      <c r="D303" t="e">
        <f>XGAQF!#REF!</f>
        <v>#REF!</v>
      </c>
      <c r="E303" t="e">
        <f>XGAQF!#REF!</f>
        <v>#REF!</v>
      </c>
      <c r="F303" t="e">
        <f>XGAQF!#REF!</f>
        <v>#REF!</v>
      </c>
      <c r="G303" t="e">
        <f>XGAQF!#REF!</f>
        <v>#REF!</v>
      </c>
      <c r="H303" t="e">
        <f>XGAQF!#REF!</f>
        <v>#REF!</v>
      </c>
      <c r="I303" t="e">
        <f>XGAQF!#REF!</f>
        <v>#REF!</v>
      </c>
      <c r="J303" t="e">
        <f>XGAQF!#REF!</f>
        <v>#REF!</v>
      </c>
      <c r="K303" t="e">
        <f>XGAQF!#REF!</f>
        <v>#REF!</v>
      </c>
      <c r="L303" t="e">
        <f>XGAQF!#REF!</f>
        <v>#REF!</v>
      </c>
      <c r="M303" t="e">
        <f>XGAQF!#REF!</f>
        <v>#REF!</v>
      </c>
      <c r="N303" t="e">
        <f>XGAQF!#REF!</f>
        <v>#REF!</v>
      </c>
      <c r="O303" t="e">
        <f>XGAQF!#REF!</f>
        <v>#REF!</v>
      </c>
      <c r="P303" t="e">
        <f>XGAQF!#REF!</f>
        <v>#REF!</v>
      </c>
      <c r="Q303" t="e">
        <f>XGAQF!#REF!</f>
        <v>#REF!</v>
      </c>
      <c r="R303" t="e">
        <f>XGAQF!#REF!</f>
        <v>#REF!</v>
      </c>
      <c r="S303" t="e">
        <f>XGAQF!#REF!</f>
        <v>#REF!</v>
      </c>
      <c r="T303" t="e">
        <f>XGAQF!#REF!</f>
        <v>#REF!</v>
      </c>
      <c r="U303" t="e">
        <f>XGAQF!#REF!</f>
        <v>#REF!</v>
      </c>
      <c r="V303" t="e">
        <f>XGAQF!#REF!</f>
        <v>#REF!</v>
      </c>
      <c r="W303" t="e">
        <f>XGAQF!#REF!</f>
        <v>#REF!</v>
      </c>
      <c r="X303" t="e">
        <f>XGAQF!#REF!</f>
        <v>#REF!</v>
      </c>
      <c r="Y303" t="e">
        <f>XGAQF!#REF!</f>
        <v>#REF!</v>
      </c>
      <c r="Z303" t="e">
        <f>XGAQF!#REF!</f>
        <v>#REF!</v>
      </c>
      <c r="AA303" t="e">
        <f>XGAQF!#REF!</f>
        <v>#REF!</v>
      </c>
      <c r="AB303" t="e">
        <f>XGAQF!#REF!</f>
        <v>#REF!</v>
      </c>
    </row>
    <row r="304" spans="1:28" x14ac:dyDescent="0.25">
      <c r="A304" t="str">
        <f>XGAQF!A18</f>
        <v>XGAQF</v>
      </c>
      <c r="B304" t="e">
        <f ca="1">XGAQF!B18</f>
        <v>#NAME?</v>
      </c>
      <c r="C304" t="str">
        <f>XGAQF!C18</f>
        <v>XS0993162683 Corp</v>
      </c>
      <c r="D304" t="e">
        <f ca="1">XGAQF!D18</f>
        <v>#NAME?</v>
      </c>
      <c r="E304">
        <f>XGAQF!E18</f>
        <v>200000</v>
      </c>
      <c r="F304">
        <f>XGAQF!F18</f>
        <v>104.125</v>
      </c>
      <c r="G304" t="e">
        <f ca="1">XGAQF!G18</f>
        <v>#NAME?</v>
      </c>
      <c r="H304" t="e">
        <f ca="1">XGAQF!J18</f>
        <v>#NAME?</v>
      </c>
      <c r="I304" t="e">
        <f ca="1">XGAQF!K18</f>
        <v>#NAME?</v>
      </c>
      <c r="J304" t="e">
        <f ca="1">XGAQF!L18</f>
        <v>#NAME?</v>
      </c>
      <c r="K304" t="e">
        <f ca="1">XGAQF!M18</f>
        <v>#NAME?</v>
      </c>
      <c r="L304">
        <f>XGAQF!N18</f>
        <v>208250</v>
      </c>
      <c r="M304" t="e">
        <f ca="1">XGAQF!O18</f>
        <v>#NAME?</v>
      </c>
      <c r="N304" t="e">
        <f ca="1">XGAQF!P18</f>
        <v>#NAME?</v>
      </c>
      <c r="O304" t="e">
        <f ca="1">XGAQF!Q18</f>
        <v>#NAME?</v>
      </c>
      <c r="P304" t="e">
        <f ca="1">XGAQF!R18</f>
        <v>#NAME?</v>
      </c>
      <c r="Q304" t="e">
        <f ca="1">XGAQF!S18</f>
        <v>#NAME?</v>
      </c>
      <c r="R304" t="e">
        <f ca="1">XGAQF!T18</f>
        <v>#NAME?</v>
      </c>
      <c r="S304" t="e">
        <f ca="1">XGAQF!U18</f>
        <v>#NAME?</v>
      </c>
      <c r="T304" t="e">
        <f ca="1">XGAQF!V18</f>
        <v>#NAME?</v>
      </c>
      <c r="U304" t="e">
        <f>XGAQF!#REF!</f>
        <v>#REF!</v>
      </c>
      <c r="V304" t="e">
        <f>XGAQF!#REF!</f>
        <v>#REF!</v>
      </c>
      <c r="W304" t="e">
        <f>XGAQF!#REF!</f>
        <v>#REF!</v>
      </c>
      <c r="X304" t="e">
        <f>XGAQF!#REF!</f>
        <v>#REF!</v>
      </c>
      <c r="Y304">
        <f>XGAQF!W18</f>
        <v>0</v>
      </c>
      <c r="Z304">
        <f>XGAQF!X18</f>
        <v>0</v>
      </c>
      <c r="AA304" t="e">
        <f>XGAQF!#REF!</f>
        <v>#REF!</v>
      </c>
      <c r="AB304" t="e">
        <f>XGAQF!#REF!</f>
        <v>#REF!</v>
      </c>
    </row>
    <row r="305" spans="1:28" x14ac:dyDescent="0.25">
      <c r="A305" t="e">
        <f>XGAQF!#REF!</f>
        <v>#REF!</v>
      </c>
      <c r="B305" t="e">
        <f>XGAQF!#REF!</f>
        <v>#REF!</v>
      </c>
      <c r="C305" t="e">
        <f>XGAQF!#REF!</f>
        <v>#REF!</v>
      </c>
      <c r="D305" t="e">
        <f>XGAQF!#REF!</f>
        <v>#REF!</v>
      </c>
      <c r="E305" t="e">
        <f>XGAQF!#REF!</f>
        <v>#REF!</v>
      </c>
      <c r="F305" t="e">
        <f>XGAQF!#REF!</f>
        <v>#REF!</v>
      </c>
      <c r="G305" t="e">
        <f>XGAQF!#REF!</f>
        <v>#REF!</v>
      </c>
      <c r="H305" t="e">
        <f>XGAQF!#REF!</f>
        <v>#REF!</v>
      </c>
      <c r="I305" t="e">
        <f>XGAQF!#REF!</f>
        <v>#REF!</v>
      </c>
      <c r="J305" t="e">
        <f>XGAQF!#REF!</f>
        <v>#REF!</v>
      </c>
      <c r="K305" t="e">
        <f>XGAQF!#REF!</f>
        <v>#REF!</v>
      </c>
      <c r="L305" t="e">
        <f>XGAQF!#REF!</f>
        <v>#REF!</v>
      </c>
      <c r="M305" t="e">
        <f>XGAQF!#REF!</f>
        <v>#REF!</v>
      </c>
      <c r="N305" t="e">
        <f>XGAQF!#REF!</f>
        <v>#REF!</v>
      </c>
      <c r="O305" t="e">
        <f>XGAQF!#REF!</f>
        <v>#REF!</v>
      </c>
      <c r="P305" t="e">
        <f>XGAQF!#REF!</f>
        <v>#REF!</v>
      </c>
      <c r="Q305" t="e">
        <f>XGAQF!#REF!</f>
        <v>#REF!</v>
      </c>
      <c r="R305" t="e">
        <f>XGAQF!#REF!</f>
        <v>#REF!</v>
      </c>
      <c r="S305" t="e">
        <f>XGAQF!#REF!</f>
        <v>#REF!</v>
      </c>
      <c r="T305" t="e">
        <f>XGAQF!#REF!</f>
        <v>#REF!</v>
      </c>
      <c r="U305" t="e">
        <f>XGAQF!#REF!</f>
        <v>#REF!</v>
      </c>
      <c r="V305" t="e">
        <f>XGAQF!#REF!</f>
        <v>#REF!</v>
      </c>
      <c r="W305" t="e">
        <f>XGAQF!#REF!</f>
        <v>#REF!</v>
      </c>
      <c r="X305" t="e">
        <f>XGAQF!#REF!</f>
        <v>#REF!</v>
      </c>
      <c r="Y305" t="e">
        <f>XGAQF!#REF!</f>
        <v>#REF!</v>
      </c>
      <c r="Z305" t="e">
        <f>XGAQF!#REF!</f>
        <v>#REF!</v>
      </c>
      <c r="AA305" t="e">
        <f>XGAQF!#REF!</f>
        <v>#REF!</v>
      </c>
      <c r="AB305" t="e">
        <f>XGAQF!#REF!</f>
        <v>#REF!</v>
      </c>
    </row>
    <row r="306" spans="1:28" x14ac:dyDescent="0.25">
      <c r="A306" t="e">
        <f>XGAQF!#REF!</f>
        <v>#REF!</v>
      </c>
      <c r="B306" t="e">
        <f>XGAQF!#REF!</f>
        <v>#REF!</v>
      </c>
      <c r="C306" t="e">
        <f>XGAQF!#REF!</f>
        <v>#REF!</v>
      </c>
      <c r="D306" t="e">
        <f>XGAQF!#REF!</f>
        <v>#REF!</v>
      </c>
      <c r="E306" t="e">
        <f>XGAQF!#REF!</f>
        <v>#REF!</v>
      </c>
      <c r="F306" t="e">
        <f>XGAQF!#REF!</f>
        <v>#REF!</v>
      </c>
      <c r="G306" t="e">
        <f>XGAQF!#REF!</f>
        <v>#REF!</v>
      </c>
      <c r="H306" t="e">
        <f>XGAQF!#REF!</f>
        <v>#REF!</v>
      </c>
      <c r="I306" t="e">
        <f>XGAQF!#REF!</f>
        <v>#REF!</v>
      </c>
      <c r="J306" t="e">
        <f>XGAQF!#REF!</f>
        <v>#REF!</v>
      </c>
      <c r="K306" t="e">
        <f>XGAQF!#REF!</f>
        <v>#REF!</v>
      </c>
      <c r="L306" t="e">
        <f>XGAQF!#REF!</f>
        <v>#REF!</v>
      </c>
      <c r="M306" t="e">
        <f>XGAQF!#REF!</f>
        <v>#REF!</v>
      </c>
      <c r="N306" t="e">
        <f>XGAQF!#REF!</f>
        <v>#REF!</v>
      </c>
      <c r="O306" t="e">
        <f>XGAQF!#REF!</f>
        <v>#REF!</v>
      </c>
      <c r="P306" t="e">
        <f>XGAQF!#REF!</f>
        <v>#REF!</v>
      </c>
      <c r="Q306" t="e">
        <f>XGAQF!#REF!</f>
        <v>#REF!</v>
      </c>
      <c r="R306" t="e">
        <f>XGAQF!#REF!</f>
        <v>#REF!</v>
      </c>
      <c r="S306" t="e">
        <f>XGAQF!#REF!</f>
        <v>#REF!</v>
      </c>
      <c r="T306" t="e">
        <f>XGAQF!#REF!</f>
        <v>#REF!</v>
      </c>
      <c r="U306" t="e">
        <f>XGAQF!#REF!</f>
        <v>#REF!</v>
      </c>
      <c r="V306" t="e">
        <f>XGAQF!#REF!</f>
        <v>#REF!</v>
      </c>
      <c r="W306" t="e">
        <f>XGAQF!#REF!</f>
        <v>#REF!</v>
      </c>
      <c r="X306" t="e">
        <f>XGAQF!#REF!</f>
        <v>#REF!</v>
      </c>
      <c r="Y306" t="e">
        <f>XGAQF!#REF!</f>
        <v>#REF!</v>
      </c>
      <c r="Z306" t="e">
        <f>XGAQF!#REF!</f>
        <v>#REF!</v>
      </c>
      <c r="AA306" t="e">
        <f>XGAQF!#REF!</f>
        <v>#REF!</v>
      </c>
      <c r="AB306" t="e">
        <f>XGAQF!#REF!</f>
        <v>#REF!</v>
      </c>
    </row>
    <row r="307" spans="1:28" x14ac:dyDescent="0.25">
      <c r="A307" t="e">
        <f>XGAQF!#REF!</f>
        <v>#REF!</v>
      </c>
      <c r="B307" t="e">
        <f>XGAQF!#REF!</f>
        <v>#REF!</v>
      </c>
      <c r="C307" t="e">
        <f>XGAQF!#REF!</f>
        <v>#REF!</v>
      </c>
      <c r="D307" t="e">
        <f>XGAQF!#REF!</f>
        <v>#REF!</v>
      </c>
      <c r="E307" t="e">
        <f>XGAQF!#REF!</f>
        <v>#REF!</v>
      </c>
      <c r="F307" t="e">
        <f>XGAQF!#REF!</f>
        <v>#REF!</v>
      </c>
      <c r="G307" t="e">
        <f>XGAQF!#REF!</f>
        <v>#REF!</v>
      </c>
      <c r="H307" t="e">
        <f>XGAQF!#REF!</f>
        <v>#REF!</v>
      </c>
      <c r="I307" t="e">
        <f>XGAQF!#REF!</f>
        <v>#REF!</v>
      </c>
      <c r="J307" t="e">
        <f>XGAQF!#REF!</f>
        <v>#REF!</v>
      </c>
      <c r="K307" t="e">
        <f>XGAQF!#REF!</f>
        <v>#REF!</v>
      </c>
      <c r="L307" t="e">
        <f>XGAQF!#REF!</f>
        <v>#REF!</v>
      </c>
      <c r="M307" t="e">
        <f>XGAQF!#REF!</f>
        <v>#REF!</v>
      </c>
      <c r="N307" t="e">
        <f>XGAQF!#REF!</f>
        <v>#REF!</v>
      </c>
      <c r="O307" t="e">
        <f>XGAQF!#REF!</f>
        <v>#REF!</v>
      </c>
      <c r="P307" t="e">
        <f>XGAQF!#REF!</f>
        <v>#REF!</v>
      </c>
      <c r="Q307" t="e">
        <f>XGAQF!#REF!</f>
        <v>#REF!</v>
      </c>
      <c r="R307" t="e">
        <f>XGAQF!#REF!</f>
        <v>#REF!</v>
      </c>
      <c r="S307" t="e">
        <f>XGAQF!#REF!</f>
        <v>#REF!</v>
      </c>
      <c r="T307" t="e">
        <f>XGAQF!#REF!</f>
        <v>#REF!</v>
      </c>
      <c r="U307" t="e">
        <f>XGAQF!#REF!</f>
        <v>#REF!</v>
      </c>
      <c r="V307" t="e">
        <f>XGAQF!#REF!</f>
        <v>#REF!</v>
      </c>
      <c r="W307" t="e">
        <f>XGAQF!#REF!</f>
        <v>#REF!</v>
      </c>
      <c r="X307" t="e">
        <f>XGAQF!#REF!</f>
        <v>#REF!</v>
      </c>
      <c r="Y307" t="e">
        <f>XGAQF!#REF!</f>
        <v>#REF!</v>
      </c>
      <c r="Z307" t="e">
        <f>XGAQF!#REF!</f>
        <v>#REF!</v>
      </c>
      <c r="AA307" t="e">
        <f>XGAQF!#REF!</f>
        <v>#REF!</v>
      </c>
      <c r="AB307" t="e">
        <f>XGAQF!#REF!</f>
        <v>#REF!</v>
      </c>
    </row>
    <row r="308" spans="1:28" x14ac:dyDescent="0.25">
      <c r="A308" t="e">
        <f>XGAQF!#REF!</f>
        <v>#REF!</v>
      </c>
      <c r="B308" t="e">
        <f>XGAQF!#REF!</f>
        <v>#REF!</v>
      </c>
      <c r="C308" t="e">
        <f>XGAQF!#REF!</f>
        <v>#REF!</v>
      </c>
      <c r="D308" t="e">
        <f>XGAQF!#REF!</f>
        <v>#REF!</v>
      </c>
      <c r="E308" t="e">
        <f>XGAQF!#REF!</f>
        <v>#REF!</v>
      </c>
      <c r="F308" t="e">
        <f>XGAQF!#REF!</f>
        <v>#REF!</v>
      </c>
      <c r="G308" t="e">
        <f>XGAQF!#REF!</f>
        <v>#REF!</v>
      </c>
      <c r="H308" t="e">
        <f>XGAQF!#REF!</f>
        <v>#REF!</v>
      </c>
      <c r="I308" t="e">
        <f>XGAQF!#REF!</f>
        <v>#REF!</v>
      </c>
      <c r="J308" t="e">
        <f>XGAQF!#REF!</f>
        <v>#REF!</v>
      </c>
      <c r="K308" t="e">
        <f>XGAQF!#REF!</f>
        <v>#REF!</v>
      </c>
      <c r="L308" t="e">
        <f>XGAQF!#REF!</f>
        <v>#REF!</v>
      </c>
      <c r="M308" t="e">
        <f>XGAQF!#REF!</f>
        <v>#REF!</v>
      </c>
      <c r="N308" t="e">
        <f>XGAQF!#REF!</f>
        <v>#REF!</v>
      </c>
      <c r="O308" t="e">
        <f>XGAQF!#REF!</f>
        <v>#REF!</v>
      </c>
      <c r="P308" t="e">
        <f>XGAQF!#REF!</f>
        <v>#REF!</v>
      </c>
      <c r="Q308" t="e">
        <f>XGAQF!#REF!</f>
        <v>#REF!</v>
      </c>
      <c r="R308" t="e">
        <f>XGAQF!#REF!</f>
        <v>#REF!</v>
      </c>
      <c r="S308" t="e">
        <f>XGAQF!#REF!</f>
        <v>#REF!</v>
      </c>
      <c r="T308" t="e">
        <f>XGAQF!#REF!</f>
        <v>#REF!</v>
      </c>
      <c r="U308" t="e">
        <f>XGAQF!#REF!</f>
        <v>#REF!</v>
      </c>
      <c r="V308" t="e">
        <f>XGAQF!#REF!</f>
        <v>#REF!</v>
      </c>
      <c r="W308" t="e">
        <f>XGAQF!#REF!</f>
        <v>#REF!</v>
      </c>
      <c r="X308" t="e">
        <f>XGAQF!#REF!</f>
        <v>#REF!</v>
      </c>
      <c r="Y308" t="e">
        <f>XGAQF!#REF!</f>
        <v>#REF!</v>
      </c>
      <c r="Z308" t="e">
        <f>XGAQF!#REF!</f>
        <v>#REF!</v>
      </c>
      <c r="AA308" t="e">
        <f>XGAQF!#REF!</f>
        <v>#REF!</v>
      </c>
      <c r="AB308" t="e">
        <f>XGAQF!#REF!</f>
        <v>#REF!</v>
      </c>
    </row>
    <row r="309" spans="1:28" x14ac:dyDescent="0.25">
      <c r="A309" t="str">
        <f>XGAQF!A20</f>
        <v>XGAQF</v>
      </c>
      <c r="B309" t="e">
        <f ca="1">XGAQF!B20</f>
        <v>#NAME?</v>
      </c>
      <c r="C309" t="str">
        <f>XGAQF!C20</f>
        <v>XS0808638612 Corp</v>
      </c>
      <c r="D309" t="e">
        <f ca="1">XGAQF!D20</f>
        <v>#NAME?</v>
      </c>
      <c r="E309">
        <f>XGAQF!E20</f>
        <v>500000</v>
      </c>
      <c r="F309">
        <f>XGAQF!F20</f>
        <v>94</v>
      </c>
      <c r="G309" t="e">
        <f ca="1">XGAQF!G20</f>
        <v>#NAME?</v>
      </c>
      <c r="H309" t="e">
        <f ca="1">XGAQF!J20</f>
        <v>#NAME?</v>
      </c>
      <c r="I309" t="e">
        <f ca="1">XGAQF!K20</f>
        <v>#NAME?</v>
      </c>
      <c r="J309" t="e">
        <f ca="1">XGAQF!L20</f>
        <v>#NAME?</v>
      </c>
      <c r="K309" t="e">
        <f ca="1">XGAQF!M20</f>
        <v>#NAME?</v>
      </c>
      <c r="L309">
        <f>XGAQF!N20</f>
        <v>470000</v>
      </c>
      <c r="M309" t="e">
        <f ca="1">XGAQF!O20</f>
        <v>#NAME?</v>
      </c>
      <c r="N309" t="e">
        <f ca="1">XGAQF!P20</f>
        <v>#NAME?</v>
      </c>
      <c r="O309" t="e">
        <f ca="1">XGAQF!Q20</f>
        <v>#NAME?</v>
      </c>
      <c r="P309" t="e">
        <f ca="1">XGAQF!R20</f>
        <v>#NAME?</v>
      </c>
      <c r="Q309" t="e">
        <f ca="1">XGAQF!S20</f>
        <v>#NAME?</v>
      </c>
      <c r="R309" t="e">
        <f ca="1">XGAQF!T20</f>
        <v>#NAME?</v>
      </c>
      <c r="S309" t="e">
        <f ca="1">XGAQF!U20</f>
        <v>#NAME?</v>
      </c>
      <c r="T309" t="e">
        <f ca="1">XGAQF!V20</f>
        <v>#NAME?</v>
      </c>
      <c r="U309" t="e">
        <f>XGAQF!#REF!</f>
        <v>#REF!</v>
      </c>
      <c r="V309" t="e">
        <f>XGAQF!#REF!</f>
        <v>#REF!</v>
      </c>
      <c r="W309" t="e">
        <f>XGAQF!#REF!</f>
        <v>#REF!</v>
      </c>
      <c r="X309" t="e">
        <f>XGAQF!#REF!</f>
        <v>#REF!</v>
      </c>
      <c r="Y309">
        <f>XGAQF!W20</f>
        <v>0</v>
      </c>
      <c r="Z309">
        <f>XGAQF!X20</f>
        <v>0</v>
      </c>
      <c r="AA309" t="e">
        <f>XGAQF!#REF!</f>
        <v>#REF!</v>
      </c>
      <c r="AB309" t="e">
        <f>XGAQF!#REF!</f>
        <v>#REF!</v>
      </c>
    </row>
    <row r="310" spans="1:28" x14ac:dyDescent="0.25">
      <c r="A310" t="str">
        <f>STHUF!A4</f>
        <v>STHUF</v>
      </c>
      <c r="B310" t="str">
        <f>STHUF!B4</f>
        <v>Vimpelcom</v>
      </c>
      <c r="C310" t="str">
        <f>STHUF!C4</f>
        <v>VIP US Equity</v>
      </c>
      <c r="D310" t="e">
        <f ca="1">STHUF!D4</f>
        <v>#NAME?</v>
      </c>
      <c r="E310">
        <f>STHUF!E4</f>
        <v>12300</v>
      </c>
      <c r="F310">
        <f>STHUF!F4</f>
        <v>3.1730999999999998</v>
      </c>
      <c r="G310" t="e">
        <f ca="1">STHUF!G4</f>
        <v>#NAME?</v>
      </c>
      <c r="H310" t="e">
        <f ca="1">STHUF!K4</f>
        <v>#NAME?</v>
      </c>
      <c r="I310" t="e">
        <f ca="1">STHUF!L4</f>
        <v>#NAME?</v>
      </c>
      <c r="J310" t="e">
        <f ca="1">STHUF!M4</f>
        <v>#NAME?</v>
      </c>
      <c r="K310" t="e">
        <f ca="1">STHUF!N4</f>
        <v>#NAME?</v>
      </c>
      <c r="L310">
        <f>STHUF!O4</f>
        <v>39029.129999999997</v>
      </c>
      <c r="M310" t="e">
        <f ca="1">STHUF!P4</f>
        <v>#NAME?</v>
      </c>
      <c r="N310" t="e">
        <f ca="1">STHUF!Q4</f>
        <v>#NAME?</v>
      </c>
      <c r="O310" t="e">
        <f ca="1">STHUF!R4</f>
        <v>#NAME?</v>
      </c>
      <c r="P310" t="e">
        <f ca="1">STHUF!S4</f>
        <v>#NAME?</v>
      </c>
      <c r="Q310" t="e">
        <f ca="1">STHUF!T4</f>
        <v>#NAME?</v>
      </c>
      <c r="R310" t="e">
        <f>STHUF!#REF!</f>
        <v>#REF!</v>
      </c>
      <c r="S310" t="e">
        <f ca="1">STHUF!U4</f>
        <v>#NAME?</v>
      </c>
      <c r="T310" t="e">
        <f ca="1">STHUF!V4</f>
        <v>#NAME?</v>
      </c>
      <c r="U310" t="e">
        <f>STHUF!#REF!</f>
        <v>#REF!</v>
      </c>
      <c r="V310" t="e">
        <f>STHUF!#REF!</f>
        <v>#REF!</v>
      </c>
      <c r="W310" t="e">
        <f>STHUF!#REF!</f>
        <v>#REF!</v>
      </c>
      <c r="X310" t="e">
        <f>STHUF!#REF!</f>
        <v>#REF!</v>
      </c>
      <c r="Y310" t="e">
        <f ca="1">STHUF!W4</f>
        <v>#NAME?</v>
      </c>
      <c r="Z310" t="e">
        <f ca="1">STHUF!X4</f>
        <v>#NAME?</v>
      </c>
    </row>
    <row r="311" spans="1:28" x14ac:dyDescent="0.25">
      <c r="A311" t="str">
        <f>STHUF!A5</f>
        <v>STHUF</v>
      </c>
      <c r="B311" t="str">
        <f>STHUF!B5</f>
        <v>Polymetal</v>
      </c>
      <c r="C311" t="str">
        <f>STHUF!C5</f>
        <v>POLY RX Equity</v>
      </c>
      <c r="D311" t="e">
        <f ca="1">STHUF!D5</f>
        <v>#NAME?</v>
      </c>
      <c r="E311">
        <f>STHUF!E5</f>
        <v>3112</v>
      </c>
      <c r="F311" t="e">
        <f ca="1">STHUF!F5</f>
        <v>#NAME?</v>
      </c>
      <c r="G311" t="e">
        <f ca="1">STHUF!G5</f>
        <v>#NAME?</v>
      </c>
      <c r="H311" t="e">
        <f ca="1">STHUF!K5</f>
        <v>#NAME?</v>
      </c>
      <c r="I311" t="e">
        <f ca="1">STHUF!L5</f>
        <v>#NAME?</v>
      </c>
      <c r="J311" t="e">
        <f ca="1">STHUF!M5</f>
        <v>#NAME?</v>
      </c>
      <c r="K311" t="e">
        <f ca="1">STHUF!N5</f>
        <v>#NAME?</v>
      </c>
      <c r="L311" t="e">
        <f ca="1">STHUF!O5</f>
        <v>#NAME?</v>
      </c>
      <c r="M311" t="e">
        <f ca="1">STHUF!P5</f>
        <v>#NAME?</v>
      </c>
      <c r="N311" t="e">
        <f ca="1">STHUF!Q5</f>
        <v>#NAME?</v>
      </c>
      <c r="O311" t="e">
        <f ca="1">STHUF!R5</f>
        <v>#NAME?</v>
      </c>
      <c r="P311" t="e">
        <f ca="1">STHUF!S5</f>
        <v>#NAME?</v>
      </c>
      <c r="Q311" t="e">
        <f ca="1">STHUF!T5</f>
        <v>#NAME?</v>
      </c>
      <c r="R311" t="e">
        <f>STHUF!#REF!</f>
        <v>#REF!</v>
      </c>
      <c r="S311" t="e">
        <f ca="1">STHUF!U5</f>
        <v>#NAME?</v>
      </c>
      <c r="T311" t="e">
        <f ca="1">STHUF!V5</f>
        <v>#NAME?</v>
      </c>
      <c r="U311" t="e">
        <f>STHUF!#REF!</f>
        <v>#REF!</v>
      </c>
      <c r="V311" t="e">
        <f>STHUF!#REF!</f>
        <v>#REF!</v>
      </c>
      <c r="W311" t="e">
        <f>STHUF!#REF!</f>
        <v>#REF!</v>
      </c>
      <c r="X311" t="e">
        <f>STHUF!#REF!</f>
        <v>#REF!</v>
      </c>
      <c r="Y311" t="e">
        <f ca="1">STHUF!W5</f>
        <v>#NAME?</v>
      </c>
      <c r="Z311" t="e">
        <f ca="1">STHUF!X5</f>
        <v>#NAME?</v>
      </c>
    </row>
    <row r="312" spans="1:28" x14ac:dyDescent="0.25">
      <c r="A312" t="str">
        <f>STHUF!A6</f>
        <v>STHUF</v>
      </c>
      <c r="B312" t="str">
        <f>STHUF!B6</f>
        <v>Megafon</v>
      </c>
      <c r="C312" t="str">
        <f>STHUF!C6</f>
        <v>MFON RX Equity</v>
      </c>
      <c r="D312" t="e">
        <f ca="1">STHUF!D6</f>
        <v>#NAME?</v>
      </c>
      <c r="E312">
        <f>STHUF!E6</f>
        <v>3600</v>
      </c>
      <c r="F312">
        <f>STHUF!F6</f>
        <v>700</v>
      </c>
      <c r="G312" t="e">
        <f ca="1">STHUF!G6</f>
        <v>#NAME?</v>
      </c>
      <c r="H312" t="e">
        <f ca="1">STHUF!K6</f>
        <v>#NAME?</v>
      </c>
      <c r="I312" t="e">
        <f ca="1">STHUF!L6</f>
        <v>#NAME?</v>
      </c>
      <c r="J312" t="e">
        <f ca="1">STHUF!M6</f>
        <v>#NAME?</v>
      </c>
      <c r="K312">
        <f>STHUF!N6</f>
        <v>2520000</v>
      </c>
      <c r="L312" t="e">
        <f ca="1">STHUF!O6</f>
        <v>#NAME?</v>
      </c>
      <c r="M312" t="e">
        <f ca="1">STHUF!P6</f>
        <v>#NAME?</v>
      </c>
      <c r="N312" t="e">
        <f ca="1">STHUF!Q6</f>
        <v>#NAME?</v>
      </c>
      <c r="O312" t="e">
        <f ca="1">STHUF!R6</f>
        <v>#NAME?</v>
      </c>
      <c r="P312" t="e">
        <f ca="1">STHUF!S6</f>
        <v>#NAME?</v>
      </c>
      <c r="Q312" t="e">
        <f ca="1">STHUF!T6</f>
        <v>#NAME?</v>
      </c>
      <c r="R312" t="e">
        <f>STHUF!#REF!</f>
        <v>#REF!</v>
      </c>
      <c r="S312" t="e">
        <f ca="1">STHUF!U6</f>
        <v>#NAME?</v>
      </c>
      <c r="T312" t="e">
        <f ca="1">STHUF!V6</f>
        <v>#NAME?</v>
      </c>
      <c r="U312" t="e">
        <f>STHUF!#REF!</f>
        <v>#REF!</v>
      </c>
      <c r="V312" t="e">
        <f>STHUF!#REF!</f>
        <v>#REF!</v>
      </c>
      <c r="W312" t="e">
        <f>STHUF!#REF!</f>
        <v>#REF!</v>
      </c>
      <c r="X312" t="e">
        <f>STHUF!#REF!</f>
        <v>#REF!</v>
      </c>
      <c r="Y312" t="e">
        <f ca="1">STHUF!W6</f>
        <v>#NAME?</v>
      </c>
      <c r="Z312" t="e">
        <f ca="1">STHUF!X6</f>
        <v>#NAME?</v>
      </c>
    </row>
    <row r="313" spans="1:28" x14ac:dyDescent="0.25">
      <c r="A313" t="str">
        <f>STHUF!A7</f>
        <v>STHUF</v>
      </c>
      <c r="B313" t="str">
        <f>STHUF!B7</f>
        <v>Highland Gold Mining</v>
      </c>
      <c r="C313" t="str">
        <f>STHUF!C7</f>
        <v>HGM LN Equity</v>
      </c>
      <c r="D313" t="e">
        <f ca="1">STHUF!D7</f>
        <v>#NAME?</v>
      </c>
      <c r="E313">
        <f>STHUF!E7</f>
        <v>20714</v>
      </c>
      <c r="F313">
        <f>STHUF!F7</f>
        <v>0.69307159409095298</v>
      </c>
      <c r="G313" t="e">
        <f ca="1">STHUF!G7</f>
        <v>#NAME?</v>
      </c>
      <c r="H313" t="e">
        <f ca="1">STHUF!K7</f>
        <v>#NAME?</v>
      </c>
      <c r="I313" t="e">
        <f ca="1">STHUF!L7</f>
        <v>#NAME?</v>
      </c>
      <c r="J313" t="e">
        <f ca="1">STHUF!M7</f>
        <v>#NAME?</v>
      </c>
      <c r="K313" t="e">
        <f ca="1">STHUF!N7</f>
        <v>#NAME?</v>
      </c>
      <c r="L313" t="e">
        <f ca="1">STHUF!O7</f>
        <v>#NAME?</v>
      </c>
      <c r="M313" t="e">
        <f ca="1">STHUF!P7</f>
        <v>#NAME?</v>
      </c>
      <c r="N313" t="e">
        <f ca="1">STHUF!Q7</f>
        <v>#NAME?</v>
      </c>
      <c r="O313" t="e">
        <f ca="1">STHUF!R7</f>
        <v>#NAME?</v>
      </c>
      <c r="P313" t="e">
        <f ca="1">STHUF!S7</f>
        <v>#NAME?</v>
      </c>
      <c r="Q313" t="e">
        <f ca="1">STHUF!T7</f>
        <v>#NAME?</v>
      </c>
      <c r="R313" t="e">
        <f>STHUF!#REF!</f>
        <v>#REF!</v>
      </c>
      <c r="S313" t="e">
        <f ca="1">STHUF!U7</f>
        <v>#NAME?</v>
      </c>
      <c r="T313" t="e">
        <f ca="1">STHUF!V7</f>
        <v>#NAME?</v>
      </c>
      <c r="U313" t="e">
        <f>STHUF!#REF!</f>
        <v>#REF!</v>
      </c>
      <c r="V313" t="e">
        <f>STHUF!#REF!</f>
        <v>#REF!</v>
      </c>
      <c r="W313" t="e">
        <f>STHUF!#REF!</f>
        <v>#REF!</v>
      </c>
      <c r="X313" t="e">
        <f>STHUF!#REF!</f>
        <v>#REF!</v>
      </c>
      <c r="Y313" t="e">
        <f ca="1">STHUF!W7</f>
        <v>#NAME?</v>
      </c>
      <c r="Z313" t="e">
        <f ca="1">STHUF!X7</f>
        <v>#NAME?</v>
      </c>
    </row>
    <row r="314" spans="1:28" x14ac:dyDescent="0.25">
      <c r="A314" t="e">
        <f>STHUF!#REF!</f>
        <v>#REF!</v>
      </c>
      <c r="B314" t="e">
        <f>STHUF!#REF!</f>
        <v>#REF!</v>
      </c>
      <c r="C314" t="e">
        <f>STHUF!#REF!</f>
        <v>#REF!</v>
      </c>
      <c r="D314" t="e">
        <f>STHUF!#REF!</f>
        <v>#REF!</v>
      </c>
      <c r="E314" t="e">
        <f>STHUF!#REF!</f>
        <v>#REF!</v>
      </c>
      <c r="F314" t="e">
        <f>STHUF!#REF!</f>
        <v>#REF!</v>
      </c>
      <c r="G314" t="e">
        <f>STHUF!#REF!</f>
        <v>#REF!</v>
      </c>
      <c r="H314" t="e">
        <f>STHUF!#REF!</f>
        <v>#REF!</v>
      </c>
      <c r="I314" t="e">
        <f>STHUF!#REF!</f>
        <v>#REF!</v>
      </c>
      <c r="J314" t="e">
        <f>STHUF!#REF!</f>
        <v>#REF!</v>
      </c>
      <c r="K314" t="e">
        <f>STHUF!#REF!</f>
        <v>#REF!</v>
      </c>
      <c r="L314" t="e">
        <f>STHUF!#REF!</f>
        <v>#REF!</v>
      </c>
      <c r="M314" t="e">
        <f>STHUF!#REF!</f>
        <v>#REF!</v>
      </c>
      <c r="N314" t="e">
        <f>STHUF!#REF!</f>
        <v>#REF!</v>
      </c>
      <c r="O314" t="e">
        <f>STHUF!#REF!</f>
        <v>#REF!</v>
      </c>
      <c r="P314" t="e">
        <f>STHUF!#REF!</f>
        <v>#REF!</v>
      </c>
      <c r="Q314" t="e">
        <f>STHUF!#REF!</f>
        <v>#REF!</v>
      </c>
      <c r="R314" t="e">
        <f>STHUF!#REF!</f>
        <v>#REF!</v>
      </c>
      <c r="S314" t="e">
        <f>STHUF!#REF!</f>
        <v>#REF!</v>
      </c>
      <c r="T314" t="e">
        <f>STHUF!#REF!</f>
        <v>#REF!</v>
      </c>
      <c r="U314" t="e">
        <f>STHUF!#REF!</f>
        <v>#REF!</v>
      </c>
      <c r="V314" t="e">
        <f>STHUF!#REF!</f>
        <v>#REF!</v>
      </c>
      <c r="W314" t="e">
        <f>STHUF!#REF!</f>
        <v>#REF!</v>
      </c>
      <c r="X314" t="e">
        <f>STHUF!#REF!</f>
        <v>#REF!</v>
      </c>
      <c r="Y314" t="e">
        <f>STHUF!#REF!</f>
        <v>#REF!</v>
      </c>
      <c r="Z314" t="e">
        <f>STHUF!#REF!</f>
        <v>#REF!</v>
      </c>
    </row>
    <row r="315" spans="1:28" x14ac:dyDescent="0.25">
      <c r="A315" t="str">
        <f>STHUF!A8</f>
        <v>STHUF</v>
      </c>
      <c r="B315" t="str">
        <f>STHUF!B8</f>
        <v>Gazprom</v>
      </c>
      <c r="C315" t="str">
        <f>STHUF!C8</f>
        <v>GAZP RX Equity</v>
      </c>
      <c r="D315" t="e">
        <f ca="1">STHUF!D8</f>
        <v>#NAME?</v>
      </c>
      <c r="E315">
        <f>STHUF!E8</f>
        <v>20700</v>
      </c>
      <c r="F315">
        <f>STHUF!F8</f>
        <v>148.4</v>
      </c>
      <c r="G315" t="e">
        <f ca="1">STHUF!G8</f>
        <v>#NAME?</v>
      </c>
      <c r="H315" t="e">
        <f ca="1">STHUF!K8</f>
        <v>#NAME?</v>
      </c>
      <c r="I315" t="e">
        <f ca="1">STHUF!L8</f>
        <v>#NAME?</v>
      </c>
      <c r="J315" t="e">
        <f ca="1">STHUF!M8</f>
        <v>#NAME?</v>
      </c>
      <c r="K315">
        <f>STHUF!N8</f>
        <v>3071880</v>
      </c>
      <c r="L315" t="e">
        <f ca="1">STHUF!O8</f>
        <v>#NAME?</v>
      </c>
      <c r="M315" t="e">
        <f ca="1">STHUF!P8</f>
        <v>#NAME?</v>
      </c>
      <c r="N315" t="e">
        <f ca="1">STHUF!Q8</f>
        <v>#NAME?</v>
      </c>
      <c r="O315" t="e">
        <f ca="1">STHUF!R8</f>
        <v>#NAME?</v>
      </c>
      <c r="P315" t="e">
        <f ca="1">STHUF!S8</f>
        <v>#NAME?</v>
      </c>
      <c r="Q315" t="e">
        <f ca="1">STHUF!T8</f>
        <v>#NAME?</v>
      </c>
      <c r="R315" t="e">
        <f>STHUF!#REF!</f>
        <v>#REF!</v>
      </c>
      <c r="S315" t="e">
        <f ca="1">STHUF!U8</f>
        <v>#NAME?</v>
      </c>
      <c r="T315" t="e">
        <f ca="1">STHUF!V8</f>
        <v>#NAME?</v>
      </c>
      <c r="U315" t="e">
        <f>STHUF!#REF!</f>
        <v>#REF!</v>
      </c>
      <c r="V315" t="e">
        <f>STHUF!#REF!</f>
        <v>#REF!</v>
      </c>
      <c r="W315" t="e">
        <f>STHUF!#REF!</f>
        <v>#REF!</v>
      </c>
      <c r="X315" t="e">
        <f>STHUF!#REF!</f>
        <v>#REF!</v>
      </c>
      <c r="Y315" t="e">
        <f ca="1">STHUF!W8</f>
        <v>#NAME?</v>
      </c>
      <c r="Z315" t="e">
        <f ca="1">STHUF!X8</f>
        <v>#NAME?</v>
      </c>
    </row>
    <row r="316" spans="1:28" x14ac:dyDescent="0.25">
      <c r="A316" t="str">
        <f>STHUF!A9</f>
        <v>STHUF</v>
      </c>
      <c r="B316" t="str">
        <f>STHUF!B9</f>
        <v>Gazpromneft</v>
      </c>
      <c r="C316" t="str">
        <f>STHUF!C9</f>
        <v>SIBN RX Equity</v>
      </c>
      <c r="D316" t="e">
        <f ca="1">STHUF!D9</f>
        <v>#NAME?</v>
      </c>
      <c r="E316">
        <f>STHUF!E9</f>
        <v>19590</v>
      </c>
      <c r="F316">
        <f>STHUF!F9</f>
        <v>153.68014293006635</v>
      </c>
      <c r="G316" t="e">
        <f ca="1">STHUF!G9</f>
        <v>#NAME?</v>
      </c>
      <c r="H316" t="e">
        <f ca="1">STHUF!K9</f>
        <v>#NAME?</v>
      </c>
      <c r="I316" t="e">
        <f ca="1">STHUF!L9</f>
        <v>#NAME?</v>
      </c>
      <c r="J316" t="e">
        <f ca="1">STHUF!M9</f>
        <v>#NAME?</v>
      </c>
      <c r="K316">
        <f>STHUF!N9</f>
        <v>3010594</v>
      </c>
      <c r="L316" t="e">
        <f ca="1">STHUF!O9</f>
        <v>#NAME?</v>
      </c>
      <c r="M316" t="e">
        <f ca="1">STHUF!P9</f>
        <v>#NAME?</v>
      </c>
      <c r="N316" t="e">
        <f ca="1">STHUF!Q9</f>
        <v>#NAME?</v>
      </c>
      <c r="O316" t="e">
        <f ca="1">STHUF!R9</f>
        <v>#NAME?</v>
      </c>
      <c r="P316" t="e">
        <f ca="1">STHUF!S9</f>
        <v>#NAME?</v>
      </c>
      <c r="Q316" t="e">
        <f ca="1">STHUF!T9</f>
        <v>#NAME?</v>
      </c>
      <c r="R316" t="e">
        <f>STHUF!#REF!</f>
        <v>#REF!</v>
      </c>
      <c r="S316" t="e">
        <f ca="1">STHUF!U9</f>
        <v>#NAME?</v>
      </c>
      <c r="T316" t="e">
        <f ca="1">STHUF!V9</f>
        <v>#NAME?</v>
      </c>
      <c r="U316" t="e">
        <f>STHUF!#REF!</f>
        <v>#REF!</v>
      </c>
      <c r="V316" t="e">
        <f>STHUF!#REF!</f>
        <v>#REF!</v>
      </c>
      <c r="W316" t="e">
        <f>STHUF!#REF!</f>
        <v>#REF!</v>
      </c>
      <c r="X316" t="e">
        <f>STHUF!#REF!</f>
        <v>#REF!</v>
      </c>
      <c r="Y316" t="e">
        <f ca="1">STHUF!W9</f>
        <v>#NAME?</v>
      </c>
      <c r="Z316" t="e">
        <f ca="1">STHUF!X9</f>
        <v>#NAME?</v>
      </c>
    </row>
    <row r="317" spans="1:28" x14ac:dyDescent="0.25">
      <c r="A317" t="e">
        <f>STHUF!#REF!</f>
        <v>#REF!</v>
      </c>
      <c r="B317" t="e">
        <f>STHUF!#REF!</f>
        <v>#REF!</v>
      </c>
      <c r="C317" t="e">
        <f>STHUF!#REF!</f>
        <v>#REF!</v>
      </c>
      <c r="D317" t="e">
        <f>STHUF!#REF!</f>
        <v>#REF!</v>
      </c>
      <c r="E317" t="e">
        <f>STHUF!#REF!</f>
        <v>#REF!</v>
      </c>
      <c r="F317" t="e">
        <f>STHUF!#REF!</f>
        <v>#REF!</v>
      </c>
      <c r="G317" t="e">
        <f>STHUF!#REF!</f>
        <v>#REF!</v>
      </c>
      <c r="H317" t="e">
        <f>STHUF!#REF!</f>
        <v>#REF!</v>
      </c>
      <c r="I317" t="e">
        <f>STHUF!#REF!</f>
        <v>#REF!</v>
      </c>
      <c r="J317" t="e">
        <f>STHUF!#REF!</f>
        <v>#REF!</v>
      </c>
      <c r="K317" t="e">
        <f>STHUF!#REF!</f>
        <v>#REF!</v>
      </c>
      <c r="L317" t="e">
        <f>STHUF!#REF!</f>
        <v>#REF!</v>
      </c>
      <c r="M317" t="e">
        <f>STHUF!#REF!</f>
        <v>#REF!</v>
      </c>
      <c r="N317" t="e">
        <f>STHUF!#REF!</f>
        <v>#REF!</v>
      </c>
      <c r="O317" t="e">
        <f>STHUF!#REF!</f>
        <v>#REF!</v>
      </c>
      <c r="P317" t="e">
        <f>STHUF!#REF!</f>
        <v>#REF!</v>
      </c>
      <c r="Q317" t="e">
        <f>STHUF!#REF!</f>
        <v>#REF!</v>
      </c>
      <c r="R317" t="e">
        <f>STHUF!#REF!</f>
        <v>#REF!</v>
      </c>
      <c r="S317" t="e">
        <f>STHUF!#REF!</f>
        <v>#REF!</v>
      </c>
      <c r="T317" t="e">
        <f>STHUF!#REF!</f>
        <v>#REF!</v>
      </c>
      <c r="U317" t="e">
        <f>STHUF!#REF!</f>
        <v>#REF!</v>
      </c>
      <c r="V317" t="e">
        <f>STHUF!#REF!</f>
        <v>#REF!</v>
      </c>
      <c r="W317" t="e">
        <f>STHUF!#REF!</f>
        <v>#REF!</v>
      </c>
      <c r="X317" t="e">
        <f>STHUF!#REF!</f>
        <v>#REF!</v>
      </c>
      <c r="Y317" t="e">
        <f>STHUF!#REF!</f>
        <v>#REF!</v>
      </c>
      <c r="Z317" t="e">
        <f>STHUF!#REF!</f>
        <v>#REF!</v>
      </c>
    </row>
    <row r="318" spans="1:28" x14ac:dyDescent="0.25">
      <c r="A318" t="e">
        <f>STHUF!#REF!</f>
        <v>#REF!</v>
      </c>
      <c r="B318" t="e">
        <f>STHUF!#REF!</f>
        <v>#REF!</v>
      </c>
      <c r="C318" t="e">
        <f>STHUF!#REF!</f>
        <v>#REF!</v>
      </c>
      <c r="D318" t="e">
        <f>STHUF!#REF!</f>
        <v>#REF!</v>
      </c>
      <c r="E318" t="e">
        <f>STHUF!#REF!</f>
        <v>#REF!</v>
      </c>
      <c r="F318" t="e">
        <f>STHUF!#REF!</f>
        <v>#REF!</v>
      </c>
      <c r="G318" t="e">
        <f>STHUF!#REF!</f>
        <v>#REF!</v>
      </c>
      <c r="H318" t="e">
        <f>STHUF!#REF!</f>
        <v>#REF!</v>
      </c>
      <c r="I318" t="e">
        <f>STHUF!#REF!</f>
        <v>#REF!</v>
      </c>
      <c r="J318" t="e">
        <f>STHUF!#REF!</f>
        <v>#REF!</v>
      </c>
      <c r="K318" t="e">
        <f>STHUF!#REF!</f>
        <v>#REF!</v>
      </c>
      <c r="L318" t="e">
        <f>STHUF!#REF!</f>
        <v>#REF!</v>
      </c>
      <c r="M318" t="e">
        <f>STHUF!#REF!</f>
        <v>#REF!</v>
      </c>
      <c r="N318" t="e">
        <f>STHUF!#REF!</f>
        <v>#REF!</v>
      </c>
      <c r="O318" t="e">
        <f>STHUF!#REF!</f>
        <v>#REF!</v>
      </c>
      <c r="P318" t="e">
        <f>STHUF!#REF!</f>
        <v>#REF!</v>
      </c>
      <c r="Q318" t="e">
        <f>STHUF!#REF!</f>
        <v>#REF!</v>
      </c>
      <c r="R318" t="e">
        <f>STHUF!#REF!</f>
        <v>#REF!</v>
      </c>
      <c r="S318" t="e">
        <f>STHUF!#REF!</f>
        <v>#REF!</v>
      </c>
      <c r="T318" t="e">
        <f>STHUF!#REF!</f>
        <v>#REF!</v>
      </c>
      <c r="U318" t="e">
        <f>STHUF!#REF!</f>
        <v>#REF!</v>
      </c>
      <c r="V318" t="e">
        <f>STHUF!#REF!</f>
        <v>#REF!</v>
      </c>
      <c r="W318" t="e">
        <f>STHUF!#REF!</f>
        <v>#REF!</v>
      </c>
      <c r="X318" t="e">
        <f>STHUF!#REF!</f>
        <v>#REF!</v>
      </c>
      <c r="Y318" t="e">
        <f>STHUF!#REF!</f>
        <v>#REF!</v>
      </c>
      <c r="Z318" t="e">
        <f>STHUF!#REF!</f>
        <v>#REF!</v>
      </c>
    </row>
    <row r="319" spans="1:28" x14ac:dyDescent="0.25">
      <c r="A319" t="str">
        <f>VADAF!A4</f>
        <v>VADAF</v>
      </c>
      <c r="B319" t="str">
        <f>VADAF!B4</f>
        <v>Vimpelcom</v>
      </c>
      <c r="C319" t="str">
        <f>VADAF!C4</f>
        <v>VIP US Equity</v>
      </c>
      <c r="D319" t="e">
        <f ca="1">VADAF!D4</f>
        <v>#NAME?</v>
      </c>
      <c r="E319">
        <f>VADAF!E4</f>
        <v>12550</v>
      </c>
      <c r="F319">
        <f>VADAF!F4</f>
        <v>3.3809939999999998</v>
      </c>
      <c r="G319" t="e">
        <f ca="1">VADAF!G4</f>
        <v>#NAME?</v>
      </c>
      <c r="H319" t="e">
        <f ca="1">VADAF!J4</f>
        <v>#NAME?</v>
      </c>
      <c r="I319" t="e">
        <f ca="1">VADAF!K4</f>
        <v>#NAME?</v>
      </c>
      <c r="J319" t="e">
        <f ca="1">VADAF!L4</f>
        <v>#NAME?</v>
      </c>
      <c r="K319" t="e">
        <f ca="1">VADAF!M4</f>
        <v>#NAME?</v>
      </c>
      <c r="L319">
        <f>VADAF!N4</f>
        <v>42431.474699999999</v>
      </c>
      <c r="M319" t="e">
        <f ca="1">VADAF!O4</f>
        <v>#NAME?</v>
      </c>
      <c r="N319" t="e">
        <f ca="1">VADAF!P4</f>
        <v>#NAME?</v>
      </c>
      <c r="O319" t="e">
        <f ca="1">VADAF!Q4</f>
        <v>#NAME?</v>
      </c>
      <c r="P319" t="e">
        <f ca="1">VADAF!R4</f>
        <v>#NAME?</v>
      </c>
      <c r="Q319" t="e">
        <f ca="1">VADAF!S4</f>
        <v>#NAME?</v>
      </c>
      <c r="R319" t="e">
        <f ca="1">VADAF!T4</f>
        <v>#NAME?</v>
      </c>
      <c r="S319" t="e">
        <f ca="1">VADAF!U4</f>
        <v>#NAME?</v>
      </c>
      <c r="T319" t="e">
        <f ca="1">VADAF!V4</f>
        <v>#NAME?</v>
      </c>
      <c r="U319" t="e">
        <f>VADAF!#REF!</f>
        <v>#REF!</v>
      </c>
      <c r="V319" t="e">
        <f>VADAF!#REF!</f>
        <v>#REF!</v>
      </c>
      <c r="W319" t="e">
        <f>VADAF!#REF!</f>
        <v>#REF!</v>
      </c>
      <c r="X319" t="e">
        <f>VADAF!#REF!</f>
        <v>#REF!</v>
      </c>
      <c r="Y319" t="e">
        <f ca="1">VADAF!W4</f>
        <v>#NAME?</v>
      </c>
      <c r="Z319" t="e">
        <f ca="1">VADAF!X4</f>
        <v>#NAME?</v>
      </c>
      <c r="AA319" t="e">
        <f>VADAF!#REF!</f>
        <v>#REF!</v>
      </c>
    </row>
    <row r="320" spans="1:28" x14ac:dyDescent="0.25">
      <c r="A320" t="str">
        <f>VADAF!A5</f>
        <v>VADAF</v>
      </c>
      <c r="B320" t="str">
        <f>VADAF!B5</f>
        <v>Kazmunaigaz</v>
      </c>
      <c r="C320" t="str">
        <f>VADAF!C5</f>
        <v>KMG LI Equity</v>
      </c>
      <c r="D320" t="e">
        <f ca="1">VADAF!D5</f>
        <v>#NAME?</v>
      </c>
      <c r="E320">
        <f>VADAF!E5</f>
        <v>6180</v>
      </c>
      <c r="F320">
        <f>VADAF!F5</f>
        <v>7.5</v>
      </c>
      <c r="G320" t="e">
        <f ca="1">VADAF!G5</f>
        <v>#NAME?</v>
      </c>
      <c r="H320" t="e">
        <f ca="1">VADAF!J5</f>
        <v>#NAME?</v>
      </c>
      <c r="I320" t="e">
        <f ca="1">VADAF!K5</f>
        <v>#NAME?</v>
      </c>
      <c r="J320" t="e">
        <f ca="1">VADAF!L5</f>
        <v>#NAME?</v>
      </c>
      <c r="K320" t="e">
        <f ca="1">VADAF!M5</f>
        <v>#NAME?</v>
      </c>
      <c r="L320">
        <f>VADAF!N5</f>
        <v>46350</v>
      </c>
      <c r="M320" t="e">
        <f ca="1">VADAF!O5</f>
        <v>#NAME?</v>
      </c>
      <c r="N320" t="e">
        <f ca="1">VADAF!P5</f>
        <v>#NAME?</v>
      </c>
      <c r="O320" t="e">
        <f ca="1">VADAF!Q5</f>
        <v>#NAME?</v>
      </c>
      <c r="P320" t="e">
        <f ca="1">VADAF!R5</f>
        <v>#NAME?</v>
      </c>
      <c r="Q320" t="e">
        <f ca="1">VADAF!S5</f>
        <v>#NAME?</v>
      </c>
      <c r="R320" t="e">
        <f ca="1">VADAF!T5</f>
        <v>#NAME?</v>
      </c>
      <c r="S320" t="e">
        <f ca="1">VADAF!U5</f>
        <v>#NAME?</v>
      </c>
      <c r="T320" t="e">
        <f ca="1">VADAF!V5</f>
        <v>#NAME?</v>
      </c>
      <c r="U320" t="e">
        <f>VADAF!#REF!</f>
        <v>#REF!</v>
      </c>
      <c r="V320" t="e">
        <f>VADAF!#REF!</f>
        <v>#REF!</v>
      </c>
      <c r="W320" t="e">
        <f>VADAF!#REF!</f>
        <v>#REF!</v>
      </c>
      <c r="X320" t="e">
        <f>VADAF!#REF!</f>
        <v>#REF!</v>
      </c>
      <c r="Y320" t="e">
        <f ca="1">VADAF!W5</f>
        <v>#NAME?</v>
      </c>
      <c r="Z320" t="e">
        <f ca="1">VADAF!X5</f>
        <v>#NAME?</v>
      </c>
      <c r="AA320" t="e">
        <f>VADAF!#REF!</f>
        <v>#REF!</v>
      </c>
    </row>
    <row r="321" spans="1:27" x14ac:dyDescent="0.25">
      <c r="A321" t="str">
        <f>VADAF!A6</f>
        <v>VADAF</v>
      </c>
      <c r="B321" t="str">
        <f>VADAF!B6</f>
        <v>AFK Sistema</v>
      </c>
      <c r="C321" t="str">
        <f>VADAF!C6</f>
        <v>AFKS RX Equity</v>
      </c>
      <c r="D321" t="e">
        <f ca="1">VADAF!D6</f>
        <v>#NAME?</v>
      </c>
      <c r="E321">
        <f>VADAF!E6</f>
        <v>170000</v>
      </c>
      <c r="F321">
        <f>VADAF!F6</f>
        <v>17.647879</v>
      </c>
      <c r="G321" t="e">
        <f ca="1">VADAF!G6</f>
        <v>#NAME?</v>
      </c>
      <c r="H321" t="e">
        <f ca="1">VADAF!J6</f>
        <v>#NAME?</v>
      </c>
      <c r="I321" t="e">
        <f ca="1">VADAF!K6</f>
        <v>#NAME?</v>
      </c>
      <c r="J321" t="e">
        <f ca="1">VADAF!L6</f>
        <v>#NAME?</v>
      </c>
      <c r="K321">
        <f>VADAF!M6</f>
        <v>3000139.43</v>
      </c>
      <c r="L321" t="e">
        <f ca="1">VADAF!N6</f>
        <v>#NAME?</v>
      </c>
      <c r="M321" t="e">
        <f ca="1">VADAF!O6</f>
        <v>#NAME?</v>
      </c>
      <c r="N321" t="e">
        <f ca="1">VADAF!P6</f>
        <v>#NAME?</v>
      </c>
      <c r="O321" t="e">
        <f ca="1">VADAF!Q6</f>
        <v>#NAME?</v>
      </c>
      <c r="P321" t="e">
        <f ca="1">VADAF!R6</f>
        <v>#NAME?</v>
      </c>
      <c r="Q321" t="e">
        <f ca="1">VADAF!S6</f>
        <v>#NAME?</v>
      </c>
      <c r="R321" t="e">
        <f ca="1">VADAF!T6</f>
        <v>#NAME?</v>
      </c>
      <c r="S321" t="e">
        <f ca="1">VADAF!U6</f>
        <v>#NAME?</v>
      </c>
      <c r="T321" t="e">
        <f ca="1">VADAF!V6</f>
        <v>#NAME?</v>
      </c>
      <c r="U321" t="e">
        <f>VADAF!#REF!</f>
        <v>#REF!</v>
      </c>
      <c r="V321" t="e">
        <f>VADAF!#REF!</f>
        <v>#REF!</v>
      </c>
      <c r="W321" t="e">
        <f>VADAF!#REF!</f>
        <v>#REF!</v>
      </c>
      <c r="X321" t="e">
        <f>VADAF!#REF!</f>
        <v>#REF!</v>
      </c>
      <c r="Y321" t="e">
        <f ca="1">VADAF!W6</f>
        <v>#NAME?</v>
      </c>
      <c r="Z321" t="e">
        <f ca="1">VADAF!X6</f>
        <v>#NAME?</v>
      </c>
      <c r="AA321" t="e">
        <f>VADAF!#REF!</f>
        <v>#REF!</v>
      </c>
    </row>
    <row r="322" spans="1:27" x14ac:dyDescent="0.25">
      <c r="A322" t="str">
        <f>VADAF!A11</f>
        <v>VADAF</v>
      </c>
      <c r="B322" t="str">
        <f>VADAF!B11</f>
        <v>Alrosa</v>
      </c>
      <c r="C322" t="str">
        <f>VADAF!C11</f>
        <v>ALRS RX Equity</v>
      </c>
      <c r="D322" t="e">
        <f ca="1">VADAF!D11</f>
        <v>#NAME?</v>
      </c>
      <c r="E322">
        <f>VADAF!E11</f>
        <v>30000</v>
      </c>
      <c r="F322">
        <f>VADAF!F11</f>
        <v>49.9191</v>
      </c>
      <c r="G322" t="e">
        <f ca="1">VADAF!G11</f>
        <v>#NAME?</v>
      </c>
      <c r="H322" t="e">
        <f ca="1">VADAF!J11</f>
        <v>#NAME?</v>
      </c>
      <c r="I322" t="e">
        <f ca="1">VADAF!K11</f>
        <v>#NAME?</v>
      </c>
      <c r="J322" t="e">
        <f ca="1">VADAF!L11</f>
        <v>#NAME?</v>
      </c>
      <c r="K322">
        <f>VADAF!M11</f>
        <v>1497573</v>
      </c>
      <c r="L322" t="e">
        <f ca="1">VADAF!N11</f>
        <v>#NAME?</v>
      </c>
      <c r="M322" t="e">
        <f ca="1">VADAF!O11</f>
        <v>#NAME?</v>
      </c>
      <c r="N322" t="e">
        <f ca="1">VADAF!P11</f>
        <v>#NAME?</v>
      </c>
      <c r="O322" t="e">
        <f ca="1">VADAF!Q11</f>
        <v>#NAME?</v>
      </c>
      <c r="P322" t="e">
        <f ca="1">VADAF!R11</f>
        <v>#NAME?</v>
      </c>
      <c r="Q322" t="e">
        <f ca="1">VADAF!S11</f>
        <v>#NAME?</v>
      </c>
      <c r="R322" t="e">
        <f ca="1">VADAF!T11</f>
        <v>#NAME?</v>
      </c>
      <c r="S322" t="e">
        <f ca="1">VADAF!U11</f>
        <v>#NAME?</v>
      </c>
      <c r="T322" t="e">
        <f ca="1">VADAF!V11</f>
        <v>#NAME?</v>
      </c>
      <c r="U322" t="e">
        <f>VADAF!#REF!</f>
        <v>#REF!</v>
      </c>
      <c r="V322" t="e">
        <f>VADAF!#REF!</f>
        <v>#REF!</v>
      </c>
      <c r="W322" t="e">
        <f>VADAF!#REF!</f>
        <v>#REF!</v>
      </c>
      <c r="X322" t="e">
        <f>VADAF!#REF!</f>
        <v>#REF!</v>
      </c>
      <c r="Y322" t="e">
        <f ca="1">VADAF!W11</f>
        <v>#NAME?</v>
      </c>
      <c r="Z322" t="e">
        <f ca="1">VADAF!X11</f>
        <v>#NAME?</v>
      </c>
      <c r="AA322" t="e">
        <f>VADAF!#REF!</f>
        <v>#REF!</v>
      </c>
    </row>
    <row r="323" spans="1:27" x14ac:dyDescent="0.25">
      <c r="A323" t="str">
        <f>VADAF!A12</f>
        <v>VADAF</v>
      </c>
      <c r="B323" t="str">
        <f>VADAF!B12</f>
        <v>Rusal</v>
      </c>
      <c r="C323" t="str">
        <f>VADAF!C12</f>
        <v>RUALR RX Equity</v>
      </c>
      <c r="D323" t="e">
        <f ca="1">VADAF!D12</f>
        <v>#NAME?</v>
      </c>
      <c r="E323">
        <f>VADAF!E12</f>
        <v>13600</v>
      </c>
      <c r="F323">
        <f>VADAF!F12</f>
        <v>219.65258</v>
      </c>
      <c r="G323" t="e">
        <f ca="1">VADAF!G12</f>
        <v>#NAME?</v>
      </c>
      <c r="H323" t="e">
        <f ca="1">VADAF!J12</f>
        <v>#NAME?</v>
      </c>
      <c r="I323" t="e">
        <f ca="1">VADAF!K12</f>
        <v>#NAME?</v>
      </c>
      <c r="J323" t="e">
        <f ca="1">VADAF!L12</f>
        <v>#NAME?</v>
      </c>
      <c r="K323">
        <f>VADAF!M12</f>
        <v>2987275.088</v>
      </c>
      <c r="L323" t="e">
        <f ca="1">VADAF!N12</f>
        <v>#NAME?</v>
      </c>
      <c r="M323" t="e">
        <f ca="1">VADAF!O12</f>
        <v>#NAME?</v>
      </c>
      <c r="N323" t="e">
        <f ca="1">VADAF!P12</f>
        <v>#NAME?</v>
      </c>
      <c r="O323" t="e">
        <f ca="1">VADAF!Q12</f>
        <v>#NAME?</v>
      </c>
      <c r="P323" t="e">
        <f ca="1">VADAF!R12</f>
        <v>#NAME?</v>
      </c>
      <c r="Q323" t="e">
        <f ca="1">VADAF!S12</f>
        <v>#NAME?</v>
      </c>
      <c r="R323" t="e">
        <f ca="1">VADAF!T12</f>
        <v>#NAME?</v>
      </c>
      <c r="S323" t="e">
        <f ca="1">VADAF!U12</f>
        <v>#NAME?</v>
      </c>
      <c r="T323" t="e">
        <f ca="1">VADAF!V12</f>
        <v>#NAME?</v>
      </c>
      <c r="U323" t="e">
        <f>VADAF!#REF!</f>
        <v>#REF!</v>
      </c>
      <c r="V323" t="e">
        <f>VADAF!#REF!</f>
        <v>#REF!</v>
      </c>
      <c r="W323" t="e">
        <f>VADAF!#REF!</f>
        <v>#REF!</v>
      </c>
      <c r="X323" t="e">
        <f>VADAF!#REF!</f>
        <v>#REF!</v>
      </c>
      <c r="Y323" t="e">
        <f ca="1">VADAF!W12</f>
        <v>#NAME?</v>
      </c>
      <c r="Z323" t="e">
        <f ca="1">VADAF!X12</f>
        <v>#NAME?</v>
      </c>
      <c r="AA323" t="e">
        <f>VADAF!#REF!</f>
        <v>#REF!</v>
      </c>
    </row>
    <row r="324" spans="1:27" x14ac:dyDescent="0.25">
      <c r="A324" t="str">
        <f>VADAF!A13</f>
        <v>VADAF</v>
      </c>
      <c r="B324" t="str">
        <f>VADAF!B13</f>
        <v>Surgutneftegaz</v>
      </c>
      <c r="C324" t="str">
        <f>VADAF!C13</f>
        <v>SNGSP RX Equity</v>
      </c>
      <c r="D324" t="e">
        <f ca="1">VADAF!D13</f>
        <v>#NAME?</v>
      </c>
      <c r="E324">
        <f>VADAF!E13</f>
        <v>79000</v>
      </c>
      <c r="F324">
        <f>VADAF!F13</f>
        <v>38.1</v>
      </c>
      <c r="G324" t="e">
        <f ca="1">VADAF!G13</f>
        <v>#NAME?</v>
      </c>
      <c r="H324" t="e">
        <f ca="1">VADAF!J13</f>
        <v>#NAME?</v>
      </c>
      <c r="I324" t="e">
        <f ca="1">VADAF!K13</f>
        <v>#NAME?</v>
      </c>
      <c r="J324" t="e">
        <f ca="1">VADAF!L13</f>
        <v>#NAME?</v>
      </c>
      <c r="K324">
        <f>VADAF!M13</f>
        <v>3009900</v>
      </c>
      <c r="L324" t="e">
        <f ca="1">VADAF!N13</f>
        <v>#NAME?</v>
      </c>
      <c r="M324" t="e">
        <f ca="1">VADAF!O13</f>
        <v>#NAME?</v>
      </c>
      <c r="N324" t="e">
        <f ca="1">VADAF!P13</f>
        <v>#NAME?</v>
      </c>
      <c r="O324" t="e">
        <f ca="1">VADAF!Q13</f>
        <v>#NAME?</v>
      </c>
      <c r="P324" t="e">
        <f ca="1">VADAF!R13</f>
        <v>#NAME?</v>
      </c>
      <c r="Q324" t="e">
        <f ca="1">VADAF!S13</f>
        <v>#NAME?</v>
      </c>
      <c r="R324" t="e">
        <f ca="1">VADAF!T13</f>
        <v>#NAME?</v>
      </c>
      <c r="S324" t="e">
        <f ca="1">VADAF!U13</f>
        <v>#NAME?</v>
      </c>
      <c r="T324" t="e">
        <f ca="1">VADAF!V13</f>
        <v>#NAME?</v>
      </c>
      <c r="U324" t="e">
        <f>VADAF!#REF!</f>
        <v>#REF!</v>
      </c>
      <c r="V324" t="e">
        <f>VADAF!#REF!</f>
        <v>#REF!</v>
      </c>
      <c r="W324" t="e">
        <f>VADAF!#REF!</f>
        <v>#REF!</v>
      </c>
      <c r="X324" t="e">
        <f>VADAF!#REF!</f>
        <v>#REF!</v>
      </c>
      <c r="Y324" t="e">
        <f ca="1">VADAF!W13</f>
        <v>#NAME?</v>
      </c>
      <c r="Z324" t="e">
        <f ca="1">VADAF!X13</f>
        <v>#NAME?</v>
      </c>
      <c r="AA324" t="e">
        <f>VADAF!#REF!</f>
        <v>#REF!</v>
      </c>
    </row>
    <row r="325" spans="1:27" x14ac:dyDescent="0.25">
      <c r="A325" t="e">
        <f>VADAF!#REF!</f>
        <v>#REF!</v>
      </c>
      <c r="B325" t="e">
        <f>VADAF!#REF!</f>
        <v>#REF!</v>
      </c>
      <c r="C325" t="e">
        <f>VADAF!#REF!</f>
        <v>#REF!</v>
      </c>
      <c r="D325" t="e">
        <f>VADAF!#REF!</f>
        <v>#REF!</v>
      </c>
      <c r="E325" t="e">
        <f>VADAF!#REF!</f>
        <v>#REF!</v>
      </c>
      <c r="F325" t="e">
        <f>VADAF!#REF!</f>
        <v>#REF!</v>
      </c>
      <c r="G325" t="e">
        <f>VADAF!#REF!</f>
        <v>#REF!</v>
      </c>
      <c r="H325" t="e">
        <f>VADAF!#REF!</f>
        <v>#REF!</v>
      </c>
      <c r="I325" t="e">
        <f>VADAF!#REF!</f>
        <v>#REF!</v>
      </c>
      <c r="J325" t="e">
        <f>VADAF!#REF!</f>
        <v>#REF!</v>
      </c>
      <c r="K325" t="e">
        <f>VADAF!#REF!</f>
        <v>#REF!</v>
      </c>
      <c r="L325" t="e">
        <f>VADAF!#REF!</f>
        <v>#REF!</v>
      </c>
      <c r="M325" t="e">
        <f>VADAF!#REF!</f>
        <v>#REF!</v>
      </c>
      <c r="N325" t="e">
        <f>VADAF!#REF!</f>
        <v>#REF!</v>
      </c>
      <c r="O325" t="e">
        <f>VADAF!#REF!</f>
        <v>#REF!</v>
      </c>
      <c r="P325" t="e">
        <f>VADAF!#REF!</f>
        <v>#REF!</v>
      </c>
      <c r="Q325" t="e">
        <f>VADAF!#REF!</f>
        <v>#REF!</v>
      </c>
      <c r="R325" t="e">
        <f>VADAF!#REF!</f>
        <v>#REF!</v>
      </c>
      <c r="S325" t="e">
        <f>VADAF!#REF!</f>
        <v>#REF!</v>
      </c>
      <c r="T325" t="e">
        <f>VADAF!#REF!</f>
        <v>#REF!</v>
      </c>
      <c r="U325" t="e">
        <f>VADAF!#REF!</f>
        <v>#REF!</v>
      </c>
      <c r="V325" t="e">
        <f>VADAF!#REF!</f>
        <v>#REF!</v>
      </c>
      <c r="W325" t="e">
        <f>VADAF!#REF!</f>
        <v>#REF!</v>
      </c>
      <c r="X325" t="e">
        <f>VADAF!#REF!</f>
        <v>#REF!</v>
      </c>
      <c r="Y325" t="e">
        <f>VADAF!#REF!</f>
        <v>#REF!</v>
      </c>
      <c r="Z325" t="e">
        <f>VADAF!#REF!</f>
        <v>#REF!</v>
      </c>
      <c r="AA325" t="e">
        <f>VADAF!#REF!</f>
        <v>#REF!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J222"/>
  <sheetViews>
    <sheetView zoomScale="90" zoomScaleNormal="90" workbookViewId="0">
      <selection activeCell="C8" sqref="C8"/>
    </sheetView>
  </sheetViews>
  <sheetFormatPr defaultRowHeight="15" x14ac:dyDescent="0.25"/>
  <cols>
    <col min="1" max="1" width="9.140625" style="109"/>
    <col min="2" max="2" width="20.85546875" style="109" customWidth="1"/>
    <col min="3" max="3" width="48.42578125" style="109" customWidth="1"/>
    <col min="4" max="4" width="21.7109375" style="109" customWidth="1"/>
    <col min="5" max="5" width="23.7109375" style="109" customWidth="1"/>
    <col min="6" max="6" width="26.42578125" style="109" customWidth="1"/>
    <col min="7" max="7" width="48.42578125" style="109" customWidth="1"/>
    <col min="8" max="8" width="21.7109375" style="109" customWidth="1"/>
    <col min="9" max="9" width="53.42578125" style="109" customWidth="1"/>
    <col min="10" max="10" width="26.7109375" style="109" customWidth="1"/>
    <col min="11" max="11" width="15.85546875" style="109" customWidth="1"/>
    <col min="12" max="12" width="14.28515625" style="109" customWidth="1"/>
    <col min="13" max="13" width="14" style="109" customWidth="1"/>
    <col min="14" max="15" width="14.85546875" style="109" customWidth="1"/>
    <col min="16" max="18" width="14" style="109" customWidth="1"/>
    <col min="19" max="19" width="14.7109375" style="109" customWidth="1"/>
    <col min="20" max="20" width="13.42578125" style="109" customWidth="1"/>
    <col min="21" max="21" width="15.7109375" style="109" customWidth="1"/>
    <col min="22" max="22" width="15.28515625" style="109" customWidth="1"/>
    <col min="23" max="23" width="14.42578125" style="109" customWidth="1"/>
    <col min="24" max="24" width="18.28515625" style="109" customWidth="1"/>
    <col min="25" max="25" width="14.5703125" style="109" customWidth="1"/>
    <col min="26" max="26" width="14.85546875" style="109" customWidth="1"/>
    <col min="27" max="27" width="14.28515625" style="109" customWidth="1"/>
    <col min="28" max="28" width="13.28515625" style="109" customWidth="1"/>
    <col min="29" max="29" width="15.140625" style="109" customWidth="1"/>
    <col min="30" max="31" width="14" style="109" customWidth="1"/>
    <col min="32" max="32" width="14.5703125" style="109" customWidth="1"/>
    <col min="33" max="33" width="13.42578125" style="109" customWidth="1"/>
    <col min="34" max="34" width="14.28515625" style="109" customWidth="1"/>
    <col min="35" max="35" width="14.7109375" style="109" customWidth="1"/>
    <col min="36" max="36" width="15.5703125" style="109" customWidth="1"/>
    <col min="37" max="37" width="16" style="109" customWidth="1"/>
    <col min="38" max="38" width="15" style="109" customWidth="1"/>
    <col min="39" max="39" width="15.28515625" style="109" customWidth="1"/>
    <col min="40" max="40" width="14.7109375" style="109" customWidth="1"/>
    <col min="41" max="41" width="14.85546875" style="109" customWidth="1"/>
    <col min="42" max="42" width="15" style="109" customWidth="1"/>
    <col min="43" max="43" width="16.140625" style="109" customWidth="1"/>
    <col min="44" max="44" width="14.28515625" style="109" customWidth="1"/>
    <col min="45" max="45" width="15.140625" style="109" customWidth="1"/>
    <col min="46" max="46" width="15.28515625" style="109" customWidth="1"/>
    <col min="47" max="47" width="14.28515625" style="109" customWidth="1"/>
    <col min="48" max="48" width="13.85546875" style="109" customWidth="1"/>
    <col min="49" max="49" width="14.140625" style="109" customWidth="1"/>
    <col min="50" max="50" width="15" style="109" customWidth="1"/>
    <col min="51" max="51" width="14.5703125" style="109" customWidth="1"/>
    <col min="52" max="52" width="14.42578125" style="109" customWidth="1"/>
    <col min="53" max="53" width="14.28515625" style="109" customWidth="1"/>
    <col min="54" max="54" width="14.5703125" style="109" customWidth="1"/>
    <col min="55" max="55" width="19.28515625" style="109" customWidth="1"/>
    <col min="56" max="56" width="18.5703125" style="109" bestFit="1" customWidth="1"/>
    <col min="57" max="57" width="18.7109375" style="109" customWidth="1"/>
    <col min="58" max="58" width="18.7109375" style="109" bestFit="1" customWidth="1"/>
    <col min="59" max="59" width="18.85546875" style="109" customWidth="1"/>
    <col min="60" max="60" width="18.7109375" style="109" customWidth="1"/>
    <col min="61" max="61" width="19.5703125" style="109" customWidth="1"/>
    <col min="62" max="62" width="15.7109375" style="109" customWidth="1"/>
    <col min="63" max="63" width="14" style="109" customWidth="1"/>
    <col min="64" max="64" width="14.140625" style="109" customWidth="1"/>
    <col min="65" max="65" width="15.28515625" style="109" customWidth="1"/>
    <col min="66" max="66" width="18.28515625" style="109" customWidth="1"/>
    <col min="67" max="67" width="14" style="109" customWidth="1"/>
    <col min="68" max="68" width="15.85546875" style="109" customWidth="1"/>
    <col min="69" max="70" width="14.7109375" style="109" customWidth="1"/>
    <col min="71" max="71" width="15" style="109" customWidth="1"/>
    <col min="72" max="72" width="14.85546875" style="109" customWidth="1"/>
    <col min="73" max="73" width="20" style="109" bestFit="1" customWidth="1"/>
    <col min="74" max="74" width="12.85546875" style="109" customWidth="1"/>
    <col min="75" max="75" width="14.28515625" style="109" customWidth="1"/>
    <col min="76" max="83" width="19.140625" style="109" customWidth="1"/>
    <col min="84" max="84" width="19.7109375" style="109" customWidth="1"/>
    <col min="85" max="85" width="19.140625" style="109" bestFit="1" customWidth="1"/>
    <col min="86" max="86" width="19.140625" style="109" customWidth="1"/>
    <col min="87" max="87" width="19.140625" style="109" bestFit="1" customWidth="1"/>
    <col min="88" max="100" width="19.140625" style="109" customWidth="1"/>
    <col min="101" max="101" width="19.7109375" style="109" customWidth="1"/>
    <col min="102" max="117" width="19.140625" style="109" customWidth="1"/>
    <col min="118" max="118" width="19.140625" style="109" bestFit="1" customWidth="1"/>
    <col min="119" max="119" width="19.7109375" style="109" customWidth="1"/>
    <col min="120" max="120" width="19.140625" style="109" customWidth="1"/>
    <col min="121" max="121" width="14.85546875" style="109" customWidth="1"/>
    <col min="122" max="122" width="15" style="109" customWidth="1"/>
    <col min="123" max="123" width="12.85546875" style="109" customWidth="1"/>
    <col min="124" max="124" width="6.140625" style="109" customWidth="1"/>
    <col min="125" max="125" width="9.28515625" style="109" customWidth="1"/>
    <col min="126" max="126" width="6.5703125" style="109" customWidth="1"/>
    <col min="127" max="127" width="18.42578125" style="109" bestFit="1" customWidth="1"/>
    <col min="128" max="128" width="15.5703125" style="109" customWidth="1"/>
    <col min="129" max="129" width="6.42578125" style="109" customWidth="1"/>
    <col min="130" max="130" width="6.5703125" style="109" customWidth="1"/>
    <col min="131" max="131" width="18.7109375" style="109" bestFit="1" customWidth="1"/>
    <col min="132" max="132" width="16.42578125" style="109" bestFit="1" customWidth="1"/>
    <col min="133" max="133" width="6.85546875" style="109" customWidth="1"/>
    <col min="134" max="134" width="8.42578125" style="109" customWidth="1"/>
    <col min="135" max="135" width="12.42578125" style="109" bestFit="1" customWidth="1"/>
    <col min="136" max="136" width="6.140625" style="109" customWidth="1"/>
    <col min="137" max="137" width="6" style="109" customWidth="1"/>
    <col min="138" max="138" width="9.28515625" style="109" bestFit="1" customWidth="1"/>
    <col min="139" max="139" width="19.5703125" style="109" bestFit="1" customWidth="1"/>
    <col min="140" max="140" width="16.85546875" style="109" bestFit="1" customWidth="1"/>
    <col min="141" max="141" width="20" style="109" bestFit="1" customWidth="1"/>
    <col min="142" max="142" width="15.28515625" style="109" bestFit="1" customWidth="1"/>
    <col min="143" max="143" width="18.42578125" style="109" bestFit="1" customWidth="1"/>
    <col min="144" max="144" width="16.140625" style="109" bestFit="1" customWidth="1"/>
    <col min="145" max="145" width="19.28515625" style="109" bestFit="1" customWidth="1"/>
    <col min="146" max="146" width="16.5703125" style="109" bestFit="1" customWidth="1"/>
    <col min="147" max="147" width="6.85546875" style="109" customWidth="1"/>
    <col min="148" max="148" width="5.85546875" style="109" customWidth="1"/>
    <col min="149" max="149" width="6.42578125" style="109" customWidth="1"/>
    <col min="150" max="150" width="19.7109375" style="109" bestFit="1" customWidth="1"/>
    <col min="151" max="151" width="17.42578125" style="109" bestFit="1" customWidth="1"/>
    <col min="152" max="152" width="6.85546875" style="109" customWidth="1"/>
    <col min="153" max="153" width="8.42578125" style="109" customWidth="1"/>
    <col min="154" max="154" width="12.42578125" style="109" bestFit="1" customWidth="1"/>
    <col min="155" max="155" width="6.140625" style="109" customWidth="1"/>
    <col min="156" max="156" width="6.42578125" style="109" customWidth="1"/>
    <col min="157" max="157" width="9.28515625" style="109" bestFit="1" customWidth="1"/>
    <col min="158" max="158" width="6.5703125" style="109" customWidth="1"/>
    <col min="159" max="159" width="7.28515625" style="109" customWidth="1"/>
    <col min="160" max="160" width="20.5703125" style="109" bestFit="1" customWidth="1"/>
    <col min="161" max="161" width="17.85546875" style="109" bestFit="1" customWidth="1"/>
    <col min="162" max="162" width="21" style="109" bestFit="1" customWidth="1"/>
    <col min="163" max="163" width="16.85546875" style="109" bestFit="1" customWidth="1"/>
    <col min="164" max="164" width="7.28515625" style="109" customWidth="1"/>
    <col min="165" max="165" width="6.42578125" style="109" customWidth="1"/>
    <col min="166" max="166" width="7.140625" style="109" customWidth="1"/>
    <col min="167" max="167" width="6.5703125" style="109" customWidth="1"/>
    <col min="168" max="168" width="20" style="109" bestFit="1" customWidth="1"/>
    <col min="169" max="169" width="17.140625" style="109" bestFit="1" customWidth="1"/>
    <col min="170" max="170" width="20.28515625" style="109" bestFit="1" customWidth="1"/>
    <col min="171" max="171" width="16.5703125" style="109" bestFit="1" customWidth="1"/>
    <col min="172" max="172" width="6.85546875" style="109" customWidth="1"/>
    <col min="173" max="173" width="8.42578125" style="109" customWidth="1"/>
    <col min="174" max="174" width="12.42578125" style="109" bestFit="1" customWidth="1"/>
    <col min="175" max="176" width="7" style="109" customWidth="1"/>
    <col min="177" max="177" width="7.28515625" style="109" customWidth="1"/>
    <col min="178" max="178" width="6.42578125" style="109" customWidth="1"/>
    <col min="179" max="179" width="9.28515625" style="109" bestFit="1" customWidth="1"/>
    <col min="180" max="180" width="6.7109375" style="109" customWidth="1"/>
    <col min="181" max="181" width="6.5703125" style="109" customWidth="1"/>
    <col min="182" max="182" width="19.7109375" style="109" bestFit="1" customWidth="1"/>
    <col min="183" max="183" width="16.7109375" style="109" bestFit="1" customWidth="1"/>
    <col min="184" max="184" width="12.42578125" style="109" bestFit="1" customWidth="1"/>
    <col min="185" max="185" width="7" style="109" customWidth="1"/>
    <col min="186" max="186" width="9.28515625" style="109" bestFit="1" customWidth="1"/>
    <col min="187" max="187" width="19.85546875" style="109" bestFit="1" customWidth="1"/>
    <col min="188" max="188" width="16.85546875" style="109" bestFit="1" customWidth="1"/>
    <col min="189" max="189" width="20" style="109" bestFit="1" customWidth="1"/>
    <col min="190" max="190" width="18" style="109" bestFit="1" customWidth="1"/>
    <col min="191" max="191" width="21.140625" style="109" bestFit="1" customWidth="1"/>
    <col min="192" max="192" width="16.140625" style="109" bestFit="1" customWidth="1"/>
    <col min="193" max="193" width="6.5703125" style="109" customWidth="1"/>
    <col min="194" max="194" width="19.28515625" style="109" bestFit="1" customWidth="1"/>
    <col min="195" max="195" width="17" style="109" bestFit="1" customWidth="1"/>
    <col min="196" max="196" width="20.140625" style="109" bestFit="1" customWidth="1"/>
    <col min="197" max="197" width="17.140625" style="109" bestFit="1" customWidth="1"/>
    <col min="198" max="198" width="9.28515625" style="109" bestFit="1" customWidth="1"/>
    <col min="199" max="199" width="20.28515625" style="109" bestFit="1" customWidth="1"/>
    <col min="200" max="200" width="16.140625" style="109" bestFit="1" customWidth="1"/>
    <col min="201" max="201" width="19.28515625" style="109" bestFit="1" customWidth="1"/>
    <col min="202" max="202" width="15.7109375" style="109" bestFit="1" customWidth="1"/>
    <col min="203" max="203" width="18.85546875" style="109" bestFit="1" customWidth="1"/>
    <col min="204" max="204" width="16" style="109" bestFit="1" customWidth="1"/>
    <col min="205" max="205" width="6.42578125" style="109" customWidth="1"/>
    <col min="206" max="206" width="6.5703125" style="109" customWidth="1"/>
    <col min="207" max="207" width="19.140625" style="109" bestFit="1" customWidth="1"/>
    <col min="208" max="208" width="16.85546875" style="109" bestFit="1" customWidth="1"/>
    <col min="209" max="209" width="20" style="109" bestFit="1" customWidth="1"/>
    <col min="210" max="210" width="16.28515625" style="109" bestFit="1" customWidth="1"/>
    <col min="211" max="211" width="7.28515625" style="109" customWidth="1"/>
    <col min="212" max="212" width="9.28515625" style="109" bestFit="1" customWidth="1"/>
    <col min="213" max="213" width="6.5703125" style="109" customWidth="1"/>
    <col min="214" max="214" width="19.42578125" style="109" bestFit="1" customWidth="1"/>
    <col min="215" max="215" width="16.28515625" style="109" bestFit="1" customWidth="1"/>
    <col min="216" max="216" width="6.140625" style="109" customWidth="1"/>
    <col min="217" max="217" width="6.7109375" style="109" customWidth="1"/>
    <col min="218" max="218" width="19.42578125" style="109" bestFit="1" customWidth="1"/>
    <col min="219" max="219" width="16.7109375" style="109" bestFit="1" customWidth="1"/>
    <col min="220" max="220" width="19.85546875" style="109" bestFit="1" customWidth="1"/>
    <col min="221" max="221" width="16.140625" style="109" bestFit="1" customWidth="1"/>
    <col min="222" max="222" width="19.28515625" style="109" bestFit="1" customWidth="1"/>
    <col min="223" max="223" width="16.42578125" style="109" bestFit="1" customWidth="1"/>
    <col min="224" max="224" width="8.42578125" style="109" customWidth="1"/>
    <col min="225" max="225" width="12.42578125" style="109" bestFit="1" customWidth="1"/>
    <col min="226" max="226" width="6.140625" style="109" customWidth="1"/>
    <col min="227" max="227" width="6.42578125" style="109" customWidth="1"/>
    <col min="228" max="228" width="9.28515625" style="109" bestFit="1" customWidth="1"/>
    <col min="229" max="229" width="7.28515625" style="109" customWidth="1"/>
    <col min="230" max="230" width="19.5703125" style="109" bestFit="1" customWidth="1"/>
    <col min="231" max="231" width="20.7109375" style="109" bestFit="1" customWidth="1"/>
    <col min="232" max="232" width="23.85546875" style="109" bestFit="1" customWidth="1"/>
    <col min="233" max="233" width="20.28515625" style="109" bestFit="1" customWidth="1"/>
    <col min="234" max="234" width="23.42578125" style="109" bestFit="1" customWidth="1"/>
    <col min="235" max="235" width="20.5703125" style="109" bestFit="1" customWidth="1"/>
    <col min="236" max="236" width="23.7109375" style="109" bestFit="1" customWidth="1"/>
    <col min="237" max="237" width="20.28515625" style="109" bestFit="1" customWidth="1"/>
    <col min="238" max="238" width="23.42578125" style="109" bestFit="1" customWidth="1"/>
    <col min="239" max="239" width="20.28515625" style="109" bestFit="1" customWidth="1"/>
    <col min="240" max="240" width="9" style="109" customWidth="1"/>
    <col min="241" max="241" width="23.42578125" style="109" bestFit="1" customWidth="1"/>
    <col min="242" max="242" width="20.42578125" style="109" bestFit="1" customWidth="1"/>
    <col min="243" max="243" width="23.5703125" style="109" bestFit="1" customWidth="1"/>
    <col min="244" max="244" width="21" style="109" bestFit="1" customWidth="1"/>
    <col min="245" max="245" width="24.140625" style="109" bestFit="1" customWidth="1"/>
    <col min="246" max="246" width="17.5703125" style="109" bestFit="1" customWidth="1"/>
    <col min="247" max="247" width="6.85546875" style="109" customWidth="1"/>
    <col min="248" max="248" width="8.42578125" style="109" customWidth="1"/>
    <col min="249" max="249" width="7" style="109" customWidth="1"/>
    <col min="250" max="250" width="6.42578125" style="109" customWidth="1"/>
    <col min="251" max="251" width="9.28515625" style="109" bestFit="1" customWidth="1"/>
    <col min="252" max="252" width="6.7109375" style="109" customWidth="1"/>
    <col min="253" max="253" width="7.140625" style="109" customWidth="1"/>
    <col min="254" max="254" width="6.5703125" style="109" customWidth="1"/>
    <col min="255" max="255" width="7.28515625" style="109" customWidth="1"/>
    <col min="256" max="256" width="20.7109375" style="109" bestFit="1" customWidth="1"/>
    <col min="257" max="257" width="15.140625" style="109" bestFit="1" customWidth="1"/>
    <col min="258" max="258" width="18.28515625" style="109" bestFit="1" customWidth="1"/>
    <col min="259" max="259" width="16" style="109" bestFit="1" customWidth="1"/>
    <col min="260" max="260" width="9.28515625" style="109" bestFit="1" customWidth="1"/>
    <col min="261" max="261" width="19.140625" style="109" bestFit="1" customWidth="1"/>
    <col min="262" max="262" width="17.140625" style="109" bestFit="1" customWidth="1"/>
    <col min="263" max="263" width="7" style="109" customWidth="1"/>
    <col min="264" max="264" width="20.28515625" style="109" bestFit="1" customWidth="1"/>
    <col min="265" max="265" width="20.140625" style="109" bestFit="1" customWidth="1"/>
    <col min="266" max="266" width="23.28515625" style="109" bestFit="1" customWidth="1"/>
    <col min="267" max="267" width="15.85546875" style="109" bestFit="1" customWidth="1"/>
    <col min="268" max="268" width="7" style="109" customWidth="1"/>
    <col min="269" max="269" width="6" style="109" customWidth="1"/>
    <col min="270" max="270" width="9.28515625" style="109" bestFit="1" customWidth="1"/>
    <col min="271" max="271" width="6.7109375" style="109" customWidth="1"/>
    <col min="272" max="272" width="19" style="109" bestFit="1" customWidth="1"/>
    <col min="273" max="273" width="17.7109375" style="109" bestFit="1" customWidth="1"/>
    <col min="274" max="274" width="7" style="109" customWidth="1"/>
    <col min="275" max="275" width="6" style="109" customWidth="1"/>
    <col min="276" max="276" width="9.28515625" style="109" bestFit="1" customWidth="1"/>
    <col min="277" max="277" width="20.85546875" style="109" bestFit="1" customWidth="1"/>
    <col min="278" max="278" width="16.5703125" style="109" bestFit="1" customWidth="1"/>
    <col min="279" max="279" width="19.7109375" style="109" bestFit="1" customWidth="1"/>
    <col min="280" max="280" width="16.5703125" style="109" bestFit="1" customWidth="1"/>
    <col min="281" max="281" width="19.7109375" style="109" bestFit="1" customWidth="1"/>
    <col min="282" max="282" width="16.85546875" style="109" bestFit="1" customWidth="1"/>
    <col min="283" max="283" width="6.140625" style="109" customWidth="1"/>
    <col min="284" max="284" width="9.28515625" style="109" bestFit="1" customWidth="1"/>
    <col min="285" max="285" width="6.7109375" style="109" customWidth="1"/>
    <col min="286" max="286" width="20" style="109" bestFit="1" customWidth="1"/>
    <col min="287" max="287" width="16.7109375" style="109" bestFit="1" customWidth="1"/>
    <col min="288" max="288" width="8.42578125" style="109" customWidth="1"/>
    <col min="289" max="289" width="12.42578125" style="109" bestFit="1" customWidth="1"/>
    <col min="290" max="290" width="6.42578125" style="109" customWidth="1"/>
    <col min="291" max="291" width="7" style="109" customWidth="1"/>
    <col min="292" max="292" width="7.28515625" style="109" customWidth="1"/>
    <col min="293" max="293" width="19.85546875" style="109" bestFit="1" customWidth="1"/>
    <col min="294" max="294" width="21.28515625" style="109" bestFit="1" customWidth="1"/>
    <col min="295" max="295" width="24.42578125" style="109" bestFit="1" customWidth="1"/>
    <col min="296" max="296" width="16.28515625" style="109" bestFit="1" customWidth="1"/>
    <col min="297" max="297" width="19.42578125" style="109" bestFit="1" customWidth="1"/>
    <col min="298" max="298" width="14.7109375" style="109" bestFit="1" customWidth="1"/>
    <col min="299" max="299" width="8.42578125" style="109" customWidth="1"/>
    <col min="300" max="300" width="7" style="109" customWidth="1"/>
    <col min="301" max="301" width="9.28515625" style="109" bestFit="1" customWidth="1"/>
    <col min="302" max="302" width="7.140625" style="109" customWidth="1"/>
    <col min="303" max="303" width="6.5703125" style="109" customWidth="1"/>
    <col min="304" max="304" width="18" style="109" bestFit="1" customWidth="1"/>
    <col min="305" max="305" width="16.140625" style="109" bestFit="1" customWidth="1"/>
    <col min="306" max="306" width="9.28515625" style="109" bestFit="1" customWidth="1"/>
    <col min="307" max="307" width="19.28515625" style="109" bestFit="1" customWidth="1"/>
    <col min="308" max="308" width="19.85546875" style="109" bestFit="1" customWidth="1"/>
    <col min="309" max="309" width="23" style="109" bestFit="1" customWidth="1"/>
    <col min="310" max="310" width="19.85546875" style="109" bestFit="1" customWidth="1"/>
    <col min="311" max="311" width="23" style="109" bestFit="1" customWidth="1"/>
    <col min="312" max="312" width="19.85546875" style="109" bestFit="1" customWidth="1"/>
    <col min="313" max="313" width="23" style="109" bestFit="1" customWidth="1"/>
    <col min="314" max="314" width="19.85546875" style="109" bestFit="1" customWidth="1"/>
    <col min="315" max="315" width="8" style="109" customWidth="1"/>
    <col min="316" max="316" width="7" style="109" customWidth="1"/>
    <col min="317" max="317" width="7.28515625" style="109" customWidth="1"/>
    <col min="318" max="318" width="7.42578125" style="109" customWidth="1"/>
    <col min="319" max="319" width="23" style="109" bestFit="1" customWidth="1"/>
    <col min="320" max="320" width="19.85546875" style="109" bestFit="1" customWidth="1"/>
    <col min="321" max="321" width="23" style="109" bestFit="1" customWidth="1"/>
    <col min="322" max="322" width="19.85546875" style="109" bestFit="1" customWidth="1"/>
    <col min="323" max="323" width="8" style="109" customWidth="1"/>
    <col min="324" max="324" width="7.28515625" style="109" customWidth="1"/>
    <col min="325" max="325" width="23" style="109" bestFit="1" customWidth="1"/>
    <col min="326" max="326" width="19.85546875" style="109" bestFit="1" customWidth="1"/>
    <col min="327" max="327" width="7.28515625" style="109" customWidth="1"/>
    <col min="328" max="328" width="23" style="109" bestFit="1" customWidth="1"/>
    <col min="329" max="329" width="19.85546875" style="109" bestFit="1" customWidth="1"/>
    <col min="330" max="330" width="8" style="109" customWidth="1"/>
    <col min="331" max="331" width="23" style="109" bestFit="1" customWidth="1"/>
    <col min="332" max="332" width="20.28515625" style="109" bestFit="1" customWidth="1"/>
    <col min="333" max="333" width="23.42578125" style="109" bestFit="1" customWidth="1"/>
    <col min="334" max="334" width="19.85546875" style="109" bestFit="1" customWidth="1"/>
    <col min="335" max="335" width="23" style="109" bestFit="1" customWidth="1"/>
    <col min="336" max="336" width="19.85546875" style="109" bestFit="1" customWidth="1"/>
    <col min="337" max="338" width="7" style="109" customWidth="1"/>
    <col min="339" max="339" width="7.42578125" style="109" customWidth="1"/>
    <col min="340" max="340" width="23" style="109" bestFit="1" customWidth="1"/>
    <col min="341" max="341" width="19.85546875" style="109" bestFit="1" customWidth="1"/>
    <col min="342" max="342" width="23" style="109" bestFit="1" customWidth="1"/>
    <col min="343" max="343" width="19.85546875" style="109" bestFit="1" customWidth="1"/>
    <col min="344" max="344" width="23" style="109" bestFit="1" customWidth="1"/>
    <col min="345" max="345" width="19.85546875" style="109" bestFit="1" customWidth="1"/>
    <col min="346" max="346" width="23" style="109" bestFit="1" customWidth="1"/>
    <col min="347" max="347" width="19.85546875" style="109" bestFit="1" customWidth="1"/>
    <col min="348" max="348" width="23" style="109" bestFit="1" customWidth="1"/>
    <col min="349" max="349" width="19.85546875" style="109" bestFit="1" customWidth="1"/>
    <col min="350" max="350" width="23" style="109" bestFit="1" customWidth="1"/>
    <col min="351" max="351" width="19.85546875" style="109" bestFit="1" customWidth="1"/>
    <col min="352" max="352" width="7.28515625" style="109" customWidth="1"/>
    <col min="353" max="353" width="23" style="109" bestFit="1" customWidth="1"/>
    <col min="354" max="354" width="19.85546875" style="109" bestFit="1" customWidth="1"/>
    <col min="355" max="355" width="23" style="109" bestFit="1" customWidth="1"/>
    <col min="356" max="356" width="19.85546875" style="109" bestFit="1" customWidth="1"/>
    <col min="357" max="357" width="23" style="109" bestFit="1" customWidth="1"/>
    <col min="358" max="358" width="19.85546875" style="109" bestFit="1" customWidth="1"/>
    <col min="359" max="359" width="8" style="109" customWidth="1"/>
    <col min="360" max="360" width="9.28515625" style="109" bestFit="1" customWidth="1"/>
    <col min="361" max="361" width="23" style="109" bestFit="1" customWidth="1"/>
    <col min="362" max="362" width="19.85546875" style="109" bestFit="1" customWidth="1"/>
    <col min="363" max="363" width="8" style="109" customWidth="1"/>
    <col min="364" max="364" width="9.28515625" style="109" bestFit="1" customWidth="1"/>
    <col min="365" max="365" width="23" style="109" bestFit="1" customWidth="1"/>
    <col min="366" max="366" width="19.85546875" style="109" bestFit="1" customWidth="1"/>
    <col min="367" max="367" width="23" style="109" bestFit="1" customWidth="1"/>
    <col min="368" max="368" width="19.85546875" style="109" bestFit="1" customWidth="1"/>
    <col min="369" max="369" width="8" style="109" customWidth="1"/>
    <col min="370" max="370" width="23" style="109" bestFit="1" customWidth="1"/>
    <col min="371" max="371" width="19.85546875" style="109" bestFit="1" customWidth="1"/>
    <col min="372" max="372" width="23" style="109" bestFit="1" customWidth="1"/>
    <col min="373" max="373" width="19.85546875" style="109" bestFit="1" customWidth="1"/>
    <col min="374" max="374" width="23" style="109" bestFit="1" customWidth="1"/>
    <col min="375" max="375" width="20.28515625" style="109" bestFit="1" customWidth="1"/>
    <col min="376" max="376" width="23.42578125" style="109" bestFit="1" customWidth="1"/>
    <col min="377" max="377" width="19.85546875" style="109" bestFit="1" customWidth="1"/>
    <col min="378" max="378" width="23" style="109" bestFit="1" customWidth="1"/>
    <col min="379" max="379" width="19.85546875" style="109" bestFit="1" customWidth="1"/>
    <col min="380" max="380" width="23" style="109" bestFit="1" customWidth="1"/>
    <col min="381" max="381" width="19.85546875" style="109" bestFit="1" customWidth="1"/>
    <col min="382" max="382" width="23" style="109" bestFit="1" customWidth="1"/>
    <col min="383" max="383" width="19.85546875" style="109" bestFit="1" customWidth="1"/>
    <col min="384" max="384" width="23" style="109" bestFit="1" customWidth="1"/>
    <col min="385" max="385" width="19.85546875" style="109" bestFit="1" customWidth="1"/>
    <col min="386" max="386" width="7" style="109" customWidth="1"/>
    <col min="387" max="387" width="7.28515625" style="109" customWidth="1"/>
    <col min="388" max="388" width="23" style="109" bestFit="1" customWidth="1"/>
    <col min="389" max="389" width="19.85546875" style="109" bestFit="1" customWidth="1"/>
    <col min="390" max="390" width="12.42578125" style="109" bestFit="1" customWidth="1"/>
    <col min="391" max="391" width="8" style="109" customWidth="1"/>
    <col min="392" max="392" width="7" style="109" customWidth="1"/>
    <col min="393" max="393" width="7.28515625" style="109" customWidth="1"/>
    <col min="394" max="394" width="23" style="109" bestFit="1" customWidth="1"/>
    <col min="395" max="395" width="19.85546875" style="109" bestFit="1" customWidth="1"/>
    <col min="396" max="397" width="8" style="109" customWidth="1"/>
    <col min="398" max="398" width="7.28515625" style="109" customWidth="1"/>
    <col min="399" max="399" width="23" style="109" bestFit="1" customWidth="1"/>
    <col min="400" max="400" width="19.85546875" style="109" bestFit="1" customWidth="1"/>
    <col min="401" max="401" width="23" style="109" bestFit="1" customWidth="1"/>
    <col min="402" max="402" width="19.85546875" style="109" bestFit="1" customWidth="1"/>
    <col min="403" max="403" width="7" style="109" customWidth="1"/>
    <col min="404" max="404" width="8" style="109" customWidth="1"/>
    <col min="405" max="405" width="9.28515625" style="109" bestFit="1" customWidth="1"/>
    <col min="406" max="406" width="23" style="109" bestFit="1" customWidth="1"/>
    <col min="407" max="407" width="19.85546875" style="109" bestFit="1" customWidth="1"/>
    <col min="408" max="408" width="23" style="109" bestFit="1" customWidth="1"/>
    <col min="409" max="409" width="19.85546875" style="109" bestFit="1" customWidth="1"/>
    <col min="410" max="410" width="23" style="109" bestFit="1" customWidth="1"/>
    <col min="411" max="411" width="19.85546875" style="109" bestFit="1" customWidth="1"/>
    <col min="412" max="412" width="23" style="109" bestFit="1" customWidth="1"/>
    <col min="413" max="413" width="19.85546875" style="109" bestFit="1" customWidth="1"/>
    <col min="414" max="414" width="23" style="109" bestFit="1" customWidth="1"/>
    <col min="415" max="415" width="19.85546875" style="109" bestFit="1" customWidth="1"/>
    <col min="416" max="416" width="8" style="109" customWidth="1"/>
    <col min="417" max="417" width="9.28515625" style="109" bestFit="1" customWidth="1"/>
    <col min="418" max="418" width="23" style="109" bestFit="1" customWidth="1"/>
    <col min="419" max="419" width="19.85546875" style="109" bestFit="1" customWidth="1"/>
    <col min="420" max="420" width="7" style="109" customWidth="1"/>
    <col min="421" max="421" width="7.28515625" style="109" customWidth="1"/>
    <col min="422" max="422" width="23" style="109" bestFit="1" customWidth="1"/>
    <col min="423" max="423" width="19.85546875" style="109" bestFit="1" customWidth="1"/>
    <col min="424" max="424" width="7" style="109" customWidth="1"/>
    <col min="425" max="426" width="8" style="109" customWidth="1"/>
    <col min="427" max="427" width="9.28515625" style="109" bestFit="1" customWidth="1"/>
    <col min="428" max="428" width="23" style="109" bestFit="1" customWidth="1"/>
    <col min="429" max="429" width="19.85546875" style="109" bestFit="1" customWidth="1"/>
    <col min="430" max="430" width="7" style="109" customWidth="1"/>
    <col min="431" max="431" width="23" style="109" bestFit="1" customWidth="1"/>
    <col min="432" max="432" width="20.28515625" style="109" bestFit="1" customWidth="1"/>
    <col min="433" max="433" width="23.42578125" style="109" bestFit="1" customWidth="1"/>
    <col min="434" max="434" width="19.85546875" style="109" bestFit="1" customWidth="1"/>
    <col min="435" max="435" width="7" style="109" customWidth="1"/>
    <col min="436" max="436" width="23" style="109" bestFit="1" customWidth="1"/>
    <col min="437" max="437" width="16.7109375" style="109" bestFit="1" customWidth="1"/>
    <col min="438" max="438" width="8.42578125" style="109" customWidth="1"/>
    <col min="439" max="439" width="12.42578125" style="109" bestFit="1" customWidth="1"/>
    <col min="440" max="440" width="6.42578125" style="109" customWidth="1"/>
    <col min="441" max="441" width="6.7109375" style="109" customWidth="1"/>
    <col min="442" max="442" width="7.28515625" style="109" customWidth="1"/>
    <col min="443" max="443" width="19.85546875" style="109" bestFit="1" customWidth="1"/>
    <col min="444" max="444" width="16.85546875" style="109" bestFit="1" customWidth="1"/>
    <col min="445" max="445" width="6.140625" style="109" customWidth="1"/>
    <col min="446" max="446" width="7.28515625" style="109" customWidth="1"/>
    <col min="447" max="447" width="6" style="109" customWidth="1"/>
    <col min="448" max="448" width="9.28515625" style="109" bestFit="1" customWidth="1"/>
    <col min="449" max="449" width="20" style="109" bestFit="1" customWidth="1"/>
    <col min="450" max="450" width="11.28515625" style="109" bestFit="1" customWidth="1"/>
    <col min="451" max="16384" width="9.140625" style="109"/>
  </cols>
  <sheetData>
    <row r="1" spans="2:10" x14ac:dyDescent="0.25">
      <c r="B1"/>
      <c r="C1"/>
    </row>
    <row r="2" spans="2:10" x14ac:dyDescent="0.25">
      <c r="B2"/>
      <c r="C2"/>
    </row>
    <row r="3" spans="2:10" x14ac:dyDescent="0.25">
      <c r="B3" s="370" t="s">
        <v>97</v>
      </c>
      <c r="C3" s="109" t="s">
        <v>668</v>
      </c>
    </row>
    <row r="5" spans="2:10" x14ac:dyDescent="0.25">
      <c r="B5" s="370" t="s">
        <v>665</v>
      </c>
      <c r="C5" s="109" t="s">
        <v>669</v>
      </c>
      <c r="D5" s="377" t="s">
        <v>672</v>
      </c>
      <c r="E5" s="376" t="s">
        <v>666</v>
      </c>
      <c r="F5"/>
      <c r="G5"/>
      <c r="H5"/>
      <c r="I5"/>
      <c r="J5"/>
    </row>
    <row r="6" spans="2:10" x14ac:dyDescent="0.25">
      <c r="B6" s="371" t="s">
        <v>60</v>
      </c>
      <c r="C6" s="372">
        <v>1</v>
      </c>
      <c r="D6" s="377">
        <v>-336231.5274518439</v>
      </c>
      <c r="E6" s="376">
        <v>0.17316383172512406</v>
      </c>
      <c r="F6"/>
      <c r="G6"/>
      <c r="H6"/>
      <c r="I6"/>
      <c r="J6"/>
    </row>
    <row r="7" spans="2:10" x14ac:dyDescent="0.25">
      <c r="B7" s="374" t="s">
        <v>452</v>
      </c>
      <c r="C7" s="372">
        <v>0.83333333333333326</v>
      </c>
      <c r="D7" s="377">
        <v>-422971.68408876023</v>
      </c>
      <c r="E7" s="376">
        <v>0.10795556684010589</v>
      </c>
      <c r="F7"/>
      <c r="G7"/>
      <c r="H7"/>
      <c r="I7"/>
      <c r="J7"/>
    </row>
    <row r="8" spans="2:10" x14ac:dyDescent="0.25">
      <c r="B8" s="374" t="s">
        <v>418</v>
      </c>
      <c r="C8" s="372">
        <v>0.16666666666666666</v>
      </c>
      <c r="D8" s="377">
        <v>-36750.918538520586</v>
      </c>
      <c r="E8" s="376">
        <v>6.5208264885018158E-2</v>
      </c>
      <c r="F8"/>
      <c r="G8"/>
      <c r="H8"/>
      <c r="I8"/>
      <c r="J8"/>
    </row>
    <row r="9" spans="2:10" x14ac:dyDescent="0.25">
      <c r="B9" s="371" t="s">
        <v>667</v>
      </c>
      <c r="C9" s="372">
        <v>1</v>
      </c>
      <c r="D9" s="377">
        <v>-336231.5274518439</v>
      </c>
      <c r="E9" s="376">
        <v>0.17316383172512406</v>
      </c>
      <c r="F9"/>
      <c r="G9"/>
      <c r="H9"/>
      <c r="I9"/>
      <c r="J9"/>
    </row>
    <row r="10" spans="2:10" x14ac:dyDescent="0.25">
      <c r="B10"/>
      <c r="C10"/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x14ac:dyDescent="0.25">
      <c r="B12"/>
      <c r="C12"/>
      <c r="D12"/>
      <c r="E12"/>
      <c r="F12"/>
      <c r="G12"/>
      <c r="H12"/>
      <c r="I12"/>
      <c r="J12"/>
    </row>
    <row r="13" spans="2:10" x14ac:dyDescent="0.25">
      <c r="B13"/>
      <c r="C13"/>
      <c r="D13"/>
      <c r="E13"/>
      <c r="F13"/>
      <c r="G13"/>
      <c r="H13"/>
      <c r="I13"/>
      <c r="J13"/>
    </row>
    <row r="14" spans="2:10" x14ac:dyDescent="0.25">
      <c r="B14"/>
      <c r="C14"/>
      <c r="D14"/>
      <c r="E14"/>
      <c r="F14"/>
      <c r="G14"/>
      <c r="H14"/>
      <c r="I14"/>
      <c r="J14"/>
    </row>
    <row r="15" spans="2:10" x14ac:dyDescent="0.25">
      <c r="B15"/>
      <c r="C15"/>
      <c r="D15"/>
      <c r="E15"/>
    </row>
    <row r="16" spans="2:10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  <c r="C18"/>
      <c r="D18"/>
      <c r="E18"/>
    </row>
    <row r="19" spans="2:5" x14ac:dyDescent="0.25">
      <c r="B19"/>
      <c r="C19"/>
      <c r="D19"/>
    </row>
    <row r="20" spans="2:5" x14ac:dyDescent="0.25">
      <c r="B20"/>
      <c r="C20"/>
      <c r="D20"/>
    </row>
    <row r="21" spans="2:5" x14ac:dyDescent="0.25">
      <c r="B21"/>
      <c r="C21"/>
    </row>
    <row r="22" spans="2:5" x14ac:dyDescent="0.25">
      <c r="B22"/>
      <c r="C22"/>
      <c r="D22" s="373"/>
      <c r="E22" s="373"/>
    </row>
    <row r="23" spans="2:5" x14ac:dyDescent="0.25">
      <c r="B23"/>
      <c r="C23"/>
    </row>
    <row r="24" spans="2:5" x14ac:dyDescent="0.25">
      <c r="B24"/>
      <c r="C24"/>
    </row>
    <row r="25" spans="2:5" x14ac:dyDescent="0.25">
      <c r="B25"/>
      <c r="C25"/>
    </row>
    <row r="26" spans="2:5" x14ac:dyDescent="0.25">
      <c r="B26"/>
      <c r="C26"/>
      <c r="E26" s="373"/>
    </row>
    <row r="27" spans="2:5" x14ac:dyDescent="0.25">
      <c r="B27"/>
      <c r="C27"/>
    </row>
    <row r="28" spans="2:5" x14ac:dyDescent="0.25">
      <c r="B28"/>
      <c r="C28"/>
    </row>
    <row r="29" spans="2:5" x14ac:dyDescent="0.25">
      <c r="B29"/>
      <c r="C29"/>
    </row>
    <row r="30" spans="2:5" x14ac:dyDescent="0.25">
      <c r="B30"/>
      <c r="C30"/>
    </row>
    <row r="31" spans="2:5" x14ac:dyDescent="0.25">
      <c r="B31"/>
      <c r="C31"/>
    </row>
    <row r="32" spans="2:5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  <row r="201" spans="2:3" x14ac:dyDescent="0.25">
      <c r="B201"/>
      <c r="C201"/>
    </row>
    <row r="202" spans="2:3" x14ac:dyDescent="0.25">
      <c r="B202"/>
      <c r="C202"/>
    </row>
    <row r="203" spans="2:3" x14ac:dyDescent="0.25">
      <c r="B203"/>
      <c r="C203"/>
    </row>
    <row r="204" spans="2:3" x14ac:dyDescent="0.25">
      <c r="B204"/>
      <c r="C204"/>
    </row>
    <row r="205" spans="2:3" x14ac:dyDescent="0.25">
      <c r="B205"/>
      <c r="C205"/>
    </row>
    <row r="206" spans="2:3" x14ac:dyDescent="0.25">
      <c r="B206"/>
      <c r="C206"/>
    </row>
    <row r="207" spans="2:3" x14ac:dyDescent="0.25">
      <c r="B207"/>
      <c r="C207"/>
    </row>
    <row r="208" spans="2:3" x14ac:dyDescent="0.25">
      <c r="B208"/>
      <c r="C208"/>
    </row>
    <row r="209" spans="2:3" x14ac:dyDescent="0.25">
      <c r="B209"/>
      <c r="C209"/>
    </row>
    <row r="210" spans="2:3" x14ac:dyDescent="0.25">
      <c r="B210"/>
      <c r="C210"/>
    </row>
    <row r="211" spans="2:3" x14ac:dyDescent="0.25">
      <c r="B211"/>
      <c r="C211"/>
    </row>
    <row r="212" spans="2:3" x14ac:dyDescent="0.25">
      <c r="B212"/>
      <c r="C212"/>
    </row>
    <row r="213" spans="2:3" x14ac:dyDescent="0.25">
      <c r="B213"/>
      <c r="C213"/>
    </row>
    <row r="214" spans="2:3" x14ac:dyDescent="0.25">
      <c r="B214"/>
      <c r="C214"/>
    </row>
    <row r="215" spans="2:3" x14ac:dyDescent="0.25">
      <c r="B215"/>
      <c r="C215"/>
    </row>
    <row r="216" spans="2:3" x14ac:dyDescent="0.25">
      <c r="B216"/>
      <c r="C216"/>
    </row>
    <row r="217" spans="2:3" x14ac:dyDescent="0.25">
      <c r="B217"/>
      <c r="C217"/>
    </row>
    <row r="218" spans="2:3" x14ac:dyDescent="0.25">
      <c r="B218"/>
      <c r="C218"/>
    </row>
    <row r="219" spans="2:3" x14ac:dyDescent="0.25">
      <c r="B219"/>
      <c r="C219"/>
    </row>
    <row r="220" spans="2:3" x14ac:dyDescent="0.25">
      <c r="B220"/>
      <c r="C220"/>
    </row>
    <row r="221" spans="2:3" x14ac:dyDescent="0.25">
      <c r="B221"/>
      <c r="C221"/>
    </row>
    <row r="222" spans="2:3" x14ac:dyDescent="0.25">
      <c r="B222"/>
      <c r="C222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T159"/>
  <sheetViews>
    <sheetView topLeftCell="A94" zoomScale="80" zoomScaleNormal="80" workbookViewId="0">
      <selection activeCell="G103" sqref="G103"/>
    </sheetView>
  </sheetViews>
  <sheetFormatPr defaultColWidth="9.28515625" defaultRowHeight="15" x14ac:dyDescent="0.25"/>
  <cols>
    <col min="1" max="1" width="43.28515625" style="109" bestFit="1" customWidth="1"/>
    <col min="2" max="2" width="14.28515625" style="109" bestFit="1" customWidth="1"/>
    <col min="3" max="3" width="16.28515625" style="109" bestFit="1" customWidth="1"/>
    <col min="4" max="4" width="14.5703125" style="109" bestFit="1" customWidth="1"/>
    <col min="5" max="5" width="15.28515625" style="109" bestFit="1" customWidth="1"/>
    <col min="6" max="6" width="15.140625" style="109" bestFit="1" customWidth="1"/>
    <col min="7" max="7" width="15.28515625" style="109" bestFit="1" customWidth="1"/>
    <col min="8" max="8" width="11.7109375" style="109" customWidth="1"/>
    <col min="9" max="9" width="25.5703125" style="109" bestFit="1" customWidth="1"/>
    <col min="10" max="10" width="25.140625" style="109" customWidth="1"/>
    <col min="11" max="11" width="26.28515625" style="109" customWidth="1"/>
    <col min="12" max="12" width="13.28515625" style="109" customWidth="1"/>
    <col min="13" max="13" width="12.85546875" style="109" customWidth="1"/>
    <col min="14" max="14" width="13.7109375" style="109" bestFit="1" customWidth="1"/>
    <col min="15" max="15" width="20" style="109" customWidth="1"/>
    <col min="16" max="16" width="14.7109375" style="109" bestFit="1" customWidth="1"/>
    <col min="17" max="17" width="23.42578125" style="109" hidden="1" customWidth="1"/>
    <col min="18" max="18" width="18.85546875" style="109" hidden="1" customWidth="1"/>
    <col min="19" max="19" width="16.7109375" style="109" hidden="1" customWidth="1"/>
    <col min="20" max="20" width="15.5703125" style="109" hidden="1" customWidth="1"/>
    <col min="21" max="16384" width="9.28515625" style="109"/>
  </cols>
  <sheetData>
    <row r="1" spans="1:20" ht="21.75" thickBot="1" x14ac:dyDescent="0.4">
      <c r="A1" s="350" t="s">
        <v>640</v>
      </c>
      <c r="D1" s="847" t="s">
        <v>639</v>
      </c>
      <c r="E1" s="848"/>
      <c r="F1" s="849" t="s">
        <v>638</v>
      </c>
      <c r="G1" s="850"/>
    </row>
    <row r="2" spans="1:20" ht="15.75" x14ac:dyDescent="0.25">
      <c r="A2" s="349" t="s">
        <v>637</v>
      </c>
      <c r="B2" s="347" t="s">
        <v>636</v>
      </c>
      <c r="C2" s="347" t="s">
        <v>635</v>
      </c>
      <c r="D2" s="347" t="s">
        <v>634</v>
      </c>
      <c r="E2" s="347" t="s">
        <v>632</v>
      </c>
      <c r="F2" s="347" t="s">
        <v>633</v>
      </c>
      <c r="G2" s="347" t="s">
        <v>632</v>
      </c>
      <c r="H2" s="347" t="s">
        <v>631</v>
      </c>
      <c r="I2" s="348" t="s">
        <v>630</v>
      </c>
      <c r="J2" s="347" t="s">
        <v>629</v>
      </c>
      <c r="K2" s="347" t="s">
        <v>628</v>
      </c>
      <c r="L2" s="347" t="s">
        <v>97</v>
      </c>
      <c r="M2" s="347" t="s">
        <v>627</v>
      </c>
      <c r="N2" s="347" t="s">
        <v>626</v>
      </c>
      <c r="O2" s="347" t="s">
        <v>625</v>
      </c>
      <c r="P2" s="347" t="s">
        <v>624</v>
      </c>
      <c r="Q2" s="346" t="s">
        <v>623</v>
      </c>
      <c r="R2" s="346" t="s">
        <v>622</v>
      </c>
      <c r="S2" s="346" t="s">
        <v>621</v>
      </c>
      <c r="T2" s="346" t="s">
        <v>620</v>
      </c>
    </row>
    <row r="3" spans="1:20" s="1" customFormat="1" ht="18.75" x14ac:dyDescent="0.3">
      <c r="A3" s="341" t="s">
        <v>619</v>
      </c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38" t="e">
        <f>_xll.BDP(#REF!&amp;" Corp", "INTERVAL_PERCENT_CHANGE", "END_DATE_OVERRIDE"," ", "START_DATE_OVERRIDe",R3)</f>
        <v>#REF!</v>
      </c>
      <c r="R3" s="337">
        <v>20140716</v>
      </c>
      <c r="S3" s="336" t="e">
        <f>_xll.BDP(#REF!&amp; " Corp","PX_GROSS_MID")</f>
        <v>#REF!</v>
      </c>
      <c r="T3" s="335" t="e">
        <f>_xll.BDP(#REF!&amp; " Corp","MIN_PIECE")</f>
        <v>#REF!</v>
      </c>
    </row>
    <row r="4" spans="1:20" ht="15.75" x14ac:dyDescent="0.25">
      <c r="A4" s="336" t="e">
        <f ca="1">_xll.BDP(B4&amp; " Corp","name")</f>
        <v>#NAME?</v>
      </c>
      <c r="B4" s="336" t="s">
        <v>618</v>
      </c>
      <c r="C4" s="336" t="e">
        <f ca="1">_xll.BDP(B4 &amp; " Corp","MTY_YEARS_TDY")</f>
        <v>#NAME?</v>
      </c>
      <c r="D4" s="336" t="e">
        <f ca="1">_xll.BDP(B4 &amp; " Corp","px_last")</f>
        <v>#NAME?</v>
      </c>
      <c r="E4" s="336" t="e">
        <f ca="1">_xll.BDP(B4 &amp; " Corp","px_ask")</f>
        <v>#NAME?</v>
      </c>
      <c r="F4" s="336" t="e">
        <f ca="1">_xll.BDP(B4 &amp; " Corp","YLD_YTM_BID")</f>
        <v>#NAME?</v>
      </c>
      <c r="G4" s="336" t="e">
        <f ca="1">_xll.BDP(B4 &amp; " Corp","YLD_YTM_ask")</f>
        <v>#NAME?</v>
      </c>
      <c r="H4" s="336" t="e">
        <f ca="1">_xll.BDP(B4 &amp; " Corp","CPN")</f>
        <v>#NAME?</v>
      </c>
      <c r="I4" s="336" t="e">
        <f ca="1">_xll.BDP(B4&amp; " Corp","MATURITY")</f>
        <v>#NAME?</v>
      </c>
      <c r="J4" s="336" t="e">
        <f ca="1">IF(_xll.BDP(B4 &amp; " Corp","RTG_SP")="#N/A N/A","",_xll.BDP(B4 &amp; " Corp","RTG_SP"))&amp;"/"&amp;IF(_xll.BDP(B4 &amp; " Corp","RTG_fitch")="#N/A N/A","",_xll.BDP(B4 &amp; " Corp","RTG_fitch"))&amp;"/"&amp;IF(_xll.BDP(B4 &amp; " Corp","RTG_moody")="#N/A N/A","",_xll.BDP(B4 &amp; " Corp","RTG_moody"))</f>
        <v>#NAME?</v>
      </c>
      <c r="K4" s="336" t="e">
        <f ca="1">_xll.BDP($B4&amp; " Corp","INDUSTRY_SUBGROUP")</f>
        <v>#NAME?</v>
      </c>
      <c r="L4" s="336" t="e">
        <f ca="1">_xll.BDP(B4 &amp; " Corp","CRNCY")</f>
        <v>#NAME?</v>
      </c>
      <c r="M4" s="336" t="e">
        <f ca="1">_xll.BDP(B4 &amp; " Corp","CNTRY_OF_RISK")</f>
        <v>#NAME?</v>
      </c>
      <c r="N4" s="336" t="e">
        <f ca="1">_xll.BDP($B4&amp; " Corp","PAYMENT_RANK")</f>
        <v>#NAME?</v>
      </c>
      <c r="O4" s="336" t="e">
        <f ca="1">_xll.BDP($B4&amp; " Corp","MTY_TYP")</f>
        <v>#NAME?</v>
      </c>
      <c r="P4" s="336" t="e">
        <f ca="1">_xll.BDP($B4&amp; " Corp","RUSSIAN_CB_LOMBARD")</f>
        <v>#NAME?</v>
      </c>
      <c r="Q4" s="338" t="e">
        <f ca="1">_xll.BDP(B4&amp;" Corp", "INTERVAL_PERCENT_CHANGE", "END_DATE_OVERRIDE"," ", "START_DATE_OVERRIDe",R4)</f>
        <v>#NAME?</v>
      </c>
      <c r="R4" s="337">
        <v>20140716</v>
      </c>
      <c r="S4" s="336" t="e">
        <f ca="1">_xll.BDP($B4&amp; " Corp","PX_GROSS_MID")</f>
        <v>#NAME?</v>
      </c>
      <c r="T4" s="335" t="e">
        <f ca="1">_xll.BDP($B4&amp; " Corp","MIN_PIECE")</f>
        <v>#NAME?</v>
      </c>
    </row>
    <row r="5" spans="1:20" ht="15.75" x14ac:dyDescent="0.25">
      <c r="A5" s="336" t="e">
        <f ca="1">_xll.BDP(B5&amp; " Corp","name")</f>
        <v>#NAME?</v>
      </c>
      <c r="B5" s="336" t="s">
        <v>617</v>
      </c>
      <c r="C5" s="336" t="e">
        <f ca="1">_xll.BDP(B5 &amp; " Corp","MTY_YEARS_TDY")</f>
        <v>#NAME?</v>
      </c>
      <c r="D5" s="336" t="e">
        <f ca="1">_xll.BDP(B5 &amp; " Corp","px_last")</f>
        <v>#NAME?</v>
      </c>
      <c r="E5" s="336" t="e">
        <f ca="1">_xll.BDP(B5 &amp; " Corp","px_ask")</f>
        <v>#NAME?</v>
      </c>
      <c r="F5" s="336" t="e">
        <f ca="1">_xll.BDP(B5 &amp; " Corp","YLD_YTM_BID")</f>
        <v>#NAME?</v>
      </c>
      <c r="G5" s="336" t="e">
        <f ca="1">_xll.BDP(B5 &amp; " Corp","YLD_YTM_ask")</f>
        <v>#NAME?</v>
      </c>
      <c r="H5" s="336" t="e">
        <f ca="1">_xll.BDP(B5 &amp; " Corp","CPN")</f>
        <v>#NAME?</v>
      </c>
      <c r="I5" s="336" t="e">
        <f ca="1">_xll.BDP(B5&amp; " Corp","MATURITY")</f>
        <v>#NAME?</v>
      </c>
      <c r="J5" s="336" t="e">
        <f ca="1">IF(_xll.BDP(B5 &amp; " Corp","RTG_SP")="#N/A N/A","",_xll.BDP(B5 &amp; " Corp","RTG_SP"))&amp;"/"&amp;IF(_xll.BDP(B5 &amp; " Corp","RTG_fitch")="#N/A N/A","",_xll.BDP(B5 &amp; " Corp","RTG_fitch"))&amp;"/"&amp;IF(_xll.BDP(B5 &amp; " Corp","RTG_moody")="#N/A N/A","",_xll.BDP(B5 &amp; " Corp","RTG_moody"))</f>
        <v>#NAME?</v>
      </c>
      <c r="K5" s="336" t="e">
        <f ca="1">_xll.BDP($B5&amp; " Corp","INDUSTRY_SUBGROUP")</f>
        <v>#NAME?</v>
      </c>
      <c r="L5" s="336" t="e">
        <f ca="1">_xll.BDP(B5 &amp; " Corp","CRNCY")</f>
        <v>#NAME?</v>
      </c>
      <c r="M5" s="336" t="e">
        <f ca="1">_xll.BDP(B5 &amp; " Corp","CNTRY_OF_RISK")</f>
        <v>#NAME?</v>
      </c>
      <c r="N5" s="336" t="e">
        <f ca="1">_xll.BDP($B5&amp; " Corp","PAYMENT_RANK")</f>
        <v>#NAME?</v>
      </c>
      <c r="O5" s="336" t="e">
        <f ca="1">_xll.BDP($B5&amp; " Corp","MTY_TYP")</f>
        <v>#NAME?</v>
      </c>
      <c r="P5" s="336" t="e">
        <f ca="1">_xll.BDP($B5&amp; " Corp","RUSSIAN_CB_LOMBARD")</f>
        <v>#NAME?</v>
      </c>
      <c r="Q5" s="338" t="e">
        <f ca="1">_xll.BDP(B5&amp;" Corp", "INTERVAL_PERCENT_CHANGE", "END_DATE_OVERRIDE"," ", "START_DATE_OVERRIDe",R5)</f>
        <v>#NAME?</v>
      </c>
      <c r="R5" s="337">
        <v>20140716</v>
      </c>
      <c r="S5" s="336" t="e">
        <f ca="1">_xll.BDP($B5&amp; " Corp","PX_GROSS_MID")</f>
        <v>#NAME?</v>
      </c>
      <c r="T5" s="335" t="e">
        <f ca="1">_xll.BDP($B5&amp; " Corp","MIN_PIECE")</f>
        <v>#NAME?</v>
      </c>
    </row>
    <row r="6" spans="1:20" ht="15.75" x14ac:dyDescent="0.25">
      <c r="A6" s="336" t="e">
        <f ca="1">_xll.BDP(B6&amp; " Corp","name")</f>
        <v>#NAME?</v>
      </c>
      <c r="B6" s="336" t="s">
        <v>616</v>
      </c>
      <c r="C6" s="336" t="e">
        <f ca="1">_xll.BDP(B6 &amp; " Corp","MTY_YEARS_TDY")</f>
        <v>#NAME?</v>
      </c>
      <c r="D6" s="336" t="e">
        <f ca="1">_xll.BDP(B6 &amp; " Corp","px_last")</f>
        <v>#NAME?</v>
      </c>
      <c r="E6" s="336" t="e">
        <f ca="1">_xll.BDP(B6 &amp; " Corp","px_ask")</f>
        <v>#NAME?</v>
      </c>
      <c r="F6" s="336" t="e">
        <f ca="1">_xll.BDP(B6 &amp; " Corp","YLD_YTM_BID")</f>
        <v>#NAME?</v>
      </c>
      <c r="G6" s="336" t="e">
        <f ca="1">_xll.BDP(B6 &amp; " Corp","YLD_YTM_ask")</f>
        <v>#NAME?</v>
      </c>
      <c r="H6" s="336" t="e">
        <f ca="1">_xll.BDP(B6 &amp; " Corp","CPN")</f>
        <v>#NAME?</v>
      </c>
      <c r="I6" s="336" t="e">
        <f ca="1">_xll.BDP(B6&amp; " Corp","MATURITY")</f>
        <v>#NAME?</v>
      </c>
      <c r="J6" s="336" t="e">
        <f ca="1">IF(_xll.BDP(B6 &amp; " Corp","RTG_SP")="#N/A N/A","",_xll.BDP(B6 &amp; " Corp","RTG_SP"))&amp;"/"&amp;IF(_xll.BDP(B6 &amp; " Corp","RTG_fitch")="#N/A N/A","",_xll.BDP(B6 &amp; " Corp","RTG_fitch"))&amp;"/"&amp;IF(_xll.BDP(B6 &amp; " Corp","RTG_moody")="#N/A N/A","",_xll.BDP(B6 &amp; " Corp","RTG_moody"))</f>
        <v>#NAME?</v>
      </c>
      <c r="K6" s="336" t="e">
        <f ca="1">_xll.BDP($B6&amp; " Corp","INDUSTRY_SUBGROUP")</f>
        <v>#NAME?</v>
      </c>
      <c r="L6" s="336" t="e">
        <f ca="1">_xll.BDP(B6 &amp; " Corp","CRNCY")</f>
        <v>#NAME?</v>
      </c>
      <c r="M6" s="336" t="e">
        <f ca="1">_xll.BDP(B6 &amp; " Corp","CNTRY_OF_RISK")</f>
        <v>#NAME?</v>
      </c>
      <c r="N6" s="336" t="e">
        <f ca="1">_xll.BDP($B6&amp; " Corp","PAYMENT_RANK")</f>
        <v>#NAME?</v>
      </c>
      <c r="O6" s="336" t="e">
        <f ca="1">_xll.BDP($B6&amp; " Corp","MTY_TYP")</f>
        <v>#NAME?</v>
      </c>
      <c r="P6" s="336" t="e">
        <f ca="1">_xll.BDP($B6&amp; " Corp","RUSSIAN_CB_LOMBARD")</f>
        <v>#NAME?</v>
      </c>
      <c r="Q6" s="338" t="e">
        <f ca="1">_xll.BDP(B6&amp;" Corp", "INTERVAL_PERCENT_CHANGE", "END_DATE_OVERRIDE"," ", "START_DATE_OVERRIDe",R6)</f>
        <v>#NAME?</v>
      </c>
      <c r="R6" s="337">
        <v>20140716</v>
      </c>
      <c r="S6" s="336" t="e">
        <f ca="1">_xll.BDP($B6&amp; " Corp","PX_GROSS_MID")</f>
        <v>#NAME?</v>
      </c>
      <c r="T6" s="335" t="e">
        <f ca="1">_xll.BDP($B6&amp; " Corp","MIN_PIECE")</f>
        <v>#NAME?</v>
      </c>
    </row>
    <row r="7" spans="1:20" ht="15.75" x14ac:dyDescent="0.25">
      <c r="A7" s="339" t="e">
        <f ca="1">_xll.BDP(B7&amp; " Corp","name")</f>
        <v>#NAME?</v>
      </c>
      <c r="B7" s="336" t="s">
        <v>615</v>
      </c>
      <c r="C7" s="336" t="e">
        <f ca="1">_xll.BDP(B7 &amp; " Corp","MTY_YEARS_TDY")</f>
        <v>#NAME?</v>
      </c>
      <c r="D7" s="339" t="e">
        <f ca="1">_xll.BDP(B7 &amp; " Corp","px_last")</f>
        <v>#NAME?</v>
      </c>
      <c r="E7" s="336" t="e">
        <f ca="1">_xll.BDP(B7 &amp; " Corp","px_ask")</f>
        <v>#NAME?</v>
      </c>
      <c r="F7" s="336" t="e">
        <f ca="1">_xll.BDP(B7 &amp; " Corp","YLD_YTM_BID")</f>
        <v>#NAME?</v>
      </c>
      <c r="G7" s="336" t="e">
        <f ca="1">_xll.BDP(B7 &amp; " Corp","YLD_YTM_ask")</f>
        <v>#NAME?</v>
      </c>
      <c r="H7" s="339" t="e">
        <f ca="1">_xll.BDP(B7 &amp; " Corp","CPN")</f>
        <v>#NAME?</v>
      </c>
      <c r="I7" s="339" t="e">
        <f ca="1">_xll.BDP(B7&amp; " Corp","MATURITY")</f>
        <v>#NAME?</v>
      </c>
      <c r="J7" s="339" t="e">
        <f ca="1">IF(_xll.BDP(B7 &amp; " Corp","RTG_SP")="#N/A N/A","",_xll.BDP(B7 &amp; " Corp","RTG_SP"))&amp;"/"&amp;IF(_xll.BDP(B7 &amp; " Corp","RTG_fitch")="#N/A N/A","",_xll.BDP(B7 &amp; " Corp","RTG_fitch"))&amp;"/"&amp;IF(_xll.BDP(B7 &amp; " Corp","RTG_moody")="#N/A N/A","",_xll.BDP(B7 &amp; " Corp","RTG_moody"))</f>
        <v>#NAME?</v>
      </c>
      <c r="K7" s="339" t="e">
        <f ca="1">_xll.BDP($B7&amp; " Corp","INDUSTRY_SUBGROUP")</f>
        <v>#NAME?</v>
      </c>
      <c r="L7" s="339" t="e">
        <f ca="1">_xll.BDP(B7 &amp; " Corp","CRNCY")</f>
        <v>#NAME?</v>
      </c>
      <c r="M7" s="339" t="e">
        <f ca="1">_xll.BDP(B7 &amp; " Corp","CNTRY_OF_RISK")</f>
        <v>#NAME?</v>
      </c>
      <c r="N7" s="339" t="e">
        <f ca="1">_xll.BDP($B7&amp; " Corp","PAYMENT_RANK")</f>
        <v>#NAME?</v>
      </c>
      <c r="O7" s="339" t="e">
        <f ca="1">_xll.BDP($B7&amp; " Corp","MTY_TYP")</f>
        <v>#NAME?</v>
      </c>
      <c r="P7" s="336" t="e">
        <f ca="1">_xll.BDP($B7&amp; " Corp","RUSSIAN_CB_LOMBARD")</f>
        <v>#NAME?</v>
      </c>
      <c r="Q7" s="338" t="e">
        <f ca="1">_xll.BDP(B7&amp;" Corp", "INTERVAL_PERCENT_CHANGE", "END_DATE_OVERRIDE"," ", "START_DATE_OVERRIDe",R7)</f>
        <v>#NAME?</v>
      </c>
      <c r="R7" s="337">
        <v>20140716</v>
      </c>
      <c r="S7" s="336" t="e">
        <f ca="1">_xll.BDP($B7&amp; " Corp","PX_GROSS_MID")</f>
        <v>#NAME?</v>
      </c>
      <c r="T7" s="335" t="e">
        <f ca="1">_xll.BDP($B7&amp; " Corp","MIN_PIECE")</f>
        <v>#NAME?</v>
      </c>
    </row>
    <row r="8" spans="1:20" ht="15.75" x14ac:dyDescent="0.25">
      <c r="A8" s="336" t="e">
        <f ca="1">_xll.BDP(B8&amp; " Corp","name")</f>
        <v>#NAME?</v>
      </c>
      <c r="B8" s="336" t="s">
        <v>614</v>
      </c>
      <c r="C8" s="336" t="e">
        <f ca="1">_xll.BDP(B8 &amp; " Corp","MTY_YEARS_TDY")</f>
        <v>#NAME?</v>
      </c>
      <c r="D8" s="336" t="e">
        <f ca="1">_xll.BDP(B8 &amp; " Corp","px_last")</f>
        <v>#NAME?</v>
      </c>
      <c r="E8" s="336" t="e">
        <f ca="1">_xll.BDP(B8 &amp; " Corp","px_ask")</f>
        <v>#NAME?</v>
      </c>
      <c r="F8" s="336" t="e">
        <f ca="1">_xll.BDP(B8 &amp; " Corp","YLD_YTM_BID")</f>
        <v>#NAME?</v>
      </c>
      <c r="G8" s="336" t="e">
        <f ca="1">_xll.BDP(B8 &amp; " Corp","YLD_YTM_ask")</f>
        <v>#NAME?</v>
      </c>
      <c r="H8" s="336" t="e">
        <f ca="1">_xll.BDP(B8 &amp; " Corp","CPN")</f>
        <v>#NAME?</v>
      </c>
      <c r="I8" s="336" t="e">
        <f ca="1">_xll.BDP(B8&amp; " Corp","MATURITY")</f>
        <v>#NAME?</v>
      </c>
      <c r="J8" s="336" t="e">
        <f ca="1">IF(_xll.BDP(B8 &amp; " Corp","RTG_SP")="#N/A N/A","",_xll.BDP(B8 &amp; " Corp","RTG_SP"))&amp;"/"&amp;IF(_xll.BDP(B8 &amp; " Corp","RTG_fitch")="#N/A N/A","",_xll.BDP(B8 &amp; " Corp","RTG_fitch"))&amp;"/"&amp;IF(_xll.BDP(B8 &amp; " Corp","RTG_moody")="#N/A N/A","",_xll.BDP(B8 &amp; " Corp","RTG_moody"))</f>
        <v>#NAME?</v>
      </c>
      <c r="K8" s="336" t="e">
        <f ca="1">_xll.BDP($B8&amp; " Corp","INDUSTRY_SUBGROUP")</f>
        <v>#NAME?</v>
      </c>
      <c r="L8" s="336" t="e">
        <f ca="1">_xll.BDP(B8 &amp; " Corp","CRNCY")</f>
        <v>#NAME?</v>
      </c>
      <c r="M8" s="336" t="e">
        <f ca="1">_xll.BDP(B8 &amp; " Corp","CNTRY_OF_RISK")</f>
        <v>#NAME?</v>
      </c>
      <c r="N8" s="336" t="e">
        <f ca="1">_xll.BDP($B8&amp; " Corp","PAYMENT_RANK")</f>
        <v>#NAME?</v>
      </c>
      <c r="O8" s="336" t="e">
        <f ca="1">_xll.BDP($B8&amp; " Corp","MTY_TYP")</f>
        <v>#NAME?</v>
      </c>
      <c r="P8" s="336" t="e">
        <f ca="1">_xll.BDP($B8&amp; " Corp","RUSSIAN_CB_LOMBARD")</f>
        <v>#NAME?</v>
      </c>
      <c r="Q8" s="338" t="e">
        <f ca="1">_xll.BDP(B8&amp;" Corp", "INTERVAL_PERCENT_CHANGE", "END_DATE_OVERRIDE"," ", "START_DATE_OVERRIDe",R8)</f>
        <v>#NAME?</v>
      </c>
      <c r="R8" s="337">
        <v>20140716</v>
      </c>
      <c r="S8" s="336" t="e">
        <f ca="1">_xll.BDP($B8&amp; " Corp","PX_GROSS_MID")</f>
        <v>#NAME?</v>
      </c>
      <c r="T8" s="335" t="e">
        <f ca="1">_xll.BDP($B8&amp; " Corp","MIN_PIECE")</f>
        <v>#NAME?</v>
      </c>
    </row>
    <row r="9" spans="1:20" ht="15.75" x14ac:dyDescent="0.25">
      <c r="A9" s="336" t="e">
        <f ca="1">_xll.BDP(B9&amp; " Corp","name")</f>
        <v>#NAME?</v>
      </c>
      <c r="B9" s="336" t="s">
        <v>613</v>
      </c>
      <c r="C9" s="336" t="e">
        <f ca="1">_xll.BDP(B9 &amp; " Corp","MTY_YEARS_TDY")</f>
        <v>#NAME?</v>
      </c>
      <c r="D9" s="336" t="e">
        <f ca="1">_xll.BDP(B9 &amp; " Corp","px_last")</f>
        <v>#NAME?</v>
      </c>
      <c r="E9" s="336" t="e">
        <f ca="1">_xll.BDP(B9 &amp; " Corp","px_ask")</f>
        <v>#NAME?</v>
      </c>
      <c r="F9" s="336" t="e">
        <f ca="1">_xll.BDP(B9 &amp; " Corp","YLD_YTM_BID")</f>
        <v>#NAME?</v>
      </c>
      <c r="G9" s="336" t="e">
        <f ca="1">_xll.BDP(B9 &amp; " Corp","YLD_YTM_ask")</f>
        <v>#NAME?</v>
      </c>
      <c r="H9" s="336" t="e">
        <f ca="1">_xll.BDP(B9 &amp; " Corp","CPN")</f>
        <v>#NAME?</v>
      </c>
      <c r="I9" s="336" t="e">
        <f ca="1">_xll.BDP(B9&amp; " Corp","MATURITY")</f>
        <v>#NAME?</v>
      </c>
      <c r="J9" s="336" t="e">
        <f ca="1">IF(_xll.BDP(B9 &amp; " Corp","RTG_SP")="#N/A N/A","",_xll.BDP(B9 &amp; " Corp","RTG_SP"))&amp;"/"&amp;IF(_xll.BDP(B9 &amp; " Corp","RTG_fitch")="#N/A N/A","",_xll.BDP(B9 &amp; " Corp","RTG_fitch"))&amp;"/"&amp;IF(_xll.BDP(B9 &amp; " Corp","RTG_moody")="#N/A N/A","",_xll.BDP(B9 &amp; " Corp","RTG_moody"))</f>
        <v>#NAME?</v>
      </c>
      <c r="K9" s="336" t="e">
        <f ca="1">_xll.BDP($B9&amp; " Corp","INDUSTRY_SUBGROUP")</f>
        <v>#NAME?</v>
      </c>
      <c r="L9" s="336" t="e">
        <f ca="1">_xll.BDP(B9 &amp; " Corp","CRNCY")</f>
        <v>#NAME?</v>
      </c>
      <c r="M9" s="336" t="e">
        <f ca="1">_xll.BDP(B9 &amp; " Corp","CNTRY_OF_RISK")</f>
        <v>#NAME?</v>
      </c>
      <c r="N9" s="336" t="e">
        <f ca="1">_xll.BDP($B9&amp; " Corp","PAYMENT_RANK")</f>
        <v>#NAME?</v>
      </c>
      <c r="O9" s="336" t="e">
        <f ca="1">_xll.BDP($B9&amp; " Corp","MTY_TYP")</f>
        <v>#NAME?</v>
      </c>
      <c r="P9" s="336" t="e">
        <f ca="1">_xll.BDP($B9&amp; " Corp","RUSSIAN_CB_LOMBARD")</f>
        <v>#NAME?</v>
      </c>
      <c r="Q9" s="338" t="e">
        <f ca="1">_xll.BDP(B9&amp;" Corp", "INTERVAL_PERCENT_CHANGE", "END_DATE_OVERRIDE"," ", "START_DATE_OVERRIDe",R9)</f>
        <v>#NAME?</v>
      </c>
      <c r="R9" s="337">
        <v>20140716</v>
      </c>
      <c r="S9" s="336" t="e">
        <f ca="1">_xll.BDP($B9&amp; " Corp","PX_GROSS_MID")</f>
        <v>#NAME?</v>
      </c>
      <c r="T9" s="335" t="e">
        <f ca="1">_xll.BDP($B9&amp; " Corp","MIN_PIECE")</f>
        <v>#NAME?</v>
      </c>
    </row>
    <row r="10" spans="1:20" ht="15.75" x14ac:dyDescent="0.25">
      <c r="A10" s="336" t="e">
        <f ca="1">_xll.BDP(B10&amp; " Corp","name")</f>
        <v>#NAME?</v>
      </c>
      <c r="B10" s="336" t="s">
        <v>612</v>
      </c>
      <c r="C10" s="336" t="e">
        <f ca="1">_xll.BDP(B10 &amp; " Corp","MTY_YEARS_TDY")</f>
        <v>#NAME?</v>
      </c>
      <c r="D10" s="336" t="e">
        <f ca="1">_xll.BDP(B10 &amp; " Corp","px_last")</f>
        <v>#NAME?</v>
      </c>
      <c r="E10" s="336" t="e">
        <f ca="1">_xll.BDP(B10 &amp; " Corp","px_ask")</f>
        <v>#NAME?</v>
      </c>
      <c r="F10" s="336" t="e">
        <f ca="1">_xll.BDP(B10 &amp; " Corp","YLD_YTM_BID")</f>
        <v>#NAME?</v>
      </c>
      <c r="G10" s="336" t="e">
        <f ca="1">_xll.BDP(B10 &amp; " Corp","YLD_YTM_ask")</f>
        <v>#NAME?</v>
      </c>
      <c r="H10" s="336" t="e">
        <f ca="1">_xll.BDP(B10 &amp; " Corp","CPN")</f>
        <v>#NAME?</v>
      </c>
      <c r="I10" s="336" t="e">
        <f ca="1">_xll.BDP(B10&amp; " Corp","MATURITY")</f>
        <v>#NAME?</v>
      </c>
      <c r="J10" s="336" t="e">
        <f ca="1">IF(_xll.BDP(B10 &amp; " Corp","RTG_SP")="#N/A N/A","",_xll.BDP(B10 &amp; " Corp","RTG_SP"))&amp;"/"&amp;IF(_xll.BDP(B10 &amp; " Corp","RTG_fitch")="#N/A N/A","",_xll.BDP(B10 &amp; " Corp","RTG_fitch"))&amp;"/"&amp;IF(_xll.BDP(B10 &amp; " Corp","RTG_moody")="#N/A N/A","",_xll.BDP(B10 &amp; " Corp","RTG_moody"))</f>
        <v>#NAME?</v>
      </c>
      <c r="K10" s="336" t="e">
        <f ca="1">_xll.BDP($B10&amp; " Corp","INDUSTRY_SUBGROUP")</f>
        <v>#NAME?</v>
      </c>
      <c r="L10" s="336" t="e">
        <f ca="1">_xll.BDP(B10 &amp; " Corp","CRNCY")</f>
        <v>#NAME?</v>
      </c>
      <c r="M10" s="336" t="e">
        <f ca="1">_xll.BDP(B10 &amp; " Corp","CNTRY_OF_RISK")</f>
        <v>#NAME?</v>
      </c>
      <c r="N10" s="336" t="e">
        <f ca="1">_xll.BDP($B10&amp; " Corp","PAYMENT_RANK")</f>
        <v>#NAME?</v>
      </c>
      <c r="O10" s="336" t="e">
        <f ca="1">_xll.BDP($B10&amp; " Corp","MTY_TYP")</f>
        <v>#NAME?</v>
      </c>
      <c r="P10" s="336" t="e">
        <f ca="1">_xll.BDP($B10&amp; " Corp","RUSSIAN_CB_LOMBARD")</f>
        <v>#NAME?</v>
      </c>
      <c r="Q10" s="338" t="e">
        <f ca="1">_xll.BDP(B10&amp;" Corp", "INTERVAL_PERCENT_CHANGE", "END_DATE_OVERRIDE"," ", "START_DATE_OVERRIDe",R10)</f>
        <v>#NAME?</v>
      </c>
      <c r="R10" s="337">
        <v>20140716</v>
      </c>
      <c r="S10" s="336" t="e">
        <f ca="1">_xll.BDP($B10&amp; " Corp","PX_GROSS_MID")</f>
        <v>#NAME?</v>
      </c>
      <c r="T10" s="335" t="e">
        <f ca="1">_xll.BDP($B10&amp; " Corp","MIN_PIECE")</f>
        <v>#NAME?</v>
      </c>
    </row>
    <row r="11" spans="1:20" ht="15.75" x14ac:dyDescent="0.25">
      <c r="A11" s="336" t="e">
        <f ca="1">_xll.BDP(B11&amp; " Corp","name")</f>
        <v>#NAME?</v>
      </c>
      <c r="B11" s="336" t="s">
        <v>611</v>
      </c>
      <c r="C11" s="336" t="e">
        <f ca="1">_xll.BDP(B11 &amp; " Corp","MTY_YEARS_TDY")</f>
        <v>#NAME?</v>
      </c>
      <c r="D11" s="336" t="e">
        <f ca="1">_xll.BDP(B11 &amp; " Corp","px_last")</f>
        <v>#NAME?</v>
      </c>
      <c r="E11" s="336" t="e">
        <f ca="1">_xll.BDP(B11 &amp; " Corp","px_ask")</f>
        <v>#NAME?</v>
      </c>
      <c r="F11" s="336" t="e">
        <f ca="1">_xll.BDP(B11 &amp; " Corp","YLD_YTM_BID")</f>
        <v>#NAME?</v>
      </c>
      <c r="G11" s="336" t="e">
        <f ca="1">_xll.BDP(B11 &amp; " Corp","YLD_YTM_ask")</f>
        <v>#NAME?</v>
      </c>
      <c r="H11" s="336" t="e">
        <f ca="1">_xll.BDP(B11 &amp; " Corp","CPN")</f>
        <v>#NAME?</v>
      </c>
      <c r="I11" s="336" t="e">
        <f ca="1">_xll.BDP(B11&amp; " Corp","MATURITY")</f>
        <v>#NAME?</v>
      </c>
      <c r="J11" s="336" t="e">
        <f ca="1">IF(_xll.BDP(B11 &amp; " Corp","RTG_SP")="#N/A N/A","",_xll.BDP(B11 &amp; " Corp","RTG_SP"))&amp;"/"&amp;IF(_xll.BDP(B11 &amp; " Corp","RTG_fitch")="#N/A N/A","",_xll.BDP(B11 &amp; " Corp","RTG_fitch"))&amp;"/"&amp;IF(_xll.BDP(B11 &amp; " Corp","RTG_moody")="#N/A N/A","",_xll.BDP(B11 &amp; " Corp","RTG_moody"))</f>
        <v>#NAME?</v>
      </c>
      <c r="K11" s="336" t="e">
        <f ca="1">_xll.BDP($B11&amp; " Corp","INDUSTRY_SUBGROUP")</f>
        <v>#NAME?</v>
      </c>
      <c r="L11" s="336" t="e">
        <f ca="1">_xll.BDP(B11 &amp; " Corp","CRNCY")</f>
        <v>#NAME?</v>
      </c>
      <c r="M11" s="336" t="e">
        <f ca="1">_xll.BDP(B11 &amp; " Corp","CNTRY_OF_RISK")</f>
        <v>#NAME?</v>
      </c>
      <c r="N11" s="336" t="e">
        <f ca="1">_xll.BDP($B11&amp; " Corp","PAYMENT_RANK")</f>
        <v>#NAME?</v>
      </c>
      <c r="O11" s="336" t="e">
        <f ca="1">_xll.BDP($B11&amp; " Corp","MTY_TYP")</f>
        <v>#NAME?</v>
      </c>
      <c r="P11" s="336" t="e">
        <f ca="1">_xll.BDP($B11&amp; " Corp","RUSSIAN_CB_LOMBARD")</f>
        <v>#NAME?</v>
      </c>
      <c r="Q11" s="338" t="e">
        <f ca="1">_xll.BDP(B11&amp;" Corp", "INTERVAL_PERCENT_CHANGE", "END_DATE_OVERRIDE"," ", "START_DATE_OVERRIDe",R11)</f>
        <v>#NAME?</v>
      </c>
      <c r="R11" s="337">
        <v>20140716</v>
      </c>
      <c r="S11" s="336" t="e">
        <f ca="1">_xll.BDP($B11&amp; " Corp","PX_GROSS_MID")</f>
        <v>#NAME?</v>
      </c>
      <c r="T11" s="335" t="e">
        <f ca="1">_xll.BDP($B11&amp; " Corp","MIN_PIECE")</f>
        <v>#NAME?</v>
      </c>
    </row>
    <row r="12" spans="1:20" ht="15.75" x14ac:dyDescent="0.25">
      <c r="A12" s="336" t="e">
        <f ca="1">_xll.BDP(B12&amp; " Corp","name")</f>
        <v>#NAME?</v>
      </c>
      <c r="B12" s="336" t="s">
        <v>610</v>
      </c>
      <c r="C12" s="336" t="e">
        <f ca="1">_xll.BDP(B12 &amp; " Corp","MTY_YEARS_TDY")</f>
        <v>#NAME?</v>
      </c>
      <c r="D12" s="336" t="e">
        <f ca="1">_xll.BDP(B12 &amp; " Corp","px_last")</f>
        <v>#NAME?</v>
      </c>
      <c r="E12" s="336" t="e">
        <f ca="1">_xll.BDP(B12 &amp; " Corp","px_ask")</f>
        <v>#NAME?</v>
      </c>
      <c r="F12" s="336" t="e">
        <f ca="1">_xll.BDP(B12 &amp; " Corp","YLD_YTM_BID")</f>
        <v>#NAME?</v>
      </c>
      <c r="G12" s="336" t="e">
        <f ca="1">_xll.BDP(B12 &amp; " Corp","YLD_YTM_ask")</f>
        <v>#NAME?</v>
      </c>
      <c r="H12" s="336" t="e">
        <f ca="1">_xll.BDP(B12 &amp; " Corp","CPN")</f>
        <v>#NAME?</v>
      </c>
      <c r="I12" s="336" t="e">
        <f ca="1">_xll.BDP(B12&amp; " Corp","MATURITY")</f>
        <v>#NAME?</v>
      </c>
      <c r="J12" s="336" t="e">
        <f ca="1">IF(_xll.BDP(B12 &amp; " Corp","RTG_SP")="#N/A N/A","",_xll.BDP(B12 &amp; " Corp","RTG_SP"))&amp;"/"&amp;IF(_xll.BDP(B12 &amp; " Corp","RTG_fitch")="#N/A N/A","",_xll.BDP(B12 &amp; " Corp","RTG_fitch"))&amp;"/"&amp;IF(_xll.BDP(B12 &amp; " Corp","RTG_moody")="#N/A N/A","",_xll.BDP(B12 &amp; " Corp","RTG_moody"))</f>
        <v>#NAME?</v>
      </c>
      <c r="K12" s="336" t="e">
        <f ca="1">_xll.BDP($B12&amp; " Corp","INDUSTRY_SUBGROUP")</f>
        <v>#NAME?</v>
      </c>
      <c r="L12" s="336" t="e">
        <f ca="1">_xll.BDP(B12 &amp; " Corp","CRNCY")</f>
        <v>#NAME?</v>
      </c>
      <c r="M12" s="336" t="e">
        <f ca="1">_xll.BDP(B12 &amp; " Corp","CNTRY_OF_RISK")</f>
        <v>#NAME?</v>
      </c>
      <c r="N12" s="336" t="e">
        <f ca="1">_xll.BDP($B12&amp; " Corp","PAYMENT_RANK")</f>
        <v>#NAME?</v>
      </c>
      <c r="O12" s="336" t="e">
        <f ca="1">_xll.BDP($B12&amp; " Corp","MTY_TYP")</f>
        <v>#NAME?</v>
      </c>
      <c r="P12" s="336" t="e">
        <f ca="1">_xll.BDP($B12&amp; " Corp","RUSSIAN_CB_LOMBARD")</f>
        <v>#NAME?</v>
      </c>
      <c r="Q12" s="338" t="e">
        <f ca="1">_xll.BDP(B12&amp;" Corp", "INTERVAL_PERCENT_CHANGE", "END_DATE_OVERRIDE"," ", "START_DATE_OVERRIDe",R12)</f>
        <v>#NAME?</v>
      </c>
      <c r="R12" s="337">
        <v>20140716</v>
      </c>
      <c r="S12" s="336" t="e">
        <f ca="1">_xll.BDP($B12&amp; " Corp","PX_GROSS_MID")</f>
        <v>#NAME?</v>
      </c>
      <c r="T12" s="335" t="e">
        <f ca="1">_xll.BDP($B12&amp; " Corp","MIN_PIECE")</f>
        <v>#NAME?</v>
      </c>
    </row>
    <row r="13" spans="1:20" ht="15.75" x14ac:dyDescent="0.25">
      <c r="A13" s="339" t="e">
        <f ca="1">_xll.BDP(B13&amp; " Corp","name")</f>
        <v>#NAME?</v>
      </c>
      <c r="B13" s="336" t="s">
        <v>609</v>
      </c>
      <c r="C13" s="336" t="e">
        <f ca="1">_xll.BDP(B13 &amp; " Corp","MTY_YEARS_TDY")</f>
        <v>#NAME?</v>
      </c>
      <c r="D13" s="339" t="e">
        <f ca="1">_xll.BDP(B13 &amp; " Corp","px_last")</f>
        <v>#NAME?</v>
      </c>
      <c r="E13" s="336" t="e">
        <f ca="1">_xll.BDP(B13 &amp; " Corp","px_ask")</f>
        <v>#NAME?</v>
      </c>
      <c r="F13" s="336" t="e">
        <f ca="1">_xll.BDP(B13 &amp; " Corp","YLD_YTM_BID")</f>
        <v>#NAME?</v>
      </c>
      <c r="G13" s="336" t="e">
        <f ca="1">_xll.BDP(B13 &amp; " Corp","YLD_YTM_ask")</f>
        <v>#NAME?</v>
      </c>
      <c r="H13" s="339" t="e">
        <f ca="1">_xll.BDP(B13 &amp; " Corp","CPN")</f>
        <v>#NAME?</v>
      </c>
      <c r="I13" s="339" t="e">
        <f ca="1">_xll.BDP(B13&amp; " Corp","MATURITY")</f>
        <v>#NAME?</v>
      </c>
      <c r="J13" s="339" t="e">
        <f ca="1">IF(_xll.BDP(B13 &amp; " Corp","RTG_SP")="#N/A N/A","",_xll.BDP(B13 &amp; " Corp","RTG_SP"))&amp;"/"&amp;IF(_xll.BDP(B13 &amp; " Corp","RTG_fitch")="#N/A N/A","",_xll.BDP(B13 &amp; " Corp","RTG_fitch"))&amp;"/"&amp;IF(_xll.BDP(B13 &amp; " Corp","RTG_moody")="#N/A N/A","",_xll.BDP(B13 &amp; " Corp","RTG_moody"))</f>
        <v>#NAME?</v>
      </c>
      <c r="K13" s="339" t="e">
        <f ca="1">_xll.BDP($B13&amp; " Corp","INDUSTRY_SUBGROUP")</f>
        <v>#NAME?</v>
      </c>
      <c r="L13" s="339" t="e">
        <f ca="1">_xll.BDP(B13 &amp; " Corp","CRNCY")</f>
        <v>#NAME?</v>
      </c>
      <c r="M13" s="339" t="e">
        <f ca="1">_xll.BDP(B13 &amp; " Corp","CNTRY_OF_RISK")</f>
        <v>#NAME?</v>
      </c>
      <c r="N13" s="339" t="e">
        <f ca="1">_xll.BDP($B13&amp; " Corp","PAYMENT_RANK")</f>
        <v>#NAME?</v>
      </c>
      <c r="O13" s="339" t="e">
        <f ca="1">_xll.BDP($B13&amp; " Corp","MTY_TYP")</f>
        <v>#NAME?</v>
      </c>
      <c r="P13" s="339" t="e">
        <f ca="1">_xll.BDP($B13&amp; " Corp","RUSSIAN_CB_LOMBARD")</f>
        <v>#NAME?</v>
      </c>
      <c r="Q13" s="338" t="e">
        <f ca="1">_xll.BDP(B13&amp;" Corp", "INTERVAL_PERCENT_CHANGE", "END_DATE_OVERRIDE"," ", "START_DATE_OVERRIDe",R13)</f>
        <v>#NAME?</v>
      </c>
      <c r="R13" s="337">
        <v>20140716</v>
      </c>
      <c r="S13" s="336" t="e">
        <f ca="1">_xll.BDP($B13&amp; " Corp","PX_GROSS_MID")</f>
        <v>#NAME?</v>
      </c>
      <c r="T13" s="335" t="e">
        <f ca="1">_xll.BDP($B13&amp; " Corp","MIN_PIECE")</f>
        <v>#NAME?</v>
      </c>
    </row>
    <row r="14" spans="1:20" ht="15.75" x14ac:dyDescent="0.25">
      <c r="A14" s="336" t="e">
        <f ca="1">_xll.BDP(B14&amp; " Corp","name")</f>
        <v>#NAME?</v>
      </c>
      <c r="B14" s="336" t="s">
        <v>608</v>
      </c>
      <c r="C14" s="336" t="e">
        <f ca="1">_xll.BDP(B14 &amp; " Corp","MTY_YEARS_TDY")</f>
        <v>#NAME?</v>
      </c>
      <c r="D14" s="336" t="e">
        <f ca="1">_xll.BDP(B14 &amp; " Corp","px_last")</f>
        <v>#NAME?</v>
      </c>
      <c r="E14" s="336" t="e">
        <f ca="1">_xll.BDP(B14 &amp; " Corp","px_ask")</f>
        <v>#NAME?</v>
      </c>
      <c r="F14" s="336" t="e">
        <f ca="1">_xll.BDP(B14 &amp; " Corp","YLD_YTM_BID")</f>
        <v>#NAME?</v>
      </c>
      <c r="G14" s="336" t="e">
        <f ca="1">_xll.BDP(B14 &amp; " Corp","YLD_YTM_ask")</f>
        <v>#NAME?</v>
      </c>
      <c r="H14" s="336" t="e">
        <f ca="1">_xll.BDP(B14 &amp; " Corp","CPN")</f>
        <v>#NAME?</v>
      </c>
      <c r="I14" s="336" t="e">
        <f ca="1">_xll.BDP(B14&amp; " Corp","MATURITY")</f>
        <v>#NAME?</v>
      </c>
      <c r="J14" s="336" t="e">
        <f ca="1">IF(_xll.BDP(B14 &amp; " Corp","RTG_SP")="#N/A N/A","",_xll.BDP(B14 &amp; " Corp","RTG_SP"))&amp;"/"&amp;IF(_xll.BDP(B14 &amp; " Corp","RTG_fitch")="#N/A N/A","",_xll.BDP(B14 &amp; " Corp","RTG_fitch"))&amp;"/"&amp;IF(_xll.BDP(B14 &amp; " Corp","RTG_moody")="#N/A N/A","",_xll.BDP(B14 &amp; " Corp","RTG_moody"))</f>
        <v>#NAME?</v>
      </c>
      <c r="K14" s="336" t="e">
        <f ca="1">_xll.BDP($B14&amp; " Corp","INDUSTRY_SUBGROUP")</f>
        <v>#NAME?</v>
      </c>
      <c r="L14" s="336" t="e">
        <f ca="1">_xll.BDP(B14 &amp; " Corp","CRNCY")</f>
        <v>#NAME?</v>
      </c>
      <c r="M14" s="336" t="e">
        <f ca="1">_xll.BDP(B14 &amp; " Corp","CNTRY_OF_RISK")</f>
        <v>#NAME?</v>
      </c>
      <c r="N14" s="336" t="e">
        <f ca="1">_xll.BDP($B14&amp; " Corp","PAYMENT_RANK")</f>
        <v>#NAME?</v>
      </c>
      <c r="O14" s="336" t="e">
        <f ca="1">_xll.BDP($B14&amp; " Corp","MTY_TYP")</f>
        <v>#NAME?</v>
      </c>
      <c r="P14" s="336" t="e">
        <f ca="1">_xll.BDP($B14&amp; " Corp","RUSSIAN_CB_LOMBARD")</f>
        <v>#NAME?</v>
      </c>
      <c r="Q14" s="338" t="e">
        <f ca="1">_xll.BDP(B14&amp;" Corp", "INTERVAL_PERCENT_CHANGE", "END_DATE_OVERRIDE"," ", "START_DATE_OVERRIDe",R14)</f>
        <v>#NAME?</v>
      </c>
      <c r="R14" s="337">
        <v>20140716</v>
      </c>
      <c r="S14" s="336" t="e">
        <f ca="1">_xll.BDP($B14&amp; " Corp","PX_GROSS_MID")</f>
        <v>#NAME?</v>
      </c>
      <c r="T14" s="335" t="e">
        <f ca="1">_xll.BDP($B14&amp; " Corp","MIN_PIECE")</f>
        <v>#NAME?</v>
      </c>
    </row>
    <row r="15" spans="1:20" ht="15.75" x14ac:dyDescent="0.25">
      <c r="A15" s="342" t="e">
        <f ca="1">_xll.BDP(B15&amp; " Corp","name")</f>
        <v>#NAME?</v>
      </c>
      <c r="B15" s="336" t="s">
        <v>607</v>
      </c>
      <c r="C15" s="336" t="e">
        <f ca="1">_xll.BDP(B15 &amp; " Corp","MTY_YEARS_TDY")</f>
        <v>#NAME?</v>
      </c>
      <c r="D15" s="336" t="e">
        <f ca="1">_xll.BDP(B15 &amp; " Corp","px_last")</f>
        <v>#NAME?</v>
      </c>
      <c r="E15" s="336" t="e">
        <f ca="1">_xll.BDP(B15 &amp; " Corp","px_ask")</f>
        <v>#NAME?</v>
      </c>
      <c r="F15" s="336" t="e">
        <f ca="1">_xll.BDP(B15 &amp; " Corp","YLD_YTM_BID")</f>
        <v>#NAME?</v>
      </c>
      <c r="G15" s="336" t="e">
        <f ca="1">_xll.BDP(B15 &amp; " Corp","YLD_YTM_ask")</f>
        <v>#NAME?</v>
      </c>
      <c r="H15" s="336" t="e">
        <f ca="1">_xll.BDP(B15 &amp; " Corp","CPN")</f>
        <v>#NAME?</v>
      </c>
      <c r="I15" s="336" t="e">
        <f ca="1">_xll.BDP(B15&amp; " Corp","MATURITY")</f>
        <v>#NAME?</v>
      </c>
      <c r="J15" s="336" t="e">
        <f ca="1">IF(_xll.BDP(B15 &amp; " Corp","RTG_SP")="#N/A N/A","",_xll.BDP(B15 &amp; " Corp","RTG_SP"))&amp;"/"&amp;IF(_xll.BDP(B15 &amp; " Corp","RTG_fitch")="#N/A N/A","",_xll.BDP(B15 &amp; " Corp","RTG_fitch"))&amp;"/"&amp;IF(_xll.BDP(B15 &amp; " Corp","RTG_moody")="#N/A N/A","",_xll.BDP(B15 &amp; " Corp","RTG_moody"))</f>
        <v>#NAME?</v>
      </c>
      <c r="K15" s="336" t="e">
        <f ca="1">_xll.BDP($B15&amp; " Corp","INDUSTRY_SUBGROUP")</f>
        <v>#NAME?</v>
      </c>
      <c r="L15" s="336" t="e">
        <f ca="1">_xll.BDP(B15 &amp; " Corp","CRNCY")</f>
        <v>#NAME?</v>
      </c>
      <c r="M15" s="336" t="e">
        <f ca="1">_xll.BDP(B15 &amp; " Corp","CNTRY_OF_RISK")</f>
        <v>#NAME?</v>
      </c>
      <c r="N15" s="336" t="e">
        <f ca="1">_xll.BDP($B15&amp; " Corp","PAYMENT_RANK")</f>
        <v>#NAME?</v>
      </c>
      <c r="O15" s="336" t="e">
        <f ca="1">_xll.BDP($B15&amp; " Corp","MTY_TYP")</f>
        <v>#NAME?</v>
      </c>
      <c r="P15" s="336" t="e">
        <f ca="1">_xll.BDP($B15&amp; " Corp","RUSSIAN_CB_LOMBARD")</f>
        <v>#NAME?</v>
      </c>
      <c r="Q15" s="338" t="e">
        <f ca="1">_xll.BDP(B15&amp;" Corp", "INTERVAL_PERCENT_CHANGE", "END_DATE_OVERRIDE"," ", "START_DATE_OVERRIDe",R15)</f>
        <v>#NAME?</v>
      </c>
      <c r="R15" s="337">
        <v>20140716</v>
      </c>
      <c r="S15" s="336" t="e">
        <f ca="1">_xll.BDP($B15&amp; " Corp","PX_GROSS_MID")</f>
        <v>#NAME?</v>
      </c>
      <c r="T15" s="335" t="e">
        <f ca="1">_xll.BDP($B15&amp; " Corp","MIN_PIECE")</f>
        <v>#NAME?</v>
      </c>
    </row>
    <row r="16" spans="1:20" ht="15.75" x14ac:dyDescent="0.25">
      <c r="A16" s="336" t="e">
        <f ca="1">_xll.BDP(B16&amp; " Corp","name")</f>
        <v>#NAME?</v>
      </c>
      <c r="B16" s="336" t="s">
        <v>606</v>
      </c>
      <c r="C16" s="336" t="e">
        <f ca="1">_xll.BDP(B16 &amp; " Corp","MTY_YEARS_TDY")</f>
        <v>#NAME?</v>
      </c>
      <c r="D16" s="336" t="e">
        <f ca="1">_xll.BDP(B16 &amp; " Corp","px_last")</f>
        <v>#NAME?</v>
      </c>
      <c r="E16" s="336" t="e">
        <f ca="1">_xll.BDP(B16 &amp; " Corp","px_ask")</f>
        <v>#NAME?</v>
      </c>
      <c r="F16" s="336" t="e">
        <f ca="1">_xll.BDP(B16 &amp; " Corp","YLD_YTM_BID")</f>
        <v>#NAME?</v>
      </c>
      <c r="G16" s="336" t="e">
        <f ca="1">_xll.BDP(B16 &amp; " Corp","YLD_YTM_ask")</f>
        <v>#NAME?</v>
      </c>
      <c r="H16" s="336" t="e">
        <f ca="1">_xll.BDP(B16 &amp; " Corp","CPN")</f>
        <v>#NAME?</v>
      </c>
      <c r="I16" s="336" t="e">
        <f ca="1">_xll.BDP(B16&amp; " Corp","MATURITY")</f>
        <v>#NAME?</v>
      </c>
      <c r="J16" s="336" t="e">
        <f ca="1">IF(_xll.BDP(B16 &amp; " Corp","RTG_SP")="#N/A N/A","",_xll.BDP(B16 &amp; " Corp","RTG_SP"))&amp;"/"&amp;IF(_xll.BDP(B16 &amp; " Corp","RTG_fitch")="#N/A N/A","",_xll.BDP(B16 &amp; " Corp","RTG_fitch"))&amp;"/"&amp;IF(_xll.BDP(B16 &amp; " Corp","RTG_moody")="#N/A N/A","",_xll.BDP(B16 &amp; " Corp","RTG_moody"))</f>
        <v>#NAME?</v>
      </c>
      <c r="K16" s="336" t="e">
        <f ca="1">_xll.BDP($B16&amp; " Corp","INDUSTRY_SUBGROUP")</f>
        <v>#NAME?</v>
      </c>
      <c r="L16" s="336" t="e">
        <f ca="1">_xll.BDP(B16 &amp; " Corp","CRNCY")</f>
        <v>#NAME?</v>
      </c>
      <c r="M16" s="336" t="e">
        <f ca="1">_xll.BDP(B16 &amp; " Corp","CNTRY_OF_RISK")</f>
        <v>#NAME?</v>
      </c>
      <c r="N16" s="336" t="e">
        <f ca="1">_xll.BDP($B16&amp; " Corp","PAYMENT_RANK")</f>
        <v>#NAME?</v>
      </c>
      <c r="O16" s="336" t="e">
        <f ca="1">_xll.BDP($B16&amp; " Corp","MTY_TYP")</f>
        <v>#NAME?</v>
      </c>
      <c r="P16" s="336" t="e">
        <f ca="1">_xll.BDP($B16&amp; " Corp","RUSSIAN_CB_LOMBARD")</f>
        <v>#NAME?</v>
      </c>
      <c r="Q16" s="338" t="e">
        <f ca="1">_xll.BDP(B16&amp;" Corp", "INTERVAL_PERCENT_CHANGE", "END_DATE_OVERRIDE"," ", "START_DATE_OVERRIDe",R16)</f>
        <v>#NAME?</v>
      </c>
      <c r="R16" s="337">
        <v>20140716</v>
      </c>
      <c r="S16" s="336" t="e">
        <f ca="1">_xll.BDP($B16&amp; " Corp","PX_GROSS_MID")</f>
        <v>#NAME?</v>
      </c>
      <c r="T16" s="335" t="e">
        <f ca="1">_xll.BDP($B16&amp; " Corp","MIN_PIECE")</f>
        <v>#NAME?</v>
      </c>
    </row>
    <row r="17" spans="1:20" ht="15.75" x14ac:dyDescent="0.25">
      <c r="A17" s="336" t="e">
        <f ca="1">_xll.BDP(B17&amp; " Corp","name")</f>
        <v>#NAME?</v>
      </c>
      <c r="B17" s="336" t="s">
        <v>605</v>
      </c>
      <c r="C17" s="336" t="e">
        <f ca="1">_xll.BDP(B17 &amp; " Corp","MTY_YEARS_TDY")</f>
        <v>#NAME?</v>
      </c>
      <c r="D17" s="336" t="e">
        <f ca="1">_xll.BDP(B17 &amp; " Corp","px_last")</f>
        <v>#NAME?</v>
      </c>
      <c r="E17" s="336" t="e">
        <f ca="1">_xll.BDP(B17 &amp; " Corp","px_ask")</f>
        <v>#NAME?</v>
      </c>
      <c r="F17" s="336" t="e">
        <f ca="1">_xll.BDP(B17 &amp; " Corp","YLD_YTM_BID")</f>
        <v>#NAME?</v>
      </c>
      <c r="G17" s="336" t="e">
        <f ca="1">_xll.BDP(B17 &amp; " Corp","YLD_YTM_ask")</f>
        <v>#NAME?</v>
      </c>
      <c r="H17" s="336" t="e">
        <f ca="1">_xll.BDP(B17 &amp; " Corp","CPN")</f>
        <v>#NAME?</v>
      </c>
      <c r="I17" s="336" t="e">
        <f ca="1">_xll.BDP(B17&amp; " Corp","MATURITY")</f>
        <v>#NAME?</v>
      </c>
      <c r="J17" s="336" t="e">
        <f ca="1">IF(_xll.BDP(B17 &amp; " Corp","RTG_SP")="#N/A N/A","",_xll.BDP(B17 &amp; " Corp","RTG_SP"))&amp;"/"&amp;IF(_xll.BDP(B17 &amp; " Corp","RTG_fitch")="#N/A N/A","",_xll.BDP(B17 &amp; " Corp","RTG_fitch"))&amp;"/"&amp;IF(_xll.BDP(B17 &amp; " Corp","RTG_moody")="#N/A N/A","",_xll.BDP(B17 &amp; " Corp","RTG_moody"))</f>
        <v>#NAME?</v>
      </c>
      <c r="K17" s="336" t="e">
        <f ca="1">_xll.BDP($B17&amp; " Corp","INDUSTRY_SUBGROUP")</f>
        <v>#NAME?</v>
      </c>
      <c r="L17" s="336" t="e">
        <f ca="1">_xll.BDP(B17 &amp; " Corp","CRNCY")</f>
        <v>#NAME?</v>
      </c>
      <c r="M17" s="336" t="e">
        <f ca="1">_xll.BDP(B17 &amp; " Corp","CNTRY_OF_RISK")</f>
        <v>#NAME?</v>
      </c>
      <c r="N17" s="336" t="e">
        <f ca="1">_xll.BDP($B17&amp; " Corp","PAYMENT_RANK")</f>
        <v>#NAME?</v>
      </c>
      <c r="O17" s="336" t="e">
        <f ca="1">_xll.BDP($B17&amp; " Corp","MTY_TYP")</f>
        <v>#NAME?</v>
      </c>
      <c r="P17" s="336" t="e">
        <f ca="1">_xll.BDP($B17&amp; " Corp","RUSSIAN_CB_LOMBARD")</f>
        <v>#NAME?</v>
      </c>
      <c r="Q17" s="338" t="e">
        <f ca="1">_xll.BDP(B17&amp;" Corp", "INTERVAL_PERCENT_CHANGE", "END_DATE_OVERRIDE"," ", "START_DATE_OVERRIDe",R17)</f>
        <v>#NAME?</v>
      </c>
      <c r="R17" s="337">
        <v>20140716</v>
      </c>
      <c r="S17" s="336" t="e">
        <f ca="1">_xll.BDP($B17&amp; " Corp","PX_GROSS_MID")</f>
        <v>#NAME?</v>
      </c>
      <c r="T17" s="335" t="e">
        <f ca="1">_xll.BDP($B17&amp; " Corp","MIN_PIECE")</f>
        <v>#NAME?</v>
      </c>
    </row>
    <row r="18" spans="1:20" ht="15.75" x14ac:dyDescent="0.25">
      <c r="A18" s="336" t="e">
        <f ca="1">_xll.BDP(B18&amp; " Corp","name")</f>
        <v>#NAME?</v>
      </c>
      <c r="B18" s="336" t="s">
        <v>604</v>
      </c>
      <c r="C18" s="336" t="e">
        <f ca="1">_xll.BDP(B18 &amp; " Corp","MTY_YEARS_TDY")</f>
        <v>#NAME?</v>
      </c>
      <c r="D18" s="336" t="e">
        <f ca="1">_xll.BDP(B18 &amp; " Corp","px_last")</f>
        <v>#NAME?</v>
      </c>
      <c r="E18" s="336" t="e">
        <f ca="1">_xll.BDP(B18 &amp; " Corp","px_ask")</f>
        <v>#NAME?</v>
      </c>
      <c r="F18" s="336" t="e">
        <f ca="1">_xll.BDP(B18 &amp; " Corp","YLD_YTM_BID")</f>
        <v>#NAME?</v>
      </c>
      <c r="G18" s="336" t="e">
        <f ca="1">_xll.BDP(B18 &amp; " Corp","YLD_YTM_ask")</f>
        <v>#NAME?</v>
      </c>
      <c r="H18" s="336" t="e">
        <f ca="1">_xll.BDP(B18 &amp; " Corp","CPN")</f>
        <v>#NAME?</v>
      </c>
      <c r="I18" s="336" t="e">
        <f ca="1">_xll.BDP(B18&amp; " Corp","MATURITY")</f>
        <v>#NAME?</v>
      </c>
      <c r="J18" s="336" t="e">
        <f ca="1">IF(_xll.BDP(B18 &amp; " Corp","RTG_SP")="#N/A N/A","",_xll.BDP(B18 &amp; " Corp","RTG_SP"))&amp;"/"&amp;IF(_xll.BDP(B18 &amp; " Corp","RTG_fitch")="#N/A N/A","",_xll.BDP(B18 &amp; " Corp","RTG_fitch"))&amp;"/"&amp;IF(_xll.BDP(B18 &amp; " Corp","RTG_moody")="#N/A N/A","",_xll.BDP(B18 &amp; " Corp","RTG_moody"))</f>
        <v>#NAME?</v>
      </c>
      <c r="K18" s="336" t="e">
        <f ca="1">_xll.BDP($B18&amp; " Corp","INDUSTRY_SUBGROUP")</f>
        <v>#NAME?</v>
      </c>
      <c r="L18" s="336" t="e">
        <f ca="1">_xll.BDP(B18 &amp; " Corp","CRNCY")</f>
        <v>#NAME?</v>
      </c>
      <c r="M18" s="336" t="e">
        <f ca="1">_xll.BDP(B18 &amp; " Corp","CNTRY_OF_RISK")</f>
        <v>#NAME?</v>
      </c>
      <c r="N18" s="336" t="e">
        <f ca="1">_xll.BDP($B18&amp; " Corp","PAYMENT_RANK")</f>
        <v>#NAME?</v>
      </c>
      <c r="O18" s="336" t="e">
        <f ca="1">_xll.BDP($B18&amp; " Corp","MTY_TYP")</f>
        <v>#NAME?</v>
      </c>
      <c r="P18" s="336" t="e">
        <f ca="1">_xll.BDP($B18&amp; " Corp","RUSSIAN_CB_LOMBARD")</f>
        <v>#NAME?</v>
      </c>
      <c r="Q18" s="338" t="e">
        <f ca="1">_xll.BDP(B18&amp;" Corp", "INTERVAL_PERCENT_CHANGE", "END_DATE_OVERRIDE"," ", "START_DATE_OVERRIDe",R18)</f>
        <v>#NAME?</v>
      </c>
      <c r="R18" s="337">
        <v>20140716</v>
      </c>
      <c r="S18" s="336" t="e">
        <f ca="1">_xll.BDP($B18&amp; " Corp","PX_GROSS_MID")</f>
        <v>#NAME?</v>
      </c>
      <c r="T18" s="335" t="e">
        <f ca="1">_xll.BDP($B18&amp; " Corp","MIN_PIECE")</f>
        <v>#NAME?</v>
      </c>
    </row>
    <row r="19" spans="1:20" s="1" customFormat="1" ht="15.75" x14ac:dyDescent="0.25">
      <c r="A19" s="336" t="e">
        <f ca="1">_xll.BDP(B19&amp; " Corp","name")</f>
        <v>#NAME?</v>
      </c>
      <c r="B19" s="336" t="s">
        <v>603</v>
      </c>
      <c r="C19" s="336" t="e">
        <f ca="1">_xll.BDP(B19 &amp; " Corp","MTY_YEARS_TDY")</f>
        <v>#NAME?</v>
      </c>
      <c r="D19" s="336" t="e">
        <f ca="1">_xll.BDP(B19 &amp; " Corp","px_last")</f>
        <v>#NAME?</v>
      </c>
      <c r="E19" s="336" t="e">
        <f ca="1">_xll.BDP(B19 &amp; " Corp","px_ask")</f>
        <v>#NAME?</v>
      </c>
      <c r="F19" s="336" t="e">
        <f ca="1">_xll.BDP(B19 &amp; " Corp","YLD_YTM_BID")</f>
        <v>#NAME?</v>
      </c>
      <c r="G19" s="336" t="e">
        <f ca="1">_xll.BDP(B19 &amp; " Corp","YLD_YTM_ask")</f>
        <v>#NAME?</v>
      </c>
      <c r="H19" s="336" t="e">
        <f ca="1">_xll.BDP(B19 &amp; " Corp","CPN")</f>
        <v>#NAME?</v>
      </c>
      <c r="I19" s="336" t="e">
        <f ca="1">_xll.BDP(B19&amp; " Corp","MATURITY")</f>
        <v>#NAME?</v>
      </c>
      <c r="J19" s="336" t="e">
        <f ca="1">IF(_xll.BDP(B19 &amp; " Corp","RTG_SP")="#N/A N/A","",_xll.BDP(B19 &amp; " Corp","RTG_SP"))&amp;"/"&amp;IF(_xll.BDP(B19 &amp; " Corp","RTG_fitch")="#N/A N/A","",_xll.BDP(B19 &amp; " Corp","RTG_fitch"))&amp;"/"&amp;IF(_xll.BDP(B19 &amp; " Corp","RTG_moody")="#N/A N/A","",_xll.BDP(B19 &amp; " Corp","RTG_moody"))</f>
        <v>#NAME?</v>
      </c>
      <c r="K19" s="336" t="e">
        <f ca="1">_xll.BDP($B19&amp; " Corp","INDUSTRY_SUBGROUP")</f>
        <v>#NAME?</v>
      </c>
      <c r="L19" s="336" t="e">
        <f ca="1">_xll.BDP(B19 &amp; " Corp","CRNCY")</f>
        <v>#NAME?</v>
      </c>
      <c r="M19" s="336" t="e">
        <f ca="1">_xll.BDP(B19 &amp; " Corp","CNTRY_OF_RISK")</f>
        <v>#NAME?</v>
      </c>
      <c r="N19" s="336" t="e">
        <f ca="1">_xll.BDP($B19&amp; " Corp","PAYMENT_RANK")</f>
        <v>#NAME?</v>
      </c>
      <c r="O19" s="336" t="e">
        <f ca="1">_xll.BDP($B19&amp; " Corp","MTY_TYP")</f>
        <v>#NAME?</v>
      </c>
      <c r="P19" s="336" t="e">
        <f ca="1">_xll.BDP($B19&amp; " Corp","RUSSIAN_CB_LOMBARD")</f>
        <v>#NAME?</v>
      </c>
      <c r="Q19" s="338" t="e">
        <f ca="1">_xll.BDP(B19&amp;" Corp", "INTERVAL_PERCENT_CHANGE", "END_DATE_OVERRIDE"," ", "START_DATE_OVERRIDe",R19)</f>
        <v>#NAME?</v>
      </c>
      <c r="R19" s="337">
        <v>20140716</v>
      </c>
      <c r="S19" s="336" t="e">
        <f ca="1">_xll.BDP($B19&amp; " Corp","PX_GROSS_MID")</f>
        <v>#NAME?</v>
      </c>
      <c r="T19" s="335" t="e">
        <f ca="1">_xll.BDP($B19&amp; " Corp","MIN_PIECE")</f>
        <v>#NAME?</v>
      </c>
    </row>
    <row r="20" spans="1:20" s="1" customFormat="1" ht="15.75" x14ac:dyDescent="0.25">
      <c r="A20" s="336" t="e">
        <f ca="1">_xll.BDP(B20&amp; " Corp","name")</f>
        <v>#NAME?</v>
      </c>
      <c r="B20" s="336" t="s">
        <v>602</v>
      </c>
      <c r="C20" s="336" t="e">
        <f ca="1">_xll.BDP(B20 &amp; " Corp","MTY_YEARS_TDY")</f>
        <v>#NAME?</v>
      </c>
      <c r="D20" s="336" t="e">
        <f ca="1">_xll.BDP(B20 &amp; " Corp","px_last")</f>
        <v>#NAME?</v>
      </c>
      <c r="E20" s="336" t="e">
        <f ca="1">_xll.BDP(B20 &amp; " Corp","px_ask")</f>
        <v>#NAME?</v>
      </c>
      <c r="F20" s="336" t="e">
        <f ca="1">_xll.BDP(B20 &amp; " Corp","YLD_YTM_BID")</f>
        <v>#NAME?</v>
      </c>
      <c r="G20" s="336" t="e">
        <f ca="1">_xll.BDP(B20 &amp; " Corp","YLD_YTM_ask")</f>
        <v>#NAME?</v>
      </c>
      <c r="H20" s="336" t="e">
        <f ca="1">_xll.BDP(B20 &amp; " Corp","CPN")</f>
        <v>#NAME?</v>
      </c>
      <c r="I20" s="336" t="e">
        <f ca="1">_xll.BDP(B20&amp; " Corp","MATURITY")</f>
        <v>#NAME?</v>
      </c>
      <c r="J20" s="336" t="e">
        <f ca="1">IF(_xll.BDP(B20 &amp; " Corp","RTG_SP")="#N/A N/A","",_xll.BDP(B20 &amp; " Corp","RTG_SP"))&amp;"/"&amp;IF(_xll.BDP(B20 &amp; " Corp","RTG_fitch")="#N/A N/A","",_xll.BDP(B20 &amp; " Corp","RTG_fitch"))&amp;"/"&amp;IF(_xll.BDP(B20 &amp; " Corp","RTG_moody")="#N/A N/A","",_xll.BDP(B20 &amp; " Corp","RTG_moody"))</f>
        <v>#NAME?</v>
      </c>
      <c r="K20" s="336" t="e">
        <f ca="1">_xll.BDP($B20&amp; " Corp","INDUSTRY_SUBGROUP")</f>
        <v>#NAME?</v>
      </c>
      <c r="L20" s="336" t="e">
        <f ca="1">_xll.BDP(B20 &amp; " Corp","CRNCY")</f>
        <v>#NAME?</v>
      </c>
      <c r="M20" s="336" t="e">
        <f ca="1">_xll.BDP(B20 &amp; " Corp","CNTRY_OF_RISK")</f>
        <v>#NAME?</v>
      </c>
      <c r="N20" s="336" t="e">
        <f ca="1">_xll.BDP($B20&amp; " Corp","PAYMENT_RANK")</f>
        <v>#NAME?</v>
      </c>
      <c r="O20" s="336" t="e">
        <f ca="1">_xll.BDP($B20&amp; " Corp","MTY_TYP")</f>
        <v>#NAME?</v>
      </c>
      <c r="P20" s="336" t="e">
        <f ca="1">_xll.BDP($B20&amp; " Corp","RUSSIAN_CB_LOMBARD")</f>
        <v>#NAME?</v>
      </c>
      <c r="Q20" s="338" t="e">
        <f ca="1">_xll.BDP(B20&amp;" Corp", "INTERVAL_PERCENT_CHANGE", "END_DATE_OVERRIDE"," ", "START_DATE_OVERRIDe",R20)</f>
        <v>#NAME?</v>
      </c>
      <c r="R20" s="337">
        <v>20140716</v>
      </c>
      <c r="S20" s="336" t="e">
        <f ca="1">_xll.BDP($B20&amp; " Corp","PX_GROSS_MID")</f>
        <v>#NAME?</v>
      </c>
      <c r="T20" s="335" t="e">
        <f ca="1">_xll.BDP($B20&amp; " Corp","MIN_PIECE")</f>
        <v>#NAME?</v>
      </c>
    </row>
    <row r="21" spans="1:20" s="1" customFormat="1" ht="15.75" x14ac:dyDescent="0.25">
      <c r="A21" s="336" t="e">
        <f ca="1">_xll.BDP(B21&amp; " Corp","name")</f>
        <v>#NAME?</v>
      </c>
      <c r="B21" s="336" t="s">
        <v>601</v>
      </c>
      <c r="C21" s="336" t="e">
        <f ca="1">_xll.BDP(B21 &amp; " Corp","MTY_YEARS_TDY")</f>
        <v>#NAME?</v>
      </c>
      <c r="D21" s="336" t="e">
        <f ca="1">_xll.BDP(B21 &amp; " Corp","px_last")</f>
        <v>#NAME?</v>
      </c>
      <c r="E21" s="336" t="e">
        <f ca="1">_xll.BDP(B21 &amp; " Corp","px_ask")</f>
        <v>#NAME?</v>
      </c>
      <c r="F21" s="336" t="e">
        <f ca="1">_xll.BDP(B21 &amp; " Corp","YLD_YTM_BID")</f>
        <v>#NAME?</v>
      </c>
      <c r="G21" s="336" t="e">
        <f ca="1">_xll.BDP(B21 &amp; " Corp","YLD_YTM_ask")</f>
        <v>#NAME?</v>
      </c>
      <c r="H21" s="336" t="e">
        <f ca="1">_xll.BDP(B21 &amp; " Corp","CPN")</f>
        <v>#NAME?</v>
      </c>
      <c r="I21" s="336" t="e">
        <f ca="1">_xll.BDP(B21&amp; " Corp","MATURITY")</f>
        <v>#NAME?</v>
      </c>
      <c r="J21" s="336" t="e">
        <f ca="1">IF(_xll.BDP(B21 &amp; " Corp","RTG_SP")="#N/A N/A","",_xll.BDP(B21 &amp; " Corp","RTG_SP"))&amp;"/"&amp;IF(_xll.BDP(B21 &amp; " Corp","RTG_fitch")="#N/A N/A","",_xll.BDP(B21 &amp; " Corp","RTG_fitch"))&amp;"/"&amp;IF(_xll.BDP(B21 &amp; " Corp","RTG_moody")="#N/A N/A","",_xll.BDP(B21 &amp; " Corp","RTG_moody"))</f>
        <v>#NAME?</v>
      </c>
      <c r="K21" s="336" t="e">
        <f ca="1">_xll.BDP($B21&amp; " Corp","INDUSTRY_SUBGROUP")</f>
        <v>#NAME?</v>
      </c>
      <c r="L21" s="336" t="e">
        <f ca="1">_xll.BDP(B21 &amp; " Corp","CRNCY")</f>
        <v>#NAME?</v>
      </c>
      <c r="M21" s="336" t="e">
        <f ca="1">_xll.BDP(B21 &amp; " Corp","CNTRY_OF_RISK")</f>
        <v>#NAME?</v>
      </c>
      <c r="N21" s="336" t="e">
        <f ca="1">_xll.BDP($B21&amp; " Corp","PAYMENT_RANK")</f>
        <v>#NAME?</v>
      </c>
      <c r="O21" s="336" t="e">
        <f ca="1">_xll.BDP($B21&amp; " Corp","MTY_TYP")</f>
        <v>#NAME?</v>
      </c>
      <c r="P21" s="336" t="e">
        <f ca="1">_xll.BDP($B21&amp; " Corp","RUSSIAN_CB_LOMBARD")</f>
        <v>#NAME?</v>
      </c>
      <c r="Q21" s="338" t="e">
        <f ca="1">_xll.BDP(B21&amp;" Corp", "INTERVAL_PERCENT_CHANGE", "END_DATE_OVERRIDE"," ", "START_DATE_OVERRIDe",R21)</f>
        <v>#NAME?</v>
      </c>
      <c r="R21" s="337">
        <v>20140716</v>
      </c>
      <c r="S21" s="336" t="e">
        <f ca="1">_xll.BDP($B21&amp; " Corp","PX_GROSS_MID")</f>
        <v>#NAME?</v>
      </c>
      <c r="T21" s="335" t="e">
        <f ca="1">_xll.BDP($B21&amp; " Corp","MIN_PIECE")</f>
        <v>#NAME?</v>
      </c>
    </row>
    <row r="22" spans="1:20" s="1" customFormat="1" ht="15.75" x14ac:dyDescent="0.25">
      <c r="A22" s="336" t="e">
        <f ca="1">_xll.BDP(B22&amp; " Corp","name")</f>
        <v>#NAME?</v>
      </c>
      <c r="B22" s="336" t="s">
        <v>600</v>
      </c>
      <c r="C22" s="336" t="e">
        <f ca="1">_xll.BDP(B22 &amp; " Corp","MTY_YEARS_TDY")</f>
        <v>#NAME?</v>
      </c>
      <c r="D22" s="336" t="e">
        <f ca="1">_xll.BDP(B22 &amp; " Corp","px_last")</f>
        <v>#NAME?</v>
      </c>
      <c r="E22" s="336" t="e">
        <f ca="1">_xll.BDP(B22 &amp; " Corp","px_ask")</f>
        <v>#NAME?</v>
      </c>
      <c r="F22" s="336" t="e">
        <f ca="1">_xll.BDP(B22 &amp; " Corp","YLD_YTM_BID")</f>
        <v>#NAME?</v>
      </c>
      <c r="G22" s="336" t="e">
        <f ca="1">_xll.BDP(B22 &amp; " Corp","YLD_YTM_ask")</f>
        <v>#NAME?</v>
      </c>
      <c r="H22" s="336" t="e">
        <f ca="1">_xll.BDP(B22 &amp; " Corp","CPN")</f>
        <v>#NAME?</v>
      </c>
      <c r="I22" s="336" t="e">
        <f ca="1">_xll.BDP(B22&amp; " Corp","MATURITY")</f>
        <v>#NAME?</v>
      </c>
      <c r="J22" s="336" t="e">
        <f ca="1">IF(_xll.BDP(B22 &amp; " Corp","RTG_SP")="#N/A N/A","",_xll.BDP(B22 &amp; " Corp","RTG_SP"))&amp;"/"&amp;IF(_xll.BDP(B22 &amp; " Corp","RTG_fitch")="#N/A N/A","",_xll.BDP(B22 &amp; " Corp","RTG_fitch"))&amp;"/"&amp;IF(_xll.BDP(B22 &amp; " Corp","RTG_moody")="#N/A N/A","",_xll.BDP(B22 &amp; " Corp","RTG_moody"))</f>
        <v>#NAME?</v>
      </c>
      <c r="K22" s="336" t="e">
        <f ca="1">_xll.BDP($B22&amp; " Corp","INDUSTRY_SUBGROUP")</f>
        <v>#NAME?</v>
      </c>
      <c r="L22" s="336" t="e">
        <f ca="1">_xll.BDP(B22 &amp; " Corp","CRNCY")</f>
        <v>#NAME?</v>
      </c>
      <c r="M22" s="336" t="e">
        <f ca="1">_xll.BDP(B22 &amp; " Corp","CNTRY_OF_RISK")</f>
        <v>#NAME?</v>
      </c>
      <c r="N22" s="336" t="e">
        <f ca="1">_xll.BDP($B22&amp; " Corp","PAYMENT_RANK")</f>
        <v>#NAME?</v>
      </c>
      <c r="O22" s="336" t="e">
        <f ca="1">_xll.BDP($B22&amp; " Corp","MTY_TYP")</f>
        <v>#NAME?</v>
      </c>
      <c r="P22" s="336" t="e">
        <f ca="1">_xll.BDP($B22&amp; " Corp","RUSSIAN_CB_LOMBARD")</f>
        <v>#NAME?</v>
      </c>
      <c r="Q22" s="338" t="e">
        <f ca="1">_xll.BDP(B22&amp;" Corp", "INTERVAL_PERCENT_CHANGE", "END_DATE_OVERRIDE"," ", "START_DATE_OVERRIDe",R22)</f>
        <v>#NAME?</v>
      </c>
      <c r="R22" s="337">
        <v>20140716</v>
      </c>
      <c r="S22" s="339" t="e">
        <f ca="1">_xll.BDP($B22&amp; " Corp","PX_GROSS_MID")</f>
        <v>#NAME?</v>
      </c>
      <c r="T22" s="335" t="e">
        <f ca="1">_xll.BDP($B22&amp; " Corp","MIN_PIECE")</f>
        <v>#NAME?</v>
      </c>
    </row>
    <row r="23" spans="1:20" s="1" customFormat="1" ht="15.75" x14ac:dyDescent="0.25">
      <c r="A23" s="336" t="e">
        <f ca="1">_xll.BDP(B23&amp; " Corp","name")</f>
        <v>#NAME?</v>
      </c>
      <c r="B23" s="336" t="s">
        <v>599</v>
      </c>
      <c r="C23" s="336" t="e">
        <f ca="1">_xll.BDP(B23 &amp; " Corp","MTY_YEARS_TDY")</f>
        <v>#NAME?</v>
      </c>
      <c r="D23" s="336" t="e">
        <f ca="1">_xll.BDP(B23 &amp; " Corp","px_last")</f>
        <v>#NAME?</v>
      </c>
      <c r="E23" s="336" t="e">
        <f ca="1">_xll.BDP(B23 &amp; " Corp","px_ask")</f>
        <v>#NAME?</v>
      </c>
      <c r="F23" s="336" t="e">
        <f ca="1">_xll.BDP(B23 &amp; " Corp","YLD_YTM_BID")</f>
        <v>#NAME?</v>
      </c>
      <c r="G23" s="336" t="e">
        <f ca="1">_xll.BDP(B23 &amp; " Corp","YLD_YTM_ask")</f>
        <v>#NAME?</v>
      </c>
      <c r="H23" s="336" t="e">
        <f ca="1">_xll.BDP(B23 &amp; " Corp","CPN")</f>
        <v>#NAME?</v>
      </c>
      <c r="I23" s="336" t="e">
        <f ca="1">_xll.BDP(B23&amp; " Corp","MATURITY")</f>
        <v>#NAME?</v>
      </c>
      <c r="J23" s="336" t="e">
        <f ca="1">IF(_xll.BDP(B23 &amp; " Corp","RTG_SP")="#N/A N/A","",_xll.BDP(B23 &amp; " Corp","RTG_SP"))&amp;"/"&amp;IF(_xll.BDP(B23 &amp; " Corp","RTG_fitch")="#N/A N/A","",_xll.BDP(B23 &amp; " Corp","RTG_fitch"))&amp;"/"&amp;IF(_xll.BDP(B23 &amp; " Corp","RTG_moody")="#N/A N/A","",_xll.BDP(B23 &amp; " Corp","RTG_moody"))</f>
        <v>#NAME?</v>
      </c>
      <c r="K23" s="336" t="e">
        <f ca="1">_xll.BDP($B23&amp; " Corp","INDUSTRY_SUBGROUP")</f>
        <v>#NAME?</v>
      </c>
      <c r="L23" s="336" t="e">
        <f ca="1">_xll.BDP(B23 &amp; " Corp","CRNCY")</f>
        <v>#NAME?</v>
      </c>
      <c r="M23" s="336" t="e">
        <f ca="1">_xll.BDP(B23 &amp; " Corp","CNTRY_OF_RISK")</f>
        <v>#NAME?</v>
      </c>
      <c r="N23" s="336" t="e">
        <f ca="1">_xll.BDP($B23&amp; " Corp","PAYMENT_RANK")</f>
        <v>#NAME?</v>
      </c>
      <c r="O23" s="336" t="e">
        <f ca="1">_xll.BDP($B23&amp; " Corp","MTY_TYP")</f>
        <v>#NAME?</v>
      </c>
      <c r="P23" s="336" t="e">
        <f ca="1">_xll.BDP($B23&amp; " Corp","RUSSIAN_CB_LOMBARD")</f>
        <v>#NAME?</v>
      </c>
      <c r="Q23" s="338" t="e">
        <f ca="1">_xll.BDP(B23&amp;" Corp", "INTERVAL_PERCENT_CHANGE", "END_DATE_OVERRIDE"," ", "START_DATE_OVERRIDe",R23)</f>
        <v>#NAME?</v>
      </c>
      <c r="R23" s="337">
        <v>20140716</v>
      </c>
      <c r="S23" s="336" t="e">
        <f ca="1">_xll.BDP($B23&amp; " Corp","PX_GROSS_MID")</f>
        <v>#NAME?</v>
      </c>
      <c r="T23" s="335" t="e">
        <f ca="1">_xll.BDP($B23&amp; " Corp","MIN_PIECE")</f>
        <v>#NAME?</v>
      </c>
    </row>
    <row r="24" spans="1:20" s="1" customFormat="1" ht="15.75" x14ac:dyDescent="0.25">
      <c r="A24" s="336" t="e">
        <f ca="1">_xll.BDP(B24&amp; " Corp","name")</f>
        <v>#NAME?</v>
      </c>
      <c r="B24" s="336" t="s">
        <v>598</v>
      </c>
      <c r="C24" s="336" t="e">
        <f ca="1">_xll.BDP(B24 &amp; " Corp","MTY_YEARS_TDY")</f>
        <v>#NAME?</v>
      </c>
      <c r="D24" s="336" t="e">
        <f ca="1">_xll.BDP(B24 &amp; " Corp","px_last")</f>
        <v>#NAME?</v>
      </c>
      <c r="E24" s="336" t="e">
        <f ca="1">_xll.BDP(B24 &amp; " Corp","px_ask")</f>
        <v>#NAME?</v>
      </c>
      <c r="F24" s="336" t="e">
        <f ca="1">_xll.BDP(B24 &amp; " Corp","YLD_YTM_BID")</f>
        <v>#NAME?</v>
      </c>
      <c r="G24" s="336" t="e">
        <f ca="1">_xll.BDP(B24 &amp; " Corp","YLD_YTM_ask")</f>
        <v>#NAME?</v>
      </c>
      <c r="H24" s="336" t="e">
        <f ca="1">_xll.BDP(B24 &amp; " Corp","CPN")</f>
        <v>#NAME?</v>
      </c>
      <c r="I24" s="336" t="e">
        <f ca="1">_xll.BDP(B24&amp; " Corp","MATURITY")</f>
        <v>#NAME?</v>
      </c>
      <c r="J24" s="336" t="e">
        <f ca="1">IF(_xll.BDP(B24 &amp; " Corp","RTG_SP")="#N/A N/A","",_xll.BDP(B24 &amp; " Corp","RTG_SP"))&amp;"/"&amp;IF(_xll.BDP(B24 &amp; " Corp","RTG_fitch")="#N/A N/A","",_xll.BDP(B24 &amp; " Corp","RTG_fitch"))&amp;"/"&amp;IF(_xll.BDP(B24 &amp; " Corp","RTG_moody")="#N/A N/A","",_xll.BDP(B24 &amp; " Corp","RTG_moody"))</f>
        <v>#NAME?</v>
      </c>
      <c r="K24" s="336" t="e">
        <f ca="1">_xll.BDP($B24&amp; " Corp","INDUSTRY_SUBGROUP")</f>
        <v>#NAME?</v>
      </c>
      <c r="L24" s="336" t="e">
        <f ca="1">_xll.BDP(B24 &amp; " Corp","CRNCY")</f>
        <v>#NAME?</v>
      </c>
      <c r="M24" s="336" t="e">
        <f ca="1">_xll.BDP(B24 &amp; " Corp","CNTRY_OF_RISK")</f>
        <v>#NAME?</v>
      </c>
      <c r="N24" s="336" t="e">
        <f ca="1">_xll.BDP($B24&amp; " Corp","PAYMENT_RANK")</f>
        <v>#NAME?</v>
      </c>
      <c r="O24" s="336" t="e">
        <f ca="1">_xll.BDP($B24&amp; " Corp","MTY_TYP")</f>
        <v>#NAME?</v>
      </c>
      <c r="P24" s="336" t="e">
        <f ca="1">_xll.BDP($B24&amp; " Corp","RUSSIAN_CB_LOMBARD")</f>
        <v>#NAME?</v>
      </c>
      <c r="Q24" s="338" t="e">
        <f ca="1">_xll.BDP(B24&amp;" Corp", "INTERVAL_PERCENT_CHANGE", "END_DATE_OVERRIDE"," ", "START_DATE_OVERRIDe",R24)</f>
        <v>#NAME?</v>
      </c>
      <c r="R24" s="337">
        <v>20140716</v>
      </c>
      <c r="S24" s="336" t="e">
        <f ca="1">_xll.BDP($B24&amp; " Corp","PX_GROSS_MID")</f>
        <v>#NAME?</v>
      </c>
      <c r="T24" s="335" t="e">
        <f ca="1">_xll.BDP($B24&amp; " Corp","MIN_PIECE")</f>
        <v>#NAME?</v>
      </c>
    </row>
    <row r="25" spans="1:20" s="1" customFormat="1" ht="15.75" x14ac:dyDescent="0.25">
      <c r="A25" s="336" t="e">
        <f ca="1">_xll.BDP(B25&amp; " Corp","name")</f>
        <v>#NAME?</v>
      </c>
      <c r="B25" s="336" t="s">
        <v>597</v>
      </c>
      <c r="C25" s="336" t="e">
        <f ca="1">_xll.BDP(B25 &amp; " Corp","MTY_YEARS_TDY")</f>
        <v>#NAME?</v>
      </c>
      <c r="D25" s="336" t="e">
        <f ca="1">_xll.BDP(B25 &amp; " Corp","px_last")</f>
        <v>#NAME?</v>
      </c>
      <c r="E25" s="336" t="e">
        <f ca="1">_xll.BDP(B25 &amp; " Corp","px_ask")</f>
        <v>#NAME?</v>
      </c>
      <c r="F25" s="336" t="e">
        <f ca="1">_xll.BDP(B25 &amp; " Corp","YLD_YTM_BID")</f>
        <v>#NAME?</v>
      </c>
      <c r="G25" s="336" t="e">
        <f ca="1">_xll.BDP(B25 &amp; " Corp","YLD_YTM_ask")</f>
        <v>#NAME?</v>
      </c>
      <c r="H25" s="336" t="e">
        <f ca="1">_xll.BDP(B25 &amp; " Corp","CPN")</f>
        <v>#NAME?</v>
      </c>
      <c r="I25" s="336" t="e">
        <f ca="1">_xll.BDP(B25&amp; " Corp","MATURITY")</f>
        <v>#NAME?</v>
      </c>
      <c r="J25" s="336" t="e">
        <f ca="1">IF(_xll.BDP(B25 &amp; " Corp","RTG_SP")="#N/A N/A","",_xll.BDP(B25 &amp; " Corp","RTG_SP"))&amp;"/"&amp;IF(_xll.BDP(B25 &amp; " Corp","RTG_fitch")="#N/A N/A","",_xll.BDP(B25 &amp; " Corp","RTG_fitch"))&amp;"/"&amp;IF(_xll.BDP(B25 &amp; " Corp","RTG_moody")="#N/A N/A","",_xll.BDP(B25 &amp; " Corp","RTG_moody"))</f>
        <v>#NAME?</v>
      </c>
      <c r="K25" s="336" t="e">
        <f ca="1">_xll.BDP($B25&amp; " Corp","INDUSTRY_SUBGROUP")</f>
        <v>#NAME?</v>
      </c>
      <c r="L25" s="336" t="e">
        <f ca="1">_xll.BDP(B25 &amp; " Corp","CRNCY")</f>
        <v>#NAME?</v>
      </c>
      <c r="M25" s="336" t="e">
        <f ca="1">_xll.BDP(B25 &amp; " Corp","CNTRY_OF_RISK")</f>
        <v>#NAME?</v>
      </c>
      <c r="N25" s="336" t="e">
        <f ca="1">_xll.BDP($B25&amp; " Corp","PAYMENT_RANK")</f>
        <v>#NAME?</v>
      </c>
      <c r="O25" s="336" t="e">
        <f ca="1">_xll.BDP($B25&amp; " Corp","MTY_TYP")</f>
        <v>#NAME?</v>
      </c>
      <c r="P25" s="336" t="e">
        <f ca="1">_xll.BDP($B25&amp; " Corp","RUSSIAN_CB_LOMBARD")</f>
        <v>#NAME?</v>
      </c>
      <c r="Q25" s="338" t="e">
        <f ca="1">_xll.BDP(B25&amp;" Corp", "INTERVAL_PERCENT_CHANGE", "END_DATE_OVERRIDE"," ", "START_DATE_OVERRIDe",R25)</f>
        <v>#NAME?</v>
      </c>
      <c r="R25" s="337">
        <v>20140716</v>
      </c>
      <c r="S25" s="336" t="e">
        <f ca="1">_xll.BDP($B25&amp; " Corp","PX_GROSS_MID")</f>
        <v>#NAME?</v>
      </c>
      <c r="T25" s="335" t="e">
        <f ca="1">_xll.BDP($B25&amp; " Corp","MIN_PIECE")</f>
        <v>#NAME?</v>
      </c>
    </row>
    <row r="26" spans="1:20" s="1" customFormat="1" ht="15.75" x14ac:dyDescent="0.25">
      <c r="A26" s="342" t="e">
        <f ca="1">_xll.BDP(B26&amp; " Corp","name")</f>
        <v>#NAME?</v>
      </c>
      <c r="B26" s="336" t="s">
        <v>596</v>
      </c>
      <c r="C26" s="336" t="e">
        <f ca="1">_xll.BDP(B26 &amp; " Corp","MTY_YEARS_TDY")</f>
        <v>#NAME?</v>
      </c>
      <c r="D26" s="336" t="e">
        <f ca="1">_xll.BDP(B26 &amp; " Corp","px_last")</f>
        <v>#NAME?</v>
      </c>
      <c r="E26" s="336" t="e">
        <f ca="1">_xll.BDP(B26 &amp; " Corp","px_ask")</f>
        <v>#NAME?</v>
      </c>
      <c r="F26" s="336" t="e">
        <f ca="1">_xll.BDP(B26 &amp; " Corp","YLD_YTM_BID")</f>
        <v>#NAME?</v>
      </c>
      <c r="G26" s="336" t="e">
        <f ca="1">_xll.BDP(B26 &amp; " Corp","YLD_YTM_ask")</f>
        <v>#NAME?</v>
      </c>
      <c r="H26" s="336" t="e">
        <f ca="1">_xll.BDP(B26 &amp; " Corp","CPN")</f>
        <v>#NAME?</v>
      </c>
      <c r="I26" s="336" t="e">
        <f ca="1">_xll.BDP(B26&amp; " Corp","MATURITY")</f>
        <v>#NAME?</v>
      </c>
      <c r="J26" s="336" t="e">
        <f ca="1">IF(_xll.BDP(B26 &amp; " Corp","RTG_SP")="#N/A N/A","",_xll.BDP(B26 &amp; " Corp","RTG_SP"))&amp;"/"&amp;IF(_xll.BDP(B26 &amp; " Corp","RTG_fitch")="#N/A N/A","",_xll.BDP(B26 &amp; " Corp","RTG_fitch"))&amp;"/"&amp;IF(_xll.BDP(B26 &amp; " Corp","RTG_moody")="#N/A N/A","",_xll.BDP(B26 &amp; " Corp","RTG_moody"))</f>
        <v>#NAME?</v>
      </c>
      <c r="K26" s="336" t="e">
        <f ca="1">_xll.BDP($B26&amp; " Corp","INDUSTRY_SUBGROUP")</f>
        <v>#NAME?</v>
      </c>
      <c r="L26" s="336" t="e">
        <f ca="1">_xll.BDP(B26 &amp; " Corp","CRNCY")</f>
        <v>#NAME?</v>
      </c>
      <c r="M26" s="336" t="e">
        <f ca="1">_xll.BDP(B26 &amp; " Corp","CNTRY_OF_RISK")</f>
        <v>#NAME?</v>
      </c>
      <c r="N26" s="336" t="e">
        <f ca="1">_xll.BDP($B26&amp; " Corp","PAYMENT_RANK")</f>
        <v>#NAME?</v>
      </c>
      <c r="O26" s="336" t="e">
        <f ca="1">_xll.BDP($B26&amp; " Corp","MTY_TYP")</f>
        <v>#NAME?</v>
      </c>
      <c r="P26" s="336" t="e">
        <f ca="1">_xll.BDP($B26&amp; " Corp","RUSSIAN_CB_LOMBARD")</f>
        <v>#NAME?</v>
      </c>
      <c r="Q26" s="338" t="e">
        <f ca="1">_xll.BDP(B26&amp;" Corp", "INTERVAL_PERCENT_CHANGE", "END_DATE_OVERRIDE"," ", "START_DATE_OVERRIDe",R26)</f>
        <v>#NAME?</v>
      </c>
      <c r="R26" s="337">
        <v>20140716</v>
      </c>
      <c r="S26" s="336" t="e">
        <f ca="1">_xll.BDP($B26&amp; " Corp","PX_GROSS_MID")</f>
        <v>#NAME?</v>
      </c>
      <c r="T26" s="335" t="e">
        <f ca="1">_xll.BDP($B26&amp; " Corp","MIN_PIECE")</f>
        <v>#NAME?</v>
      </c>
    </row>
    <row r="27" spans="1:20" s="1" customFormat="1" ht="15.75" x14ac:dyDescent="0.25">
      <c r="A27" s="336" t="e">
        <f ca="1">_xll.BDP(B27&amp; " Corp","name")</f>
        <v>#NAME?</v>
      </c>
      <c r="B27" s="336" t="s">
        <v>595</v>
      </c>
      <c r="C27" s="336" t="e">
        <f ca="1">_xll.BDP(B27 &amp; " Corp","MTY_YEARS_TDY")</f>
        <v>#NAME?</v>
      </c>
      <c r="D27" s="336" t="e">
        <f ca="1">_xll.BDP(B27 &amp; " Corp","px_last")</f>
        <v>#NAME?</v>
      </c>
      <c r="E27" s="336" t="e">
        <f ca="1">_xll.BDP(B27 &amp; " Corp","px_ask")</f>
        <v>#NAME?</v>
      </c>
      <c r="F27" s="336" t="e">
        <f ca="1">_xll.BDP(B27 &amp; " Corp","YLD_YTM_BID")</f>
        <v>#NAME?</v>
      </c>
      <c r="G27" s="336" t="e">
        <f ca="1">_xll.BDP(B27 &amp; " Corp","YLD_YTM_ask")</f>
        <v>#NAME?</v>
      </c>
      <c r="H27" s="336" t="e">
        <f ca="1">_xll.BDP(B27 &amp; " Corp","CPN")</f>
        <v>#NAME?</v>
      </c>
      <c r="I27" s="336" t="e">
        <f ca="1">_xll.BDP(B27&amp; " Corp","MATURITY")</f>
        <v>#NAME?</v>
      </c>
      <c r="J27" s="336" t="e">
        <f ca="1">IF(_xll.BDP(B27 &amp; " Corp","RTG_SP")="#N/A N/A","",_xll.BDP(B27 &amp; " Corp","RTG_SP"))&amp;"/"&amp;IF(_xll.BDP(B27 &amp; " Corp","RTG_fitch")="#N/A N/A","",_xll.BDP(B27 &amp; " Corp","RTG_fitch"))&amp;"/"&amp;IF(_xll.BDP(B27 &amp; " Corp","RTG_moody")="#N/A N/A","",_xll.BDP(B27 &amp; " Corp","RTG_moody"))</f>
        <v>#NAME?</v>
      </c>
      <c r="K27" s="336" t="e">
        <f ca="1">_xll.BDP($B27&amp; " Corp","INDUSTRY_SUBGROUP")</f>
        <v>#NAME?</v>
      </c>
      <c r="L27" s="336" t="e">
        <f ca="1">_xll.BDP(B27 &amp; " Corp","CRNCY")</f>
        <v>#NAME?</v>
      </c>
      <c r="M27" s="336" t="e">
        <f ca="1">_xll.BDP(B27 &amp; " Corp","CNTRY_OF_RISK")</f>
        <v>#NAME?</v>
      </c>
      <c r="N27" s="336" t="e">
        <f ca="1">_xll.BDP($B27&amp; " Corp","PAYMENT_RANK")</f>
        <v>#NAME?</v>
      </c>
      <c r="O27" s="336" t="e">
        <f ca="1">_xll.BDP($B27&amp; " Corp","MTY_TYP")</f>
        <v>#NAME?</v>
      </c>
      <c r="P27" s="336" t="e">
        <f ca="1">_xll.BDP($B27&amp; " Corp","RUSSIAN_CB_LOMBARD")</f>
        <v>#NAME?</v>
      </c>
      <c r="Q27" s="338" t="e">
        <f ca="1">_xll.BDP(B27&amp;" Corp", "INTERVAL_PERCENT_CHANGE", "END_DATE_OVERRIDE"," ", "START_DATE_OVERRIDe",R27)</f>
        <v>#NAME?</v>
      </c>
      <c r="R27" s="337">
        <v>20140716</v>
      </c>
      <c r="S27" s="336" t="e">
        <f ca="1">_xll.BDP($B27&amp; " Corp","PX_GROSS_MID")</f>
        <v>#NAME?</v>
      </c>
      <c r="T27" s="335" t="e">
        <f ca="1">_xll.BDP($B27&amp; " Corp","MIN_PIECE")</f>
        <v>#NAME?</v>
      </c>
    </row>
    <row r="28" spans="1:20" s="1" customFormat="1" ht="15.75" x14ac:dyDescent="0.25">
      <c r="A28" s="336" t="e">
        <f ca="1">_xll.BDP(B28&amp; " Corp","name")</f>
        <v>#NAME?</v>
      </c>
      <c r="B28" s="336" t="s">
        <v>594</v>
      </c>
      <c r="C28" s="336" t="e">
        <f ca="1">_xll.BDP(B28 &amp; " Corp","MTY_YEARS_TDY")</f>
        <v>#NAME?</v>
      </c>
      <c r="D28" s="336" t="e">
        <f ca="1">_xll.BDP(B28 &amp; " Corp","px_last")</f>
        <v>#NAME?</v>
      </c>
      <c r="E28" s="336" t="e">
        <f ca="1">_xll.BDP(B28 &amp; " Corp","px_ask")</f>
        <v>#NAME?</v>
      </c>
      <c r="F28" s="336" t="e">
        <f ca="1">_xll.BDP(B28 &amp; " Corp","YLD_YTM_BID")</f>
        <v>#NAME?</v>
      </c>
      <c r="G28" s="336" t="e">
        <f ca="1">_xll.BDP(B28 &amp; " Corp","YLD_YTM_ask")</f>
        <v>#NAME?</v>
      </c>
      <c r="H28" s="336" t="e">
        <f ca="1">_xll.BDP(B28 &amp; " Corp","CPN")</f>
        <v>#NAME?</v>
      </c>
      <c r="I28" s="336" t="e">
        <f ca="1">_xll.BDP(B28&amp; " Corp","MATURITY")</f>
        <v>#NAME?</v>
      </c>
      <c r="J28" s="336" t="e">
        <f ca="1">IF(_xll.BDP(B28 &amp; " Corp","RTG_SP")="#N/A N/A","",_xll.BDP(B28 &amp; " Corp","RTG_SP"))&amp;"/"&amp;IF(_xll.BDP(B28 &amp; " Corp","RTG_fitch")="#N/A N/A","",_xll.BDP(B28 &amp; " Corp","RTG_fitch"))&amp;"/"&amp;IF(_xll.BDP(B28 &amp; " Corp","RTG_moody")="#N/A N/A","",_xll.BDP(B28 &amp; " Corp","RTG_moody"))</f>
        <v>#NAME?</v>
      </c>
      <c r="K28" s="336" t="e">
        <f ca="1">_xll.BDP($B28&amp; " Corp","INDUSTRY_SUBGROUP")</f>
        <v>#NAME?</v>
      </c>
      <c r="L28" s="336" t="e">
        <f ca="1">_xll.BDP(B28 &amp; " Corp","CRNCY")</f>
        <v>#NAME?</v>
      </c>
      <c r="M28" s="336" t="e">
        <f ca="1">_xll.BDP(B28 &amp; " Corp","CNTRY_OF_RISK")</f>
        <v>#NAME?</v>
      </c>
      <c r="N28" s="336" t="e">
        <f ca="1">_xll.BDP($B28&amp; " Corp","PAYMENT_RANK")</f>
        <v>#NAME?</v>
      </c>
      <c r="O28" s="336" t="e">
        <f ca="1">_xll.BDP($B28&amp; " Corp","MTY_TYP")</f>
        <v>#NAME?</v>
      </c>
      <c r="P28" s="336" t="e">
        <f ca="1">_xll.BDP($B28&amp; " Corp","RUSSIAN_CB_LOMBARD")</f>
        <v>#NAME?</v>
      </c>
      <c r="Q28" s="338" t="e">
        <f ca="1">_xll.BDP(B28&amp;" Corp", "INTERVAL_PERCENT_CHANGE", "END_DATE_OVERRIDE"," ", "START_DATE_OVERRIDe",R28)</f>
        <v>#NAME?</v>
      </c>
      <c r="R28" s="337">
        <v>20140716</v>
      </c>
      <c r="S28" s="336" t="e">
        <f ca="1">_xll.BDP($B28&amp; " Corp","PX_GROSS_MID")</f>
        <v>#NAME?</v>
      </c>
      <c r="T28" s="335" t="e">
        <f ca="1">_xll.BDP($B28&amp; " Corp","MIN_PIECE")</f>
        <v>#NAME?</v>
      </c>
    </row>
    <row r="29" spans="1:20" ht="15.75" x14ac:dyDescent="0.25">
      <c r="A29" s="342" t="e">
        <f ca="1">_xll.BDP(B29&amp; " Corp","name")</f>
        <v>#NAME?</v>
      </c>
      <c r="B29" s="336" t="s">
        <v>593</v>
      </c>
      <c r="C29" s="336" t="e">
        <f ca="1">_xll.BDP(B29 &amp; " Corp","MTY_YEARS_TDY")</f>
        <v>#NAME?</v>
      </c>
      <c r="D29" s="336" t="e">
        <f ca="1">_xll.BDP(B29 &amp; " Corp","px_last")</f>
        <v>#NAME?</v>
      </c>
      <c r="E29" s="336" t="e">
        <f ca="1">_xll.BDP(B29 &amp; " Corp","px_ask")</f>
        <v>#NAME?</v>
      </c>
      <c r="F29" s="336" t="e">
        <f ca="1">_xll.BDP(B29 &amp; " Corp","YLD_YTM_BID")</f>
        <v>#NAME?</v>
      </c>
      <c r="G29" s="336" t="e">
        <f ca="1">_xll.BDP(B29 &amp; " Corp","YLD_YTM_ask")</f>
        <v>#NAME?</v>
      </c>
      <c r="H29" s="336" t="e">
        <f ca="1">_xll.BDP(B29 &amp; " Corp","CPN")</f>
        <v>#NAME?</v>
      </c>
      <c r="I29" s="336" t="e">
        <f ca="1">_xll.BDP(B29&amp; " Corp","MATURITY")</f>
        <v>#NAME?</v>
      </c>
      <c r="J29" s="336" t="e">
        <f ca="1">IF(_xll.BDP(B29 &amp; " Corp","RTG_SP")="#N/A N/A","",_xll.BDP(B29 &amp; " Corp","RTG_SP"))&amp;"/"&amp;IF(_xll.BDP(B29 &amp; " Corp","RTG_fitch")="#N/A N/A","",_xll.BDP(B29 &amp; " Corp","RTG_fitch"))&amp;"/"&amp;IF(_xll.BDP(B29 &amp; " Corp","RTG_moody")="#N/A N/A","",_xll.BDP(B29 &amp; " Corp","RTG_moody"))</f>
        <v>#NAME?</v>
      </c>
      <c r="K29" s="336" t="e">
        <f ca="1">_xll.BDP($B29&amp; " Corp","INDUSTRY_SUBGROUP")</f>
        <v>#NAME?</v>
      </c>
      <c r="L29" s="336" t="e">
        <f ca="1">_xll.BDP(B29 &amp; " Corp","CRNCY")</f>
        <v>#NAME?</v>
      </c>
      <c r="M29" s="336" t="e">
        <f ca="1">_xll.BDP(B29 &amp; " Corp","CNTRY_OF_RISK")</f>
        <v>#NAME?</v>
      </c>
      <c r="N29" s="336" t="e">
        <f ca="1">_xll.BDP($B29&amp; " Corp","PAYMENT_RANK")</f>
        <v>#NAME?</v>
      </c>
      <c r="O29" s="336" t="e">
        <f ca="1">_xll.BDP($B29&amp; " Corp","MTY_TYP")</f>
        <v>#NAME?</v>
      </c>
      <c r="P29" s="336" t="e">
        <f ca="1">_xll.BDP($B29&amp; " Corp","RUSSIAN_CB_LOMBARD")</f>
        <v>#NAME?</v>
      </c>
      <c r="Q29" s="338" t="e">
        <f ca="1">_xll.BDP(B29&amp;" Corp", "INTERVAL_PERCENT_CHANGE", "END_DATE_OVERRIDE"," ", "START_DATE_OVERRIDe",R29)</f>
        <v>#NAME?</v>
      </c>
      <c r="R29" s="337">
        <v>20140716</v>
      </c>
      <c r="S29" s="336" t="e">
        <f ca="1">_xll.BDP($B29&amp; " Corp","PX_GROSS_MID")</f>
        <v>#NAME?</v>
      </c>
      <c r="T29" s="335" t="e">
        <f ca="1">_xll.BDP($B29&amp; " Corp","MIN_PIECE")</f>
        <v>#NAME?</v>
      </c>
    </row>
    <row r="30" spans="1:20" ht="15.75" x14ac:dyDescent="0.25">
      <c r="A30" s="336" t="e">
        <f ca="1">_xll.BDP(B30&amp; " Corp","name")</f>
        <v>#NAME?</v>
      </c>
      <c r="B30" s="336" t="s">
        <v>592</v>
      </c>
      <c r="C30" s="336" t="e">
        <f ca="1">_xll.BDP(B30 &amp; " Corp","MTY_YEARS_TDY")</f>
        <v>#NAME?</v>
      </c>
      <c r="D30" s="336" t="e">
        <f ca="1">_xll.BDP(B30 &amp; " Corp","px_last")</f>
        <v>#NAME?</v>
      </c>
      <c r="E30" s="336" t="e">
        <f ca="1">_xll.BDP(B30 &amp; " Corp","px_ask")</f>
        <v>#NAME?</v>
      </c>
      <c r="F30" s="336" t="e">
        <f ca="1">_xll.BDP(B30 &amp; " Corp","YLD_YTM_BID")</f>
        <v>#NAME?</v>
      </c>
      <c r="G30" s="336" t="e">
        <f ca="1">_xll.BDP(B30 &amp; " Corp","YLD_YTM_ask")</f>
        <v>#NAME?</v>
      </c>
      <c r="H30" s="336" t="e">
        <f ca="1">_xll.BDP(B30 &amp; " Corp","CPN")</f>
        <v>#NAME?</v>
      </c>
      <c r="I30" s="336" t="e">
        <f ca="1">_xll.BDP(B30&amp; " Corp","MATURITY")</f>
        <v>#NAME?</v>
      </c>
      <c r="J30" s="336" t="e">
        <f ca="1">IF(_xll.BDP(B30 &amp; " Corp","RTG_SP")="#N/A N/A","",_xll.BDP(B30 &amp; " Corp","RTG_SP"))&amp;"/"&amp;IF(_xll.BDP(B30 &amp; " Corp","RTG_fitch")="#N/A N/A","",_xll.BDP(B30 &amp; " Corp","RTG_fitch"))&amp;"/"&amp;IF(_xll.BDP(B30 &amp; " Corp","RTG_moody")="#N/A N/A","",_xll.BDP(B30 &amp; " Corp","RTG_moody"))</f>
        <v>#NAME?</v>
      </c>
      <c r="K30" s="336" t="e">
        <f ca="1">_xll.BDP($B30&amp; " Corp","INDUSTRY_SUBGROUP")</f>
        <v>#NAME?</v>
      </c>
      <c r="L30" s="336" t="e">
        <f ca="1">_xll.BDP(B30 &amp; " Corp","CRNCY")</f>
        <v>#NAME?</v>
      </c>
      <c r="M30" s="336" t="e">
        <f ca="1">_xll.BDP(B30 &amp; " Corp","CNTRY_OF_RISK")</f>
        <v>#NAME?</v>
      </c>
      <c r="N30" s="336" t="e">
        <f ca="1">_xll.BDP($B30&amp; " Corp","PAYMENT_RANK")</f>
        <v>#NAME?</v>
      </c>
      <c r="O30" s="336" t="e">
        <f ca="1">_xll.BDP($B30&amp; " Corp","MTY_TYP")</f>
        <v>#NAME?</v>
      </c>
      <c r="P30" s="336" t="e">
        <f ca="1">_xll.BDP($B30&amp; " Corp","RUSSIAN_CB_LOMBARD")</f>
        <v>#NAME?</v>
      </c>
      <c r="Q30" s="338" t="e">
        <f ca="1">_xll.BDP(B30&amp;" Corp", "INTERVAL_PERCENT_CHANGE", "END_DATE_OVERRIDE"," ", "START_DATE_OVERRIDe",R30)</f>
        <v>#NAME?</v>
      </c>
      <c r="R30" s="337">
        <v>20140716</v>
      </c>
      <c r="S30" s="336" t="e">
        <f ca="1">_xll.BDP($B30&amp; " Corp","PX_GROSS_MID")</f>
        <v>#NAME?</v>
      </c>
      <c r="T30" s="335" t="e">
        <f ca="1">_xll.BDP($B30&amp; " Corp","MIN_PIECE")</f>
        <v>#NAME?</v>
      </c>
    </row>
    <row r="31" spans="1:20" ht="15.75" x14ac:dyDescent="0.25">
      <c r="A31" s="336" t="e">
        <f ca="1">_xll.BDP(B31&amp; " Corp","name")</f>
        <v>#NAME?</v>
      </c>
      <c r="B31" s="336" t="s">
        <v>591</v>
      </c>
      <c r="C31" s="336" t="e">
        <f ca="1">_xll.BDP(B31 &amp; " Corp","MTY_YEARS_TDY")</f>
        <v>#NAME?</v>
      </c>
      <c r="D31" s="336" t="e">
        <f ca="1">_xll.BDP(B31 &amp; " Corp","px_last")</f>
        <v>#NAME?</v>
      </c>
      <c r="E31" s="336" t="e">
        <f ca="1">_xll.BDP(B31 &amp; " Corp","px_ask")</f>
        <v>#NAME?</v>
      </c>
      <c r="F31" s="336" t="e">
        <f ca="1">_xll.BDP(B31 &amp; " Corp","YLD_YTM_BID")</f>
        <v>#NAME?</v>
      </c>
      <c r="G31" s="336" t="e">
        <f ca="1">_xll.BDP(B31 &amp; " Corp","YLD_YTM_ask")</f>
        <v>#NAME?</v>
      </c>
      <c r="H31" s="336" t="e">
        <f ca="1">_xll.BDP(B31 &amp; " Corp","CPN")</f>
        <v>#NAME?</v>
      </c>
      <c r="I31" s="336" t="e">
        <f ca="1">_xll.BDP(B31&amp; " Corp","MATURITY")</f>
        <v>#NAME?</v>
      </c>
      <c r="J31" s="336" t="e">
        <f ca="1">IF(_xll.BDP(B31 &amp; " Corp","RTG_SP")="#N/A N/A","",_xll.BDP(B31 &amp; " Corp","RTG_SP"))&amp;"/"&amp;IF(_xll.BDP(B31 &amp; " Corp","RTG_fitch")="#N/A N/A","",_xll.BDP(B31 &amp; " Corp","RTG_fitch"))&amp;"/"&amp;IF(_xll.BDP(B31 &amp; " Corp","RTG_moody")="#N/A N/A","",_xll.BDP(B31 &amp; " Corp","RTG_moody"))</f>
        <v>#NAME?</v>
      </c>
      <c r="K31" s="336" t="e">
        <f ca="1">_xll.BDP($B31&amp; " Corp","INDUSTRY_SUBGROUP")</f>
        <v>#NAME?</v>
      </c>
      <c r="L31" s="336" t="e">
        <f ca="1">_xll.BDP(B31 &amp; " Corp","CRNCY")</f>
        <v>#NAME?</v>
      </c>
      <c r="M31" s="336" t="e">
        <f ca="1">_xll.BDP(B31 &amp; " Corp","CNTRY_OF_RISK")</f>
        <v>#NAME?</v>
      </c>
      <c r="N31" s="336" t="e">
        <f ca="1">_xll.BDP($B31&amp; " Corp","PAYMENT_RANK")</f>
        <v>#NAME?</v>
      </c>
      <c r="O31" s="336" t="e">
        <f ca="1">_xll.BDP($B31&amp; " Corp","MTY_TYP")</f>
        <v>#NAME?</v>
      </c>
      <c r="P31" s="336" t="e">
        <f ca="1">_xll.BDP($B31&amp; " Corp","RUSSIAN_CB_LOMBARD")</f>
        <v>#NAME?</v>
      </c>
      <c r="Q31" s="338" t="e">
        <f ca="1">_xll.BDP(B31&amp;" Corp", "INTERVAL_PERCENT_CHANGE", "END_DATE_OVERRIDE"," ", "START_DATE_OVERRIDe",R31)</f>
        <v>#NAME?</v>
      </c>
      <c r="R31" s="337">
        <v>20140716</v>
      </c>
      <c r="S31" s="336" t="e">
        <f ca="1">_xll.BDP($B31&amp; " Corp","PX_GROSS_MID")</f>
        <v>#NAME?</v>
      </c>
      <c r="T31" s="335" t="e">
        <f ca="1">_xll.BDP($B31&amp; " Corp","MIN_PIECE")</f>
        <v>#NAME?</v>
      </c>
    </row>
    <row r="32" spans="1:20" ht="15.75" x14ac:dyDescent="0.25">
      <c r="A32" s="336" t="e">
        <f ca="1">_xll.BDP(B32&amp; " Corp","name")</f>
        <v>#NAME?</v>
      </c>
      <c r="B32" s="336" t="s">
        <v>590</v>
      </c>
      <c r="C32" s="336" t="e">
        <f ca="1">_xll.BDP(B32 &amp; " Corp","MTY_YEARS_TDY")</f>
        <v>#NAME?</v>
      </c>
      <c r="D32" s="336" t="e">
        <f ca="1">_xll.BDP(B32 &amp; " Corp","px_last")</f>
        <v>#NAME?</v>
      </c>
      <c r="E32" s="336" t="e">
        <f ca="1">_xll.BDP(B32 &amp; " Corp","px_ask")</f>
        <v>#NAME?</v>
      </c>
      <c r="F32" s="336" t="e">
        <f ca="1">_xll.BDP(B32 &amp; " Corp","YLD_YTM_BID")</f>
        <v>#NAME?</v>
      </c>
      <c r="G32" s="336" t="e">
        <f ca="1">_xll.BDP(B32 &amp; " Corp","YLD_YTM_ask")</f>
        <v>#NAME?</v>
      </c>
      <c r="H32" s="336" t="e">
        <f ca="1">_xll.BDP(B32 &amp; " Corp","CPN")</f>
        <v>#NAME?</v>
      </c>
      <c r="I32" s="336" t="e">
        <f ca="1">_xll.BDP(B32&amp; " Corp","MATURITY")</f>
        <v>#NAME?</v>
      </c>
      <c r="J32" s="336" t="e">
        <f ca="1">IF(_xll.BDP(B32 &amp; " Corp","RTG_SP")="#N/A N/A","",_xll.BDP(B32 &amp; " Corp","RTG_SP"))&amp;"/"&amp;IF(_xll.BDP(B32 &amp; " Corp","RTG_fitch")="#N/A N/A","",_xll.BDP(B32 &amp; " Corp","RTG_fitch"))&amp;"/"&amp;IF(_xll.BDP(B32 &amp; " Corp","RTG_moody")="#N/A N/A","",_xll.BDP(B32 &amp; " Corp","RTG_moody"))</f>
        <v>#NAME?</v>
      </c>
      <c r="K32" s="336" t="e">
        <f ca="1">_xll.BDP($B32&amp; " Corp","INDUSTRY_SUBGROUP")</f>
        <v>#NAME?</v>
      </c>
      <c r="L32" s="336" t="e">
        <f ca="1">_xll.BDP(B32 &amp; " Corp","CRNCY")</f>
        <v>#NAME?</v>
      </c>
      <c r="M32" s="336" t="e">
        <f ca="1">_xll.BDP(B32 &amp; " Corp","CNTRY_OF_RISK")</f>
        <v>#NAME?</v>
      </c>
      <c r="N32" s="336" t="e">
        <f ca="1">_xll.BDP($B32&amp; " Corp","PAYMENT_RANK")</f>
        <v>#NAME?</v>
      </c>
      <c r="O32" s="336" t="e">
        <f ca="1">_xll.BDP($B32&amp; " Corp","MTY_TYP")</f>
        <v>#NAME?</v>
      </c>
      <c r="P32" s="336" t="e">
        <f ca="1">_xll.BDP($B32&amp; " Corp","RUSSIAN_CB_LOMBARD")</f>
        <v>#NAME?</v>
      </c>
      <c r="Q32" s="338" t="e">
        <f ca="1">_xll.BDP(B32&amp;" Corp", "INTERVAL_PERCENT_CHANGE", "END_DATE_OVERRIDE"," ", "START_DATE_OVERRIDe",R32)</f>
        <v>#NAME?</v>
      </c>
      <c r="R32" s="337">
        <v>20140716</v>
      </c>
      <c r="S32" s="336" t="e">
        <f ca="1">_xll.BDP($B32&amp; " Corp","PX_GROSS_MID")</f>
        <v>#NAME?</v>
      </c>
      <c r="T32" s="335" t="e">
        <f ca="1">_xll.BDP($B32&amp; " Corp","MIN_PIECE")</f>
        <v>#NAME?</v>
      </c>
    </row>
    <row r="33" spans="1:20" ht="15.75" x14ac:dyDescent="0.25">
      <c r="A33" s="342" t="e">
        <f ca="1">_xll.BDP(B33&amp; " Corp","name")</f>
        <v>#NAME?</v>
      </c>
      <c r="B33" s="336" t="s">
        <v>589</v>
      </c>
      <c r="C33" s="336" t="e">
        <f ca="1">_xll.BDP(B33 &amp; " Corp","MTY_YEARS_TDY")</f>
        <v>#NAME?</v>
      </c>
      <c r="D33" s="336" t="e">
        <f ca="1">_xll.BDP(B33 &amp; " Corp","px_last")</f>
        <v>#NAME?</v>
      </c>
      <c r="E33" s="336" t="e">
        <f ca="1">_xll.BDP(B33 &amp; " Corp","px_ask")</f>
        <v>#NAME?</v>
      </c>
      <c r="F33" s="336" t="e">
        <f ca="1">_xll.BDP(B33 &amp; " Corp","YLD_YTM_BID")</f>
        <v>#NAME?</v>
      </c>
      <c r="G33" s="336" t="e">
        <f ca="1">_xll.BDP(B33 &amp; " Corp","YLD_YTM_ask")</f>
        <v>#NAME?</v>
      </c>
      <c r="H33" s="336" t="e">
        <f ca="1">_xll.BDP(B33 &amp; " Corp","CPN")</f>
        <v>#NAME?</v>
      </c>
      <c r="I33" s="336" t="e">
        <f ca="1">_xll.BDP(B33&amp; " Corp","MATURITY")</f>
        <v>#NAME?</v>
      </c>
      <c r="J33" s="336" t="e">
        <f ca="1">IF(_xll.BDP(B33 &amp; " Corp","RTG_SP")="#N/A N/A","",_xll.BDP(B33 &amp; " Corp","RTG_SP"))&amp;"/"&amp;IF(_xll.BDP(B33 &amp; " Corp","RTG_fitch")="#N/A N/A","",_xll.BDP(B33 &amp; " Corp","RTG_fitch"))&amp;"/"&amp;IF(_xll.BDP(B33 &amp; " Corp","RTG_moody")="#N/A N/A","",_xll.BDP(B33 &amp; " Corp","RTG_moody"))</f>
        <v>#NAME?</v>
      </c>
      <c r="K33" s="336" t="e">
        <f ca="1">_xll.BDP($B33&amp; " Corp","INDUSTRY_SUBGROUP")</f>
        <v>#NAME?</v>
      </c>
      <c r="L33" s="336" t="e">
        <f ca="1">_xll.BDP(B33 &amp; " Corp","CRNCY")</f>
        <v>#NAME?</v>
      </c>
      <c r="M33" s="336" t="e">
        <f ca="1">_xll.BDP(B33 &amp; " Corp","CNTRY_OF_RISK")</f>
        <v>#NAME?</v>
      </c>
      <c r="N33" s="336" t="e">
        <f ca="1">_xll.BDP($B33&amp; " Corp","PAYMENT_RANK")</f>
        <v>#NAME?</v>
      </c>
      <c r="O33" s="336" t="e">
        <f ca="1">_xll.BDP($B33&amp; " Corp","MTY_TYP")</f>
        <v>#NAME?</v>
      </c>
      <c r="P33" s="336" t="e">
        <f ca="1">_xll.BDP($B33&amp; " Corp","RUSSIAN_CB_LOMBARD")</f>
        <v>#NAME?</v>
      </c>
      <c r="Q33" s="338" t="e">
        <f ca="1">_xll.BDP(B33&amp;" Corp", "INTERVAL_PERCENT_CHANGE", "END_DATE_OVERRIDE"," ", "START_DATE_OVERRIDe",R33)</f>
        <v>#NAME?</v>
      </c>
      <c r="R33" s="337">
        <v>20140716</v>
      </c>
      <c r="S33" s="336" t="e">
        <f ca="1">_xll.BDP($B33&amp; " Corp","PX_GROSS_MID")</f>
        <v>#NAME?</v>
      </c>
      <c r="T33" s="335" t="e">
        <f ca="1">_xll.BDP($B33&amp; " Corp","MIN_PIECE")</f>
        <v>#NAME?</v>
      </c>
    </row>
    <row r="34" spans="1:20" ht="15.75" x14ac:dyDescent="0.25">
      <c r="A34" s="344" t="e">
        <f ca="1">_xll.BDP(B34&amp; " Corp","name")</f>
        <v>#NAME?</v>
      </c>
      <c r="B34" s="336" t="s">
        <v>588</v>
      </c>
      <c r="C34" s="336" t="e">
        <f ca="1">_xll.BDP(B34 &amp; " Corp","MTY_YEARS_TDY")</f>
        <v>#NAME?</v>
      </c>
      <c r="D34" s="336" t="e">
        <f ca="1">_xll.BDP(B34 &amp; " Corp","px_last")</f>
        <v>#NAME?</v>
      </c>
      <c r="E34" s="336" t="e">
        <f ca="1">_xll.BDP(B34 &amp; " Corp","px_ask")</f>
        <v>#NAME?</v>
      </c>
      <c r="F34" s="336" t="e">
        <f ca="1">_xll.BDP(B34 &amp; " Corp","YLD_YTM_BID")</f>
        <v>#NAME?</v>
      </c>
      <c r="G34" s="336" t="e">
        <f ca="1">_xll.BDP(B34 &amp; " Corp","YLD_YTM_ask")</f>
        <v>#NAME?</v>
      </c>
      <c r="H34" s="336" t="e">
        <f ca="1">_xll.BDP(B34 &amp; " Corp","CPN")</f>
        <v>#NAME?</v>
      </c>
      <c r="I34" s="336" t="e">
        <f ca="1">_xll.BDP(B34&amp; " Corp","MATURITY")</f>
        <v>#NAME?</v>
      </c>
      <c r="J34" s="336" t="e">
        <f ca="1">IF(_xll.BDP(B34 &amp; " Corp","RTG_SP")="#N/A N/A","",_xll.BDP(B34 &amp; " Corp","RTG_SP"))&amp;"/"&amp;IF(_xll.BDP(B34 &amp; " Corp","RTG_fitch")="#N/A N/A","",_xll.BDP(B34 &amp; " Corp","RTG_fitch"))&amp;"/"&amp;IF(_xll.BDP(B34 &amp; " Corp","RTG_moody")="#N/A N/A","",_xll.BDP(B34 &amp; " Corp","RTG_moody"))</f>
        <v>#NAME?</v>
      </c>
      <c r="K34" s="336" t="e">
        <f ca="1">_xll.BDP($B34&amp; " Corp","INDUSTRY_SUBGROUP")</f>
        <v>#NAME?</v>
      </c>
      <c r="L34" s="336" t="e">
        <f ca="1">_xll.BDP(B34 &amp; " Corp","CRNCY")</f>
        <v>#NAME?</v>
      </c>
      <c r="M34" s="336" t="e">
        <f ca="1">_xll.BDP(B34 &amp; " Corp","CNTRY_OF_RISK")</f>
        <v>#NAME?</v>
      </c>
      <c r="N34" s="336" t="e">
        <f ca="1">_xll.BDP($B34&amp; " Corp","PAYMENT_RANK")</f>
        <v>#NAME?</v>
      </c>
      <c r="O34" s="336" t="e">
        <f ca="1">_xll.BDP($B34&amp; " Corp","MTY_TYP")</f>
        <v>#NAME?</v>
      </c>
      <c r="P34" s="336" t="e">
        <f ca="1">_xll.BDP($B34&amp; " Corp","RUSSIAN_CB_LOMBARD")</f>
        <v>#NAME?</v>
      </c>
      <c r="Q34" s="338" t="e">
        <f ca="1">_xll.BDP(B34&amp;" Corp", "INTERVAL_PERCENT_CHANGE", "END_DATE_OVERRIDE"," ", "START_DATE_OVERRIDe",R34)</f>
        <v>#NAME?</v>
      </c>
      <c r="R34" s="337">
        <v>20140716</v>
      </c>
      <c r="S34" s="336" t="e">
        <f ca="1">_xll.BDP($B34&amp; " Corp","PX_GROSS_MID")</f>
        <v>#NAME?</v>
      </c>
      <c r="T34" s="335" t="e">
        <f ca="1">_xll.BDP($B34&amp; " Corp","MIN_PIECE")</f>
        <v>#NAME?</v>
      </c>
    </row>
    <row r="35" spans="1:20" ht="15.75" x14ac:dyDescent="0.25">
      <c r="A35" s="336" t="e">
        <f ca="1">_xll.BDP(B35&amp; " Corp","name")</f>
        <v>#NAME?</v>
      </c>
      <c r="B35" s="336" t="s">
        <v>587</v>
      </c>
      <c r="C35" s="336" t="e">
        <f ca="1">_xll.BDP(B35 &amp; " Corp","MTY_YEARS_TDY")</f>
        <v>#NAME?</v>
      </c>
      <c r="D35" s="336" t="e">
        <f ca="1">_xll.BDP(B35 &amp; " Corp","px_last")</f>
        <v>#NAME?</v>
      </c>
      <c r="E35" s="336" t="e">
        <f ca="1">_xll.BDP(B35 &amp; " Corp","px_ask")</f>
        <v>#NAME?</v>
      </c>
      <c r="F35" s="336" t="e">
        <f ca="1">_xll.BDP(B35 &amp; " Corp","YLD_YTM_BID")</f>
        <v>#NAME?</v>
      </c>
      <c r="G35" s="336" t="e">
        <f ca="1">_xll.BDP(B35 &amp; " Corp","YLD_YTM_ask")</f>
        <v>#NAME?</v>
      </c>
      <c r="H35" s="336" t="e">
        <f ca="1">_xll.BDP(B35 &amp; " Corp","CPN")</f>
        <v>#NAME?</v>
      </c>
      <c r="I35" s="336" t="e">
        <f ca="1">_xll.BDP(B35&amp; " Corp","MATURITY")</f>
        <v>#NAME?</v>
      </c>
      <c r="J35" s="336" t="e">
        <f ca="1">IF(_xll.BDP(B35 &amp; " Corp","RTG_SP")="#N/A N/A","",_xll.BDP(B35 &amp; " Corp","RTG_SP"))&amp;"/"&amp;IF(_xll.BDP(B35 &amp; " Corp","RTG_fitch")="#N/A N/A","",_xll.BDP(B35 &amp; " Corp","RTG_fitch"))&amp;"/"&amp;IF(_xll.BDP(B35 &amp; " Corp","RTG_moody")="#N/A N/A","",_xll.BDP(B35 &amp; " Corp","RTG_moody"))</f>
        <v>#NAME?</v>
      </c>
      <c r="K35" s="336" t="e">
        <f ca="1">_xll.BDP($B35&amp; " Corp","INDUSTRY_SUBGROUP")</f>
        <v>#NAME?</v>
      </c>
      <c r="L35" s="336" t="e">
        <f ca="1">_xll.BDP(B35 &amp; " Corp","CRNCY")</f>
        <v>#NAME?</v>
      </c>
      <c r="M35" s="336" t="e">
        <f ca="1">_xll.BDP(B35 &amp; " Corp","CNTRY_OF_RISK")</f>
        <v>#NAME?</v>
      </c>
      <c r="N35" s="336" t="e">
        <f ca="1">_xll.BDP($B35&amp; " Corp","PAYMENT_RANK")</f>
        <v>#NAME?</v>
      </c>
      <c r="O35" s="336" t="e">
        <f ca="1">_xll.BDP($B35&amp; " Corp","MTY_TYP")</f>
        <v>#NAME?</v>
      </c>
      <c r="P35" s="336" t="e">
        <f ca="1">_xll.BDP($B35&amp; " Corp","RUSSIAN_CB_LOMBARD")</f>
        <v>#NAME?</v>
      </c>
      <c r="Q35" s="338" t="e">
        <f ca="1">_xll.BDP(B35&amp;" Corp", "INTERVAL_PERCENT_CHANGE", "END_DATE_OVERRIDE"," ", "START_DATE_OVERRIDe",R35)</f>
        <v>#NAME?</v>
      </c>
      <c r="R35" s="337">
        <v>20140716</v>
      </c>
      <c r="S35" s="336" t="e">
        <f ca="1">_xll.BDP($B35&amp; " Corp","PX_GROSS_MID")</f>
        <v>#NAME?</v>
      </c>
      <c r="T35" s="335" t="e">
        <f ca="1">_xll.BDP($B35&amp; " Corp","MIN_PIECE")</f>
        <v>#NAME?</v>
      </c>
    </row>
    <row r="36" spans="1:20" ht="15.75" x14ac:dyDescent="0.25">
      <c r="A36" s="336" t="e">
        <f ca="1">_xll.BDP(B36&amp; " Corp","name")</f>
        <v>#NAME?</v>
      </c>
      <c r="B36" s="336" t="s">
        <v>586</v>
      </c>
      <c r="C36" s="336" t="e">
        <f ca="1">_xll.BDP(B36 &amp; " Corp","MTY_YEARS_TDY")</f>
        <v>#NAME?</v>
      </c>
      <c r="D36" s="336" t="e">
        <f ca="1">_xll.BDP(B36 &amp; " Corp","px_last")</f>
        <v>#NAME?</v>
      </c>
      <c r="E36" s="336" t="e">
        <f ca="1">_xll.BDP(B36 &amp; " Corp","px_ask")</f>
        <v>#NAME?</v>
      </c>
      <c r="F36" s="336" t="e">
        <f ca="1">_xll.BDP(B36 &amp; " Corp","YLD_YTM_BID")</f>
        <v>#NAME?</v>
      </c>
      <c r="G36" s="336" t="e">
        <f ca="1">_xll.BDP(B36 &amp; " Corp","YLD_YTM_ask")</f>
        <v>#NAME?</v>
      </c>
      <c r="H36" s="336" t="e">
        <f ca="1">_xll.BDP(B36 &amp; " Corp","CPN")</f>
        <v>#NAME?</v>
      </c>
      <c r="I36" s="336" t="e">
        <f ca="1">_xll.BDP(B36&amp; " Corp","MATURITY")</f>
        <v>#NAME?</v>
      </c>
      <c r="J36" s="336" t="e">
        <f ca="1">IF(_xll.BDP(B36 &amp; " Corp","RTG_SP")="#N/A N/A","",_xll.BDP(B36 &amp; " Corp","RTG_SP"))&amp;"/"&amp;IF(_xll.BDP(B36 &amp; " Corp","RTG_fitch")="#N/A N/A","",_xll.BDP(B36 &amp; " Corp","RTG_fitch"))&amp;"/"&amp;IF(_xll.BDP(B36 &amp; " Corp","RTG_moody")="#N/A N/A","",_xll.BDP(B36 &amp; " Corp","RTG_moody"))</f>
        <v>#NAME?</v>
      </c>
      <c r="K36" s="336" t="e">
        <f ca="1">_xll.BDP($B36&amp; " Corp","INDUSTRY_SUBGROUP")</f>
        <v>#NAME?</v>
      </c>
      <c r="L36" s="336" t="e">
        <f ca="1">_xll.BDP(B36 &amp; " Corp","CRNCY")</f>
        <v>#NAME?</v>
      </c>
      <c r="M36" s="336" t="e">
        <f ca="1">_xll.BDP(B36 &amp; " Corp","CNTRY_OF_RISK")</f>
        <v>#NAME?</v>
      </c>
      <c r="N36" s="336" t="e">
        <f ca="1">_xll.BDP($B36&amp; " Corp","PAYMENT_RANK")</f>
        <v>#NAME?</v>
      </c>
      <c r="O36" s="336" t="e">
        <f ca="1">_xll.BDP($B36&amp; " Corp","MTY_TYP")</f>
        <v>#NAME?</v>
      </c>
      <c r="P36" s="336" t="e">
        <f ca="1">_xll.BDP($B36&amp; " Corp","RUSSIAN_CB_LOMBARD")</f>
        <v>#NAME?</v>
      </c>
      <c r="Q36" s="338" t="e">
        <f ca="1">_xll.BDP(B36&amp;" Corp", "INTERVAL_PERCENT_CHANGE", "END_DATE_OVERRIDE"," ", "START_DATE_OVERRIDe",R36)</f>
        <v>#NAME?</v>
      </c>
      <c r="R36" s="337">
        <v>20140716</v>
      </c>
      <c r="S36" s="336" t="e">
        <f ca="1">_xll.BDP($B36&amp; " Corp","PX_GROSS_MID")</f>
        <v>#NAME?</v>
      </c>
      <c r="T36" s="335" t="e">
        <f ca="1">_xll.BDP($B36&amp; " Corp","MIN_PIECE")</f>
        <v>#NAME?</v>
      </c>
    </row>
    <row r="37" spans="1:20" ht="15.75" x14ac:dyDescent="0.25">
      <c r="A37" s="342" t="e">
        <f ca="1">_xll.BDP(B37&amp; " Corp","name")</f>
        <v>#NAME?</v>
      </c>
      <c r="B37" s="336" t="s">
        <v>585</v>
      </c>
      <c r="C37" s="336" t="e">
        <f ca="1">_xll.BDP(B37 &amp; " Corp","MTY_YEARS_TDY")</f>
        <v>#NAME?</v>
      </c>
      <c r="D37" s="336" t="e">
        <f ca="1">_xll.BDP(B37 &amp; " Corp","px_last")</f>
        <v>#NAME?</v>
      </c>
      <c r="E37" s="336" t="e">
        <f ca="1">_xll.BDP(B37 &amp; " Corp","px_ask")</f>
        <v>#NAME?</v>
      </c>
      <c r="F37" s="336" t="e">
        <f ca="1">_xll.BDP(B37 &amp; " Corp","YLD_YTM_BID")</f>
        <v>#NAME?</v>
      </c>
      <c r="G37" s="336" t="e">
        <f ca="1">_xll.BDP(B37 &amp; " Corp","YLD_YTM_ask")</f>
        <v>#NAME?</v>
      </c>
      <c r="H37" s="336" t="e">
        <f ca="1">_xll.BDP(B37 &amp; " Corp","CPN")</f>
        <v>#NAME?</v>
      </c>
      <c r="I37" s="336" t="e">
        <f ca="1">_xll.BDP(B37&amp; " Corp","MATURITY")</f>
        <v>#NAME?</v>
      </c>
      <c r="J37" s="336" t="e">
        <f ca="1">IF(_xll.BDP(B37 &amp; " Corp","RTG_SP")="#N/A N/A","",_xll.BDP(B37 &amp; " Corp","RTG_SP"))&amp;"/"&amp;IF(_xll.BDP(B37 &amp; " Corp","RTG_fitch")="#N/A N/A","",_xll.BDP(B37 &amp; " Corp","RTG_fitch"))&amp;"/"&amp;IF(_xll.BDP(B37 &amp; " Corp","RTG_moody")="#N/A N/A","",_xll.BDP(B37 &amp; " Corp","RTG_moody"))</f>
        <v>#NAME?</v>
      </c>
      <c r="K37" s="336" t="e">
        <f ca="1">_xll.BDP($B37&amp; " Corp","INDUSTRY_SUBGROUP")</f>
        <v>#NAME?</v>
      </c>
      <c r="L37" s="336" t="e">
        <f ca="1">_xll.BDP(B37 &amp; " Corp","CRNCY")</f>
        <v>#NAME?</v>
      </c>
      <c r="M37" s="336" t="e">
        <f ca="1">_xll.BDP(B37 &amp; " Corp","CNTRY_OF_RISK")</f>
        <v>#NAME?</v>
      </c>
      <c r="N37" s="336" t="e">
        <f ca="1">_xll.BDP($B37&amp; " Corp","PAYMENT_RANK")</f>
        <v>#NAME?</v>
      </c>
      <c r="O37" s="336" t="e">
        <f ca="1">_xll.BDP($B37&amp; " Corp","MTY_TYP")</f>
        <v>#NAME?</v>
      </c>
      <c r="P37" s="336" t="e">
        <f ca="1">_xll.BDP($B37&amp; " Corp","RUSSIAN_CB_LOMBARD")</f>
        <v>#NAME?</v>
      </c>
      <c r="Q37" s="338" t="e">
        <f ca="1">_xll.BDP(B37&amp;" Corp", "INTERVAL_PERCENT_CHANGE", "END_DATE_OVERRIDE"," ", "START_DATE_OVERRIDe",R37)</f>
        <v>#NAME?</v>
      </c>
      <c r="R37" s="337">
        <v>20140716</v>
      </c>
      <c r="S37" s="336" t="e">
        <f ca="1">_xll.BDP($B37&amp; " Corp","PX_GROSS_MID")</f>
        <v>#NAME?</v>
      </c>
      <c r="T37" s="335" t="e">
        <f ca="1">_xll.BDP($B37&amp; " Corp","MIN_PIECE")</f>
        <v>#NAME?</v>
      </c>
    </row>
    <row r="38" spans="1:20" ht="15.75" x14ac:dyDescent="0.25">
      <c r="A38" s="336" t="e">
        <f ca="1">_xll.BDP(B38&amp; " Corp","name")</f>
        <v>#NAME?</v>
      </c>
      <c r="B38" s="336" t="s">
        <v>584</v>
      </c>
      <c r="C38" s="336" t="e">
        <f ca="1">_xll.BDP(B38 &amp; " Corp","MTY_YEARS_TDY")</f>
        <v>#NAME?</v>
      </c>
      <c r="D38" s="336" t="e">
        <f ca="1">_xll.BDP(B38 &amp; " Corp","px_last")</f>
        <v>#NAME?</v>
      </c>
      <c r="E38" s="336" t="e">
        <f ca="1">_xll.BDP(B38 &amp; " Corp","px_ask")</f>
        <v>#NAME?</v>
      </c>
      <c r="F38" s="336" t="e">
        <f ca="1">_xll.BDP(B38 &amp; " Corp","YLD_YTM_BID")</f>
        <v>#NAME?</v>
      </c>
      <c r="G38" s="336" t="e">
        <f ca="1">_xll.BDP(B38 &amp; " Corp","YLD_YTM_ask")</f>
        <v>#NAME?</v>
      </c>
      <c r="H38" s="336" t="e">
        <f ca="1">_xll.BDP(B38 &amp; " Corp","CPN")</f>
        <v>#NAME?</v>
      </c>
      <c r="I38" s="336" t="e">
        <f ca="1">_xll.BDP(B38&amp; " Corp","MATURITY")</f>
        <v>#NAME?</v>
      </c>
      <c r="J38" s="336" t="e">
        <f ca="1">IF(_xll.BDP(B38 &amp; " Corp","RTG_SP")="#N/A N/A","",_xll.BDP(B38 &amp; " Corp","RTG_SP"))&amp;"/"&amp;IF(_xll.BDP(B38 &amp; " Corp","RTG_fitch")="#N/A N/A","",_xll.BDP(B38 &amp; " Corp","RTG_fitch"))&amp;"/"&amp;IF(_xll.BDP(B38 &amp; " Corp","RTG_moody")="#N/A N/A","",_xll.BDP(B38 &amp; " Corp","RTG_moody"))</f>
        <v>#NAME?</v>
      </c>
      <c r="K38" s="336" t="e">
        <f ca="1">_xll.BDP($B38&amp; " Corp","INDUSTRY_SUBGROUP")</f>
        <v>#NAME?</v>
      </c>
      <c r="L38" s="336" t="e">
        <f ca="1">_xll.BDP(B38 &amp; " Corp","CRNCY")</f>
        <v>#NAME?</v>
      </c>
      <c r="M38" s="336" t="e">
        <f ca="1">_xll.BDP(B38 &amp; " Corp","CNTRY_OF_RISK")</f>
        <v>#NAME?</v>
      </c>
      <c r="N38" s="336" t="e">
        <f ca="1">_xll.BDP($B38&amp; " Corp","PAYMENT_RANK")</f>
        <v>#NAME?</v>
      </c>
      <c r="O38" s="336" t="e">
        <f ca="1">_xll.BDP($B38&amp; " Corp","MTY_TYP")</f>
        <v>#NAME?</v>
      </c>
      <c r="P38" s="336" t="e">
        <f ca="1">_xll.BDP($B38&amp; " Corp","RUSSIAN_CB_LOMBARD")</f>
        <v>#NAME?</v>
      </c>
      <c r="Q38" s="338" t="e">
        <f ca="1">_xll.BDP(B38&amp;" Corp", "INTERVAL_PERCENT_CHANGE", "END_DATE_OVERRIDE"," ", "START_DATE_OVERRIDe",R38)</f>
        <v>#NAME?</v>
      </c>
      <c r="R38" s="337">
        <v>20140716</v>
      </c>
      <c r="S38" s="336" t="e">
        <f ca="1">_xll.BDP($B38&amp; " Corp","PX_GROSS_MID")</f>
        <v>#NAME?</v>
      </c>
      <c r="T38" s="335" t="e">
        <f ca="1">_xll.BDP($B38&amp; " Corp","MIN_PIECE")</f>
        <v>#NAME?</v>
      </c>
    </row>
    <row r="39" spans="1:20" ht="15.75" x14ac:dyDescent="0.25">
      <c r="A39" s="336" t="e">
        <f ca="1">_xll.BDP(B39&amp; " Corp","name")</f>
        <v>#NAME?</v>
      </c>
      <c r="B39" s="336" t="s">
        <v>583</v>
      </c>
      <c r="C39" s="336" t="e">
        <f ca="1">_xll.BDP(B39 &amp; " Corp","MTY_YEARS_TDY")</f>
        <v>#NAME?</v>
      </c>
      <c r="D39" s="336" t="e">
        <f ca="1">_xll.BDP(B39 &amp; " Corp","px_last")</f>
        <v>#NAME?</v>
      </c>
      <c r="E39" s="336" t="e">
        <f ca="1">_xll.BDP(B39 &amp; " Corp","px_ask")</f>
        <v>#NAME?</v>
      </c>
      <c r="F39" s="336" t="e">
        <f ca="1">_xll.BDP(B39 &amp; " Corp","YLD_YTM_BID")</f>
        <v>#NAME?</v>
      </c>
      <c r="G39" s="336" t="e">
        <f ca="1">_xll.BDP(B39 &amp; " Corp","YLD_YTM_ask")</f>
        <v>#NAME?</v>
      </c>
      <c r="H39" s="336" t="e">
        <f ca="1">_xll.BDP(B39 &amp; " Corp","CPN")</f>
        <v>#NAME?</v>
      </c>
      <c r="I39" s="336" t="e">
        <f ca="1">_xll.BDP(B39&amp; " Corp","MATURITY")</f>
        <v>#NAME?</v>
      </c>
      <c r="J39" s="336" t="e">
        <f ca="1">IF(_xll.BDP(B39 &amp; " Corp","RTG_SP")="#N/A N/A","",_xll.BDP(B39 &amp; " Corp","RTG_SP"))&amp;"/"&amp;IF(_xll.BDP(B39 &amp; " Corp","RTG_fitch")="#N/A N/A","",_xll.BDP(B39 &amp; " Corp","RTG_fitch"))&amp;"/"&amp;IF(_xll.BDP(B39 &amp; " Corp","RTG_moody")="#N/A N/A","",_xll.BDP(B39 &amp; " Corp","RTG_moody"))</f>
        <v>#NAME?</v>
      </c>
      <c r="K39" s="336" t="e">
        <f ca="1">_xll.BDP($B39&amp; " Corp","INDUSTRY_SUBGROUP")</f>
        <v>#NAME?</v>
      </c>
      <c r="L39" s="336" t="e">
        <f ca="1">_xll.BDP(B39 &amp; " Corp","CRNCY")</f>
        <v>#NAME?</v>
      </c>
      <c r="M39" s="336" t="e">
        <f ca="1">_xll.BDP(B39 &amp; " Corp","CNTRY_OF_RISK")</f>
        <v>#NAME?</v>
      </c>
      <c r="N39" s="336" t="e">
        <f ca="1">_xll.BDP($B39&amp; " Corp","PAYMENT_RANK")</f>
        <v>#NAME?</v>
      </c>
      <c r="O39" s="336" t="e">
        <f ca="1">_xll.BDP($B39&amp; " Corp","MTY_TYP")</f>
        <v>#NAME?</v>
      </c>
      <c r="P39" s="336" t="e">
        <f ca="1">_xll.BDP($B39&amp; " Corp","RUSSIAN_CB_LOMBARD")</f>
        <v>#NAME?</v>
      </c>
      <c r="Q39" s="338" t="e">
        <f ca="1">_xll.BDP(B39&amp;" Corp", "INTERVAL_PERCENT_CHANGE", "END_DATE_OVERRIDE"," ", "START_DATE_OVERRIDe",R39)</f>
        <v>#NAME?</v>
      </c>
      <c r="R39" s="337">
        <v>20140716</v>
      </c>
      <c r="S39" s="336" t="e">
        <f ca="1">_xll.BDP($B39&amp; " Corp","PX_GROSS_MID")</f>
        <v>#NAME?</v>
      </c>
      <c r="T39" s="335" t="e">
        <f ca="1">_xll.BDP($B39&amp; " Corp","MIN_PIECE")</f>
        <v>#NAME?</v>
      </c>
    </row>
    <row r="40" spans="1:20" ht="15.75" x14ac:dyDescent="0.25">
      <c r="A40" s="342" t="e">
        <f ca="1">_xll.BDP(B40&amp; " Corp","name")</f>
        <v>#NAME?</v>
      </c>
      <c r="B40" s="339" t="s">
        <v>582</v>
      </c>
      <c r="C40" s="336" t="e">
        <f ca="1">_xll.BDP(B40 &amp; " Corp","MTY_YEARS_TDY")</f>
        <v>#NAME?</v>
      </c>
      <c r="D40" s="336" t="e">
        <f ca="1">_xll.BDP(B40 &amp; " Corp","px_last")</f>
        <v>#NAME?</v>
      </c>
      <c r="E40" s="336" t="e">
        <f ca="1">_xll.BDP(B40 &amp; " Corp","px_ask")</f>
        <v>#NAME?</v>
      </c>
      <c r="F40" s="336" t="e">
        <f ca="1">_xll.BDP(B40 &amp; " Corp","YLD_YTM_BID")</f>
        <v>#NAME?</v>
      </c>
      <c r="G40" s="336" t="e">
        <f ca="1">_xll.BDP(B40 &amp; " Corp","YLD_YTM_ask")</f>
        <v>#NAME?</v>
      </c>
      <c r="H40" s="336" t="e">
        <f ca="1">_xll.BDP(B40 &amp; " Corp","CPN")</f>
        <v>#NAME?</v>
      </c>
      <c r="I40" s="336" t="e">
        <f ca="1">_xll.BDP(B40&amp; " Corp","MATURITY")</f>
        <v>#NAME?</v>
      </c>
      <c r="J40" s="336" t="e">
        <f ca="1">IF(_xll.BDP(B40 &amp; " Corp","RTG_SP")="#N/A N/A","",_xll.BDP(B40 &amp; " Corp","RTG_SP"))&amp;"/"&amp;IF(_xll.BDP(B40 &amp; " Corp","RTG_fitch")="#N/A N/A","",_xll.BDP(B40 &amp; " Corp","RTG_fitch"))&amp;"/"&amp;IF(_xll.BDP(B40 &amp; " Corp","RTG_moody")="#N/A N/A","",_xll.BDP(B40 &amp; " Corp","RTG_moody"))</f>
        <v>#NAME?</v>
      </c>
      <c r="K40" s="336" t="e">
        <f ca="1">_xll.BDP($B40&amp; " Corp","INDUSTRY_SUBGROUP")</f>
        <v>#NAME?</v>
      </c>
      <c r="L40" s="336" t="e">
        <f ca="1">_xll.BDP(B40 &amp; " Corp","CRNCY")</f>
        <v>#NAME?</v>
      </c>
      <c r="M40" s="336" t="e">
        <f ca="1">_xll.BDP(B40 &amp; " Corp","CNTRY_OF_RISK")</f>
        <v>#NAME?</v>
      </c>
      <c r="N40" s="336" t="e">
        <f ca="1">_xll.BDP($B40&amp; " Corp","PAYMENT_RANK")</f>
        <v>#NAME?</v>
      </c>
      <c r="O40" s="336" t="e">
        <f ca="1">_xll.BDP($B40&amp; " Corp","MTY_TYP")</f>
        <v>#NAME?</v>
      </c>
      <c r="P40" s="336" t="e">
        <f ca="1">_xll.BDP($B40&amp; " Corp","RUSSIAN_CB_LOMBARD")</f>
        <v>#NAME?</v>
      </c>
      <c r="Q40" s="338" t="e">
        <f ca="1">_xll.BDP(B40&amp;" Corp", "INTERVAL_PERCENT_CHANGE", "END_DATE_OVERRIDE"," ", "START_DATE_OVERRIDe",R40)</f>
        <v>#NAME?</v>
      </c>
      <c r="R40" s="337">
        <v>20140716</v>
      </c>
      <c r="S40" s="336" t="e">
        <f ca="1">_xll.BDP($B40&amp; " Corp","PX_GROSS_MID")</f>
        <v>#NAME?</v>
      </c>
      <c r="T40" s="335" t="e">
        <f ca="1">_xll.BDP($B40&amp; " Corp","MIN_PIECE")</f>
        <v>#NAME?</v>
      </c>
    </row>
    <row r="41" spans="1:20" ht="15.75" x14ac:dyDescent="0.25">
      <c r="A41" s="342" t="e">
        <f ca="1">_xll.BDP(B41&amp; " Corp","name")</f>
        <v>#NAME?</v>
      </c>
      <c r="B41" s="336" t="s">
        <v>581</v>
      </c>
      <c r="C41" s="336" t="e">
        <f ca="1">_xll.BDP(B41 &amp; " Corp","MTY_YEARS_TDY")</f>
        <v>#NAME?</v>
      </c>
      <c r="D41" s="336" t="e">
        <f ca="1">_xll.BDP(B41 &amp; " Corp","px_last")</f>
        <v>#NAME?</v>
      </c>
      <c r="E41" s="336" t="e">
        <f ca="1">_xll.BDP(B41 &amp; " Corp","px_ask")</f>
        <v>#NAME?</v>
      </c>
      <c r="F41" s="336" t="e">
        <f ca="1">_xll.BDP(B41 &amp; " Corp","YLD_YTM_BID")</f>
        <v>#NAME?</v>
      </c>
      <c r="G41" s="336" t="e">
        <f ca="1">_xll.BDP(B41 &amp; " Corp","YLD_YTM_ask")</f>
        <v>#NAME?</v>
      </c>
      <c r="H41" s="336" t="e">
        <f ca="1">_xll.BDP(B41 &amp; " Corp","CPN")</f>
        <v>#NAME?</v>
      </c>
      <c r="I41" s="336" t="e">
        <f ca="1">_xll.BDP(B41&amp; " Corp","MATURITY")</f>
        <v>#NAME?</v>
      </c>
      <c r="J41" s="336" t="e">
        <f ca="1">IF(_xll.BDP(B41 &amp; " Corp","RTG_SP")="#N/A N/A","",_xll.BDP(B41 &amp; " Corp","RTG_SP"))&amp;"/"&amp;IF(_xll.BDP(B41 &amp; " Corp","RTG_fitch")="#N/A N/A","",_xll.BDP(B41 &amp; " Corp","RTG_fitch"))&amp;"/"&amp;IF(_xll.BDP(B41 &amp; " Corp","RTG_moody")="#N/A N/A","",_xll.BDP(B41 &amp; " Corp","RTG_moody"))</f>
        <v>#NAME?</v>
      </c>
      <c r="K41" s="336" t="e">
        <f ca="1">_xll.BDP($B41&amp; " Corp","INDUSTRY_SUBGROUP")</f>
        <v>#NAME?</v>
      </c>
      <c r="L41" s="336" t="e">
        <f ca="1">_xll.BDP(B41 &amp; " Corp","CRNCY")</f>
        <v>#NAME?</v>
      </c>
      <c r="M41" s="336" t="e">
        <f ca="1">_xll.BDP(B41 &amp; " Corp","CNTRY_OF_RISK")</f>
        <v>#NAME?</v>
      </c>
      <c r="N41" s="336" t="e">
        <f ca="1">_xll.BDP($B41&amp; " Corp","PAYMENT_RANK")</f>
        <v>#NAME?</v>
      </c>
      <c r="O41" s="336" t="e">
        <f ca="1">_xll.BDP($B41&amp; " Corp","MTY_TYP")</f>
        <v>#NAME?</v>
      </c>
      <c r="P41" s="336" t="e">
        <f ca="1">_xll.BDP($B41&amp; " Corp","RUSSIAN_CB_LOMBARD")</f>
        <v>#NAME?</v>
      </c>
      <c r="Q41" s="338" t="e">
        <f ca="1">_xll.BDP(B41&amp;" Corp", "INTERVAL_PERCENT_CHANGE", "END_DATE_OVERRIDE"," ", "START_DATE_OVERRIDe",R41)</f>
        <v>#NAME?</v>
      </c>
      <c r="R41" s="337">
        <v>20140716</v>
      </c>
      <c r="S41" s="336" t="e">
        <f ca="1">_xll.BDP($B41&amp; " Corp","PX_GROSS_MID")</f>
        <v>#NAME?</v>
      </c>
      <c r="T41" s="335" t="e">
        <f ca="1">_xll.BDP($B41&amp; " Corp","MIN_PIECE")</f>
        <v>#NAME?</v>
      </c>
    </row>
    <row r="42" spans="1:20" ht="15.75" x14ac:dyDescent="0.25">
      <c r="A42" s="336" t="e">
        <f ca="1">_xll.BDP(B42&amp; " Corp","name")</f>
        <v>#NAME?</v>
      </c>
      <c r="B42" s="339" t="s">
        <v>580</v>
      </c>
      <c r="C42" s="336" t="e">
        <f ca="1">_xll.BDP(B42 &amp; " Corp","MTY_YEARS_TDY")</f>
        <v>#NAME?</v>
      </c>
      <c r="D42" s="336" t="e">
        <f ca="1">_xll.BDP(B42 &amp; " Corp","px_last")</f>
        <v>#NAME?</v>
      </c>
      <c r="E42" s="336" t="e">
        <f ca="1">_xll.BDP(B42 &amp; " Corp","px_ask")</f>
        <v>#NAME?</v>
      </c>
      <c r="F42" s="336" t="e">
        <f ca="1">_xll.BDP(B42 &amp; " Corp","YLD_YTM_BID")</f>
        <v>#NAME?</v>
      </c>
      <c r="G42" s="336" t="e">
        <f ca="1">_xll.BDP(B42 &amp; " Corp","YLD_YTM_ask")</f>
        <v>#NAME?</v>
      </c>
      <c r="H42" s="336" t="e">
        <f ca="1">_xll.BDP(B42 &amp; " Corp","CPN")</f>
        <v>#NAME?</v>
      </c>
      <c r="I42" s="336" t="e">
        <f ca="1">_xll.BDP(B42&amp; " Corp","MATURITY")</f>
        <v>#NAME?</v>
      </c>
      <c r="J42" s="336" t="e">
        <f ca="1">IF(_xll.BDP(B42 &amp; " Corp","RTG_SP")="#N/A N/A","",_xll.BDP(B42 &amp; " Corp","RTG_SP"))&amp;"/"&amp;IF(_xll.BDP(B42 &amp; " Corp","RTG_fitch")="#N/A N/A","",_xll.BDP(B42 &amp; " Corp","RTG_fitch"))&amp;"/"&amp;IF(_xll.BDP(B42 &amp; " Corp","RTG_moody")="#N/A N/A","",_xll.BDP(B42 &amp; " Corp","RTG_moody"))</f>
        <v>#NAME?</v>
      </c>
      <c r="K42" s="336" t="e">
        <f ca="1">_xll.BDP($B42&amp; " Corp","INDUSTRY_SUBGROUP")</f>
        <v>#NAME?</v>
      </c>
      <c r="L42" s="336" t="e">
        <f ca="1">_xll.BDP(B42 &amp; " Corp","CRNCY")</f>
        <v>#NAME?</v>
      </c>
      <c r="M42" s="336" t="e">
        <f ca="1">_xll.BDP(B42 &amp; " Corp","CNTRY_OF_RISK")</f>
        <v>#NAME?</v>
      </c>
      <c r="N42" s="336" t="e">
        <f ca="1">_xll.BDP($B42&amp; " Corp","PAYMENT_RANK")</f>
        <v>#NAME?</v>
      </c>
      <c r="O42" s="336" t="e">
        <f ca="1">_xll.BDP($B42&amp; " Corp","MTY_TYP")</f>
        <v>#NAME?</v>
      </c>
      <c r="P42" s="336" t="e">
        <f ca="1">_xll.BDP($B42&amp; " Corp","RUSSIAN_CB_LOMBARD")</f>
        <v>#NAME?</v>
      </c>
      <c r="Q42" s="338" t="e">
        <f ca="1">_xll.BDP(B42&amp;" Corp", "INTERVAL_PERCENT_CHANGE", "END_DATE_OVERRIDE"," ", "START_DATE_OVERRIDe",R42)</f>
        <v>#NAME?</v>
      </c>
      <c r="R42" s="337">
        <v>20140716</v>
      </c>
      <c r="S42" s="336" t="e">
        <f ca="1">_xll.BDP($B42&amp; " Corp","PX_GROSS_MID")</f>
        <v>#NAME?</v>
      </c>
      <c r="T42" s="335" t="e">
        <f ca="1">_xll.BDP($B42&amp; " Corp","MIN_PIECE")</f>
        <v>#NAME?</v>
      </c>
    </row>
    <row r="43" spans="1:20" ht="15.75" x14ac:dyDescent="0.25">
      <c r="A43" s="342" t="e">
        <f ca="1">_xll.BDP(B43&amp; " Corp","name")</f>
        <v>#NAME?</v>
      </c>
      <c r="B43" s="336" t="s">
        <v>579</v>
      </c>
      <c r="C43" s="336" t="e">
        <f ca="1">_xll.BDP(B43 &amp; " Corp","MTY_YEARS_TDY")</f>
        <v>#NAME?</v>
      </c>
      <c r="D43" s="336" t="e">
        <f ca="1">_xll.BDP(B43 &amp; " Corp","px_last")</f>
        <v>#NAME?</v>
      </c>
      <c r="E43" s="336" t="e">
        <f ca="1">_xll.BDP(B43 &amp; " Corp","px_ask")</f>
        <v>#NAME?</v>
      </c>
      <c r="F43" s="336" t="e">
        <f ca="1">_xll.BDP(B43 &amp; " Corp","YLD_YTM_BID")</f>
        <v>#NAME?</v>
      </c>
      <c r="G43" s="336" t="e">
        <f ca="1">_xll.BDP(B43 &amp; " Corp","YLD_YTM_ask")</f>
        <v>#NAME?</v>
      </c>
      <c r="H43" s="336" t="e">
        <f ca="1">_xll.BDP(B43 &amp; " Corp","CPN")</f>
        <v>#NAME?</v>
      </c>
      <c r="I43" s="336" t="e">
        <f ca="1">_xll.BDP(B43&amp; " Corp","MATURITY")</f>
        <v>#NAME?</v>
      </c>
      <c r="J43" s="336" t="e">
        <f ca="1">IF(_xll.BDP(B43 &amp; " Corp","RTG_SP")="#N/A N/A","",_xll.BDP(B43 &amp; " Corp","RTG_SP"))&amp;"/"&amp;IF(_xll.BDP(B43 &amp; " Corp","RTG_fitch")="#N/A N/A","",_xll.BDP(B43 &amp; " Corp","RTG_fitch"))&amp;"/"&amp;IF(_xll.BDP(B43 &amp; " Corp","RTG_moody")="#N/A N/A","",_xll.BDP(B43 &amp; " Corp","RTG_moody"))</f>
        <v>#NAME?</v>
      </c>
      <c r="K43" s="336" t="e">
        <f ca="1">_xll.BDP($B43&amp; " Corp","INDUSTRY_SUBGROUP")</f>
        <v>#NAME?</v>
      </c>
      <c r="L43" s="336" t="e">
        <f ca="1">_xll.BDP(B43 &amp; " Corp","CRNCY")</f>
        <v>#NAME?</v>
      </c>
      <c r="M43" s="336" t="e">
        <f ca="1">_xll.BDP(B43 &amp; " Corp","CNTRY_OF_RISK")</f>
        <v>#NAME?</v>
      </c>
      <c r="N43" s="336" t="e">
        <f ca="1">_xll.BDP($B43&amp; " Corp","PAYMENT_RANK")</f>
        <v>#NAME?</v>
      </c>
      <c r="O43" s="336" t="e">
        <f ca="1">_xll.BDP($B43&amp; " Corp","MTY_TYP")</f>
        <v>#NAME?</v>
      </c>
      <c r="P43" s="336" t="e">
        <f ca="1">_xll.BDP($B43&amp; " Corp","RUSSIAN_CB_LOMBARD")</f>
        <v>#NAME?</v>
      </c>
      <c r="Q43" s="338" t="e">
        <f ca="1">_xll.BDP(B43&amp;" Corp", "INTERVAL_PERCENT_CHANGE", "END_DATE_OVERRIDE"," ", "START_DATE_OVERRIDe",R43)</f>
        <v>#NAME?</v>
      </c>
      <c r="R43" s="337">
        <v>20140716</v>
      </c>
      <c r="S43" s="336" t="e">
        <f ca="1">_xll.BDP($B43&amp; " Corp","PX_GROSS_MID")</f>
        <v>#NAME?</v>
      </c>
      <c r="T43" s="335" t="e">
        <f ca="1">_xll.BDP($B43&amp; " Corp","MIN_PIECE")</f>
        <v>#NAME?</v>
      </c>
    </row>
    <row r="44" spans="1:20" ht="15.75" x14ac:dyDescent="0.25">
      <c r="A44" s="342" t="e">
        <f ca="1">_xll.BDP(B44&amp; " Corp","name")</f>
        <v>#NAME?</v>
      </c>
      <c r="B44" s="336" t="s">
        <v>578</v>
      </c>
      <c r="C44" s="336" t="e">
        <f ca="1">_xll.BDP(B44 &amp; " Corp","MTY_YEARS_TDY")</f>
        <v>#NAME?</v>
      </c>
      <c r="D44" s="336" t="e">
        <f ca="1">_xll.BDP(B44 &amp; " Corp","px_last")</f>
        <v>#NAME?</v>
      </c>
      <c r="E44" s="336" t="e">
        <f ca="1">_xll.BDP(B44 &amp; " Corp","px_ask")</f>
        <v>#NAME?</v>
      </c>
      <c r="F44" s="336" t="e">
        <f ca="1">_xll.BDP(B44 &amp; " Corp","YLD_YTM_BID")</f>
        <v>#NAME?</v>
      </c>
      <c r="G44" s="336" t="e">
        <f ca="1">_xll.BDP(B44 &amp; " Corp","YLD_YTM_ask")</f>
        <v>#NAME?</v>
      </c>
      <c r="H44" s="336" t="e">
        <f ca="1">_xll.BDP(B44 &amp; " Corp","CPN")</f>
        <v>#NAME?</v>
      </c>
      <c r="I44" s="336" t="e">
        <f ca="1">_xll.BDP(B44&amp; " Corp","MATURITY")</f>
        <v>#NAME?</v>
      </c>
      <c r="J44" s="336" t="e">
        <f ca="1">IF(_xll.BDP(B44 &amp; " Corp","RTG_SP")="#N/A N/A","",_xll.BDP(B44 &amp; " Corp","RTG_SP"))&amp;"/"&amp;IF(_xll.BDP(B44 &amp; " Corp","RTG_fitch")="#N/A N/A","",_xll.BDP(B44 &amp; " Corp","RTG_fitch"))&amp;"/"&amp;IF(_xll.BDP(B44 &amp; " Corp","RTG_moody")="#N/A N/A","",_xll.BDP(B44 &amp; " Corp","RTG_moody"))</f>
        <v>#NAME?</v>
      </c>
      <c r="K44" s="336" t="e">
        <f ca="1">_xll.BDP($B44&amp; " Corp","INDUSTRY_SUBGROUP")</f>
        <v>#NAME?</v>
      </c>
      <c r="L44" s="336" t="e">
        <f ca="1">_xll.BDP(B44 &amp; " Corp","CRNCY")</f>
        <v>#NAME?</v>
      </c>
      <c r="M44" s="336" t="e">
        <f ca="1">_xll.BDP(B44 &amp; " Corp","CNTRY_OF_RISK")</f>
        <v>#NAME?</v>
      </c>
      <c r="N44" s="336" t="e">
        <f ca="1">_xll.BDP($B44&amp; " Corp","PAYMENT_RANK")</f>
        <v>#NAME?</v>
      </c>
      <c r="O44" s="336" t="e">
        <f ca="1">_xll.BDP($B44&amp; " Corp","MTY_TYP")</f>
        <v>#NAME?</v>
      </c>
      <c r="P44" s="336" t="e">
        <f ca="1">_xll.BDP($B44&amp; " Corp","RUSSIAN_CB_LOMBARD")</f>
        <v>#NAME?</v>
      </c>
      <c r="Q44" s="338" t="e">
        <f ca="1">_xll.BDP(B44&amp;" Corp", "INTERVAL_PERCENT_CHANGE", "END_DATE_OVERRIDE"," ", "START_DATE_OVERRIDe",R44)</f>
        <v>#NAME?</v>
      </c>
      <c r="R44" s="337">
        <v>20140716</v>
      </c>
      <c r="S44" s="336" t="e">
        <f ca="1">_xll.BDP($B44&amp; " Corp","PX_GROSS_MID")</f>
        <v>#NAME?</v>
      </c>
      <c r="T44" s="335" t="e">
        <f ca="1">_xll.BDP($B44&amp; " Corp","MIN_PIECE")</f>
        <v>#NAME?</v>
      </c>
    </row>
    <row r="45" spans="1:20" ht="15.75" x14ac:dyDescent="0.25">
      <c r="A45" s="336" t="e">
        <f ca="1">_xll.BDP(B45&amp; " Corp","name")</f>
        <v>#NAME?</v>
      </c>
      <c r="B45" s="336" t="s">
        <v>577</v>
      </c>
      <c r="C45" s="336" t="e">
        <f ca="1">_xll.BDP(B45 &amp; " Corp","MTY_YEARS_TDY")</f>
        <v>#NAME?</v>
      </c>
      <c r="D45" s="336" t="e">
        <f ca="1">_xll.BDP(B45 &amp; " Corp","px_last")</f>
        <v>#NAME?</v>
      </c>
      <c r="E45" s="336" t="e">
        <f ca="1">_xll.BDP(B45 &amp; " Corp","px_ask")</f>
        <v>#NAME?</v>
      </c>
      <c r="F45" s="336" t="e">
        <f ca="1">_xll.BDP(B45 &amp; " Corp","YLD_YTM_BID")</f>
        <v>#NAME?</v>
      </c>
      <c r="G45" s="336" t="e">
        <f ca="1">_xll.BDP(B45 &amp; " Corp","YLD_YTM_ask")</f>
        <v>#NAME?</v>
      </c>
      <c r="H45" s="336" t="e">
        <f ca="1">_xll.BDP(B45 &amp; " Corp","CPN")</f>
        <v>#NAME?</v>
      </c>
      <c r="I45" s="336" t="e">
        <f ca="1">_xll.BDP(B45&amp; " Corp","MATURITY")</f>
        <v>#NAME?</v>
      </c>
      <c r="J45" s="336" t="e">
        <f ca="1">IF(_xll.BDP(B45 &amp; " Corp","RTG_SP")="#N/A N/A","",_xll.BDP(B45 &amp; " Corp","RTG_SP"))&amp;"/"&amp;IF(_xll.BDP(B45 &amp; " Corp","RTG_fitch")="#N/A N/A","",_xll.BDP(B45 &amp; " Corp","RTG_fitch"))&amp;"/"&amp;IF(_xll.BDP(B45 &amp; " Corp","RTG_moody")="#N/A N/A","",_xll.BDP(B45 &amp; " Corp","RTG_moody"))</f>
        <v>#NAME?</v>
      </c>
      <c r="K45" s="336" t="e">
        <f ca="1">_xll.BDP($B45&amp; " Corp","INDUSTRY_SUBGROUP")</f>
        <v>#NAME?</v>
      </c>
      <c r="L45" s="336" t="e">
        <f ca="1">_xll.BDP(B45 &amp; " Corp","CRNCY")</f>
        <v>#NAME?</v>
      </c>
      <c r="M45" s="336" t="e">
        <f ca="1">_xll.BDP(B45 &amp; " Corp","CNTRY_OF_RISK")</f>
        <v>#NAME?</v>
      </c>
      <c r="N45" s="336" t="e">
        <f ca="1">_xll.BDP($B45&amp; " Corp","PAYMENT_RANK")</f>
        <v>#NAME?</v>
      </c>
      <c r="O45" s="336" t="e">
        <f ca="1">_xll.BDP($B45&amp; " Corp","MTY_TYP")</f>
        <v>#NAME?</v>
      </c>
      <c r="P45" s="336" t="e">
        <f ca="1">_xll.BDP($B45&amp; " Corp","RUSSIAN_CB_LOMBARD")</f>
        <v>#NAME?</v>
      </c>
      <c r="Q45" s="338" t="e">
        <f ca="1">_xll.BDP(B45&amp;" Corp", "INTERVAL_PERCENT_CHANGE", "END_DATE_OVERRIDE"," ", "START_DATE_OVERRIDe",R45)</f>
        <v>#NAME?</v>
      </c>
      <c r="R45" s="337">
        <v>20140716</v>
      </c>
      <c r="S45" s="336" t="e">
        <f ca="1">_xll.BDP($B45&amp; " Corp","PX_GROSS_MID")</f>
        <v>#NAME?</v>
      </c>
      <c r="T45" s="335" t="e">
        <f ca="1">_xll.BDP($B45&amp; " Corp","MIN_PIECE")</f>
        <v>#NAME?</v>
      </c>
    </row>
    <row r="46" spans="1:20" ht="15.75" x14ac:dyDescent="0.25">
      <c r="A46" s="336" t="e">
        <f ca="1">_xll.BDP(B46&amp; " Corp","name")</f>
        <v>#NAME?</v>
      </c>
      <c r="B46" s="336" t="s">
        <v>576</v>
      </c>
      <c r="C46" s="336" t="e">
        <f ca="1">_xll.BDP(B46 &amp; " Corp","MTY_YEARS_TDY")</f>
        <v>#NAME?</v>
      </c>
      <c r="D46" s="336" t="e">
        <f ca="1">_xll.BDP(B46 &amp; " Corp","px_last")</f>
        <v>#NAME?</v>
      </c>
      <c r="E46" s="336" t="e">
        <f ca="1">_xll.BDP(B46 &amp; " Corp","px_ask")</f>
        <v>#NAME?</v>
      </c>
      <c r="F46" s="336" t="e">
        <f ca="1">_xll.BDP(B46 &amp; " Corp","YLD_YTM_BID")</f>
        <v>#NAME?</v>
      </c>
      <c r="G46" s="336" t="e">
        <f ca="1">_xll.BDP(B46 &amp; " Corp","YLD_YTM_ask")</f>
        <v>#NAME?</v>
      </c>
      <c r="H46" s="336" t="e">
        <f ca="1">_xll.BDP(B46 &amp; " Corp","CPN")</f>
        <v>#NAME?</v>
      </c>
      <c r="I46" s="336" t="e">
        <f ca="1">_xll.BDP(B46&amp; " Corp","MATURITY")</f>
        <v>#NAME?</v>
      </c>
      <c r="J46" s="336" t="e">
        <f ca="1">IF(_xll.BDP(B46 &amp; " Corp","RTG_SP")="#N/A N/A","",_xll.BDP(B46 &amp; " Corp","RTG_SP"))&amp;"/"&amp;IF(_xll.BDP(B46 &amp; " Corp","RTG_fitch")="#N/A N/A","",_xll.BDP(B46 &amp; " Corp","RTG_fitch"))&amp;"/"&amp;IF(_xll.BDP(B46 &amp; " Corp","RTG_moody")="#N/A N/A","",_xll.BDP(B46 &amp; " Corp","RTG_moody"))</f>
        <v>#NAME?</v>
      </c>
      <c r="K46" s="336" t="e">
        <f ca="1">_xll.BDP($B46&amp; " Corp","INDUSTRY_SUBGROUP")</f>
        <v>#NAME?</v>
      </c>
      <c r="L46" s="336" t="e">
        <f ca="1">_xll.BDP(B46 &amp; " Corp","CRNCY")</f>
        <v>#NAME?</v>
      </c>
      <c r="M46" s="336" t="e">
        <f ca="1">_xll.BDP(B46 &amp; " Corp","CNTRY_OF_RISK")</f>
        <v>#NAME?</v>
      </c>
      <c r="N46" s="336" t="e">
        <f ca="1">_xll.BDP($B46&amp; " Corp","PAYMENT_RANK")</f>
        <v>#NAME?</v>
      </c>
      <c r="O46" s="336" t="e">
        <f ca="1">_xll.BDP($B46&amp; " Corp","MTY_TYP")</f>
        <v>#NAME?</v>
      </c>
      <c r="P46" s="336" t="e">
        <f ca="1">_xll.BDP($B46&amp; " Corp","RUSSIAN_CB_LOMBARD")</f>
        <v>#NAME?</v>
      </c>
      <c r="Q46" s="338" t="e">
        <f ca="1">_xll.BDP(B46&amp;" Corp", "INTERVAL_PERCENT_CHANGE", "END_DATE_OVERRIDE"," ", "START_DATE_OVERRIDe",R46)</f>
        <v>#NAME?</v>
      </c>
      <c r="R46" s="337">
        <v>20140716</v>
      </c>
      <c r="S46" s="336" t="e">
        <f ca="1">_xll.BDP($B46&amp; " Corp","PX_GROSS_MID")</f>
        <v>#NAME?</v>
      </c>
      <c r="T46" s="335" t="e">
        <f ca="1">_xll.BDP($B46&amp; " Corp","MIN_PIECE")</f>
        <v>#NAME?</v>
      </c>
    </row>
    <row r="47" spans="1:20" ht="15.75" x14ac:dyDescent="0.25">
      <c r="A47" s="336" t="e">
        <f ca="1">_xll.BDP(B47&amp; " Corp","name")</f>
        <v>#NAME?</v>
      </c>
      <c r="B47" s="336" t="s">
        <v>575</v>
      </c>
      <c r="C47" s="336" t="e">
        <f ca="1">_xll.BDP(B47 &amp; " Corp","MTY_YEARS_TDY")</f>
        <v>#NAME?</v>
      </c>
      <c r="D47" s="336" t="e">
        <f ca="1">_xll.BDP(B47 &amp; " Corp","px_last")</f>
        <v>#NAME?</v>
      </c>
      <c r="E47" s="336" t="e">
        <f ca="1">_xll.BDP(B47 &amp; " Corp","px_ask")</f>
        <v>#NAME?</v>
      </c>
      <c r="F47" s="336" t="e">
        <f ca="1">_xll.BDP(B47 &amp; " Corp","YLD_YTM_BID")</f>
        <v>#NAME?</v>
      </c>
      <c r="G47" s="336" t="e">
        <f ca="1">_xll.BDP(B47 &amp; " Corp","YLD_YTM_ask")</f>
        <v>#NAME?</v>
      </c>
      <c r="H47" s="336" t="e">
        <f ca="1">_xll.BDP(B47 &amp; " Corp","CPN")</f>
        <v>#NAME?</v>
      </c>
      <c r="I47" s="336" t="e">
        <f ca="1">_xll.BDP(B47&amp; " Corp","MATURITY")</f>
        <v>#NAME?</v>
      </c>
      <c r="J47" s="336" t="e">
        <f ca="1">IF(_xll.BDP(B47 &amp; " Corp","RTG_SP")="#N/A N/A","",_xll.BDP(B47 &amp; " Corp","RTG_SP"))&amp;"/"&amp;IF(_xll.BDP(B47 &amp; " Corp","RTG_fitch")="#N/A N/A","",_xll.BDP(B47 &amp; " Corp","RTG_fitch"))&amp;"/"&amp;IF(_xll.BDP(B47 &amp; " Corp","RTG_moody")="#N/A N/A","",_xll.BDP(B47 &amp; " Corp","RTG_moody"))</f>
        <v>#NAME?</v>
      </c>
      <c r="K47" s="336" t="e">
        <f ca="1">_xll.BDP($B47&amp; " Corp","INDUSTRY_SUBGROUP")</f>
        <v>#NAME?</v>
      </c>
      <c r="L47" s="336" t="e">
        <f ca="1">_xll.BDP(B47 &amp; " Corp","CRNCY")</f>
        <v>#NAME?</v>
      </c>
      <c r="M47" s="336" t="e">
        <f ca="1">_xll.BDP(B47 &amp; " Corp","CNTRY_OF_RISK")</f>
        <v>#NAME?</v>
      </c>
      <c r="N47" s="336" t="e">
        <f ca="1">_xll.BDP($B47&amp; " Corp","PAYMENT_RANK")</f>
        <v>#NAME?</v>
      </c>
      <c r="O47" s="336" t="e">
        <f ca="1">_xll.BDP($B47&amp; " Corp","MTY_TYP")</f>
        <v>#NAME?</v>
      </c>
      <c r="P47" s="336" t="e">
        <f ca="1">_xll.BDP($B47&amp; " Corp","RUSSIAN_CB_LOMBARD")</f>
        <v>#NAME?</v>
      </c>
      <c r="Q47" s="338" t="e">
        <f ca="1">_xll.BDP(B47&amp;" Corp", "INTERVAL_PERCENT_CHANGE", "END_DATE_OVERRIDE"," ", "START_DATE_OVERRIDe",R47)</f>
        <v>#NAME?</v>
      </c>
      <c r="R47" s="337">
        <v>20140716</v>
      </c>
      <c r="S47" s="336" t="e">
        <f ca="1">_xll.BDP($B47&amp; " Corp","PX_GROSS_MID")</f>
        <v>#NAME?</v>
      </c>
      <c r="T47" s="335" t="e">
        <f ca="1">_xll.BDP($B47&amp; " Corp","MIN_PIECE")</f>
        <v>#NAME?</v>
      </c>
    </row>
    <row r="48" spans="1:20" ht="15.75" x14ac:dyDescent="0.25">
      <c r="A48" s="336" t="e">
        <f ca="1">_xll.BDP(B48&amp; " Corp","name")</f>
        <v>#NAME?</v>
      </c>
      <c r="B48" s="336" t="s">
        <v>574</v>
      </c>
      <c r="C48" s="336" t="e">
        <f ca="1">_xll.BDP(B48 &amp; " Corp","MTY_YEARS_TDY")</f>
        <v>#NAME?</v>
      </c>
      <c r="D48" s="336" t="e">
        <f ca="1">_xll.BDP(B48 &amp; " Corp","px_last")</f>
        <v>#NAME?</v>
      </c>
      <c r="E48" s="336" t="e">
        <f ca="1">_xll.BDP(B48 &amp; " Corp","px_ask")</f>
        <v>#NAME?</v>
      </c>
      <c r="F48" s="336" t="e">
        <f ca="1">_xll.BDP(B48 &amp; " Corp","YLD_YTM_BID")</f>
        <v>#NAME?</v>
      </c>
      <c r="G48" s="336" t="e">
        <f ca="1">_xll.BDP(B48 &amp; " Corp","YLD_YTM_ask")</f>
        <v>#NAME?</v>
      </c>
      <c r="H48" s="336" t="e">
        <f ca="1">_xll.BDP(B48 &amp; " Corp","CPN")</f>
        <v>#NAME?</v>
      </c>
      <c r="I48" s="336" t="e">
        <f ca="1">_xll.BDP(B48&amp; " Corp","MATURITY")</f>
        <v>#NAME?</v>
      </c>
      <c r="J48" s="336" t="e">
        <f ca="1">IF(_xll.BDP(B48 &amp; " Corp","RTG_SP")="#N/A N/A","",_xll.BDP(B48 &amp; " Corp","RTG_SP"))&amp;"/"&amp;IF(_xll.BDP(B48 &amp; " Corp","RTG_fitch")="#N/A N/A","",_xll.BDP(B48 &amp; " Corp","RTG_fitch"))&amp;"/"&amp;IF(_xll.BDP(B48 &amp; " Corp","RTG_moody")="#N/A N/A","",_xll.BDP(B48 &amp; " Corp","RTG_moody"))</f>
        <v>#NAME?</v>
      </c>
      <c r="K48" s="336" t="e">
        <f ca="1">_xll.BDP($B48&amp; " Corp","INDUSTRY_SUBGROUP")</f>
        <v>#NAME?</v>
      </c>
      <c r="L48" s="336" t="e">
        <f ca="1">_xll.BDP(B48 &amp; " Corp","CRNCY")</f>
        <v>#NAME?</v>
      </c>
      <c r="M48" s="336" t="e">
        <f ca="1">_xll.BDP(B48 &amp; " Corp","CNTRY_OF_RISK")</f>
        <v>#NAME?</v>
      </c>
      <c r="N48" s="336" t="e">
        <f ca="1">_xll.BDP($B48&amp; " Corp","PAYMENT_RANK")</f>
        <v>#NAME?</v>
      </c>
      <c r="O48" s="336" t="e">
        <f ca="1">_xll.BDP($B48&amp; " Corp","MTY_TYP")</f>
        <v>#NAME?</v>
      </c>
      <c r="P48" s="336" t="e">
        <f ca="1">_xll.BDP($B48&amp; " Corp","RUSSIAN_CB_LOMBARD")</f>
        <v>#NAME?</v>
      </c>
      <c r="Q48" s="338" t="e">
        <f ca="1">_xll.BDP(B48&amp;" Corp", "INTERVAL_PERCENT_CHANGE", "END_DATE_OVERRIDE"," ", "START_DATE_OVERRIDe",R48)</f>
        <v>#NAME?</v>
      </c>
      <c r="R48" s="337">
        <v>20140716</v>
      </c>
      <c r="S48" s="336" t="e">
        <f ca="1">_xll.BDP($B48&amp; " Corp","PX_GROSS_MID")</f>
        <v>#NAME?</v>
      </c>
      <c r="T48" s="335" t="e">
        <f ca="1">_xll.BDP($B48&amp; " Corp","MIN_PIECE")</f>
        <v>#NAME?</v>
      </c>
    </row>
    <row r="49" spans="1:20" ht="15.75" x14ac:dyDescent="0.25">
      <c r="A49" s="336" t="e">
        <f ca="1">_xll.BDP(B49&amp; " Corp","name")</f>
        <v>#NAME?</v>
      </c>
      <c r="B49" s="336" t="s">
        <v>573</v>
      </c>
      <c r="C49" s="336" t="e">
        <f ca="1">_xll.BDP(B49 &amp; " Corp","MTY_YEARS_TDY")</f>
        <v>#NAME?</v>
      </c>
      <c r="D49" s="336" t="e">
        <f ca="1">_xll.BDP(B49 &amp; " Corp","px_last")</f>
        <v>#NAME?</v>
      </c>
      <c r="E49" s="336" t="e">
        <f ca="1">_xll.BDP(B49 &amp; " Corp","px_ask")</f>
        <v>#NAME?</v>
      </c>
      <c r="F49" s="336" t="e">
        <f ca="1">_xll.BDP(B49 &amp; " Corp","YLD_YTM_BID")</f>
        <v>#NAME?</v>
      </c>
      <c r="G49" s="336" t="e">
        <f ca="1">_xll.BDP(B49 &amp; " Corp","YLD_YTM_ask")</f>
        <v>#NAME?</v>
      </c>
      <c r="H49" s="336" t="e">
        <f ca="1">_xll.BDP(B49 &amp; " Corp","CPN")</f>
        <v>#NAME?</v>
      </c>
      <c r="I49" s="336" t="e">
        <f ca="1">_xll.BDP(B49&amp; " Corp","MATURITY")</f>
        <v>#NAME?</v>
      </c>
      <c r="J49" s="336" t="e">
        <f ca="1">IF(_xll.BDP(B49 &amp; " Corp","RTG_SP")="#N/A N/A","",_xll.BDP(B49 &amp; " Corp","RTG_SP"))&amp;"/"&amp;IF(_xll.BDP(B49 &amp; " Corp","RTG_fitch")="#N/A N/A","",_xll.BDP(B49 &amp; " Corp","RTG_fitch"))&amp;"/"&amp;IF(_xll.BDP(B49 &amp; " Corp","RTG_moody")="#N/A N/A","",_xll.BDP(B49 &amp; " Corp","RTG_moody"))</f>
        <v>#NAME?</v>
      </c>
      <c r="K49" s="336" t="e">
        <f ca="1">_xll.BDP($B49&amp; " Corp","INDUSTRY_SUBGROUP")</f>
        <v>#NAME?</v>
      </c>
      <c r="L49" s="336" t="e">
        <f ca="1">_xll.BDP(B49 &amp; " Corp","CRNCY")</f>
        <v>#NAME?</v>
      </c>
      <c r="M49" s="336" t="e">
        <f ca="1">_xll.BDP(B49 &amp; " Corp","CNTRY_OF_RISK")</f>
        <v>#NAME?</v>
      </c>
      <c r="N49" s="336" t="e">
        <f ca="1">_xll.BDP($B49&amp; " Corp","PAYMENT_RANK")</f>
        <v>#NAME?</v>
      </c>
      <c r="O49" s="336" t="e">
        <f ca="1">_xll.BDP($B49&amp; " Corp","MTY_TYP")</f>
        <v>#NAME?</v>
      </c>
      <c r="P49" s="336" t="e">
        <f ca="1">_xll.BDP($B49&amp; " Corp","RUSSIAN_CB_LOMBARD")</f>
        <v>#NAME?</v>
      </c>
      <c r="Q49" s="338" t="e">
        <f ca="1">_xll.BDP(B49&amp;" Corp", "INTERVAL_PERCENT_CHANGE", "END_DATE_OVERRIDE"," ", "START_DATE_OVERRIDe",R49)</f>
        <v>#NAME?</v>
      </c>
      <c r="R49" s="337">
        <v>20140716</v>
      </c>
      <c r="S49" s="336" t="e">
        <f ca="1">_xll.BDP($B49&amp; " Corp","PX_GROSS_MID")</f>
        <v>#NAME?</v>
      </c>
      <c r="T49" s="335" t="e">
        <f ca="1">_xll.BDP($B49&amp; " Corp","MIN_PIECE")</f>
        <v>#NAME?</v>
      </c>
    </row>
    <row r="50" spans="1:20" ht="15.75" x14ac:dyDescent="0.25">
      <c r="A50" s="336" t="e">
        <f ca="1">_xll.BDP(B50&amp; " Corp","name")</f>
        <v>#NAME?</v>
      </c>
      <c r="B50" s="339" t="s">
        <v>572</v>
      </c>
      <c r="C50" s="336" t="e">
        <f ca="1">_xll.BDP(B50 &amp; " Corp","MTY_YEARS_TDY")</f>
        <v>#NAME?</v>
      </c>
      <c r="D50" s="336" t="e">
        <f ca="1">_xll.BDP(B50 &amp; " Corp","px_last")</f>
        <v>#NAME?</v>
      </c>
      <c r="E50" s="336" t="e">
        <f ca="1">_xll.BDP(B50 &amp; " Corp","px_ask")</f>
        <v>#NAME?</v>
      </c>
      <c r="F50" s="336" t="e">
        <f ca="1">_xll.BDP(B50 &amp; " Corp","YLD_YTM_BID")</f>
        <v>#NAME?</v>
      </c>
      <c r="G50" s="336" t="e">
        <f ca="1">_xll.BDP(B50 &amp; " Corp","YLD_YTM_ask")</f>
        <v>#NAME?</v>
      </c>
      <c r="H50" s="336" t="e">
        <f ca="1">_xll.BDP(B50 &amp; " Corp","CPN")</f>
        <v>#NAME?</v>
      </c>
      <c r="I50" s="336" t="e">
        <f ca="1">_xll.BDP(B50&amp; " Corp","MATURITY")</f>
        <v>#NAME?</v>
      </c>
      <c r="J50" s="336" t="e">
        <f ca="1">IF(_xll.BDP(B50 &amp; " Corp","RTG_SP")="#N/A N/A","",_xll.BDP(B50 &amp; " Corp","RTG_SP"))&amp;"/"&amp;IF(_xll.BDP(B50 &amp; " Corp","RTG_fitch")="#N/A N/A","",_xll.BDP(B50 &amp; " Corp","RTG_fitch"))&amp;"/"&amp;IF(_xll.BDP(B50 &amp; " Corp","RTG_moody")="#N/A N/A","",_xll.BDP(B50 &amp; " Corp","RTG_moody"))</f>
        <v>#NAME?</v>
      </c>
      <c r="K50" s="336" t="e">
        <f ca="1">_xll.BDP($B50&amp; " Corp","INDUSTRY_SUBGROUP")</f>
        <v>#NAME?</v>
      </c>
      <c r="L50" s="336" t="e">
        <f ca="1">_xll.BDP(B50 &amp; " Corp","CRNCY")</f>
        <v>#NAME?</v>
      </c>
      <c r="M50" s="336" t="e">
        <f ca="1">_xll.BDP(B50 &amp; " Corp","CNTRY_OF_RISK")</f>
        <v>#NAME?</v>
      </c>
      <c r="N50" s="336" t="e">
        <f ca="1">_xll.BDP($B50&amp; " Corp","PAYMENT_RANK")</f>
        <v>#NAME?</v>
      </c>
      <c r="O50" s="336" t="e">
        <f ca="1">_xll.BDP($B50&amp; " Corp","MTY_TYP")</f>
        <v>#NAME?</v>
      </c>
      <c r="P50" s="336" t="e">
        <f ca="1">_xll.BDP($B50&amp; " Corp","RUSSIAN_CB_LOMBARD")</f>
        <v>#NAME?</v>
      </c>
      <c r="Q50" s="338" t="e">
        <f ca="1">_xll.BDP(B50&amp;" Corp", "INTERVAL_PERCENT_CHANGE", "END_DATE_OVERRIDE"," ", "START_DATE_OVERRIDe",R50)</f>
        <v>#NAME?</v>
      </c>
      <c r="R50" s="337">
        <v>20140716</v>
      </c>
      <c r="S50" s="336" t="e">
        <f ca="1">_xll.BDP($B50&amp; " Corp","PX_GROSS_MID")</f>
        <v>#NAME?</v>
      </c>
      <c r="T50" s="335" t="e">
        <f ca="1">_xll.BDP($B50&amp; " Corp","MIN_PIECE")</f>
        <v>#NAME?</v>
      </c>
    </row>
    <row r="51" spans="1:20" ht="15.75" x14ac:dyDescent="0.25">
      <c r="A51" s="336" t="e">
        <f ca="1">_xll.BDP(B51&amp; " Corp","name")</f>
        <v>#NAME?</v>
      </c>
      <c r="B51" s="336" t="s">
        <v>571</v>
      </c>
      <c r="C51" s="336" t="e">
        <f ca="1">_xll.BDP(B51 &amp; " Corp","MTY_YEARS_TDY")</f>
        <v>#NAME?</v>
      </c>
      <c r="D51" s="336" t="e">
        <f ca="1">_xll.BDP(B51 &amp; " Corp","px_last")</f>
        <v>#NAME?</v>
      </c>
      <c r="E51" s="336" t="e">
        <f ca="1">_xll.BDP(B51 &amp; " Corp","px_ask")</f>
        <v>#NAME?</v>
      </c>
      <c r="F51" s="336" t="e">
        <f ca="1">_xll.BDP(B51 &amp; " Corp","YLD_YTM_BID")</f>
        <v>#NAME?</v>
      </c>
      <c r="G51" s="336" t="e">
        <f ca="1">_xll.BDP(B51 &amp; " Corp","YLD_YTM_ask")</f>
        <v>#NAME?</v>
      </c>
      <c r="H51" s="336" t="e">
        <f ca="1">_xll.BDP(B51 &amp; " Corp","CPN")</f>
        <v>#NAME?</v>
      </c>
      <c r="I51" s="336" t="e">
        <f ca="1">_xll.BDP(B51&amp; " Corp","MATURITY")</f>
        <v>#NAME?</v>
      </c>
      <c r="J51" s="336" t="e">
        <f ca="1">IF(_xll.BDP(B51 &amp; " Corp","RTG_SP")="#N/A N/A","",_xll.BDP(B51 &amp; " Corp","RTG_SP"))&amp;"/"&amp;IF(_xll.BDP(B51 &amp; " Corp","RTG_fitch")="#N/A N/A","",_xll.BDP(B51 &amp; " Corp","RTG_fitch"))&amp;"/"&amp;IF(_xll.BDP(B51 &amp; " Corp","RTG_moody")="#N/A N/A","",_xll.BDP(B51 &amp; " Corp","RTG_moody"))</f>
        <v>#NAME?</v>
      </c>
      <c r="K51" s="336" t="e">
        <f ca="1">_xll.BDP($B51&amp; " Corp","INDUSTRY_SUBGROUP")</f>
        <v>#NAME?</v>
      </c>
      <c r="L51" s="336" t="e">
        <f ca="1">_xll.BDP(B51 &amp; " Corp","CRNCY")</f>
        <v>#NAME?</v>
      </c>
      <c r="M51" s="336" t="e">
        <f ca="1">_xll.BDP(B51 &amp; " Corp","CNTRY_OF_RISK")</f>
        <v>#NAME?</v>
      </c>
      <c r="N51" s="336" t="e">
        <f ca="1">_xll.BDP($B51&amp; " Corp","PAYMENT_RANK")</f>
        <v>#NAME?</v>
      </c>
      <c r="O51" s="336" t="e">
        <f ca="1">_xll.BDP($B51&amp; " Corp","MTY_TYP")</f>
        <v>#NAME?</v>
      </c>
      <c r="P51" s="336" t="e">
        <f ca="1">_xll.BDP($B51&amp; " Corp","RUSSIAN_CB_LOMBARD")</f>
        <v>#NAME?</v>
      </c>
      <c r="Q51" s="338" t="e">
        <f ca="1">_xll.BDP(B51&amp;" Corp", "INTERVAL_PERCENT_CHANGE", "END_DATE_OVERRIDE"," ", "START_DATE_OVERRIDe",R51)</f>
        <v>#NAME?</v>
      </c>
      <c r="R51" s="337">
        <v>20140716</v>
      </c>
      <c r="S51" s="336" t="e">
        <f ca="1">_xll.BDP($B51&amp; " Corp","PX_GROSS_MID")</f>
        <v>#NAME?</v>
      </c>
      <c r="T51" s="335" t="e">
        <f ca="1">_xll.BDP($B51&amp; " Corp","MIN_PIECE")</f>
        <v>#NAME?</v>
      </c>
    </row>
    <row r="52" spans="1:20" ht="15.75" x14ac:dyDescent="0.25">
      <c r="A52" s="336" t="e">
        <f ca="1">_xll.BDP(B52&amp; " Corp","name")</f>
        <v>#NAME?</v>
      </c>
      <c r="B52" s="336" t="s">
        <v>570</v>
      </c>
      <c r="C52" s="336" t="e">
        <f ca="1">_xll.BDP(B52 &amp; " Corp","MTY_YEARS_TDY")</f>
        <v>#NAME?</v>
      </c>
      <c r="D52" s="336" t="e">
        <f ca="1">_xll.BDP(B52 &amp; " Corp","px_last")</f>
        <v>#NAME?</v>
      </c>
      <c r="E52" s="336" t="e">
        <f ca="1">_xll.BDP(B52 &amp; " Corp","px_ask")</f>
        <v>#NAME?</v>
      </c>
      <c r="F52" s="336" t="e">
        <f ca="1">_xll.BDP(B52 &amp; " Corp","YLD_YTM_BID")</f>
        <v>#NAME?</v>
      </c>
      <c r="G52" s="336" t="e">
        <f ca="1">_xll.BDP(B52 &amp; " Corp","YLD_YTM_ask")</f>
        <v>#NAME?</v>
      </c>
      <c r="H52" s="336" t="e">
        <f ca="1">_xll.BDP(B52 &amp; " Corp","CPN")</f>
        <v>#NAME?</v>
      </c>
      <c r="I52" s="336" t="e">
        <f ca="1">_xll.BDP(B52&amp; " Corp","MATURITY")</f>
        <v>#NAME?</v>
      </c>
      <c r="J52" s="336" t="e">
        <f ca="1">IF(_xll.BDP(B52 &amp; " Corp","RTG_SP")="#N/A N/A","",_xll.BDP(B52 &amp; " Corp","RTG_SP"))&amp;"/"&amp;IF(_xll.BDP(B52 &amp; " Corp","RTG_fitch")="#N/A N/A","",_xll.BDP(B52 &amp; " Corp","RTG_fitch"))&amp;"/"&amp;IF(_xll.BDP(B52 &amp; " Corp","RTG_moody")="#N/A N/A","",_xll.BDP(B52 &amp; " Corp","RTG_moody"))</f>
        <v>#NAME?</v>
      </c>
      <c r="K52" s="336" t="e">
        <f ca="1">_xll.BDP($B52&amp; " Corp","INDUSTRY_SUBGROUP")</f>
        <v>#NAME?</v>
      </c>
      <c r="L52" s="336" t="e">
        <f ca="1">_xll.BDP(B52 &amp; " Corp","CRNCY")</f>
        <v>#NAME?</v>
      </c>
      <c r="M52" s="336" t="e">
        <f ca="1">_xll.BDP(B52 &amp; " Corp","CNTRY_OF_RISK")</f>
        <v>#NAME?</v>
      </c>
      <c r="N52" s="336" t="e">
        <f ca="1">_xll.BDP($B52&amp; " Corp","PAYMENT_RANK")</f>
        <v>#NAME?</v>
      </c>
      <c r="O52" s="336" t="e">
        <f ca="1">_xll.BDP($B52&amp; " Corp","MTY_TYP")</f>
        <v>#NAME?</v>
      </c>
      <c r="P52" s="336" t="e">
        <f ca="1">_xll.BDP($B52&amp; " Corp","RUSSIAN_CB_LOMBARD")</f>
        <v>#NAME?</v>
      </c>
      <c r="Q52" s="338" t="e">
        <f ca="1">_xll.BDP(B52&amp;" Corp", "INTERVAL_PERCENT_CHANGE", "END_DATE_OVERRIDE"," ", "START_DATE_OVERRIDe",R52)</f>
        <v>#NAME?</v>
      </c>
      <c r="R52" s="337">
        <v>20140716</v>
      </c>
      <c r="S52" s="336" t="e">
        <f ca="1">_xll.BDP($B52&amp; " Corp","PX_GROSS_MID")</f>
        <v>#NAME?</v>
      </c>
      <c r="T52" s="335" t="e">
        <f ca="1">_xll.BDP($B52&amp; " Corp","MIN_PIECE")</f>
        <v>#NAME?</v>
      </c>
    </row>
    <row r="53" spans="1:20" ht="15.75" x14ac:dyDescent="0.25">
      <c r="A53" s="336" t="e">
        <f ca="1">_xll.BDP(B53&amp; " Corp","name")</f>
        <v>#NAME?</v>
      </c>
      <c r="B53" s="336" t="s">
        <v>569</v>
      </c>
      <c r="C53" s="336" t="e">
        <f ca="1">_xll.BDP(B53 &amp; " Corp","MTY_YEARS_TDY")</f>
        <v>#NAME?</v>
      </c>
      <c r="D53" s="336" t="e">
        <f ca="1">_xll.BDP(B53 &amp; " Corp","px_last")</f>
        <v>#NAME?</v>
      </c>
      <c r="E53" s="336" t="e">
        <f ca="1">_xll.BDP(B53 &amp; " Corp","px_ask")</f>
        <v>#NAME?</v>
      </c>
      <c r="F53" s="336" t="e">
        <f ca="1">_xll.BDP(B53 &amp; " Corp","YLD_YTM_BID")</f>
        <v>#NAME?</v>
      </c>
      <c r="G53" s="336" t="e">
        <f ca="1">_xll.BDP(B53 &amp; " Corp","YLD_YTM_ask")</f>
        <v>#NAME?</v>
      </c>
      <c r="H53" s="336" t="e">
        <f ca="1">_xll.BDP(B53 &amp; " Corp","CPN")</f>
        <v>#NAME?</v>
      </c>
      <c r="I53" s="336" t="e">
        <f ca="1">_xll.BDP(B53&amp; " Corp","MATURITY")</f>
        <v>#NAME?</v>
      </c>
      <c r="J53" s="336" t="e">
        <f ca="1">IF(_xll.BDP(B53 &amp; " Corp","RTG_SP")="#N/A N/A","",_xll.BDP(B53 &amp; " Corp","RTG_SP"))&amp;"/"&amp;IF(_xll.BDP(B53 &amp; " Corp","RTG_fitch")="#N/A N/A","",_xll.BDP(B53 &amp; " Corp","RTG_fitch"))&amp;"/"&amp;IF(_xll.BDP(B53 &amp; " Corp","RTG_moody")="#N/A N/A","",_xll.BDP(B53 &amp; " Corp","RTG_moody"))</f>
        <v>#NAME?</v>
      </c>
      <c r="K53" s="336" t="e">
        <f ca="1">_xll.BDP($B53&amp; " Corp","INDUSTRY_SUBGROUP")</f>
        <v>#NAME?</v>
      </c>
      <c r="L53" s="336" t="e">
        <f ca="1">_xll.BDP(B53 &amp; " Corp","CRNCY")</f>
        <v>#NAME?</v>
      </c>
      <c r="M53" s="336" t="e">
        <f ca="1">_xll.BDP(B53 &amp; " Corp","CNTRY_OF_RISK")</f>
        <v>#NAME?</v>
      </c>
      <c r="N53" s="336" t="e">
        <f ca="1">_xll.BDP($B53&amp; " Corp","PAYMENT_RANK")</f>
        <v>#NAME?</v>
      </c>
      <c r="O53" s="336" t="e">
        <f ca="1">_xll.BDP($B53&amp; " Corp","MTY_TYP")</f>
        <v>#NAME?</v>
      </c>
      <c r="P53" s="336" t="e">
        <f ca="1">_xll.BDP($B53&amp; " Corp","RUSSIAN_CB_LOMBARD")</f>
        <v>#NAME?</v>
      </c>
      <c r="Q53" s="338" t="e">
        <f ca="1">_xll.BDP(B53&amp;" Corp", "INTERVAL_PERCENT_CHANGE", "END_DATE_OVERRIDE"," ", "START_DATE_OVERRIDe",R53)</f>
        <v>#NAME?</v>
      </c>
      <c r="R53" s="337">
        <v>20140716</v>
      </c>
      <c r="S53" s="336" t="e">
        <f ca="1">_xll.BDP($B53&amp; " Corp","PX_GROSS_MID")</f>
        <v>#NAME?</v>
      </c>
      <c r="T53" s="335" t="e">
        <f ca="1">_xll.BDP($B53&amp; " Corp","MIN_PIECE")</f>
        <v>#NAME?</v>
      </c>
    </row>
    <row r="54" spans="1:20" ht="15.75" x14ac:dyDescent="0.25">
      <c r="A54" s="336" t="e">
        <f ca="1">_xll.BDP(B54&amp; " Corp","name")</f>
        <v>#NAME?</v>
      </c>
      <c r="B54" s="336" t="s">
        <v>568</v>
      </c>
      <c r="C54" s="336" t="e">
        <f ca="1">_xll.BDP(B54 &amp; " Corp","MTY_YEARS_TDY")</f>
        <v>#NAME?</v>
      </c>
      <c r="D54" s="336" t="e">
        <f ca="1">_xll.BDP(B54 &amp; " Corp","px_last")</f>
        <v>#NAME?</v>
      </c>
      <c r="E54" s="336" t="e">
        <f ca="1">_xll.BDP(B54 &amp; " Corp","px_ask")</f>
        <v>#NAME?</v>
      </c>
      <c r="F54" s="336" t="e">
        <f ca="1">_xll.BDP(B54 &amp; " Corp","YLD_YTM_BID")</f>
        <v>#NAME?</v>
      </c>
      <c r="G54" s="336" t="e">
        <f ca="1">_xll.BDP(B54 &amp; " Corp","YLD_YTM_ask")</f>
        <v>#NAME?</v>
      </c>
      <c r="H54" s="336" t="e">
        <f ca="1">_xll.BDP(B54 &amp; " Corp","CPN")</f>
        <v>#NAME?</v>
      </c>
      <c r="I54" s="336" t="e">
        <f ca="1">_xll.BDP(B54&amp; " Corp","MATURITY")</f>
        <v>#NAME?</v>
      </c>
      <c r="J54" s="336" t="e">
        <f ca="1">IF(_xll.BDP(B54 &amp; " Corp","RTG_SP")="#N/A N/A","",_xll.BDP(B54 &amp; " Corp","RTG_SP"))&amp;"/"&amp;IF(_xll.BDP(B54 &amp; " Corp","RTG_fitch")="#N/A N/A","",_xll.BDP(B54 &amp; " Corp","RTG_fitch"))&amp;"/"&amp;IF(_xll.BDP(B54 &amp; " Corp","RTG_moody")="#N/A N/A","",_xll.BDP(B54 &amp; " Corp","RTG_moody"))</f>
        <v>#NAME?</v>
      </c>
      <c r="K54" s="336" t="e">
        <f ca="1">_xll.BDP($B54&amp; " Corp","INDUSTRY_SUBGROUP")</f>
        <v>#NAME?</v>
      </c>
      <c r="L54" s="336" t="e">
        <f ca="1">_xll.BDP(B54 &amp; " Corp","CRNCY")</f>
        <v>#NAME?</v>
      </c>
      <c r="M54" s="336" t="e">
        <f ca="1">_xll.BDP(B54 &amp; " Corp","CNTRY_OF_RISK")</f>
        <v>#NAME?</v>
      </c>
      <c r="N54" s="336" t="e">
        <f ca="1">_xll.BDP($B54&amp; " Corp","PAYMENT_RANK")</f>
        <v>#NAME?</v>
      </c>
      <c r="O54" s="336" t="e">
        <f ca="1">_xll.BDP($B54&amp; " Corp","MTY_TYP")</f>
        <v>#NAME?</v>
      </c>
      <c r="P54" s="336" t="e">
        <f ca="1">_xll.BDP($B54&amp; " Corp","RUSSIAN_CB_LOMBARD")</f>
        <v>#NAME?</v>
      </c>
      <c r="Q54" s="338" t="e">
        <f ca="1">_xll.BDP(B54&amp;" Corp", "INTERVAL_PERCENT_CHANGE", "END_DATE_OVERRIDE"," ", "START_DATE_OVERRIDe",R54)</f>
        <v>#NAME?</v>
      </c>
      <c r="R54" s="337">
        <v>20140716</v>
      </c>
      <c r="S54" s="336" t="e">
        <f ca="1">_xll.BDP($B54&amp; " Corp","PX_GROSS_MID")</f>
        <v>#NAME?</v>
      </c>
      <c r="T54" s="335" t="e">
        <f ca="1">_xll.BDP($B54&amp; " Corp","MIN_PIECE")</f>
        <v>#NAME?</v>
      </c>
    </row>
    <row r="55" spans="1:20" ht="15.75" x14ac:dyDescent="0.25">
      <c r="A55" s="336" t="e">
        <f ca="1">_xll.BDP(B55&amp; " Corp","name")</f>
        <v>#NAME?</v>
      </c>
      <c r="B55" s="339" t="s">
        <v>567</v>
      </c>
      <c r="C55" s="336" t="e">
        <f ca="1">_xll.BDP(B55 &amp; " Corp","MTY_YEARS_TDY")</f>
        <v>#NAME?</v>
      </c>
      <c r="D55" s="336" t="e">
        <f ca="1">_xll.BDP(B55 &amp; " Corp","px_last")</f>
        <v>#NAME?</v>
      </c>
      <c r="E55" s="336" t="e">
        <f ca="1">_xll.BDP(B55 &amp; " Corp","px_ask")</f>
        <v>#NAME?</v>
      </c>
      <c r="F55" s="336" t="e">
        <f ca="1">_xll.BDP(B55 &amp; " Corp","YLD_YTM_BID")</f>
        <v>#NAME?</v>
      </c>
      <c r="G55" s="336" t="e">
        <f ca="1">_xll.BDP(B55 &amp; " Corp","YLD_YTM_ask")</f>
        <v>#NAME?</v>
      </c>
      <c r="H55" s="336" t="e">
        <f ca="1">_xll.BDP(B55 &amp; " Corp","CPN")</f>
        <v>#NAME?</v>
      </c>
      <c r="I55" s="336" t="e">
        <f ca="1">_xll.BDP(B55&amp; " Corp","MATURITY")</f>
        <v>#NAME?</v>
      </c>
      <c r="J55" s="336" t="e">
        <f ca="1">IF(_xll.BDP(B55 &amp; " Corp","RTG_SP")="#N/A N/A","",_xll.BDP(B55 &amp; " Corp","RTG_SP"))&amp;"/"&amp;IF(_xll.BDP(B55 &amp; " Corp","RTG_fitch")="#N/A N/A","",_xll.BDP(B55 &amp; " Corp","RTG_fitch"))&amp;"/"&amp;IF(_xll.BDP(B55 &amp; " Corp","RTG_moody")="#N/A N/A","",_xll.BDP(B55 &amp; " Corp","RTG_moody"))</f>
        <v>#NAME?</v>
      </c>
      <c r="K55" s="336" t="e">
        <f ca="1">_xll.BDP($B55&amp; " Corp","INDUSTRY_SUBGROUP")</f>
        <v>#NAME?</v>
      </c>
      <c r="L55" s="336" t="e">
        <f ca="1">_xll.BDP(B55 &amp; " Corp","CRNCY")</f>
        <v>#NAME?</v>
      </c>
      <c r="M55" s="336" t="e">
        <f ca="1">_xll.BDP(B55 &amp; " Corp","CNTRY_OF_RISK")</f>
        <v>#NAME?</v>
      </c>
      <c r="N55" s="336" t="e">
        <f ca="1">_xll.BDP($B55&amp; " Corp","PAYMENT_RANK")</f>
        <v>#NAME?</v>
      </c>
      <c r="O55" s="336" t="e">
        <f ca="1">_xll.BDP($B55&amp; " Corp","MTY_TYP")</f>
        <v>#NAME?</v>
      </c>
      <c r="P55" s="336" t="e">
        <f ca="1">_xll.BDP($B55&amp; " Corp","RUSSIAN_CB_LOMBARD")</f>
        <v>#NAME?</v>
      </c>
      <c r="Q55" s="338" t="e">
        <f ca="1">_xll.BDP(B55&amp;" Corp", "INTERVAL_PERCENT_CHANGE", "END_DATE_OVERRIDE"," ", "START_DATE_OVERRIDe",R55)</f>
        <v>#NAME?</v>
      </c>
      <c r="R55" s="337">
        <v>20140716</v>
      </c>
      <c r="S55" s="336" t="e">
        <f ca="1">_xll.BDP($B55&amp; " Corp","PX_GROSS_MID")</f>
        <v>#NAME?</v>
      </c>
      <c r="T55" s="335" t="e">
        <f ca="1">_xll.BDP($B55&amp; " Corp","MIN_PIECE")</f>
        <v>#NAME?</v>
      </c>
    </row>
    <row r="56" spans="1:20" ht="15.75" x14ac:dyDescent="0.25">
      <c r="A56" s="339" t="e">
        <f ca="1">_xll.BDP(B56&amp; " Corp","name")</f>
        <v>#NAME?</v>
      </c>
      <c r="B56" s="336" t="s">
        <v>566</v>
      </c>
      <c r="C56" s="336" t="e">
        <f ca="1">_xll.BDP(B56 &amp; " Corp","MTY_YEARS_TDY")</f>
        <v>#NAME?</v>
      </c>
      <c r="D56" s="336" t="e">
        <f ca="1">_xll.BDP(B56 &amp; " Corp","px_last")</f>
        <v>#NAME?</v>
      </c>
      <c r="E56" s="336" t="e">
        <f ca="1">_xll.BDP(B56 &amp; " Corp","px_ask")</f>
        <v>#NAME?</v>
      </c>
      <c r="F56" s="336" t="e">
        <f ca="1">_xll.BDP(B56 &amp; " Corp","YLD_YTM_BID")</f>
        <v>#NAME?</v>
      </c>
      <c r="G56" s="336" t="e">
        <f ca="1">_xll.BDP(B56 &amp; " Corp","YLD_YTM_ask")</f>
        <v>#NAME?</v>
      </c>
      <c r="H56" s="336" t="e">
        <f ca="1">_xll.BDP(B56 &amp; " Corp","CPN")</f>
        <v>#NAME?</v>
      </c>
      <c r="I56" s="336" t="e">
        <f ca="1">_xll.BDP(B56&amp; " Corp","MATURITY")</f>
        <v>#NAME?</v>
      </c>
      <c r="J56" s="336" t="e">
        <f ca="1">IF(_xll.BDP(B56 &amp; " Corp","RTG_SP")="#N/A N/A","",_xll.BDP(B56 &amp; " Corp","RTG_SP"))&amp;"/"&amp;IF(_xll.BDP(B56 &amp; " Corp","RTG_fitch")="#N/A N/A","",_xll.BDP(B56 &amp; " Corp","RTG_fitch"))&amp;"/"&amp;IF(_xll.BDP(B56 &amp; " Corp","RTG_moody")="#N/A N/A","",_xll.BDP(B56 &amp; " Corp","RTG_moody"))</f>
        <v>#NAME?</v>
      </c>
      <c r="K56" s="336" t="e">
        <f ca="1">_xll.BDP($B56&amp; " Corp","INDUSTRY_SUBGROUP")</f>
        <v>#NAME?</v>
      </c>
      <c r="L56" s="336" t="e">
        <f ca="1">_xll.BDP(B56 &amp; " Corp","CRNCY")</f>
        <v>#NAME?</v>
      </c>
      <c r="M56" s="336" t="e">
        <f ca="1">_xll.BDP(B56 &amp; " Corp","CNTRY_OF_RISK")</f>
        <v>#NAME?</v>
      </c>
      <c r="N56" s="336" t="e">
        <f ca="1">_xll.BDP($B56&amp; " Corp","PAYMENT_RANK")</f>
        <v>#NAME?</v>
      </c>
      <c r="O56" s="336" t="e">
        <f ca="1">_xll.BDP($B56&amp; " Corp","MTY_TYP")</f>
        <v>#NAME?</v>
      </c>
      <c r="P56" s="336" t="e">
        <f ca="1">_xll.BDP($B56&amp; " Corp","RUSSIAN_CB_LOMBARD")</f>
        <v>#NAME?</v>
      </c>
      <c r="Q56" s="338" t="e">
        <f ca="1">_xll.BDP(B56&amp;" Corp", "INTERVAL_PERCENT_CHANGE", "END_DATE_OVERRIDE"," ", "START_DATE_OVERRIDe",R56)</f>
        <v>#NAME?</v>
      </c>
      <c r="R56" s="337">
        <v>20140716</v>
      </c>
      <c r="S56" s="336" t="e">
        <f ca="1">_xll.BDP($B56&amp; " Corp","PX_GROSS_MID")</f>
        <v>#NAME?</v>
      </c>
      <c r="T56" s="335" t="e">
        <f ca="1">_xll.BDP($B56&amp; " Corp","MIN_PIECE")</f>
        <v>#NAME?</v>
      </c>
    </row>
    <row r="57" spans="1:20" ht="15.75" x14ac:dyDescent="0.25">
      <c r="A57" s="336" t="e">
        <f ca="1">_xll.BDP(B57&amp; " Corp","name")</f>
        <v>#NAME?</v>
      </c>
      <c r="B57" s="336" t="s">
        <v>565</v>
      </c>
      <c r="C57" s="336" t="e">
        <f ca="1">_xll.BDP(B57 &amp; " Corp","MTY_YEARS_TDY")</f>
        <v>#NAME?</v>
      </c>
      <c r="D57" s="336" t="e">
        <f ca="1">_xll.BDP(B57 &amp; " Corp","px_last")</f>
        <v>#NAME?</v>
      </c>
      <c r="E57" s="336" t="e">
        <f ca="1">_xll.BDP(B57 &amp; " Corp","px_ask")</f>
        <v>#NAME?</v>
      </c>
      <c r="F57" s="336" t="e">
        <f ca="1">_xll.BDP(B57 &amp; " Corp","YLD_YTM_BID")</f>
        <v>#NAME?</v>
      </c>
      <c r="G57" s="336" t="e">
        <f ca="1">_xll.BDP(B57 &amp; " Corp","YLD_YTM_ask")</f>
        <v>#NAME?</v>
      </c>
      <c r="H57" s="336" t="e">
        <f ca="1">_xll.BDP(B57 &amp; " Corp","CPN")</f>
        <v>#NAME?</v>
      </c>
      <c r="I57" s="336" t="e">
        <f ca="1">_xll.BDP(B57&amp; " Corp","MATURITY")</f>
        <v>#NAME?</v>
      </c>
      <c r="J57" s="336" t="e">
        <f ca="1">IF(_xll.BDP(B57 &amp; " Corp","RTG_SP")="#N/A N/A","",_xll.BDP(B57 &amp; " Corp","RTG_SP"))&amp;"/"&amp;IF(_xll.BDP(B57 &amp; " Corp","RTG_fitch")="#N/A N/A","",_xll.BDP(B57 &amp; " Corp","RTG_fitch"))&amp;"/"&amp;IF(_xll.BDP(B57 &amp; " Corp","RTG_moody")="#N/A N/A","",_xll.BDP(B57 &amp; " Corp","RTG_moody"))</f>
        <v>#NAME?</v>
      </c>
      <c r="K57" s="336" t="e">
        <f ca="1">_xll.BDP($B57&amp; " Corp","INDUSTRY_SUBGROUP")</f>
        <v>#NAME?</v>
      </c>
      <c r="L57" s="336" t="e">
        <f ca="1">_xll.BDP(B57 &amp; " Corp","CRNCY")</f>
        <v>#NAME?</v>
      </c>
      <c r="M57" s="336" t="e">
        <f ca="1">_xll.BDP(B57 &amp; " Corp","CNTRY_OF_RISK")</f>
        <v>#NAME?</v>
      </c>
      <c r="N57" s="336" t="e">
        <f ca="1">_xll.BDP($B57&amp; " Corp","PAYMENT_RANK")</f>
        <v>#NAME?</v>
      </c>
      <c r="O57" s="336" t="e">
        <f ca="1">_xll.BDP($B57&amp; " Corp","MTY_TYP")</f>
        <v>#NAME?</v>
      </c>
      <c r="P57" s="336" t="e">
        <f ca="1">_xll.BDP($B57&amp; " Corp","RUSSIAN_CB_LOMBARD")</f>
        <v>#NAME?</v>
      </c>
      <c r="Q57" s="338" t="e">
        <f ca="1">_xll.BDP(B57&amp;" Corp", "INTERVAL_PERCENT_CHANGE", "END_DATE_OVERRIDE"," ", "START_DATE_OVERRIDe",R57)</f>
        <v>#NAME?</v>
      </c>
      <c r="R57" s="337">
        <v>20140716</v>
      </c>
      <c r="S57" s="336" t="e">
        <f ca="1">_xll.BDP($B57&amp; " Corp","PX_GROSS_MID")</f>
        <v>#NAME?</v>
      </c>
      <c r="T57" s="335" t="e">
        <f ca="1">_xll.BDP($B57&amp; " Corp","MIN_PIECE")</f>
        <v>#NAME?</v>
      </c>
    </row>
    <row r="58" spans="1:20" ht="15.75" x14ac:dyDescent="0.25">
      <c r="A58" s="336" t="e">
        <f ca="1">_xll.BDP(B58&amp; " Corp","name")</f>
        <v>#NAME?</v>
      </c>
      <c r="B58" s="336" t="s">
        <v>564</v>
      </c>
      <c r="C58" s="336" t="e">
        <f ca="1">_xll.BDP(B58 &amp; " Corp","MTY_YEARS_TDY")</f>
        <v>#NAME?</v>
      </c>
      <c r="D58" s="336" t="e">
        <f ca="1">_xll.BDP(B58 &amp; " Corp","px_last")</f>
        <v>#NAME?</v>
      </c>
      <c r="E58" s="336" t="e">
        <f ca="1">_xll.BDP(B58 &amp; " Corp","px_ask")</f>
        <v>#NAME?</v>
      </c>
      <c r="F58" s="336" t="e">
        <f ca="1">_xll.BDP(B58 &amp; " Corp","YLD_YTM_BID")</f>
        <v>#NAME?</v>
      </c>
      <c r="G58" s="336" t="e">
        <f ca="1">_xll.BDP(B58 &amp; " Corp","YLD_YTM_ask")</f>
        <v>#NAME?</v>
      </c>
      <c r="H58" s="336" t="e">
        <f ca="1">_xll.BDP(B58 &amp; " Corp","CPN")</f>
        <v>#NAME?</v>
      </c>
      <c r="I58" s="336" t="e">
        <f ca="1">_xll.BDP(B58&amp; " Corp","MATURITY")</f>
        <v>#NAME?</v>
      </c>
      <c r="J58" s="336" t="e">
        <f ca="1">IF(_xll.BDP(B58 &amp; " Corp","RTG_SP")="#N/A N/A","",_xll.BDP(B58 &amp; " Corp","RTG_SP"))&amp;"/"&amp;IF(_xll.BDP(B58 &amp; " Corp","RTG_fitch")="#N/A N/A","",_xll.BDP(B58 &amp; " Corp","RTG_fitch"))&amp;"/"&amp;IF(_xll.BDP(B58 &amp; " Corp","RTG_moody")="#N/A N/A","",_xll.BDP(B58 &amp; " Corp","RTG_moody"))</f>
        <v>#NAME?</v>
      </c>
      <c r="K58" s="336" t="e">
        <f ca="1">_xll.BDP($B58&amp; " Corp","INDUSTRY_SUBGROUP")</f>
        <v>#NAME?</v>
      </c>
      <c r="L58" s="336" t="e">
        <f ca="1">_xll.BDP(B58 &amp; " Corp","CRNCY")</f>
        <v>#NAME?</v>
      </c>
      <c r="M58" s="336" t="e">
        <f ca="1">_xll.BDP(B58 &amp; " Corp","CNTRY_OF_RISK")</f>
        <v>#NAME?</v>
      </c>
      <c r="N58" s="336" t="e">
        <f ca="1">_xll.BDP($B58&amp; " Corp","PAYMENT_RANK")</f>
        <v>#NAME?</v>
      </c>
      <c r="O58" s="336" t="e">
        <f ca="1">_xll.BDP($B58&amp; " Corp","MTY_TYP")</f>
        <v>#NAME?</v>
      </c>
      <c r="P58" s="336" t="e">
        <f ca="1">_xll.BDP($B58&amp; " Corp","RUSSIAN_CB_LOMBARD")</f>
        <v>#NAME?</v>
      </c>
      <c r="Q58" s="338" t="e">
        <f ca="1">_xll.BDP(B58&amp;" Corp", "INTERVAL_PERCENT_CHANGE", "END_DATE_OVERRIDE"," ", "START_DATE_OVERRIDe",R58)</f>
        <v>#NAME?</v>
      </c>
      <c r="R58" s="337">
        <v>20140716</v>
      </c>
      <c r="S58" s="336" t="e">
        <f ca="1">_xll.BDP($B58&amp; " Corp","PX_GROSS_MID")</f>
        <v>#NAME?</v>
      </c>
      <c r="T58" s="335" t="e">
        <f ca="1">_xll.BDP($B58&amp; " Corp","MIN_PIECE")</f>
        <v>#NAME?</v>
      </c>
    </row>
    <row r="59" spans="1:20" ht="15.75" x14ac:dyDescent="0.25">
      <c r="A59" s="336" t="e">
        <f ca="1">_xll.BDP(B59&amp; " Corp","name")</f>
        <v>#NAME?</v>
      </c>
      <c r="B59" s="336" t="s">
        <v>563</v>
      </c>
      <c r="C59" s="336" t="e">
        <f ca="1">_xll.BDP(B59 &amp; " Corp","MTY_YEARS_TDY")</f>
        <v>#NAME?</v>
      </c>
      <c r="D59" s="336" t="e">
        <f ca="1">_xll.BDP(B59 &amp; " Corp","px_last")</f>
        <v>#NAME?</v>
      </c>
      <c r="E59" s="336" t="e">
        <f ca="1">_xll.BDP(B59 &amp; " Corp","px_ask")</f>
        <v>#NAME?</v>
      </c>
      <c r="F59" s="336" t="e">
        <f ca="1">_xll.BDP(B59 &amp; " Corp","YLD_YTM_BID")</f>
        <v>#NAME?</v>
      </c>
      <c r="G59" s="336" t="e">
        <f ca="1">_xll.BDP(B59 &amp; " Corp","YLD_YTM_ask")</f>
        <v>#NAME?</v>
      </c>
      <c r="H59" s="336" t="e">
        <f ca="1">_xll.BDP(B59 &amp; " Corp","CPN")</f>
        <v>#NAME?</v>
      </c>
      <c r="I59" s="336" t="e">
        <f ca="1">_xll.BDP(B59&amp; " Corp","MATURITY")</f>
        <v>#NAME?</v>
      </c>
      <c r="J59" s="336" t="e">
        <f ca="1">IF(_xll.BDP(B59 &amp; " Corp","RTG_SP")="#N/A N/A","",_xll.BDP(B59 &amp; " Corp","RTG_SP"))&amp;"/"&amp;IF(_xll.BDP(B59 &amp; " Corp","RTG_fitch")="#N/A N/A","",_xll.BDP(B59 &amp; " Corp","RTG_fitch"))&amp;"/"&amp;IF(_xll.BDP(B59 &amp; " Corp","RTG_moody")="#N/A N/A","",_xll.BDP(B59 &amp; " Corp","RTG_moody"))</f>
        <v>#NAME?</v>
      </c>
      <c r="K59" s="336" t="e">
        <f ca="1">_xll.BDP($B59&amp; " Corp","INDUSTRY_SUBGROUP")</f>
        <v>#NAME?</v>
      </c>
      <c r="L59" s="336" t="e">
        <f ca="1">_xll.BDP(B59 &amp; " Corp","CRNCY")</f>
        <v>#NAME?</v>
      </c>
      <c r="M59" s="336" t="e">
        <f ca="1">_xll.BDP(B59 &amp; " Corp","CNTRY_OF_RISK")</f>
        <v>#NAME?</v>
      </c>
      <c r="N59" s="336" t="e">
        <f ca="1">_xll.BDP($B59&amp; " Corp","PAYMENT_RANK")</f>
        <v>#NAME?</v>
      </c>
      <c r="O59" s="336" t="e">
        <f ca="1">_xll.BDP($B59&amp; " Corp","MTY_TYP")</f>
        <v>#NAME?</v>
      </c>
      <c r="P59" s="336" t="e">
        <f ca="1">_xll.BDP($B59&amp; " Corp","RUSSIAN_CB_LOMBARD")</f>
        <v>#NAME?</v>
      </c>
      <c r="Q59" s="338" t="e">
        <f ca="1">_xll.BDP(B59&amp;" Corp", "INTERVAL_PERCENT_CHANGE", "END_DATE_OVERRIDE"," ", "START_DATE_OVERRIDe",R59)</f>
        <v>#NAME?</v>
      </c>
      <c r="R59" s="337">
        <v>20140716</v>
      </c>
      <c r="S59" s="336" t="e">
        <f ca="1">_xll.BDP($B59&amp; " Corp","PX_GROSS_MID")</f>
        <v>#NAME?</v>
      </c>
      <c r="T59" s="335" t="e">
        <f ca="1">_xll.BDP($B59&amp; " Corp","MIN_PIECE")</f>
        <v>#NAME?</v>
      </c>
    </row>
    <row r="60" spans="1:20" ht="15.75" x14ac:dyDescent="0.25">
      <c r="A60" s="336" t="e">
        <f ca="1">_xll.BDP(B60&amp; " Corp","name")</f>
        <v>#NAME?</v>
      </c>
      <c r="B60" s="339" t="s">
        <v>562</v>
      </c>
      <c r="C60" s="336" t="e">
        <f ca="1">_xll.BDP(B60 &amp; " Corp","MTY_YEARS_TDY")</f>
        <v>#NAME?</v>
      </c>
      <c r="D60" s="336" t="e">
        <f ca="1">_xll.BDP(B60 &amp; " Corp","px_last")</f>
        <v>#NAME?</v>
      </c>
      <c r="E60" s="336" t="e">
        <f ca="1">_xll.BDP(B60 &amp; " Corp","px_ask")</f>
        <v>#NAME?</v>
      </c>
      <c r="F60" s="336" t="e">
        <f ca="1">_xll.BDP(B60 &amp; " Corp","YLD_YTM_BID")</f>
        <v>#NAME?</v>
      </c>
      <c r="G60" s="336" t="e">
        <f ca="1">_xll.BDP(B60 &amp; " Corp","YLD_YTM_ask")</f>
        <v>#NAME?</v>
      </c>
      <c r="H60" s="336" t="e">
        <f ca="1">_xll.BDP(B60 &amp; " Corp","CPN")</f>
        <v>#NAME?</v>
      </c>
      <c r="I60" s="336" t="e">
        <f ca="1">_xll.BDP(B60&amp; " Corp","MATURITY")</f>
        <v>#NAME?</v>
      </c>
      <c r="J60" s="336" t="e">
        <f ca="1">IF(_xll.BDP(B60 &amp; " Corp","RTG_SP")="#N/A N/A","",_xll.BDP(B60 &amp; " Corp","RTG_SP"))&amp;"/"&amp;IF(_xll.BDP(B60 &amp; " Corp","RTG_fitch")="#N/A N/A","",_xll.BDP(B60 &amp; " Corp","RTG_fitch"))&amp;"/"&amp;IF(_xll.BDP(B60 &amp; " Corp","RTG_moody")="#N/A N/A","",_xll.BDP(B60 &amp; " Corp","RTG_moody"))</f>
        <v>#NAME?</v>
      </c>
      <c r="K60" s="336" t="e">
        <f ca="1">_xll.BDP($B60&amp; " Corp","INDUSTRY_SUBGROUP")</f>
        <v>#NAME?</v>
      </c>
      <c r="L60" s="336" t="e">
        <f ca="1">_xll.BDP(B60 &amp; " Corp","CRNCY")</f>
        <v>#NAME?</v>
      </c>
      <c r="M60" s="336" t="e">
        <f ca="1">_xll.BDP(B60 &amp; " Corp","CNTRY_OF_RISK")</f>
        <v>#NAME?</v>
      </c>
      <c r="N60" s="336" t="e">
        <f ca="1">_xll.BDP($B60&amp; " Corp","PAYMENT_RANK")</f>
        <v>#NAME?</v>
      </c>
      <c r="O60" s="336" t="e">
        <f ca="1">_xll.BDP($B60&amp; " Corp","MTY_TYP")</f>
        <v>#NAME?</v>
      </c>
      <c r="P60" s="336" t="e">
        <f ca="1">_xll.BDP($B60&amp; " Corp","RUSSIAN_CB_LOMBARD")</f>
        <v>#NAME?</v>
      </c>
      <c r="Q60" s="338" t="e">
        <f ca="1">_xll.BDP(B60&amp;" Corp", "INTERVAL_PERCENT_CHANGE", "END_DATE_OVERRIDE"," ", "START_DATE_OVERRIDe",R60)</f>
        <v>#NAME?</v>
      </c>
      <c r="R60" s="337">
        <v>20140716</v>
      </c>
      <c r="S60" s="336" t="e">
        <f ca="1">_xll.BDP($B60&amp; " Corp","PX_GROSS_MID")</f>
        <v>#NAME?</v>
      </c>
      <c r="T60" s="335" t="e">
        <f ca="1">_xll.BDP($B60&amp; " Corp","MIN_PIECE")</f>
        <v>#NAME?</v>
      </c>
    </row>
    <row r="61" spans="1:20" ht="15.75" x14ac:dyDescent="0.25">
      <c r="A61" s="343" t="e">
        <f ca="1">_xll.BDP(B61&amp; " Corp","name")</f>
        <v>#NAME?</v>
      </c>
      <c r="B61" s="336" t="s">
        <v>561</v>
      </c>
      <c r="C61" s="336" t="e">
        <f ca="1">_xll.BDP(B61 &amp; " Corp","MTY_YEARS_TDY")</f>
        <v>#NAME?</v>
      </c>
      <c r="D61" s="336" t="e">
        <f ca="1">_xll.BDP(B61 &amp; " Corp","px_last")</f>
        <v>#NAME?</v>
      </c>
      <c r="E61" s="336" t="e">
        <f ca="1">_xll.BDP(B61 &amp; " Corp","px_ask")</f>
        <v>#NAME?</v>
      </c>
      <c r="F61" s="336" t="e">
        <f ca="1">_xll.BDP(B61 &amp; " Corp","YLD_YTM_BID")</f>
        <v>#NAME?</v>
      </c>
      <c r="G61" s="336" t="e">
        <f ca="1">_xll.BDP(B61 &amp; " Corp","YLD_YTM_ask")</f>
        <v>#NAME?</v>
      </c>
      <c r="H61" s="336" t="e">
        <f ca="1">_xll.BDP(B61 &amp; " Corp","CPN")</f>
        <v>#NAME?</v>
      </c>
      <c r="I61" s="336" t="e">
        <f ca="1">_xll.BDP(B61&amp; " Corp","MATURITY")</f>
        <v>#NAME?</v>
      </c>
      <c r="J61" s="336" t="e">
        <f ca="1">IF(_xll.BDP(B61 &amp; " Corp","RTG_SP")="#N/A N/A","",_xll.BDP(B61 &amp; " Corp","RTG_SP"))&amp;"/"&amp;IF(_xll.BDP(B61 &amp; " Corp","RTG_fitch")="#N/A N/A","",_xll.BDP(B61 &amp; " Corp","RTG_fitch"))&amp;"/"&amp;IF(_xll.BDP(B61 &amp; " Corp","RTG_moody")="#N/A N/A","",_xll.BDP(B61 &amp; " Corp","RTG_moody"))</f>
        <v>#NAME?</v>
      </c>
      <c r="K61" s="336" t="e">
        <f ca="1">_xll.BDP($B61&amp; " Corp","INDUSTRY_SUBGROUP")</f>
        <v>#NAME?</v>
      </c>
      <c r="L61" s="336" t="e">
        <f ca="1">_xll.BDP(B61 &amp; " Corp","CRNCY")</f>
        <v>#NAME?</v>
      </c>
      <c r="M61" s="336" t="e">
        <f ca="1">_xll.BDP(B61 &amp; " Corp","CNTRY_OF_RISK")</f>
        <v>#NAME?</v>
      </c>
      <c r="N61" s="336" t="e">
        <f ca="1">_xll.BDP($B61&amp; " Corp","PAYMENT_RANK")</f>
        <v>#NAME?</v>
      </c>
      <c r="O61" s="336" t="e">
        <f ca="1">_xll.BDP($B61&amp; " Corp","MTY_TYP")</f>
        <v>#NAME?</v>
      </c>
      <c r="P61" s="336" t="e">
        <f ca="1">_xll.BDP($B61&amp; " Corp","RUSSIAN_CB_LOMBARD")</f>
        <v>#NAME?</v>
      </c>
      <c r="Q61" s="338" t="e">
        <f ca="1">_xll.BDP(B61&amp;" Corp", "INTERVAL_PERCENT_CHANGE", "END_DATE_OVERRIDE"," ", "START_DATE_OVERRIDe",R61)</f>
        <v>#NAME?</v>
      </c>
      <c r="R61" s="337">
        <v>20140716</v>
      </c>
      <c r="S61" s="336" t="e">
        <f ca="1">_xll.BDP($B61&amp; " Corp","PX_GROSS_MID")</f>
        <v>#NAME?</v>
      </c>
      <c r="T61" s="335" t="e">
        <f ca="1">_xll.BDP($B61&amp; " Corp","MIN_PIECE")</f>
        <v>#NAME?</v>
      </c>
    </row>
    <row r="62" spans="1:20" ht="15.75" x14ac:dyDescent="0.25">
      <c r="A62" s="336" t="e">
        <f ca="1">_xll.BDP(B62&amp; " Corp","name")</f>
        <v>#NAME?</v>
      </c>
      <c r="B62" s="339" t="s">
        <v>560</v>
      </c>
      <c r="C62" s="336" t="e">
        <f ca="1">_xll.BDP(B62 &amp; " Corp","MTY_YEARS_TDY")</f>
        <v>#NAME?</v>
      </c>
      <c r="D62" s="336" t="e">
        <f ca="1">_xll.BDP(B62 &amp; " Corp","px_last")</f>
        <v>#NAME?</v>
      </c>
      <c r="E62" s="336" t="e">
        <f ca="1">_xll.BDP(B62 &amp; " Corp","px_ask")</f>
        <v>#NAME?</v>
      </c>
      <c r="F62" s="336" t="e">
        <f ca="1">_xll.BDP(B62 &amp; " Corp","YLD_YTM_BID")</f>
        <v>#NAME?</v>
      </c>
      <c r="G62" s="336" t="e">
        <f ca="1">_xll.BDP(B62 &amp; " Corp","YLD_YTM_ask")</f>
        <v>#NAME?</v>
      </c>
      <c r="H62" s="336" t="e">
        <f ca="1">_xll.BDP(B62 &amp; " Corp","CPN")</f>
        <v>#NAME?</v>
      </c>
      <c r="I62" s="336" t="e">
        <f ca="1">_xll.BDP(B62&amp; " Corp","MATURITY")</f>
        <v>#NAME?</v>
      </c>
      <c r="J62" s="336" t="e">
        <f ca="1">IF(_xll.BDP(B62 &amp; " Corp","RTG_SP")="#N/A N/A","",_xll.BDP(B62 &amp; " Corp","RTG_SP"))&amp;"/"&amp;IF(_xll.BDP(B62 &amp; " Corp","RTG_fitch")="#N/A N/A","",_xll.BDP(B62 &amp; " Corp","RTG_fitch"))&amp;"/"&amp;IF(_xll.BDP(B62 &amp; " Corp","RTG_moody")="#N/A N/A","",_xll.BDP(B62 &amp; " Corp","RTG_moody"))</f>
        <v>#NAME?</v>
      </c>
      <c r="K62" s="336" t="e">
        <f ca="1">_xll.BDP($B62&amp; " Corp","INDUSTRY_SUBGROUP")</f>
        <v>#NAME?</v>
      </c>
      <c r="L62" s="336" t="e">
        <f ca="1">_xll.BDP(B62 &amp; " Corp","CRNCY")</f>
        <v>#NAME?</v>
      </c>
      <c r="M62" s="336" t="e">
        <f ca="1">_xll.BDP(B62 &amp; " Corp","CNTRY_OF_RISK")</f>
        <v>#NAME?</v>
      </c>
      <c r="N62" s="336" t="e">
        <f ca="1">_xll.BDP($B62&amp; " Corp","PAYMENT_RANK")</f>
        <v>#NAME?</v>
      </c>
      <c r="O62" s="336" t="e">
        <f ca="1">_xll.BDP($B62&amp; " Corp","MTY_TYP")</f>
        <v>#NAME?</v>
      </c>
      <c r="P62" s="336" t="e">
        <f ca="1">_xll.BDP($B62&amp; " Corp","RUSSIAN_CB_LOMBARD")</f>
        <v>#NAME?</v>
      </c>
      <c r="Q62" s="338" t="e">
        <f ca="1">_xll.BDP(B62&amp;" Corp", "INTERVAL_PERCENT_CHANGE", "END_DATE_OVERRIDE"," ", "START_DATE_OVERRIDe",R62)</f>
        <v>#NAME?</v>
      </c>
      <c r="R62" s="337">
        <v>20140716</v>
      </c>
      <c r="S62" s="336" t="e">
        <f ca="1">_xll.BDP($B62&amp; " Corp","PX_GROSS_MID")</f>
        <v>#NAME?</v>
      </c>
      <c r="T62" s="335" t="e">
        <f ca="1">_xll.BDP($B62&amp; " Corp","MIN_PIECE")</f>
        <v>#NAME?</v>
      </c>
    </row>
    <row r="63" spans="1:20" ht="15.75" x14ac:dyDescent="0.25">
      <c r="A63" s="336" t="e">
        <f ca="1">_xll.BDP(B63&amp; " Corp","name")</f>
        <v>#NAME?</v>
      </c>
      <c r="B63" s="336" t="s">
        <v>559</v>
      </c>
      <c r="C63" s="336" t="e">
        <f ca="1">_xll.BDP(B63 &amp; " Corp","MTY_YEARS_TDY")</f>
        <v>#NAME?</v>
      </c>
      <c r="D63" s="336" t="e">
        <f ca="1">_xll.BDP(B63 &amp; " Corp","px_last")</f>
        <v>#NAME?</v>
      </c>
      <c r="E63" s="336" t="e">
        <f ca="1">_xll.BDP(B63 &amp; " Corp","px_ask")</f>
        <v>#NAME?</v>
      </c>
      <c r="F63" s="336" t="e">
        <f ca="1">_xll.BDP(B63 &amp; " Corp","YLD_YTM_BID")</f>
        <v>#NAME?</v>
      </c>
      <c r="G63" s="336" t="e">
        <f ca="1">_xll.BDP(B63 &amp; " Corp","YLD_YTM_ask")</f>
        <v>#NAME?</v>
      </c>
      <c r="H63" s="336" t="e">
        <f ca="1">_xll.BDP(B63 &amp; " Corp","CPN")</f>
        <v>#NAME?</v>
      </c>
      <c r="I63" s="336" t="e">
        <f ca="1">_xll.BDP(B63&amp; " Corp","MATURITY")</f>
        <v>#NAME?</v>
      </c>
      <c r="J63" s="336" t="e">
        <f ca="1">IF(_xll.BDP(B63 &amp; " Corp","RTG_SP")="#N/A N/A","",_xll.BDP(B63 &amp; " Corp","RTG_SP"))&amp;"/"&amp;IF(_xll.BDP(B63 &amp; " Corp","RTG_fitch")="#N/A N/A","",_xll.BDP(B63 &amp; " Corp","RTG_fitch"))&amp;"/"&amp;IF(_xll.BDP(B63 &amp; " Corp","RTG_moody")="#N/A N/A","",_xll.BDP(B63 &amp; " Corp","RTG_moody"))</f>
        <v>#NAME?</v>
      </c>
      <c r="K63" s="336" t="e">
        <f ca="1">_xll.BDP($B63&amp; " Corp","INDUSTRY_SUBGROUP")</f>
        <v>#NAME?</v>
      </c>
      <c r="L63" s="336" t="e">
        <f ca="1">_xll.BDP(B63 &amp; " Corp","CRNCY")</f>
        <v>#NAME?</v>
      </c>
      <c r="M63" s="336" t="e">
        <f ca="1">_xll.BDP(B63 &amp; " Corp","CNTRY_OF_RISK")</f>
        <v>#NAME?</v>
      </c>
      <c r="N63" s="336" t="e">
        <f ca="1">_xll.BDP($B63&amp; " Corp","PAYMENT_RANK")</f>
        <v>#NAME?</v>
      </c>
      <c r="O63" s="336" t="e">
        <f ca="1">_xll.BDP($B63&amp; " Corp","MTY_TYP")</f>
        <v>#NAME?</v>
      </c>
      <c r="P63" s="336" t="e">
        <f ca="1">_xll.BDP($B63&amp; " Corp","RUSSIAN_CB_LOMBARD")</f>
        <v>#NAME?</v>
      </c>
      <c r="Q63" s="338" t="e">
        <f ca="1">_xll.BDP(B63&amp;" Corp", "INTERVAL_PERCENT_CHANGE", "END_DATE_OVERRIDE"," ", "START_DATE_OVERRIDe",R63)</f>
        <v>#NAME?</v>
      </c>
      <c r="R63" s="337">
        <v>20140716</v>
      </c>
      <c r="S63" s="336" t="e">
        <f ca="1">_xll.BDP($B63&amp; " Corp","PX_GROSS_MID")</f>
        <v>#NAME?</v>
      </c>
      <c r="T63" s="335" t="e">
        <f ca="1">_xll.BDP($B63&amp; " Corp","MIN_PIECE")</f>
        <v>#NAME?</v>
      </c>
    </row>
    <row r="64" spans="1:20" ht="15.75" x14ac:dyDescent="0.25">
      <c r="A64" s="336" t="e">
        <f ca="1">_xll.BDP(B64&amp; " Corp","name")</f>
        <v>#NAME?</v>
      </c>
      <c r="B64" s="336" t="s">
        <v>558</v>
      </c>
      <c r="C64" s="336" t="e">
        <f ca="1">_xll.BDP(B64 &amp; " Corp","MTY_YEARS_TDY")</f>
        <v>#NAME?</v>
      </c>
      <c r="D64" s="336" t="e">
        <f ca="1">_xll.BDP(B64 &amp; " Corp","px_last")</f>
        <v>#NAME?</v>
      </c>
      <c r="E64" s="336" t="e">
        <f ca="1">_xll.BDP(B64 &amp; " Corp","px_ask")</f>
        <v>#NAME?</v>
      </c>
      <c r="F64" s="336" t="e">
        <f ca="1">_xll.BDP(B64 &amp; " Corp","YLD_YTM_BID")</f>
        <v>#NAME?</v>
      </c>
      <c r="G64" s="336" t="e">
        <f ca="1">_xll.BDP(B64 &amp; " Corp","YLD_YTM_ask")</f>
        <v>#NAME?</v>
      </c>
      <c r="H64" s="336" t="e">
        <f ca="1">_xll.BDP(B64 &amp; " Corp","CPN")</f>
        <v>#NAME?</v>
      </c>
      <c r="I64" s="336" t="e">
        <f ca="1">_xll.BDP(B64&amp; " Corp","MATURITY")</f>
        <v>#NAME?</v>
      </c>
      <c r="J64" s="336" t="e">
        <f ca="1">IF(_xll.BDP(B64 &amp; " Corp","RTG_SP")="#N/A N/A","",_xll.BDP(B64 &amp; " Corp","RTG_SP"))&amp;"/"&amp;IF(_xll.BDP(B64 &amp; " Corp","RTG_fitch")="#N/A N/A","",_xll.BDP(B64 &amp; " Corp","RTG_fitch"))&amp;"/"&amp;IF(_xll.BDP(B64 &amp; " Corp","RTG_moody")="#N/A N/A","",_xll.BDP(B64 &amp; " Corp","RTG_moody"))</f>
        <v>#NAME?</v>
      </c>
      <c r="K64" s="336" t="e">
        <f ca="1">_xll.BDP($B64&amp; " Corp","INDUSTRY_SUBGROUP")</f>
        <v>#NAME?</v>
      </c>
      <c r="L64" s="336" t="e">
        <f ca="1">_xll.BDP(B64 &amp; " Corp","CRNCY")</f>
        <v>#NAME?</v>
      </c>
      <c r="M64" s="336" t="e">
        <f ca="1">_xll.BDP(B64 &amp; " Corp","CNTRY_OF_RISK")</f>
        <v>#NAME?</v>
      </c>
      <c r="N64" s="336" t="e">
        <f ca="1">_xll.BDP($B64&amp; " Corp","PAYMENT_RANK")</f>
        <v>#NAME?</v>
      </c>
      <c r="O64" s="336" t="e">
        <f ca="1">_xll.BDP($B64&amp; " Corp","MTY_TYP")</f>
        <v>#NAME?</v>
      </c>
      <c r="P64" s="336" t="e">
        <f ca="1">_xll.BDP($B64&amp; " Corp","RUSSIAN_CB_LOMBARD")</f>
        <v>#NAME?</v>
      </c>
      <c r="Q64" s="338" t="e">
        <f ca="1">_xll.BDP(B64&amp;" Corp", "INTERVAL_PERCENT_CHANGE", "END_DATE_OVERRIDE"," ", "START_DATE_OVERRIDe",R64)</f>
        <v>#NAME?</v>
      </c>
      <c r="R64" s="337">
        <v>20140716</v>
      </c>
      <c r="S64" s="336" t="e">
        <f ca="1">_xll.BDP($B64&amp; " Corp","PX_GROSS_MID")</f>
        <v>#NAME?</v>
      </c>
      <c r="T64" s="335" t="e">
        <f ca="1">_xll.BDP($B64&amp; " Corp","MIN_PIECE")</f>
        <v>#NAME?</v>
      </c>
    </row>
    <row r="65" spans="1:20" ht="15.75" x14ac:dyDescent="0.25">
      <c r="A65" s="336" t="e">
        <f ca="1">_xll.BDP(B65&amp; " Corp","name")</f>
        <v>#NAME?</v>
      </c>
      <c r="B65" s="336" t="s">
        <v>557</v>
      </c>
      <c r="C65" s="336" t="e">
        <f ca="1">_xll.BDP(B65 &amp; " Corp","MTY_YEARS_TDY")</f>
        <v>#NAME?</v>
      </c>
      <c r="D65" s="336" t="e">
        <f ca="1">_xll.BDP(B65 &amp; " Corp","px_last")</f>
        <v>#NAME?</v>
      </c>
      <c r="E65" s="336" t="e">
        <f ca="1">_xll.BDP(B65 &amp; " Corp","px_ask")</f>
        <v>#NAME?</v>
      </c>
      <c r="F65" s="336" t="e">
        <f ca="1">_xll.BDP(B65 &amp; " Corp","YLD_YTM_BID")</f>
        <v>#NAME?</v>
      </c>
      <c r="G65" s="336" t="e">
        <f ca="1">_xll.BDP(B65 &amp; " Corp","YLD_YTM_ask")</f>
        <v>#NAME?</v>
      </c>
      <c r="H65" s="336" t="e">
        <f ca="1">_xll.BDP(B65 &amp; " Corp","CPN")</f>
        <v>#NAME?</v>
      </c>
      <c r="I65" s="336" t="e">
        <f ca="1">_xll.BDP(B65&amp; " Corp","MATURITY")</f>
        <v>#NAME?</v>
      </c>
      <c r="J65" s="336" t="e">
        <f ca="1">IF(_xll.BDP(B65 &amp; " Corp","RTG_SP")="#N/A N/A","",_xll.BDP(B65 &amp; " Corp","RTG_SP"))&amp;"/"&amp;IF(_xll.BDP(B65 &amp; " Corp","RTG_fitch")="#N/A N/A","",_xll.BDP(B65 &amp; " Corp","RTG_fitch"))&amp;"/"&amp;IF(_xll.BDP(B65 &amp; " Corp","RTG_moody")="#N/A N/A","",_xll.BDP(B65 &amp; " Corp","RTG_moody"))</f>
        <v>#NAME?</v>
      </c>
      <c r="K65" s="336" t="e">
        <f ca="1">_xll.BDP($B65&amp; " Corp","INDUSTRY_SUBGROUP")</f>
        <v>#NAME?</v>
      </c>
      <c r="L65" s="336" t="e">
        <f ca="1">_xll.BDP(B65 &amp; " Corp","CRNCY")</f>
        <v>#NAME?</v>
      </c>
      <c r="M65" s="336" t="e">
        <f ca="1">_xll.BDP(B65 &amp; " Corp","CNTRY_OF_RISK")</f>
        <v>#NAME?</v>
      </c>
      <c r="N65" s="336" t="e">
        <f ca="1">_xll.BDP($B65&amp; " Corp","PAYMENT_RANK")</f>
        <v>#NAME?</v>
      </c>
      <c r="O65" s="336" t="e">
        <f ca="1">_xll.BDP($B65&amp; " Corp","MTY_TYP")</f>
        <v>#NAME?</v>
      </c>
      <c r="P65" s="336" t="e">
        <f ca="1">_xll.BDP($B65&amp; " Corp","RUSSIAN_CB_LOMBARD")</f>
        <v>#NAME?</v>
      </c>
      <c r="Q65" s="338" t="e">
        <f ca="1">_xll.BDP(B65&amp;" Corp", "INTERVAL_PERCENT_CHANGE", "END_DATE_OVERRIDE"," ", "START_DATE_OVERRIDe",R65)</f>
        <v>#NAME?</v>
      </c>
      <c r="R65" s="337">
        <v>20140716</v>
      </c>
      <c r="S65" s="336" t="e">
        <f ca="1">_xll.BDP($B65&amp; " Corp","PX_GROSS_MID")</f>
        <v>#NAME?</v>
      </c>
      <c r="T65" s="335" t="e">
        <f ca="1">_xll.BDP($B65&amp; " Corp","MIN_PIECE")</f>
        <v>#NAME?</v>
      </c>
    </row>
    <row r="66" spans="1:20" ht="15.75" x14ac:dyDescent="0.25">
      <c r="A66" s="336" t="e">
        <f ca="1">_xll.BDP(B66&amp; " Corp","name")</f>
        <v>#NAME?</v>
      </c>
      <c r="B66" s="336" t="s">
        <v>556</v>
      </c>
      <c r="C66" s="336" t="e">
        <f ca="1">_xll.BDP(B66 &amp; " Corp","MTY_YEARS_TDY")</f>
        <v>#NAME?</v>
      </c>
      <c r="D66" s="336" t="e">
        <f ca="1">_xll.BDP(B66 &amp; " Corp","px_last")</f>
        <v>#NAME?</v>
      </c>
      <c r="E66" s="336" t="e">
        <f ca="1">_xll.BDP(B66 &amp; " Corp","px_ask")</f>
        <v>#NAME?</v>
      </c>
      <c r="F66" s="336" t="e">
        <f ca="1">_xll.BDP(B66 &amp; " Corp","YLD_YTM_BID")</f>
        <v>#NAME?</v>
      </c>
      <c r="G66" s="336" t="e">
        <f ca="1">_xll.BDP(B66 &amp; " Corp","YLD_YTM_ask")</f>
        <v>#NAME?</v>
      </c>
      <c r="H66" s="336" t="e">
        <f ca="1">_xll.BDP(B66 &amp; " Corp","CPN")</f>
        <v>#NAME?</v>
      </c>
      <c r="I66" s="336" t="e">
        <f ca="1">_xll.BDP(B66&amp; " Corp","MATURITY")</f>
        <v>#NAME?</v>
      </c>
      <c r="J66" s="336" t="e">
        <f ca="1">IF(_xll.BDP(B66 &amp; " Corp","RTG_SP")="#N/A N/A","",_xll.BDP(B66 &amp; " Corp","RTG_SP"))&amp;"/"&amp;IF(_xll.BDP(B66 &amp; " Corp","RTG_fitch")="#N/A N/A","",_xll.BDP(B66 &amp; " Corp","RTG_fitch"))&amp;"/"&amp;IF(_xll.BDP(B66 &amp; " Corp","RTG_moody")="#N/A N/A","",_xll.BDP(B66 &amp; " Corp","RTG_moody"))</f>
        <v>#NAME?</v>
      </c>
      <c r="K66" s="336" t="e">
        <f ca="1">_xll.BDP($B66&amp; " Corp","INDUSTRY_SUBGROUP")</f>
        <v>#NAME?</v>
      </c>
      <c r="L66" s="336" t="e">
        <f ca="1">_xll.BDP(B66 &amp; " Corp","CRNCY")</f>
        <v>#NAME?</v>
      </c>
      <c r="M66" s="336" t="e">
        <f ca="1">_xll.BDP(B66 &amp; " Corp","CNTRY_OF_RISK")</f>
        <v>#NAME?</v>
      </c>
      <c r="N66" s="336" t="e">
        <f ca="1">_xll.BDP($B66&amp; " Corp","PAYMENT_RANK")</f>
        <v>#NAME?</v>
      </c>
      <c r="O66" s="336" t="e">
        <f ca="1">_xll.BDP($B66&amp; " Corp","MTY_TYP")</f>
        <v>#NAME?</v>
      </c>
      <c r="P66" s="336" t="e">
        <f ca="1">_xll.BDP($B66&amp; " Corp","RUSSIAN_CB_LOMBARD")</f>
        <v>#NAME?</v>
      </c>
      <c r="Q66" s="338" t="e">
        <f ca="1">_xll.BDP(B66&amp;" Corp", "INTERVAL_PERCENT_CHANGE", "END_DATE_OVERRIDE"," ", "START_DATE_OVERRIDe",R66)</f>
        <v>#NAME?</v>
      </c>
      <c r="R66" s="337">
        <v>20140716</v>
      </c>
      <c r="S66" s="336" t="e">
        <f ca="1">_xll.BDP($B66&amp; " Corp","PX_GROSS_MID")</f>
        <v>#NAME?</v>
      </c>
      <c r="T66" s="335" t="e">
        <f ca="1">_xll.BDP($B66&amp; " Corp","MIN_PIECE")</f>
        <v>#NAME?</v>
      </c>
    </row>
    <row r="67" spans="1:20" ht="15.75" x14ac:dyDescent="0.25">
      <c r="A67" s="336" t="e">
        <f ca="1">_xll.BDP(B67&amp; " Corp","name")</f>
        <v>#NAME?</v>
      </c>
      <c r="B67" s="336" t="s">
        <v>555</v>
      </c>
      <c r="C67" s="336" t="e">
        <f ca="1">_xll.BDP(B67 &amp; " Corp","MTY_YEARS_TDY")</f>
        <v>#NAME?</v>
      </c>
      <c r="D67" s="336" t="e">
        <f ca="1">_xll.BDP(B67 &amp; " Corp","px_last")</f>
        <v>#NAME?</v>
      </c>
      <c r="E67" s="336" t="e">
        <f ca="1">_xll.BDP(B67 &amp; " Corp","px_ask")</f>
        <v>#NAME?</v>
      </c>
      <c r="F67" s="336" t="e">
        <f ca="1">_xll.BDP(B67 &amp; " Corp","YLD_YTM_BID")</f>
        <v>#NAME?</v>
      </c>
      <c r="G67" s="336" t="e">
        <f ca="1">_xll.BDP(B67 &amp; " Corp","YLD_YTM_ask")</f>
        <v>#NAME?</v>
      </c>
      <c r="H67" s="336" t="e">
        <f ca="1">_xll.BDP(B67 &amp; " Corp","CPN")</f>
        <v>#NAME?</v>
      </c>
      <c r="I67" s="336" t="e">
        <f ca="1">_xll.BDP(B67&amp; " Corp","MATURITY")</f>
        <v>#NAME?</v>
      </c>
      <c r="J67" s="336" t="e">
        <f ca="1">IF(_xll.BDP(B67 &amp; " Corp","RTG_SP")="#N/A N/A","",_xll.BDP(B67 &amp; " Corp","RTG_SP"))&amp;"/"&amp;IF(_xll.BDP(B67 &amp; " Corp","RTG_fitch")="#N/A N/A","",_xll.BDP(B67 &amp; " Corp","RTG_fitch"))&amp;"/"&amp;IF(_xll.BDP(B67 &amp; " Corp","RTG_moody")="#N/A N/A","",_xll.BDP(B67 &amp; " Corp","RTG_moody"))</f>
        <v>#NAME?</v>
      </c>
      <c r="K67" s="336" t="e">
        <f ca="1">_xll.BDP($B67&amp; " Corp","INDUSTRY_SUBGROUP")</f>
        <v>#NAME?</v>
      </c>
      <c r="L67" s="336" t="e">
        <f ca="1">_xll.BDP(B67 &amp; " Corp","CRNCY")</f>
        <v>#NAME?</v>
      </c>
      <c r="M67" s="336" t="e">
        <f ca="1">_xll.BDP(B67 &amp; " Corp","CNTRY_OF_RISK")</f>
        <v>#NAME?</v>
      </c>
      <c r="N67" s="336" t="e">
        <f ca="1">_xll.BDP($B67&amp; " Corp","PAYMENT_RANK")</f>
        <v>#NAME?</v>
      </c>
      <c r="O67" s="336" t="e">
        <f ca="1">_xll.BDP($B67&amp; " Corp","MTY_TYP")</f>
        <v>#NAME?</v>
      </c>
      <c r="P67" s="336" t="e">
        <f ca="1">_xll.BDP($B67&amp; " Corp","RUSSIAN_CB_LOMBARD")</f>
        <v>#NAME?</v>
      </c>
      <c r="Q67" s="338" t="e">
        <f ca="1">_xll.BDP(B67&amp;" Corp", "INTERVAL_PERCENT_CHANGE", "END_DATE_OVERRIDE"," ", "START_DATE_OVERRIDe",R67)</f>
        <v>#NAME?</v>
      </c>
      <c r="R67" s="337">
        <v>20140716</v>
      </c>
      <c r="S67" s="336" t="e">
        <f ca="1">_xll.BDP($B67&amp; " Corp","PX_GROSS_MID")</f>
        <v>#NAME?</v>
      </c>
      <c r="T67" s="335" t="e">
        <f ca="1">_xll.BDP($B67&amp; " Corp","MIN_PIECE")</f>
        <v>#NAME?</v>
      </c>
    </row>
    <row r="68" spans="1:20" ht="15.75" x14ac:dyDescent="0.25">
      <c r="A68" s="336" t="e">
        <f ca="1">_xll.BDP(B68&amp; " Corp","name")</f>
        <v>#NAME?</v>
      </c>
      <c r="B68" s="339" t="s">
        <v>554</v>
      </c>
      <c r="C68" s="336" t="e">
        <f ca="1">_xll.BDP(B68 &amp; " Corp","MTY_YEARS_TDY")</f>
        <v>#NAME?</v>
      </c>
      <c r="D68" s="336" t="e">
        <f ca="1">_xll.BDP(B68 &amp; " Corp","px_last")</f>
        <v>#NAME?</v>
      </c>
      <c r="E68" s="336" t="e">
        <f ca="1">_xll.BDP(B68 &amp; " Corp","px_ask")</f>
        <v>#NAME?</v>
      </c>
      <c r="F68" s="336" t="e">
        <f ca="1">_xll.BDP(B68 &amp; " Corp","YLD_YTM_BID")</f>
        <v>#NAME?</v>
      </c>
      <c r="G68" s="336" t="e">
        <f ca="1">_xll.BDP(B68 &amp; " Corp","YLD_YTM_ask")</f>
        <v>#NAME?</v>
      </c>
      <c r="H68" s="336" t="e">
        <f ca="1">_xll.BDP(B68 &amp; " Corp","CPN")</f>
        <v>#NAME?</v>
      </c>
      <c r="I68" s="336" t="e">
        <f ca="1">_xll.BDP(B68&amp; " Corp","MATURITY")</f>
        <v>#NAME?</v>
      </c>
      <c r="J68" s="336" t="e">
        <f ca="1">IF(_xll.BDP(B68 &amp; " Corp","RTG_SP")="#N/A N/A","",_xll.BDP(B68 &amp; " Corp","RTG_SP"))&amp;"/"&amp;IF(_xll.BDP(B68 &amp; " Corp","RTG_fitch")="#N/A N/A","",_xll.BDP(B68 &amp; " Corp","RTG_fitch"))&amp;"/"&amp;IF(_xll.BDP(B68 &amp; " Corp","RTG_moody")="#N/A N/A","",_xll.BDP(B68 &amp; " Corp","RTG_moody"))</f>
        <v>#NAME?</v>
      </c>
      <c r="K68" s="336" t="e">
        <f ca="1">_xll.BDP($B68&amp; " Corp","INDUSTRY_SUBGROUP")</f>
        <v>#NAME?</v>
      </c>
      <c r="L68" s="336" t="e">
        <f ca="1">_xll.BDP(B68 &amp; " Corp","CRNCY")</f>
        <v>#NAME?</v>
      </c>
      <c r="M68" s="336" t="e">
        <f ca="1">_xll.BDP(B68 &amp; " Corp","CNTRY_OF_RISK")</f>
        <v>#NAME?</v>
      </c>
      <c r="N68" s="336" t="e">
        <f ca="1">_xll.BDP($B68&amp; " Corp","PAYMENT_RANK")</f>
        <v>#NAME?</v>
      </c>
      <c r="O68" s="336" t="e">
        <f ca="1">_xll.BDP($B68&amp; " Corp","MTY_TYP")</f>
        <v>#NAME?</v>
      </c>
      <c r="P68" s="336" t="e">
        <f ca="1">_xll.BDP($B68&amp; " Corp","RUSSIAN_CB_LOMBARD")</f>
        <v>#NAME?</v>
      </c>
      <c r="Q68" s="338" t="e">
        <f ca="1">_xll.BDP(B68&amp;" Corp", "INTERVAL_PERCENT_CHANGE", "END_DATE_OVERRIDE"," ", "START_DATE_OVERRIDe",R68)</f>
        <v>#NAME?</v>
      </c>
      <c r="R68" s="337">
        <v>20140716</v>
      </c>
      <c r="S68" s="336" t="e">
        <f ca="1">_xll.BDP($B68&amp; " Corp","PX_GROSS_MID")</f>
        <v>#NAME?</v>
      </c>
      <c r="T68" s="335" t="e">
        <f ca="1">_xll.BDP($B68&amp; " Corp","MIN_PIECE")</f>
        <v>#NAME?</v>
      </c>
    </row>
    <row r="69" spans="1:20" ht="15.75" x14ac:dyDescent="0.25">
      <c r="A69" s="336" t="e">
        <f ca="1">_xll.BDP(B69&amp; " Corp","name")</f>
        <v>#NAME?</v>
      </c>
      <c r="B69" s="336" t="s">
        <v>553</v>
      </c>
      <c r="C69" s="336" t="e">
        <f ca="1">_xll.BDP(B69 &amp; " Corp","MTY_YEARS_TDY")</f>
        <v>#NAME?</v>
      </c>
      <c r="D69" s="336" t="e">
        <f ca="1">_xll.BDP(B69 &amp; " Corp","px_last")</f>
        <v>#NAME?</v>
      </c>
      <c r="E69" s="336" t="e">
        <f ca="1">_xll.BDP(B69 &amp; " Corp","px_ask")</f>
        <v>#NAME?</v>
      </c>
      <c r="F69" s="336" t="e">
        <f ca="1">_xll.BDP(B69 &amp; " Corp","YLD_YTM_BID")</f>
        <v>#NAME?</v>
      </c>
      <c r="G69" s="336" t="e">
        <f ca="1">_xll.BDP(B69 &amp; " Corp","YLD_YTM_ask")</f>
        <v>#NAME?</v>
      </c>
      <c r="H69" s="336" t="e">
        <f ca="1">_xll.BDP(B69 &amp; " Corp","CPN")</f>
        <v>#NAME?</v>
      </c>
      <c r="I69" s="336" t="e">
        <f ca="1">_xll.BDP(B69&amp; " Corp","MATURITY")</f>
        <v>#NAME?</v>
      </c>
      <c r="J69" s="336" t="e">
        <f ca="1">IF(_xll.BDP(B69 &amp; " Corp","RTG_SP")="#N/A N/A","",_xll.BDP(B69 &amp; " Corp","RTG_SP"))&amp;"/"&amp;IF(_xll.BDP(B69 &amp; " Corp","RTG_fitch")="#N/A N/A","",_xll.BDP(B69 &amp; " Corp","RTG_fitch"))&amp;"/"&amp;IF(_xll.BDP(B69 &amp; " Corp","RTG_moody")="#N/A N/A","",_xll.BDP(B69 &amp; " Corp","RTG_moody"))</f>
        <v>#NAME?</v>
      </c>
      <c r="K69" s="336" t="e">
        <f ca="1">_xll.BDP($B69&amp; " Corp","INDUSTRY_SUBGROUP")</f>
        <v>#NAME?</v>
      </c>
      <c r="L69" s="336" t="e">
        <f ca="1">_xll.BDP(B69 &amp; " Corp","CRNCY")</f>
        <v>#NAME?</v>
      </c>
      <c r="M69" s="336" t="e">
        <f ca="1">_xll.BDP(B69 &amp; " Corp","CNTRY_OF_RISK")</f>
        <v>#NAME?</v>
      </c>
      <c r="N69" s="336" t="e">
        <f ca="1">_xll.BDP($B69&amp; " Corp","PAYMENT_RANK")</f>
        <v>#NAME?</v>
      </c>
      <c r="O69" s="336" t="e">
        <f ca="1">_xll.BDP($B69&amp; " Corp","MTY_TYP")</f>
        <v>#NAME?</v>
      </c>
      <c r="P69" s="336" t="e">
        <f ca="1">_xll.BDP($B69&amp; " Corp","RUSSIAN_CB_LOMBARD")</f>
        <v>#NAME?</v>
      </c>
      <c r="Q69" s="338" t="e">
        <f ca="1">_xll.BDP(B69&amp;" Corp", "INTERVAL_PERCENT_CHANGE", "END_DATE_OVERRIDE"," ", "START_DATE_OVERRIDe",R69)</f>
        <v>#NAME?</v>
      </c>
      <c r="R69" s="337">
        <v>20140716</v>
      </c>
      <c r="S69" s="336" t="e">
        <f ca="1">_xll.BDP($B69&amp; " Corp","PX_GROSS_MID")</f>
        <v>#NAME?</v>
      </c>
      <c r="T69" s="335" t="e">
        <f ca="1">_xll.BDP($B69&amp; " Corp","MIN_PIECE")</f>
        <v>#NAME?</v>
      </c>
    </row>
    <row r="70" spans="1:20" ht="15.75" x14ac:dyDescent="0.25">
      <c r="A70" s="336" t="e">
        <f ca="1">_xll.BDP(B70&amp; " Corp","name")</f>
        <v>#NAME?</v>
      </c>
      <c r="B70" s="336" t="s">
        <v>552</v>
      </c>
      <c r="C70" s="336" t="e">
        <f ca="1">_xll.BDP(B70 &amp; " Corp","MTY_YEARS_TDY")</f>
        <v>#NAME?</v>
      </c>
      <c r="D70" s="336" t="e">
        <f ca="1">_xll.BDP(B70 &amp; " Corp","px_last")</f>
        <v>#NAME?</v>
      </c>
      <c r="E70" s="336" t="e">
        <f ca="1">_xll.BDP(B70 &amp; " Corp","px_ask")</f>
        <v>#NAME?</v>
      </c>
      <c r="F70" s="336" t="e">
        <f ca="1">_xll.BDP(B70 &amp; " Corp","YLD_YTM_BID")</f>
        <v>#NAME?</v>
      </c>
      <c r="G70" s="336" t="e">
        <f ca="1">_xll.BDP(B70 &amp; " Corp","YLD_YTM_ask")</f>
        <v>#NAME?</v>
      </c>
      <c r="H70" s="336" t="e">
        <f ca="1">_xll.BDP(B70 &amp; " Corp","CPN")</f>
        <v>#NAME?</v>
      </c>
      <c r="I70" s="336" t="e">
        <f ca="1">_xll.BDP(B70&amp; " Corp","MATURITY")</f>
        <v>#NAME?</v>
      </c>
      <c r="J70" s="336" t="e">
        <f ca="1">IF(_xll.BDP(B70 &amp; " Corp","RTG_SP")="#N/A N/A","",_xll.BDP(B70 &amp; " Corp","RTG_SP"))&amp;"/"&amp;IF(_xll.BDP(B70 &amp; " Corp","RTG_fitch")="#N/A N/A","",_xll.BDP(B70 &amp; " Corp","RTG_fitch"))&amp;"/"&amp;IF(_xll.BDP(B70 &amp; " Corp","RTG_moody")="#N/A N/A","",_xll.BDP(B70 &amp; " Corp","RTG_moody"))</f>
        <v>#NAME?</v>
      </c>
      <c r="K70" s="336" t="e">
        <f ca="1">_xll.BDP($B70&amp; " Corp","INDUSTRY_SUBGROUP")</f>
        <v>#NAME?</v>
      </c>
      <c r="L70" s="336" t="e">
        <f ca="1">_xll.BDP(B70 &amp; " Corp","CRNCY")</f>
        <v>#NAME?</v>
      </c>
      <c r="M70" s="336" t="e">
        <f ca="1">_xll.BDP(B70 &amp; " Corp","CNTRY_OF_RISK")</f>
        <v>#NAME?</v>
      </c>
      <c r="N70" s="336" t="e">
        <f ca="1">_xll.BDP($B70&amp; " Corp","PAYMENT_RANK")</f>
        <v>#NAME?</v>
      </c>
      <c r="O70" s="336" t="e">
        <f ca="1">_xll.BDP($B70&amp; " Corp","MTY_TYP")</f>
        <v>#NAME?</v>
      </c>
      <c r="P70" s="336" t="e">
        <f ca="1">_xll.BDP($B70&amp; " Corp","RUSSIAN_CB_LOMBARD")</f>
        <v>#NAME?</v>
      </c>
      <c r="Q70" s="338" t="e">
        <f ca="1">_xll.BDP(B70&amp;" Corp", "INTERVAL_PERCENT_CHANGE", "END_DATE_OVERRIDE"," ", "START_DATE_OVERRIDe",R70)</f>
        <v>#NAME?</v>
      </c>
      <c r="R70" s="337">
        <v>20140716</v>
      </c>
      <c r="S70" s="336" t="e">
        <f ca="1">_xll.BDP($B70&amp; " Corp","PX_GROSS_MID")</f>
        <v>#NAME?</v>
      </c>
      <c r="T70" s="335" t="e">
        <f ca="1">_xll.BDP($B70&amp; " Corp","MIN_PIECE")</f>
        <v>#NAME?</v>
      </c>
    </row>
    <row r="71" spans="1:20" ht="15.75" x14ac:dyDescent="0.25">
      <c r="A71" s="336" t="e">
        <f ca="1">_xll.BDP(B71&amp; " Corp","name")</f>
        <v>#NAME?</v>
      </c>
      <c r="B71" s="336" t="s">
        <v>551</v>
      </c>
      <c r="C71" s="336" t="e">
        <f ca="1">_xll.BDP(B71 &amp; " Corp","MTY_YEARS_TDY")</f>
        <v>#NAME?</v>
      </c>
      <c r="D71" s="336" t="e">
        <f ca="1">_xll.BDP(B71 &amp; " Corp","px_last")</f>
        <v>#NAME?</v>
      </c>
      <c r="E71" s="336" t="e">
        <f ca="1">_xll.BDP(B71 &amp; " Corp","px_ask")</f>
        <v>#NAME?</v>
      </c>
      <c r="F71" s="336" t="e">
        <f ca="1">_xll.BDP(B71 &amp; " Corp","YLD_YTM_BID")</f>
        <v>#NAME?</v>
      </c>
      <c r="G71" s="336" t="e">
        <f ca="1">_xll.BDP(B71 &amp; " Corp","YLD_YTM_ask")</f>
        <v>#NAME?</v>
      </c>
      <c r="H71" s="336" t="e">
        <f ca="1">_xll.BDP(B71 &amp; " Corp","CPN")</f>
        <v>#NAME?</v>
      </c>
      <c r="I71" s="336" t="e">
        <f ca="1">_xll.BDP(B71&amp; " Corp","MATURITY")</f>
        <v>#NAME?</v>
      </c>
      <c r="J71" s="336" t="e">
        <f ca="1">IF(_xll.BDP(B71 &amp; " Corp","RTG_SP")="#N/A N/A","",_xll.BDP(B71 &amp; " Corp","RTG_SP"))&amp;"/"&amp;IF(_xll.BDP(B71 &amp; " Corp","RTG_fitch")="#N/A N/A","",_xll.BDP(B71 &amp; " Corp","RTG_fitch"))&amp;"/"&amp;IF(_xll.BDP(B71 &amp; " Corp","RTG_moody")="#N/A N/A","",_xll.BDP(B71 &amp; " Corp","RTG_moody"))</f>
        <v>#NAME?</v>
      </c>
      <c r="K71" s="336" t="e">
        <f ca="1">_xll.BDP($B71&amp; " Corp","INDUSTRY_SUBGROUP")</f>
        <v>#NAME?</v>
      </c>
      <c r="L71" s="336" t="e">
        <f ca="1">_xll.BDP(B71 &amp; " Corp","CRNCY")</f>
        <v>#NAME?</v>
      </c>
      <c r="M71" s="336" t="e">
        <f ca="1">_xll.BDP(B71 &amp; " Corp","CNTRY_OF_RISK")</f>
        <v>#NAME?</v>
      </c>
      <c r="N71" s="336" t="e">
        <f ca="1">_xll.BDP($B71&amp; " Corp","PAYMENT_RANK")</f>
        <v>#NAME?</v>
      </c>
      <c r="O71" s="336" t="e">
        <f ca="1">_xll.BDP($B71&amp; " Corp","MTY_TYP")</f>
        <v>#NAME?</v>
      </c>
      <c r="P71" s="336" t="e">
        <f ca="1">_xll.BDP($B71&amp; " Corp","RUSSIAN_CB_LOMBARD")</f>
        <v>#NAME?</v>
      </c>
      <c r="Q71" s="338" t="e">
        <f ca="1">_xll.BDP(B71&amp;" Corp", "INTERVAL_PERCENT_CHANGE", "END_DATE_OVERRIDE"," ", "START_DATE_OVERRIDe",R71)</f>
        <v>#NAME?</v>
      </c>
      <c r="R71" s="337">
        <v>20140716</v>
      </c>
      <c r="S71" s="336" t="e">
        <f ca="1">_xll.BDP($B71&amp; " Corp","PX_GROSS_MID")</f>
        <v>#NAME?</v>
      </c>
      <c r="T71" s="335" t="e">
        <f ca="1">_xll.BDP($B71&amp; " Corp","MIN_PIECE")</f>
        <v>#NAME?</v>
      </c>
    </row>
    <row r="72" spans="1:20" ht="15.75" x14ac:dyDescent="0.25">
      <c r="A72" s="336" t="e">
        <f ca="1">_xll.BDP(B72&amp; " Corp","name")</f>
        <v>#NAME?</v>
      </c>
      <c r="B72" s="336" t="s">
        <v>550</v>
      </c>
      <c r="C72" s="336" t="e">
        <f ca="1">_xll.BDP(B72 &amp; " Corp","MTY_YEARS_TDY")</f>
        <v>#NAME?</v>
      </c>
      <c r="D72" s="336" t="e">
        <f ca="1">_xll.BDP(B72 &amp; " Corp","px_last")</f>
        <v>#NAME?</v>
      </c>
      <c r="E72" s="336" t="e">
        <f ca="1">_xll.BDP(B72 &amp; " Corp","px_ask")</f>
        <v>#NAME?</v>
      </c>
      <c r="F72" s="336" t="e">
        <f ca="1">_xll.BDP(B72 &amp; " Corp","YLD_YTM_BID")</f>
        <v>#NAME?</v>
      </c>
      <c r="G72" s="336" t="e">
        <f ca="1">_xll.BDP(B72 &amp; " Corp","YLD_YTM_ask")</f>
        <v>#NAME?</v>
      </c>
      <c r="H72" s="336" t="e">
        <f ca="1">_xll.BDP(B72 &amp; " Corp","CPN")</f>
        <v>#NAME?</v>
      </c>
      <c r="I72" s="336" t="e">
        <f ca="1">_xll.BDP(B72&amp; " Corp","MATURITY")</f>
        <v>#NAME?</v>
      </c>
      <c r="J72" s="336" t="e">
        <f ca="1">IF(_xll.BDP(B72 &amp; " Corp","RTG_SP")="#N/A N/A","",_xll.BDP(B72 &amp; " Corp","RTG_SP"))&amp;"/"&amp;IF(_xll.BDP(B72 &amp; " Corp","RTG_fitch")="#N/A N/A","",_xll.BDP(B72 &amp; " Corp","RTG_fitch"))&amp;"/"&amp;IF(_xll.BDP(B72 &amp; " Corp","RTG_moody")="#N/A N/A","",_xll.BDP(B72 &amp; " Corp","RTG_moody"))</f>
        <v>#NAME?</v>
      </c>
      <c r="K72" s="336" t="e">
        <f ca="1">_xll.BDP($B72&amp; " Corp","INDUSTRY_SUBGROUP")</f>
        <v>#NAME?</v>
      </c>
      <c r="L72" s="336" t="e">
        <f ca="1">_xll.BDP(B72 &amp; " Corp","CRNCY")</f>
        <v>#NAME?</v>
      </c>
      <c r="M72" s="336" t="e">
        <f ca="1">_xll.BDP(B72 &amp; " Corp","CNTRY_OF_RISK")</f>
        <v>#NAME?</v>
      </c>
      <c r="N72" s="336" t="e">
        <f ca="1">_xll.BDP($B72&amp; " Corp","PAYMENT_RANK")</f>
        <v>#NAME?</v>
      </c>
      <c r="O72" s="336" t="e">
        <f ca="1">_xll.BDP($B72&amp; " Corp","MTY_TYP")</f>
        <v>#NAME?</v>
      </c>
      <c r="P72" s="336" t="e">
        <f ca="1">_xll.BDP($B72&amp; " Corp","RUSSIAN_CB_LOMBARD")</f>
        <v>#NAME?</v>
      </c>
      <c r="Q72" s="338" t="e">
        <f ca="1">_xll.BDP(B72&amp;" Corp", "INTERVAL_PERCENT_CHANGE", "END_DATE_OVERRIDE"," ", "START_DATE_OVERRIDe",R72)</f>
        <v>#NAME?</v>
      </c>
      <c r="R72" s="337">
        <v>20140716</v>
      </c>
      <c r="S72" s="336" t="e">
        <f ca="1">_xll.BDP($B72&amp; " Corp","PX_GROSS_MID")</f>
        <v>#NAME?</v>
      </c>
      <c r="T72" s="335" t="e">
        <f ca="1">_xll.BDP($B72&amp; " Corp","MIN_PIECE")</f>
        <v>#NAME?</v>
      </c>
    </row>
    <row r="73" spans="1:20" ht="15.75" x14ac:dyDescent="0.25">
      <c r="A73" s="336" t="e">
        <f ca="1">_xll.BDP(B73&amp; " Corp","name")</f>
        <v>#NAME?</v>
      </c>
      <c r="B73" s="336" t="s">
        <v>549</v>
      </c>
      <c r="C73" s="336" t="e">
        <f ca="1">_xll.BDP(B73 &amp; " Corp","MTY_YEARS_TDY")</f>
        <v>#NAME?</v>
      </c>
      <c r="D73" s="336" t="e">
        <f ca="1">_xll.BDP(B73 &amp; " Corp","px_last")</f>
        <v>#NAME?</v>
      </c>
      <c r="E73" s="336" t="e">
        <f ca="1">_xll.BDP(B73 &amp; " Corp","px_ask")</f>
        <v>#NAME?</v>
      </c>
      <c r="F73" s="336" t="e">
        <f ca="1">_xll.BDP(B73 &amp; " Corp","YLD_YTM_BID")</f>
        <v>#NAME?</v>
      </c>
      <c r="G73" s="336" t="e">
        <f ca="1">_xll.BDP(B73 &amp; " Corp","YLD_YTM_ask")</f>
        <v>#NAME?</v>
      </c>
      <c r="H73" s="336" t="e">
        <f ca="1">_xll.BDP(B73 &amp; " Corp","CPN")</f>
        <v>#NAME?</v>
      </c>
      <c r="I73" s="336" t="e">
        <f ca="1">_xll.BDP(B73&amp; " Corp","MATURITY")</f>
        <v>#NAME?</v>
      </c>
      <c r="J73" s="336" t="e">
        <f ca="1">IF(_xll.BDP(B73 &amp; " Corp","RTG_SP")="#N/A N/A","",_xll.BDP(B73 &amp; " Corp","RTG_SP"))&amp;"/"&amp;IF(_xll.BDP(B73 &amp; " Corp","RTG_fitch")="#N/A N/A","",_xll.BDP(B73 &amp; " Corp","RTG_fitch"))&amp;"/"&amp;IF(_xll.BDP(B73 &amp; " Corp","RTG_moody")="#N/A N/A","",_xll.BDP(B73 &amp; " Corp","RTG_moody"))</f>
        <v>#NAME?</v>
      </c>
      <c r="K73" s="336" t="e">
        <f ca="1">_xll.BDP($B73&amp; " Corp","INDUSTRY_SUBGROUP")</f>
        <v>#NAME?</v>
      </c>
      <c r="L73" s="336" t="e">
        <f ca="1">_xll.BDP(B73 &amp; " Corp","CRNCY")</f>
        <v>#NAME?</v>
      </c>
      <c r="M73" s="336" t="e">
        <f ca="1">_xll.BDP(B73 &amp; " Corp","CNTRY_OF_RISK")</f>
        <v>#NAME?</v>
      </c>
      <c r="N73" s="336" t="e">
        <f ca="1">_xll.BDP($B73&amp; " Corp","PAYMENT_RANK")</f>
        <v>#NAME?</v>
      </c>
      <c r="O73" s="336" t="e">
        <f ca="1">_xll.BDP($B73&amp; " Corp","MTY_TYP")</f>
        <v>#NAME?</v>
      </c>
      <c r="P73" s="336" t="e">
        <f ca="1">_xll.BDP($B73&amp; " Corp","RUSSIAN_CB_LOMBARD")</f>
        <v>#NAME?</v>
      </c>
      <c r="Q73" s="338" t="e">
        <f ca="1">_xll.BDP(B73&amp;" Corp", "INTERVAL_PERCENT_CHANGE", "END_DATE_OVERRIDE"," ", "START_DATE_OVERRIDe",R73)</f>
        <v>#NAME?</v>
      </c>
      <c r="R73" s="337">
        <v>20140716</v>
      </c>
      <c r="S73" s="336" t="e">
        <f ca="1">_xll.BDP($B73&amp; " Corp","PX_GROSS_MID")</f>
        <v>#NAME?</v>
      </c>
      <c r="T73" s="335" t="e">
        <f ca="1">_xll.BDP($B73&amp; " Corp","MIN_PIECE")</f>
        <v>#NAME?</v>
      </c>
    </row>
    <row r="74" spans="1:20" ht="15.75" x14ac:dyDescent="0.25">
      <c r="A74" s="336" t="e">
        <f ca="1">_xll.BDP(B74&amp; " Corp","name")</f>
        <v>#NAME?</v>
      </c>
      <c r="B74" s="336" t="s">
        <v>548</v>
      </c>
      <c r="C74" s="336" t="e">
        <f ca="1">_xll.BDP(B74 &amp; " Corp","MTY_YEARS_TDY")</f>
        <v>#NAME?</v>
      </c>
      <c r="D74" s="336" t="e">
        <f ca="1">_xll.BDP(B74 &amp; " Corp","px_last")</f>
        <v>#NAME?</v>
      </c>
      <c r="E74" s="336" t="e">
        <f ca="1">_xll.BDP(B74 &amp; " Corp","px_ask")</f>
        <v>#NAME?</v>
      </c>
      <c r="F74" s="336" t="e">
        <f ca="1">_xll.BDP(B74 &amp; " Corp","YLD_YTM_BID")</f>
        <v>#NAME?</v>
      </c>
      <c r="G74" s="336" t="e">
        <f ca="1">_xll.BDP(B74 &amp; " Corp","YLD_YTM_ask")</f>
        <v>#NAME?</v>
      </c>
      <c r="H74" s="336" t="e">
        <f ca="1">_xll.BDP(B74 &amp; " Corp","CPN")</f>
        <v>#NAME?</v>
      </c>
      <c r="I74" s="336" t="e">
        <f ca="1">_xll.BDP(B74&amp; " Corp","MATURITY")</f>
        <v>#NAME?</v>
      </c>
      <c r="J74" s="336" t="e">
        <f ca="1">IF(_xll.BDP(B74 &amp; " Corp","RTG_SP")="#N/A N/A","",_xll.BDP(B74 &amp; " Corp","RTG_SP"))&amp;"/"&amp;IF(_xll.BDP(B74 &amp; " Corp","RTG_fitch")="#N/A N/A","",_xll.BDP(B74 &amp; " Corp","RTG_fitch"))&amp;"/"&amp;IF(_xll.BDP(B74 &amp; " Corp","RTG_moody")="#N/A N/A","",_xll.BDP(B74 &amp; " Corp","RTG_moody"))</f>
        <v>#NAME?</v>
      </c>
      <c r="K74" s="336" t="e">
        <f ca="1">_xll.BDP($B74&amp; " Corp","INDUSTRY_SUBGROUP")</f>
        <v>#NAME?</v>
      </c>
      <c r="L74" s="336" t="e">
        <f ca="1">_xll.BDP(B74 &amp; " Corp","CRNCY")</f>
        <v>#NAME?</v>
      </c>
      <c r="M74" s="336" t="e">
        <f ca="1">_xll.BDP(B74 &amp; " Corp","CNTRY_OF_RISK")</f>
        <v>#NAME?</v>
      </c>
      <c r="N74" s="336" t="e">
        <f ca="1">_xll.BDP($B74&amp; " Corp","PAYMENT_RANK")</f>
        <v>#NAME?</v>
      </c>
      <c r="O74" s="336" t="e">
        <f ca="1">_xll.BDP($B74&amp; " Corp","MTY_TYP")</f>
        <v>#NAME?</v>
      </c>
      <c r="P74" s="336" t="e">
        <f ca="1">_xll.BDP($B74&amp; " Corp","RUSSIAN_CB_LOMBARD")</f>
        <v>#NAME?</v>
      </c>
      <c r="Q74" s="338" t="e">
        <f ca="1">_xll.BDP(B74&amp;" Corp", "INTERVAL_PERCENT_CHANGE", "END_DATE_OVERRIDE"," ", "START_DATE_OVERRIDe",R74)</f>
        <v>#NAME?</v>
      </c>
      <c r="R74" s="337">
        <v>20140716</v>
      </c>
      <c r="S74" s="336" t="e">
        <f ca="1">_xll.BDP($B74&amp; " Corp","PX_GROSS_MID")</f>
        <v>#NAME?</v>
      </c>
      <c r="T74" s="335" t="e">
        <f ca="1">_xll.BDP($B74&amp; " Corp","MIN_PIECE")</f>
        <v>#NAME?</v>
      </c>
    </row>
    <row r="75" spans="1:20" ht="15.75" x14ac:dyDescent="0.25">
      <c r="A75" s="336" t="e">
        <f ca="1">_xll.BDP(B75&amp; " Corp","name")</f>
        <v>#NAME?</v>
      </c>
      <c r="B75" s="336" t="s">
        <v>547</v>
      </c>
      <c r="C75" s="336" t="e">
        <f ca="1">_xll.BDP(B75 &amp; " Corp","MTY_YEARS_TDY")</f>
        <v>#NAME?</v>
      </c>
      <c r="D75" s="336" t="e">
        <f ca="1">_xll.BDP(B75 &amp; " Corp","px_last")</f>
        <v>#NAME?</v>
      </c>
      <c r="E75" s="336" t="e">
        <f ca="1">_xll.BDP(B75 &amp; " Corp","px_ask")</f>
        <v>#NAME?</v>
      </c>
      <c r="F75" s="336" t="e">
        <f ca="1">_xll.BDP(B75 &amp; " Corp","YLD_YTM_BID")</f>
        <v>#NAME?</v>
      </c>
      <c r="G75" s="336" t="e">
        <f ca="1">_xll.BDP(B75 &amp; " Corp","YLD_YTM_ask")</f>
        <v>#NAME?</v>
      </c>
      <c r="H75" s="336" t="e">
        <f ca="1">_xll.BDP(B75 &amp; " Corp","CPN")</f>
        <v>#NAME?</v>
      </c>
      <c r="I75" s="336" t="e">
        <f ca="1">_xll.BDP(B75&amp; " Corp","MATURITY")</f>
        <v>#NAME?</v>
      </c>
      <c r="J75" s="336" t="e">
        <f ca="1">IF(_xll.BDP(B75 &amp; " Corp","RTG_SP")="#N/A N/A","",_xll.BDP(B75 &amp; " Corp","RTG_SP"))&amp;"/"&amp;IF(_xll.BDP(B75 &amp; " Corp","RTG_fitch")="#N/A N/A","",_xll.BDP(B75 &amp; " Corp","RTG_fitch"))&amp;"/"&amp;IF(_xll.BDP(B75 &amp; " Corp","RTG_moody")="#N/A N/A","",_xll.BDP(B75 &amp; " Corp","RTG_moody"))</f>
        <v>#NAME?</v>
      </c>
      <c r="K75" s="336" t="e">
        <f ca="1">_xll.BDP($B75&amp; " Corp","INDUSTRY_SUBGROUP")</f>
        <v>#NAME?</v>
      </c>
      <c r="L75" s="336" t="e">
        <f ca="1">_xll.BDP(B75 &amp; " Corp","CRNCY")</f>
        <v>#NAME?</v>
      </c>
      <c r="M75" s="336" t="e">
        <f ca="1">_xll.BDP(B75 &amp; " Corp","CNTRY_OF_RISK")</f>
        <v>#NAME?</v>
      </c>
      <c r="N75" s="336" t="e">
        <f ca="1">_xll.BDP($B75&amp; " Corp","PAYMENT_RANK")</f>
        <v>#NAME?</v>
      </c>
      <c r="O75" s="336" t="e">
        <f ca="1">_xll.BDP($B75&amp; " Corp","MTY_TYP")</f>
        <v>#NAME?</v>
      </c>
      <c r="P75" s="336" t="e">
        <f ca="1">_xll.BDP($B75&amp; " Corp","RUSSIAN_CB_LOMBARD")</f>
        <v>#NAME?</v>
      </c>
      <c r="Q75" s="338" t="e">
        <f ca="1">_xll.BDP(B75&amp;" Corp", "INTERVAL_PERCENT_CHANGE", "END_DATE_OVERRIDE"," ", "START_DATE_OVERRIDe",R75)</f>
        <v>#NAME?</v>
      </c>
      <c r="R75" s="337">
        <v>20140716</v>
      </c>
      <c r="S75" s="336" t="e">
        <f ca="1">_xll.BDP($B75&amp; " Corp","PX_GROSS_MID")</f>
        <v>#NAME?</v>
      </c>
      <c r="T75" s="335" t="e">
        <f ca="1">_xll.BDP($B75&amp; " Corp","MIN_PIECE")</f>
        <v>#NAME?</v>
      </c>
    </row>
    <row r="76" spans="1:20" ht="15.75" x14ac:dyDescent="0.25">
      <c r="A76" s="336" t="e">
        <f ca="1">_xll.BDP(B76&amp; " Corp","name")</f>
        <v>#NAME?</v>
      </c>
      <c r="B76" s="336" t="s">
        <v>546</v>
      </c>
      <c r="C76" s="336" t="e">
        <f ca="1">_xll.BDP(B76 &amp; " Corp","MTY_YEARS_TDY")</f>
        <v>#NAME?</v>
      </c>
      <c r="D76" s="336" t="e">
        <f ca="1">_xll.BDP(B76 &amp; " Corp","px_last")</f>
        <v>#NAME?</v>
      </c>
      <c r="E76" s="336" t="e">
        <f ca="1">_xll.BDP(B76 &amp; " Corp","px_ask")</f>
        <v>#NAME?</v>
      </c>
      <c r="F76" s="336" t="e">
        <f ca="1">_xll.BDP(B76 &amp; " Corp","YLD_YTM_BID")</f>
        <v>#NAME?</v>
      </c>
      <c r="G76" s="336" t="e">
        <f ca="1">_xll.BDP(B76 &amp; " Corp","YLD_YTM_ask")</f>
        <v>#NAME?</v>
      </c>
      <c r="H76" s="336" t="e">
        <f ca="1">_xll.BDP(B76 &amp; " Corp","CPN")</f>
        <v>#NAME?</v>
      </c>
      <c r="I76" s="336" t="e">
        <f ca="1">_xll.BDP(B76&amp; " Corp","MATURITY")</f>
        <v>#NAME?</v>
      </c>
      <c r="J76" s="336" t="e">
        <f ca="1">IF(_xll.BDP(B76 &amp; " Corp","RTG_SP")="#N/A N/A","",_xll.BDP(B76 &amp; " Corp","RTG_SP"))&amp;"/"&amp;IF(_xll.BDP(B76 &amp; " Corp","RTG_fitch")="#N/A N/A","",_xll.BDP(B76 &amp; " Corp","RTG_fitch"))&amp;"/"&amp;IF(_xll.BDP(B76 &amp; " Corp","RTG_moody")="#N/A N/A","",_xll.BDP(B76 &amp; " Corp","RTG_moody"))</f>
        <v>#NAME?</v>
      </c>
      <c r="K76" s="336" t="e">
        <f ca="1">_xll.BDP($B76&amp; " Corp","INDUSTRY_SUBGROUP")</f>
        <v>#NAME?</v>
      </c>
      <c r="L76" s="336" t="e">
        <f ca="1">_xll.BDP(B76 &amp; " Corp","CRNCY")</f>
        <v>#NAME?</v>
      </c>
      <c r="M76" s="336" t="e">
        <f ca="1">_xll.BDP(B76 &amp; " Corp","CNTRY_OF_RISK")</f>
        <v>#NAME?</v>
      </c>
      <c r="N76" s="336" t="e">
        <f ca="1">_xll.BDP($B76&amp; " Corp","PAYMENT_RANK")</f>
        <v>#NAME?</v>
      </c>
      <c r="O76" s="336" t="e">
        <f ca="1">_xll.BDP($B76&amp; " Corp","MTY_TYP")</f>
        <v>#NAME?</v>
      </c>
      <c r="P76" s="336" t="e">
        <f ca="1">_xll.BDP($B76&amp; " Corp","RUSSIAN_CB_LOMBARD")</f>
        <v>#NAME?</v>
      </c>
      <c r="Q76" s="338" t="e">
        <f ca="1">_xll.BDP(B76&amp;" Corp", "INTERVAL_PERCENT_CHANGE", "END_DATE_OVERRIDE"," ", "START_DATE_OVERRIDe",R76)</f>
        <v>#NAME?</v>
      </c>
      <c r="R76" s="337">
        <v>20140716</v>
      </c>
      <c r="S76" s="336" t="e">
        <f ca="1">_xll.BDP($B76&amp; " Corp","PX_GROSS_MID")</f>
        <v>#NAME?</v>
      </c>
      <c r="T76" s="335" t="e">
        <f ca="1">_xll.BDP($B76&amp; " Corp","MIN_PIECE")</f>
        <v>#NAME?</v>
      </c>
    </row>
    <row r="77" spans="1:20" ht="15.75" x14ac:dyDescent="0.25">
      <c r="A77" s="336" t="e">
        <f ca="1">_xll.BDP(B77&amp; " Corp","name")</f>
        <v>#NAME?</v>
      </c>
      <c r="B77" s="336" t="s">
        <v>545</v>
      </c>
      <c r="C77" s="336" t="e">
        <f ca="1">_xll.BDP(B77 &amp; " Corp","MTY_YEARS_TDY")</f>
        <v>#NAME?</v>
      </c>
      <c r="D77" s="336" t="e">
        <f ca="1">_xll.BDP(B77 &amp; " Corp","px_last")</f>
        <v>#NAME?</v>
      </c>
      <c r="E77" s="336" t="e">
        <f ca="1">_xll.BDP(B77 &amp; " Corp","px_ask")</f>
        <v>#NAME?</v>
      </c>
      <c r="F77" s="336" t="e">
        <f ca="1">_xll.BDP(B77 &amp; " Corp","YLD_YTM_BID")</f>
        <v>#NAME?</v>
      </c>
      <c r="G77" s="336" t="e">
        <f ca="1">_xll.BDP(B77 &amp; " Corp","YLD_YTM_ask")</f>
        <v>#NAME?</v>
      </c>
      <c r="H77" s="336" t="e">
        <f ca="1">_xll.BDP(B77 &amp; " Corp","CPN")</f>
        <v>#NAME?</v>
      </c>
      <c r="I77" s="336" t="e">
        <f ca="1">_xll.BDP(B77&amp; " Corp","MATURITY")</f>
        <v>#NAME?</v>
      </c>
      <c r="J77" s="336" t="e">
        <f ca="1">IF(_xll.BDP(B77 &amp; " Corp","RTG_SP")="#N/A N/A","",_xll.BDP(B77 &amp; " Corp","RTG_SP"))&amp;"/"&amp;IF(_xll.BDP(B77 &amp; " Corp","RTG_fitch")="#N/A N/A","",_xll.BDP(B77 &amp; " Corp","RTG_fitch"))&amp;"/"&amp;IF(_xll.BDP(B77 &amp; " Corp","RTG_moody")="#N/A N/A","",_xll.BDP(B77 &amp; " Corp","RTG_moody"))</f>
        <v>#NAME?</v>
      </c>
      <c r="K77" s="336" t="e">
        <f ca="1">_xll.BDP($B77&amp; " Corp","INDUSTRY_SUBGROUP")</f>
        <v>#NAME?</v>
      </c>
      <c r="L77" s="336" t="e">
        <f ca="1">_xll.BDP(B77 &amp; " Corp","CRNCY")</f>
        <v>#NAME?</v>
      </c>
      <c r="M77" s="336" t="e">
        <f ca="1">_xll.BDP(B77 &amp; " Corp","CNTRY_OF_RISK")</f>
        <v>#NAME?</v>
      </c>
      <c r="N77" s="336" t="e">
        <f ca="1">_xll.BDP($B77&amp; " Corp","PAYMENT_RANK")</f>
        <v>#NAME?</v>
      </c>
      <c r="O77" s="336" t="e">
        <f ca="1">_xll.BDP($B77&amp; " Corp","MTY_TYP")</f>
        <v>#NAME?</v>
      </c>
      <c r="P77" s="336" t="e">
        <f ca="1">_xll.BDP($B77&amp; " Corp","RUSSIAN_CB_LOMBARD")</f>
        <v>#NAME?</v>
      </c>
      <c r="Q77" s="338" t="e">
        <f ca="1">_xll.BDP(B77&amp;" Corp", "INTERVAL_PERCENT_CHANGE", "END_DATE_OVERRIDE"," ", "START_DATE_OVERRIDe",R77)</f>
        <v>#NAME?</v>
      </c>
      <c r="R77" s="337">
        <v>20140716</v>
      </c>
      <c r="S77" s="336" t="e">
        <f ca="1">_xll.BDP($B77&amp; " Corp","PX_GROSS_MID")</f>
        <v>#NAME?</v>
      </c>
      <c r="T77" s="335" t="e">
        <f ca="1">_xll.BDP($B77&amp; " Corp","MIN_PIECE")</f>
        <v>#NAME?</v>
      </c>
    </row>
    <row r="78" spans="1:20" ht="15.75" x14ac:dyDescent="0.25">
      <c r="A78" s="336" t="e">
        <f ca="1">_xll.BDP(B78&amp; " Corp","name")</f>
        <v>#NAME?</v>
      </c>
      <c r="B78" s="336" t="s">
        <v>544</v>
      </c>
      <c r="C78" s="336" t="e">
        <f ca="1">_xll.BDP(B78 &amp; " Corp","MTY_YEARS_TDY")</f>
        <v>#NAME?</v>
      </c>
      <c r="D78" s="336" t="e">
        <f ca="1">_xll.BDP(B78 &amp; " Corp","px_last")</f>
        <v>#NAME?</v>
      </c>
      <c r="E78" s="336" t="e">
        <f ca="1">_xll.BDP(B78 &amp; " Corp","px_ask")</f>
        <v>#NAME?</v>
      </c>
      <c r="F78" s="336" t="e">
        <f ca="1">_xll.BDP(B78 &amp; " Corp","YLD_YTM_BID")</f>
        <v>#NAME?</v>
      </c>
      <c r="G78" s="336" t="e">
        <f ca="1">_xll.BDP(B78 &amp; " Corp","YLD_YTM_ask")</f>
        <v>#NAME?</v>
      </c>
      <c r="H78" s="336" t="e">
        <f ca="1">_xll.BDP(B78 &amp; " Corp","CPN")</f>
        <v>#NAME?</v>
      </c>
      <c r="I78" s="336" t="e">
        <f ca="1">_xll.BDP(B78&amp; " Corp","MATURITY")</f>
        <v>#NAME?</v>
      </c>
      <c r="J78" s="336" t="e">
        <f ca="1">IF(_xll.BDP(B78 &amp; " Corp","RTG_SP")="#N/A N/A","",_xll.BDP(B78 &amp; " Corp","RTG_SP"))&amp;"/"&amp;IF(_xll.BDP(B78 &amp; " Corp","RTG_fitch")="#N/A N/A","",_xll.BDP(B78 &amp; " Corp","RTG_fitch"))&amp;"/"&amp;IF(_xll.BDP(B78 &amp; " Corp","RTG_moody")="#N/A N/A","",_xll.BDP(B78 &amp; " Corp","RTG_moody"))</f>
        <v>#NAME?</v>
      </c>
      <c r="K78" s="336" t="e">
        <f ca="1">_xll.BDP($B78&amp; " Corp","INDUSTRY_SUBGROUP")</f>
        <v>#NAME?</v>
      </c>
      <c r="L78" s="336" t="e">
        <f ca="1">_xll.BDP(B78 &amp; " Corp","CRNCY")</f>
        <v>#NAME?</v>
      </c>
      <c r="M78" s="336" t="e">
        <f ca="1">_xll.BDP(B78 &amp; " Corp","CNTRY_OF_RISK")</f>
        <v>#NAME?</v>
      </c>
      <c r="N78" s="336" t="e">
        <f ca="1">_xll.BDP($B78&amp; " Corp","PAYMENT_RANK")</f>
        <v>#NAME?</v>
      </c>
      <c r="O78" s="336" t="e">
        <f ca="1">_xll.BDP($B78&amp; " Corp","MTY_TYP")</f>
        <v>#NAME?</v>
      </c>
      <c r="P78" s="336" t="e">
        <f ca="1">_xll.BDP($B78&amp; " Corp","RUSSIAN_CB_LOMBARD")</f>
        <v>#NAME?</v>
      </c>
      <c r="Q78" s="338" t="e">
        <f ca="1">_xll.BDP(B78&amp;" Corp", "INTERVAL_PERCENT_CHANGE", "END_DATE_OVERRIDE"," ", "START_DATE_OVERRIDe",R78)</f>
        <v>#NAME?</v>
      </c>
      <c r="R78" s="337">
        <v>20140716</v>
      </c>
      <c r="S78" s="336" t="e">
        <f ca="1">_xll.BDP($B78&amp; " Corp","PX_GROSS_MID")</f>
        <v>#NAME?</v>
      </c>
      <c r="T78" s="335" t="e">
        <f ca="1">_xll.BDP($B78&amp; " Corp","MIN_PIECE")</f>
        <v>#NAME?</v>
      </c>
    </row>
    <row r="79" spans="1:20" ht="15.75" x14ac:dyDescent="0.25">
      <c r="A79" s="336" t="e">
        <f ca="1">_xll.BDP(B79&amp; " Corp","name")</f>
        <v>#NAME?</v>
      </c>
      <c r="B79" s="336" t="s">
        <v>543</v>
      </c>
      <c r="C79" s="336" t="e">
        <f ca="1">_xll.BDP(B79 &amp; " Corp","MTY_YEARS_TDY")</f>
        <v>#NAME?</v>
      </c>
      <c r="D79" s="336" t="e">
        <f ca="1">_xll.BDP(B79 &amp; " Corp","px_last")</f>
        <v>#NAME?</v>
      </c>
      <c r="E79" s="336" t="e">
        <f ca="1">_xll.BDP(B79 &amp; " Corp","px_ask")</f>
        <v>#NAME?</v>
      </c>
      <c r="F79" s="336" t="e">
        <f ca="1">_xll.BDP(B79 &amp; " Corp","YLD_YTM_BID")</f>
        <v>#NAME?</v>
      </c>
      <c r="G79" s="336" t="e">
        <f ca="1">_xll.BDP(B79 &amp; " Corp","YLD_YTM_ask")</f>
        <v>#NAME?</v>
      </c>
      <c r="H79" s="336" t="e">
        <f ca="1">_xll.BDP(B79 &amp; " Corp","CPN")</f>
        <v>#NAME?</v>
      </c>
      <c r="I79" s="336" t="e">
        <f ca="1">_xll.BDP(B79&amp; " Corp","MATURITY")</f>
        <v>#NAME?</v>
      </c>
      <c r="J79" s="336" t="e">
        <f ca="1">IF(_xll.BDP(B79 &amp; " Corp","RTG_SP")="#N/A N/A","",_xll.BDP(B79 &amp; " Corp","RTG_SP"))&amp;"/"&amp;IF(_xll.BDP(B79 &amp; " Corp","RTG_fitch")="#N/A N/A","",_xll.BDP(B79 &amp; " Corp","RTG_fitch"))&amp;"/"&amp;IF(_xll.BDP(B79 &amp; " Corp","RTG_moody")="#N/A N/A","",_xll.BDP(B79 &amp; " Corp","RTG_moody"))</f>
        <v>#NAME?</v>
      </c>
      <c r="K79" s="336" t="e">
        <f ca="1">_xll.BDP($B79&amp; " Corp","INDUSTRY_SUBGROUP")</f>
        <v>#NAME?</v>
      </c>
      <c r="L79" s="336" t="e">
        <f ca="1">_xll.BDP(B79 &amp; " Corp","CRNCY")</f>
        <v>#NAME?</v>
      </c>
      <c r="M79" s="336" t="e">
        <f ca="1">_xll.BDP(B79 &amp; " Corp","CNTRY_OF_RISK")</f>
        <v>#NAME?</v>
      </c>
      <c r="N79" s="336" t="e">
        <f ca="1">_xll.BDP($B79&amp; " Corp","PAYMENT_RANK")</f>
        <v>#NAME?</v>
      </c>
      <c r="O79" s="336" t="e">
        <f ca="1">_xll.BDP($B79&amp; " Corp","MTY_TYP")</f>
        <v>#NAME?</v>
      </c>
      <c r="P79" s="336" t="e">
        <f ca="1">_xll.BDP($B79&amp; " Corp","RUSSIAN_CB_LOMBARD")</f>
        <v>#NAME?</v>
      </c>
      <c r="Q79" s="338" t="e">
        <f ca="1">_xll.BDP(B79&amp;" Corp", "INTERVAL_PERCENT_CHANGE", "END_DATE_OVERRIDE"," ", "START_DATE_OVERRIDe",R79)</f>
        <v>#NAME?</v>
      </c>
      <c r="R79" s="337">
        <v>20140716</v>
      </c>
      <c r="S79" s="336" t="e">
        <f ca="1">_xll.BDP($B79&amp; " Corp","PX_GROSS_MID")</f>
        <v>#NAME?</v>
      </c>
      <c r="T79" s="335" t="e">
        <f ca="1">_xll.BDP($B79&amp; " Corp","MIN_PIECE")</f>
        <v>#NAME?</v>
      </c>
    </row>
    <row r="80" spans="1:20" ht="15.75" x14ac:dyDescent="0.25">
      <c r="A80" s="336" t="e">
        <f ca="1">_xll.BDP(B80&amp; " Corp","name")</f>
        <v>#NAME?</v>
      </c>
      <c r="B80" s="336" t="s">
        <v>542</v>
      </c>
      <c r="C80" s="336" t="e">
        <f ca="1">_xll.BDP(B80 &amp; " Corp","MTY_YEARS_TDY")</f>
        <v>#NAME?</v>
      </c>
      <c r="D80" s="336" t="e">
        <f ca="1">_xll.BDP(B80 &amp; " Corp","px_last")</f>
        <v>#NAME?</v>
      </c>
      <c r="E80" s="336" t="e">
        <f ca="1">_xll.BDP(B80 &amp; " Corp","px_ask")</f>
        <v>#NAME?</v>
      </c>
      <c r="F80" s="336" t="e">
        <f ca="1">_xll.BDP(B80 &amp; " Corp","YLD_YTM_BID")</f>
        <v>#NAME?</v>
      </c>
      <c r="G80" s="336" t="e">
        <f ca="1">_xll.BDP(B80 &amp; " Corp","YLD_YTM_ask")</f>
        <v>#NAME?</v>
      </c>
      <c r="H80" s="336" t="e">
        <f ca="1">_xll.BDP(B80 &amp; " Corp","CPN")</f>
        <v>#NAME?</v>
      </c>
      <c r="I80" s="336" t="e">
        <f ca="1">_xll.BDP(B80&amp; " Corp","MATURITY")</f>
        <v>#NAME?</v>
      </c>
      <c r="J80" s="336" t="e">
        <f ca="1">IF(_xll.BDP(B80 &amp; " Corp","RTG_SP")="#N/A N/A","",_xll.BDP(B80 &amp; " Corp","RTG_SP"))&amp;"/"&amp;IF(_xll.BDP(B80 &amp; " Corp","RTG_fitch")="#N/A N/A","",_xll.BDP(B80 &amp; " Corp","RTG_fitch"))&amp;"/"&amp;IF(_xll.BDP(B80 &amp; " Corp","RTG_moody")="#N/A N/A","",_xll.BDP(B80 &amp; " Corp","RTG_moody"))</f>
        <v>#NAME?</v>
      </c>
      <c r="K80" s="336" t="e">
        <f ca="1">_xll.BDP($B80&amp; " Corp","INDUSTRY_SUBGROUP")</f>
        <v>#NAME?</v>
      </c>
      <c r="L80" s="336" t="e">
        <f ca="1">_xll.BDP(B80 &amp; " Corp","CRNCY")</f>
        <v>#NAME?</v>
      </c>
      <c r="M80" s="336" t="e">
        <f ca="1">_xll.BDP(B80 &amp; " Corp","CNTRY_OF_RISK")</f>
        <v>#NAME?</v>
      </c>
      <c r="N80" s="336" t="e">
        <f ca="1">_xll.BDP($B80&amp; " Corp","PAYMENT_RANK")</f>
        <v>#NAME?</v>
      </c>
      <c r="O80" s="336" t="e">
        <f ca="1">_xll.BDP($B80&amp; " Corp","MTY_TYP")</f>
        <v>#NAME?</v>
      </c>
      <c r="P80" s="336" t="e">
        <f ca="1">_xll.BDP($B80&amp; " Corp","RUSSIAN_CB_LOMBARD")</f>
        <v>#NAME?</v>
      </c>
      <c r="Q80" s="338" t="e">
        <f ca="1">_xll.BDP(B80&amp;" Corp", "INTERVAL_PERCENT_CHANGE", "END_DATE_OVERRIDE"," ", "START_DATE_OVERRIDe",R80)</f>
        <v>#NAME?</v>
      </c>
      <c r="R80" s="337">
        <v>20140716</v>
      </c>
      <c r="S80" s="336" t="e">
        <f ca="1">_xll.BDP($B80&amp; " Corp","PX_GROSS_MID")</f>
        <v>#NAME?</v>
      </c>
      <c r="T80" s="335" t="e">
        <f ca="1">_xll.BDP($B80&amp; " Corp","MIN_PIECE")</f>
        <v>#NAME?</v>
      </c>
    </row>
    <row r="81" spans="1:20" ht="15.75" x14ac:dyDescent="0.25">
      <c r="A81" s="336" t="e">
        <f ca="1">_xll.BDP(B81&amp; " Corp","name")</f>
        <v>#NAME?</v>
      </c>
      <c r="B81" s="336" t="s">
        <v>541</v>
      </c>
      <c r="C81" s="336" t="e">
        <f ca="1">_xll.BDP(B81 &amp; " Corp","MTY_YEARS_TDY")</f>
        <v>#NAME?</v>
      </c>
      <c r="D81" s="336" t="e">
        <f ca="1">_xll.BDP(B81 &amp; " Corp","px_last")</f>
        <v>#NAME?</v>
      </c>
      <c r="E81" s="336" t="e">
        <f ca="1">_xll.BDP(B81 &amp; " Corp","px_ask")</f>
        <v>#NAME?</v>
      </c>
      <c r="F81" s="336" t="e">
        <f ca="1">_xll.BDP(B81 &amp; " Corp","YLD_YTM_BID")</f>
        <v>#NAME?</v>
      </c>
      <c r="G81" s="336" t="e">
        <f ca="1">_xll.BDP(B81 &amp; " Corp","YLD_YTM_ask")</f>
        <v>#NAME?</v>
      </c>
      <c r="H81" s="336" t="e">
        <f ca="1">_xll.BDP(B81 &amp; " Corp","CPN")</f>
        <v>#NAME?</v>
      </c>
      <c r="I81" s="336" t="e">
        <f ca="1">_xll.BDP(B81&amp; " Corp","MATURITY")</f>
        <v>#NAME?</v>
      </c>
      <c r="J81" s="336" t="e">
        <f ca="1">IF(_xll.BDP(B81 &amp; " Corp","RTG_SP")="#N/A N/A","",_xll.BDP(B81 &amp; " Corp","RTG_SP"))&amp;"/"&amp;IF(_xll.BDP(B81 &amp; " Corp","RTG_fitch")="#N/A N/A","",_xll.BDP(B81 &amp; " Corp","RTG_fitch"))&amp;"/"&amp;IF(_xll.BDP(B81 &amp; " Corp","RTG_moody")="#N/A N/A","",_xll.BDP(B81 &amp; " Corp","RTG_moody"))</f>
        <v>#NAME?</v>
      </c>
      <c r="K81" s="336" t="e">
        <f ca="1">_xll.BDP($B81&amp; " Corp","INDUSTRY_SUBGROUP")</f>
        <v>#NAME?</v>
      </c>
      <c r="L81" s="336" t="e">
        <f ca="1">_xll.BDP(B81 &amp; " Corp","CRNCY")</f>
        <v>#NAME?</v>
      </c>
      <c r="M81" s="336" t="e">
        <f ca="1">_xll.BDP(B81 &amp; " Corp","CNTRY_OF_RISK")</f>
        <v>#NAME?</v>
      </c>
      <c r="N81" s="336" t="e">
        <f ca="1">_xll.BDP($B81&amp; " Corp","PAYMENT_RANK")</f>
        <v>#NAME?</v>
      </c>
      <c r="O81" s="336" t="e">
        <f ca="1">_xll.BDP($B81&amp; " Corp","MTY_TYP")</f>
        <v>#NAME?</v>
      </c>
      <c r="P81" s="336" t="e">
        <f ca="1">_xll.BDP($B81&amp; " Corp","RUSSIAN_CB_LOMBARD")</f>
        <v>#NAME?</v>
      </c>
      <c r="Q81" s="338" t="e">
        <f ca="1">_xll.BDP(B81&amp;" Corp", "INTERVAL_PERCENT_CHANGE", "END_DATE_OVERRIDE"," ", "START_DATE_OVERRIDe",R81)</f>
        <v>#NAME?</v>
      </c>
      <c r="R81" s="337">
        <v>20140716</v>
      </c>
      <c r="S81" s="336" t="e">
        <f ca="1">_xll.BDP($B81&amp; " Corp","PX_GROSS_MID")</f>
        <v>#NAME?</v>
      </c>
      <c r="T81" s="335" t="e">
        <f ca="1">_xll.BDP($B81&amp; " Corp","MIN_PIECE")</f>
        <v>#NAME?</v>
      </c>
    </row>
    <row r="82" spans="1:20" ht="15.75" x14ac:dyDescent="0.25">
      <c r="A82" s="336" t="e">
        <f ca="1">_xll.BDP(B82&amp; " Corp","name")</f>
        <v>#NAME?</v>
      </c>
      <c r="B82" s="336" t="s">
        <v>540</v>
      </c>
      <c r="C82" s="336" t="e">
        <f ca="1">_xll.BDP(B82 &amp; " Corp","MTY_YEARS_TDY")</f>
        <v>#NAME?</v>
      </c>
      <c r="D82" s="336" t="e">
        <f ca="1">_xll.BDP(B82 &amp; " Corp","px_last")</f>
        <v>#NAME?</v>
      </c>
      <c r="E82" s="336" t="e">
        <f ca="1">_xll.BDP(B82 &amp; " Corp","px_ask")</f>
        <v>#NAME?</v>
      </c>
      <c r="F82" s="336" t="e">
        <f ca="1">_xll.BDP(B82 &amp; " Corp","YLD_YTM_BID")</f>
        <v>#NAME?</v>
      </c>
      <c r="G82" s="336" t="e">
        <f ca="1">_xll.BDP(B82 &amp; " Corp","YLD_YTM_ask")</f>
        <v>#NAME?</v>
      </c>
      <c r="H82" s="336" t="e">
        <f ca="1">_xll.BDP(B82 &amp; " Corp","CPN")</f>
        <v>#NAME?</v>
      </c>
      <c r="I82" s="336" t="e">
        <f ca="1">_xll.BDP(B82&amp; " Corp","MATURITY")</f>
        <v>#NAME?</v>
      </c>
      <c r="J82" s="336" t="e">
        <f ca="1">IF(_xll.BDP(B82 &amp; " Corp","RTG_SP")="#N/A N/A","",_xll.BDP(B82 &amp; " Corp","RTG_SP"))&amp;"/"&amp;IF(_xll.BDP(B82 &amp; " Corp","RTG_fitch")="#N/A N/A","",_xll.BDP(B82 &amp; " Corp","RTG_fitch"))&amp;"/"&amp;IF(_xll.BDP(B82 &amp; " Corp","RTG_moody")="#N/A N/A","",_xll.BDP(B82 &amp; " Corp","RTG_moody"))</f>
        <v>#NAME?</v>
      </c>
      <c r="K82" s="336" t="e">
        <f ca="1">_xll.BDP($B82&amp; " Corp","INDUSTRY_SUBGROUP")</f>
        <v>#NAME?</v>
      </c>
      <c r="L82" s="336" t="e">
        <f ca="1">_xll.BDP(B82 &amp; " Corp","CRNCY")</f>
        <v>#NAME?</v>
      </c>
      <c r="M82" s="336" t="e">
        <f ca="1">_xll.BDP(B82 &amp; " Corp","CNTRY_OF_RISK")</f>
        <v>#NAME?</v>
      </c>
      <c r="N82" s="336" t="e">
        <f ca="1">_xll.BDP($B82&amp; " Corp","PAYMENT_RANK")</f>
        <v>#NAME?</v>
      </c>
      <c r="O82" s="336" t="e">
        <f ca="1">_xll.BDP($B82&amp; " Corp","MTY_TYP")</f>
        <v>#NAME?</v>
      </c>
      <c r="P82" s="336" t="e">
        <f ca="1">_xll.BDP($B82&amp; " Corp","RUSSIAN_CB_LOMBARD")</f>
        <v>#NAME?</v>
      </c>
      <c r="Q82" s="338" t="e">
        <f ca="1">_xll.BDP(B82&amp;" Corp", "INTERVAL_PERCENT_CHANGE", "END_DATE_OVERRIDE"," ", "START_DATE_OVERRIDe",R82)</f>
        <v>#NAME?</v>
      </c>
      <c r="R82" s="337">
        <v>20140716</v>
      </c>
      <c r="S82" s="336" t="e">
        <f ca="1">_xll.BDP($B82&amp; " Corp","PX_GROSS_MID")</f>
        <v>#NAME?</v>
      </c>
      <c r="T82" s="335" t="e">
        <f ca="1">_xll.BDP($B82&amp; " Corp","MIN_PIECE")</f>
        <v>#NAME?</v>
      </c>
    </row>
    <row r="83" spans="1:20" ht="15.75" x14ac:dyDescent="0.25">
      <c r="A83" s="336" t="e">
        <f ca="1">_xll.BDP(B83&amp; " Corp","name")</f>
        <v>#NAME?</v>
      </c>
      <c r="B83" s="336" t="s">
        <v>539</v>
      </c>
      <c r="C83" s="336" t="e">
        <f ca="1">_xll.BDP(B83 &amp; " Corp","MTY_YEARS_TDY")</f>
        <v>#NAME?</v>
      </c>
      <c r="D83" s="336" t="e">
        <f ca="1">_xll.BDP(B83 &amp; " Corp","px_last")</f>
        <v>#NAME?</v>
      </c>
      <c r="E83" s="336" t="e">
        <f ca="1">_xll.BDP(B83 &amp; " Corp","px_ask")</f>
        <v>#NAME?</v>
      </c>
      <c r="F83" s="336" t="e">
        <f ca="1">_xll.BDP(B83 &amp; " Corp","YLD_YTM_BID")</f>
        <v>#NAME?</v>
      </c>
      <c r="G83" s="336" t="e">
        <f ca="1">_xll.BDP(B83 &amp; " Corp","YLD_YTM_ask")</f>
        <v>#NAME?</v>
      </c>
      <c r="H83" s="336" t="e">
        <f ca="1">_xll.BDP(B83 &amp; " Corp","CPN")</f>
        <v>#NAME?</v>
      </c>
      <c r="I83" s="336" t="e">
        <f ca="1">_xll.BDP(B83&amp; " Corp","MATURITY")</f>
        <v>#NAME?</v>
      </c>
      <c r="J83" s="336" t="e">
        <f ca="1">IF(_xll.BDP(B83 &amp; " Corp","RTG_SP")="#N/A N/A","",_xll.BDP(B83 &amp; " Corp","RTG_SP"))&amp;"/"&amp;IF(_xll.BDP(B83 &amp; " Corp","RTG_fitch")="#N/A N/A","",_xll.BDP(B83 &amp; " Corp","RTG_fitch"))&amp;"/"&amp;IF(_xll.BDP(B83 &amp; " Corp","RTG_moody")="#N/A N/A","",_xll.BDP(B83 &amp; " Corp","RTG_moody"))</f>
        <v>#NAME?</v>
      </c>
      <c r="K83" s="336" t="e">
        <f ca="1">_xll.BDP($B83&amp; " Corp","INDUSTRY_SUBGROUP")</f>
        <v>#NAME?</v>
      </c>
      <c r="L83" s="336" t="e">
        <f ca="1">_xll.BDP(B83 &amp; " Corp","CRNCY")</f>
        <v>#NAME?</v>
      </c>
      <c r="M83" s="336" t="e">
        <f ca="1">_xll.BDP(B83 &amp; " Corp","CNTRY_OF_RISK")</f>
        <v>#NAME?</v>
      </c>
      <c r="N83" s="336" t="e">
        <f ca="1">_xll.BDP($B83&amp; " Corp","PAYMENT_RANK")</f>
        <v>#NAME?</v>
      </c>
      <c r="O83" s="336" t="e">
        <f ca="1">_xll.BDP($B83&amp; " Corp","MTY_TYP")</f>
        <v>#NAME?</v>
      </c>
      <c r="P83" s="336" t="e">
        <f ca="1">_xll.BDP($B83&amp; " Corp","RUSSIAN_CB_LOMBARD")</f>
        <v>#NAME?</v>
      </c>
      <c r="Q83" s="338" t="e">
        <f ca="1">_xll.BDP(B83&amp;" Corp", "INTERVAL_PERCENT_CHANGE", "END_DATE_OVERRIDE"," ", "START_DATE_OVERRIDe",R83)</f>
        <v>#NAME?</v>
      </c>
      <c r="R83" s="337">
        <v>20140716</v>
      </c>
      <c r="S83" s="336" t="e">
        <f ca="1">_xll.BDP($B83&amp; " Corp","PX_GROSS_MID")</f>
        <v>#NAME?</v>
      </c>
      <c r="T83" s="335" t="e">
        <f ca="1">_xll.BDP($B83&amp; " Corp","MIN_PIECE")</f>
        <v>#NAME?</v>
      </c>
    </row>
    <row r="84" spans="1:20" ht="15.75" x14ac:dyDescent="0.25">
      <c r="A84" s="336" t="e">
        <f ca="1">_xll.BDP(B84&amp; " Corp","name")</f>
        <v>#NAME?</v>
      </c>
      <c r="B84" s="336" t="s">
        <v>538</v>
      </c>
      <c r="C84" s="336" t="e">
        <f ca="1">_xll.BDP(B84 &amp; " Corp","MTY_YEARS_TDY")</f>
        <v>#NAME?</v>
      </c>
      <c r="D84" s="336" t="e">
        <f ca="1">_xll.BDP(B84 &amp; " Corp","px_last")</f>
        <v>#NAME?</v>
      </c>
      <c r="E84" s="336" t="e">
        <f ca="1">_xll.BDP(B84 &amp; " Corp","px_ask")</f>
        <v>#NAME?</v>
      </c>
      <c r="F84" s="336" t="e">
        <f ca="1">_xll.BDP(B84 &amp; " Corp","YLD_YTM_BID")</f>
        <v>#NAME?</v>
      </c>
      <c r="G84" s="336" t="e">
        <f ca="1">_xll.BDP(B84 &amp; " Corp","YLD_YTM_ask")</f>
        <v>#NAME?</v>
      </c>
      <c r="H84" s="336" t="e">
        <f ca="1">_xll.BDP(B84 &amp; " Corp","CPN")</f>
        <v>#NAME?</v>
      </c>
      <c r="I84" s="336" t="e">
        <f ca="1">_xll.BDP(B84&amp; " Corp","MATURITY")</f>
        <v>#NAME?</v>
      </c>
      <c r="J84" s="336" t="e">
        <f ca="1">IF(_xll.BDP(B84 &amp; " Corp","RTG_SP")="#N/A N/A","",_xll.BDP(B84 &amp; " Corp","RTG_SP"))&amp;"/"&amp;IF(_xll.BDP(B84 &amp; " Corp","RTG_fitch")="#N/A N/A","",_xll.BDP(B84 &amp; " Corp","RTG_fitch"))&amp;"/"&amp;IF(_xll.BDP(B84 &amp; " Corp","RTG_moody")="#N/A N/A","",_xll.BDP(B84 &amp; " Corp","RTG_moody"))</f>
        <v>#NAME?</v>
      </c>
      <c r="K84" s="336" t="e">
        <f ca="1">_xll.BDP($B84&amp; " Corp","INDUSTRY_SUBGROUP")</f>
        <v>#NAME?</v>
      </c>
      <c r="L84" s="336" t="e">
        <f ca="1">_xll.BDP(B84 &amp; " Corp","CRNCY")</f>
        <v>#NAME?</v>
      </c>
      <c r="M84" s="336" t="e">
        <f ca="1">_xll.BDP(B84 &amp; " Corp","CNTRY_OF_RISK")</f>
        <v>#NAME?</v>
      </c>
      <c r="N84" s="336" t="e">
        <f ca="1">_xll.BDP($B84&amp; " Corp","PAYMENT_RANK")</f>
        <v>#NAME?</v>
      </c>
      <c r="O84" s="336" t="e">
        <f ca="1">_xll.BDP($B84&amp; " Corp","MTY_TYP")</f>
        <v>#NAME?</v>
      </c>
      <c r="P84" s="336" t="e">
        <f ca="1">_xll.BDP($B84&amp; " Corp","RUSSIAN_CB_LOMBARD")</f>
        <v>#NAME?</v>
      </c>
      <c r="Q84" s="338" t="e">
        <f ca="1">_xll.BDP(B84&amp;" Corp", "INTERVAL_PERCENT_CHANGE", "END_DATE_OVERRIDE"," ", "START_DATE_OVERRIDe",R84)</f>
        <v>#NAME?</v>
      </c>
      <c r="R84" s="337">
        <v>20140716</v>
      </c>
      <c r="S84" s="336" t="e">
        <f ca="1">_xll.BDP($B84&amp; " Corp","PX_GROSS_MID")</f>
        <v>#NAME?</v>
      </c>
      <c r="T84" s="335" t="e">
        <f ca="1">_xll.BDP($B84&amp; " Corp","MIN_PIECE")</f>
        <v>#NAME?</v>
      </c>
    </row>
    <row r="85" spans="1:20" ht="15.75" x14ac:dyDescent="0.25">
      <c r="A85" s="336" t="e">
        <f ca="1">_xll.BDP(B85&amp; " Corp","name")</f>
        <v>#NAME?</v>
      </c>
      <c r="B85" s="336" t="s">
        <v>537</v>
      </c>
      <c r="C85" s="336" t="e">
        <f ca="1">_xll.BDP(B85 &amp; " Corp","MTY_YEARS_TDY")</f>
        <v>#NAME?</v>
      </c>
      <c r="D85" s="336" t="e">
        <f ca="1">_xll.BDP(B85 &amp; " Corp","px_last")</f>
        <v>#NAME?</v>
      </c>
      <c r="E85" s="336" t="e">
        <f ca="1">_xll.BDP(B85 &amp; " Corp","px_ask")</f>
        <v>#NAME?</v>
      </c>
      <c r="F85" s="336" t="e">
        <f ca="1">_xll.BDP(B85 &amp; " Corp","YLD_YTM_BID")</f>
        <v>#NAME?</v>
      </c>
      <c r="G85" s="336" t="e">
        <f ca="1">_xll.BDP(B85 &amp; " Corp","YLD_YTM_ask")</f>
        <v>#NAME?</v>
      </c>
      <c r="H85" s="336" t="e">
        <f ca="1">_xll.BDP(B85 &amp; " Corp","CPN")</f>
        <v>#NAME?</v>
      </c>
      <c r="I85" s="336" t="e">
        <f ca="1">_xll.BDP(B85&amp; " Corp","MATURITY")</f>
        <v>#NAME?</v>
      </c>
      <c r="J85" s="336" t="e">
        <f ca="1">IF(_xll.BDP(B85 &amp; " Corp","RTG_SP")="#N/A N/A","",_xll.BDP(B85 &amp; " Corp","RTG_SP"))&amp;"/"&amp;IF(_xll.BDP(B85 &amp; " Corp","RTG_fitch")="#N/A N/A","",_xll.BDP(B85 &amp; " Corp","RTG_fitch"))&amp;"/"&amp;IF(_xll.BDP(B85 &amp; " Corp","RTG_moody")="#N/A N/A","",_xll.BDP(B85 &amp; " Corp","RTG_moody"))</f>
        <v>#NAME?</v>
      </c>
      <c r="K85" s="336" t="e">
        <f ca="1">_xll.BDP($B85&amp; " Corp","INDUSTRY_SUBGROUP")</f>
        <v>#NAME?</v>
      </c>
      <c r="L85" s="336" t="e">
        <f ca="1">_xll.BDP(B85 &amp; " Corp","CRNCY")</f>
        <v>#NAME?</v>
      </c>
      <c r="M85" s="336" t="e">
        <f ca="1">_xll.BDP(B85 &amp; " Corp","CNTRY_OF_RISK")</f>
        <v>#NAME?</v>
      </c>
      <c r="N85" s="336" t="e">
        <f ca="1">_xll.BDP($B85&amp; " Corp","PAYMENT_RANK")</f>
        <v>#NAME?</v>
      </c>
      <c r="O85" s="336" t="e">
        <f ca="1">_xll.BDP($B85&amp; " Corp","MTY_TYP")</f>
        <v>#NAME?</v>
      </c>
      <c r="P85" s="336" t="e">
        <f ca="1">_xll.BDP($B85&amp; " Corp","RUSSIAN_CB_LOMBARD")</f>
        <v>#NAME?</v>
      </c>
      <c r="Q85" s="338" t="e">
        <f ca="1">_xll.BDP(B85&amp;" Corp", "INTERVAL_PERCENT_CHANGE", "END_DATE_OVERRIDE"," ", "START_DATE_OVERRIDe",R85)</f>
        <v>#NAME?</v>
      </c>
      <c r="R85" s="337">
        <v>20140716</v>
      </c>
      <c r="S85" s="336" t="e">
        <f ca="1">_xll.BDP($B85&amp; " Corp","PX_GROSS_MID")</f>
        <v>#NAME?</v>
      </c>
      <c r="T85" s="335" t="e">
        <f ca="1">_xll.BDP($B85&amp; " Corp","MIN_PIECE")</f>
        <v>#NAME?</v>
      </c>
    </row>
    <row r="86" spans="1:20" ht="15.75" x14ac:dyDescent="0.25">
      <c r="A86" s="336" t="e">
        <f ca="1">_xll.BDP(B86&amp; " Corp","name")</f>
        <v>#NAME?</v>
      </c>
      <c r="B86" s="336" t="s">
        <v>536</v>
      </c>
      <c r="C86" s="336" t="e">
        <f ca="1">_xll.BDP(B86 &amp; " Corp","MTY_YEARS_TDY")</f>
        <v>#NAME?</v>
      </c>
      <c r="D86" s="336" t="e">
        <f ca="1">_xll.BDP(B86 &amp; " Corp","px_last")</f>
        <v>#NAME?</v>
      </c>
      <c r="E86" s="336" t="e">
        <f ca="1">_xll.BDP(B86 &amp; " Corp","px_ask")</f>
        <v>#NAME?</v>
      </c>
      <c r="F86" s="336" t="e">
        <f ca="1">_xll.BDP(B86 &amp; " Corp","YLD_YTM_BID")</f>
        <v>#NAME?</v>
      </c>
      <c r="G86" s="336" t="e">
        <f ca="1">_xll.BDP(B86 &amp; " Corp","YLD_YTM_ask")</f>
        <v>#NAME?</v>
      </c>
      <c r="H86" s="336" t="e">
        <f ca="1">_xll.BDP(B86 &amp; " Corp","CPN")</f>
        <v>#NAME?</v>
      </c>
      <c r="I86" s="336" t="e">
        <f ca="1">_xll.BDP(B86&amp; " Corp","MATURITY")</f>
        <v>#NAME?</v>
      </c>
      <c r="J86" s="336" t="e">
        <f ca="1">IF(_xll.BDP(B86 &amp; " Corp","RTG_SP")="#N/A N/A","",_xll.BDP(B86 &amp; " Corp","RTG_SP"))&amp;"/"&amp;IF(_xll.BDP(B86 &amp; " Corp","RTG_fitch")="#N/A N/A","",_xll.BDP(B86 &amp; " Corp","RTG_fitch"))&amp;"/"&amp;IF(_xll.BDP(B86 &amp; " Corp","RTG_moody")="#N/A N/A","",_xll.BDP(B86 &amp; " Corp","RTG_moody"))</f>
        <v>#NAME?</v>
      </c>
      <c r="K86" s="336" t="e">
        <f ca="1">_xll.BDP($B86&amp; " Corp","INDUSTRY_SUBGROUP")</f>
        <v>#NAME?</v>
      </c>
      <c r="L86" s="336" t="e">
        <f ca="1">_xll.BDP(B86 &amp; " Corp","CRNCY")</f>
        <v>#NAME?</v>
      </c>
      <c r="M86" s="336" t="e">
        <f ca="1">_xll.BDP(B86 &amp; " Corp","CNTRY_OF_RISK")</f>
        <v>#NAME?</v>
      </c>
      <c r="N86" s="336" t="e">
        <f ca="1">_xll.BDP($B86&amp; " Corp","PAYMENT_RANK")</f>
        <v>#NAME?</v>
      </c>
      <c r="O86" s="336" t="e">
        <f ca="1">_xll.BDP($B86&amp; " Corp","MTY_TYP")</f>
        <v>#NAME?</v>
      </c>
      <c r="P86" s="336" t="e">
        <f ca="1">_xll.BDP($B86&amp; " Corp","RUSSIAN_CB_LOMBARD")</f>
        <v>#NAME?</v>
      </c>
      <c r="Q86" s="338" t="e">
        <f ca="1">_xll.BDP(B86&amp;" Corp", "INTERVAL_PERCENT_CHANGE", "END_DATE_OVERRIDE"," ", "START_DATE_OVERRIDe",R86)</f>
        <v>#NAME?</v>
      </c>
      <c r="R86" s="337">
        <v>20140716</v>
      </c>
      <c r="S86" s="336" t="e">
        <f ca="1">_xll.BDP($B86&amp; " Corp","PX_GROSS_MID")</f>
        <v>#NAME?</v>
      </c>
      <c r="T86" s="335" t="e">
        <f ca="1">_xll.BDP($B86&amp; " Corp","MIN_PIECE")</f>
        <v>#NAME?</v>
      </c>
    </row>
    <row r="87" spans="1:20" ht="15.75" x14ac:dyDescent="0.25">
      <c r="A87" s="336" t="e">
        <f ca="1">_xll.BDP(B87&amp; " Corp","name")</f>
        <v>#NAME?</v>
      </c>
      <c r="B87" s="336" t="s">
        <v>535</v>
      </c>
      <c r="C87" s="336" t="e">
        <f ca="1">_xll.BDP(B87 &amp; " Corp","MTY_YEARS_TDY")</f>
        <v>#NAME?</v>
      </c>
      <c r="D87" s="336" t="e">
        <f ca="1">_xll.BDP(B87 &amp; " Corp","px_last")</f>
        <v>#NAME?</v>
      </c>
      <c r="E87" s="336" t="e">
        <f ca="1">_xll.BDP(B87 &amp; " Corp","px_ask")</f>
        <v>#NAME?</v>
      </c>
      <c r="F87" s="336" t="e">
        <f ca="1">_xll.BDP(B87 &amp; " Corp","YLD_YTM_BID")</f>
        <v>#NAME?</v>
      </c>
      <c r="G87" s="336" t="e">
        <f ca="1">_xll.BDP(B87 &amp; " Corp","YLD_YTM_ask")</f>
        <v>#NAME?</v>
      </c>
      <c r="H87" s="336" t="e">
        <f ca="1">_xll.BDP(B87 &amp; " Corp","CPN")</f>
        <v>#NAME?</v>
      </c>
      <c r="I87" s="336" t="e">
        <f ca="1">_xll.BDP(B87&amp; " Corp","MATURITY")</f>
        <v>#NAME?</v>
      </c>
      <c r="J87" s="336" t="e">
        <f ca="1">IF(_xll.BDP(B87 &amp; " Corp","RTG_SP")="#N/A N/A","",_xll.BDP(B87 &amp; " Corp","RTG_SP"))&amp;"/"&amp;IF(_xll.BDP(B87 &amp; " Corp","RTG_fitch")="#N/A N/A","",_xll.BDP(B87 &amp; " Corp","RTG_fitch"))&amp;"/"&amp;IF(_xll.BDP(B87 &amp; " Corp","RTG_moody")="#N/A N/A","",_xll.BDP(B87 &amp; " Corp","RTG_moody"))</f>
        <v>#NAME?</v>
      </c>
      <c r="K87" s="336" t="e">
        <f ca="1">_xll.BDP($B87&amp; " Corp","INDUSTRY_SUBGROUP")</f>
        <v>#NAME?</v>
      </c>
      <c r="L87" s="336" t="e">
        <f ca="1">_xll.BDP(B87 &amp; " Corp","CRNCY")</f>
        <v>#NAME?</v>
      </c>
      <c r="M87" s="336" t="e">
        <f ca="1">_xll.BDP(B87 &amp; " Corp","CNTRY_OF_RISK")</f>
        <v>#NAME?</v>
      </c>
      <c r="N87" s="336" t="e">
        <f ca="1">_xll.BDP($B87&amp; " Corp","PAYMENT_RANK")</f>
        <v>#NAME?</v>
      </c>
      <c r="O87" s="336" t="e">
        <f ca="1">_xll.BDP($B87&amp; " Corp","MTY_TYP")</f>
        <v>#NAME?</v>
      </c>
      <c r="P87" s="336" t="e">
        <f ca="1">_xll.BDP($B87&amp; " Corp","RUSSIAN_CB_LOMBARD")</f>
        <v>#NAME?</v>
      </c>
      <c r="Q87" s="338" t="e">
        <f ca="1">_xll.BDP(B87&amp;" Corp", "INTERVAL_PERCENT_CHANGE", "END_DATE_OVERRIDE"," ", "START_DATE_OVERRIDe",R87)</f>
        <v>#NAME?</v>
      </c>
      <c r="R87" s="337">
        <v>20140716</v>
      </c>
      <c r="S87" s="336" t="e">
        <f ca="1">_xll.BDP($B87&amp; " Corp","PX_GROSS_MID")</f>
        <v>#NAME?</v>
      </c>
      <c r="T87" s="335" t="e">
        <f ca="1">_xll.BDP($B87&amp; " Corp","MIN_PIECE")</f>
        <v>#NAME?</v>
      </c>
    </row>
    <row r="88" spans="1:20" ht="15.75" x14ac:dyDescent="0.25">
      <c r="A88" s="336" t="e">
        <f ca="1">_xll.BDP(B88&amp; " Corp","name")</f>
        <v>#NAME?</v>
      </c>
      <c r="B88" s="336" t="s">
        <v>534</v>
      </c>
      <c r="C88" s="336" t="e">
        <f ca="1">_xll.BDP(B88 &amp; " Corp","MTY_YEARS_TDY")</f>
        <v>#NAME?</v>
      </c>
      <c r="D88" s="336" t="e">
        <f ca="1">_xll.BDP(B88 &amp; " Corp","px_last")</f>
        <v>#NAME?</v>
      </c>
      <c r="E88" s="336" t="e">
        <f ca="1">_xll.BDP(B88 &amp; " Corp","px_ask")</f>
        <v>#NAME?</v>
      </c>
      <c r="F88" s="336" t="e">
        <f ca="1">_xll.BDP(B88 &amp; " Corp","YLD_YTM_BID")</f>
        <v>#NAME?</v>
      </c>
      <c r="G88" s="336" t="e">
        <f ca="1">_xll.BDP(B88 &amp; " Corp","YLD_YTM_ask")</f>
        <v>#NAME?</v>
      </c>
      <c r="H88" s="336" t="e">
        <f ca="1">_xll.BDP(B88 &amp; " Corp","CPN")</f>
        <v>#NAME?</v>
      </c>
      <c r="I88" s="336" t="e">
        <f ca="1">_xll.BDP(B88&amp; " Corp","MATURITY")</f>
        <v>#NAME?</v>
      </c>
      <c r="J88" s="336" t="e">
        <f ca="1">IF(_xll.BDP(B88 &amp; " Corp","RTG_SP")="#N/A N/A","",_xll.BDP(B88 &amp; " Corp","RTG_SP"))&amp;"/"&amp;IF(_xll.BDP(B88 &amp; " Corp","RTG_fitch")="#N/A N/A","",_xll.BDP(B88 &amp; " Corp","RTG_fitch"))&amp;"/"&amp;IF(_xll.BDP(B88 &amp; " Corp","RTG_moody")="#N/A N/A","",_xll.BDP(B88 &amp; " Corp","RTG_moody"))</f>
        <v>#NAME?</v>
      </c>
      <c r="K88" s="336" t="e">
        <f ca="1">_xll.BDP($B88&amp; " Corp","INDUSTRY_SUBGROUP")</f>
        <v>#NAME?</v>
      </c>
      <c r="L88" s="336" t="e">
        <f ca="1">_xll.BDP(B88 &amp; " Corp","CRNCY")</f>
        <v>#NAME?</v>
      </c>
      <c r="M88" s="336" t="e">
        <f ca="1">_xll.BDP(B88 &amp; " Corp","CNTRY_OF_RISK")</f>
        <v>#NAME?</v>
      </c>
      <c r="N88" s="336" t="e">
        <f ca="1">_xll.BDP($B88&amp; " Corp","PAYMENT_RANK")</f>
        <v>#NAME?</v>
      </c>
      <c r="O88" s="336" t="e">
        <f ca="1">_xll.BDP($B88&amp; " Corp","MTY_TYP")</f>
        <v>#NAME?</v>
      </c>
      <c r="P88" s="336" t="e">
        <f ca="1">_xll.BDP($B88&amp; " Corp","RUSSIAN_CB_LOMBARD")</f>
        <v>#NAME?</v>
      </c>
      <c r="Q88" s="338" t="e">
        <f ca="1">_xll.BDP(B88&amp;" Corp", "INTERVAL_PERCENT_CHANGE", "END_DATE_OVERRIDE"," ", "START_DATE_OVERRIDe",R88)</f>
        <v>#NAME?</v>
      </c>
      <c r="R88" s="337">
        <v>20140716</v>
      </c>
      <c r="S88" s="336" t="e">
        <f ca="1">_xll.BDP($B88&amp; " Corp","PX_GROSS_MID")</f>
        <v>#NAME?</v>
      </c>
      <c r="T88" s="335" t="e">
        <f ca="1">_xll.BDP($B88&amp; " Corp","MIN_PIECE")</f>
        <v>#NAME?</v>
      </c>
    </row>
    <row r="89" spans="1:20" ht="15.75" x14ac:dyDescent="0.25">
      <c r="A89" s="336" t="e">
        <f ca="1">_xll.BDP(B89&amp; " Corp","name")</f>
        <v>#NAME?</v>
      </c>
      <c r="B89" s="336" t="s">
        <v>533</v>
      </c>
      <c r="C89" s="336" t="e">
        <f ca="1">_xll.BDP(B89 &amp; " Corp","MTY_YEARS_TDY")</f>
        <v>#NAME?</v>
      </c>
      <c r="D89" s="336" t="e">
        <f ca="1">_xll.BDP(B89 &amp; " Corp","px_last")</f>
        <v>#NAME?</v>
      </c>
      <c r="E89" s="336" t="e">
        <f ca="1">_xll.BDP(B89 &amp; " Corp","px_ask")</f>
        <v>#NAME?</v>
      </c>
      <c r="F89" s="336" t="e">
        <f ca="1">_xll.BDP(B89 &amp; " Corp","YLD_YTM_BID")</f>
        <v>#NAME?</v>
      </c>
      <c r="G89" s="336" t="e">
        <f ca="1">_xll.BDP(B89 &amp; " Corp","YLD_YTM_ask")</f>
        <v>#NAME?</v>
      </c>
      <c r="H89" s="336" t="e">
        <f ca="1">_xll.BDP(B89 &amp; " Corp","CPN")</f>
        <v>#NAME?</v>
      </c>
      <c r="I89" s="336" t="e">
        <f ca="1">_xll.BDP(B89&amp; " Corp","MATURITY")</f>
        <v>#NAME?</v>
      </c>
      <c r="J89" s="336" t="e">
        <f ca="1">IF(_xll.BDP(B89 &amp; " Corp","RTG_SP")="#N/A N/A","",_xll.BDP(B89 &amp; " Corp","RTG_SP"))&amp;"/"&amp;IF(_xll.BDP(B89 &amp; " Corp","RTG_fitch")="#N/A N/A","",_xll.BDP(B89 &amp; " Corp","RTG_fitch"))&amp;"/"&amp;IF(_xll.BDP(B89 &amp; " Corp","RTG_moody")="#N/A N/A","",_xll.BDP(B89 &amp; " Corp","RTG_moody"))</f>
        <v>#NAME?</v>
      </c>
      <c r="K89" s="336" t="e">
        <f ca="1">_xll.BDP($B89&amp; " Corp","INDUSTRY_SUBGROUP")</f>
        <v>#NAME?</v>
      </c>
      <c r="L89" s="336" t="e">
        <f ca="1">_xll.BDP(B89 &amp; " Corp","CRNCY")</f>
        <v>#NAME?</v>
      </c>
      <c r="M89" s="336" t="e">
        <f ca="1">_xll.BDP(B89 &amp; " Corp","CNTRY_OF_RISK")</f>
        <v>#NAME?</v>
      </c>
      <c r="N89" s="336" t="e">
        <f ca="1">_xll.BDP($B89&amp; " Corp","PAYMENT_RANK")</f>
        <v>#NAME?</v>
      </c>
      <c r="O89" s="336" t="e">
        <f ca="1">_xll.BDP($B89&amp; " Corp","MTY_TYP")</f>
        <v>#NAME?</v>
      </c>
      <c r="P89" s="336" t="e">
        <f ca="1">_xll.BDP($B89&amp; " Corp","RUSSIAN_CB_LOMBARD")</f>
        <v>#NAME?</v>
      </c>
      <c r="Q89" s="338" t="e">
        <f ca="1">_xll.BDP(B89&amp;" Corp", "INTERVAL_PERCENT_CHANGE", "END_DATE_OVERRIDE"," ", "START_DATE_OVERRIDe",R89)</f>
        <v>#NAME?</v>
      </c>
      <c r="R89" s="337">
        <v>20140716</v>
      </c>
      <c r="S89" s="336" t="e">
        <f ca="1">_xll.BDP($B89&amp; " Corp","PX_GROSS_MID")</f>
        <v>#NAME?</v>
      </c>
      <c r="T89" s="335" t="e">
        <f ca="1">_xll.BDP($B89&amp; " Corp","MIN_PIECE")</f>
        <v>#NAME?</v>
      </c>
    </row>
    <row r="90" spans="1:20" ht="15.75" x14ac:dyDescent="0.25">
      <c r="A90" s="336" t="e">
        <f ca="1">_xll.BDP(B90&amp; " Corp","name")</f>
        <v>#NAME?</v>
      </c>
      <c r="B90" s="336" t="s">
        <v>532</v>
      </c>
      <c r="C90" s="336" t="e">
        <f ca="1">_xll.BDP(B90 &amp; " Corp","MTY_YEARS_TDY")</f>
        <v>#NAME?</v>
      </c>
      <c r="D90" s="336" t="e">
        <f ca="1">_xll.BDP(B90 &amp; " Corp","px_last")</f>
        <v>#NAME?</v>
      </c>
      <c r="E90" s="336" t="e">
        <f ca="1">_xll.BDP(B90 &amp; " Corp","px_ask")</f>
        <v>#NAME?</v>
      </c>
      <c r="F90" s="336" t="e">
        <f ca="1">_xll.BDP(B90 &amp; " Corp","YLD_YTM_BID")</f>
        <v>#NAME?</v>
      </c>
      <c r="G90" s="336" t="e">
        <f ca="1">_xll.BDP(B90 &amp; " Corp","YLD_YTM_ask")</f>
        <v>#NAME?</v>
      </c>
      <c r="H90" s="336" t="e">
        <f ca="1">_xll.BDP(B90 &amp; " Corp","CPN")</f>
        <v>#NAME?</v>
      </c>
      <c r="I90" s="336" t="e">
        <f ca="1">_xll.BDP(B90&amp; " Corp","MATURITY")</f>
        <v>#NAME?</v>
      </c>
      <c r="J90" s="336" t="e">
        <f ca="1">IF(_xll.BDP(B90 &amp; " Corp","RTG_SP")="#N/A N/A","",_xll.BDP(B90 &amp; " Corp","RTG_SP"))&amp;"/"&amp;IF(_xll.BDP(B90 &amp; " Corp","RTG_fitch")="#N/A N/A","",_xll.BDP(B90 &amp; " Corp","RTG_fitch"))&amp;"/"&amp;IF(_xll.BDP(B90 &amp; " Corp","RTG_moody")="#N/A N/A","",_xll.BDP(B90 &amp; " Corp","RTG_moody"))</f>
        <v>#NAME?</v>
      </c>
      <c r="K90" s="336" t="e">
        <f ca="1">_xll.BDP($B90&amp; " Corp","INDUSTRY_SUBGROUP")</f>
        <v>#NAME?</v>
      </c>
      <c r="L90" s="336" t="e">
        <f ca="1">_xll.BDP(B90 &amp; " Corp","CRNCY")</f>
        <v>#NAME?</v>
      </c>
      <c r="M90" s="336" t="e">
        <f ca="1">_xll.BDP(B90 &amp; " Corp","CNTRY_OF_RISK")</f>
        <v>#NAME?</v>
      </c>
      <c r="N90" s="336" t="e">
        <f ca="1">_xll.BDP($B90&amp; " Corp","PAYMENT_RANK")</f>
        <v>#NAME?</v>
      </c>
      <c r="O90" s="336" t="e">
        <f ca="1">_xll.BDP($B90&amp; " Corp","MTY_TYP")</f>
        <v>#NAME?</v>
      </c>
      <c r="P90" s="336" t="e">
        <f ca="1">_xll.BDP($B90&amp; " Corp","RUSSIAN_CB_LOMBARD")</f>
        <v>#NAME?</v>
      </c>
      <c r="Q90" s="338" t="e">
        <f ca="1">_xll.BDP(B90&amp;" Corp", "INTERVAL_PERCENT_CHANGE", "END_DATE_OVERRIDE"," ", "START_DATE_OVERRIDe",R90)</f>
        <v>#NAME?</v>
      </c>
      <c r="R90" s="337">
        <v>20140716</v>
      </c>
      <c r="S90" s="336" t="e">
        <f ca="1">_xll.BDP($B90&amp; " Corp","PX_GROSS_MID")</f>
        <v>#NAME?</v>
      </c>
      <c r="T90" s="335" t="e">
        <f ca="1">_xll.BDP($B90&amp; " Corp","MIN_PIECE")</f>
        <v>#NAME?</v>
      </c>
    </row>
    <row r="91" spans="1:20" ht="15.75" x14ac:dyDescent="0.25">
      <c r="A91" s="336" t="e">
        <f ca="1">_xll.BDP(B91&amp; " Corp","name")</f>
        <v>#NAME?</v>
      </c>
      <c r="B91" s="336" t="s">
        <v>531</v>
      </c>
      <c r="C91" s="336" t="e">
        <f ca="1">_xll.BDP(B91 &amp; " Corp","MTY_YEARS_TDY")</f>
        <v>#NAME?</v>
      </c>
      <c r="D91" s="336" t="e">
        <f ca="1">_xll.BDP(B91 &amp; " Corp","px_last")</f>
        <v>#NAME?</v>
      </c>
      <c r="E91" s="336" t="e">
        <f ca="1">_xll.BDP(B91 &amp; " Corp","px_ask")</f>
        <v>#NAME?</v>
      </c>
      <c r="F91" s="336" t="e">
        <f ca="1">_xll.BDP(B91 &amp; " Corp","YLD_YTM_BID")</f>
        <v>#NAME?</v>
      </c>
      <c r="G91" s="336" t="e">
        <f ca="1">_xll.BDP(B91 &amp; " Corp","YLD_YTM_ask")</f>
        <v>#NAME?</v>
      </c>
      <c r="H91" s="336" t="e">
        <f ca="1">_xll.BDP(B91 &amp; " Corp","CPN")</f>
        <v>#NAME?</v>
      </c>
      <c r="I91" s="336" t="e">
        <f ca="1">_xll.BDP(B91&amp; " Corp","MATURITY")</f>
        <v>#NAME?</v>
      </c>
      <c r="J91" s="336" t="e">
        <f ca="1">IF(_xll.BDP(B91 &amp; " Corp","RTG_SP")="#N/A N/A","",_xll.BDP(B91 &amp; " Corp","RTG_SP"))&amp;"/"&amp;IF(_xll.BDP(B91 &amp; " Corp","RTG_fitch")="#N/A N/A","",_xll.BDP(B91 &amp; " Corp","RTG_fitch"))&amp;"/"&amp;IF(_xll.BDP(B91 &amp; " Corp","RTG_moody")="#N/A N/A","",_xll.BDP(B91 &amp; " Corp","RTG_moody"))</f>
        <v>#NAME?</v>
      </c>
      <c r="K91" s="336" t="e">
        <f ca="1">_xll.BDP($B91&amp; " Corp","INDUSTRY_SUBGROUP")</f>
        <v>#NAME?</v>
      </c>
      <c r="L91" s="336" t="e">
        <f ca="1">_xll.BDP(B91 &amp; " Corp","CRNCY")</f>
        <v>#NAME?</v>
      </c>
      <c r="M91" s="336" t="e">
        <f ca="1">_xll.BDP(B91 &amp; " Corp","CNTRY_OF_RISK")</f>
        <v>#NAME?</v>
      </c>
      <c r="N91" s="336" t="e">
        <f ca="1">_xll.BDP($B91&amp; " Corp","PAYMENT_RANK")</f>
        <v>#NAME?</v>
      </c>
      <c r="O91" s="336" t="e">
        <f ca="1">_xll.BDP($B91&amp; " Corp","MTY_TYP")</f>
        <v>#NAME?</v>
      </c>
      <c r="P91" s="336" t="e">
        <f ca="1">_xll.BDP($B91&amp; " Corp","RUSSIAN_CB_LOMBARD")</f>
        <v>#NAME?</v>
      </c>
      <c r="Q91" s="338" t="e">
        <f ca="1">_xll.BDP(B91&amp;" Corp", "INTERVAL_PERCENT_CHANGE", "END_DATE_OVERRIDE"," ", "START_DATE_OVERRIDe",R91)</f>
        <v>#NAME?</v>
      </c>
      <c r="R91" s="337">
        <v>20140716</v>
      </c>
      <c r="S91" s="336" t="e">
        <f ca="1">_xll.BDP($B91&amp; " Corp","PX_GROSS_MID")</f>
        <v>#NAME?</v>
      </c>
      <c r="T91" s="335" t="e">
        <f ca="1">_xll.BDP($B91&amp; " Corp","MIN_PIECE")</f>
        <v>#NAME?</v>
      </c>
    </row>
    <row r="92" spans="1:20" ht="15.75" x14ac:dyDescent="0.25">
      <c r="A92" s="336" t="e">
        <f ca="1">_xll.BDP(B92&amp; " Corp","name")</f>
        <v>#NAME?</v>
      </c>
      <c r="B92" s="336" t="s">
        <v>530</v>
      </c>
      <c r="C92" s="336" t="e">
        <f ca="1">_xll.BDP(B92 &amp; " Corp","MTY_YEARS_TDY")</f>
        <v>#NAME?</v>
      </c>
      <c r="D92" s="336" t="e">
        <f ca="1">_xll.BDP(B92 &amp; " Corp","px_last")</f>
        <v>#NAME?</v>
      </c>
      <c r="E92" s="336" t="e">
        <f ca="1">_xll.BDP(B92 &amp; " Corp","px_ask")</f>
        <v>#NAME?</v>
      </c>
      <c r="F92" s="336" t="e">
        <f ca="1">_xll.BDP(B92 &amp; " Corp","YLD_YTM_BID")</f>
        <v>#NAME?</v>
      </c>
      <c r="G92" s="336" t="e">
        <f ca="1">_xll.BDP(B92 &amp; " Corp","YLD_YTM_ask")</f>
        <v>#NAME?</v>
      </c>
      <c r="H92" s="336" t="e">
        <f ca="1">_xll.BDP(B92 &amp; " Corp","CPN")</f>
        <v>#NAME?</v>
      </c>
      <c r="I92" s="336" t="e">
        <f ca="1">_xll.BDP(B92&amp; " Corp","MATURITY")</f>
        <v>#NAME?</v>
      </c>
      <c r="J92" s="336" t="e">
        <f ca="1">IF(_xll.BDP(B92 &amp; " Corp","RTG_SP")="#N/A N/A","",_xll.BDP(B92 &amp; " Corp","RTG_SP"))&amp;"/"&amp;IF(_xll.BDP(B92 &amp; " Corp","RTG_fitch")="#N/A N/A","",_xll.BDP(B92 &amp; " Corp","RTG_fitch"))&amp;"/"&amp;IF(_xll.BDP(B92 &amp; " Corp","RTG_moody")="#N/A N/A","",_xll.BDP(B92 &amp; " Corp","RTG_moody"))</f>
        <v>#NAME?</v>
      </c>
      <c r="K92" s="336" t="e">
        <f ca="1">_xll.BDP($B92&amp; " Corp","INDUSTRY_SUBGROUP")</f>
        <v>#NAME?</v>
      </c>
      <c r="L92" s="336" t="e">
        <f ca="1">_xll.BDP(B92 &amp; " Corp","CRNCY")</f>
        <v>#NAME?</v>
      </c>
      <c r="M92" s="336" t="e">
        <f ca="1">_xll.BDP(B92 &amp; " Corp","CNTRY_OF_RISK")</f>
        <v>#NAME?</v>
      </c>
      <c r="N92" s="336" t="e">
        <f ca="1">_xll.BDP($B92&amp; " Corp","PAYMENT_RANK")</f>
        <v>#NAME?</v>
      </c>
      <c r="O92" s="336" t="e">
        <f ca="1">_xll.BDP($B92&amp; " Corp","MTY_TYP")</f>
        <v>#NAME?</v>
      </c>
      <c r="P92" s="336" t="e">
        <f ca="1">_xll.BDP($B92&amp; " Corp","RUSSIAN_CB_LOMBARD")</f>
        <v>#NAME?</v>
      </c>
      <c r="Q92" s="338" t="e">
        <f ca="1">_xll.BDP(B92&amp;" Corp", "INTERVAL_PERCENT_CHANGE", "END_DATE_OVERRIDE"," ", "START_DATE_OVERRIDe",R92)</f>
        <v>#NAME?</v>
      </c>
      <c r="R92" s="337">
        <v>20140716</v>
      </c>
      <c r="S92" s="336" t="e">
        <f ca="1">_xll.BDP($B92&amp; " Corp","PX_GROSS_MID")</f>
        <v>#NAME?</v>
      </c>
      <c r="T92" s="335" t="e">
        <f ca="1">_xll.BDP($B92&amp; " Corp","MIN_PIECE")</f>
        <v>#NAME?</v>
      </c>
    </row>
    <row r="93" spans="1:20" ht="15.75" x14ac:dyDescent="0.25">
      <c r="A93" s="336" t="e">
        <f ca="1">_xll.BDP(B93&amp; " Corp","name")</f>
        <v>#NAME?</v>
      </c>
      <c r="B93" s="336" t="s">
        <v>529</v>
      </c>
      <c r="C93" s="336" t="e">
        <f ca="1">_xll.BDP(B93 &amp; " Corp","MTY_YEARS_TDY")</f>
        <v>#NAME?</v>
      </c>
      <c r="D93" s="336" t="e">
        <f ca="1">_xll.BDP(B93 &amp; " Corp","px_last")</f>
        <v>#NAME?</v>
      </c>
      <c r="E93" s="336" t="e">
        <f ca="1">_xll.BDP(B93 &amp; " Corp","px_ask")</f>
        <v>#NAME?</v>
      </c>
      <c r="F93" s="336" t="e">
        <f ca="1">_xll.BDP(B93 &amp; " Corp","YLD_YTM_BID")</f>
        <v>#NAME?</v>
      </c>
      <c r="G93" s="336" t="e">
        <f ca="1">_xll.BDP(B93 &amp; " Corp","YLD_YTM_ask")</f>
        <v>#NAME?</v>
      </c>
      <c r="H93" s="336" t="e">
        <f ca="1">_xll.BDP(B93 &amp; " Corp","CPN")</f>
        <v>#NAME?</v>
      </c>
      <c r="I93" s="336" t="e">
        <f ca="1">_xll.BDP(B93&amp; " Corp","MATURITY")</f>
        <v>#NAME?</v>
      </c>
      <c r="J93" s="336" t="e">
        <f ca="1">IF(_xll.BDP(B93 &amp; " Corp","RTG_SP")="#N/A N/A","",_xll.BDP(B93 &amp; " Corp","RTG_SP"))&amp;"/"&amp;IF(_xll.BDP(B93 &amp; " Corp","RTG_fitch")="#N/A N/A","",_xll.BDP(B93 &amp; " Corp","RTG_fitch"))&amp;"/"&amp;IF(_xll.BDP(B93 &amp; " Corp","RTG_moody")="#N/A N/A","",_xll.BDP(B93 &amp; " Corp","RTG_moody"))</f>
        <v>#NAME?</v>
      </c>
      <c r="K93" s="336" t="e">
        <f ca="1">_xll.BDP($B93&amp; " Corp","INDUSTRY_SUBGROUP")</f>
        <v>#NAME?</v>
      </c>
      <c r="L93" s="336" t="e">
        <f ca="1">_xll.BDP(B93 &amp; " Corp","CRNCY")</f>
        <v>#NAME?</v>
      </c>
      <c r="M93" s="336" t="e">
        <f ca="1">_xll.BDP(B93 &amp; " Corp","CNTRY_OF_RISK")</f>
        <v>#NAME?</v>
      </c>
      <c r="N93" s="336" t="e">
        <f ca="1">_xll.BDP($B93&amp; " Corp","PAYMENT_RANK")</f>
        <v>#NAME?</v>
      </c>
      <c r="O93" s="336" t="e">
        <f ca="1">_xll.BDP($B93&amp; " Corp","MTY_TYP")</f>
        <v>#NAME?</v>
      </c>
      <c r="P93" s="336" t="e">
        <f ca="1">_xll.BDP($B93&amp; " Corp","RUSSIAN_CB_LOMBARD")</f>
        <v>#NAME?</v>
      </c>
      <c r="Q93" s="338" t="e">
        <f ca="1">_xll.BDP(B93&amp;" Corp", "INTERVAL_PERCENT_CHANGE", "END_DATE_OVERRIDE"," ", "START_DATE_OVERRIDe",R93)</f>
        <v>#NAME?</v>
      </c>
      <c r="R93" s="337">
        <v>20140716</v>
      </c>
      <c r="S93" s="336" t="e">
        <f ca="1">_xll.BDP($B93&amp; " Corp","PX_GROSS_MID")</f>
        <v>#NAME?</v>
      </c>
      <c r="T93" s="335" t="e">
        <f ca="1">_xll.BDP($B93&amp; " Corp","MIN_PIECE")</f>
        <v>#NAME?</v>
      </c>
    </row>
    <row r="94" spans="1:20" ht="15.75" x14ac:dyDescent="0.25">
      <c r="A94" s="336" t="e">
        <f ca="1">_xll.BDP(B94&amp; " Corp","name")</f>
        <v>#NAME?</v>
      </c>
      <c r="B94" s="336" t="s">
        <v>528</v>
      </c>
      <c r="C94" s="336" t="e">
        <f ca="1">_xll.BDP(B94 &amp; " Corp","MTY_YEARS_TDY")</f>
        <v>#NAME?</v>
      </c>
      <c r="D94" s="336" t="e">
        <f ca="1">_xll.BDP(B94 &amp; " Corp","px_last")</f>
        <v>#NAME?</v>
      </c>
      <c r="E94" s="336" t="e">
        <f ca="1">_xll.BDP(B94 &amp; " Corp","px_ask")</f>
        <v>#NAME?</v>
      </c>
      <c r="F94" s="336" t="e">
        <f ca="1">_xll.BDP(B94 &amp; " Corp","YLD_YTM_BID")</f>
        <v>#NAME?</v>
      </c>
      <c r="G94" s="336" t="e">
        <f ca="1">_xll.BDP(B94 &amp; " Corp","YLD_YTM_ask")</f>
        <v>#NAME?</v>
      </c>
      <c r="H94" s="336" t="e">
        <f ca="1">_xll.BDP(B94 &amp; " Corp","CPN")</f>
        <v>#NAME?</v>
      </c>
      <c r="I94" s="336" t="e">
        <f ca="1">_xll.BDP(B94&amp; " Corp","MATURITY")</f>
        <v>#NAME?</v>
      </c>
      <c r="J94" s="336" t="e">
        <f ca="1">IF(_xll.BDP(B94 &amp; " Corp","RTG_SP")="#N/A N/A","",_xll.BDP(B94 &amp; " Corp","RTG_SP"))&amp;"/"&amp;IF(_xll.BDP(B94 &amp; " Corp","RTG_fitch")="#N/A N/A","",_xll.BDP(B94 &amp; " Corp","RTG_fitch"))&amp;"/"&amp;IF(_xll.BDP(B94 &amp; " Corp","RTG_moody")="#N/A N/A","",_xll.BDP(B94 &amp; " Corp","RTG_moody"))</f>
        <v>#NAME?</v>
      </c>
      <c r="K94" s="336" t="e">
        <f ca="1">_xll.BDP($B94&amp; " Corp","INDUSTRY_SUBGROUP")</f>
        <v>#NAME?</v>
      </c>
      <c r="L94" s="336" t="e">
        <f ca="1">_xll.BDP(B94 &amp; " Corp","CRNCY")</f>
        <v>#NAME?</v>
      </c>
      <c r="M94" s="336" t="e">
        <f ca="1">_xll.BDP(B94 &amp; " Corp","CNTRY_OF_RISK")</f>
        <v>#NAME?</v>
      </c>
      <c r="N94" s="336" t="e">
        <f ca="1">_xll.BDP($B94&amp; " Corp","PAYMENT_RANK")</f>
        <v>#NAME?</v>
      </c>
      <c r="O94" s="336" t="e">
        <f ca="1">_xll.BDP($B94&amp; " Corp","MTY_TYP")</f>
        <v>#NAME?</v>
      </c>
      <c r="P94" s="336" t="e">
        <f ca="1">_xll.BDP($B94&amp; " Corp","RUSSIAN_CB_LOMBARD")</f>
        <v>#NAME?</v>
      </c>
      <c r="Q94" s="338" t="e">
        <f ca="1">_xll.BDP(B94&amp;" Corp", "INTERVAL_PERCENT_CHANGE", "END_DATE_OVERRIDE"," ", "START_DATE_OVERRIDe",R94)</f>
        <v>#NAME?</v>
      </c>
      <c r="R94" s="337">
        <v>20140716</v>
      </c>
      <c r="S94" s="336" t="e">
        <f ca="1">_xll.BDP($B94&amp; " Corp","PX_GROSS_MID")</f>
        <v>#NAME?</v>
      </c>
      <c r="T94" s="335" t="e">
        <f ca="1">_xll.BDP($B94&amp; " Corp","MIN_PIECE")</f>
        <v>#NAME?</v>
      </c>
    </row>
    <row r="95" spans="1:20" ht="15.75" x14ac:dyDescent="0.25">
      <c r="A95" s="336" t="e">
        <f ca="1">_xll.BDP(B95&amp; " Corp","name")</f>
        <v>#NAME?</v>
      </c>
      <c r="B95" s="336" t="s">
        <v>527</v>
      </c>
      <c r="C95" s="336" t="e">
        <f ca="1">_xll.BDP(B95 &amp; " Corp","MTY_YEARS_TDY")</f>
        <v>#NAME?</v>
      </c>
      <c r="D95" s="336" t="e">
        <f ca="1">_xll.BDP(B95 &amp; " Corp","px_last")</f>
        <v>#NAME?</v>
      </c>
      <c r="E95" s="336" t="e">
        <f ca="1">_xll.BDP(B95 &amp; " Corp","px_ask")</f>
        <v>#NAME?</v>
      </c>
      <c r="F95" s="336" t="e">
        <f ca="1">_xll.BDP(B95 &amp; " Corp","YLD_YTM_BID")</f>
        <v>#NAME?</v>
      </c>
      <c r="G95" s="336" t="e">
        <f ca="1">_xll.BDP(B95 &amp; " Corp","YLD_YTM_ask")</f>
        <v>#NAME?</v>
      </c>
      <c r="H95" s="336" t="e">
        <f ca="1">_xll.BDP(B95 &amp; " Corp","CPN")</f>
        <v>#NAME?</v>
      </c>
      <c r="I95" s="336" t="e">
        <f ca="1">_xll.BDP(B95&amp; " Corp","MATURITY")</f>
        <v>#NAME?</v>
      </c>
      <c r="J95" s="336" t="e">
        <f ca="1">IF(_xll.BDP(B95 &amp; " Corp","RTG_SP")="#N/A N/A","",_xll.BDP(B95 &amp; " Corp","RTG_SP"))&amp;"/"&amp;IF(_xll.BDP(B95 &amp; " Corp","RTG_fitch")="#N/A N/A","",_xll.BDP(B95 &amp; " Corp","RTG_fitch"))&amp;"/"&amp;IF(_xll.BDP(B95 &amp; " Corp","RTG_moody")="#N/A N/A","",_xll.BDP(B95 &amp; " Corp","RTG_moody"))</f>
        <v>#NAME?</v>
      </c>
      <c r="K95" s="336" t="e">
        <f ca="1">_xll.BDP($B95&amp; " Corp","INDUSTRY_SUBGROUP")</f>
        <v>#NAME?</v>
      </c>
      <c r="L95" s="336" t="e">
        <f ca="1">_xll.BDP(B95 &amp; " Corp","CRNCY")</f>
        <v>#NAME?</v>
      </c>
      <c r="M95" s="336" t="e">
        <f ca="1">_xll.BDP(B95 &amp; " Corp","CNTRY_OF_RISK")</f>
        <v>#NAME?</v>
      </c>
      <c r="N95" s="336" t="e">
        <f ca="1">_xll.BDP($B95&amp; " Corp","PAYMENT_RANK")</f>
        <v>#NAME?</v>
      </c>
      <c r="O95" s="336" t="e">
        <f ca="1">_xll.BDP($B95&amp; " Corp","MTY_TYP")</f>
        <v>#NAME?</v>
      </c>
      <c r="P95" s="336" t="e">
        <f ca="1">_xll.BDP($B95&amp; " Corp","RUSSIAN_CB_LOMBARD")</f>
        <v>#NAME?</v>
      </c>
      <c r="Q95" s="338" t="e">
        <f ca="1">_xll.BDP(B95&amp;" Corp", "INTERVAL_PERCENT_CHANGE", "END_DATE_OVERRIDE"," ", "START_DATE_OVERRIDe",R95)</f>
        <v>#NAME?</v>
      </c>
      <c r="R95" s="337">
        <v>20140716</v>
      </c>
      <c r="S95" s="336" t="e">
        <f ca="1">_xll.BDP($B95&amp; " Corp","PX_GROSS_MID")</f>
        <v>#NAME?</v>
      </c>
      <c r="T95" s="335" t="e">
        <f ca="1">_xll.BDP($B95&amp; " Corp","MIN_PIECE")</f>
        <v>#NAME?</v>
      </c>
    </row>
    <row r="96" spans="1:20" ht="15.75" x14ac:dyDescent="0.25">
      <c r="A96" s="336" t="e">
        <f ca="1">_xll.BDP(B96&amp; " Corp","name")</f>
        <v>#NAME?</v>
      </c>
      <c r="B96" s="336" t="s">
        <v>526</v>
      </c>
      <c r="C96" s="336" t="e">
        <f ca="1">_xll.BDP(B96 &amp; " Corp","MTY_YEARS_TDY")</f>
        <v>#NAME?</v>
      </c>
      <c r="D96" s="336" t="e">
        <f ca="1">_xll.BDP(B96 &amp; " Corp","px_last")</f>
        <v>#NAME?</v>
      </c>
      <c r="E96" s="336" t="e">
        <f ca="1">_xll.BDP(B96 &amp; " Corp","px_ask")</f>
        <v>#NAME?</v>
      </c>
      <c r="F96" s="336" t="e">
        <f ca="1">_xll.BDP(B96 &amp; " Corp","YLD_YTM_BID")</f>
        <v>#NAME?</v>
      </c>
      <c r="G96" s="336" t="e">
        <f ca="1">_xll.BDP(B96 &amp; " Corp","YLD_YTM_ask")</f>
        <v>#NAME?</v>
      </c>
      <c r="H96" s="336" t="e">
        <f ca="1">_xll.BDP(B96 &amp; " Corp","CPN")</f>
        <v>#NAME?</v>
      </c>
      <c r="I96" s="336" t="e">
        <f ca="1">_xll.BDP(B96&amp; " Corp","MATURITY")</f>
        <v>#NAME?</v>
      </c>
      <c r="J96" s="336" t="e">
        <f ca="1">IF(_xll.BDP(B96 &amp; " Corp","RTG_SP")="#N/A N/A","",_xll.BDP(B96 &amp; " Corp","RTG_SP"))&amp;"/"&amp;IF(_xll.BDP(B96 &amp; " Corp","RTG_fitch")="#N/A N/A","",_xll.BDP(B96 &amp; " Corp","RTG_fitch"))&amp;"/"&amp;IF(_xll.BDP(B96 &amp; " Corp","RTG_moody")="#N/A N/A","",_xll.BDP(B96 &amp; " Corp","RTG_moody"))</f>
        <v>#NAME?</v>
      </c>
      <c r="K96" s="336" t="e">
        <f ca="1">_xll.BDP($B96&amp; " Corp","INDUSTRY_SUBGROUP")</f>
        <v>#NAME?</v>
      </c>
      <c r="L96" s="336" t="e">
        <f ca="1">_xll.BDP(B96 &amp; " Corp","CRNCY")</f>
        <v>#NAME?</v>
      </c>
      <c r="M96" s="336" t="e">
        <f ca="1">_xll.BDP(B96 &amp; " Corp","CNTRY_OF_RISK")</f>
        <v>#NAME?</v>
      </c>
      <c r="N96" s="336" t="e">
        <f ca="1">_xll.BDP($B96&amp; " Corp","PAYMENT_RANK")</f>
        <v>#NAME?</v>
      </c>
      <c r="O96" s="336" t="e">
        <f ca="1">_xll.BDP($B96&amp; " Corp","MTY_TYP")</f>
        <v>#NAME?</v>
      </c>
      <c r="P96" s="336" t="e">
        <f ca="1">_xll.BDP($B96&amp; " Corp","RUSSIAN_CB_LOMBARD")</f>
        <v>#NAME?</v>
      </c>
      <c r="Q96" s="338" t="e">
        <f ca="1">_xll.BDP(B96&amp;" Corp", "INTERVAL_PERCENT_CHANGE", "END_DATE_OVERRIDE"," ", "START_DATE_OVERRIDe",R96)</f>
        <v>#NAME?</v>
      </c>
      <c r="R96" s="337">
        <v>20140716</v>
      </c>
      <c r="S96" s="336" t="e">
        <f ca="1">_xll.BDP($B96&amp; " Corp","PX_GROSS_MID")</f>
        <v>#NAME?</v>
      </c>
      <c r="T96" s="335" t="e">
        <f ca="1">_xll.BDP($B96&amp; " Corp","MIN_PIECE")</f>
        <v>#NAME?</v>
      </c>
    </row>
    <row r="97" spans="1:20" ht="15.75" x14ac:dyDescent="0.25">
      <c r="A97" s="336" t="e">
        <f ca="1">_xll.BDP(B97&amp; " Corp","name")</f>
        <v>#NAME?</v>
      </c>
      <c r="B97" s="336" t="s">
        <v>525</v>
      </c>
      <c r="C97" s="336" t="e">
        <f ca="1">_xll.BDP(B97 &amp; " Corp","MTY_YEARS_TDY")</f>
        <v>#NAME?</v>
      </c>
      <c r="D97" s="336" t="e">
        <f ca="1">_xll.BDP(B97 &amp; " Corp","px_last")</f>
        <v>#NAME?</v>
      </c>
      <c r="E97" s="336" t="e">
        <f ca="1">_xll.BDP(B97 &amp; " Corp","px_ask")</f>
        <v>#NAME?</v>
      </c>
      <c r="F97" s="336" t="e">
        <f ca="1">_xll.BDP(B97 &amp; " Corp","YLD_YTM_BID")</f>
        <v>#NAME?</v>
      </c>
      <c r="G97" s="336" t="e">
        <f ca="1">_xll.BDP(B97 &amp; " Corp","YLD_YTM_ask")</f>
        <v>#NAME?</v>
      </c>
      <c r="H97" s="336" t="e">
        <f ca="1">_xll.BDP(B97 &amp; " Corp","CPN")</f>
        <v>#NAME?</v>
      </c>
      <c r="I97" s="336" t="e">
        <f ca="1">_xll.BDP(B97&amp; " Corp","MATURITY")</f>
        <v>#NAME?</v>
      </c>
      <c r="J97" s="336" t="e">
        <f ca="1">IF(_xll.BDP(B97 &amp; " Corp","RTG_SP")="#N/A N/A","",_xll.BDP(B97 &amp; " Corp","RTG_SP"))&amp;"/"&amp;IF(_xll.BDP(B97 &amp; " Corp","RTG_fitch")="#N/A N/A","",_xll.BDP(B97 &amp; " Corp","RTG_fitch"))&amp;"/"&amp;IF(_xll.BDP(B97 &amp; " Corp","RTG_moody")="#N/A N/A","",_xll.BDP(B97 &amp; " Corp","RTG_moody"))</f>
        <v>#NAME?</v>
      </c>
      <c r="K97" s="336" t="e">
        <f ca="1">_xll.BDP($B97&amp; " Corp","INDUSTRY_SUBGROUP")</f>
        <v>#NAME?</v>
      </c>
      <c r="L97" s="336" t="e">
        <f ca="1">_xll.BDP(B97 &amp; " Corp","CRNCY")</f>
        <v>#NAME?</v>
      </c>
      <c r="M97" s="336" t="e">
        <f ca="1">_xll.BDP(B97 &amp; " Corp","CNTRY_OF_RISK")</f>
        <v>#NAME?</v>
      </c>
      <c r="N97" s="336" t="e">
        <f ca="1">_xll.BDP($B97&amp; " Corp","PAYMENT_RANK")</f>
        <v>#NAME?</v>
      </c>
      <c r="O97" s="336" t="e">
        <f ca="1">_xll.BDP($B97&amp; " Corp","MTY_TYP")</f>
        <v>#NAME?</v>
      </c>
      <c r="P97" s="336" t="e">
        <f ca="1">_xll.BDP($B97&amp; " Corp","RUSSIAN_CB_LOMBARD")</f>
        <v>#NAME?</v>
      </c>
      <c r="Q97" s="338" t="e">
        <f ca="1">_xll.BDP(B97&amp;" Corp", "INTERVAL_PERCENT_CHANGE", "END_DATE_OVERRIDE"," ", "START_DATE_OVERRIDe",R97)</f>
        <v>#NAME?</v>
      </c>
      <c r="R97" s="337">
        <v>20140716</v>
      </c>
      <c r="S97" s="336" t="e">
        <f ca="1">_xll.BDP($B97&amp; " Corp","PX_GROSS_MID")</f>
        <v>#NAME?</v>
      </c>
      <c r="T97" s="335" t="e">
        <f ca="1">_xll.BDP($B97&amp; " Corp","MIN_PIECE")</f>
        <v>#NAME?</v>
      </c>
    </row>
    <row r="98" spans="1:20" ht="18.75" x14ac:dyDescent="0.3">
      <c r="A98" s="341" t="s">
        <v>524</v>
      </c>
      <c r="B98" s="340"/>
      <c r="C98" s="340"/>
      <c r="D98" s="340"/>
      <c r="E98" s="340"/>
      <c r="F98" s="340"/>
      <c r="G98" s="340"/>
      <c r="H98" s="340"/>
      <c r="I98" s="340"/>
      <c r="J98" s="340"/>
      <c r="K98" s="340"/>
      <c r="L98" s="340"/>
      <c r="M98" s="340"/>
      <c r="N98" s="340"/>
      <c r="O98" s="340"/>
      <c r="P98" s="340"/>
      <c r="Q98" s="338" t="e">
        <f>_xll.BDP(#REF!&amp;" Corp", "INTERVAL_PERCENT_CHANGE", "END_DATE_OVERRIDE"," ", "START_DATE_OVERRIDe",R98)</f>
        <v>#REF!</v>
      </c>
      <c r="R98" s="337">
        <v>20140716</v>
      </c>
      <c r="S98" s="336" t="e">
        <f>_xll.BDP(#REF!&amp; " Corp","PX_GROSS_MID")</f>
        <v>#REF!</v>
      </c>
      <c r="T98" s="335" t="e">
        <f>_xll.BDP(#REF!&amp; " Corp","MIN_PIECE")</f>
        <v>#REF!</v>
      </c>
    </row>
    <row r="99" spans="1:20" ht="15.75" x14ac:dyDescent="0.25">
      <c r="A99" s="336" t="e">
        <f ca="1">_xll.BDP(B99&amp; " Corp","name")</f>
        <v>#NAME?</v>
      </c>
      <c r="B99" s="336" t="s">
        <v>523</v>
      </c>
      <c r="C99" s="336" t="e">
        <f ca="1">_xll.BDP(B99 &amp; " Corp","MTY_YEARS_TDY")</f>
        <v>#NAME?</v>
      </c>
      <c r="D99" s="336" t="e">
        <f ca="1">_xll.BDP(B99 &amp; " Corp","px_last")</f>
        <v>#NAME?</v>
      </c>
      <c r="E99" s="336" t="e">
        <f ca="1">_xll.BDP(B99 &amp; " Corp","px_ask")</f>
        <v>#NAME?</v>
      </c>
      <c r="F99" s="336" t="e">
        <f ca="1">_xll.BDP(B99 &amp; " Corp","YLD_YTM_BID")</f>
        <v>#NAME?</v>
      </c>
      <c r="G99" s="336" t="e">
        <f ca="1">_xll.BDP(B99 &amp; " Corp","YLD_YTM_ask")</f>
        <v>#NAME?</v>
      </c>
      <c r="H99" s="336" t="e">
        <f ca="1">_xll.BDP(B99 &amp; " Corp","CPN")</f>
        <v>#NAME?</v>
      </c>
      <c r="I99" s="336" t="e">
        <f ca="1">_xll.BDP(B99&amp; " Corp","MATURITY")</f>
        <v>#NAME?</v>
      </c>
      <c r="J99" s="336" t="e">
        <f ca="1">IF(_xll.BDP(B99 &amp; " Corp","RTG_SP")="#N/A N/A","",_xll.BDP(B99 &amp; " Corp","RTG_SP"))&amp;"/"&amp;IF(_xll.BDP(B99 &amp; " Corp","RTG_fitch")="#N/A N/A","",_xll.BDP(B99 &amp; " Corp","RTG_fitch"))&amp;"/"&amp;IF(_xll.BDP(B99 &amp; " Corp","RTG_moody")="#N/A N/A","",_xll.BDP(B99 &amp; " Corp","RTG_moody"))</f>
        <v>#NAME?</v>
      </c>
      <c r="K99" s="336" t="e">
        <f ca="1">_xll.BDP($B99&amp; " Corp","INDUSTRY_SUBGROUP")</f>
        <v>#NAME?</v>
      </c>
      <c r="L99" s="336" t="e">
        <f ca="1">_xll.BDP(B99 &amp; " Corp","CRNCY")</f>
        <v>#NAME?</v>
      </c>
      <c r="M99" s="336" t="e">
        <f ca="1">_xll.BDP(B99 &amp; " Corp","CNTRY_OF_RISK")</f>
        <v>#NAME?</v>
      </c>
      <c r="N99" s="336" t="e">
        <f ca="1">_xll.BDP($B99&amp; " Corp","PAYMENT_RANK")</f>
        <v>#NAME?</v>
      </c>
      <c r="O99" s="336" t="e">
        <f ca="1">_xll.BDP($B99&amp; " Corp","MTY_TYP")</f>
        <v>#NAME?</v>
      </c>
      <c r="P99" s="336" t="e">
        <f ca="1">_xll.BDP($B99&amp; " Corp","RUSSIAN_CB_LOMBARD")</f>
        <v>#NAME?</v>
      </c>
      <c r="Q99" s="340"/>
      <c r="R99" s="340"/>
      <c r="S99" s="340"/>
      <c r="T99" s="340"/>
    </row>
    <row r="100" spans="1:20" ht="15.75" x14ac:dyDescent="0.25">
      <c r="A100" s="336" t="e">
        <f ca="1">_xll.BDP(B100&amp; " Corp","name")</f>
        <v>#NAME?</v>
      </c>
      <c r="B100" s="336" t="s">
        <v>522</v>
      </c>
      <c r="C100" s="336" t="e">
        <f ca="1">_xll.BDP(B100 &amp; " Corp","MTY_YEARS_TDY")</f>
        <v>#NAME?</v>
      </c>
      <c r="D100" s="336" t="e">
        <f ca="1">_xll.BDP(B100 &amp; " Corp","px_last")</f>
        <v>#NAME?</v>
      </c>
      <c r="E100" s="336" t="e">
        <f ca="1">_xll.BDP(B100 &amp; " Corp","px_ask")</f>
        <v>#NAME?</v>
      </c>
      <c r="F100" s="336" t="e">
        <f ca="1">_xll.BDP(B100 &amp; " Corp","YLD_YTM_BID")</f>
        <v>#NAME?</v>
      </c>
      <c r="G100" s="336" t="e">
        <f ca="1">_xll.BDP(B100 &amp; " Corp","YLD_YTM_ask")</f>
        <v>#NAME?</v>
      </c>
      <c r="H100" s="336" t="e">
        <f ca="1">_xll.BDP(B100 &amp; " Corp","CPN")</f>
        <v>#NAME?</v>
      </c>
      <c r="I100" s="336" t="e">
        <f ca="1">_xll.BDP(B100&amp; " Corp","MATURITY")</f>
        <v>#NAME?</v>
      </c>
      <c r="J100" s="336" t="e">
        <f ca="1">IF(_xll.BDP(B100 &amp; " Corp","RTG_SP")="#N/A N/A","",_xll.BDP(B100 &amp; " Corp","RTG_SP"))&amp;"/"&amp;IF(_xll.BDP(B100 &amp; " Corp","RTG_fitch")="#N/A N/A","",_xll.BDP(B100 &amp; " Corp","RTG_fitch"))&amp;"/"&amp;IF(_xll.BDP(B100 &amp; " Corp","RTG_moody")="#N/A N/A","",_xll.BDP(B100 &amp; " Corp","RTG_moody"))</f>
        <v>#NAME?</v>
      </c>
      <c r="K100" s="336" t="e">
        <f ca="1">_xll.BDP($B100&amp; " Corp","INDUSTRY_SUBGROUP")</f>
        <v>#NAME?</v>
      </c>
      <c r="L100" s="336" t="e">
        <f ca="1">_xll.BDP(B100 &amp; " Corp","CRNCY")</f>
        <v>#NAME?</v>
      </c>
      <c r="M100" s="336" t="e">
        <f ca="1">_xll.BDP(B100 &amp; " Corp","CNTRY_OF_RISK")</f>
        <v>#NAME?</v>
      </c>
      <c r="N100" s="336" t="e">
        <f ca="1">_xll.BDP($B100&amp; " Corp","PAYMENT_RANK")</f>
        <v>#NAME?</v>
      </c>
      <c r="O100" s="336" t="e">
        <f ca="1">_xll.BDP($B100&amp; " Corp","MTY_TYP")</f>
        <v>#NAME?</v>
      </c>
      <c r="P100" s="336" t="e">
        <f ca="1">_xll.BDP($B100&amp; " Corp","RUSSIAN_CB_LOMBARD")</f>
        <v>#NAME?</v>
      </c>
      <c r="Q100" s="340"/>
      <c r="R100" s="340"/>
      <c r="S100" s="340"/>
      <c r="T100" s="340"/>
    </row>
    <row r="101" spans="1:20" ht="15.75" x14ac:dyDescent="0.25">
      <c r="A101" s="336" t="e">
        <f ca="1">_xll.BDP(B101&amp; " Corp","name")</f>
        <v>#NAME?</v>
      </c>
      <c r="B101" s="336" t="s">
        <v>521</v>
      </c>
      <c r="C101" s="336" t="e">
        <f ca="1">_xll.BDP(B101 &amp; " Corp","MTY_YEARS_TDY")</f>
        <v>#NAME?</v>
      </c>
      <c r="D101" s="336" t="e">
        <f ca="1">_xll.BDP(B101 &amp; " Corp","px_last")</f>
        <v>#NAME?</v>
      </c>
      <c r="E101" s="336" t="e">
        <f ca="1">_xll.BDP(B101 &amp; " Corp","px_ask")</f>
        <v>#NAME?</v>
      </c>
      <c r="F101" s="336" t="e">
        <f ca="1">_xll.BDP(B101 &amp; " Corp","YLD_YTM_BID")</f>
        <v>#NAME?</v>
      </c>
      <c r="G101" s="336" t="e">
        <f ca="1">_xll.BDP(B101 &amp; " Corp","YLD_YTM_ask")</f>
        <v>#NAME?</v>
      </c>
      <c r="H101" s="336" t="e">
        <f ca="1">_xll.BDP(B101 &amp; " Corp","CPN")</f>
        <v>#NAME?</v>
      </c>
      <c r="I101" s="336" t="e">
        <f ca="1">_xll.BDP(B101&amp; " Corp","MATURITY")</f>
        <v>#NAME?</v>
      </c>
      <c r="J101" s="336" t="e">
        <f ca="1">IF(_xll.BDP(B101 &amp; " Corp","RTG_SP")="#N/A N/A","",_xll.BDP(B101 &amp; " Corp","RTG_SP"))&amp;"/"&amp;IF(_xll.BDP(B101 &amp; " Corp","RTG_fitch")="#N/A N/A","",_xll.BDP(B101 &amp; " Corp","RTG_fitch"))&amp;"/"&amp;IF(_xll.BDP(B101 &amp; " Corp","RTG_moody")="#N/A N/A","",_xll.BDP(B101 &amp; " Corp","RTG_moody"))</f>
        <v>#NAME?</v>
      </c>
      <c r="K101" s="336" t="e">
        <f ca="1">_xll.BDP($B101&amp; " Corp","INDUSTRY_SUBGROUP")</f>
        <v>#NAME?</v>
      </c>
      <c r="L101" s="336" t="e">
        <f ca="1">_xll.BDP(B101 &amp; " Corp","CRNCY")</f>
        <v>#NAME?</v>
      </c>
      <c r="M101" s="336" t="e">
        <f ca="1">_xll.BDP(B101 &amp; " Corp","CNTRY_OF_RISK")</f>
        <v>#NAME?</v>
      </c>
      <c r="N101" s="336" t="e">
        <f ca="1">_xll.BDP($B101&amp; " Corp","PAYMENT_RANK")</f>
        <v>#NAME?</v>
      </c>
      <c r="O101" s="336" t="e">
        <f ca="1">_xll.BDP($B101&amp; " Corp","MTY_TYP")</f>
        <v>#NAME?</v>
      </c>
      <c r="P101" s="336" t="e">
        <f ca="1">_xll.BDP($B101&amp; " Corp","RUSSIAN_CB_LOMBARD")</f>
        <v>#NAME?</v>
      </c>
      <c r="Q101" s="340"/>
      <c r="R101" s="340"/>
      <c r="S101" s="340"/>
      <c r="T101" s="340"/>
    </row>
    <row r="102" spans="1:20" ht="15.75" x14ac:dyDescent="0.25">
      <c r="A102" s="336" t="e">
        <f ca="1">_xll.BDP(B102&amp; " Corp","name")</f>
        <v>#NAME?</v>
      </c>
      <c r="B102" s="336" t="s">
        <v>520</v>
      </c>
      <c r="C102" s="336" t="e">
        <f ca="1">_xll.BDP(B102 &amp; " Corp","MTY_YEARS_TDY")</f>
        <v>#NAME?</v>
      </c>
      <c r="D102" s="336" t="e">
        <f ca="1">_xll.BDP(B102 &amp; " Corp","px_last")</f>
        <v>#NAME?</v>
      </c>
      <c r="E102" s="336" t="e">
        <f ca="1">_xll.BDP(B102 &amp; " Corp","px_ask")</f>
        <v>#NAME?</v>
      </c>
      <c r="F102" s="336" t="e">
        <f ca="1">_xll.BDP(B102 &amp; " Corp","YLD_YTM_BID")</f>
        <v>#NAME?</v>
      </c>
      <c r="G102" s="336" t="e">
        <f ca="1">_xll.BDP(B102 &amp; " Corp","YLD_YTM_ask")</f>
        <v>#NAME?</v>
      </c>
      <c r="H102" s="336" t="e">
        <f ca="1">_xll.BDP(B102 &amp; " Corp","CPN")</f>
        <v>#NAME?</v>
      </c>
      <c r="I102" s="336" t="e">
        <f ca="1">_xll.BDP(B102&amp; " Corp","MATURITY")</f>
        <v>#NAME?</v>
      </c>
      <c r="J102" s="336" t="e">
        <f ca="1">IF(_xll.BDP(B102 &amp; " Corp","RTG_SP")="#N/A N/A","",_xll.BDP(B102 &amp; " Corp","RTG_SP"))&amp;"/"&amp;IF(_xll.BDP(B102 &amp; " Corp","RTG_fitch")="#N/A N/A","",_xll.BDP(B102 &amp; " Corp","RTG_fitch"))&amp;"/"&amp;IF(_xll.BDP(B102 &amp; " Corp","RTG_moody")="#N/A N/A","",_xll.BDP(B102 &amp; " Corp","RTG_moody"))</f>
        <v>#NAME?</v>
      </c>
      <c r="K102" s="336" t="e">
        <f ca="1">_xll.BDP($B102&amp; " Corp","INDUSTRY_SUBGROUP")</f>
        <v>#NAME?</v>
      </c>
      <c r="L102" s="336" t="e">
        <f ca="1">_xll.BDP(B102 &amp; " Corp","CRNCY")</f>
        <v>#NAME?</v>
      </c>
      <c r="M102" s="336" t="e">
        <f ca="1">_xll.BDP(B102 &amp; " Corp","CNTRY_OF_RISK")</f>
        <v>#NAME?</v>
      </c>
      <c r="N102" s="336" t="e">
        <f ca="1">_xll.BDP($B102&amp; " Corp","PAYMENT_RANK")</f>
        <v>#NAME?</v>
      </c>
      <c r="O102" s="336" t="e">
        <f ca="1">_xll.BDP($B102&amp; " Corp","MTY_TYP")</f>
        <v>#NAME?</v>
      </c>
      <c r="P102" s="336" t="e">
        <f ca="1">_xll.BDP($B102&amp; " Corp","RUSSIAN_CB_LOMBARD")</f>
        <v>#NAME?</v>
      </c>
      <c r="Q102" s="338" t="e">
        <f ca="1">_xll.BDP(B99&amp;" Corp", "INTERVAL_PERCENT_CHANGE", "END_DATE_OVERRIDE"," ", "START_DATE_OVERRIDe",R102)</f>
        <v>#NAME?</v>
      </c>
      <c r="R102" s="337">
        <v>20140716</v>
      </c>
      <c r="S102" s="336" t="e">
        <f ca="1">_xll.BDP($B99&amp; " Corp","PX_GROSS_MID")</f>
        <v>#NAME?</v>
      </c>
      <c r="T102" s="335" t="e">
        <f ca="1">_xll.BDP($B99&amp; " Corp","MIN_PIECE")</f>
        <v>#NAME?</v>
      </c>
    </row>
    <row r="103" spans="1:20" ht="15.75" x14ac:dyDescent="0.25">
      <c r="A103" s="342" t="e">
        <f ca="1">_xll.BDP(B103&amp; " Corp","name")</f>
        <v>#NAME?</v>
      </c>
      <c r="B103" s="336" t="s">
        <v>519</v>
      </c>
      <c r="C103" s="336" t="e">
        <f ca="1">_xll.BDP(B103 &amp; " Corp","MTY_YEARS_TDY")</f>
        <v>#NAME?</v>
      </c>
      <c r="D103" s="336" t="e">
        <f ca="1">_xll.BDP(B103 &amp; " Corp","px_last")</f>
        <v>#NAME?</v>
      </c>
      <c r="E103" s="336" t="e">
        <f ca="1">_xll.BDP(B103 &amp; " Corp","px_ask")</f>
        <v>#NAME?</v>
      </c>
      <c r="F103" s="336" t="e">
        <f ca="1">_xll.BDP(B103 &amp; " Corp","YLD_YTM_BID")</f>
        <v>#NAME?</v>
      </c>
      <c r="G103" s="336" t="e">
        <f ca="1">_xll.BDP(B103 &amp; " Corp","YLD_YTM_ask")</f>
        <v>#NAME?</v>
      </c>
      <c r="H103" s="336" t="e">
        <f ca="1">_xll.BDP(B103 &amp; " Corp","CPN")</f>
        <v>#NAME?</v>
      </c>
      <c r="I103" s="336" t="e">
        <f ca="1">_xll.BDP(B103&amp; " Corp","MATURITY")</f>
        <v>#NAME?</v>
      </c>
      <c r="J103" s="336" t="e">
        <f ca="1">IF(_xll.BDP(B103 &amp; " Corp","RTG_SP")="#N/A N/A","",_xll.BDP(B103 &amp; " Corp","RTG_SP"))&amp;"/"&amp;IF(_xll.BDP(B103 &amp; " Corp","RTG_fitch")="#N/A N/A","",_xll.BDP(B103 &amp; " Corp","RTG_fitch"))&amp;"/"&amp;IF(_xll.BDP(B103 &amp; " Corp","RTG_moody")="#N/A N/A","",_xll.BDP(B103 &amp; " Corp","RTG_moody"))</f>
        <v>#NAME?</v>
      </c>
      <c r="K103" s="336" t="e">
        <f ca="1">_xll.BDP($B103&amp; " Corp","INDUSTRY_SUBGROUP")</f>
        <v>#NAME?</v>
      </c>
      <c r="L103" s="336" t="e">
        <f ca="1">_xll.BDP(B103 &amp; " Corp","CRNCY")</f>
        <v>#NAME?</v>
      </c>
      <c r="M103" s="336" t="e">
        <f ca="1">_xll.BDP(B103 &amp; " Corp","CNTRY_OF_RISK")</f>
        <v>#NAME?</v>
      </c>
      <c r="N103" s="336" t="e">
        <f ca="1">_xll.BDP($B103&amp; " Corp","PAYMENT_RANK")</f>
        <v>#NAME?</v>
      </c>
      <c r="O103" s="336" t="e">
        <f ca="1">_xll.BDP($B103&amp; " Corp","MTY_TYP")</f>
        <v>#NAME?</v>
      </c>
      <c r="P103" s="336" t="e">
        <f ca="1">_xll.BDP($B103&amp; " Corp","RUSSIAN_CB_LOMBARD")</f>
        <v>#NAME?</v>
      </c>
      <c r="Q103" s="338" t="e">
        <f ca="1">_xll.BDP(B100&amp;" Corp", "INTERVAL_PERCENT_CHANGE", "END_DATE_OVERRIDE"," ", "START_DATE_OVERRIDe",R103)</f>
        <v>#NAME?</v>
      </c>
      <c r="R103" s="337">
        <v>20140716</v>
      </c>
      <c r="S103" s="339" t="e">
        <f ca="1">_xll.BDP($B100&amp; " Corp","PX_GROSS_MID")</f>
        <v>#NAME?</v>
      </c>
      <c r="T103" s="335" t="e">
        <f ca="1">_xll.BDP($B100&amp; " Corp","MIN_PIECE")</f>
        <v>#NAME?</v>
      </c>
    </row>
    <row r="104" spans="1:20" ht="15.75" x14ac:dyDescent="0.25">
      <c r="A104" s="342" t="e">
        <f ca="1">_xll.BDP(B104&amp; " Corp","name")</f>
        <v>#NAME?</v>
      </c>
      <c r="B104" s="336" t="s">
        <v>518</v>
      </c>
      <c r="C104" s="336" t="e">
        <f ca="1">_xll.BDP(B104 &amp; " Corp","MTY_YEARS_TDY")</f>
        <v>#NAME?</v>
      </c>
      <c r="D104" s="336" t="e">
        <f ca="1">_xll.BDP(B104 &amp; " Corp","px_last")</f>
        <v>#NAME?</v>
      </c>
      <c r="E104" s="336" t="e">
        <f ca="1">_xll.BDP(B104 &amp; " Corp","px_ask")</f>
        <v>#NAME?</v>
      </c>
      <c r="F104" s="336" t="e">
        <f ca="1">_xll.BDP(B104 &amp; " Corp","YLD_YTM_BID")</f>
        <v>#NAME?</v>
      </c>
      <c r="G104" s="336" t="e">
        <f ca="1">_xll.BDP(B104 &amp; " Corp","YLD_YTM_ask")</f>
        <v>#NAME?</v>
      </c>
      <c r="H104" s="336" t="e">
        <f ca="1">_xll.BDP(B104 &amp; " Corp","CPN")</f>
        <v>#NAME?</v>
      </c>
      <c r="I104" s="336" t="e">
        <f ca="1">_xll.BDP(B104&amp; " Corp","MATURITY")</f>
        <v>#NAME?</v>
      </c>
      <c r="J104" s="336" t="e">
        <f ca="1">IF(_xll.BDP(B104 &amp; " Corp","RTG_SP")="#N/A N/A","",_xll.BDP(B104 &amp; " Corp","RTG_SP"))&amp;"/"&amp;IF(_xll.BDP(B104 &amp; " Corp","RTG_fitch")="#N/A N/A","",_xll.BDP(B104 &amp; " Corp","RTG_fitch"))&amp;"/"&amp;IF(_xll.BDP(B104 &amp; " Corp","RTG_moody")="#N/A N/A","",_xll.BDP(B104 &amp; " Corp","RTG_moody"))</f>
        <v>#NAME?</v>
      </c>
      <c r="K104" s="336" t="e">
        <f ca="1">_xll.BDP($B104&amp; " Corp","INDUSTRY_SUBGROUP")</f>
        <v>#NAME?</v>
      </c>
      <c r="L104" s="336" t="e">
        <f ca="1">_xll.BDP(B104 &amp; " Corp","CRNCY")</f>
        <v>#NAME?</v>
      </c>
      <c r="M104" s="336" t="e">
        <f ca="1">_xll.BDP(B104 &amp; " Corp","CNTRY_OF_RISK")</f>
        <v>#NAME?</v>
      </c>
      <c r="N104" s="336" t="e">
        <f ca="1">_xll.BDP($B104&amp; " Corp","PAYMENT_RANK")</f>
        <v>#NAME?</v>
      </c>
      <c r="O104" s="336" t="e">
        <f ca="1">_xll.BDP($B104&amp; " Corp","MTY_TYP")</f>
        <v>#NAME?</v>
      </c>
      <c r="P104" s="336" t="e">
        <f ca="1">_xll.BDP($B104&amp; " Corp","RUSSIAN_CB_LOMBARD")</f>
        <v>#NAME?</v>
      </c>
      <c r="Q104" s="338" t="e">
        <f ca="1">_xll.BDP(B101&amp;" Corp", "INTERVAL_PERCENT_CHANGE", "END_DATE_OVERRIDE"," ", "START_DATE_OVERRIDe",R104)</f>
        <v>#NAME?</v>
      </c>
      <c r="R104" s="337">
        <v>20140716</v>
      </c>
      <c r="S104" s="336" t="e">
        <f ca="1">_xll.BDP($B101&amp; " Corp","PX_GROSS_MID")</f>
        <v>#NAME?</v>
      </c>
      <c r="T104" s="335" t="e">
        <f ca="1">_xll.BDP($B101&amp; " Corp","MIN_PIECE")</f>
        <v>#NAME?</v>
      </c>
    </row>
    <row r="105" spans="1:20" ht="15.75" x14ac:dyDescent="0.25">
      <c r="A105" s="342" t="e">
        <f ca="1">_xll.BDP(B105&amp; " Corp","name")</f>
        <v>#NAME?</v>
      </c>
      <c r="B105" s="336" t="s">
        <v>517</v>
      </c>
      <c r="C105" s="336" t="e">
        <f ca="1">_xll.BDP(B105 &amp; " Corp","MTY_YEARS_TDY")</f>
        <v>#NAME?</v>
      </c>
      <c r="D105" s="336" t="e">
        <f ca="1">_xll.BDP(B105 &amp; " Corp","px_last")</f>
        <v>#NAME?</v>
      </c>
      <c r="E105" s="336" t="e">
        <f ca="1">_xll.BDP(B105 &amp; " Corp","px_ask")</f>
        <v>#NAME?</v>
      </c>
      <c r="F105" s="336" t="e">
        <f ca="1">_xll.BDP(B105 &amp; " Corp","YLD_YTM_BID")</f>
        <v>#NAME?</v>
      </c>
      <c r="G105" s="336" t="e">
        <f ca="1">_xll.BDP(B105 &amp; " Corp","YLD_YTM_ask")</f>
        <v>#NAME?</v>
      </c>
      <c r="H105" s="336" t="e">
        <f ca="1">_xll.BDP(B105 &amp; " Corp","CPN")</f>
        <v>#NAME?</v>
      </c>
      <c r="I105" s="336" t="e">
        <f ca="1">_xll.BDP(B105&amp; " Corp","MATURITY")</f>
        <v>#NAME?</v>
      </c>
      <c r="J105" s="336" t="e">
        <f ca="1">IF(_xll.BDP(B105 &amp; " Corp","RTG_SP")="#N/A N/A","",_xll.BDP(B105 &amp; " Corp","RTG_SP"))&amp;"/"&amp;IF(_xll.BDP(B105 &amp; " Corp","RTG_fitch")="#N/A N/A","",_xll.BDP(B105 &amp; " Corp","RTG_fitch"))&amp;"/"&amp;IF(_xll.BDP(B105 &amp; " Corp","RTG_moody")="#N/A N/A","",_xll.BDP(B105 &amp; " Corp","RTG_moody"))</f>
        <v>#NAME?</v>
      </c>
      <c r="K105" s="336" t="e">
        <f ca="1">_xll.BDP($B105&amp; " Corp","INDUSTRY_SUBGROUP")</f>
        <v>#NAME?</v>
      </c>
      <c r="L105" s="336" t="e">
        <f ca="1">_xll.BDP(B105 &amp; " Corp","CRNCY")</f>
        <v>#NAME?</v>
      </c>
      <c r="M105" s="336" t="e">
        <f ca="1">_xll.BDP(B105 &amp; " Corp","CNTRY_OF_RISK")</f>
        <v>#NAME?</v>
      </c>
      <c r="N105" s="336" t="e">
        <f ca="1">_xll.BDP($B105&amp; " Corp","PAYMENT_RANK")</f>
        <v>#NAME?</v>
      </c>
      <c r="O105" s="336" t="e">
        <f ca="1">_xll.BDP($B105&amp; " Corp","MTY_TYP")</f>
        <v>#NAME?</v>
      </c>
      <c r="P105" s="336" t="e">
        <f ca="1">_xll.BDP($B105&amp; " Corp","RUSSIAN_CB_LOMBARD")</f>
        <v>#NAME?</v>
      </c>
      <c r="Q105" s="338" t="e">
        <f ca="1">_xll.BDP(B102&amp;" Corp", "INTERVAL_PERCENT_CHANGE", "END_DATE_OVERRIDE"," ", "START_DATE_OVERRIDe",R105)</f>
        <v>#NAME?</v>
      </c>
      <c r="R105" s="337">
        <v>20140716</v>
      </c>
      <c r="S105" s="336" t="e">
        <f ca="1">_xll.BDP($B102&amp; " Corp","PX_GROSS_MID")</f>
        <v>#NAME?</v>
      </c>
      <c r="T105" s="335" t="e">
        <f ca="1">_xll.BDP($B102&amp; " Corp","MIN_PIECE")</f>
        <v>#NAME?</v>
      </c>
    </row>
    <row r="106" spans="1:20" ht="15.75" x14ac:dyDescent="0.25">
      <c r="A106" s="342" t="e">
        <f ca="1">_xll.BDP(B106&amp; " Corp","name")</f>
        <v>#NAME?</v>
      </c>
      <c r="B106" s="336" t="s">
        <v>516</v>
      </c>
      <c r="C106" s="336" t="e">
        <f ca="1">_xll.BDP(B106 &amp; " Corp","MTY_YEARS_TDY")</f>
        <v>#NAME?</v>
      </c>
      <c r="D106" s="336" t="e">
        <f ca="1">_xll.BDP(B106 &amp; " Corp","px_last")</f>
        <v>#NAME?</v>
      </c>
      <c r="E106" s="336" t="e">
        <f ca="1">_xll.BDP(B106 &amp; " Corp","px_ask")</f>
        <v>#NAME?</v>
      </c>
      <c r="F106" s="336" t="e">
        <f ca="1">_xll.BDP(B106 &amp; " Corp","YLD_YTM_BID")</f>
        <v>#NAME?</v>
      </c>
      <c r="G106" s="336" t="e">
        <f ca="1">_xll.BDP(B106 &amp; " Corp","YLD_YTM_ask")</f>
        <v>#NAME?</v>
      </c>
      <c r="H106" s="336" t="e">
        <f ca="1">_xll.BDP(B106 &amp; " Corp","CPN")</f>
        <v>#NAME?</v>
      </c>
      <c r="I106" s="336" t="e">
        <f ca="1">_xll.BDP(B106&amp; " Corp","MATURITY")</f>
        <v>#NAME?</v>
      </c>
      <c r="J106" s="336" t="e">
        <f ca="1">IF(_xll.BDP(B106 &amp; " Corp","RTG_SP")="#N/A N/A","",_xll.BDP(B106 &amp; " Corp","RTG_SP"))&amp;"/"&amp;IF(_xll.BDP(B106 &amp; " Corp","RTG_fitch")="#N/A N/A","",_xll.BDP(B106 &amp; " Corp","RTG_fitch"))&amp;"/"&amp;IF(_xll.BDP(B106 &amp; " Corp","RTG_moody")="#N/A N/A","",_xll.BDP(B106 &amp; " Corp","RTG_moody"))</f>
        <v>#NAME?</v>
      </c>
      <c r="K106" s="336" t="e">
        <f ca="1">_xll.BDP($B106&amp; " Corp","INDUSTRY_SUBGROUP")</f>
        <v>#NAME?</v>
      </c>
      <c r="L106" s="336" t="e">
        <f ca="1">_xll.BDP(B106 &amp; " Corp","CRNCY")</f>
        <v>#NAME?</v>
      </c>
      <c r="M106" s="336" t="e">
        <f ca="1">_xll.BDP(B106 &amp; " Corp","CNTRY_OF_RISK")</f>
        <v>#NAME?</v>
      </c>
      <c r="N106" s="336" t="e">
        <f ca="1">_xll.BDP($B106&amp; " Corp","PAYMENT_RANK")</f>
        <v>#NAME?</v>
      </c>
      <c r="O106" s="336" t="e">
        <f ca="1">_xll.BDP($B106&amp; " Corp","MTY_TYP")</f>
        <v>#NAME?</v>
      </c>
      <c r="P106" s="336" t="e">
        <f ca="1">_xll.BDP($B106&amp; " Corp","RUSSIAN_CB_LOMBARD")</f>
        <v>#NAME?</v>
      </c>
      <c r="Q106" s="338" t="e">
        <f ca="1">_xll.BDP(B103&amp;" Corp", "INTERVAL_PERCENT_CHANGE", "END_DATE_OVERRIDE"," ", "START_DATE_OVERRIDe",R106)</f>
        <v>#NAME?</v>
      </c>
      <c r="R106" s="337">
        <v>20140716</v>
      </c>
      <c r="S106" s="336" t="e">
        <f ca="1">_xll.BDP($B103&amp; " Corp","PX_GROSS_MID")</f>
        <v>#NAME?</v>
      </c>
      <c r="T106" s="335" t="e">
        <f ca="1">_xll.BDP($B103&amp; " Corp","MIN_PIECE")</f>
        <v>#NAME?</v>
      </c>
    </row>
    <row r="107" spans="1:20" ht="15.75" x14ac:dyDescent="0.25">
      <c r="A107" s="342" t="e">
        <f ca="1">_xll.BDP(B107&amp; " Corp","name")</f>
        <v>#NAME?</v>
      </c>
      <c r="B107" s="336" t="s">
        <v>515</v>
      </c>
      <c r="C107" s="336" t="e">
        <f ca="1">_xll.BDP(B107 &amp; " Corp","MTY_YEARS_TDY")</f>
        <v>#NAME?</v>
      </c>
      <c r="D107" s="336" t="e">
        <f ca="1">_xll.BDP(B107 &amp; " Corp","px_last")</f>
        <v>#NAME?</v>
      </c>
      <c r="E107" s="336" t="e">
        <f ca="1">_xll.BDP(B107 &amp; " Corp","px_ask")</f>
        <v>#NAME?</v>
      </c>
      <c r="F107" s="336" t="e">
        <f ca="1">_xll.BDP(B107 &amp; " Corp","YLD_YTM_BID")</f>
        <v>#NAME?</v>
      </c>
      <c r="G107" s="336" t="e">
        <f ca="1">_xll.BDP(B107 &amp; " Corp","YLD_YTM_ask")</f>
        <v>#NAME?</v>
      </c>
      <c r="H107" s="336" t="e">
        <f ca="1">_xll.BDP(B107 &amp; " Corp","CPN")</f>
        <v>#NAME?</v>
      </c>
      <c r="I107" s="336" t="e">
        <f ca="1">_xll.BDP(B107&amp; " Corp","MATURITY")</f>
        <v>#NAME?</v>
      </c>
      <c r="J107" s="336" t="e">
        <f ca="1">IF(_xll.BDP(B107 &amp; " Corp","RTG_SP")="#N/A N/A","",_xll.BDP(B107 &amp; " Corp","RTG_SP"))&amp;"/"&amp;IF(_xll.BDP(B107 &amp; " Corp","RTG_fitch")="#N/A N/A","",_xll.BDP(B107 &amp; " Corp","RTG_fitch"))&amp;"/"&amp;IF(_xll.BDP(B107 &amp; " Corp","RTG_moody")="#N/A N/A","",_xll.BDP(B107 &amp; " Corp","RTG_moody"))</f>
        <v>#NAME?</v>
      </c>
      <c r="K107" s="336" t="e">
        <f ca="1">_xll.BDP($B107&amp; " Corp","INDUSTRY_SUBGROUP")</f>
        <v>#NAME?</v>
      </c>
      <c r="L107" s="336" t="e">
        <f ca="1">_xll.BDP(B107 &amp; " Corp","CRNCY")</f>
        <v>#NAME?</v>
      </c>
      <c r="M107" s="336" t="e">
        <f ca="1">_xll.BDP(B107 &amp; " Corp","CNTRY_OF_RISK")</f>
        <v>#NAME?</v>
      </c>
      <c r="N107" s="336" t="e">
        <f ca="1">_xll.BDP($B107&amp; " Corp","PAYMENT_RANK")</f>
        <v>#NAME?</v>
      </c>
      <c r="O107" s="336" t="e">
        <f ca="1">_xll.BDP($B107&amp; " Corp","MTY_TYP")</f>
        <v>#NAME?</v>
      </c>
      <c r="P107" s="336" t="e">
        <f ca="1">_xll.BDP($B107&amp; " Corp","RUSSIAN_CB_LOMBARD")</f>
        <v>#NAME?</v>
      </c>
      <c r="Q107" s="338" t="e">
        <f ca="1">_xll.BDP(B104&amp;" Corp", "INTERVAL_PERCENT_CHANGE", "END_DATE_OVERRIDE"," ", "START_DATE_OVERRIDe",R107)</f>
        <v>#NAME?</v>
      </c>
      <c r="R107" s="337">
        <v>20140716</v>
      </c>
      <c r="S107" s="336" t="e">
        <f ca="1">_xll.BDP($B104&amp; " Corp","PX_GROSS_MID")</f>
        <v>#NAME?</v>
      </c>
      <c r="T107" s="335" t="e">
        <f ca="1">_xll.BDP($B104&amp; " Corp","MIN_PIECE")</f>
        <v>#NAME?</v>
      </c>
    </row>
    <row r="108" spans="1:20" ht="15.75" x14ac:dyDescent="0.25">
      <c r="A108" s="342" t="e">
        <f ca="1">_xll.BDP(B108&amp; " Corp","name")</f>
        <v>#NAME?</v>
      </c>
      <c r="B108" s="336" t="s">
        <v>514</v>
      </c>
      <c r="C108" s="336" t="e">
        <f ca="1">_xll.BDP(B108 &amp; " Corp","MTY_YEARS_TDY")</f>
        <v>#NAME?</v>
      </c>
      <c r="D108" s="336" t="e">
        <f ca="1">_xll.BDP(B108 &amp; " Corp","px_last")</f>
        <v>#NAME?</v>
      </c>
      <c r="E108" s="336" t="e">
        <f ca="1">_xll.BDP(B108 &amp; " Corp","px_ask")</f>
        <v>#NAME?</v>
      </c>
      <c r="F108" s="336" t="e">
        <f ca="1">_xll.BDP(B108 &amp; " Corp","YLD_YTM_BID")</f>
        <v>#NAME?</v>
      </c>
      <c r="G108" s="336" t="e">
        <f ca="1">_xll.BDP(B108 &amp; " Corp","YLD_YTM_ask")</f>
        <v>#NAME?</v>
      </c>
      <c r="H108" s="336" t="e">
        <f ca="1">_xll.BDP(B108 &amp; " Corp","CPN")</f>
        <v>#NAME?</v>
      </c>
      <c r="I108" s="336" t="e">
        <f ca="1">_xll.BDP(B108&amp; " Corp","MATURITY")</f>
        <v>#NAME?</v>
      </c>
      <c r="J108" s="336" t="e">
        <f ca="1">IF(_xll.BDP(B108 &amp; " Corp","RTG_SP")="#N/A N/A","",_xll.BDP(B108 &amp; " Corp","RTG_SP"))&amp;"/"&amp;IF(_xll.BDP(B108 &amp; " Corp","RTG_fitch")="#N/A N/A","",_xll.BDP(B108 &amp; " Corp","RTG_fitch"))&amp;"/"&amp;IF(_xll.BDP(B108 &amp; " Corp","RTG_moody")="#N/A N/A","",_xll.BDP(B108 &amp; " Corp","RTG_moody"))</f>
        <v>#NAME?</v>
      </c>
      <c r="K108" s="336" t="e">
        <f ca="1">_xll.BDP($B108&amp; " Corp","INDUSTRY_SUBGROUP")</f>
        <v>#NAME?</v>
      </c>
      <c r="L108" s="336" t="e">
        <f ca="1">_xll.BDP(B108 &amp; " Corp","CRNCY")</f>
        <v>#NAME?</v>
      </c>
      <c r="M108" s="336" t="e">
        <f ca="1">_xll.BDP(B108 &amp; " Corp","CNTRY_OF_RISK")</f>
        <v>#NAME?</v>
      </c>
      <c r="N108" s="336" t="e">
        <f ca="1">_xll.BDP($B108&amp; " Corp","PAYMENT_RANK")</f>
        <v>#NAME?</v>
      </c>
      <c r="O108" s="336" t="e">
        <f ca="1">_xll.BDP($B108&amp; " Corp","MTY_TYP")</f>
        <v>#NAME?</v>
      </c>
      <c r="P108" s="336" t="e">
        <f ca="1">_xll.BDP($B108&amp; " Corp","RUSSIAN_CB_LOMBARD")</f>
        <v>#NAME?</v>
      </c>
      <c r="Q108" s="338" t="e">
        <f ca="1">_xll.BDP(B105&amp;" Corp", "INTERVAL_PERCENT_CHANGE", "END_DATE_OVERRIDE"," ", "START_DATE_OVERRIDe",R108)</f>
        <v>#NAME?</v>
      </c>
      <c r="R108" s="337">
        <v>20140716</v>
      </c>
      <c r="S108" s="336" t="e">
        <f ca="1">_xll.BDP($B105&amp; " Corp","PX_GROSS_MID")</f>
        <v>#NAME?</v>
      </c>
      <c r="T108" s="335" t="e">
        <f ca="1">_xll.BDP($B105&amp; " Corp","MIN_PIECE")</f>
        <v>#NAME?</v>
      </c>
    </row>
    <row r="109" spans="1:20" ht="15.75" x14ac:dyDescent="0.25">
      <c r="A109" s="342" t="e">
        <f ca="1">_xll.BDP(B109&amp; " Corp","name")</f>
        <v>#NAME?</v>
      </c>
      <c r="B109" s="336" t="s">
        <v>513</v>
      </c>
      <c r="C109" s="336" t="e">
        <f ca="1">_xll.BDP(B109 &amp; " Corp","MTY_YEARS_TDY")</f>
        <v>#NAME?</v>
      </c>
      <c r="D109" s="336" t="e">
        <f ca="1">_xll.BDP(B109 &amp; " Corp","px_last")</f>
        <v>#NAME?</v>
      </c>
      <c r="E109" s="336" t="e">
        <f ca="1">_xll.BDP(B109 &amp; " Corp","px_ask")</f>
        <v>#NAME?</v>
      </c>
      <c r="F109" s="336" t="e">
        <f ca="1">_xll.BDP(B109 &amp; " Corp","YLD_YTM_BID")</f>
        <v>#NAME?</v>
      </c>
      <c r="G109" s="336" t="e">
        <f ca="1">_xll.BDP(B109 &amp; " Corp","YLD_YTM_ask")</f>
        <v>#NAME?</v>
      </c>
      <c r="H109" s="336" t="e">
        <f ca="1">_xll.BDP(B109 &amp; " Corp","CPN")</f>
        <v>#NAME?</v>
      </c>
      <c r="I109" s="336" t="e">
        <f ca="1">_xll.BDP(B109&amp; " Corp","MATURITY")</f>
        <v>#NAME?</v>
      </c>
      <c r="J109" s="336" t="e">
        <f ca="1">IF(_xll.BDP(B109 &amp; " Corp","RTG_SP")="#N/A N/A","",_xll.BDP(B109 &amp; " Corp","RTG_SP"))&amp;"/"&amp;IF(_xll.BDP(B109 &amp; " Corp","RTG_fitch")="#N/A N/A","",_xll.BDP(B109 &amp; " Corp","RTG_fitch"))&amp;"/"&amp;IF(_xll.BDP(B109 &amp; " Corp","RTG_moody")="#N/A N/A","",_xll.BDP(B109 &amp; " Corp","RTG_moody"))</f>
        <v>#NAME?</v>
      </c>
      <c r="K109" s="336" t="e">
        <f ca="1">_xll.BDP($B109&amp; " Corp","INDUSTRY_SUBGROUP")</f>
        <v>#NAME?</v>
      </c>
      <c r="L109" s="336" t="e">
        <f ca="1">_xll.BDP(B109 &amp; " Corp","CRNCY")</f>
        <v>#NAME?</v>
      </c>
      <c r="M109" s="336" t="e">
        <f ca="1">_xll.BDP(B109 &amp; " Corp","CNTRY_OF_RISK")</f>
        <v>#NAME?</v>
      </c>
      <c r="N109" s="336" t="e">
        <f ca="1">_xll.BDP($B109&amp; " Corp","PAYMENT_RANK")</f>
        <v>#NAME?</v>
      </c>
      <c r="O109" s="336" t="e">
        <f ca="1">_xll.BDP($B109&amp; " Corp","MTY_TYP")</f>
        <v>#NAME?</v>
      </c>
      <c r="P109" s="336" t="e">
        <f ca="1">_xll.BDP($B109&amp; " Corp","RUSSIAN_CB_LOMBARD")</f>
        <v>#NAME?</v>
      </c>
      <c r="Q109" s="338" t="e">
        <f ca="1">_xll.BDP(B106&amp;" Corp", "INTERVAL_PERCENT_CHANGE", "END_DATE_OVERRIDE"," ", "START_DATE_OVERRIDe",R109)</f>
        <v>#NAME?</v>
      </c>
      <c r="R109" s="337">
        <v>20140716</v>
      </c>
      <c r="S109" s="336" t="e">
        <f ca="1">_xll.BDP($B106&amp; " Corp","PX_GROSS_MID")</f>
        <v>#NAME?</v>
      </c>
      <c r="T109" s="335" t="e">
        <f ca="1">_xll.BDP($B106&amp; " Corp","MIN_PIECE")</f>
        <v>#NAME?</v>
      </c>
    </row>
    <row r="110" spans="1:20" ht="15.75" x14ac:dyDescent="0.25">
      <c r="A110" s="342" t="e">
        <f ca="1">_xll.BDP(B110&amp; " Corp","name")</f>
        <v>#NAME?</v>
      </c>
      <c r="B110" s="336" t="s">
        <v>512</v>
      </c>
      <c r="C110" s="336" t="e">
        <f ca="1">_xll.BDP(B110 &amp; " Corp","MTY_YEARS_TDY")</f>
        <v>#NAME?</v>
      </c>
      <c r="D110" s="336" t="e">
        <f ca="1">_xll.BDP(B110 &amp; " Corp","px_last")</f>
        <v>#NAME?</v>
      </c>
      <c r="E110" s="336" t="e">
        <f ca="1">_xll.BDP(B110 &amp; " Corp","px_ask")</f>
        <v>#NAME?</v>
      </c>
      <c r="F110" s="336" t="e">
        <f ca="1">_xll.BDP(B110 &amp; " Corp","YLD_YTM_BID")</f>
        <v>#NAME?</v>
      </c>
      <c r="G110" s="336" t="e">
        <f ca="1">_xll.BDP(B110 &amp; " Corp","YLD_YTM_ask")</f>
        <v>#NAME?</v>
      </c>
      <c r="H110" s="336" t="e">
        <f ca="1">_xll.BDP(B110 &amp; " Corp","CPN")</f>
        <v>#NAME?</v>
      </c>
      <c r="I110" s="336" t="e">
        <f ca="1">_xll.BDP(B110&amp; " Corp","MATURITY")</f>
        <v>#NAME?</v>
      </c>
      <c r="J110" s="336" t="e">
        <f ca="1">IF(_xll.BDP(B110 &amp; " Corp","RTG_SP")="#N/A N/A","",_xll.BDP(B110 &amp; " Corp","RTG_SP"))&amp;"/"&amp;IF(_xll.BDP(B110 &amp; " Corp","RTG_fitch")="#N/A N/A","",_xll.BDP(B110 &amp; " Corp","RTG_fitch"))&amp;"/"&amp;IF(_xll.BDP(B110 &amp; " Corp","RTG_moody")="#N/A N/A","",_xll.BDP(B110 &amp; " Corp","RTG_moody"))</f>
        <v>#NAME?</v>
      </c>
      <c r="K110" s="336" t="e">
        <f ca="1">_xll.BDP($B110&amp; " Corp","INDUSTRY_SUBGROUP")</f>
        <v>#NAME?</v>
      </c>
      <c r="L110" s="336" t="e">
        <f ca="1">_xll.BDP(B110 &amp; " Corp","CRNCY")</f>
        <v>#NAME?</v>
      </c>
      <c r="M110" s="336" t="e">
        <f ca="1">_xll.BDP(B110 &amp; " Corp","CNTRY_OF_RISK")</f>
        <v>#NAME?</v>
      </c>
      <c r="N110" s="336" t="e">
        <f ca="1">_xll.BDP($B110&amp; " Corp","PAYMENT_RANK")</f>
        <v>#NAME?</v>
      </c>
      <c r="O110" s="336" t="e">
        <f ca="1">_xll.BDP($B110&amp; " Corp","MTY_TYP")</f>
        <v>#NAME?</v>
      </c>
      <c r="P110" s="336" t="e">
        <f ca="1">_xll.BDP($B110&amp; " Corp","RUSSIAN_CB_LOMBARD")</f>
        <v>#NAME?</v>
      </c>
      <c r="Q110" s="338" t="e">
        <f ca="1">_xll.BDP(B107&amp;" Corp", "INTERVAL_PERCENT_CHANGE", "END_DATE_OVERRIDE"," ", "START_DATE_OVERRIDe",R110)</f>
        <v>#NAME?</v>
      </c>
      <c r="R110" s="337">
        <v>20140716</v>
      </c>
      <c r="S110" s="336" t="e">
        <f ca="1">_xll.BDP($B107&amp; " Corp","PX_GROSS_MID")</f>
        <v>#NAME?</v>
      </c>
      <c r="T110" s="335" t="e">
        <f ca="1">_xll.BDP($B107&amp; " Corp","MIN_PIECE")</f>
        <v>#NAME?</v>
      </c>
    </row>
    <row r="111" spans="1:20" ht="15.75" x14ac:dyDescent="0.25">
      <c r="A111" s="342" t="e">
        <f ca="1">_xll.BDP(B111&amp; " Corp","name")</f>
        <v>#NAME?</v>
      </c>
      <c r="B111" s="336" t="s">
        <v>511</v>
      </c>
      <c r="C111" s="336" t="e">
        <f ca="1">_xll.BDP(B111 &amp; " Corp","MTY_YEARS_TDY")</f>
        <v>#NAME?</v>
      </c>
      <c r="D111" s="336" t="e">
        <f ca="1">_xll.BDP(B111 &amp; " Corp","px_last")</f>
        <v>#NAME?</v>
      </c>
      <c r="E111" s="336" t="e">
        <f ca="1">_xll.BDP(B111 &amp; " Corp","px_ask")</f>
        <v>#NAME?</v>
      </c>
      <c r="F111" s="336" t="e">
        <f ca="1">_xll.BDP(B111 &amp; " Corp","YLD_YTM_BID")</f>
        <v>#NAME?</v>
      </c>
      <c r="G111" s="336" t="e">
        <f ca="1">_xll.BDP(B111 &amp; " Corp","YLD_YTM_ask")</f>
        <v>#NAME?</v>
      </c>
      <c r="H111" s="336" t="e">
        <f ca="1">_xll.BDP(B111 &amp; " Corp","CPN")</f>
        <v>#NAME?</v>
      </c>
      <c r="I111" s="336" t="e">
        <f ca="1">_xll.BDP(B111&amp; " Corp","MATURITY")</f>
        <v>#NAME?</v>
      </c>
      <c r="J111" s="336" t="e">
        <f ca="1">IF(_xll.BDP(B111 &amp; " Corp","RTG_SP")="#N/A N/A","",_xll.BDP(B111 &amp; " Corp","RTG_SP"))&amp;"/"&amp;IF(_xll.BDP(B111 &amp; " Corp","RTG_fitch")="#N/A N/A","",_xll.BDP(B111 &amp; " Corp","RTG_fitch"))&amp;"/"&amp;IF(_xll.BDP(B111 &amp; " Corp","RTG_moody")="#N/A N/A","",_xll.BDP(B111 &amp; " Corp","RTG_moody"))</f>
        <v>#NAME?</v>
      </c>
      <c r="K111" s="336" t="e">
        <f ca="1">_xll.BDP($B111&amp; " Corp","INDUSTRY_SUBGROUP")</f>
        <v>#NAME?</v>
      </c>
      <c r="L111" s="336" t="e">
        <f ca="1">_xll.BDP(B111 &amp; " Corp","CRNCY")</f>
        <v>#NAME?</v>
      </c>
      <c r="M111" s="336" t="e">
        <f ca="1">_xll.BDP(B111 &amp; " Corp","CNTRY_OF_RISK")</f>
        <v>#NAME?</v>
      </c>
      <c r="N111" s="336" t="e">
        <f ca="1">_xll.BDP($B111&amp; " Corp","PAYMENT_RANK")</f>
        <v>#NAME?</v>
      </c>
      <c r="O111" s="336" t="e">
        <f ca="1">_xll.BDP($B111&amp; " Corp","MTY_TYP")</f>
        <v>#NAME?</v>
      </c>
      <c r="P111" s="336" t="e">
        <f ca="1">_xll.BDP($B111&amp; " Corp","RUSSIAN_CB_LOMBARD")</f>
        <v>#NAME?</v>
      </c>
      <c r="Q111" s="338" t="e">
        <f ca="1">_xll.BDP(B108&amp;" Corp", "INTERVAL_PERCENT_CHANGE", "END_DATE_OVERRIDE"," ", "START_DATE_OVERRIDe",R111)</f>
        <v>#NAME?</v>
      </c>
      <c r="R111" s="337">
        <v>20140716</v>
      </c>
      <c r="S111" s="336" t="e">
        <f ca="1">_xll.BDP($B108&amp; " Corp","PX_GROSS_MID")</f>
        <v>#NAME?</v>
      </c>
      <c r="T111" s="335" t="e">
        <f ca="1">_xll.BDP($B108&amp; " Corp","MIN_PIECE")</f>
        <v>#NAME?</v>
      </c>
    </row>
    <row r="112" spans="1:20" ht="15.75" x14ac:dyDescent="0.25">
      <c r="A112" s="342" t="e">
        <f ca="1">_xll.BDP(B112&amp; " Corp","name")</f>
        <v>#NAME?</v>
      </c>
      <c r="B112" s="336" t="s">
        <v>510</v>
      </c>
      <c r="C112" s="336" t="e">
        <f ca="1">_xll.BDP(B112 &amp; " Corp","MTY_YEARS_TDY")</f>
        <v>#NAME?</v>
      </c>
      <c r="D112" s="336" t="e">
        <f ca="1">_xll.BDP(B112 &amp; " Corp","px_last")</f>
        <v>#NAME?</v>
      </c>
      <c r="E112" s="336" t="e">
        <f ca="1">_xll.BDP(B112 &amp; " Corp","px_ask")</f>
        <v>#NAME?</v>
      </c>
      <c r="F112" s="336" t="e">
        <f ca="1">_xll.BDP(B112 &amp; " Corp","YLD_YTM_BID")</f>
        <v>#NAME?</v>
      </c>
      <c r="G112" s="336" t="e">
        <f ca="1">_xll.BDP(B112 &amp; " Corp","YLD_YTM_ask")</f>
        <v>#NAME?</v>
      </c>
      <c r="H112" s="336" t="e">
        <f ca="1">_xll.BDP(B112 &amp; " Corp","CPN")</f>
        <v>#NAME?</v>
      </c>
      <c r="I112" s="336" t="e">
        <f ca="1">_xll.BDP(B112&amp; " Corp","MATURITY")</f>
        <v>#NAME?</v>
      </c>
      <c r="J112" s="336" t="e">
        <f ca="1">IF(_xll.BDP(B112 &amp; " Corp","RTG_SP")="#N/A N/A","",_xll.BDP(B112 &amp; " Corp","RTG_SP"))&amp;"/"&amp;IF(_xll.BDP(B112 &amp; " Corp","RTG_fitch")="#N/A N/A","",_xll.BDP(B112 &amp; " Corp","RTG_fitch"))&amp;"/"&amp;IF(_xll.BDP(B112 &amp; " Corp","RTG_moody")="#N/A N/A","",_xll.BDP(B112 &amp; " Corp","RTG_moody"))</f>
        <v>#NAME?</v>
      </c>
      <c r="K112" s="336" t="e">
        <f ca="1">_xll.BDP($B112&amp; " Corp","INDUSTRY_SUBGROUP")</f>
        <v>#NAME?</v>
      </c>
      <c r="L112" s="336" t="e">
        <f ca="1">_xll.BDP(B112 &amp; " Corp","CRNCY")</f>
        <v>#NAME?</v>
      </c>
      <c r="M112" s="336" t="e">
        <f ca="1">_xll.BDP(B112 &amp; " Corp","CNTRY_OF_RISK")</f>
        <v>#NAME?</v>
      </c>
      <c r="N112" s="336" t="e">
        <f ca="1">_xll.BDP($B112&amp; " Corp","PAYMENT_RANK")</f>
        <v>#NAME?</v>
      </c>
      <c r="O112" s="336" t="e">
        <f ca="1">_xll.BDP($B112&amp; " Corp","MTY_TYP")</f>
        <v>#NAME?</v>
      </c>
      <c r="P112" s="336" t="e">
        <f ca="1">_xll.BDP($B112&amp; " Corp","RUSSIAN_CB_LOMBARD")</f>
        <v>#NAME?</v>
      </c>
      <c r="Q112" s="338" t="e">
        <f ca="1">_xll.BDP(B109&amp;" Corp", "INTERVAL_PERCENT_CHANGE", "END_DATE_OVERRIDE"," ", "START_DATE_OVERRIDe",R112)</f>
        <v>#NAME?</v>
      </c>
      <c r="R112" s="337">
        <v>20140716</v>
      </c>
      <c r="S112" s="336" t="e">
        <f ca="1">_xll.BDP($B109&amp; " Corp","PX_GROSS_MID")</f>
        <v>#NAME?</v>
      </c>
      <c r="T112" s="335" t="e">
        <f ca="1">_xll.BDP($B109&amp; " Corp","MIN_PIECE")</f>
        <v>#NAME?</v>
      </c>
    </row>
    <row r="113" spans="1:20" ht="15.75" x14ac:dyDescent="0.25">
      <c r="A113" s="336" t="e">
        <f ca="1">_xll.BDP(B113&amp; " Corp","name")</f>
        <v>#NAME?</v>
      </c>
      <c r="B113" s="336" t="s">
        <v>509</v>
      </c>
      <c r="C113" s="336" t="e">
        <f ca="1">_xll.BDP(B113 &amp; " Corp","MTY_YEARS_TDY")</f>
        <v>#NAME?</v>
      </c>
      <c r="D113" s="336" t="e">
        <f ca="1">_xll.BDP(B113 &amp; " Corp","px_last")</f>
        <v>#NAME?</v>
      </c>
      <c r="E113" s="336" t="e">
        <f ca="1">_xll.BDP(B113 &amp; " Corp","px_ask")</f>
        <v>#NAME?</v>
      </c>
      <c r="F113" s="336" t="e">
        <f ca="1">_xll.BDP(B113 &amp; " Corp","YLD_YTM_BID")</f>
        <v>#NAME?</v>
      </c>
      <c r="G113" s="336" t="e">
        <f ca="1">_xll.BDP(B113 &amp; " Corp","YLD_YTM_ask")</f>
        <v>#NAME?</v>
      </c>
      <c r="H113" s="336" t="e">
        <f ca="1">_xll.BDP(B113 &amp; " Corp","CPN")</f>
        <v>#NAME?</v>
      </c>
      <c r="I113" s="336" t="e">
        <f ca="1">_xll.BDP(B113&amp; " Corp","MATURITY")</f>
        <v>#NAME?</v>
      </c>
      <c r="J113" s="336" t="e">
        <f ca="1">IF(_xll.BDP(B113 &amp; " Corp","RTG_SP")="#N/A N/A","",_xll.BDP(B113 &amp; " Corp","RTG_SP"))&amp;"/"&amp;IF(_xll.BDP(B113 &amp; " Corp","RTG_fitch")="#N/A N/A","",_xll.BDP(B113 &amp; " Corp","RTG_fitch"))&amp;"/"&amp;IF(_xll.BDP(B113 &amp; " Corp","RTG_moody")="#N/A N/A","",_xll.BDP(B113 &amp; " Corp","RTG_moody"))</f>
        <v>#NAME?</v>
      </c>
      <c r="K113" s="336" t="e">
        <f ca="1">_xll.BDP($B113&amp; " Corp","INDUSTRY_SUBGROUP")</f>
        <v>#NAME?</v>
      </c>
      <c r="L113" s="336" t="e">
        <f ca="1">_xll.BDP(B113 &amp; " Corp","CRNCY")</f>
        <v>#NAME?</v>
      </c>
      <c r="M113" s="336" t="e">
        <f ca="1">_xll.BDP(B113 &amp; " Corp","CNTRY_OF_RISK")</f>
        <v>#NAME?</v>
      </c>
      <c r="N113" s="336" t="e">
        <f ca="1">_xll.BDP($B113&amp; " Corp","PAYMENT_RANK")</f>
        <v>#NAME?</v>
      </c>
      <c r="O113" s="336" t="e">
        <f ca="1">_xll.BDP($B113&amp; " Corp","MTY_TYP")</f>
        <v>#NAME?</v>
      </c>
      <c r="P113" s="336" t="e">
        <f ca="1">_xll.BDP($B113&amp; " Corp","RUSSIAN_CB_LOMBARD")</f>
        <v>#NAME?</v>
      </c>
      <c r="Q113" s="338" t="e">
        <f ca="1">_xll.BDP(B110&amp;" Corp", "INTERVAL_PERCENT_CHANGE", "END_DATE_OVERRIDE"," ", "START_DATE_OVERRIDe",R113)</f>
        <v>#NAME?</v>
      </c>
      <c r="R113" s="337">
        <v>20140716</v>
      </c>
      <c r="S113" s="336" t="e">
        <f ca="1">_xll.BDP($B110&amp; " Corp","PX_GROSS_MID")</f>
        <v>#NAME?</v>
      </c>
      <c r="T113" s="335" t="e">
        <f ca="1">_xll.BDP($B110&amp; " Corp","MIN_PIECE")</f>
        <v>#NAME?</v>
      </c>
    </row>
    <row r="114" spans="1:20" ht="15.75" x14ac:dyDescent="0.25">
      <c r="A114" s="336" t="e">
        <f ca="1">_xll.BDP(B114&amp; " Corp","name")</f>
        <v>#NAME?</v>
      </c>
      <c r="B114" s="336" t="s">
        <v>508</v>
      </c>
      <c r="C114" s="336" t="e">
        <f ca="1">_xll.BDP(B114 &amp; " Corp","MTY_YEARS_TDY")</f>
        <v>#NAME?</v>
      </c>
      <c r="D114" s="336" t="e">
        <f ca="1">_xll.BDP(B114 &amp; " Corp","px_last")</f>
        <v>#NAME?</v>
      </c>
      <c r="E114" s="336" t="e">
        <f ca="1">_xll.BDP(B114 &amp; " Corp","px_ask")</f>
        <v>#NAME?</v>
      </c>
      <c r="F114" s="336" t="e">
        <f ca="1">_xll.BDP(B114 &amp; " Corp","YLD_YTM_BID")</f>
        <v>#NAME?</v>
      </c>
      <c r="G114" s="336" t="e">
        <f ca="1">_xll.BDP(B114 &amp; " Corp","YLD_YTM_ask")</f>
        <v>#NAME?</v>
      </c>
      <c r="H114" s="336" t="e">
        <f ca="1">_xll.BDP(B114 &amp; " Corp","CPN")</f>
        <v>#NAME?</v>
      </c>
      <c r="I114" s="336" t="e">
        <f ca="1">_xll.BDP(B114&amp; " Corp","MATURITY")</f>
        <v>#NAME?</v>
      </c>
      <c r="J114" s="336" t="e">
        <f ca="1">IF(_xll.BDP(B114 &amp; " Corp","RTG_SP")="#N/A N/A","",_xll.BDP(B114 &amp; " Corp","RTG_SP"))&amp;"/"&amp;IF(_xll.BDP(B114 &amp; " Corp","RTG_fitch")="#N/A N/A","",_xll.BDP(B114 &amp; " Corp","RTG_fitch"))&amp;"/"&amp;IF(_xll.BDP(B114 &amp; " Corp","RTG_moody")="#N/A N/A","",_xll.BDP(B114 &amp; " Corp","RTG_moody"))</f>
        <v>#NAME?</v>
      </c>
      <c r="K114" s="336" t="e">
        <f ca="1">_xll.BDP($B114&amp; " Corp","INDUSTRY_SUBGROUP")</f>
        <v>#NAME?</v>
      </c>
      <c r="L114" s="336" t="e">
        <f ca="1">_xll.BDP(B114 &amp; " Corp","CRNCY")</f>
        <v>#NAME?</v>
      </c>
      <c r="M114" s="336" t="e">
        <f ca="1">_xll.BDP(B114 &amp; " Corp","CNTRY_OF_RISK")</f>
        <v>#NAME?</v>
      </c>
      <c r="N114" s="336" t="e">
        <f ca="1">_xll.BDP($B114&amp; " Corp","PAYMENT_RANK")</f>
        <v>#NAME?</v>
      </c>
      <c r="O114" s="336" t="e">
        <f ca="1">_xll.BDP($B114&amp; " Corp","MTY_TYP")</f>
        <v>#NAME?</v>
      </c>
      <c r="P114" s="336" t="e">
        <f ca="1">_xll.BDP($B114&amp; " Corp","RUSSIAN_CB_LOMBARD")</f>
        <v>#NAME?</v>
      </c>
      <c r="Q114" s="338" t="e">
        <f ca="1">_xll.BDP(B111&amp;" Corp", "INTERVAL_PERCENT_CHANGE", "END_DATE_OVERRIDE"," ", "START_DATE_OVERRIDe",R114)</f>
        <v>#NAME?</v>
      </c>
      <c r="R114" s="337">
        <v>20140716</v>
      </c>
      <c r="S114" s="336" t="e">
        <f ca="1">_xll.BDP($B111&amp; " Corp","PX_GROSS_MID")</f>
        <v>#NAME?</v>
      </c>
      <c r="T114" s="335" t="e">
        <f ca="1">_xll.BDP($B111&amp; " Corp","MIN_PIECE")</f>
        <v>#NAME?</v>
      </c>
    </row>
    <row r="115" spans="1:20" ht="15.75" x14ac:dyDescent="0.25">
      <c r="A115" s="336" t="e">
        <f ca="1">_xll.BDP(B115&amp; " Corp","name")</f>
        <v>#NAME?</v>
      </c>
      <c r="B115" s="336" t="s">
        <v>507</v>
      </c>
      <c r="C115" s="336" t="e">
        <f ca="1">_xll.BDP(B115 &amp; " Corp","MTY_YEARS_TDY")</f>
        <v>#NAME?</v>
      </c>
      <c r="D115" s="336" t="e">
        <f ca="1">_xll.BDP(B115 &amp; " Corp","px_last")</f>
        <v>#NAME?</v>
      </c>
      <c r="E115" s="336" t="e">
        <f ca="1">_xll.BDP(B115 &amp; " Corp","px_ask")</f>
        <v>#NAME?</v>
      </c>
      <c r="F115" s="336" t="e">
        <f ca="1">_xll.BDP(B115 &amp; " Corp","YLD_YTM_BID")</f>
        <v>#NAME?</v>
      </c>
      <c r="G115" s="336" t="e">
        <f ca="1">_xll.BDP(B115 &amp; " Corp","YLD_YTM_ask")</f>
        <v>#NAME?</v>
      </c>
      <c r="H115" s="336" t="e">
        <f ca="1">_xll.BDP(B115 &amp; " Corp","CPN")</f>
        <v>#NAME?</v>
      </c>
      <c r="I115" s="336" t="e">
        <f ca="1">_xll.BDP(B115&amp; " Corp","MATURITY")</f>
        <v>#NAME?</v>
      </c>
      <c r="J115" s="336" t="e">
        <f ca="1">IF(_xll.BDP(B115 &amp; " Corp","RTG_SP")="#N/A N/A","",_xll.BDP(B115 &amp; " Corp","RTG_SP"))&amp;"/"&amp;IF(_xll.BDP(B115 &amp; " Corp","RTG_fitch")="#N/A N/A","",_xll.BDP(B115 &amp; " Corp","RTG_fitch"))&amp;"/"&amp;IF(_xll.BDP(B115 &amp; " Corp","RTG_moody")="#N/A N/A","",_xll.BDP(B115 &amp; " Corp","RTG_moody"))</f>
        <v>#NAME?</v>
      </c>
      <c r="K115" s="336" t="e">
        <f ca="1">_xll.BDP($B115&amp; " Corp","INDUSTRY_SUBGROUP")</f>
        <v>#NAME?</v>
      </c>
      <c r="L115" s="336" t="e">
        <f ca="1">_xll.BDP(B115 &amp; " Corp","CRNCY")</f>
        <v>#NAME?</v>
      </c>
      <c r="M115" s="336" t="e">
        <f ca="1">_xll.BDP(B115 &amp; " Corp","CNTRY_OF_RISK")</f>
        <v>#NAME?</v>
      </c>
      <c r="N115" s="336" t="e">
        <f ca="1">_xll.BDP($B115&amp; " Corp","PAYMENT_RANK")</f>
        <v>#NAME?</v>
      </c>
      <c r="O115" s="336" t="e">
        <f ca="1">_xll.BDP($B115&amp; " Corp","MTY_TYP")</f>
        <v>#NAME?</v>
      </c>
      <c r="P115" s="336" t="e">
        <f ca="1">_xll.BDP($B115&amp; " Corp","RUSSIAN_CB_LOMBARD")</f>
        <v>#NAME?</v>
      </c>
      <c r="Q115" s="338" t="e">
        <f ca="1">_xll.BDP(B112&amp;" Corp", "INTERVAL_PERCENT_CHANGE", "END_DATE_OVERRIDE"," ", "START_DATE_OVERRIDe",R115)</f>
        <v>#NAME?</v>
      </c>
      <c r="R115" s="337">
        <v>20140716</v>
      </c>
      <c r="S115" s="336" t="e">
        <f ca="1">_xll.BDP($B112&amp; " Corp","PX_GROSS_MID")</f>
        <v>#NAME?</v>
      </c>
      <c r="T115" s="335" t="e">
        <f ca="1">_xll.BDP($B112&amp; " Corp","MIN_PIECE")</f>
        <v>#NAME?</v>
      </c>
    </row>
    <row r="116" spans="1:20" ht="15.75" x14ac:dyDescent="0.25">
      <c r="A116" s="336" t="e">
        <f ca="1">_xll.BDP(B116&amp; " Corp","name")</f>
        <v>#NAME?</v>
      </c>
      <c r="B116" s="336" t="s">
        <v>506</v>
      </c>
      <c r="C116" s="336" t="e">
        <f ca="1">_xll.BDP(B116 &amp; " Corp","MTY_YEARS_TDY")</f>
        <v>#NAME?</v>
      </c>
      <c r="D116" s="336" t="e">
        <f ca="1">_xll.BDP(B116 &amp; " Corp","px_last")</f>
        <v>#NAME?</v>
      </c>
      <c r="E116" s="336" t="e">
        <f ca="1">_xll.BDP(B116 &amp; " Corp","px_ask")</f>
        <v>#NAME?</v>
      </c>
      <c r="F116" s="336" t="e">
        <f ca="1">_xll.BDP(B116 &amp; " Corp","YLD_YTM_BID")</f>
        <v>#NAME?</v>
      </c>
      <c r="G116" s="336" t="e">
        <f ca="1">_xll.BDP(B116 &amp; " Corp","YLD_YTM_ask")</f>
        <v>#NAME?</v>
      </c>
      <c r="H116" s="336" t="e">
        <f ca="1">_xll.BDP(B116 &amp; " Corp","CPN")</f>
        <v>#NAME?</v>
      </c>
      <c r="I116" s="336" t="e">
        <f ca="1">_xll.BDP(B116&amp; " Corp","MATURITY")</f>
        <v>#NAME?</v>
      </c>
      <c r="J116" s="336" t="e">
        <f ca="1">IF(_xll.BDP(B116 &amp; " Corp","RTG_SP")="#N/A N/A","",_xll.BDP(B116 &amp; " Corp","RTG_SP"))&amp;"/"&amp;IF(_xll.BDP(B116 &amp; " Corp","RTG_fitch")="#N/A N/A","",_xll.BDP(B116 &amp; " Corp","RTG_fitch"))&amp;"/"&amp;IF(_xll.BDP(B116 &amp; " Corp","RTG_moody")="#N/A N/A","",_xll.BDP(B116 &amp; " Corp","RTG_moody"))</f>
        <v>#NAME?</v>
      </c>
      <c r="K116" s="336" t="e">
        <f ca="1">_xll.BDP($B116&amp; " Corp","INDUSTRY_SUBGROUP")</f>
        <v>#NAME?</v>
      </c>
      <c r="L116" s="336" t="e">
        <f ca="1">_xll.BDP(B116 &amp; " Corp","CRNCY")</f>
        <v>#NAME?</v>
      </c>
      <c r="M116" s="336" t="e">
        <f ca="1">_xll.BDP(B116 &amp; " Corp","CNTRY_OF_RISK")</f>
        <v>#NAME?</v>
      </c>
      <c r="N116" s="336" t="e">
        <f ca="1">_xll.BDP($B116&amp; " Corp","PAYMENT_RANK")</f>
        <v>#NAME?</v>
      </c>
      <c r="O116" s="336" t="e">
        <f ca="1">_xll.BDP($B116&amp; " Corp","MTY_TYP")</f>
        <v>#NAME?</v>
      </c>
      <c r="P116" s="336" t="e">
        <f ca="1">_xll.BDP($B116&amp; " Corp","RUSSIAN_CB_LOMBARD")</f>
        <v>#NAME?</v>
      </c>
      <c r="Q116" s="338" t="e">
        <f ca="1">_xll.BDP(B113&amp;" Corp", "INTERVAL_PERCENT_CHANGE", "END_DATE_OVERRIDE"," ", "START_DATE_OVERRIDe",R116)</f>
        <v>#NAME?</v>
      </c>
      <c r="R116" s="337">
        <v>20140716</v>
      </c>
      <c r="S116" s="336" t="e">
        <f ca="1">_xll.BDP($B113&amp; " Corp","PX_GROSS_MID")</f>
        <v>#NAME?</v>
      </c>
      <c r="T116" s="335" t="e">
        <f ca="1">_xll.BDP($B113&amp; " Corp","MIN_PIECE")</f>
        <v>#NAME?</v>
      </c>
    </row>
    <row r="117" spans="1:20" ht="18.75" x14ac:dyDescent="0.3">
      <c r="A117" s="341" t="s">
        <v>505</v>
      </c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38" t="e">
        <f ca="1">_xll.BDP(B114&amp;" Corp", "INTERVAL_PERCENT_CHANGE", "END_DATE_OVERRIDE"," ", "START_DATE_OVERRIDe",R117)</f>
        <v>#NAME?</v>
      </c>
      <c r="R117" s="337">
        <v>20140716</v>
      </c>
      <c r="S117" s="336" t="e">
        <f ca="1">_xll.BDP($B114&amp; " Corp","PX_GROSS_MID")</f>
        <v>#NAME?</v>
      </c>
      <c r="T117" s="335" t="e">
        <f ca="1">_xll.BDP($B114&amp; " Corp","MIN_PIECE")</f>
        <v>#NAME?</v>
      </c>
    </row>
    <row r="118" spans="1:20" ht="15.75" x14ac:dyDescent="0.25">
      <c r="A118" s="336" t="e">
        <f ca="1">_xll.BDP(B118&amp; " Corp","name")</f>
        <v>#NAME?</v>
      </c>
      <c r="B118" s="336" t="s">
        <v>504</v>
      </c>
      <c r="C118" s="336" t="e">
        <f ca="1">_xll.BDP(B118 &amp; " Corp","MTY_YEARS_TDY")</f>
        <v>#NAME?</v>
      </c>
      <c r="D118" s="336" t="e">
        <f ca="1">_xll.BDP(B118 &amp; " Corp","px_last")</f>
        <v>#NAME?</v>
      </c>
      <c r="E118" s="336" t="e">
        <f ca="1">_xll.BDP(B118 &amp; " Corp","px_ask")</f>
        <v>#NAME?</v>
      </c>
      <c r="F118" s="336" t="e">
        <f ca="1">_xll.BDP(B118 &amp; " Corp","YLD_YTM_BID")</f>
        <v>#NAME?</v>
      </c>
      <c r="G118" s="336" t="e">
        <f ca="1">_xll.BDP(B118 &amp; " Corp","YLD_YTM_ask")</f>
        <v>#NAME?</v>
      </c>
      <c r="H118" s="336" t="e">
        <f ca="1">_xll.BDP(B118 &amp; " Corp","CPN")</f>
        <v>#NAME?</v>
      </c>
      <c r="I118" s="336" t="e">
        <f ca="1">_xll.BDP(B118&amp; " Corp","MATURITY")</f>
        <v>#NAME?</v>
      </c>
      <c r="J118" s="336" t="e">
        <f ca="1">IF(_xll.BDP(B118 &amp; " Corp","RTG_SP")="#N/A N/A","",_xll.BDP(B118 &amp; " Corp","RTG_SP"))&amp;"/"&amp;IF(_xll.BDP(B118 &amp; " Corp","RTG_fitch")="#N/A N/A","",_xll.BDP(B118 &amp; " Corp","RTG_fitch"))&amp;"/"&amp;IF(_xll.BDP(B118 &amp; " Corp","RTG_moody")="#N/A N/A","",_xll.BDP(B118 &amp; " Corp","RTG_moody"))</f>
        <v>#NAME?</v>
      </c>
      <c r="K118" s="336" t="e">
        <f ca="1">_xll.BDP($B118&amp; " Corp","INDUSTRY_SUBGROUP")</f>
        <v>#NAME?</v>
      </c>
      <c r="L118" s="336" t="e">
        <f ca="1">_xll.BDP(B118 &amp; " Corp","CRNCY")</f>
        <v>#NAME?</v>
      </c>
      <c r="M118" s="336" t="e">
        <f ca="1">_xll.BDP(B118 &amp; " Corp","CNTRY_OF_RISK")</f>
        <v>#NAME?</v>
      </c>
      <c r="N118" s="336" t="e">
        <f ca="1">_xll.BDP($B118&amp; " Corp","PAYMENT_RANK")</f>
        <v>#NAME?</v>
      </c>
      <c r="O118" s="336" t="e">
        <f ca="1">_xll.BDP($B118&amp; " Corp","MTY_TYP")</f>
        <v>#NAME?</v>
      </c>
      <c r="P118" s="336" t="e">
        <f ca="1">_xll.BDP($B118&amp; " Corp","RUSSIAN_CB_LOMBARD")</f>
        <v>#NAME?</v>
      </c>
      <c r="Q118" s="338" t="e">
        <f ca="1">_xll.BDP(B115&amp;" Corp", "INTERVAL_PERCENT_CHANGE", "END_DATE_OVERRIDE"," ", "START_DATE_OVERRIDe",R118)</f>
        <v>#NAME?</v>
      </c>
      <c r="R118" s="337">
        <v>20140716</v>
      </c>
      <c r="S118" s="336" t="e">
        <f ca="1">_xll.BDP($B115&amp; " Corp","PX_GROSS_MID")</f>
        <v>#NAME?</v>
      </c>
      <c r="T118" s="335" t="e">
        <f ca="1">_xll.BDP($B115&amp; " Corp","MIN_PIECE")</f>
        <v>#NAME?</v>
      </c>
    </row>
    <row r="119" spans="1:20" ht="15.75" x14ac:dyDescent="0.25">
      <c r="A119" s="336" t="e">
        <f ca="1">_xll.BDP(B119&amp; " Corp","name")</f>
        <v>#NAME?</v>
      </c>
      <c r="B119" s="336" t="s">
        <v>502</v>
      </c>
      <c r="C119" s="336" t="e">
        <f ca="1">_xll.BDP(B119 &amp; " Corp","MTY_YEARS_TDY")</f>
        <v>#NAME?</v>
      </c>
      <c r="D119" s="336" t="e">
        <f ca="1">_xll.BDP(B119 &amp; " Corp","px_last")</f>
        <v>#NAME?</v>
      </c>
      <c r="E119" s="336" t="e">
        <f ca="1">_xll.BDP(B119 &amp; " Corp","px_ask")</f>
        <v>#NAME?</v>
      </c>
      <c r="F119" s="336" t="e">
        <f ca="1">_xll.BDP(B119 &amp; " Corp","YLD_YTM_BID")</f>
        <v>#NAME?</v>
      </c>
      <c r="G119" s="336" t="e">
        <f ca="1">_xll.BDP(B119 &amp; " Corp","YLD_YTM_ask")</f>
        <v>#NAME?</v>
      </c>
      <c r="H119" s="336" t="e">
        <f ca="1">_xll.BDP(B119 &amp; " Corp","CPN")</f>
        <v>#NAME?</v>
      </c>
      <c r="I119" s="336" t="e">
        <f ca="1">_xll.BDP(B119&amp; " Corp","MATURITY")</f>
        <v>#NAME?</v>
      </c>
      <c r="J119" s="336" t="e">
        <f ca="1">IF(_xll.BDP(B119 &amp; " Corp","RTG_SP")="#N/A N/A","",_xll.BDP(B119 &amp; " Corp","RTG_SP"))&amp;"/"&amp;IF(_xll.BDP(B119 &amp; " Corp","RTG_fitch")="#N/A N/A","",_xll.BDP(B119 &amp; " Corp","RTG_fitch"))&amp;"/"&amp;IF(_xll.BDP(B119 &amp; " Corp","RTG_moody")="#N/A N/A","",_xll.BDP(B119 &amp; " Corp","RTG_moody"))</f>
        <v>#NAME?</v>
      </c>
      <c r="K119" s="336" t="e">
        <f ca="1">_xll.BDP($B119&amp; " Corp","INDUSTRY_SUBGROUP")</f>
        <v>#NAME?</v>
      </c>
      <c r="L119" s="336" t="e">
        <f ca="1">_xll.BDP(B119 &amp; " Corp","CRNCY")</f>
        <v>#NAME?</v>
      </c>
      <c r="M119" s="336" t="e">
        <f ca="1">_xll.BDP(B119 &amp; " Corp","CNTRY_OF_RISK")</f>
        <v>#NAME?</v>
      </c>
      <c r="N119" s="336" t="e">
        <f ca="1">_xll.BDP($B119&amp; " Corp","PAYMENT_RANK")</f>
        <v>#NAME?</v>
      </c>
      <c r="O119" s="336" t="e">
        <f ca="1">_xll.BDP($B119&amp; " Corp","MTY_TYP")</f>
        <v>#NAME?</v>
      </c>
      <c r="P119" s="336" t="e">
        <f ca="1">_xll.BDP($B119&amp; " Corp","RUSSIAN_CB_LOMBARD")</f>
        <v>#NAME?</v>
      </c>
      <c r="Q119" s="338" t="e">
        <f ca="1">_xll.BDP(B117&amp;" Corp", "INTERVAL_PERCENT_CHANGE", "END_DATE_OVERRIDE"," ", "START_DATE_OVERRIDe",R119)</f>
        <v>#NAME?</v>
      </c>
      <c r="R119" s="337">
        <v>20140716</v>
      </c>
      <c r="S119" s="336" t="e">
        <f ca="1">_xll.BDP($B117&amp; " Corp","PX_GROSS_MID")</f>
        <v>#NAME?</v>
      </c>
      <c r="T119" s="335" t="e">
        <f ca="1">_xll.BDP($B117&amp; " Corp","MIN_PIECE")</f>
        <v>#NAME?</v>
      </c>
    </row>
    <row r="120" spans="1:20" ht="15.75" x14ac:dyDescent="0.25">
      <c r="A120" s="336" t="e">
        <f ca="1">_xll.BDP(B120&amp; " Corp","name")</f>
        <v>#NAME?</v>
      </c>
      <c r="B120" s="336" t="s">
        <v>503</v>
      </c>
      <c r="C120" s="336" t="e">
        <f ca="1">_xll.BDP(B120 &amp; " Corp","MTY_YEARS_TDY")</f>
        <v>#NAME?</v>
      </c>
      <c r="D120" s="336" t="e">
        <f ca="1">_xll.BDP(B120 &amp; " Corp","px_last")</f>
        <v>#NAME?</v>
      </c>
      <c r="E120" s="336" t="e">
        <f ca="1">_xll.BDP(B120 &amp; " Corp","px_ask")</f>
        <v>#NAME?</v>
      </c>
      <c r="F120" s="336" t="e">
        <f ca="1">_xll.BDP(B120 &amp; " Corp","YLD_YTM_BID")</f>
        <v>#NAME?</v>
      </c>
      <c r="G120" s="336" t="e">
        <f ca="1">_xll.BDP(B120 &amp; " Corp","YLD_YTM_ask")</f>
        <v>#NAME?</v>
      </c>
      <c r="H120" s="336" t="e">
        <f ca="1">_xll.BDP(B120 &amp; " Corp","CPN")</f>
        <v>#NAME?</v>
      </c>
      <c r="I120" s="336" t="e">
        <f ca="1">_xll.BDP(B120&amp; " Corp","MATURITY")</f>
        <v>#NAME?</v>
      </c>
      <c r="J120" s="336" t="e">
        <f ca="1">IF(_xll.BDP(B120 &amp; " Corp","RTG_SP")="#N/A N/A","",_xll.BDP(B120 &amp; " Corp","RTG_SP"))&amp;"/"&amp;IF(_xll.BDP(B120 &amp; " Corp","RTG_fitch")="#N/A N/A","",_xll.BDP(B120 &amp; " Corp","RTG_fitch"))&amp;"/"&amp;IF(_xll.BDP(B120 &amp; " Corp","RTG_moody")="#N/A N/A","",_xll.BDP(B120 &amp; " Corp","RTG_moody"))</f>
        <v>#NAME?</v>
      </c>
      <c r="K120" s="336" t="e">
        <f ca="1">_xll.BDP($B120&amp; " Corp","INDUSTRY_SUBGROUP")</f>
        <v>#NAME?</v>
      </c>
      <c r="L120" s="336" t="e">
        <f ca="1">_xll.BDP(B120 &amp; " Corp","CRNCY")</f>
        <v>#NAME?</v>
      </c>
      <c r="M120" s="336" t="e">
        <f ca="1">_xll.BDP(B120 &amp; " Corp","CNTRY_OF_RISK")</f>
        <v>#NAME?</v>
      </c>
      <c r="N120" s="336" t="e">
        <f ca="1">_xll.BDP($B120&amp; " Corp","PAYMENT_RANK")</f>
        <v>#NAME?</v>
      </c>
      <c r="O120" s="336" t="e">
        <f ca="1">_xll.BDP($B120&amp; " Corp","MTY_TYP")</f>
        <v>#NAME?</v>
      </c>
      <c r="P120" s="336" t="e">
        <f ca="1">_xll.BDP($B120&amp; " Corp","RUSSIAN_CB_LOMBARD")</f>
        <v>#NAME?</v>
      </c>
      <c r="Q120" s="338" t="e">
        <f ca="1">_xll.BDP(B117&amp;" Corp", "INTERVAL_PERCENT_CHANGE", "END_DATE_OVERRIDE"," ", "START_DATE_OVERRIDe",R120)</f>
        <v>#NAME?</v>
      </c>
      <c r="R120" s="337">
        <v>20140716</v>
      </c>
      <c r="S120" s="336" t="e">
        <f ca="1">_xll.BDP($B117&amp; " Corp","PX_GROSS_MID")</f>
        <v>#NAME?</v>
      </c>
      <c r="T120" s="335" t="e">
        <f ca="1">_xll.BDP($B117&amp; " Corp","MIN_PIECE")</f>
        <v>#NAME?</v>
      </c>
    </row>
    <row r="121" spans="1:20" ht="15.75" x14ac:dyDescent="0.25">
      <c r="A121" s="336" t="e">
        <f ca="1">_xll.BDP(B121&amp; " Corp","name")</f>
        <v>#NAME?</v>
      </c>
      <c r="B121" s="336" t="s">
        <v>501</v>
      </c>
      <c r="C121" s="336" t="e">
        <f ca="1">_xll.BDP(B121 &amp; " Corp","MTY_YEARS_TDY")</f>
        <v>#NAME?</v>
      </c>
      <c r="D121" s="336" t="e">
        <f ca="1">_xll.BDP(B121 &amp; " Corp","px_last")</f>
        <v>#NAME?</v>
      </c>
      <c r="E121" s="336" t="e">
        <f ca="1">_xll.BDP(B121 &amp; " Corp","px_ask")</f>
        <v>#NAME?</v>
      </c>
      <c r="F121" s="336" t="e">
        <f ca="1">_xll.BDP(B121 &amp; " Corp","YLD_YTM_BID")</f>
        <v>#NAME?</v>
      </c>
      <c r="G121" s="336" t="e">
        <f ca="1">_xll.BDP(B121 &amp; " Corp","YLD_YTM_ask")</f>
        <v>#NAME?</v>
      </c>
      <c r="H121" s="336" t="e">
        <f ca="1">_xll.BDP(B121 &amp; " Corp","CPN")</f>
        <v>#NAME?</v>
      </c>
      <c r="I121" s="336" t="e">
        <f ca="1">_xll.BDP(B121&amp; " Corp","MATURITY")</f>
        <v>#NAME?</v>
      </c>
      <c r="J121" s="336" t="e">
        <f ca="1">IF(_xll.BDP(B121 &amp; " Corp","RTG_SP")="#N/A N/A","",_xll.BDP(B121 &amp; " Corp","RTG_SP"))&amp;"/"&amp;IF(_xll.BDP(B121 &amp; " Corp","RTG_fitch")="#N/A N/A","",_xll.BDP(B121 &amp; " Corp","RTG_fitch"))&amp;"/"&amp;IF(_xll.BDP(B121 &amp; " Corp","RTG_moody")="#N/A N/A","",_xll.BDP(B121 &amp; " Corp","RTG_moody"))</f>
        <v>#NAME?</v>
      </c>
      <c r="K121" s="336" t="e">
        <f ca="1">_xll.BDP($B121&amp; " Corp","INDUSTRY_SUBGROUP")</f>
        <v>#NAME?</v>
      </c>
      <c r="L121" s="336" t="e">
        <f ca="1">_xll.BDP(B121 &amp; " Corp","CRNCY")</f>
        <v>#NAME?</v>
      </c>
      <c r="M121" s="336" t="e">
        <f ca="1">_xll.BDP(B121 &amp; " Corp","CNTRY_OF_RISK")</f>
        <v>#NAME?</v>
      </c>
      <c r="N121" s="336" t="e">
        <f ca="1">_xll.BDP($B121&amp; " Corp","PAYMENT_RANK")</f>
        <v>#NAME?</v>
      </c>
      <c r="O121" s="336" t="e">
        <f ca="1">_xll.BDP($B121&amp; " Corp","MTY_TYP")</f>
        <v>#NAME?</v>
      </c>
      <c r="P121" s="336" t="e">
        <f ca="1">_xll.BDP($B121&amp; " Corp","RUSSIAN_CB_LOMBARD")</f>
        <v>#NAME?</v>
      </c>
      <c r="Q121" s="338" t="e">
        <f ca="1">_xll.BDP(B119&amp;" Corp", "INTERVAL_PERCENT_CHANGE", "END_DATE_OVERRIDE"," ", "START_DATE_OVERRIDe",R121)</f>
        <v>#NAME?</v>
      </c>
      <c r="R121" s="337">
        <v>20140716</v>
      </c>
      <c r="S121" s="336" t="e">
        <f ca="1">_xll.BDP($B119&amp; " Corp","PX_GROSS_MID")</f>
        <v>#NAME?</v>
      </c>
      <c r="T121" s="335" t="e">
        <f ca="1">_xll.BDP($B119&amp; " Corp","MIN_PIECE")</f>
        <v>#NAME?</v>
      </c>
    </row>
    <row r="122" spans="1:20" ht="15.75" x14ac:dyDescent="0.25">
      <c r="A122" s="339" t="e">
        <f ca="1">_xll.BDP(B122&amp; " Corp","name")</f>
        <v>#NAME?</v>
      </c>
      <c r="B122" s="336" t="s">
        <v>500</v>
      </c>
      <c r="C122" s="336" t="e">
        <f ca="1">_xll.BDP(B122 &amp; " Corp","MTY_YEARS_TDY")</f>
        <v>#NAME?</v>
      </c>
      <c r="D122" s="336" t="e">
        <f ca="1">_xll.BDP(B122 &amp; " Corp","px_last")</f>
        <v>#NAME?</v>
      </c>
      <c r="E122" s="336" t="e">
        <f ca="1">_xll.BDP(B122 &amp; " Corp","px_ask")</f>
        <v>#NAME?</v>
      </c>
      <c r="F122" s="336" t="e">
        <f ca="1">_xll.BDP(B122 &amp; " Corp","YLD_YTM_BID")</f>
        <v>#NAME?</v>
      </c>
      <c r="G122" s="336" t="e">
        <f ca="1">_xll.BDP(B122 &amp; " Corp","YLD_YTM_ask")</f>
        <v>#NAME?</v>
      </c>
      <c r="H122" s="336" t="e">
        <f ca="1">_xll.BDP(B122 &amp; " Corp","CPN")</f>
        <v>#NAME?</v>
      </c>
      <c r="I122" s="336" t="e">
        <f ca="1">_xll.BDP(B122&amp; " Corp","MATURITY")</f>
        <v>#NAME?</v>
      </c>
      <c r="J122" s="336" t="e">
        <f ca="1">IF(_xll.BDP(B122 &amp; " Corp","RTG_SP")="#N/A N/A","",_xll.BDP(B122 &amp; " Corp","RTG_SP"))&amp;"/"&amp;IF(_xll.BDP(B122 &amp; " Corp","RTG_fitch")="#N/A N/A","",_xll.BDP(B122 &amp; " Corp","RTG_fitch"))&amp;"/"&amp;IF(_xll.BDP(B122 &amp; " Corp","RTG_moody")="#N/A N/A","",_xll.BDP(B122 &amp; " Corp","RTG_moody"))</f>
        <v>#NAME?</v>
      </c>
      <c r="K122" s="336" t="e">
        <f ca="1">_xll.BDP($B122&amp; " Corp","INDUSTRY_SUBGROUP")</f>
        <v>#NAME?</v>
      </c>
      <c r="L122" s="336" t="e">
        <f ca="1">_xll.BDP(B122 &amp; " Corp","CRNCY")</f>
        <v>#NAME?</v>
      </c>
      <c r="M122" s="336" t="e">
        <f ca="1">_xll.BDP(B122 &amp; " Corp","CNTRY_OF_RISK")</f>
        <v>#NAME?</v>
      </c>
      <c r="N122" s="336" t="e">
        <f ca="1">_xll.BDP($B122&amp; " Corp","PAYMENT_RANK")</f>
        <v>#NAME?</v>
      </c>
      <c r="O122" s="336" t="e">
        <f ca="1">_xll.BDP($B122&amp; " Corp","MTY_TYP")</f>
        <v>#NAME?</v>
      </c>
      <c r="P122" s="336" t="e">
        <f ca="1">_xll.BDP($B122&amp; " Corp","RUSSIAN_CB_LOMBARD")</f>
        <v>#NAME?</v>
      </c>
      <c r="Q122" s="338" t="e">
        <f ca="1">_xll.BDP(B120&amp;" Corp", "INTERVAL_PERCENT_CHANGE", "END_DATE_OVERRIDE"," ", "START_DATE_OVERRIDe",R122)</f>
        <v>#NAME?</v>
      </c>
      <c r="R122" s="337">
        <v>20140716</v>
      </c>
      <c r="S122" s="336" t="e">
        <f ca="1">_xll.BDP($B120&amp; " Corp","PX_GROSS_MID")</f>
        <v>#NAME?</v>
      </c>
      <c r="T122" s="335" t="e">
        <f ca="1">_xll.BDP($B120&amp; " Corp","MIN_PIECE")</f>
        <v>#NAME?</v>
      </c>
    </row>
    <row r="123" spans="1:20" ht="15.75" x14ac:dyDescent="0.25">
      <c r="A123" s="339" t="e">
        <f ca="1">_xll.BDP(B123&amp; " Corp","name")</f>
        <v>#NAME?</v>
      </c>
      <c r="B123" s="336" t="s">
        <v>499</v>
      </c>
      <c r="C123" s="336" t="e">
        <f ca="1">_xll.BDP(B123 &amp; " Corp","MTY_YEARS_TDY")</f>
        <v>#NAME?</v>
      </c>
      <c r="D123" s="336" t="e">
        <f ca="1">_xll.BDP(B123 &amp; " Corp","px_last")</f>
        <v>#NAME?</v>
      </c>
      <c r="E123" s="336" t="e">
        <f ca="1">_xll.BDP(B123 &amp; " Corp","px_ask")</f>
        <v>#NAME?</v>
      </c>
      <c r="F123" s="336" t="e">
        <f ca="1">_xll.BDP(B123 &amp; " Corp","YLD_YTM_BID")</f>
        <v>#NAME?</v>
      </c>
      <c r="G123" s="336" t="e">
        <f ca="1">_xll.BDP(B123 &amp; " Corp","YLD_YTM_ask")</f>
        <v>#NAME?</v>
      </c>
      <c r="H123" s="336" t="e">
        <f ca="1">_xll.BDP(B123 &amp; " Corp","CPN")</f>
        <v>#NAME?</v>
      </c>
      <c r="I123" s="336" t="e">
        <f ca="1">_xll.BDP(B123&amp; " Corp","MATURITY")</f>
        <v>#NAME?</v>
      </c>
      <c r="J123" s="336" t="e">
        <f ca="1">IF(_xll.BDP(B123 &amp; " Corp","RTG_SP")="#N/A N/A","",_xll.BDP(B123 &amp; " Corp","RTG_SP"))&amp;"/"&amp;IF(_xll.BDP(B123 &amp; " Corp","RTG_fitch")="#N/A N/A","",_xll.BDP(B123 &amp; " Corp","RTG_fitch"))&amp;"/"&amp;IF(_xll.BDP(B123 &amp; " Corp","RTG_moody")="#N/A N/A","",_xll.BDP(B123 &amp; " Corp","RTG_moody"))</f>
        <v>#NAME?</v>
      </c>
      <c r="K123" s="336" t="e">
        <f ca="1">_xll.BDP($B123&amp; " Corp","INDUSTRY_SUBGROUP")</f>
        <v>#NAME?</v>
      </c>
      <c r="L123" s="336" t="e">
        <f ca="1">_xll.BDP(B123 &amp; " Corp","CRNCY")</f>
        <v>#NAME?</v>
      </c>
      <c r="M123" s="336" t="e">
        <f ca="1">_xll.BDP(B123 &amp; " Corp","CNTRY_OF_RISK")</f>
        <v>#NAME?</v>
      </c>
      <c r="N123" s="336" t="e">
        <f ca="1">_xll.BDP($B123&amp; " Corp","PAYMENT_RANK")</f>
        <v>#NAME?</v>
      </c>
      <c r="O123" s="336" t="e">
        <f ca="1">_xll.BDP($B123&amp; " Corp","MTY_TYP")</f>
        <v>#NAME?</v>
      </c>
      <c r="P123" s="336" t="e">
        <f ca="1">_xll.BDP($B123&amp; " Corp","RUSSIAN_CB_LOMBARD")</f>
        <v>#NAME?</v>
      </c>
      <c r="Q123" s="338" t="e">
        <f ca="1">_xll.BDP(B121&amp;" Corp", "INTERVAL_PERCENT_CHANGE", "END_DATE_OVERRIDE"," ", "START_DATE_OVERRIDe",R123)</f>
        <v>#NAME?</v>
      </c>
      <c r="R123" s="337">
        <v>20140716</v>
      </c>
      <c r="S123" s="336" t="e">
        <f ca="1">_xll.BDP($B121&amp; " Corp","PX_GROSS_MID")</f>
        <v>#NAME?</v>
      </c>
      <c r="T123" s="335" t="e">
        <f ca="1">_xll.BDP($B121&amp; " Corp","MIN_PIECE")</f>
        <v>#NAME?</v>
      </c>
    </row>
    <row r="124" spans="1:20" ht="15.75" x14ac:dyDescent="0.25">
      <c r="A124" s="339" t="e">
        <f ca="1">_xll.BDP(B124&amp; " Corp","name")</f>
        <v>#NAME?</v>
      </c>
      <c r="B124" s="336" t="s">
        <v>498</v>
      </c>
      <c r="C124" s="336" t="e">
        <f ca="1">_xll.BDP(B124 &amp; " Corp","MTY_YEARS_TDY")</f>
        <v>#NAME?</v>
      </c>
      <c r="D124" s="336" t="e">
        <f ca="1">_xll.BDP(B124 &amp; " Corp","px_last")</f>
        <v>#NAME?</v>
      </c>
      <c r="E124" s="336" t="e">
        <f ca="1">_xll.BDP(B124 &amp; " Corp","px_ask")</f>
        <v>#NAME?</v>
      </c>
      <c r="F124" s="336" t="e">
        <f ca="1">_xll.BDP(B124 &amp; " Corp","YLD_YTM_BID")</f>
        <v>#NAME?</v>
      </c>
      <c r="G124" s="336" t="e">
        <f ca="1">_xll.BDP(B124 &amp; " Corp","YLD_YTM_ask")</f>
        <v>#NAME?</v>
      </c>
      <c r="H124" s="336" t="e">
        <f ca="1">_xll.BDP(B124 &amp; " Corp","CPN")</f>
        <v>#NAME?</v>
      </c>
      <c r="I124" s="336" t="e">
        <f ca="1">_xll.BDP(B124&amp; " Corp","MATURITY")</f>
        <v>#NAME?</v>
      </c>
      <c r="J124" s="336" t="e">
        <f ca="1">IF(_xll.BDP(B124 &amp; " Corp","RTG_SP")="#N/A N/A","",_xll.BDP(B124 &amp; " Corp","RTG_SP"))&amp;"/"&amp;IF(_xll.BDP(B124 &amp; " Corp","RTG_fitch")="#N/A N/A","",_xll.BDP(B124 &amp; " Corp","RTG_fitch"))&amp;"/"&amp;IF(_xll.BDP(B124 &amp; " Corp","RTG_moody")="#N/A N/A","",_xll.BDP(B124 &amp; " Corp","RTG_moody"))</f>
        <v>#NAME?</v>
      </c>
      <c r="K124" s="336" t="e">
        <f ca="1">_xll.BDP($B124&amp; " Corp","INDUSTRY_SUBGROUP")</f>
        <v>#NAME?</v>
      </c>
      <c r="L124" s="336" t="e">
        <f ca="1">_xll.BDP(B124 &amp; " Corp","CRNCY")</f>
        <v>#NAME?</v>
      </c>
      <c r="M124" s="336" t="e">
        <f ca="1">_xll.BDP(B124 &amp; " Corp","CNTRY_OF_RISK")</f>
        <v>#NAME?</v>
      </c>
      <c r="N124" s="336" t="e">
        <f ca="1">_xll.BDP($B124&amp; " Corp","PAYMENT_RANK")</f>
        <v>#NAME?</v>
      </c>
      <c r="O124" s="336" t="e">
        <f ca="1">_xll.BDP($B124&amp; " Corp","MTY_TYP")</f>
        <v>#NAME?</v>
      </c>
      <c r="P124" s="336" t="e">
        <f ca="1">_xll.BDP($B124&amp; " Corp","RUSSIAN_CB_LOMBARD")</f>
        <v>#NAME?</v>
      </c>
      <c r="Q124" s="338" t="e">
        <f ca="1">_xll.BDP(B122&amp;" Corp", "INTERVAL_PERCENT_CHANGE", "END_DATE_OVERRIDE"," ", "START_DATE_OVERRIDe",R124)</f>
        <v>#NAME?</v>
      </c>
      <c r="R124" s="337">
        <v>20140716</v>
      </c>
      <c r="S124" s="339" t="e">
        <f ca="1">_xll.BDP($B122&amp; " Corp","PX_GROSS_MID")</f>
        <v>#NAME?</v>
      </c>
      <c r="T124" s="335" t="e">
        <f ca="1">_xll.BDP($B122&amp; " Corp","MIN_PIECE")</f>
        <v>#NAME?</v>
      </c>
    </row>
    <row r="125" spans="1:20" ht="15.75" x14ac:dyDescent="0.25">
      <c r="A125" s="339" t="e">
        <f ca="1">_xll.BDP(B125&amp; " Corp","name")</f>
        <v>#NAME?</v>
      </c>
      <c r="B125" s="339" t="s">
        <v>497</v>
      </c>
      <c r="C125" s="336" t="e">
        <f ca="1">_xll.BDP(B125 &amp; " Corp","MTY_YEARS_TDY")</f>
        <v>#NAME?</v>
      </c>
      <c r="D125" s="336" t="e">
        <f ca="1">_xll.BDP(B125 &amp; " Corp","px_last")</f>
        <v>#NAME?</v>
      </c>
      <c r="E125" s="336" t="e">
        <f ca="1">_xll.BDP(B125 &amp; " Corp","px_ask")</f>
        <v>#NAME?</v>
      </c>
      <c r="F125" s="336" t="e">
        <f ca="1">_xll.BDP(B125 &amp; " Corp","YLD_YTM_BID")</f>
        <v>#NAME?</v>
      </c>
      <c r="G125" s="336" t="e">
        <f ca="1">_xll.BDP(B125 &amp; " Corp","YLD_YTM_ask")</f>
        <v>#NAME?</v>
      </c>
      <c r="H125" s="336" t="e">
        <f ca="1">_xll.BDP(B125 &amp; " Corp","CPN")</f>
        <v>#NAME?</v>
      </c>
      <c r="I125" s="336" t="e">
        <f ca="1">_xll.BDP(B125&amp; " Corp","MATURITY")</f>
        <v>#NAME?</v>
      </c>
      <c r="J125" s="336" t="e">
        <f ca="1">IF(_xll.BDP(B125 &amp; " Corp","RTG_SP")="#N/A N/A","",_xll.BDP(B125 &amp; " Corp","RTG_SP"))&amp;"/"&amp;IF(_xll.BDP(B125 &amp; " Corp","RTG_fitch")="#N/A N/A","",_xll.BDP(B125 &amp; " Corp","RTG_fitch"))&amp;"/"&amp;IF(_xll.BDP(B125 &amp; " Corp","RTG_moody")="#N/A N/A","",_xll.BDP(B125 &amp; " Corp","RTG_moody"))</f>
        <v>#NAME?</v>
      </c>
      <c r="K125" s="336" t="e">
        <f ca="1">_xll.BDP($B125&amp; " Corp","INDUSTRY_SUBGROUP")</f>
        <v>#NAME?</v>
      </c>
      <c r="L125" s="336" t="e">
        <f ca="1">_xll.BDP(B125 &amp; " Corp","CRNCY")</f>
        <v>#NAME?</v>
      </c>
      <c r="M125" s="336" t="e">
        <f ca="1">_xll.BDP(B125 &amp; " Corp","CNTRY_OF_RISK")</f>
        <v>#NAME?</v>
      </c>
      <c r="N125" s="336" t="e">
        <f ca="1">_xll.BDP($B125&amp; " Corp","PAYMENT_RANK")</f>
        <v>#NAME?</v>
      </c>
      <c r="O125" s="336" t="e">
        <f ca="1">_xll.BDP($B125&amp; " Corp","MTY_TYP")</f>
        <v>#NAME?</v>
      </c>
      <c r="P125" s="336" t="e">
        <f ca="1">_xll.BDP($B125&amp; " Corp","RUSSIAN_CB_LOMBARD")</f>
        <v>#NAME?</v>
      </c>
      <c r="Q125" s="338" t="e">
        <f ca="1">_xll.BDP(B123&amp;" Corp", "INTERVAL_PERCENT_CHANGE", "END_DATE_OVERRIDE"," ", "START_DATE_OVERRIDe",R125)</f>
        <v>#NAME?</v>
      </c>
      <c r="R125" s="337">
        <v>20140716</v>
      </c>
      <c r="S125" s="336" t="e">
        <f ca="1">_xll.BDP($B123&amp; " Corp","PX_GROSS_MID")</f>
        <v>#NAME?</v>
      </c>
      <c r="T125" s="335" t="e">
        <f ca="1">_xll.BDP($B123&amp; " Corp","MIN_PIECE")</f>
        <v>#NAME?</v>
      </c>
    </row>
    <row r="126" spans="1:20" ht="15.75" x14ac:dyDescent="0.25">
      <c r="A126" s="339" t="e">
        <f ca="1">_xll.BDP(B126&amp; " Corp","name")</f>
        <v>#NAME?</v>
      </c>
      <c r="B126" s="336" t="s">
        <v>496</v>
      </c>
      <c r="C126" s="336" t="e">
        <f ca="1">_xll.BDP(B126 &amp; " Corp","MTY_YEARS_TDY")</f>
        <v>#NAME?</v>
      </c>
      <c r="D126" s="336" t="e">
        <f ca="1">_xll.BDP(B126 &amp; " Corp","px_last")</f>
        <v>#NAME?</v>
      </c>
      <c r="E126" s="336" t="e">
        <f ca="1">_xll.BDP(B126 &amp; " Corp","px_ask")</f>
        <v>#NAME?</v>
      </c>
      <c r="F126" s="336" t="e">
        <f ca="1">_xll.BDP(B126 &amp; " Corp","YLD_YTM_BID")</f>
        <v>#NAME?</v>
      </c>
      <c r="G126" s="336" t="e">
        <f ca="1">_xll.BDP(B126 &amp; " Corp","YLD_YTM_ask")</f>
        <v>#NAME?</v>
      </c>
      <c r="H126" s="336" t="e">
        <f ca="1">_xll.BDP(B126 &amp; " Corp","CPN")</f>
        <v>#NAME?</v>
      </c>
      <c r="I126" s="336" t="e">
        <f ca="1">_xll.BDP(B126&amp; " Corp","MATURITY")</f>
        <v>#NAME?</v>
      </c>
      <c r="J126" s="336" t="e">
        <f ca="1">IF(_xll.BDP(B126 &amp; " Corp","RTG_SP")="#N/A N/A","",_xll.BDP(B126 &amp; " Corp","RTG_SP"))&amp;"/"&amp;IF(_xll.BDP(B126 &amp; " Corp","RTG_fitch")="#N/A N/A","",_xll.BDP(B126 &amp; " Corp","RTG_fitch"))&amp;"/"&amp;IF(_xll.BDP(B126 &amp; " Corp","RTG_moody")="#N/A N/A","",_xll.BDP(B126 &amp; " Corp","RTG_moody"))</f>
        <v>#NAME?</v>
      </c>
      <c r="K126" s="336" t="e">
        <f ca="1">_xll.BDP($B126&amp; " Corp","INDUSTRY_SUBGROUP")</f>
        <v>#NAME?</v>
      </c>
      <c r="L126" s="336" t="e">
        <f ca="1">_xll.BDP(B126 &amp; " Corp","CRNCY")</f>
        <v>#NAME?</v>
      </c>
      <c r="M126" s="336" t="e">
        <f ca="1">_xll.BDP(B126 &amp; " Corp","CNTRY_OF_RISK")</f>
        <v>#NAME?</v>
      </c>
      <c r="N126" s="336" t="e">
        <f ca="1">_xll.BDP($B126&amp; " Corp","PAYMENT_RANK")</f>
        <v>#NAME?</v>
      </c>
      <c r="O126" s="336" t="e">
        <f ca="1">_xll.BDP($B126&amp; " Corp","MTY_TYP")</f>
        <v>#NAME?</v>
      </c>
      <c r="P126" s="336" t="e">
        <f ca="1">_xll.BDP($B126&amp; " Corp","RUSSIAN_CB_LOMBARD")</f>
        <v>#NAME?</v>
      </c>
      <c r="Q126" s="338" t="e">
        <f ca="1">_xll.BDP(B124&amp;" Corp", "INTERVAL_PERCENT_CHANGE", "END_DATE_OVERRIDE"," ", "START_DATE_OVERRIDe",R126)</f>
        <v>#NAME?</v>
      </c>
      <c r="R126" s="337">
        <v>20140716</v>
      </c>
      <c r="S126" s="336" t="e">
        <f ca="1">_xll.BDP($B124&amp; " Corp","PX_GROSS_MID")</f>
        <v>#NAME?</v>
      </c>
      <c r="T126" s="335" t="e">
        <f ca="1">_xll.BDP($B124&amp; " Corp","MIN_PIECE")</f>
        <v>#NAME?</v>
      </c>
    </row>
    <row r="127" spans="1:20" ht="15.75" x14ac:dyDescent="0.25">
      <c r="A127" s="339" t="e">
        <f ca="1">_xll.BDP(B127&amp; " Corp","name")</f>
        <v>#NAME?</v>
      </c>
      <c r="B127" s="336" t="s">
        <v>495</v>
      </c>
      <c r="C127" s="336" t="e">
        <f ca="1">_xll.BDP(B127 &amp; " Corp","MTY_YEARS_TDY")</f>
        <v>#NAME?</v>
      </c>
      <c r="D127" s="336" t="e">
        <f ca="1">_xll.BDP(B127 &amp; " Corp","px_last")</f>
        <v>#NAME?</v>
      </c>
      <c r="E127" s="336" t="e">
        <f ca="1">_xll.BDP(B127 &amp; " Corp","px_ask")</f>
        <v>#NAME?</v>
      </c>
      <c r="F127" s="336" t="e">
        <f ca="1">_xll.BDP(B127 &amp; " Corp","YLD_YTM_BID")</f>
        <v>#NAME?</v>
      </c>
      <c r="G127" s="336" t="e">
        <f ca="1">_xll.BDP(B127 &amp; " Corp","YLD_YTM_ask")</f>
        <v>#NAME?</v>
      </c>
      <c r="H127" s="336" t="e">
        <f ca="1">_xll.BDP(B127 &amp; " Corp","CPN")</f>
        <v>#NAME?</v>
      </c>
      <c r="I127" s="336" t="e">
        <f ca="1">_xll.BDP(B127&amp; " Corp","MATURITY")</f>
        <v>#NAME?</v>
      </c>
      <c r="J127" s="336" t="e">
        <f ca="1">IF(_xll.BDP(B127 &amp; " Corp","RTG_SP")="#N/A N/A","",_xll.BDP(B127 &amp; " Corp","RTG_SP"))&amp;"/"&amp;IF(_xll.BDP(B127 &amp; " Corp","RTG_fitch")="#N/A N/A","",_xll.BDP(B127 &amp; " Corp","RTG_fitch"))&amp;"/"&amp;IF(_xll.BDP(B127 &amp; " Corp","RTG_moody")="#N/A N/A","",_xll.BDP(B127 &amp; " Corp","RTG_moody"))</f>
        <v>#NAME?</v>
      </c>
      <c r="K127" s="336" t="e">
        <f ca="1">_xll.BDP($B127&amp; " Corp","INDUSTRY_SUBGROUP")</f>
        <v>#NAME?</v>
      </c>
      <c r="L127" s="336" t="e">
        <f ca="1">_xll.BDP(B127 &amp; " Corp","CRNCY")</f>
        <v>#NAME?</v>
      </c>
      <c r="M127" s="336" t="e">
        <f ca="1">_xll.BDP(B127 &amp; " Corp","CNTRY_OF_RISK")</f>
        <v>#NAME?</v>
      </c>
      <c r="N127" s="336" t="e">
        <f ca="1">_xll.BDP($B127&amp; " Corp","PAYMENT_RANK")</f>
        <v>#NAME?</v>
      </c>
      <c r="O127" s="336" t="e">
        <f ca="1">_xll.BDP($B127&amp; " Corp","MTY_TYP")</f>
        <v>#NAME?</v>
      </c>
      <c r="P127" s="336" t="e">
        <f ca="1">_xll.BDP($B127&amp; " Corp","RUSSIAN_CB_LOMBARD")</f>
        <v>#NAME?</v>
      </c>
      <c r="Q127" s="338" t="e">
        <f ca="1">_xll.BDP(B125&amp;" Corp", "INTERVAL_PERCENT_CHANGE", "END_DATE_OVERRIDE"," ", "START_DATE_OVERRIDe",R127)</f>
        <v>#NAME?</v>
      </c>
      <c r="R127" s="337">
        <v>20140716</v>
      </c>
      <c r="S127" s="336" t="e">
        <f ca="1">_xll.BDP($B125&amp; " Corp","PX_GROSS_MID")</f>
        <v>#NAME?</v>
      </c>
      <c r="T127" s="335" t="e">
        <f ca="1">_xll.BDP($B125&amp; " Corp","MIN_PIECE")</f>
        <v>#NAME?</v>
      </c>
    </row>
    <row r="128" spans="1:20" ht="15.75" x14ac:dyDescent="0.25">
      <c r="A128" s="339" t="e">
        <f ca="1">_xll.BDP(B128&amp; " Corp","name")</f>
        <v>#NAME?</v>
      </c>
      <c r="B128" s="336" t="s">
        <v>493</v>
      </c>
      <c r="C128" s="336" t="e">
        <f ca="1">_xll.BDP(B128 &amp; " Corp","MTY_YEARS_TDY")</f>
        <v>#NAME?</v>
      </c>
      <c r="D128" s="336" t="e">
        <f ca="1">_xll.BDP(B128 &amp; " Corp","px_last")</f>
        <v>#NAME?</v>
      </c>
      <c r="E128" s="336" t="e">
        <f ca="1">_xll.BDP(B128 &amp; " Corp","px_ask")</f>
        <v>#NAME?</v>
      </c>
      <c r="F128" s="336" t="e">
        <f ca="1">_xll.BDP(B128 &amp; " Corp","YLD_YTM_BID")</f>
        <v>#NAME?</v>
      </c>
      <c r="G128" s="336" t="e">
        <f ca="1">_xll.BDP(B128 &amp; " Corp","YLD_YTM_ask")</f>
        <v>#NAME?</v>
      </c>
      <c r="H128" s="336" t="e">
        <f ca="1">_xll.BDP(B128 &amp; " Corp","CPN")</f>
        <v>#NAME?</v>
      </c>
      <c r="I128" s="336" t="e">
        <f ca="1">_xll.BDP(B128&amp; " Corp","MATURITY")</f>
        <v>#NAME?</v>
      </c>
      <c r="J128" s="336" t="e">
        <f ca="1">IF(_xll.BDP(B128 &amp; " Corp","RTG_SP")="#N/A N/A","",_xll.BDP(B128 &amp; " Corp","RTG_SP"))&amp;"/"&amp;IF(_xll.BDP(B128 &amp; " Corp","RTG_fitch")="#N/A N/A","",_xll.BDP(B128 &amp; " Corp","RTG_fitch"))&amp;"/"&amp;IF(_xll.BDP(B128 &amp; " Corp","RTG_moody")="#N/A N/A","",_xll.BDP(B128 &amp; " Corp","RTG_moody"))</f>
        <v>#NAME?</v>
      </c>
      <c r="K128" s="336" t="e">
        <f ca="1">_xll.BDP($B128&amp; " Corp","INDUSTRY_SUBGROUP")</f>
        <v>#NAME?</v>
      </c>
      <c r="L128" s="336" t="e">
        <f ca="1">_xll.BDP(B128 &amp; " Corp","CRNCY")</f>
        <v>#NAME?</v>
      </c>
      <c r="M128" s="336" t="e">
        <f ca="1">_xll.BDP(B128 &amp; " Corp","CNTRY_OF_RISK")</f>
        <v>#NAME?</v>
      </c>
      <c r="N128" s="336" t="e">
        <f ca="1">_xll.BDP($B128&amp; " Corp","PAYMENT_RANK")</f>
        <v>#NAME?</v>
      </c>
      <c r="O128" s="336" t="e">
        <f ca="1">_xll.BDP($B128&amp; " Corp","MTY_TYP")</f>
        <v>#NAME?</v>
      </c>
      <c r="P128" s="336" t="e">
        <f ca="1">_xll.BDP($B128&amp; " Corp","RUSSIAN_CB_LOMBARD")</f>
        <v>#NAME?</v>
      </c>
      <c r="Q128" s="338" t="e">
        <f ca="1">_xll.BDP(B126&amp;" Corp", "INTERVAL_PERCENT_CHANGE", "END_DATE_OVERRIDE"," ", "START_DATE_OVERRIDe",R128)</f>
        <v>#NAME?</v>
      </c>
      <c r="R128" s="337">
        <v>20140716</v>
      </c>
      <c r="S128" s="336" t="e">
        <f ca="1">_xll.BDP($B126&amp; " Corp","PX_GROSS_MID")</f>
        <v>#NAME?</v>
      </c>
      <c r="T128" s="335" t="e">
        <f ca="1">_xll.BDP($B126&amp; " Corp","MIN_PIECE")</f>
        <v>#NAME?</v>
      </c>
    </row>
    <row r="129" spans="1:20" ht="15.75" x14ac:dyDescent="0.25">
      <c r="A129" s="339" t="e">
        <f ca="1">_xll.BDP(B129&amp; " Corp","name")</f>
        <v>#NAME?</v>
      </c>
      <c r="B129" s="336" t="s">
        <v>491</v>
      </c>
      <c r="C129" s="336" t="e">
        <f ca="1">_xll.BDP(B129 &amp; " Corp","MTY_YEARS_TDY")</f>
        <v>#NAME?</v>
      </c>
      <c r="D129" s="336" t="e">
        <f ca="1">_xll.BDP(B129 &amp; " Corp","px_last")</f>
        <v>#NAME?</v>
      </c>
      <c r="E129" s="336" t="e">
        <f ca="1">_xll.BDP(B129 &amp; " Corp","px_ask")</f>
        <v>#NAME?</v>
      </c>
      <c r="F129" s="336" t="e">
        <f ca="1">_xll.BDP(B129 &amp; " Corp","YLD_YTM_BID")</f>
        <v>#NAME?</v>
      </c>
      <c r="G129" s="336" t="e">
        <f ca="1">_xll.BDP(B129 &amp; " Corp","YLD_YTM_ask")</f>
        <v>#NAME?</v>
      </c>
      <c r="H129" s="336" t="e">
        <f ca="1">_xll.BDP(B129 &amp; " Corp","CPN")</f>
        <v>#NAME?</v>
      </c>
      <c r="I129" s="336" t="e">
        <f ca="1">_xll.BDP(B129&amp; " Corp","MATURITY")</f>
        <v>#NAME?</v>
      </c>
      <c r="J129" s="336" t="e">
        <f ca="1">IF(_xll.BDP(B129 &amp; " Corp","RTG_SP")="#N/A N/A","",_xll.BDP(B129 &amp; " Corp","RTG_SP"))&amp;"/"&amp;IF(_xll.BDP(B129 &amp; " Corp","RTG_fitch")="#N/A N/A","",_xll.BDP(B129 &amp; " Corp","RTG_fitch"))&amp;"/"&amp;IF(_xll.BDP(B129 &amp; " Corp","RTG_moody")="#N/A N/A","",_xll.BDP(B129 &amp; " Corp","RTG_moody"))</f>
        <v>#NAME?</v>
      </c>
      <c r="K129" s="336" t="e">
        <f ca="1">_xll.BDP($B129&amp; " Corp","INDUSTRY_SUBGROUP")</f>
        <v>#NAME?</v>
      </c>
      <c r="L129" s="336" t="e">
        <f ca="1">_xll.BDP(B129 &amp; " Corp","CRNCY")</f>
        <v>#NAME?</v>
      </c>
      <c r="M129" s="336" t="e">
        <f ca="1">_xll.BDP(B129 &amp; " Corp","CNTRY_OF_RISK")</f>
        <v>#NAME?</v>
      </c>
      <c r="N129" s="336" t="e">
        <f ca="1">_xll.BDP($B129&amp; " Corp","PAYMENT_RANK")</f>
        <v>#NAME?</v>
      </c>
      <c r="O129" s="336" t="e">
        <f ca="1">_xll.BDP($B129&amp; " Corp","MTY_TYP")</f>
        <v>#NAME?</v>
      </c>
      <c r="P129" s="336" t="e">
        <f ca="1">_xll.BDP($B129&amp; " Corp","RUSSIAN_CB_LOMBARD")</f>
        <v>#NAME?</v>
      </c>
      <c r="Q129" s="338" t="e">
        <f ca="1">_xll.BDP(B127&amp;" Corp", "INTERVAL_PERCENT_CHANGE", "END_DATE_OVERRIDE"," ", "START_DATE_OVERRIDe",R129)</f>
        <v>#NAME?</v>
      </c>
      <c r="R129" s="337">
        <v>20140716</v>
      </c>
      <c r="S129" s="336" t="e">
        <f ca="1">_xll.BDP($B127&amp; " Corp","PX_GROSS_MID")</f>
        <v>#NAME?</v>
      </c>
      <c r="T129" s="335" t="e">
        <f ca="1">_xll.BDP($B127&amp; " Corp","MIN_PIECE")</f>
        <v>#NAME?</v>
      </c>
    </row>
    <row r="130" spans="1:20" ht="15.75" x14ac:dyDescent="0.25">
      <c r="A130" s="336" t="e">
        <f ca="1">_xll.BDP(B130&amp; " Corp","name")</f>
        <v>#NAME?</v>
      </c>
      <c r="B130" s="336" t="s">
        <v>490</v>
      </c>
      <c r="C130" s="336" t="e">
        <f ca="1">_xll.BDP(B130 &amp; " Corp","MTY_YEARS_TDY")</f>
        <v>#NAME?</v>
      </c>
      <c r="D130" s="336" t="e">
        <f ca="1">_xll.BDP(B130 &amp; " Corp","px_last")</f>
        <v>#NAME?</v>
      </c>
      <c r="E130" s="336" t="e">
        <f ca="1">_xll.BDP(B130 &amp; " Corp","px_ask")</f>
        <v>#NAME?</v>
      </c>
      <c r="F130" s="336" t="e">
        <f ca="1">_xll.BDP(B130 &amp; " Corp","YLD_YTM_BID")</f>
        <v>#NAME?</v>
      </c>
      <c r="G130" s="336" t="e">
        <f ca="1">_xll.BDP(B130 &amp; " Corp","YLD_YTM_ask")</f>
        <v>#NAME?</v>
      </c>
      <c r="H130" s="336" t="e">
        <f ca="1">_xll.BDP(B130 &amp; " Corp","CPN")</f>
        <v>#NAME?</v>
      </c>
      <c r="I130" s="336" t="e">
        <f ca="1">_xll.BDP(B130&amp; " Corp","MATURITY")</f>
        <v>#NAME?</v>
      </c>
      <c r="J130" s="336" t="e">
        <f ca="1">IF(_xll.BDP(B130 &amp; " Corp","RTG_SP")="#N/A N/A","",_xll.BDP(B130 &amp; " Corp","RTG_SP"))&amp;"/"&amp;IF(_xll.BDP(B130 &amp; " Corp","RTG_fitch")="#N/A N/A","",_xll.BDP(B130 &amp; " Corp","RTG_fitch"))&amp;"/"&amp;IF(_xll.BDP(B130 &amp; " Corp","RTG_moody")="#N/A N/A","",_xll.BDP(B130 &amp; " Corp","RTG_moody"))</f>
        <v>#NAME?</v>
      </c>
      <c r="K130" s="336" t="e">
        <f ca="1">_xll.BDP($B130&amp; " Corp","INDUSTRY_SUBGROUP")</f>
        <v>#NAME?</v>
      </c>
      <c r="L130" s="336" t="e">
        <f ca="1">_xll.BDP(B130 &amp; " Corp","CRNCY")</f>
        <v>#NAME?</v>
      </c>
      <c r="M130" s="336" t="e">
        <f ca="1">_xll.BDP(B130 &amp; " Corp","CNTRY_OF_RISK")</f>
        <v>#NAME?</v>
      </c>
      <c r="N130" s="336" t="e">
        <f ca="1">_xll.BDP($B130&amp; " Corp","PAYMENT_RANK")</f>
        <v>#NAME?</v>
      </c>
      <c r="O130" s="336" t="e">
        <f ca="1">_xll.BDP($B130&amp; " Corp","MTY_TYP")</f>
        <v>#NAME?</v>
      </c>
      <c r="P130" s="336" t="e">
        <f ca="1">_xll.BDP($B130&amp; " Corp","RUSSIAN_CB_LOMBARD")</f>
        <v>#NAME?</v>
      </c>
      <c r="Q130" s="338" t="e">
        <f ca="1">_xll.BDP(B128&amp;" Corp", "INTERVAL_PERCENT_CHANGE", "END_DATE_OVERRIDE"," ", "START_DATE_OVERRIDe",R130)</f>
        <v>#NAME?</v>
      </c>
      <c r="R130" s="337">
        <v>20140716</v>
      </c>
      <c r="S130" s="336" t="e">
        <f ca="1">_xll.BDP($B128&amp; " Corp","PX_GROSS_MID")</f>
        <v>#NAME?</v>
      </c>
      <c r="T130" s="335" t="e">
        <f ca="1">_xll.BDP($B128&amp; " Corp","MIN_PIECE")</f>
        <v>#NAME?</v>
      </c>
    </row>
    <row r="131" spans="1:20" ht="15.75" x14ac:dyDescent="0.25">
      <c r="A131" s="339" t="e">
        <f ca="1">_xll.BDP(B131&amp; " Corp","name")</f>
        <v>#NAME?</v>
      </c>
      <c r="B131" s="336" t="s">
        <v>492</v>
      </c>
      <c r="C131" s="336" t="e">
        <f ca="1">_xll.BDP(B131 &amp; " Corp","MTY_YEARS_TDY")</f>
        <v>#NAME?</v>
      </c>
      <c r="D131" s="336" t="e">
        <f ca="1">_xll.BDP(B131 &amp; " Corp","px_last")</f>
        <v>#NAME?</v>
      </c>
      <c r="E131" s="336" t="e">
        <f ca="1">_xll.BDP(B131 &amp; " Corp","px_ask")</f>
        <v>#NAME?</v>
      </c>
      <c r="F131" s="336" t="e">
        <f ca="1">_xll.BDP(B131 &amp; " Corp","YLD_YTM_BID")</f>
        <v>#NAME?</v>
      </c>
      <c r="G131" s="336" t="e">
        <f ca="1">_xll.BDP(B131 &amp; " Corp","YLD_YTM_ask")</f>
        <v>#NAME?</v>
      </c>
      <c r="H131" s="336" t="e">
        <f ca="1">_xll.BDP(B131 &amp; " Corp","CPN")</f>
        <v>#NAME?</v>
      </c>
      <c r="I131" s="336" t="e">
        <f ca="1">_xll.BDP(B131&amp; " Corp","MATURITY")</f>
        <v>#NAME?</v>
      </c>
      <c r="J131" s="336" t="e">
        <f ca="1">IF(_xll.BDP(B131 &amp; " Corp","RTG_SP")="#N/A N/A","",_xll.BDP(B131 &amp; " Corp","RTG_SP"))&amp;"/"&amp;IF(_xll.BDP(B131 &amp; " Corp","RTG_fitch")="#N/A N/A","",_xll.BDP(B131 &amp; " Corp","RTG_fitch"))&amp;"/"&amp;IF(_xll.BDP(B131 &amp; " Corp","RTG_moody")="#N/A N/A","",_xll.BDP(B131 &amp; " Corp","RTG_moody"))</f>
        <v>#NAME?</v>
      </c>
      <c r="K131" s="336" t="e">
        <f ca="1">_xll.BDP($B131&amp; " Corp","INDUSTRY_SUBGROUP")</f>
        <v>#NAME?</v>
      </c>
      <c r="L131" s="336" t="e">
        <f ca="1">_xll.BDP(B131 &amp; " Corp","CRNCY")</f>
        <v>#NAME?</v>
      </c>
      <c r="M131" s="336" t="e">
        <f ca="1">_xll.BDP(B131 &amp; " Corp","CNTRY_OF_RISK")</f>
        <v>#NAME?</v>
      </c>
      <c r="N131" s="336" t="e">
        <f ca="1">_xll.BDP($B131&amp; " Corp","PAYMENT_RANK")</f>
        <v>#NAME?</v>
      </c>
      <c r="O131" s="336" t="e">
        <f ca="1">_xll.BDP($B131&amp; " Corp","MTY_TYP")</f>
        <v>#NAME?</v>
      </c>
      <c r="P131" s="336" t="e">
        <f ca="1">_xll.BDP($B131&amp; " Corp","RUSSIAN_CB_LOMBARD")</f>
        <v>#NAME?</v>
      </c>
      <c r="Q131" s="338" t="e">
        <f ca="1">_xll.BDP(B129&amp;" Corp", "INTERVAL_PERCENT_CHANGE", "END_DATE_OVERRIDE"," ", "START_DATE_OVERRIDe",R131)</f>
        <v>#NAME?</v>
      </c>
      <c r="R131" s="337">
        <v>20140716</v>
      </c>
      <c r="S131" s="336" t="e">
        <f ca="1">_xll.BDP($B129&amp; " Corp","PX_GROSS_MID")</f>
        <v>#NAME?</v>
      </c>
      <c r="T131" s="335" t="e">
        <f ca="1">_xll.BDP($B129&amp; " Corp","MIN_PIECE")</f>
        <v>#NAME?</v>
      </c>
    </row>
    <row r="132" spans="1:20" ht="15.75" x14ac:dyDescent="0.25">
      <c r="A132" s="339" t="e">
        <f ca="1">_xll.BDP(B132&amp; " Corp","name")</f>
        <v>#NAME?</v>
      </c>
      <c r="B132" s="339" t="s">
        <v>494</v>
      </c>
      <c r="C132" s="336" t="e">
        <f ca="1">_xll.BDP(B132 &amp; " Corp","MTY_YEARS_TDY")</f>
        <v>#NAME?</v>
      </c>
      <c r="D132" s="339" t="e">
        <f ca="1">_xll.BDP(B132 &amp; " Corp","px_last")</f>
        <v>#NAME?</v>
      </c>
      <c r="E132" s="336" t="e">
        <f ca="1">_xll.BDP(B132 &amp; " Corp","px_ask")</f>
        <v>#NAME?</v>
      </c>
      <c r="F132" s="336" t="e">
        <f ca="1">_xll.BDP(B132 &amp; " Corp","YLD_YTM_BID")</f>
        <v>#NAME?</v>
      </c>
      <c r="G132" s="336" t="e">
        <f ca="1">_xll.BDP(B132 &amp; " Corp","YLD_YTM_ask")</f>
        <v>#NAME?</v>
      </c>
      <c r="H132" s="339" t="e">
        <f ca="1">_xll.BDP(B132 &amp; " Corp","CPN")</f>
        <v>#NAME?</v>
      </c>
      <c r="I132" s="339" t="e">
        <f ca="1">_xll.BDP(B132&amp; " Corp","MATURITY")</f>
        <v>#NAME?</v>
      </c>
      <c r="J132" s="339" t="e">
        <f ca="1">IF(_xll.BDP(B132 &amp; " Corp","RTG_SP")="#N/A N/A","",_xll.BDP(B132 &amp; " Corp","RTG_SP"))&amp;"/"&amp;IF(_xll.BDP(B132 &amp; " Corp","RTG_fitch")="#N/A N/A","",_xll.BDP(B132 &amp; " Corp","RTG_fitch"))&amp;"/"&amp;IF(_xll.BDP(B132 &amp; " Corp","RTG_moody")="#N/A N/A","",_xll.BDP(B132 &amp; " Corp","RTG_moody"))</f>
        <v>#NAME?</v>
      </c>
      <c r="K132" s="339" t="e">
        <f ca="1">_xll.BDP($B132&amp; " Corp","INDUSTRY_SUBGROUP")</f>
        <v>#NAME?</v>
      </c>
      <c r="L132" s="339" t="e">
        <f ca="1">_xll.BDP(B132 &amp; " Corp","CRNCY")</f>
        <v>#NAME?</v>
      </c>
      <c r="M132" s="339" t="e">
        <f ca="1">_xll.BDP(B132 &amp; " Corp","CNTRY_OF_RISK")</f>
        <v>#NAME?</v>
      </c>
      <c r="N132" s="339" t="e">
        <f ca="1">_xll.BDP($B132&amp; " Corp","PAYMENT_RANK")</f>
        <v>#NAME?</v>
      </c>
      <c r="O132" s="339" t="e">
        <f ca="1">_xll.BDP($B132&amp; " Corp","MTY_TYP")</f>
        <v>#NAME?</v>
      </c>
      <c r="P132" s="336" t="e">
        <f ca="1">_xll.BDP($B132&amp; " Corp","RUSSIAN_CB_LOMBARD")</f>
        <v>#NAME?</v>
      </c>
      <c r="Q132" s="338" t="e">
        <f ca="1">_xll.BDP(B130&amp;" Corp", "INTERVAL_PERCENT_CHANGE", "END_DATE_OVERRIDE"," ", "START_DATE_OVERRIDe",R132)</f>
        <v>#NAME?</v>
      </c>
      <c r="R132" s="337">
        <v>20140716</v>
      </c>
      <c r="S132" s="336" t="e">
        <f ca="1">_xll.BDP($B130&amp; " Corp","PX_GROSS_MID")</f>
        <v>#NAME?</v>
      </c>
      <c r="T132" s="335" t="e">
        <f ca="1">_xll.BDP($B130&amp; " Corp","MIN_PIECE")</f>
        <v>#NAME?</v>
      </c>
    </row>
    <row r="133" spans="1:20" ht="15.75" x14ac:dyDescent="0.25">
      <c r="A133" s="336" t="e">
        <f ca="1">_xll.BDP(B133&amp; " Corp","name")</f>
        <v>#NAME?</v>
      </c>
      <c r="B133" s="336" t="s">
        <v>489</v>
      </c>
      <c r="C133" s="336" t="e">
        <f ca="1">_xll.BDP(B133 &amp; " Corp","MTY_YEARS_TDY")</f>
        <v>#NAME?</v>
      </c>
      <c r="D133" s="336" t="e">
        <f ca="1">_xll.BDP(B133 &amp; " Corp","px_last")</f>
        <v>#NAME?</v>
      </c>
      <c r="E133" s="336" t="e">
        <f ca="1">_xll.BDP(B133 &amp; " Corp","px_ask")</f>
        <v>#NAME?</v>
      </c>
      <c r="F133" s="336" t="e">
        <f ca="1">_xll.BDP(B133 &amp; " Corp","YLD_YTM_BID")</f>
        <v>#NAME?</v>
      </c>
      <c r="G133" s="336" t="e">
        <f ca="1">_xll.BDP(B133 &amp; " Corp","YLD_YTM_ask")</f>
        <v>#NAME?</v>
      </c>
      <c r="H133" s="336" t="e">
        <f ca="1">_xll.BDP(B133 &amp; " Corp","CPN")</f>
        <v>#NAME?</v>
      </c>
      <c r="I133" s="336" t="e">
        <f ca="1">_xll.BDP(B133&amp; " Corp","MATURITY")</f>
        <v>#NAME?</v>
      </c>
      <c r="J133" s="336" t="e">
        <f ca="1">IF(_xll.BDP(B133 &amp; " Corp","RTG_SP")="#N/A N/A","",_xll.BDP(B133 &amp; " Corp","RTG_SP"))&amp;"/"&amp;IF(_xll.BDP(B133 &amp; " Corp","RTG_fitch")="#N/A N/A","",_xll.BDP(B133 &amp; " Corp","RTG_fitch"))&amp;"/"&amp;IF(_xll.BDP(B133 &amp; " Corp","RTG_moody")="#N/A N/A","",_xll.BDP(B133 &amp; " Corp","RTG_moody"))</f>
        <v>#NAME?</v>
      </c>
      <c r="K133" s="336" t="e">
        <f ca="1">_xll.BDP($B133&amp; " Corp","INDUSTRY_SUBGROUP")</f>
        <v>#NAME?</v>
      </c>
      <c r="L133" s="336" t="e">
        <f ca="1">_xll.BDP(B133 &amp; " Corp","CRNCY")</f>
        <v>#NAME?</v>
      </c>
      <c r="M133" s="336" t="e">
        <f ca="1">_xll.BDP(B133 &amp; " Corp","CNTRY_OF_RISK")</f>
        <v>#NAME?</v>
      </c>
      <c r="N133" s="336" t="e">
        <f ca="1">_xll.BDP($B133&amp; " Corp","PAYMENT_RANK")</f>
        <v>#NAME?</v>
      </c>
      <c r="O133" s="336" t="e">
        <f ca="1">_xll.BDP($B133&amp; " Corp","MTY_TYP")</f>
        <v>#NAME?</v>
      </c>
      <c r="P133" s="336" t="e">
        <f ca="1">_xll.BDP($B133&amp; " Corp","RUSSIAN_CB_LOMBARD")</f>
        <v>#NAME?</v>
      </c>
      <c r="Q133" s="338" t="e">
        <f ca="1">_xll.BDP(B131&amp;" Corp", "INTERVAL_PERCENT_CHANGE", "END_DATE_OVERRIDE"," ", "START_DATE_OVERRIDe",R133)</f>
        <v>#NAME?</v>
      </c>
      <c r="R133" s="337">
        <v>20140716</v>
      </c>
      <c r="S133" s="336" t="e">
        <f ca="1">_xll.BDP($B131&amp; " Corp","PX_GROSS_MID")</f>
        <v>#NAME?</v>
      </c>
      <c r="T133" s="335" t="e">
        <f ca="1">_xll.BDP($B131&amp; " Corp","MIN_PIECE")</f>
        <v>#NAME?</v>
      </c>
    </row>
    <row r="134" spans="1:20" ht="15.75" x14ac:dyDescent="0.25">
      <c r="A134" s="336" t="e">
        <f ca="1">_xll.BDP(B134&amp; " Corp","name")</f>
        <v>#NAME?</v>
      </c>
      <c r="B134" s="336" t="s">
        <v>488</v>
      </c>
      <c r="C134" s="336" t="e">
        <f ca="1">_xll.BDP(B134 &amp; " Corp","MTY_YEARS_TDY")</f>
        <v>#NAME?</v>
      </c>
      <c r="D134" s="336" t="e">
        <f ca="1">_xll.BDP(B134 &amp; " Corp","px_last")</f>
        <v>#NAME?</v>
      </c>
      <c r="E134" s="336" t="e">
        <f ca="1">_xll.BDP(B134 &amp; " Corp","px_ask")</f>
        <v>#NAME?</v>
      </c>
      <c r="F134" s="336" t="e">
        <f ca="1">_xll.BDP(B134 &amp; " Corp","YLD_YTM_BID")</f>
        <v>#NAME?</v>
      </c>
      <c r="G134" s="336" t="e">
        <f ca="1">_xll.BDP(B134 &amp; " Corp","YLD_YTM_ask")</f>
        <v>#NAME?</v>
      </c>
      <c r="H134" s="336" t="e">
        <f ca="1">_xll.BDP(B134 &amp; " Corp","CPN")</f>
        <v>#NAME?</v>
      </c>
      <c r="I134" s="336" t="e">
        <f ca="1">_xll.BDP(B134&amp; " Corp","MATURITY")</f>
        <v>#NAME?</v>
      </c>
      <c r="J134" s="336" t="e">
        <f ca="1">IF(_xll.BDP(B134 &amp; " Corp","RTG_SP")="#N/A N/A","",_xll.BDP(B134 &amp; " Corp","RTG_SP"))&amp;"/"&amp;IF(_xll.BDP(B134 &amp; " Corp","RTG_fitch")="#N/A N/A","",_xll.BDP(B134 &amp; " Corp","RTG_fitch"))&amp;"/"&amp;IF(_xll.BDP(B134 &amp; " Corp","RTG_moody")="#N/A N/A","",_xll.BDP(B134 &amp; " Corp","RTG_moody"))</f>
        <v>#NAME?</v>
      </c>
      <c r="K134" s="336" t="e">
        <f ca="1">_xll.BDP($B134&amp; " Corp","INDUSTRY_SUBGROUP")</f>
        <v>#NAME?</v>
      </c>
      <c r="L134" s="336" t="e">
        <f ca="1">_xll.BDP(B134 &amp; " Corp","CRNCY")</f>
        <v>#NAME?</v>
      </c>
      <c r="M134" s="336" t="e">
        <f ca="1">_xll.BDP(B134 &amp; " Corp","CNTRY_OF_RISK")</f>
        <v>#NAME?</v>
      </c>
      <c r="N134" s="336" t="e">
        <f ca="1">_xll.BDP($B134&amp; " Corp","PAYMENT_RANK")</f>
        <v>#NAME?</v>
      </c>
      <c r="O134" s="336" t="e">
        <f ca="1">_xll.BDP($B134&amp; " Corp","MTY_TYP")</f>
        <v>#NAME?</v>
      </c>
      <c r="P134" s="336" t="e">
        <f ca="1">_xll.BDP($B134&amp; " Corp","RUSSIAN_CB_LOMBARD")</f>
        <v>#NAME?</v>
      </c>
      <c r="Q134" s="338" t="e">
        <f ca="1">_xll.BDP(B132&amp;" Corp", "INTERVAL_PERCENT_CHANGE", "END_DATE_OVERRIDE"," ", "START_DATE_OVERRIDe",R134)</f>
        <v>#NAME?</v>
      </c>
      <c r="R134" s="337">
        <v>20140716</v>
      </c>
      <c r="S134" s="336" t="e">
        <f ca="1">_xll.BDP($B132&amp; " Corp","PX_GROSS_MID")</f>
        <v>#NAME?</v>
      </c>
      <c r="T134" s="335" t="e">
        <f ca="1">_xll.BDP($B132&amp; " Corp","MIN_PIECE")</f>
        <v>#NAME?</v>
      </c>
    </row>
    <row r="135" spans="1:20" ht="15.75" x14ac:dyDescent="0.25">
      <c r="A135" s="339" t="e">
        <f ca="1">_xll.BDP(B135&amp; " Corp","name")</f>
        <v>#NAME?</v>
      </c>
      <c r="B135" s="339" t="s">
        <v>487</v>
      </c>
      <c r="C135" s="336" t="e">
        <f ca="1">_xll.BDP(B135 &amp; " Corp","MTY_YEARS_TDY")</f>
        <v>#NAME?</v>
      </c>
      <c r="D135" s="336" t="e">
        <f ca="1">_xll.BDP(B135 &amp; " Corp","px_last")</f>
        <v>#NAME?</v>
      </c>
      <c r="E135" s="336" t="e">
        <f ca="1">_xll.BDP(B135 &amp; " Corp","px_ask")</f>
        <v>#NAME?</v>
      </c>
      <c r="F135" s="336" t="e">
        <f ca="1">_xll.BDP(B135 &amp; " Corp","YLD_YTM_BID")</f>
        <v>#NAME?</v>
      </c>
      <c r="G135" s="336" t="e">
        <f ca="1">_xll.BDP(B135 &amp; " Corp","YLD_YTM_ask")</f>
        <v>#NAME?</v>
      </c>
      <c r="H135" s="336" t="e">
        <f ca="1">_xll.BDP(B135 &amp; " Corp","CPN")</f>
        <v>#NAME?</v>
      </c>
      <c r="I135" s="336" t="e">
        <f ca="1">_xll.BDP(B135&amp; " Corp","MATURITY")</f>
        <v>#NAME?</v>
      </c>
      <c r="J135" s="336" t="e">
        <f ca="1">IF(_xll.BDP(B135 &amp; " Corp","RTG_SP")="#N/A N/A","",_xll.BDP(B135 &amp; " Corp","RTG_SP"))&amp;"/"&amp;IF(_xll.BDP(B135 &amp; " Corp","RTG_fitch")="#N/A N/A","",_xll.BDP(B135 &amp; " Corp","RTG_fitch"))&amp;"/"&amp;IF(_xll.BDP(B135 &amp; " Corp","RTG_moody")="#N/A N/A","",_xll.BDP(B135 &amp; " Corp","RTG_moody"))</f>
        <v>#NAME?</v>
      </c>
      <c r="K135" s="336" t="e">
        <f ca="1">_xll.BDP($B135&amp; " Corp","INDUSTRY_SUBGROUP")</f>
        <v>#NAME?</v>
      </c>
      <c r="L135" s="336" t="e">
        <f ca="1">_xll.BDP(B135 &amp; " Corp","CRNCY")</f>
        <v>#NAME?</v>
      </c>
      <c r="M135" s="336" t="e">
        <f ca="1">_xll.BDP(B135 &amp; " Corp","CNTRY_OF_RISK")</f>
        <v>#NAME?</v>
      </c>
      <c r="N135" s="336" t="e">
        <f ca="1">_xll.BDP($B135&amp; " Corp","PAYMENT_RANK")</f>
        <v>#NAME?</v>
      </c>
      <c r="O135" s="336" t="e">
        <f ca="1">_xll.BDP($B135&amp; " Corp","MTY_TYP")</f>
        <v>#NAME?</v>
      </c>
      <c r="P135" s="336" t="e">
        <f ca="1">_xll.BDP($B135&amp; " Corp","RUSSIAN_CB_LOMBARD")</f>
        <v>#NAME?</v>
      </c>
      <c r="Q135" s="338" t="e">
        <f ca="1">_xll.BDP(B133&amp;" Corp", "INTERVAL_PERCENT_CHANGE", "END_DATE_OVERRIDE"," ", "START_DATE_OVERRIDe",R135)</f>
        <v>#NAME?</v>
      </c>
      <c r="R135" s="337">
        <v>20140716</v>
      </c>
      <c r="S135" s="336" t="e">
        <f ca="1">_xll.BDP($B133&amp; " Corp","PX_GROSS_MID")</f>
        <v>#NAME?</v>
      </c>
      <c r="T135" s="335" t="e">
        <f ca="1">_xll.BDP($B133&amp; " Corp","MIN_PIECE")</f>
        <v>#NAME?</v>
      </c>
    </row>
    <row r="136" spans="1:20" ht="15.75" x14ac:dyDescent="0.25">
      <c r="A136" s="336" t="e">
        <f ca="1">_xll.BDP(B136&amp; " Corp","name")</f>
        <v>#NAME?</v>
      </c>
      <c r="B136" s="336" t="s">
        <v>483</v>
      </c>
      <c r="C136" s="336" t="e">
        <f ca="1">_xll.BDP(B136 &amp; " Corp","MTY_YEARS_TDY")</f>
        <v>#NAME?</v>
      </c>
      <c r="D136" s="336" t="e">
        <f ca="1">_xll.BDP(B136 &amp; " Corp","px_last")</f>
        <v>#NAME?</v>
      </c>
      <c r="E136" s="336" t="e">
        <f ca="1">_xll.BDP(B136 &amp; " Corp","px_ask")</f>
        <v>#NAME?</v>
      </c>
      <c r="F136" s="336" t="e">
        <f ca="1">_xll.BDP(B136 &amp; " Corp","YLD_YTM_BID")</f>
        <v>#NAME?</v>
      </c>
      <c r="G136" s="336" t="e">
        <f ca="1">_xll.BDP(B136 &amp; " Corp","YLD_YTM_ask")</f>
        <v>#NAME?</v>
      </c>
      <c r="H136" s="336" t="e">
        <f ca="1">_xll.BDP(B136 &amp; " Corp","CPN")</f>
        <v>#NAME?</v>
      </c>
      <c r="I136" s="336" t="e">
        <f ca="1">_xll.BDP(B136&amp; " Corp","MATURITY")</f>
        <v>#NAME?</v>
      </c>
      <c r="J136" s="336" t="e">
        <f ca="1">IF(_xll.BDP(B136 &amp; " Corp","RTG_SP")="#N/A N/A","",_xll.BDP(B136 &amp; " Corp","RTG_SP"))&amp;"/"&amp;IF(_xll.BDP(B136 &amp; " Corp","RTG_fitch")="#N/A N/A","",_xll.BDP(B136 &amp; " Corp","RTG_fitch"))&amp;"/"&amp;IF(_xll.BDP(B136 &amp; " Corp","RTG_moody")="#N/A N/A","",_xll.BDP(B136 &amp; " Corp","RTG_moody"))</f>
        <v>#NAME?</v>
      </c>
      <c r="K136" s="336" t="e">
        <f ca="1">_xll.BDP($B136&amp; " Corp","INDUSTRY_SUBGROUP")</f>
        <v>#NAME?</v>
      </c>
      <c r="L136" s="336" t="e">
        <f ca="1">_xll.BDP(B136 &amp; " Corp","CRNCY")</f>
        <v>#NAME?</v>
      </c>
      <c r="M136" s="336" t="e">
        <f ca="1">_xll.BDP(B136 &amp; " Corp","CNTRY_OF_RISK")</f>
        <v>#NAME?</v>
      </c>
      <c r="N136" s="336" t="e">
        <f ca="1">_xll.BDP($B136&amp; " Corp","PAYMENT_RANK")</f>
        <v>#NAME?</v>
      </c>
      <c r="O136" s="336" t="e">
        <f ca="1">_xll.BDP($B136&amp; " Corp","MTY_TYP")</f>
        <v>#NAME?</v>
      </c>
      <c r="P136" s="336" t="e">
        <f ca="1">_xll.BDP($B136&amp; " Corp","RUSSIAN_CB_LOMBARD")</f>
        <v>#NAME?</v>
      </c>
      <c r="Q136" s="338" t="e">
        <f ca="1">_xll.BDP(B134&amp;" Corp", "INTERVAL_PERCENT_CHANGE", "END_DATE_OVERRIDE"," ", "START_DATE_OVERRIDe",R136)</f>
        <v>#NAME?</v>
      </c>
      <c r="R136" s="337">
        <v>20140716</v>
      </c>
      <c r="S136" s="336" t="e">
        <f ca="1">_xll.BDP($B134&amp; " Corp","PX_GROSS_MID")</f>
        <v>#NAME?</v>
      </c>
      <c r="T136" s="335" t="e">
        <f ca="1">_xll.BDP($B134&amp; " Corp","MIN_PIECE")</f>
        <v>#NAME?</v>
      </c>
    </row>
    <row r="137" spans="1:20" ht="15.75" x14ac:dyDescent="0.25">
      <c r="A137" s="336" t="e">
        <f ca="1">_xll.BDP(B137&amp; " Corp","name")</f>
        <v>#NAME?</v>
      </c>
      <c r="B137" s="336" t="s">
        <v>481</v>
      </c>
      <c r="C137" s="336" t="e">
        <f ca="1">_xll.BDP(B137 &amp; " Corp","MTY_YEARS_TDY")</f>
        <v>#NAME?</v>
      </c>
      <c r="D137" s="336" t="e">
        <f ca="1">_xll.BDP(B137 &amp; " Corp","px_last")</f>
        <v>#NAME?</v>
      </c>
      <c r="E137" s="336" t="e">
        <f ca="1">_xll.BDP(B137 &amp; " Corp","px_ask")</f>
        <v>#NAME?</v>
      </c>
      <c r="F137" s="336" t="e">
        <f ca="1">_xll.BDP(B137 &amp; " Corp","YLD_YTM_BID")</f>
        <v>#NAME?</v>
      </c>
      <c r="G137" s="336" t="e">
        <f ca="1">_xll.BDP(B137 &amp; " Corp","YLD_YTM_ask")</f>
        <v>#NAME?</v>
      </c>
      <c r="H137" s="336" t="e">
        <f ca="1">_xll.BDP(B137 &amp; " Corp","CPN")</f>
        <v>#NAME?</v>
      </c>
      <c r="I137" s="336" t="e">
        <f ca="1">_xll.BDP(B137&amp; " Corp","MATURITY")</f>
        <v>#NAME?</v>
      </c>
      <c r="J137" s="336" t="e">
        <f ca="1">IF(_xll.BDP(B137 &amp; " Corp","RTG_SP")="#N/A N/A","",_xll.BDP(B137 &amp; " Corp","RTG_SP"))&amp;"/"&amp;IF(_xll.BDP(B137 &amp; " Corp","RTG_fitch")="#N/A N/A","",_xll.BDP(B137 &amp; " Corp","RTG_fitch"))&amp;"/"&amp;IF(_xll.BDP(B137 &amp; " Corp","RTG_moody")="#N/A N/A","",_xll.BDP(B137 &amp; " Corp","RTG_moody"))</f>
        <v>#NAME?</v>
      </c>
      <c r="K137" s="336" t="e">
        <f ca="1">_xll.BDP($B137&amp; " Corp","INDUSTRY_SUBGROUP")</f>
        <v>#NAME?</v>
      </c>
      <c r="L137" s="336" t="e">
        <f ca="1">_xll.BDP(B137 &amp; " Corp","CRNCY")</f>
        <v>#NAME?</v>
      </c>
      <c r="M137" s="336" t="e">
        <f ca="1">_xll.BDP(B137 &amp; " Corp","CNTRY_OF_RISK")</f>
        <v>#NAME?</v>
      </c>
      <c r="N137" s="336" t="e">
        <f ca="1">_xll.BDP($B137&amp; " Corp","PAYMENT_RANK")</f>
        <v>#NAME?</v>
      </c>
      <c r="O137" s="336" t="e">
        <f ca="1">_xll.BDP($B137&amp; " Corp","MTY_TYP")</f>
        <v>#NAME?</v>
      </c>
      <c r="P137" s="336" t="e">
        <f ca="1">_xll.BDP($B137&amp; " Corp","RUSSIAN_CB_LOMBARD")</f>
        <v>#NAME?</v>
      </c>
      <c r="Q137" s="338" t="e">
        <f ca="1">_xll.BDP(B135&amp;" Corp", "INTERVAL_PERCENT_CHANGE", "END_DATE_OVERRIDE"," ", "START_DATE_OVERRIDe",R137)</f>
        <v>#NAME?</v>
      </c>
      <c r="R137" s="337">
        <v>20140716</v>
      </c>
      <c r="S137" s="336" t="e">
        <f ca="1">_xll.BDP($B135&amp; " Corp","PX_GROSS_MID")</f>
        <v>#NAME?</v>
      </c>
      <c r="T137" s="335" t="e">
        <f ca="1">_xll.BDP($B135&amp; " Corp","MIN_PIECE")</f>
        <v>#NAME?</v>
      </c>
    </row>
    <row r="138" spans="1:20" ht="15.75" x14ac:dyDescent="0.25">
      <c r="A138" s="336" t="e">
        <f ca="1">_xll.BDP(B138&amp; " Corp","name")</f>
        <v>#NAME?</v>
      </c>
      <c r="B138" s="336" t="s">
        <v>485</v>
      </c>
      <c r="C138" s="336" t="e">
        <f ca="1">_xll.BDP(B138 &amp; " Corp","MTY_YEARS_TDY")</f>
        <v>#NAME?</v>
      </c>
      <c r="D138" s="336" t="e">
        <f ca="1">_xll.BDP(B138 &amp; " Corp","px_last")</f>
        <v>#NAME?</v>
      </c>
      <c r="E138" s="336" t="e">
        <f ca="1">_xll.BDP(B138 &amp; " Corp","px_ask")</f>
        <v>#NAME?</v>
      </c>
      <c r="F138" s="336" t="e">
        <f ca="1">_xll.BDP(B138 &amp; " Corp","YLD_YTM_BID")</f>
        <v>#NAME?</v>
      </c>
      <c r="G138" s="336" t="e">
        <f ca="1">_xll.BDP(B138 &amp; " Corp","YLD_YTM_ask")</f>
        <v>#NAME?</v>
      </c>
      <c r="H138" s="336" t="e">
        <f ca="1">_xll.BDP(B138 &amp; " Corp","CPN")</f>
        <v>#NAME?</v>
      </c>
      <c r="I138" s="336" t="e">
        <f ca="1">_xll.BDP(B138&amp; " Corp","MATURITY")</f>
        <v>#NAME?</v>
      </c>
      <c r="J138" s="336" t="e">
        <f ca="1">IF(_xll.BDP(B138 &amp; " Corp","RTG_SP")="#N/A N/A","",_xll.BDP(B138 &amp; " Corp","RTG_SP"))&amp;"/"&amp;IF(_xll.BDP(B138 &amp; " Corp","RTG_fitch")="#N/A N/A","",_xll.BDP(B138 &amp; " Corp","RTG_fitch"))&amp;"/"&amp;IF(_xll.BDP(B138 &amp; " Corp","RTG_moody")="#N/A N/A","",_xll.BDP(B138 &amp; " Corp","RTG_moody"))</f>
        <v>#NAME?</v>
      </c>
      <c r="K138" s="336" t="e">
        <f ca="1">_xll.BDP($B138&amp; " Corp","INDUSTRY_SUBGROUP")</f>
        <v>#NAME?</v>
      </c>
      <c r="L138" s="336" t="e">
        <f ca="1">_xll.BDP(B138 &amp; " Corp","CRNCY")</f>
        <v>#NAME?</v>
      </c>
      <c r="M138" s="336" t="e">
        <f ca="1">_xll.BDP(B138 &amp; " Corp","CNTRY_OF_RISK")</f>
        <v>#NAME?</v>
      </c>
      <c r="N138" s="336" t="e">
        <f ca="1">_xll.BDP($B138&amp; " Corp","PAYMENT_RANK")</f>
        <v>#NAME?</v>
      </c>
      <c r="O138" s="336" t="e">
        <f ca="1">_xll.BDP($B138&amp; " Corp","MTY_TYP")</f>
        <v>#NAME?</v>
      </c>
      <c r="P138" s="336" t="e">
        <f ca="1">_xll.BDP($B138&amp; " Corp","RUSSIAN_CB_LOMBARD")</f>
        <v>#NAME?</v>
      </c>
      <c r="Q138" s="338" t="e">
        <f ca="1">_xll.BDP(B136&amp;" Corp", "INTERVAL_PERCENT_CHANGE", "END_DATE_OVERRIDE"," ", "START_DATE_OVERRIDe",R138)</f>
        <v>#NAME?</v>
      </c>
      <c r="R138" s="337">
        <v>20140716</v>
      </c>
      <c r="S138" s="336" t="e">
        <f ca="1">_xll.BDP($B136&amp; " Corp","PX_GROSS_MID")</f>
        <v>#NAME?</v>
      </c>
      <c r="T138" s="335" t="e">
        <f ca="1">_xll.BDP($B136&amp; " Corp","MIN_PIECE")</f>
        <v>#NAME?</v>
      </c>
    </row>
    <row r="139" spans="1:20" ht="15.75" x14ac:dyDescent="0.25">
      <c r="A139" s="339" t="e">
        <f ca="1">_xll.BDP(B139&amp; " Corp","name")</f>
        <v>#NAME?</v>
      </c>
      <c r="B139" s="336" t="s">
        <v>486</v>
      </c>
      <c r="C139" s="336" t="e">
        <f ca="1">_xll.BDP(B139 &amp; " Corp","MTY_YEARS_TDY")</f>
        <v>#NAME?</v>
      </c>
      <c r="D139" s="336" t="e">
        <f ca="1">_xll.BDP(B139 &amp; " Corp","px_last")</f>
        <v>#NAME?</v>
      </c>
      <c r="E139" s="336" t="e">
        <f ca="1">_xll.BDP(B139 &amp; " Corp","px_ask")</f>
        <v>#NAME?</v>
      </c>
      <c r="F139" s="336" t="e">
        <f ca="1">_xll.BDP(B139 &amp; " Corp","YLD_YTM_BID")</f>
        <v>#NAME?</v>
      </c>
      <c r="G139" s="336" t="e">
        <f ca="1">_xll.BDP(B139 &amp; " Corp","YLD_YTM_ask")</f>
        <v>#NAME?</v>
      </c>
      <c r="H139" s="336" t="e">
        <f ca="1">_xll.BDP(B139 &amp; " Corp","CPN")</f>
        <v>#NAME?</v>
      </c>
      <c r="I139" s="336" t="e">
        <f ca="1">_xll.BDP(B139&amp; " Corp","MATURITY")</f>
        <v>#NAME?</v>
      </c>
      <c r="J139" s="336" t="e">
        <f ca="1">IF(_xll.BDP(B139 &amp; " Corp","RTG_SP")="#N/A N/A","",_xll.BDP(B139 &amp; " Corp","RTG_SP"))&amp;"/"&amp;IF(_xll.BDP(B139 &amp; " Corp","RTG_fitch")="#N/A N/A","",_xll.BDP(B139 &amp; " Corp","RTG_fitch"))&amp;"/"&amp;IF(_xll.BDP(B139 &amp; " Corp","RTG_moody")="#N/A N/A","",_xll.BDP(B139 &amp; " Corp","RTG_moody"))</f>
        <v>#NAME?</v>
      </c>
      <c r="K139" s="336" t="e">
        <f ca="1">_xll.BDP($B139&amp; " Corp","INDUSTRY_SUBGROUP")</f>
        <v>#NAME?</v>
      </c>
      <c r="L139" s="336" t="e">
        <f ca="1">_xll.BDP(B139 &amp; " Corp","CRNCY")</f>
        <v>#NAME?</v>
      </c>
      <c r="M139" s="336" t="e">
        <f ca="1">_xll.BDP(B139 &amp; " Corp","CNTRY_OF_RISK")</f>
        <v>#NAME?</v>
      </c>
      <c r="N139" s="336" t="e">
        <f ca="1">_xll.BDP($B139&amp; " Corp","PAYMENT_RANK")</f>
        <v>#NAME?</v>
      </c>
      <c r="O139" s="336" t="e">
        <f ca="1">_xll.BDP($B139&amp; " Corp","MTY_TYP")</f>
        <v>#NAME?</v>
      </c>
      <c r="P139" s="336" t="e">
        <f ca="1">_xll.BDP($B139&amp; " Corp","RUSSIAN_CB_LOMBARD")</f>
        <v>#NAME?</v>
      </c>
      <c r="Q139" s="338" t="e">
        <f ca="1">_xll.BDP(B137&amp;" Corp", "INTERVAL_PERCENT_CHANGE", "END_DATE_OVERRIDE"," ", "START_DATE_OVERRIDe",R139)</f>
        <v>#NAME?</v>
      </c>
      <c r="R139" s="337">
        <v>20140716</v>
      </c>
      <c r="S139" s="336" t="e">
        <f ca="1">_xll.BDP($B137&amp; " Corp","PX_GROSS_MID")</f>
        <v>#NAME?</v>
      </c>
      <c r="T139" s="335" t="e">
        <f ca="1">_xll.BDP($B137&amp; " Corp","MIN_PIECE")</f>
        <v>#NAME?</v>
      </c>
    </row>
    <row r="140" spans="1:20" ht="15.75" x14ac:dyDescent="0.25">
      <c r="A140" s="336" t="e">
        <f ca="1">_xll.BDP(B140&amp; " Corp","name")</f>
        <v>#NAME?</v>
      </c>
      <c r="B140" s="336" t="s">
        <v>482</v>
      </c>
      <c r="C140" s="336" t="e">
        <f ca="1">_xll.BDP(B140 &amp; " Corp","MTY_YEARS_TDY")</f>
        <v>#NAME?</v>
      </c>
      <c r="D140" s="336" t="e">
        <f ca="1">_xll.BDP(B140 &amp; " Corp","px_last")</f>
        <v>#NAME?</v>
      </c>
      <c r="E140" s="336" t="e">
        <f ca="1">_xll.BDP(B140 &amp; " Corp","px_ask")</f>
        <v>#NAME?</v>
      </c>
      <c r="F140" s="336" t="e">
        <f ca="1">_xll.BDP(B140 &amp; " Corp","YLD_YTM_BID")</f>
        <v>#NAME?</v>
      </c>
      <c r="G140" s="336" t="e">
        <f ca="1">_xll.BDP(B140 &amp; " Corp","YLD_YTM_ask")</f>
        <v>#NAME?</v>
      </c>
      <c r="H140" s="336" t="e">
        <f ca="1">_xll.BDP(B140 &amp; " Corp","CPN")</f>
        <v>#NAME?</v>
      </c>
      <c r="I140" s="336" t="e">
        <f ca="1">_xll.BDP(B140&amp; " Corp","MATURITY")</f>
        <v>#NAME?</v>
      </c>
      <c r="J140" s="336" t="e">
        <f ca="1">IF(_xll.BDP(B140 &amp; " Corp","RTG_SP")="#N/A N/A","",_xll.BDP(B140 &amp; " Corp","RTG_SP"))&amp;"/"&amp;IF(_xll.BDP(B140 &amp; " Corp","RTG_fitch")="#N/A N/A","",_xll.BDP(B140 &amp; " Corp","RTG_fitch"))&amp;"/"&amp;IF(_xll.BDP(B140 &amp; " Corp","RTG_moody")="#N/A N/A","",_xll.BDP(B140 &amp; " Corp","RTG_moody"))</f>
        <v>#NAME?</v>
      </c>
      <c r="K140" s="336" t="e">
        <f ca="1">_xll.BDP($B140&amp; " Corp","INDUSTRY_SUBGROUP")</f>
        <v>#NAME?</v>
      </c>
      <c r="L140" s="336" t="e">
        <f ca="1">_xll.BDP(B140 &amp; " Corp","CRNCY")</f>
        <v>#NAME?</v>
      </c>
      <c r="M140" s="336" t="e">
        <f ca="1">_xll.BDP(B140 &amp; " Corp","CNTRY_OF_RISK")</f>
        <v>#NAME?</v>
      </c>
      <c r="N140" s="336" t="e">
        <f ca="1">_xll.BDP($B140&amp; " Corp","PAYMENT_RANK")</f>
        <v>#NAME?</v>
      </c>
      <c r="O140" s="336" t="e">
        <f ca="1">_xll.BDP($B140&amp; " Corp","MTY_TYP")</f>
        <v>#NAME?</v>
      </c>
      <c r="P140" s="336" t="e">
        <f ca="1">_xll.BDP($B140&amp; " Corp","RUSSIAN_CB_LOMBARD")</f>
        <v>#NAME?</v>
      </c>
      <c r="Q140" s="338" t="e">
        <f ca="1">_xll.BDP(B138&amp;" Corp", "INTERVAL_PERCENT_CHANGE", "END_DATE_OVERRIDE"," ", "START_DATE_OVERRIDe",R140)</f>
        <v>#NAME?</v>
      </c>
      <c r="R140" s="337">
        <v>20140716</v>
      </c>
      <c r="S140" s="336" t="e">
        <f ca="1">_xll.BDP($B138&amp; " Corp","PX_GROSS_MID")</f>
        <v>#NAME?</v>
      </c>
      <c r="T140" s="335" t="e">
        <f ca="1">_xll.BDP($B138&amp; " Corp","MIN_PIECE")</f>
        <v>#NAME?</v>
      </c>
    </row>
    <row r="141" spans="1:20" ht="15.75" x14ac:dyDescent="0.25">
      <c r="A141" s="336" t="e">
        <f ca="1">_xll.BDP(B141&amp; " Corp","name")</f>
        <v>#NAME?</v>
      </c>
      <c r="B141" s="336" t="s">
        <v>480</v>
      </c>
      <c r="C141" s="336" t="e">
        <f ca="1">_xll.BDP(B141 &amp; " Corp","MTY_YEARS_TDY")</f>
        <v>#NAME?</v>
      </c>
      <c r="D141" s="336" t="e">
        <f ca="1">_xll.BDP(B141 &amp; " Corp","px_last")</f>
        <v>#NAME?</v>
      </c>
      <c r="E141" s="336" t="e">
        <f ca="1">_xll.BDP(B141 &amp; " Corp","px_ask")</f>
        <v>#NAME?</v>
      </c>
      <c r="F141" s="336" t="e">
        <f ca="1">_xll.BDP(B141 &amp; " Corp","YLD_YTM_BID")</f>
        <v>#NAME?</v>
      </c>
      <c r="G141" s="336" t="e">
        <f ca="1">_xll.BDP(B141 &amp; " Corp","YLD_YTM_ask")</f>
        <v>#NAME?</v>
      </c>
      <c r="H141" s="336" t="e">
        <f ca="1">_xll.BDP(B141 &amp; " Corp","CPN")</f>
        <v>#NAME?</v>
      </c>
      <c r="I141" s="336" t="e">
        <f ca="1">_xll.BDP(B141&amp; " Corp","MATURITY")</f>
        <v>#NAME?</v>
      </c>
      <c r="J141" s="336" t="e">
        <f ca="1">IF(_xll.BDP(B141 &amp; " Corp","RTG_SP")="#N/A N/A","",_xll.BDP(B141 &amp; " Corp","RTG_SP"))&amp;"/"&amp;IF(_xll.BDP(B141 &amp; " Corp","RTG_fitch")="#N/A N/A","",_xll.BDP(B141 &amp; " Corp","RTG_fitch"))&amp;"/"&amp;IF(_xll.BDP(B141 &amp; " Corp","RTG_moody")="#N/A N/A","",_xll.BDP(B141 &amp; " Corp","RTG_moody"))</f>
        <v>#NAME?</v>
      </c>
      <c r="K141" s="336" t="e">
        <f ca="1">_xll.BDP($B141&amp; " Corp","INDUSTRY_SUBGROUP")</f>
        <v>#NAME?</v>
      </c>
      <c r="L141" s="336" t="e">
        <f ca="1">_xll.BDP(B141 &amp; " Corp","CRNCY")</f>
        <v>#NAME?</v>
      </c>
      <c r="M141" s="336" t="e">
        <f ca="1">_xll.BDP(B141 &amp; " Corp","CNTRY_OF_RISK")</f>
        <v>#NAME?</v>
      </c>
      <c r="N141" s="336" t="e">
        <f ca="1">_xll.BDP($B141&amp; " Corp","PAYMENT_RANK")</f>
        <v>#NAME?</v>
      </c>
      <c r="O141" s="336" t="e">
        <f ca="1">_xll.BDP($B141&amp; " Corp","MTY_TYP")</f>
        <v>#NAME?</v>
      </c>
      <c r="P141" s="336" t="e">
        <f ca="1">_xll.BDP($B141&amp; " Corp","RUSSIAN_CB_LOMBARD")</f>
        <v>#NAME?</v>
      </c>
      <c r="Q141" s="338" t="e">
        <f ca="1">_xll.BDP(B139&amp;" Corp", "INTERVAL_PERCENT_CHANGE", "END_DATE_OVERRIDE"," ", "START_DATE_OVERRIDe",R141)</f>
        <v>#NAME?</v>
      </c>
      <c r="R141" s="337">
        <v>20140716</v>
      </c>
      <c r="S141" s="336" t="e">
        <f ca="1">_xll.BDP($B139&amp; " Corp","PX_GROSS_MID")</f>
        <v>#NAME?</v>
      </c>
      <c r="T141" s="335" t="e">
        <f ca="1">_xll.BDP($B139&amp; " Corp","MIN_PIECE")</f>
        <v>#NAME?</v>
      </c>
    </row>
    <row r="142" spans="1:20" ht="15.75" x14ac:dyDescent="0.25">
      <c r="A142" s="339" t="e">
        <f ca="1">_xll.BDP(B142&amp; " Corp","name")</f>
        <v>#NAME?</v>
      </c>
      <c r="B142" s="336" t="s">
        <v>484</v>
      </c>
      <c r="C142" s="336" t="e">
        <f ca="1">_xll.BDP(B142 &amp; " Corp","MTY_YEARS_TDY")</f>
        <v>#NAME?</v>
      </c>
      <c r="D142" s="336" t="e">
        <f ca="1">_xll.BDP(B142 &amp; " Corp","px_last")</f>
        <v>#NAME?</v>
      </c>
      <c r="E142" s="336" t="e">
        <f ca="1">_xll.BDP(B142 &amp; " Corp","px_ask")</f>
        <v>#NAME?</v>
      </c>
      <c r="F142" s="336" t="e">
        <f ca="1">_xll.BDP(B142 &amp; " Corp","YLD_YTM_BID")</f>
        <v>#NAME?</v>
      </c>
      <c r="G142" s="336" t="e">
        <f ca="1">_xll.BDP(B142 &amp; " Corp","YLD_YTM_ask")</f>
        <v>#NAME?</v>
      </c>
      <c r="H142" s="336" t="e">
        <f ca="1">_xll.BDP(B142 &amp; " Corp","CPN")</f>
        <v>#NAME?</v>
      </c>
      <c r="I142" s="336" t="e">
        <f ca="1">_xll.BDP(B142&amp; " Corp","MATURITY")</f>
        <v>#NAME?</v>
      </c>
      <c r="J142" s="336" t="e">
        <f ca="1">IF(_xll.BDP(B142 &amp; " Corp","RTG_SP")="#N/A N/A","",_xll.BDP(B142 &amp; " Corp","RTG_SP"))&amp;"/"&amp;IF(_xll.BDP(B142 &amp; " Corp","RTG_fitch")="#N/A N/A","",_xll.BDP(B142 &amp; " Corp","RTG_fitch"))&amp;"/"&amp;IF(_xll.BDP(B142 &amp; " Corp","RTG_moody")="#N/A N/A","",_xll.BDP(B142 &amp; " Corp","RTG_moody"))</f>
        <v>#NAME?</v>
      </c>
      <c r="K142" s="336" t="e">
        <f ca="1">_xll.BDP($B142&amp; " Corp","INDUSTRY_SUBGROUP")</f>
        <v>#NAME?</v>
      </c>
      <c r="L142" s="336" t="e">
        <f ca="1">_xll.BDP(B142 &amp; " Corp","CRNCY")</f>
        <v>#NAME?</v>
      </c>
      <c r="M142" s="336" t="e">
        <f ca="1">_xll.BDP(B142 &amp; " Corp","CNTRY_OF_RISK")</f>
        <v>#NAME?</v>
      </c>
      <c r="N142" s="336" t="e">
        <f ca="1">_xll.BDP($B142&amp; " Corp","PAYMENT_RANK")</f>
        <v>#NAME?</v>
      </c>
      <c r="O142" s="336" t="e">
        <f ca="1">_xll.BDP($B142&amp; " Corp","MTY_TYP")</f>
        <v>#NAME?</v>
      </c>
      <c r="P142" s="336" t="e">
        <f ca="1">_xll.BDP($B142&amp; " Corp","RUSSIAN_CB_LOMBARD")</f>
        <v>#NAME?</v>
      </c>
      <c r="Q142" s="338" t="e">
        <f ca="1">_xll.BDP(B140&amp;" Corp", "INTERVAL_PERCENT_CHANGE", "END_DATE_OVERRIDE"," ", "START_DATE_OVERRIDe",R142)</f>
        <v>#NAME?</v>
      </c>
      <c r="R142" s="337">
        <v>20140716</v>
      </c>
      <c r="S142" s="336" t="e">
        <f ca="1">_xll.BDP($B140&amp; " Corp","PX_GROSS_MID")</f>
        <v>#NAME?</v>
      </c>
      <c r="T142" s="335" t="e">
        <f ca="1">_xll.BDP($B140&amp; " Corp","MIN_PIECE")</f>
        <v>#NAME?</v>
      </c>
    </row>
    <row r="143" spans="1:20" ht="15.75" x14ac:dyDescent="0.25">
      <c r="A143" s="336" t="e">
        <f ca="1">_xll.BDP(B143&amp; " Corp","name")</f>
        <v>#NAME?</v>
      </c>
      <c r="B143" s="336" t="s">
        <v>477</v>
      </c>
      <c r="C143" s="336" t="e">
        <f ca="1">_xll.BDP(B143 &amp; " Corp","MTY_YEARS_TDY")</f>
        <v>#NAME?</v>
      </c>
      <c r="D143" s="336" t="e">
        <f ca="1">_xll.BDP(B143 &amp; " Corp","px_last")</f>
        <v>#NAME?</v>
      </c>
      <c r="E143" s="336" t="e">
        <f ca="1">_xll.BDP(B143 &amp; " Corp","px_ask")</f>
        <v>#NAME?</v>
      </c>
      <c r="F143" s="336" t="e">
        <f ca="1">_xll.BDP(B143 &amp; " Corp","YLD_YTM_BID")</f>
        <v>#NAME?</v>
      </c>
      <c r="G143" s="336" t="e">
        <f ca="1">_xll.BDP(B143 &amp; " Corp","YLD_YTM_ask")</f>
        <v>#NAME?</v>
      </c>
      <c r="H143" s="336" t="e">
        <f ca="1">_xll.BDP(B143 &amp; " Corp","CPN")</f>
        <v>#NAME?</v>
      </c>
      <c r="I143" s="336" t="e">
        <f ca="1">_xll.BDP(B143&amp; " Corp","MATURITY")</f>
        <v>#NAME?</v>
      </c>
      <c r="J143" s="336" t="e">
        <f ca="1">IF(_xll.BDP(B143 &amp; " Corp","RTG_SP")="#N/A N/A","",_xll.BDP(B143 &amp; " Corp","RTG_SP"))&amp;"/"&amp;IF(_xll.BDP(B143 &amp; " Corp","RTG_fitch")="#N/A N/A","",_xll.BDP(B143 &amp; " Corp","RTG_fitch"))&amp;"/"&amp;IF(_xll.BDP(B143 &amp; " Corp","RTG_moody")="#N/A N/A","",_xll.BDP(B143 &amp; " Corp","RTG_moody"))</f>
        <v>#NAME?</v>
      </c>
      <c r="K143" s="336" t="e">
        <f ca="1">_xll.BDP($B143&amp; " Corp","INDUSTRY_SUBGROUP")</f>
        <v>#NAME?</v>
      </c>
      <c r="L143" s="336" t="e">
        <f ca="1">_xll.BDP(B143 &amp; " Corp","CRNCY")</f>
        <v>#NAME?</v>
      </c>
      <c r="M143" s="336" t="e">
        <f ca="1">_xll.BDP(B143 &amp; " Corp","CNTRY_OF_RISK")</f>
        <v>#NAME?</v>
      </c>
      <c r="N143" s="336" t="e">
        <f ca="1">_xll.BDP($B143&amp; " Corp","PAYMENT_RANK")</f>
        <v>#NAME?</v>
      </c>
      <c r="O143" s="336" t="e">
        <f ca="1">_xll.BDP($B143&amp; " Corp","MTY_TYP")</f>
        <v>#NAME?</v>
      </c>
      <c r="P143" s="336" t="e">
        <f ca="1">_xll.BDP($B143&amp; " Corp","RUSSIAN_CB_LOMBARD")</f>
        <v>#NAME?</v>
      </c>
      <c r="Q143" s="338" t="e">
        <f ca="1">_xll.BDP(B141&amp;" Corp", "INTERVAL_PERCENT_CHANGE", "END_DATE_OVERRIDE"," ", "START_DATE_OVERRIDe",R143)</f>
        <v>#NAME?</v>
      </c>
      <c r="R143" s="337">
        <v>20140716</v>
      </c>
      <c r="S143" s="336" t="e">
        <f ca="1">_xll.BDP($B141&amp; " Corp","PX_GROSS_MID")</f>
        <v>#NAME?</v>
      </c>
      <c r="T143" s="335" t="e">
        <f ca="1">_xll.BDP($B141&amp; " Corp","MIN_PIECE")</f>
        <v>#NAME?</v>
      </c>
    </row>
    <row r="144" spans="1:20" ht="15.75" x14ac:dyDescent="0.25">
      <c r="A144" s="336" t="e">
        <f ca="1">_xll.BDP(B144&amp; " Corp","name")</f>
        <v>#NAME?</v>
      </c>
      <c r="B144" s="336" t="s">
        <v>476</v>
      </c>
      <c r="C144" s="336" t="e">
        <f ca="1">_xll.BDP(B144 &amp; " Corp","MTY_YEARS_TDY")</f>
        <v>#NAME?</v>
      </c>
      <c r="D144" s="336" t="e">
        <f ca="1">_xll.BDP(B144 &amp; " Corp","px_last")</f>
        <v>#NAME?</v>
      </c>
      <c r="E144" s="336" t="e">
        <f ca="1">_xll.BDP(B144 &amp; " Corp","px_ask")</f>
        <v>#NAME?</v>
      </c>
      <c r="F144" s="336" t="e">
        <f ca="1">_xll.BDP(B144 &amp; " Corp","YLD_YTM_BID")</f>
        <v>#NAME?</v>
      </c>
      <c r="G144" s="336" t="e">
        <f ca="1">_xll.BDP(B144 &amp; " Corp","YLD_YTM_ask")</f>
        <v>#NAME?</v>
      </c>
      <c r="H144" s="336" t="e">
        <f ca="1">_xll.BDP(B144 &amp; " Corp","CPN")</f>
        <v>#NAME?</v>
      </c>
      <c r="I144" s="336" t="e">
        <f ca="1">_xll.BDP(B144&amp; " Corp","MATURITY")</f>
        <v>#NAME?</v>
      </c>
      <c r="J144" s="336" t="e">
        <f ca="1">IF(_xll.BDP(B144 &amp; " Corp","RTG_SP")="#N/A N/A","",_xll.BDP(B144 &amp; " Corp","RTG_SP"))&amp;"/"&amp;IF(_xll.BDP(B144 &amp; " Corp","RTG_fitch")="#N/A N/A","",_xll.BDP(B144 &amp; " Corp","RTG_fitch"))&amp;"/"&amp;IF(_xll.BDP(B144 &amp; " Corp","RTG_moody")="#N/A N/A","",_xll.BDP(B144 &amp; " Corp","RTG_moody"))</f>
        <v>#NAME?</v>
      </c>
      <c r="K144" s="336" t="e">
        <f ca="1">_xll.BDP($B144&amp; " Corp","INDUSTRY_SUBGROUP")</f>
        <v>#NAME?</v>
      </c>
      <c r="L144" s="336" t="e">
        <f ca="1">_xll.BDP(B144 &amp; " Corp","CRNCY")</f>
        <v>#NAME?</v>
      </c>
      <c r="M144" s="336" t="e">
        <f ca="1">_xll.BDP(B144 &amp; " Corp","CNTRY_OF_RISK")</f>
        <v>#NAME?</v>
      </c>
      <c r="N144" s="336" t="e">
        <f ca="1">_xll.BDP($B144&amp; " Corp","PAYMENT_RANK")</f>
        <v>#NAME?</v>
      </c>
      <c r="O144" s="336" t="e">
        <f ca="1">_xll.BDP($B144&amp; " Corp","MTY_TYP")</f>
        <v>#NAME?</v>
      </c>
      <c r="P144" s="336" t="e">
        <f ca="1">_xll.BDP($B144&amp; " Corp","RUSSIAN_CB_LOMBARD")</f>
        <v>#NAME?</v>
      </c>
      <c r="Q144" s="338" t="e">
        <f ca="1">_xll.BDP(B142&amp;" Corp", "INTERVAL_PERCENT_CHANGE", "END_DATE_OVERRIDE"," ", "START_DATE_OVERRIDe",R144)</f>
        <v>#NAME?</v>
      </c>
      <c r="R144" s="337">
        <v>20140716</v>
      </c>
      <c r="S144" s="336" t="e">
        <f ca="1">_xll.BDP($B142&amp; " Corp","PX_GROSS_MID")</f>
        <v>#NAME?</v>
      </c>
      <c r="T144" s="335" t="e">
        <f ca="1">_xll.BDP($B142&amp; " Corp","MIN_PIECE")</f>
        <v>#NAME?</v>
      </c>
    </row>
    <row r="145" spans="1:20" ht="15.75" x14ac:dyDescent="0.25">
      <c r="A145" s="336" t="e">
        <f ca="1">_xll.BDP(B145&amp; " Corp","name")</f>
        <v>#NAME?</v>
      </c>
      <c r="B145" s="336" t="s">
        <v>478</v>
      </c>
      <c r="C145" s="336" t="e">
        <f ca="1">_xll.BDP(B145 &amp; " Corp","MTY_YEARS_TDY")</f>
        <v>#NAME?</v>
      </c>
      <c r="D145" s="336" t="e">
        <f ca="1">_xll.BDP(B145 &amp; " Corp","px_last")</f>
        <v>#NAME?</v>
      </c>
      <c r="E145" s="336" t="e">
        <f ca="1">_xll.BDP(B145 &amp; " Corp","px_ask")</f>
        <v>#NAME?</v>
      </c>
      <c r="F145" s="336" t="e">
        <f ca="1">_xll.BDP(B145 &amp; " Corp","YLD_YTM_BID")</f>
        <v>#NAME?</v>
      </c>
      <c r="G145" s="336" t="e">
        <f ca="1">_xll.BDP(B145 &amp; " Corp","YLD_YTM_ask")</f>
        <v>#NAME?</v>
      </c>
      <c r="H145" s="336" t="e">
        <f ca="1">_xll.BDP(B145 &amp; " Corp","CPN")</f>
        <v>#NAME?</v>
      </c>
      <c r="I145" s="336" t="e">
        <f ca="1">_xll.BDP(B145&amp; " Corp","MATURITY")</f>
        <v>#NAME?</v>
      </c>
      <c r="J145" s="336" t="e">
        <f ca="1">IF(_xll.BDP(B145 &amp; " Corp","RTG_SP")="#N/A N/A","",_xll.BDP(B145 &amp; " Corp","RTG_SP"))&amp;"/"&amp;IF(_xll.BDP(B145 &amp; " Corp","RTG_fitch")="#N/A N/A","",_xll.BDP(B145 &amp; " Corp","RTG_fitch"))&amp;"/"&amp;IF(_xll.BDP(B145 &amp; " Corp","RTG_moody")="#N/A N/A","",_xll.BDP(B145 &amp; " Corp","RTG_moody"))</f>
        <v>#NAME?</v>
      </c>
      <c r="K145" s="336" t="e">
        <f ca="1">_xll.BDP($B145&amp; " Corp","INDUSTRY_SUBGROUP")</f>
        <v>#NAME?</v>
      </c>
      <c r="L145" s="336" t="e">
        <f ca="1">_xll.BDP(B145 &amp; " Corp","CRNCY")</f>
        <v>#NAME?</v>
      </c>
      <c r="M145" s="336" t="e">
        <f ca="1">_xll.BDP(B145 &amp; " Corp","CNTRY_OF_RISK")</f>
        <v>#NAME?</v>
      </c>
      <c r="N145" s="336" t="e">
        <f ca="1">_xll.BDP($B145&amp; " Corp","PAYMENT_RANK")</f>
        <v>#NAME?</v>
      </c>
      <c r="O145" s="336" t="e">
        <f ca="1">_xll.BDP($B145&amp; " Corp","MTY_TYP")</f>
        <v>#NAME?</v>
      </c>
      <c r="P145" s="336" t="e">
        <f ca="1">_xll.BDP($B145&amp; " Corp","RUSSIAN_CB_LOMBARD")</f>
        <v>#NAME?</v>
      </c>
      <c r="Q145" s="338" t="e">
        <f ca="1">_xll.BDP(B143&amp;" Corp", "INTERVAL_PERCENT_CHANGE", "END_DATE_OVERRIDE"," ", "START_DATE_OVERRIDe",R145)</f>
        <v>#NAME?</v>
      </c>
      <c r="R145" s="337">
        <v>20140716</v>
      </c>
      <c r="S145" s="336" t="e">
        <f ca="1">_xll.BDP($B143&amp; " Corp","PX_GROSS_MID")</f>
        <v>#NAME?</v>
      </c>
      <c r="T145" s="335" t="e">
        <f ca="1">_xll.BDP($B143&amp; " Corp","MIN_PIECE")</f>
        <v>#NAME?</v>
      </c>
    </row>
    <row r="146" spans="1:20" ht="15.75" x14ac:dyDescent="0.25">
      <c r="A146" s="336" t="e">
        <f ca="1">_xll.BDP(B146&amp; " Corp","name")</f>
        <v>#NAME?</v>
      </c>
      <c r="B146" s="336" t="s">
        <v>475</v>
      </c>
      <c r="C146" s="336" t="e">
        <f ca="1">_xll.BDP(B146 &amp; " Corp","MTY_YEARS_TDY")</f>
        <v>#NAME?</v>
      </c>
      <c r="D146" s="336" t="e">
        <f ca="1">_xll.BDP(B146 &amp; " Corp","px_last")</f>
        <v>#NAME?</v>
      </c>
      <c r="E146" s="336" t="e">
        <f ca="1">_xll.BDP(B146 &amp; " Corp","px_ask")</f>
        <v>#NAME?</v>
      </c>
      <c r="F146" s="336" t="e">
        <f ca="1">_xll.BDP(B146 &amp; " Corp","YLD_YTM_BID")</f>
        <v>#NAME?</v>
      </c>
      <c r="G146" s="336" t="e">
        <f ca="1">_xll.BDP(B146 &amp; " Corp","YLD_YTM_ask")</f>
        <v>#NAME?</v>
      </c>
      <c r="H146" s="336" t="e">
        <f ca="1">_xll.BDP(B146 &amp; " Corp","CPN")</f>
        <v>#NAME?</v>
      </c>
      <c r="I146" s="336" t="e">
        <f ca="1">_xll.BDP(B146&amp; " Corp","MATURITY")</f>
        <v>#NAME?</v>
      </c>
      <c r="J146" s="336" t="e">
        <f ca="1">IF(_xll.BDP(B146 &amp; " Corp","RTG_SP")="#N/A N/A","",_xll.BDP(B146 &amp; " Corp","RTG_SP"))&amp;"/"&amp;IF(_xll.BDP(B146 &amp; " Corp","RTG_fitch")="#N/A N/A","",_xll.BDP(B146 &amp; " Corp","RTG_fitch"))&amp;"/"&amp;IF(_xll.BDP(B146 &amp; " Corp","RTG_moody")="#N/A N/A","",_xll.BDP(B146 &amp; " Corp","RTG_moody"))</f>
        <v>#NAME?</v>
      </c>
      <c r="K146" s="336" t="e">
        <f ca="1">_xll.BDP($B146&amp; " Corp","INDUSTRY_SUBGROUP")</f>
        <v>#NAME?</v>
      </c>
      <c r="L146" s="336" t="e">
        <f ca="1">_xll.BDP(B146 &amp; " Corp","CRNCY")</f>
        <v>#NAME?</v>
      </c>
      <c r="M146" s="336" t="e">
        <f ca="1">_xll.BDP(B146 &amp; " Corp","CNTRY_OF_RISK")</f>
        <v>#NAME?</v>
      </c>
      <c r="N146" s="336" t="e">
        <f ca="1">_xll.BDP($B146&amp; " Corp","PAYMENT_RANK")</f>
        <v>#NAME?</v>
      </c>
      <c r="O146" s="336" t="e">
        <f ca="1">_xll.BDP($B146&amp; " Corp","MTY_TYP")</f>
        <v>#NAME?</v>
      </c>
      <c r="P146" s="336" t="e">
        <f ca="1">_xll.BDP($B146&amp; " Corp","RUSSIAN_CB_LOMBARD")</f>
        <v>#NAME?</v>
      </c>
      <c r="Q146" s="338" t="e">
        <f ca="1">_xll.BDP(B144&amp;" Corp", "INTERVAL_PERCENT_CHANGE", "END_DATE_OVERRIDE"," ", "START_DATE_OVERRIDe",R146)</f>
        <v>#NAME?</v>
      </c>
      <c r="R146" s="337">
        <v>20140716</v>
      </c>
      <c r="S146" s="336" t="e">
        <f ca="1">_xll.BDP($B144&amp; " Corp","PX_GROSS_MID")</f>
        <v>#NAME?</v>
      </c>
      <c r="T146" s="335" t="e">
        <f ca="1">_xll.BDP($B144&amp; " Corp","MIN_PIECE")</f>
        <v>#NAME?</v>
      </c>
    </row>
    <row r="147" spans="1:20" ht="15.75" x14ac:dyDescent="0.25">
      <c r="A147" s="336" t="e">
        <f ca="1">_xll.BDP(B147&amp; " Corp","name")</f>
        <v>#NAME?</v>
      </c>
      <c r="B147" s="336" t="s">
        <v>474</v>
      </c>
      <c r="C147" s="336" t="e">
        <f ca="1">_xll.BDP(B147 &amp; " Corp","MTY_YEARS_TDY")</f>
        <v>#NAME?</v>
      </c>
      <c r="D147" s="336" t="e">
        <f ca="1">_xll.BDP(B147 &amp; " Corp","px_last")</f>
        <v>#NAME?</v>
      </c>
      <c r="E147" s="336" t="e">
        <f ca="1">_xll.BDP(B147 &amp; " Corp","px_ask")</f>
        <v>#NAME?</v>
      </c>
      <c r="F147" s="336" t="e">
        <f ca="1">_xll.BDP(B147 &amp; " Corp","YLD_YTM_BID")</f>
        <v>#NAME?</v>
      </c>
      <c r="G147" s="336" t="e">
        <f ca="1">_xll.BDP(B147 &amp; " Corp","YLD_YTM_ask")</f>
        <v>#NAME?</v>
      </c>
      <c r="H147" s="336" t="e">
        <f ca="1">_xll.BDP(B147 &amp; " Corp","CPN")</f>
        <v>#NAME?</v>
      </c>
      <c r="I147" s="336" t="e">
        <f ca="1">_xll.BDP(B147&amp; " Corp","MATURITY")</f>
        <v>#NAME?</v>
      </c>
      <c r="J147" s="336" t="e">
        <f ca="1">IF(_xll.BDP(B147 &amp; " Corp","RTG_SP")="#N/A N/A","",_xll.BDP(B147 &amp; " Corp","RTG_SP"))&amp;"/"&amp;IF(_xll.BDP(B147 &amp; " Corp","RTG_fitch")="#N/A N/A","",_xll.BDP(B147 &amp; " Corp","RTG_fitch"))&amp;"/"&amp;IF(_xll.BDP(B147 &amp; " Corp","RTG_moody")="#N/A N/A","",_xll.BDP(B147 &amp; " Corp","RTG_moody"))</f>
        <v>#NAME?</v>
      </c>
      <c r="K147" s="336" t="e">
        <f ca="1">_xll.BDP($B147&amp; " Corp","INDUSTRY_SUBGROUP")</f>
        <v>#NAME?</v>
      </c>
      <c r="L147" s="336" t="e">
        <f ca="1">_xll.BDP(B147 &amp; " Corp","CRNCY")</f>
        <v>#NAME?</v>
      </c>
      <c r="M147" s="336" t="e">
        <f ca="1">_xll.BDP(B147 &amp; " Corp","CNTRY_OF_RISK")</f>
        <v>#NAME?</v>
      </c>
      <c r="N147" s="336" t="e">
        <f ca="1">_xll.BDP($B147&amp; " Corp","PAYMENT_RANK")</f>
        <v>#NAME?</v>
      </c>
      <c r="O147" s="336" t="e">
        <f ca="1">_xll.BDP($B147&amp; " Corp","MTY_TYP")</f>
        <v>#NAME?</v>
      </c>
      <c r="P147" s="336" t="e">
        <f ca="1">_xll.BDP($B147&amp; " Corp","RUSSIAN_CB_LOMBARD")</f>
        <v>#NAME?</v>
      </c>
      <c r="Q147" s="338" t="e">
        <f ca="1">_xll.BDP(B145&amp;" Corp", "INTERVAL_PERCENT_CHANGE", "END_DATE_OVERRIDE"," ", "START_DATE_OVERRIDe",R147)</f>
        <v>#NAME?</v>
      </c>
      <c r="R147" s="337">
        <v>20140716</v>
      </c>
      <c r="S147" s="336" t="e">
        <f ca="1">_xll.BDP($B145&amp; " Corp","PX_GROSS_MID")</f>
        <v>#NAME?</v>
      </c>
      <c r="T147" s="335" t="e">
        <f ca="1">_xll.BDP($B145&amp; " Corp","MIN_PIECE")</f>
        <v>#NAME?</v>
      </c>
    </row>
    <row r="148" spans="1:20" ht="15.75" x14ac:dyDescent="0.25">
      <c r="A148" s="336" t="e">
        <f ca="1">_xll.BDP(B148&amp; " Corp","name")</f>
        <v>#NAME?</v>
      </c>
      <c r="B148" s="336" t="s">
        <v>473</v>
      </c>
      <c r="C148" s="336" t="e">
        <f ca="1">_xll.BDP(B148 &amp; " Corp","MTY_YEARS_TDY")</f>
        <v>#NAME?</v>
      </c>
      <c r="D148" s="336" t="e">
        <f ca="1">_xll.BDP(B148 &amp; " Corp","px_last")</f>
        <v>#NAME?</v>
      </c>
      <c r="E148" s="336" t="e">
        <f ca="1">_xll.BDP(B148 &amp; " Corp","px_ask")</f>
        <v>#NAME?</v>
      </c>
      <c r="F148" s="336" t="e">
        <f ca="1">_xll.BDP(B148 &amp; " Corp","YLD_YTM_BID")</f>
        <v>#NAME?</v>
      </c>
      <c r="G148" s="336" t="e">
        <f ca="1">_xll.BDP(B148 &amp; " Corp","YLD_YTM_ask")</f>
        <v>#NAME?</v>
      </c>
      <c r="H148" s="336" t="e">
        <f ca="1">_xll.BDP(B148 &amp; " Corp","CPN")</f>
        <v>#NAME?</v>
      </c>
      <c r="I148" s="336" t="e">
        <f ca="1">_xll.BDP(B148&amp; " Corp","MATURITY")</f>
        <v>#NAME?</v>
      </c>
      <c r="J148" s="336" t="e">
        <f ca="1">IF(_xll.BDP(B148 &amp; " Corp","RTG_SP")="#N/A N/A","",_xll.BDP(B148 &amp; " Corp","RTG_SP"))&amp;"/"&amp;IF(_xll.BDP(B148 &amp; " Corp","RTG_fitch")="#N/A N/A","",_xll.BDP(B148 &amp; " Corp","RTG_fitch"))&amp;"/"&amp;IF(_xll.BDP(B148 &amp; " Corp","RTG_moody")="#N/A N/A","",_xll.BDP(B148 &amp; " Corp","RTG_moody"))</f>
        <v>#NAME?</v>
      </c>
      <c r="K148" s="336" t="e">
        <f ca="1">_xll.BDP($B148&amp; " Corp","INDUSTRY_SUBGROUP")</f>
        <v>#NAME?</v>
      </c>
      <c r="L148" s="336" t="e">
        <f ca="1">_xll.BDP(B148 &amp; " Corp","CRNCY")</f>
        <v>#NAME?</v>
      </c>
      <c r="M148" s="336" t="e">
        <f ca="1">_xll.BDP(B148 &amp; " Corp","CNTRY_OF_RISK")</f>
        <v>#NAME?</v>
      </c>
      <c r="N148" s="336" t="e">
        <f ca="1">_xll.BDP($B148&amp; " Corp","PAYMENT_RANK")</f>
        <v>#NAME?</v>
      </c>
      <c r="O148" s="336" t="e">
        <f ca="1">_xll.BDP($B148&amp; " Corp","MTY_TYP")</f>
        <v>#NAME?</v>
      </c>
      <c r="P148" s="336" t="e">
        <f ca="1">_xll.BDP($B148&amp; " Corp","RUSSIAN_CB_LOMBARD")</f>
        <v>#NAME?</v>
      </c>
      <c r="Q148" s="338" t="e">
        <f ca="1">_xll.BDP(B146&amp;" Corp", "INTERVAL_PERCENT_CHANGE", "END_DATE_OVERRIDE"," ", "START_DATE_OVERRIDe",R148)</f>
        <v>#NAME?</v>
      </c>
      <c r="R148" s="337">
        <v>20140716</v>
      </c>
      <c r="S148" s="336" t="e">
        <f ca="1">_xll.BDP($B146&amp; " Corp","PX_GROSS_MID")</f>
        <v>#NAME?</v>
      </c>
      <c r="T148" s="335" t="e">
        <f ca="1">_xll.BDP($B146&amp; " Corp","MIN_PIECE")</f>
        <v>#NAME?</v>
      </c>
    </row>
    <row r="149" spans="1:20" ht="15.75" x14ac:dyDescent="0.25">
      <c r="A149" s="336" t="e">
        <f ca="1">_xll.BDP(B149&amp; " Corp","name")</f>
        <v>#NAME?</v>
      </c>
      <c r="B149" s="336" t="s">
        <v>470</v>
      </c>
      <c r="C149" s="336" t="e">
        <f ca="1">_xll.BDP(B149 &amp; " Corp","MTY_YEARS_TDY")</f>
        <v>#NAME?</v>
      </c>
      <c r="D149" s="336" t="e">
        <f ca="1">_xll.BDP(B149 &amp; " Corp","px_last")</f>
        <v>#NAME?</v>
      </c>
      <c r="E149" s="336" t="e">
        <f ca="1">_xll.BDP(B149 &amp; " Corp","px_ask")</f>
        <v>#NAME?</v>
      </c>
      <c r="F149" s="336" t="e">
        <f ca="1">_xll.BDP(B149 &amp; " Corp","YLD_YTM_BID")</f>
        <v>#NAME?</v>
      </c>
      <c r="G149" s="336" t="e">
        <f ca="1">_xll.BDP(B149 &amp; " Corp","YLD_YTM_ask")</f>
        <v>#NAME?</v>
      </c>
      <c r="H149" s="336" t="e">
        <f ca="1">_xll.BDP(B149 &amp; " Corp","CPN")</f>
        <v>#NAME?</v>
      </c>
      <c r="I149" s="336" t="e">
        <f ca="1">_xll.BDP(B149&amp; " Corp","MATURITY")</f>
        <v>#NAME?</v>
      </c>
      <c r="J149" s="336" t="e">
        <f ca="1">IF(_xll.BDP(B149 &amp; " Corp","RTG_SP")="#N/A N/A","",_xll.BDP(B149 &amp; " Corp","RTG_SP"))&amp;"/"&amp;IF(_xll.BDP(B149 &amp; " Corp","RTG_fitch")="#N/A N/A","",_xll.BDP(B149 &amp; " Corp","RTG_fitch"))&amp;"/"&amp;IF(_xll.BDP(B149 &amp; " Corp","RTG_moody")="#N/A N/A","",_xll.BDP(B149 &amp; " Corp","RTG_moody"))</f>
        <v>#NAME?</v>
      </c>
      <c r="K149" s="336" t="e">
        <f ca="1">_xll.BDP($B149&amp; " Corp","INDUSTRY_SUBGROUP")</f>
        <v>#NAME?</v>
      </c>
      <c r="L149" s="336" t="e">
        <f ca="1">_xll.BDP(B149 &amp; " Corp","CRNCY")</f>
        <v>#NAME?</v>
      </c>
      <c r="M149" s="336" t="e">
        <f ca="1">_xll.BDP(B149 &amp; " Corp","CNTRY_OF_RISK")</f>
        <v>#NAME?</v>
      </c>
      <c r="N149" s="336" t="e">
        <f ca="1">_xll.BDP($B149&amp; " Corp","PAYMENT_RANK")</f>
        <v>#NAME?</v>
      </c>
      <c r="O149" s="336" t="e">
        <f ca="1">_xll.BDP($B149&amp; " Corp","MTY_TYP")</f>
        <v>#NAME?</v>
      </c>
      <c r="P149" s="336" t="e">
        <f ca="1">_xll.BDP($B149&amp; " Corp","RUSSIAN_CB_LOMBARD")</f>
        <v>#NAME?</v>
      </c>
      <c r="Q149" s="338" t="e">
        <f ca="1">_xll.BDP(B147&amp;" Corp", "INTERVAL_PERCENT_CHANGE", "END_DATE_OVERRIDE"," ", "START_DATE_OVERRIDe",R149)</f>
        <v>#NAME?</v>
      </c>
      <c r="R149" s="337">
        <v>20140716</v>
      </c>
      <c r="S149" s="336" t="e">
        <f ca="1">_xll.BDP($B147&amp; " Corp","PX_GROSS_MID")</f>
        <v>#NAME?</v>
      </c>
      <c r="T149" s="335" t="e">
        <f ca="1">_xll.BDP($B147&amp; " Corp","MIN_PIECE")</f>
        <v>#NAME?</v>
      </c>
    </row>
    <row r="150" spans="1:20" ht="15.75" x14ac:dyDescent="0.25">
      <c r="A150" s="339" t="e">
        <f ca="1">_xll.BDP(B150&amp; " Corp","name")</f>
        <v>#NAME?</v>
      </c>
      <c r="B150" s="336" t="s">
        <v>479</v>
      </c>
      <c r="C150" s="336" t="e">
        <f ca="1">_xll.BDP(B150 &amp; " Corp","MTY_YEARS_TDY")</f>
        <v>#NAME?</v>
      </c>
      <c r="D150" s="336" t="e">
        <f ca="1">_xll.BDP(B150 &amp; " Corp","px_last")</f>
        <v>#NAME?</v>
      </c>
      <c r="E150" s="336" t="e">
        <f ca="1">_xll.BDP(B150 &amp; " Corp","px_ask")</f>
        <v>#NAME?</v>
      </c>
      <c r="F150" s="336" t="e">
        <f ca="1">_xll.BDP(B150 &amp; " Corp","YLD_YTM_BID")</f>
        <v>#NAME?</v>
      </c>
      <c r="G150" s="336" t="e">
        <f ca="1">_xll.BDP(B150 &amp; " Corp","YLD_YTM_ask")</f>
        <v>#NAME?</v>
      </c>
      <c r="H150" s="336" t="e">
        <f ca="1">_xll.BDP(B150 &amp; " Corp","CPN")</f>
        <v>#NAME?</v>
      </c>
      <c r="I150" s="336" t="e">
        <f ca="1">_xll.BDP(B150&amp; " Corp","MATURITY")</f>
        <v>#NAME?</v>
      </c>
      <c r="J150" s="336" t="e">
        <f ca="1">IF(_xll.BDP(B150 &amp; " Corp","RTG_SP")="#N/A N/A","",_xll.BDP(B150 &amp; " Corp","RTG_SP"))&amp;"/"&amp;IF(_xll.BDP(B150 &amp; " Corp","RTG_fitch")="#N/A N/A","",_xll.BDP(B150 &amp; " Corp","RTG_fitch"))&amp;"/"&amp;IF(_xll.BDP(B150 &amp; " Corp","RTG_moody")="#N/A N/A","",_xll.BDP(B150 &amp; " Corp","RTG_moody"))</f>
        <v>#NAME?</v>
      </c>
      <c r="K150" s="336" t="e">
        <f ca="1">_xll.BDP($B150&amp; " Corp","INDUSTRY_SUBGROUP")</f>
        <v>#NAME?</v>
      </c>
      <c r="L150" s="336" t="e">
        <f ca="1">_xll.BDP(B150 &amp; " Corp","CRNCY")</f>
        <v>#NAME?</v>
      </c>
      <c r="M150" s="336" t="e">
        <f ca="1">_xll.BDP(B150 &amp; " Corp","CNTRY_OF_RISK")</f>
        <v>#NAME?</v>
      </c>
      <c r="N150" s="336" t="e">
        <f ca="1">_xll.BDP($B150&amp; " Corp","PAYMENT_RANK")</f>
        <v>#NAME?</v>
      </c>
      <c r="O150" s="336" t="e">
        <f ca="1">_xll.BDP($B150&amp; " Corp","MTY_TYP")</f>
        <v>#NAME?</v>
      </c>
      <c r="P150" s="336" t="e">
        <f ca="1">_xll.BDP($B150&amp; " Corp","RUSSIAN_CB_LOMBARD")</f>
        <v>#NAME?</v>
      </c>
      <c r="Q150" s="338" t="e">
        <f ca="1">_xll.BDP(B148&amp;" Corp", "INTERVAL_PERCENT_CHANGE", "END_DATE_OVERRIDE"," ", "START_DATE_OVERRIDe",R150)</f>
        <v>#NAME?</v>
      </c>
      <c r="R150" s="337">
        <v>20140716</v>
      </c>
      <c r="S150" s="336" t="e">
        <f ca="1">_xll.BDP($B148&amp; " Corp","PX_GROSS_MID")</f>
        <v>#NAME?</v>
      </c>
      <c r="T150" s="335" t="e">
        <f ca="1">_xll.BDP($B148&amp; " Corp","MIN_PIECE")</f>
        <v>#NAME?</v>
      </c>
    </row>
    <row r="151" spans="1:20" ht="15.75" x14ac:dyDescent="0.25">
      <c r="A151" s="336" t="e">
        <f ca="1">_xll.BDP(B151&amp; " Corp","name")</f>
        <v>#NAME?</v>
      </c>
      <c r="B151" s="336" t="s">
        <v>469</v>
      </c>
      <c r="C151" s="336" t="e">
        <f ca="1">_xll.BDP(B151 &amp; " Corp","MTY_YEARS_TDY")</f>
        <v>#NAME?</v>
      </c>
      <c r="D151" s="336" t="e">
        <f ca="1">_xll.BDP(B151 &amp; " Corp","px_last")</f>
        <v>#NAME?</v>
      </c>
      <c r="E151" s="336" t="e">
        <f ca="1">_xll.BDP(B151 &amp; " Corp","px_ask")</f>
        <v>#NAME?</v>
      </c>
      <c r="F151" s="336" t="e">
        <f ca="1">_xll.BDP(B151 &amp; " Corp","YLD_YTM_BID")</f>
        <v>#NAME?</v>
      </c>
      <c r="G151" s="336" t="e">
        <f ca="1">_xll.BDP(B151 &amp; " Corp","YLD_YTM_ask")</f>
        <v>#NAME?</v>
      </c>
      <c r="H151" s="336" t="e">
        <f ca="1">_xll.BDP(B151 &amp; " Corp","CPN")</f>
        <v>#NAME?</v>
      </c>
      <c r="I151" s="336" t="e">
        <f ca="1">_xll.BDP(B151&amp; " Corp","MATURITY")</f>
        <v>#NAME?</v>
      </c>
      <c r="J151" s="336" t="e">
        <f ca="1">IF(_xll.BDP(B151 &amp; " Corp","RTG_SP")="#N/A N/A","",_xll.BDP(B151 &amp; " Corp","RTG_SP"))&amp;"/"&amp;IF(_xll.BDP(B151 &amp; " Corp","RTG_fitch")="#N/A N/A","",_xll.BDP(B151 &amp; " Corp","RTG_fitch"))&amp;"/"&amp;IF(_xll.BDP(B151 &amp; " Corp","RTG_moody")="#N/A N/A","",_xll.BDP(B151 &amp; " Corp","RTG_moody"))</f>
        <v>#NAME?</v>
      </c>
      <c r="K151" s="336" t="e">
        <f ca="1">_xll.BDP($B151&amp; " Corp","INDUSTRY_SUBGROUP")</f>
        <v>#NAME?</v>
      </c>
      <c r="L151" s="336" t="e">
        <f ca="1">_xll.BDP(B151 &amp; " Corp","CRNCY")</f>
        <v>#NAME?</v>
      </c>
      <c r="M151" s="336" t="e">
        <f ca="1">_xll.BDP(B151 &amp; " Corp","CNTRY_OF_RISK")</f>
        <v>#NAME?</v>
      </c>
      <c r="N151" s="336" t="e">
        <f ca="1">_xll.BDP($B151&amp; " Corp","PAYMENT_RANK")</f>
        <v>#NAME?</v>
      </c>
      <c r="O151" s="336" t="e">
        <f ca="1">_xll.BDP($B151&amp; " Corp","MTY_TYP")</f>
        <v>#NAME?</v>
      </c>
      <c r="P151" s="336" t="e">
        <f ca="1">_xll.BDP($B151&amp; " Corp","RUSSIAN_CB_LOMBARD")</f>
        <v>#NAME?</v>
      </c>
      <c r="Q151" s="338" t="e">
        <f ca="1">_xll.BDP(B149&amp;" Corp", "INTERVAL_PERCENT_CHANGE", "END_DATE_OVERRIDE"," ", "START_DATE_OVERRIDe",R151)</f>
        <v>#NAME?</v>
      </c>
      <c r="R151" s="337">
        <v>20140716</v>
      </c>
      <c r="S151" s="336" t="e">
        <f ca="1">_xll.BDP($B149&amp; " Corp","PX_GROSS_MID")</f>
        <v>#NAME?</v>
      </c>
      <c r="T151" s="335" t="e">
        <f ca="1">_xll.BDP($B149&amp; " Corp","MIN_PIECE")</f>
        <v>#NAME?</v>
      </c>
    </row>
    <row r="152" spans="1:20" ht="15.75" x14ac:dyDescent="0.25">
      <c r="A152" s="336" t="e">
        <f ca="1">_xll.BDP(B152&amp; " Corp","name")</f>
        <v>#NAME?</v>
      </c>
      <c r="B152" s="336" t="s">
        <v>472</v>
      </c>
      <c r="C152" s="336" t="e">
        <f ca="1">_xll.BDP(B152 &amp; " Corp","MTY_YEARS_TDY")</f>
        <v>#NAME?</v>
      </c>
      <c r="D152" s="336" t="e">
        <f ca="1">_xll.BDP(B152 &amp; " Corp","px_last")</f>
        <v>#NAME?</v>
      </c>
      <c r="E152" s="336" t="e">
        <f ca="1">_xll.BDP(B152 &amp; " Corp","px_ask")</f>
        <v>#NAME?</v>
      </c>
      <c r="F152" s="336" t="e">
        <f ca="1">_xll.BDP(B152 &amp; " Corp","YLD_YTM_BID")</f>
        <v>#NAME?</v>
      </c>
      <c r="G152" s="336" t="e">
        <f ca="1">_xll.BDP(B152 &amp; " Corp","YLD_YTM_ask")</f>
        <v>#NAME?</v>
      </c>
      <c r="H152" s="336" t="e">
        <f ca="1">_xll.BDP(B152 &amp; " Corp","CPN")</f>
        <v>#NAME?</v>
      </c>
      <c r="I152" s="336" t="e">
        <f ca="1">_xll.BDP(B152&amp; " Corp","MATURITY")</f>
        <v>#NAME?</v>
      </c>
      <c r="J152" s="336" t="e">
        <f ca="1">IF(_xll.BDP(B152 &amp; " Corp","RTG_SP")="#N/A N/A","",_xll.BDP(B152 &amp; " Corp","RTG_SP"))&amp;"/"&amp;IF(_xll.BDP(B152 &amp; " Corp","RTG_fitch")="#N/A N/A","",_xll.BDP(B152 &amp; " Corp","RTG_fitch"))&amp;"/"&amp;IF(_xll.BDP(B152 &amp; " Corp","RTG_moody")="#N/A N/A","",_xll.BDP(B152 &amp; " Corp","RTG_moody"))</f>
        <v>#NAME?</v>
      </c>
      <c r="K152" s="336" t="e">
        <f ca="1">_xll.BDP($B152&amp; " Corp","INDUSTRY_SUBGROUP")</f>
        <v>#NAME?</v>
      </c>
      <c r="L152" s="336" t="e">
        <f ca="1">_xll.BDP(B152 &amp; " Corp","CRNCY")</f>
        <v>#NAME?</v>
      </c>
      <c r="M152" s="336" t="e">
        <f ca="1">_xll.BDP(B152 &amp; " Corp","CNTRY_OF_RISK")</f>
        <v>#NAME?</v>
      </c>
      <c r="N152" s="336" t="e">
        <f ca="1">_xll.BDP($B152&amp; " Corp","PAYMENT_RANK")</f>
        <v>#NAME?</v>
      </c>
      <c r="O152" s="336" t="e">
        <f ca="1">_xll.BDP($B152&amp; " Corp","MTY_TYP")</f>
        <v>#NAME?</v>
      </c>
      <c r="P152" s="336" t="e">
        <f ca="1">_xll.BDP($B152&amp; " Corp","RUSSIAN_CB_LOMBARD")</f>
        <v>#NAME?</v>
      </c>
      <c r="Q152" s="338" t="e">
        <f ca="1">_xll.BDP(B150&amp;" Corp", "INTERVAL_PERCENT_CHANGE", "END_DATE_OVERRIDE"," ", "START_DATE_OVERRIDe",R152)</f>
        <v>#NAME?</v>
      </c>
      <c r="R152" s="337">
        <v>20140716</v>
      </c>
      <c r="S152" s="336" t="e">
        <f ca="1">_xll.BDP($B150&amp; " Corp","PX_GROSS_MID")</f>
        <v>#NAME?</v>
      </c>
      <c r="T152" s="335" t="e">
        <f ca="1">_xll.BDP($B150&amp; " Corp","MIN_PIECE")</f>
        <v>#NAME?</v>
      </c>
    </row>
    <row r="153" spans="1:20" ht="15.75" x14ac:dyDescent="0.25">
      <c r="A153" s="336" t="e">
        <f ca="1">_xll.BDP(B153&amp; " Corp","name")</f>
        <v>#NAME?</v>
      </c>
      <c r="B153" s="336" t="s">
        <v>471</v>
      </c>
      <c r="C153" s="336" t="e">
        <f ca="1">_xll.BDP(B153 &amp; " Corp","MTY_YEARS_TDY")</f>
        <v>#NAME?</v>
      </c>
      <c r="D153" s="336" t="e">
        <f ca="1">_xll.BDP(B153 &amp; " Corp","px_last")</f>
        <v>#NAME?</v>
      </c>
      <c r="E153" s="336" t="e">
        <f ca="1">_xll.BDP(B153 &amp; " Corp","px_ask")</f>
        <v>#NAME?</v>
      </c>
      <c r="F153" s="336" t="e">
        <f ca="1">_xll.BDP(B153 &amp; " Corp","YLD_YTM_BID")</f>
        <v>#NAME?</v>
      </c>
      <c r="G153" s="336" t="e">
        <f ca="1">_xll.BDP(B153 &amp; " Corp","YLD_YTM_ask")</f>
        <v>#NAME?</v>
      </c>
      <c r="H153" s="336" t="e">
        <f ca="1">_xll.BDP(B153 &amp; " Corp","CPN")</f>
        <v>#NAME?</v>
      </c>
      <c r="I153" s="336" t="e">
        <f ca="1">_xll.BDP(B153&amp; " Corp","MATURITY")</f>
        <v>#NAME?</v>
      </c>
      <c r="J153" s="336" t="e">
        <f ca="1">IF(_xll.BDP(B153 &amp; " Corp","RTG_SP")="#N/A N/A","",_xll.BDP(B153 &amp; " Corp","RTG_SP"))&amp;"/"&amp;IF(_xll.BDP(B153 &amp; " Corp","RTG_fitch")="#N/A N/A","",_xll.BDP(B153 &amp; " Corp","RTG_fitch"))&amp;"/"&amp;IF(_xll.BDP(B153 &amp; " Corp","RTG_moody")="#N/A N/A","",_xll.BDP(B153 &amp; " Corp","RTG_moody"))</f>
        <v>#NAME?</v>
      </c>
      <c r="K153" s="336" t="e">
        <f ca="1">_xll.BDP($B153&amp; " Corp","INDUSTRY_SUBGROUP")</f>
        <v>#NAME?</v>
      </c>
      <c r="L153" s="336" t="e">
        <f ca="1">_xll.BDP(B153 &amp; " Corp","CRNCY")</f>
        <v>#NAME?</v>
      </c>
      <c r="M153" s="336" t="e">
        <f ca="1">_xll.BDP(B153 &amp; " Corp","CNTRY_OF_RISK")</f>
        <v>#NAME?</v>
      </c>
      <c r="N153" s="336" t="e">
        <f ca="1">_xll.BDP($B153&amp; " Corp","PAYMENT_RANK")</f>
        <v>#NAME?</v>
      </c>
      <c r="O153" s="336" t="e">
        <f ca="1">_xll.BDP($B153&amp; " Corp","MTY_TYP")</f>
        <v>#NAME?</v>
      </c>
      <c r="P153" s="336" t="e">
        <f ca="1">_xll.BDP($B153&amp; " Corp","RUSSIAN_CB_LOMBARD")</f>
        <v>#NAME?</v>
      </c>
      <c r="Q153" s="338" t="e">
        <f ca="1">_xll.BDP(B151&amp;" Corp", "INTERVAL_PERCENT_CHANGE", "END_DATE_OVERRIDE"," ", "START_DATE_OVERRIDe",R153)</f>
        <v>#NAME?</v>
      </c>
      <c r="R153" s="337">
        <v>20140716</v>
      </c>
      <c r="S153" s="336" t="e">
        <f ca="1">_xll.BDP($B151&amp; " Corp","PX_GROSS_MID")</f>
        <v>#NAME?</v>
      </c>
      <c r="T153" s="335" t="e">
        <f ca="1">_xll.BDP($B151&amp; " Corp","MIN_PIECE")</f>
        <v>#NAME?</v>
      </c>
    </row>
    <row r="154" spans="1:20" ht="15.75" x14ac:dyDescent="0.25">
      <c r="A154" s="336" t="e">
        <f ca="1">_xll.BDP(B154&amp; " Corp","name")</f>
        <v>#NAME?</v>
      </c>
      <c r="B154" s="336" t="s">
        <v>468</v>
      </c>
      <c r="C154" s="336" t="e">
        <f ca="1">_xll.BDP(B154 &amp; " Corp","MTY_YEARS_TDY")</f>
        <v>#NAME?</v>
      </c>
      <c r="D154" s="336" t="e">
        <f ca="1">_xll.BDP(B154 &amp; " Corp","px_last")</f>
        <v>#NAME?</v>
      </c>
      <c r="E154" s="336" t="e">
        <f ca="1">_xll.BDP(B154 &amp; " Corp","px_ask")</f>
        <v>#NAME?</v>
      </c>
      <c r="F154" s="336" t="e">
        <f ca="1">_xll.BDP(B154 &amp; " Corp","YLD_YTM_BID")</f>
        <v>#NAME?</v>
      </c>
      <c r="G154" s="336" t="e">
        <f ca="1">_xll.BDP(B154 &amp; " Corp","YLD_YTM_ask")</f>
        <v>#NAME?</v>
      </c>
      <c r="H154" s="336" t="e">
        <f ca="1">_xll.BDP(B154 &amp; " Corp","CPN")</f>
        <v>#NAME?</v>
      </c>
      <c r="I154" s="336" t="e">
        <f ca="1">_xll.BDP(B154&amp; " Corp","MATURITY")</f>
        <v>#NAME?</v>
      </c>
      <c r="J154" s="336" t="e">
        <f ca="1">IF(_xll.BDP(B154 &amp; " Corp","RTG_SP")="#N/A N/A","",_xll.BDP(B154 &amp; " Corp","RTG_SP"))&amp;"/"&amp;IF(_xll.BDP(B154 &amp; " Corp","RTG_fitch")="#N/A N/A","",_xll.BDP(B154 &amp; " Corp","RTG_fitch"))&amp;"/"&amp;IF(_xll.BDP(B154 &amp; " Corp","RTG_moody")="#N/A N/A","",_xll.BDP(B154 &amp; " Corp","RTG_moody"))</f>
        <v>#NAME?</v>
      </c>
      <c r="K154" s="336" t="e">
        <f ca="1">_xll.BDP($B154&amp; " Corp","INDUSTRY_SUBGROUP")</f>
        <v>#NAME?</v>
      </c>
      <c r="L154" s="336" t="e">
        <f ca="1">_xll.BDP(B154 &amp; " Corp","CRNCY")</f>
        <v>#NAME?</v>
      </c>
      <c r="M154" s="336" t="e">
        <f ca="1">_xll.BDP(B154 &amp; " Corp","CNTRY_OF_RISK")</f>
        <v>#NAME?</v>
      </c>
      <c r="N154" s="336" t="e">
        <f ca="1">_xll.BDP($B154&amp; " Corp","PAYMENT_RANK")</f>
        <v>#NAME?</v>
      </c>
      <c r="O154" s="336" t="e">
        <f ca="1">_xll.BDP($B154&amp; " Corp","MTY_TYP")</f>
        <v>#NAME?</v>
      </c>
      <c r="P154" s="336" t="e">
        <f ca="1">_xll.BDP($B154&amp; " Corp","RUSSIAN_CB_LOMBARD")</f>
        <v>#NAME?</v>
      </c>
      <c r="Q154" s="338" t="e">
        <f ca="1">_xll.BDP(B152&amp;" Corp", "INTERVAL_PERCENT_CHANGE", "END_DATE_OVERRIDE"," ", "START_DATE_OVERRIDe",R154)</f>
        <v>#NAME?</v>
      </c>
      <c r="R154" s="337">
        <v>20140716</v>
      </c>
      <c r="S154" s="336" t="e">
        <f ca="1">_xll.BDP($B152&amp; " Corp","PX_GROSS_MID")</f>
        <v>#NAME?</v>
      </c>
      <c r="T154" s="335" t="e">
        <f ca="1">_xll.BDP($B152&amp; " Corp","MIN_PIECE")</f>
        <v>#NAME?</v>
      </c>
    </row>
    <row r="155" spans="1:20" ht="15.75" x14ac:dyDescent="0.25">
      <c r="A155" s="339" t="e">
        <f ca="1">_xll.BDP(B155&amp; " Corp","name")</f>
        <v>#NAME?</v>
      </c>
      <c r="B155" s="336" t="s">
        <v>467</v>
      </c>
      <c r="C155" s="336" t="e">
        <f ca="1">_xll.BDP(B155 &amp; " Corp","MTY_YEARS_TDY")</f>
        <v>#NAME?</v>
      </c>
      <c r="D155" s="336" t="e">
        <f ca="1">_xll.BDP(B155 &amp; " Corp","px_last")</f>
        <v>#NAME?</v>
      </c>
      <c r="E155" s="336" t="e">
        <f ca="1">_xll.BDP(B155 &amp; " Corp","px_ask")</f>
        <v>#NAME?</v>
      </c>
      <c r="F155" s="336" t="e">
        <f ca="1">_xll.BDP(B155 &amp; " Corp","YLD_YTM_BID")</f>
        <v>#NAME?</v>
      </c>
      <c r="G155" s="336" t="e">
        <f ca="1">_xll.BDP(B155 &amp; " Corp","YLD_YTM_ask")</f>
        <v>#NAME?</v>
      </c>
      <c r="H155" s="336" t="e">
        <f ca="1">_xll.BDP(B155 &amp; " Corp","CPN")</f>
        <v>#NAME?</v>
      </c>
      <c r="I155" s="336" t="e">
        <f ca="1">_xll.BDP(B155&amp; " Corp","MATURITY")</f>
        <v>#NAME?</v>
      </c>
      <c r="J155" s="336" t="e">
        <f ca="1">IF(_xll.BDP(B155 &amp; " Corp","RTG_SP")="#N/A N/A","",_xll.BDP(B155 &amp; " Corp","RTG_SP"))&amp;"/"&amp;IF(_xll.BDP(B155 &amp; " Corp","RTG_fitch")="#N/A N/A","",_xll.BDP(B155 &amp; " Corp","RTG_fitch"))&amp;"/"&amp;IF(_xll.BDP(B155 &amp; " Corp","RTG_moody")="#N/A N/A","",_xll.BDP(B155 &amp; " Corp","RTG_moody"))</f>
        <v>#NAME?</v>
      </c>
      <c r="K155" s="336" t="e">
        <f ca="1">_xll.BDP($B155&amp; " Corp","INDUSTRY_SUBGROUP")</f>
        <v>#NAME?</v>
      </c>
      <c r="L155" s="336" t="e">
        <f ca="1">_xll.BDP(B155 &amp; " Corp","CRNCY")</f>
        <v>#NAME?</v>
      </c>
      <c r="M155" s="336" t="e">
        <f ca="1">_xll.BDP(B155 &amp; " Corp","CNTRY_OF_RISK")</f>
        <v>#NAME?</v>
      </c>
      <c r="N155" s="336" t="e">
        <f ca="1">_xll.BDP($B155&amp; " Corp","PAYMENT_RANK")</f>
        <v>#NAME?</v>
      </c>
      <c r="O155" s="336" t="e">
        <f ca="1">_xll.BDP($B155&amp; " Corp","MTY_TYP")</f>
        <v>#NAME?</v>
      </c>
      <c r="P155" s="336" t="e">
        <f ca="1">_xll.BDP($B155&amp; " Corp","RUSSIAN_CB_LOMBARD")</f>
        <v>#NAME?</v>
      </c>
      <c r="Q155" s="338" t="e">
        <f ca="1">_xll.BDP(B153&amp;" Corp", "INTERVAL_PERCENT_CHANGE", "END_DATE_OVERRIDE"," ", "START_DATE_OVERRIDe",R155)</f>
        <v>#NAME?</v>
      </c>
      <c r="R155" s="337">
        <v>20140716</v>
      </c>
      <c r="S155" s="336" t="e">
        <f ca="1">_xll.BDP($B153&amp; " Corp","PX_GROSS_MID")</f>
        <v>#NAME?</v>
      </c>
      <c r="T155" s="335" t="e">
        <f ca="1">_xll.BDP($B153&amp; " Corp","MIN_PIECE")</f>
        <v>#NAME?</v>
      </c>
    </row>
    <row r="156" spans="1:20" ht="15.75" x14ac:dyDescent="0.25">
      <c r="A156" s="339" t="e">
        <f ca="1">_xll.BDP(B156&amp; " Corp","name")</f>
        <v>#NAME?</v>
      </c>
      <c r="B156" s="336" t="s">
        <v>466</v>
      </c>
      <c r="C156" s="336" t="e">
        <f ca="1">_xll.BDP(B156 &amp; " Corp","MTY_YEARS_TDY")</f>
        <v>#NAME?</v>
      </c>
      <c r="D156" s="336" t="e">
        <f ca="1">_xll.BDP(B156 &amp; " Corp","px_last")</f>
        <v>#NAME?</v>
      </c>
      <c r="E156" s="336" t="e">
        <f ca="1">_xll.BDP(B156 &amp; " Corp","px_ask")</f>
        <v>#NAME?</v>
      </c>
      <c r="F156" s="336" t="e">
        <f ca="1">_xll.BDP(B156 &amp; " Corp","YLD_YTM_BID")</f>
        <v>#NAME?</v>
      </c>
      <c r="G156" s="336" t="e">
        <f ca="1">_xll.BDP(B156 &amp; " Corp","YLD_YTM_ask")</f>
        <v>#NAME?</v>
      </c>
      <c r="H156" s="336" t="e">
        <f ca="1">_xll.BDP(B156 &amp; " Corp","CPN")</f>
        <v>#NAME?</v>
      </c>
      <c r="I156" s="336" t="e">
        <f ca="1">_xll.BDP(B156&amp; " Corp","MATURITY")</f>
        <v>#NAME?</v>
      </c>
      <c r="J156" s="336" t="e">
        <f ca="1">IF(_xll.BDP(B156 &amp; " Corp","RTG_SP")="#N/A N/A","",_xll.BDP(B156 &amp; " Corp","RTG_SP"))&amp;"/"&amp;IF(_xll.BDP(B156 &amp; " Corp","RTG_fitch")="#N/A N/A","",_xll.BDP(B156 &amp; " Corp","RTG_fitch"))&amp;"/"&amp;IF(_xll.BDP(B156 &amp; " Corp","RTG_moody")="#N/A N/A","",_xll.BDP(B156 &amp; " Corp","RTG_moody"))</f>
        <v>#NAME?</v>
      </c>
      <c r="K156" s="336" t="e">
        <f ca="1">_xll.BDP($B156&amp; " Corp","INDUSTRY_SUBGROUP")</f>
        <v>#NAME?</v>
      </c>
      <c r="L156" s="336" t="e">
        <f ca="1">_xll.BDP(B156 &amp; " Corp","CRNCY")</f>
        <v>#NAME?</v>
      </c>
      <c r="M156" s="336" t="e">
        <f ca="1">_xll.BDP(B156 &amp; " Corp","CNTRY_OF_RISK")</f>
        <v>#NAME?</v>
      </c>
      <c r="N156" s="336" t="e">
        <f ca="1">_xll.BDP($B156&amp; " Corp","PAYMENT_RANK")</f>
        <v>#NAME?</v>
      </c>
      <c r="O156" s="336" t="e">
        <f ca="1">_xll.BDP($B156&amp; " Corp","MTY_TYP")</f>
        <v>#NAME?</v>
      </c>
      <c r="P156" s="336" t="e">
        <f ca="1">_xll.BDP($B156&amp; " Corp","RUSSIAN_CB_LOMBARD")</f>
        <v>#NAME?</v>
      </c>
      <c r="Q156" s="338" t="e">
        <f ca="1">_xll.BDP(B154&amp;" Corp", "INTERVAL_PERCENT_CHANGE", "END_DATE_OVERRIDE"," ", "START_DATE_OVERRIDe",R156)</f>
        <v>#NAME?</v>
      </c>
      <c r="R156" s="337">
        <v>20140716</v>
      </c>
      <c r="S156" s="336" t="e">
        <f ca="1">_xll.BDP($B154&amp; " Corp","PX_GROSS_MID")</f>
        <v>#NAME?</v>
      </c>
      <c r="T156" s="335" t="e">
        <f ca="1">_xll.BDP($B154&amp; " Corp","MIN_PIECE")</f>
        <v>#NAME?</v>
      </c>
    </row>
    <row r="157" spans="1:20" ht="15.75" x14ac:dyDescent="0.25">
      <c r="A157" s="336" t="e">
        <f ca="1">_xll.BDP(B157&amp; " Corp","name")</f>
        <v>#NAME?</v>
      </c>
      <c r="B157" s="336" t="s">
        <v>465</v>
      </c>
      <c r="C157" s="336" t="e">
        <f ca="1">_xll.BDP(B157 &amp; " Corp","MTY_YEARS_TDY")</f>
        <v>#NAME?</v>
      </c>
      <c r="D157" s="336" t="e">
        <f ca="1">_xll.BDP(B157 &amp; " Corp","px_last")</f>
        <v>#NAME?</v>
      </c>
      <c r="E157" s="336" t="e">
        <f ca="1">_xll.BDP(B157 &amp; " Corp","px_ask")</f>
        <v>#NAME?</v>
      </c>
      <c r="F157" s="336" t="e">
        <f ca="1">_xll.BDP(B157 &amp; " Corp","YLD_YTM_BID")</f>
        <v>#NAME?</v>
      </c>
      <c r="G157" s="336" t="e">
        <f ca="1">_xll.BDP(B157 &amp; " Corp","YLD_YTM_ask")</f>
        <v>#NAME?</v>
      </c>
      <c r="H157" s="336" t="e">
        <f ca="1">_xll.BDP(B157 &amp; " Corp","CPN")</f>
        <v>#NAME?</v>
      </c>
      <c r="I157" s="336" t="e">
        <f ca="1">_xll.BDP(B157&amp; " Corp","MATURITY")</f>
        <v>#NAME?</v>
      </c>
      <c r="J157" s="336" t="e">
        <f ca="1">IF(_xll.BDP(B157 &amp; " Corp","RTG_SP")="#N/A N/A","",_xll.BDP(B157 &amp; " Corp","RTG_SP"))&amp;"/"&amp;IF(_xll.BDP(B157 &amp; " Corp","RTG_fitch")="#N/A N/A","",_xll.BDP(B157 &amp; " Corp","RTG_fitch"))&amp;"/"&amp;IF(_xll.BDP(B157 &amp; " Corp","RTG_moody")="#N/A N/A","",_xll.BDP(B157 &amp; " Corp","RTG_moody"))</f>
        <v>#NAME?</v>
      </c>
      <c r="K157" s="336" t="e">
        <f ca="1">_xll.BDP($B157&amp; " Corp","INDUSTRY_SUBGROUP")</f>
        <v>#NAME?</v>
      </c>
      <c r="L157" s="336" t="e">
        <f ca="1">_xll.BDP(B157 &amp; " Corp","CRNCY")</f>
        <v>#NAME?</v>
      </c>
      <c r="M157" s="336" t="e">
        <f ca="1">_xll.BDP(B157 &amp; " Corp","CNTRY_OF_RISK")</f>
        <v>#NAME?</v>
      </c>
      <c r="N157" s="336" t="e">
        <f ca="1">_xll.BDP($B157&amp; " Corp","PAYMENT_RANK")</f>
        <v>#NAME?</v>
      </c>
      <c r="O157" s="336" t="e">
        <f ca="1">_xll.BDP($B157&amp; " Corp","MTY_TYP")</f>
        <v>#NAME?</v>
      </c>
      <c r="P157" s="336" t="e">
        <f ca="1">_xll.BDP($B157&amp; " Corp","RUSSIAN_CB_LOMBARD")</f>
        <v>#NAME?</v>
      </c>
      <c r="Q157" s="338" t="e">
        <f ca="1">_xll.BDP(B155&amp;" Corp", "INTERVAL_PERCENT_CHANGE", "END_DATE_OVERRIDE"," ", "START_DATE_OVERRIDe",R157)</f>
        <v>#NAME?</v>
      </c>
      <c r="R157" s="337">
        <v>20140716</v>
      </c>
      <c r="S157" s="336" t="e">
        <f ca="1">_xll.BDP($B155&amp; " Corp","PX_GROSS_MID")</f>
        <v>#NAME?</v>
      </c>
      <c r="T157" s="335" t="e">
        <f ca="1">_xll.BDP($B155&amp; " Corp","MIN_PIECE")</f>
        <v>#NAME?</v>
      </c>
    </row>
    <row r="158" spans="1:20" ht="15.75" x14ac:dyDescent="0.25">
      <c r="Q158" s="338" t="e">
        <f ca="1">_xll.BDP(B156&amp;" Corp", "INTERVAL_PERCENT_CHANGE", "END_DATE_OVERRIDE"," ", "START_DATE_OVERRIDe",R158)</f>
        <v>#NAME?</v>
      </c>
      <c r="R158" s="337">
        <v>20140716</v>
      </c>
      <c r="S158" s="336" t="e">
        <f ca="1">_xll.BDP($B156&amp; " Corp","PX_GROSS_MID")</f>
        <v>#NAME?</v>
      </c>
      <c r="T158" s="335" t="e">
        <f ca="1">_xll.BDP($B156&amp; " Corp","MIN_PIECE")</f>
        <v>#NAME?</v>
      </c>
    </row>
    <row r="159" spans="1:20" ht="15.75" x14ac:dyDescent="0.25">
      <c r="Q159" s="338" t="e">
        <f ca="1">_xll.BDP(B157&amp;" Corp", "INTERVAL_PERCENT_CHANGE", "END_DATE_OVERRIDE"," ", "START_DATE_OVERRIDe",R159)</f>
        <v>#NAME?</v>
      </c>
      <c r="R159" s="337">
        <v>20140716</v>
      </c>
      <c r="S159" s="336" t="e">
        <f ca="1">_xll.BDP($B157&amp; " Corp","PX_GROSS_MID")</f>
        <v>#NAME?</v>
      </c>
      <c r="T159" s="335" t="e">
        <f ca="1">_xll.BDP($B157&amp; " Corp","MIN_PIECE")</f>
        <v>#NAME?</v>
      </c>
    </row>
  </sheetData>
  <autoFilter ref="A2:T159">
    <sortState ref="A3:T166">
      <sortCondition ref="C2:C161"/>
    </sortState>
  </autoFilter>
  <sortState ref="A119:T157">
    <sortCondition descending="1" ref="G119:G157"/>
  </sortState>
  <mergeCells count="2">
    <mergeCell ref="D1:E1"/>
    <mergeCell ref="F1:G1"/>
  </mergeCells>
  <pageMargins left="0.7" right="0.7" top="0.75" bottom="0.75" header="0.3" footer="0.3"/>
  <pageSetup paperSize="9" scale="44" fitToHeight="0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G11"/>
  <sheetViews>
    <sheetView workbookViewId="0">
      <selection activeCell="H36" sqref="H36"/>
    </sheetView>
  </sheetViews>
  <sheetFormatPr defaultRowHeight="15" x14ac:dyDescent="0.25"/>
  <cols>
    <col min="1" max="1" width="25" customWidth="1"/>
    <col min="2" max="2" width="18" bestFit="1" customWidth="1"/>
    <col min="3" max="3" width="18" style="109" customWidth="1"/>
    <col min="4" max="4" width="20.140625" customWidth="1"/>
    <col min="5" max="5" width="16" customWidth="1"/>
    <col min="6" max="6" width="19.7109375" customWidth="1"/>
    <col min="7" max="7" width="19" customWidth="1"/>
  </cols>
  <sheetData>
    <row r="1" spans="1:7" x14ac:dyDescent="0.25">
      <c r="F1" s="32" t="s">
        <v>122</v>
      </c>
      <c r="G1" s="32" t="e">
        <f ca="1">_xll.BDP(F1,"PX last")</f>
        <v>#NAME?</v>
      </c>
    </row>
    <row r="3" spans="1:7" ht="38.25" x14ac:dyDescent="0.25">
      <c r="A3" s="407" t="s">
        <v>105</v>
      </c>
      <c r="B3" s="394" t="s">
        <v>104</v>
      </c>
      <c r="C3" s="394" t="s">
        <v>636</v>
      </c>
      <c r="D3" s="394" t="s">
        <v>119</v>
      </c>
      <c r="E3" s="394" t="s">
        <v>118</v>
      </c>
      <c r="F3" s="394" t="s">
        <v>97</v>
      </c>
      <c r="G3" s="394" t="s">
        <v>704</v>
      </c>
    </row>
    <row r="4" spans="1:7" x14ac:dyDescent="0.25">
      <c r="A4" s="387" t="e">
        <f ca="1">_xll.BDP(B4,"SHORT_NAME")</f>
        <v>#NAME?</v>
      </c>
      <c r="B4" s="41" t="s">
        <v>186</v>
      </c>
      <c r="C4" s="408" t="e">
        <f ca="1">_xll.BDP(B4,"ID_ISIN")</f>
        <v>#NAME?</v>
      </c>
      <c r="D4" s="386">
        <v>45912</v>
      </c>
      <c r="E4" s="387" t="e">
        <f ca="1">_xll.BDP(B4,"PX_LAST")</f>
        <v>#NAME?</v>
      </c>
      <c r="F4" s="388" t="e">
        <f ca="1">_xll.BDP(B4,"CRNCY")</f>
        <v>#NAME?</v>
      </c>
      <c r="G4" s="389" t="e">
        <f ca="1">D4*E4/$G$1</f>
        <v>#NAME?</v>
      </c>
    </row>
    <row r="5" spans="1:7" x14ac:dyDescent="0.25">
      <c r="A5" s="387" t="e">
        <f ca="1">_xll.BDP(B5,"SHORT_NAME")</f>
        <v>#NAME?</v>
      </c>
      <c r="B5" s="41" t="s">
        <v>74</v>
      </c>
      <c r="C5" s="408" t="e">
        <f ca="1">_xll.BDP(B5,"ID_ISIN")</f>
        <v>#NAME?</v>
      </c>
      <c r="D5" s="386">
        <v>38544200</v>
      </c>
      <c r="E5" s="387" t="e">
        <f ca="1">_xll.BDP(B5,"PX_LAST")</f>
        <v>#NAME?</v>
      </c>
      <c r="F5" s="388" t="e">
        <f ca="1">_xll.BDP(B5,"CRNCY")</f>
        <v>#NAME?</v>
      </c>
      <c r="G5" s="389" t="e">
        <f ca="1">D5*E5/$G$1</f>
        <v>#NAME?</v>
      </c>
    </row>
    <row r="6" spans="1:7" x14ac:dyDescent="0.25">
      <c r="A6" s="68" t="s">
        <v>705</v>
      </c>
      <c r="B6" s="384"/>
      <c r="C6" s="384"/>
      <c r="D6" s="384"/>
      <c r="E6" s="384"/>
      <c r="F6" s="384"/>
      <c r="G6" s="385" t="e">
        <f ca="1">SUM(G4:G5)</f>
        <v>#NAME?</v>
      </c>
    </row>
    <row r="9" spans="1:7" x14ac:dyDescent="0.25">
      <c r="E9">
        <v>7860</v>
      </c>
      <c r="F9">
        <v>234</v>
      </c>
      <c r="G9">
        <f>E9*F9</f>
        <v>1839240</v>
      </c>
    </row>
    <row r="10" spans="1:7" x14ac:dyDescent="0.25">
      <c r="E10">
        <v>7140</v>
      </c>
      <c r="F10">
        <v>232.82913199999999</v>
      </c>
      <c r="G10" s="109">
        <f>E10*F10</f>
        <v>1662400.0024799998</v>
      </c>
    </row>
    <row r="11" spans="1:7" x14ac:dyDescent="0.25">
      <c r="E11">
        <f>SUM(E9:E10)</f>
        <v>15000</v>
      </c>
      <c r="F11">
        <f>G11/E11</f>
        <v>233.44266683199999</v>
      </c>
      <c r="G11" s="109">
        <f>SUM(G9:G10)</f>
        <v>3501640.0024799998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  <pageSetUpPr fitToPage="1"/>
  </sheetPr>
  <dimension ref="A1:AY79"/>
  <sheetViews>
    <sheetView topLeftCell="A7" zoomScaleNormal="100" workbookViewId="0">
      <pane xSplit="1" topLeftCell="B1" activePane="topRight" state="frozen"/>
      <selection pane="topRight" activeCell="A35" sqref="A35"/>
    </sheetView>
  </sheetViews>
  <sheetFormatPr defaultRowHeight="15" x14ac:dyDescent="0.25"/>
  <cols>
    <col min="1" max="1" width="16.28515625" style="109" bestFit="1" customWidth="1"/>
    <col min="2" max="2" width="17.28515625" style="109" customWidth="1"/>
    <col min="3" max="3" width="10.7109375" style="109" customWidth="1"/>
    <col min="4" max="4" width="11.28515625" style="109" customWidth="1"/>
    <col min="5" max="5" width="11" style="109" customWidth="1"/>
    <col min="6" max="6" width="12.42578125" style="109" customWidth="1"/>
    <col min="7" max="7" width="11.5703125" style="109" customWidth="1"/>
    <col min="8" max="8" width="7" style="109" customWidth="1"/>
    <col min="9" max="9" width="10.7109375" style="109" customWidth="1"/>
    <col min="10" max="10" width="9.28515625" style="109" customWidth="1"/>
    <col min="11" max="11" width="8.28515625" style="109" customWidth="1"/>
    <col min="12" max="12" width="6.5703125" style="109" customWidth="1"/>
    <col min="13" max="13" width="9.85546875" style="109" customWidth="1"/>
    <col min="14" max="14" width="7.140625" style="109" customWidth="1"/>
    <col min="15" max="15" width="6.140625" style="109" customWidth="1"/>
    <col min="16" max="16" width="10.42578125" style="109" customWidth="1"/>
    <col min="17" max="17" width="10.5703125" style="109" customWidth="1"/>
    <col min="18" max="18" width="7.140625" style="109" customWidth="1"/>
    <col min="19" max="19" width="10" style="109" customWidth="1"/>
    <col min="20" max="20" width="11.140625" style="109" customWidth="1"/>
    <col min="21" max="21" width="9.5703125" style="109" customWidth="1"/>
    <col min="22" max="22" width="10.42578125" style="109" customWidth="1"/>
    <col min="23" max="23" width="10.85546875" style="109" customWidth="1"/>
    <col min="24" max="24" width="9.42578125" style="109" customWidth="1"/>
    <col min="25" max="25" width="8.7109375" style="109" customWidth="1"/>
    <col min="26" max="26" width="12.85546875" style="109" customWidth="1"/>
    <col min="27" max="27" width="7.28515625" style="109" customWidth="1"/>
    <col min="28" max="28" width="10.42578125" style="109" customWidth="1"/>
    <col min="29" max="29" width="8.85546875" style="109" bestFit="1" customWidth="1"/>
    <col min="30" max="30" width="8" style="109" customWidth="1"/>
    <col min="31" max="31" width="10.42578125" style="109" customWidth="1"/>
    <col min="32" max="33" width="9.140625" style="109"/>
    <col min="34" max="34" width="13.85546875" style="109" customWidth="1"/>
    <col min="35" max="16384" width="9.140625" style="109"/>
  </cols>
  <sheetData>
    <row r="1" spans="1:51" s="650" customFormat="1" ht="45.75" thickBot="1" x14ac:dyDescent="0.3">
      <c r="A1" s="648" t="s">
        <v>0</v>
      </c>
      <c r="B1" s="457" t="s">
        <v>9</v>
      </c>
      <c r="C1" s="457" t="s">
        <v>25</v>
      </c>
      <c r="D1" s="457" t="s">
        <v>33</v>
      </c>
      <c r="E1" s="457" t="s">
        <v>32</v>
      </c>
      <c r="F1" s="457" t="s">
        <v>289</v>
      </c>
      <c r="G1" s="457" t="s">
        <v>741</v>
      </c>
      <c r="H1" s="457" t="s">
        <v>785</v>
      </c>
      <c r="I1" s="459" t="s">
        <v>16</v>
      </c>
      <c r="J1" s="457" t="s">
        <v>743</v>
      </c>
      <c r="K1" s="457" t="s">
        <v>370</v>
      </c>
      <c r="L1" s="457" t="s">
        <v>371</v>
      </c>
      <c r="M1" s="457" t="s">
        <v>1</v>
      </c>
      <c r="N1" s="457" t="s">
        <v>742</v>
      </c>
      <c r="O1" s="458" t="s">
        <v>723</v>
      </c>
      <c r="P1" s="458" t="s">
        <v>780</v>
      </c>
      <c r="Q1" s="457" t="s">
        <v>232</v>
      </c>
      <c r="R1" s="457" t="s">
        <v>244</v>
      </c>
      <c r="S1" s="457" t="s">
        <v>245</v>
      </c>
      <c r="T1" s="457" t="s">
        <v>231</v>
      </c>
      <c r="U1" s="457" t="s">
        <v>246</v>
      </c>
      <c r="V1" s="457" t="s">
        <v>247</v>
      </c>
      <c r="W1" s="457" t="s">
        <v>248</v>
      </c>
      <c r="X1" s="457" t="s">
        <v>249</v>
      </c>
      <c r="Y1" s="457" t="s">
        <v>250</v>
      </c>
      <c r="Z1" s="457" t="s">
        <v>251</v>
      </c>
      <c r="AA1" s="457" t="s">
        <v>252</v>
      </c>
      <c r="AB1" s="457" t="s">
        <v>654</v>
      </c>
      <c r="AC1" s="457" t="s">
        <v>24</v>
      </c>
      <c r="AD1" s="457" t="s">
        <v>254</v>
      </c>
      <c r="AE1" s="649" t="s">
        <v>784</v>
      </c>
      <c r="AF1" s="649" t="s">
        <v>195</v>
      </c>
      <c r="AG1" s="649" t="e">
        <f ca="1">_xll.BDP($AF$1,"PX_LAST")</f>
        <v>#NAME?</v>
      </c>
      <c r="AH1" s="649" t="s">
        <v>122</v>
      </c>
      <c r="AI1" s="649" t="e">
        <f ca="1">_xll.BDP($AH$1,"PX_LAST")</f>
        <v>#NAME?</v>
      </c>
      <c r="AJ1" s="649" t="s">
        <v>298</v>
      </c>
      <c r="AK1" s="649" t="e">
        <f ca="1">_xll.BDP($AJ$1,"PX_LAST")</f>
        <v>#NAME?</v>
      </c>
      <c r="AL1" s="649" t="s">
        <v>203</v>
      </c>
      <c r="AM1" s="649" t="e">
        <f ca="1">_xll.BDP($AL$1,"PX_LAST")</f>
        <v>#NAME?</v>
      </c>
      <c r="AN1" s="649" t="s">
        <v>299</v>
      </c>
      <c r="AO1" s="649" t="e">
        <f ca="1">_xll.BDP($AN$1,"PX_LAST")</f>
        <v>#NAME?</v>
      </c>
      <c r="AP1" s="649" t="s">
        <v>300</v>
      </c>
      <c r="AQ1" s="649" t="e">
        <f ca="1">_xll.BDP($AP$1,"PX_LAST")</f>
        <v>#NAME?</v>
      </c>
      <c r="AR1" s="649" t="s">
        <v>301</v>
      </c>
      <c r="AS1" s="649" t="e">
        <f ca="1">_xll.BDP($AR$1,"PX_LAST")</f>
        <v>#NAME?</v>
      </c>
      <c r="AT1" s="649" t="s">
        <v>302</v>
      </c>
      <c r="AU1" s="649" t="e">
        <f ca="1">_xll.BDP($AT$1,"PX_LAST")</f>
        <v>#NAME?</v>
      </c>
      <c r="AV1" s="649" t="s">
        <v>303</v>
      </c>
      <c r="AW1" s="649" t="e">
        <f ca="1">_xll.BDP($AV$1,"PX_LAST")</f>
        <v>#NAME?</v>
      </c>
      <c r="AX1" s="649" t="s">
        <v>304</v>
      </c>
      <c r="AY1" s="649" t="e">
        <f ca="1">_xll.BDP($AX$1,"PX_LAST")</f>
        <v>#NAME?</v>
      </c>
    </row>
    <row r="2" spans="1:51" s="1" customFormat="1" x14ac:dyDescent="0.25">
      <c r="A2" s="651" t="s">
        <v>706</v>
      </c>
      <c r="B2" s="652" t="e">
        <f ca="1">_xll.BDP($A2,"SHORT_NAME")</f>
        <v>#NAME?</v>
      </c>
      <c r="C2" s="652" t="e">
        <f ca="1">_xll.BDP($A2,"PX_LAST")</f>
        <v>#NAME?</v>
      </c>
      <c r="D2" s="653" t="e">
        <f ca="1">_xll.BDP($A2,"CHG_PCT_WTD")</f>
        <v>#NAME?</v>
      </c>
      <c r="E2" s="653" t="e">
        <f ca="1">_xll.BDP($A2,"CHG_PCT_1M")</f>
        <v>#NAME?</v>
      </c>
      <c r="F2" s="653" t="e">
        <f ca="1">_xll.BDP($A2,"CHG_PCT_1YR")</f>
        <v>#NAME?</v>
      </c>
      <c r="G2" s="653" t="e">
        <f ca="1">_xll.BDP($A2,"CHG_PCT_YTD")</f>
        <v>#NAME?</v>
      </c>
      <c r="H2" s="653" t="e">
        <f ca="1">_xll.BDP($A2,"BEST_TARGET_PRICE")</f>
        <v>#NAME?</v>
      </c>
      <c r="I2" s="654" t="e">
        <f t="shared" ref="I2:I28" ca="1" si="0">H2/C2-1</f>
        <v>#NAME?</v>
      </c>
      <c r="J2" s="655" t="e">
        <f ca="1">_xll.BDP($A2,"CUR_MKT_CAP")/1000000/$AI$1</f>
        <v>#NAME?</v>
      </c>
      <c r="K2" s="655" t="e">
        <f ca="1">_xll.BDP($A2,"EQY_FREE_FLOAT_PCT")</f>
        <v>#NAME?</v>
      </c>
      <c r="L2" s="656" t="e">
        <f ca="1">_xll.BDP($A2,"AVG_DAILY_VALUE_TRADED_6M")/$AI$1/1000000</f>
        <v>#NAME?</v>
      </c>
      <c r="M2" s="655" t="e">
        <f ca="1">_xll.BDP($A2,"INDUSTRY_GROUP")</f>
        <v>#NAME?</v>
      </c>
      <c r="N2" s="656" t="e">
        <f ca="1">_xll.BDP($A2,"EQY_BETA_6M")</f>
        <v>#NAME?</v>
      </c>
      <c r="O2" s="656" t="e">
        <f ca="1">_xll.BDP($A2,"EST_PE_NXT_YR")</f>
        <v>#NAME?</v>
      </c>
      <c r="P2" s="656" t="e">
        <f ca="1">_xll.BDP($A2,"EST_EV_THIS_YR_EBITDA")</f>
        <v>#NAME?</v>
      </c>
      <c r="Q2" s="656" t="e">
        <f ca="1">_xll.BDP($A2,"CURRENT_EV_TO_12M_SALES")</f>
        <v>#NAME?</v>
      </c>
      <c r="R2" s="656" t="e">
        <f ca="1">_xll.BDP($A2,"PX_TO_BOOK_RATIO")</f>
        <v>#NAME?</v>
      </c>
      <c r="S2" s="656" t="e">
        <f ca="1">_xll.BDP($A2,"PX_TO_FREE_CASH_FLOW")</f>
        <v>#NAME?</v>
      </c>
      <c r="T2" s="656" t="e">
        <f ca="1">_xll.BDP($A2,"NET_DEBT_TO_EBITDA")</f>
        <v>#NAME?</v>
      </c>
      <c r="U2" s="656" t="e">
        <f ca="1">_xll.BDP($A2,"SALES_GROWTH")</f>
        <v>#NAME?</v>
      </c>
      <c r="V2" s="656" t="e">
        <f ca="1">_xll.BDP($A2,"EPS_GROWTH")</f>
        <v>#NAME?</v>
      </c>
      <c r="W2" s="656" t="e">
        <f ca="1">_xll.BDP($A2,"EBITDA_MARGIN")</f>
        <v>#NAME?</v>
      </c>
      <c r="X2" s="656" t="e">
        <f ca="1">_xll.BDP($A2,"EBIT_MARGIN")</f>
        <v>#NAME?</v>
      </c>
      <c r="Y2" s="656" t="e">
        <f ca="1">_xll.BDP($A2,"TRAIL_12M_PROF_MARGIN")</f>
        <v>#NAME?</v>
      </c>
      <c r="Z2" s="656" t="e">
        <f ca="1">_xll.BDP($A2,"NORMALIZED_ROE")</f>
        <v>#NAME?</v>
      </c>
      <c r="AA2" s="657" t="e">
        <f ca="1">_xll.BDP($A2,"BDVD_PROJ_12M_YLD")</f>
        <v>#NAME?</v>
      </c>
      <c r="AB2" s="657" t="e">
        <f ca="1">_xll.BDP($A2,"DVD_RECORD_DT")</f>
        <v>#NAME?</v>
      </c>
      <c r="AC2" s="669" t="e">
        <f ca="1">_xll.BDP($A2,"EQY_REC_CONS")</f>
        <v>#NAME?</v>
      </c>
      <c r="AD2" s="656" t="e">
        <f ca="1">_xll.BDP($A2,"PCT_REVENUE_FROM_FOREIGN_SOURCES")</f>
        <v>#NAME?</v>
      </c>
      <c r="AE2" s="658" t="e">
        <f ca="1">_xll.BDP($A2,"BDVD_NEXT_EST_DECL_DT")</f>
        <v>#NAME?</v>
      </c>
    </row>
    <row r="3" spans="1:51" s="708" customFormat="1" x14ac:dyDescent="0.25">
      <c r="A3" s="659" t="s">
        <v>139</v>
      </c>
      <c r="B3" s="2" t="e">
        <f ca="1">_xll.BDP($A3,"SHORT_NAME")</f>
        <v>#NAME?</v>
      </c>
      <c r="C3" s="2" t="e">
        <f ca="1">_xll.BDP($A3,"PX_LAST")</f>
        <v>#NAME?</v>
      </c>
      <c r="D3" s="5" t="e">
        <f ca="1">_xll.BDP($A3,"CHG_PCT_WTD")</f>
        <v>#NAME?</v>
      </c>
      <c r="E3" s="5" t="e">
        <f ca="1">_xll.BDP($A3,"CHG_PCT_1M")</f>
        <v>#NAME?</v>
      </c>
      <c r="F3" s="5" t="e">
        <f ca="1">_xll.BDP($A3,"CHG_PCT_1YR")</f>
        <v>#NAME?</v>
      </c>
      <c r="G3" s="5" t="e">
        <f ca="1">_xll.BDP($A3,"CHG_PCT_YTD")</f>
        <v>#NAME?</v>
      </c>
      <c r="H3" s="5" t="e">
        <f ca="1">_xll.BDP($A3,"BEST_TARGET_PRICE")</f>
        <v>#NAME?</v>
      </c>
      <c r="I3" s="4" t="e">
        <f t="shared" ca="1" si="0"/>
        <v>#NAME?</v>
      </c>
      <c r="J3" s="3" t="e">
        <f ca="1">_xll.BDP($A3,"CUR_MKT_CAP")/1000000</f>
        <v>#NAME?</v>
      </c>
      <c r="K3" s="3" t="e">
        <f ca="1">_xll.BDP($A3,"EQY_FREE_FLOAT_PCT")</f>
        <v>#NAME?</v>
      </c>
      <c r="L3" s="6" t="e">
        <f ca="1">_xll.BDP($A3,"AVG_DAILY_VALUE_TRADED_6M")/1000000</f>
        <v>#NAME?</v>
      </c>
      <c r="M3" s="3" t="e">
        <f ca="1">_xll.BDP($A3,"INDUSTRY_GROUP")</f>
        <v>#NAME?</v>
      </c>
      <c r="N3" s="6" t="e">
        <f ca="1">_xll.BDP($A3,"EQY_BETA_6M")</f>
        <v>#NAME?</v>
      </c>
      <c r="O3" s="6" t="e">
        <f ca="1">_xll.BDP($A3,"EST_PE_NXT_YR")</f>
        <v>#NAME?</v>
      </c>
      <c r="P3" s="6" t="e">
        <f ca="1">_xll.BDP($A3,"EST_EV_THIS_YR_EBITDA")</f>
        <v>#NAME?</v>
      </c>
      <c r="Q3" s="6" t="e">
        <f ca="1">_xll.BDP($A3,"CURRENT_EV_TO_12M_SALES")</f>
        <v>#NAME?</v>
      </c>
      <c r="R3" s="6" t="e">
        <f ca="1">_xll.BDP($A3,"PX_TO_BOOK_RATIO")</f>
        <v>#NAME?</v>
      </c>
      <c r="S3" s="6" t="e">
        <f ca="1">_xll.BDP($A3,"PX_TO_FREE_CASH_FLOW")</f>
        <v>#NAME?</v>
      </c>
      <c r="T3" s="6" t="e">
        <f ca="1">_xll.BDP($A3,"NET_DEBT_TO_EBITDA")</f>
        <v>#NAME?</v>
      </c>
      <c r="U3" s="6" t="e">
        <f ca="1">_xll.BDP($A3,"SALES_GROWTH")</f>
        <v>#NAME?</v>
      </c>
      <c r="V3" s="6" t="e">
        <f ca="1">_xll.BDP($A3,"EPS_GROWTH")</f>
        <v>#NAME?</v>
      </c>
      <c r="W3" s="6" t="e">
        <f ca="1">_xll.BDP($A3,"EBITDA_MARGIN")</f>
        <v>#NAME?</v>
      </c>
      <c r="X3" s="6" t="e">
        <f ca="1">_xll.BDP($A3,"EBIT_MARGIN")</f>
        <v>#NAME?</v>
      </c>
      <c r="Y3" s="6" t="e">
        <f ca="1">_xll.BDP($A3,"TRAIL_12M_PROF_MARGIN")</f>
        <v>#NAME?</v>
      </c>
      <c r="Z3" s="6" t="e">
        <f ca="1">_xll.BDP($A3,"NORMALIZED_ROE")</f>
        <v>#NAME?</v>
      </c>
      <c r="AA3" s="7" t="e">
        <f ca="1">_xll.BDP($A3,"BDVD_PROJ_12M_YLD")</f>
        <v>#NAME?</v>
      </c>
      <c r="AB3" s="7" t="e">
        <f ca="1">_xll.BDP($A3,"DVD_RECORD_DT")</f>
        <v>#NAME?</v>
      </c>
      <c r="AC3" s="181" t="e">
        <f ca="1">_xll.BDP($A3,"EQY_REC_CONS")</f>
        <v>#NAME?</v>
      </c>
      <c r="AD3" s="6" t="e">
        <f ca="1">_xll.BDP($A3,"PCT_REVENUE_FROM_FOREIGN_SOURCES")</f>
        <v>#NAME?</v>
      </c>
      <c r="AE3" s="660" t="e">
        <f ca="1">_xll.BDP($A3,"BDVD_NEXT_EST_DECL_DT")</f>
        <v>#NAME?</v>
      </c>
    </row>
    <row r="4" spans="1:51" s="708" customFormat="1" x14ac:dyDescent="0.25">
      <c r="A4" s="701" t="s">
        <v>134</v>
      </c>
      <c r="B4" s="702" t="e">
        <f ca="1">_xll.BDP($A4,"SHORT_NAME")</f>
        <v>#NAME?</v>
      </c>
      <c r="C4" s="702" t="e">
        <f ca="1">_xll.BDP($A4,"PX_LAST")</f>
        <v>#NAME?</v>
      </c>
      <c r="D4" s="703" t="e">
        <f ca="1">_xll.BDP($A4,"CHG_PCT_WTD")</f>
        <v>#NAME?</v>
      </c>
      <c r="E4" s="703" t="e">
        <f ca="1">_xll.BDP($A4,"CHG_PCT_1M")</f>
        <v>#NAME?</v>
      </c>
      <c r="F4" s="703" t="e">
        <f ca="1">_xll.BDP($A4,"CHG_PCT_1YR")</f>
        <v>#NAME?</v>
      </c>
      <c r="G4" s="703" t="e">
        <f ca="1">_xll.BDP($A4,"CHG_PCT_YTD")</f>
        <v>#NAME?</v>
      </c>
      <c r="H4" s="703" t="e">
        <f ca="1">_xll.BDP($A4,"BEST_TARGET_PRICE")</f>
        <v>#NAME?</v>
      </c>
      <c r="I4" s="704" t="e">
        <f t="shared" ca="1" si="0"/>
        <v>#NAME?</v>
      </c>
      <c r="J4" s="705" t="e">
        <f ca="1">_xll.BDP($A4,"CUR_MKT_CAP")/1000000*$AG$1</f>
        <v>#NAME?</v>
      </c>
      <c r="K4" s="705" t="e">
        <f ca="1">_xll.BDP($A4,"EQY_FREE_FLOAT_PCT")</f>
        <v>#NAME?</v>
      </c>
      <c r="L4" s="706" t="e">
        <f ca="1">_xll.BDP($A4,"AVG_DAILY_VALUE_TRADED_6M")*$AG$1/100000000</f>
        <v>#NAME?</v>
      </c>
      <c r="M4" s="705" t="e">
        <f ca="1">_xll.BDP($A4,"INDUSTRY_GROUP")</f>
        <v>#NAME?</v>
      </c>
      <c r="N4" s="706" t="e">
        <f ca="1">_xll.BDP($A4,"EQY_BETA_6M")</f>
        <v>#NAME?</v>
      </c>
      <c r="O4" s="706" t="e">
        <f ca="1">_xll.BDP($A4,"EST_PE_NXT_YR")</f>
        <v>#NAME?</v>
      </c>
      <c r="P4" s="706" t="e">
        <f ca="1">_xll.BDP($A4,"EST_EV_THIS_YR_EBITDA")</f>
        <v>#NAME?</v>
      </c>
      <c r="Q4" s="706" t="e">
        <f ca="1">_xll.BDP($A4,"CURRENT_EV_TO_12M_SALES")</f>
        <v>#NAME?</v>
      </c>
      <c r="R4" s="706" t="e">
        <f ca="1">_xll.BDP($A4,"PX_TO_BOOK_RATIO")</f>
        <v>#NAME?</v>
      </c>
      <c r="S4" s="706" t="e">
        <f ca="1">_xll.BDP($A4,"PX_TO_FREE_CASH_FLOW")</f>
        <v>#NAME?</v>
      </c>
      <c r="T4" s="706" t="e">
        <f ca="1">_xll.BDP($A4,"NET_DEBT_TO_EBITDA")</f>
        <v>#NAME?</v>
      </c>
      <c r="U4" s="706" t="e">
        <f ca="1">_xll.BDP($A4,"SALES_GROWTH")</f>
        <v>#NAME?</v>
      </c>
      <c r="V4" s="706" t="e">
        <f ca="1">_xll.BDP($A4,"EPS_GROWTH")</f>
        <v>#NAME?</v>
      </c>
      <c r="W4" s="706" t="e">
        <f ca="1">_xll.BDP($A4,"EBITDA_MARGIN")</f>
        <v>#NAME?</v>
      </c>
      <c r="X4" s="706" t="e">
        <f ca="1">_xll.BDP($A4,"EBIT_MARGIN")</f>
        <v>#NAME?</v>
      </c>
      <c r="Y4" s="706" t="e">
        <f ca="1">_xll.BDP($A4,"TRAIL_12M_PROF_MARGIN")</f>
        <v>#NAME?</v>
      </c>
      <c r="Z4" s="706" t="e">
        <f ca="1">_xll.BDP($A4,"NORMALIZED_ROE")</f>
        <v>#NAME?</v>
      </c>
      <c r="AA4" s="390" t="e">
        <f ca="1">_xll.BDP($A4,"BDVD_PROJ_12M_YLD")</f>
        <v>#NAME?</v>
      </c>
      <c r="AB4" s="390" t="e">
        <f ca="1">_xll.BDP($A4,"DVD_RECORD_DT")</f>
        <v>#NAME?</v>
      </c>
      <c r="AC4" s="695" t="e">
        <f ca="1">_xll.BDP($A4,"EQY_REC_CONS")</f>
        <v>#NAME?</v>
      </c>
      <c r="AD4" s="706" t="e">
        <f ca="1">_xll.BDP($A4,"PCT_REVENUE_FROM_FOREIGN_SOURCES")</f>
        <v>#NAME?</v>
      </c>
      <c r="AE4" s="707" t="e">
        <f ca="1">_xll.BDP($A4,"BDVD_NEXT_EST_DECL_DT")</f>
        <v>#NAME?</v>
      </c>
    </row>
    <row r="5" spans="1:51" s="1" customFormat="1" x14ac:dyDescent="0.25">
      <c r="A5" s="701" t="s">
        <v>72</v>
      </c>
      <c r="B5" s="702" t="e">
        <f ca="1">_xll.BDP($A5,"SHORT_NAME")</f>
        <v>#NAME?</v>
      </c>
      <c r="C5" s="702" t="e">
        <f ca="1">_xll.BDP($A5,"PX_LAST")</f>
        <v>#NAME?</v>
      </c>
      <c r="D5" s="703" t="e">
        <f ca="1">_xll.BDP($A5,"CHG_PCT_WTD")</f>
        <v>#NAME?</v>
      </c>
      <c r="E5" s="703" t="e">
        <f ca="1">_xll.BDP($A5,"CHG_PCT_1M")</f>
        <v>#NAME?</v>
      </c>
      <c r="F5" s="703" t="e">
        <f ca="1">_xll.BDP($A5,"CHG_PCT_1YR")</f>
        <v>#NAME?</v>
      </c>
      <c r="G5" s="703" t="e">
        <f ca="1">_xll.BDP($A5,"CHG_PCT_YTD")</f>
        <v>#NAME?</v>
      </c>
      <c r="H5" s="703" t="e">
        <f ca="1">_xll.BDP($A5,"BEST_TARGET_PRICE")</f>
        <v>#NAME?</v>
      </c>
      <c r="I5" s="704" t="e">
        <f t="shared" ca="1" si="0"/>
        <v>#NAME?</v>
      </c>
      <c r="J5" s="705" t="e">
        <f ca="1">_xll.BDP($A5,"CUR_MKT_CAP")/1000000/$AI$1</f>
        <v>#NAME?</v>
      </c>
      <c r="K5" s="705" t="e">
        <f ca="1">_xll.BDP($A5,"EQY_FREE_FLOAT_PCT")</f>
        <v>#NAME?</v>
      </c>
      <c r="L5" s="706" t="e">
        <f ca="1">_xll.BDP($A5,"AVG_DAILY_VALUE_TRADED_6M")/$AI$1/1000000</f>
        <v>#NAME?</v>
      </c>
      <c r="M5" s="705" t="e">
        <f ca="1">_xll.BDP($A5,"INDUSTRY_GROUP")</f>
        <v>#NAME?</v>
      </c>
      <c r="N5" s="706" t="e">
        <f ca="1">_xll.BDP($A5,"EQY_BETA_6M")</f>
        <v>#NAME?</v>
      </c>
      <c r="O5" s="706" t="e">
        <f ca="1">_xll.BDP($A5,"EST_PE_NXT_YR")</f>
        <v>#NAME?</v>
      </c>
      <c r="P5" s="706" t="e">
        <f ca="1">_xll.BDP($A5,"EST_EV_THIS_YR_EBITDA")</f>
        <v>#NAME?</v>
      </c>
      <c r="Q5" s="706" t="e">
        <f ca="1">_xll.BDP($A5,"CURRENT_EV_TO_12M_SALES")</f>
        <v>#NAME?</v>
      </c>
      <c r="R5" s="706" t="e">
        <f ca="1">_xll.BDP($A5,"PX_TO_BOOK_RATIO")</f>
        <v>#NAME?</v>
      </c>
      <c r="S5" s="706" t="e">
        <f ca="1">_xll.BDP($A5,"PX_TO_FREE_CASH_FLOW")</f>
        <v>#NAME?</v>
      </c>
      <c r="T5" s="706" t="e">
        <f ca="1">_xll.BDP($A5,"NET_DEBT_TO_EBITDA")</f>
        <v>#NAME?</v>
      </c>
      <c r="U5" s="706" t="e">
        <f ca="1">_xll.BDP($A5,"SALES_GROWTH")</f>
        <v>#NAME?</v>
      </c>
      <c r="V5" s="706" t="e">
        <f ca="1">_xll.BDP($A5,"EPS_GROWTH")</f>
        <v>#NAME?</v>
      </c>
      <c r="W5" s="706" t="e">
        <f ca="1">_xll.BDP($A5,"EBITDA_MARGIN")</f>
        <v>#NAME?</v>
      </c>
      <c r="X5" s="706" t="e">
        <f ca="1">_xll.BDP($A5,"EBIT_MARGIN")</f>
        <v>#NAME?</v>
      </c>
      <c r="Y5" s="706" t="e">
        <f ca="1">_xll.BDP($A5,"TRAIL_12M_PROF_MARGIN")</f>
        <v>#NAME?</v>
      </c>
      <c r="Z5" s="706" t="e">
        <f ca="1">_xll.BDP($A5,"NORMALIZED_ROE")</f>
        <v>#NAME?</v>
      </c>
      <c r="AA5" s="390" t="e">
        <f ca="1">_xll.BDP($A5,"BDVD_PROJ_12M_YLD")</f>
        <v>#NAME?</v>
      </c>
      <c r="AB5" s="390" t="e">
        <f ca="1">_xll.BDP($A5,"DVD_RECORD_DT")</f>
        <v>#NAME?</v>
      </c>
      <c r="AC5" s="695" t="e">
        <f ca="1">_xll.BDP($A5,"EQY_REC_CONS")</f>
        <v>#NAME?</v>
      </c>
      <c r="AD5" s="706" t="e">
        <f ca="1">_xll.BDP($A5,"PCT_REVENUE_FROM_FOREIGN_SOURCES")</f>
        <v>#NAME?</v>
      </c>
      <c r="AE5" s="707" t="e">
        <f ca="1">_xll.BDP($A5,"BDVD_NEXT_EST_DECL_DT")</f>
        <v>#NAME?</v>
      </c>
    </row>
    <row r="6" spans="1:51" s="708" customFormat="1" x14ac:dyDescent="0.25">
      <c r="A6" s="701" t="s">
        <v>71</v>
      </c>
      <c r="B6" s="702" t="e">
        <f ca="1">_xll.BDP($A6,"SHORT_NAME")</f>
        <v>#NAME?</v>
      </c>
      <c r="C6" s="702" t="e">
        <f ca="1">_xll.BDP($A6,"PX_LAST")</f>
        <v>#NAME?</v>
      </c>
      <c r="D6" s="703" t="e">
        <f ca="1">_xll.BDP($A6,"CHG_PCT_WTD")</f>
        <v>#NAME?</v>
      </c>
      <c r="E6" s="703" t="e">
        <f ca="1">_xll.BDP($A6,"CHG_PCT_1M")</f>
        <v>#NAME?</v>
      </c>
      <c r="F6" s="703" t="e">
        <f ca="1">_xll.BDP($A6,"CHG_PCT_1YR")</f>
        <v>#NAME?</v>
      </c>
      <c r="G6" s="703" t="e">
        <f ca="1">_xll.BDP($A6,"CHG_PCT_YTD")</f>
        <v>#NAME?</v>
      </c>
      <c r="H6" s="703" t="e">
        <f ca="1">_xll.BDP($A6,"BEST_TARGET_PRICE")</f>
        <v>#NAME?</v>
      </c>
      <c r="I6" s="704" t="e">
        <f t="shared" ca="1" si="0"/>
        <v>#NAME?</v>
      </c>
      <c r="J6" s="705" t="e">
        <f ca="1">_xll.BDP($A6,"CUR_MKT_CAP")/1000000*$AG$1</f>
        <v>#NAME?</v>
      </c>
      <c r="K6" s="705" t="e">
        <f ca="1">_xll.BDP($A6,"EQY_FREE_FLOAT_PCT")</f>
        <v>#NAME?</v>
      </c>
      <c r="L6" s="706" t="e">
        <f ca="1">_xll.BDP($A6,"AVG_DAILY_VALUE_TRADED_6M")*$AG$1/100000000</f>
        <v>#NAME?</v>
      </c>
      <c r="M6" s="705" t="e">
        <f ca="1">_xll.BDP($A6,"INDUSTRY_GROUP")</f>
        <v>#NAME?</v>
      </c>
      <c r="N6" s="706" t="e">
        <f ca="1">_xll.BDP($A6,"EQY_BETA_6M")</f>
        <v>#NAME?</v>
      </c>
      <c r="O6" s="706" t="e">
        <f ca="1">_xll.BDP($A6,"EST_PE_NXT_YR")</f>
        <v>#NAME?</v>
      </c>
      <c r="P6" s="706" t="e">
        <f ca="1">_xll.BDP($A6,"EST_EV_THIS_YR_EBITDA")</f>
        <v>#NAME?</v>
      </c>
      <c r="Q6" s="706" t="e">
        <f ca="1">_xll.BDP($A6,"CURRENT_EV_TO_12M_SALES")</f>
        <v>#NAME?</v>
      </c>
      <c r="R6" s="706" t="e">
        <f ca="1">_xll.BDP($A6,"PX_TO_BOOK_RATIO")</f>
        <v>#NAME?</v>
      </c>
      <c r="S6" s="706" t="e">
        <f ca="1">_xll.BDP($A6,"PX_TO_FREE_CASH_FLOW")</f>
        <v>#NAME?</v>
      </c>
      <c r="T6" s="706" t="e">
        <f ca="1">_xll.BDP($A6,"NET_DEBT_TO_EBITDA")</f>
        <v>#NAME?</v>
      </c>
      <c r="U6" s="706" t="e">
        <f ca="1">_xll.BDP($A6,"SALES_GROWTH")</f>
        <v>#NAME?</v>
      </c>
      <c r="V6" s="706" t="e">
        <f ca="1">_xll.BDP($A6,"EPS_GROWTH")</f>
        <v>#NAME?</v>
      </c>
      <c r="W6" s="706" t="e">
        <f ca="1">_xll.BDP($A6,"EBITDA_MARGIN")</f>
        <v>#NAME?</v>
      </c>
      <c r="X6" s="706" t="e">
        <f ca="1">_xll.BDP($A6,"EBIT_MARGIN")</f>
        <v>#NAME?</v>
      </c>
      <c r="Y6" s="706" t="e">
        <f ca="1">_xll.BDP($A6,"TRAIL_12M_PROF_MARGIN")</f>
        <v>#NAME?</v>
      </c>
      <c r="Z6" s="706" t="e">
        <f ca="1">_xll.BDP($A6,"NORMALIZED_ROE")</f>
        <v>#NAME?</v>
      </c>
      <c r="AA6" s="390" t="e">
        <f ca="1">_xll.BDP($A6,"BDVD_PROJ_12M_YLD")</f>
        <v>#NAME?</v>
      </c>
      <c r="AB6" s="390" t="e">
        <f ca="1">_xll.BDP($A6,"DVD_RECORD_DT")</f>
        <v>#NAME?</v>
      </c>
      <c r="AC6" s="695" t="e">
        <f ca="1">_xll.BDP($A6,"EQY_REC_CONS")</f>
        <v>#NAME?</v>
      </c>
      <c r="AD6" s="706" t="e">
        <f ca="1">_xll.BDP($A6,"PCT_REVENUE_FROM_FOREIGN_SOURCES")</f>
        <v>#NAME?</v>
      </c>
      <c r="AE6" s="707" t="e">
        <f ca="1">_xll.BDP($A6,"BDVD_NEXT_EST_DECL_DT")</f>
        <v>#NAME?</v>
      </c>
    </row>
    <row r="7" spans="1:51" s="1" customFormat="1" ht="15.75" thickBot="1" x14ac:dyDescent="0.3">
      <c r="A7" s="661" t="s">
        <v>308</v>
      </c>
      <c r="B7" s="662" t="e">
        <f ca="1">_xll.BDP($A7,"SHORT_NAME")</f>
        <v>#NAME?</v>
      </c>
      <c r="C7" s="662" t="e">
        <f ca="1">_xll.BDP($A7,"PX_LAST")</f>
        <v>#NAME?</v>
      </c>
      <c r="D7" s="663" t="e">
        <f ca="1">_xll.BDP($A7,"CHG_PCT_WTD")</f>
        <v>#NAME?</v>
      </c>
      <c r="E7" s="663" t="e">
        <f ca="1">_xll.BDP($A7,"CHG_PCT_1M")</f>
        <v>#NAME?</v>
      </c>
      <c r="F7" s="663" t="e">
        <f ca="1">_xll.BDP($A7,"CHG_PCT_1YR")</f>
        <v>#NAME?</v>
      </c>
      <c r="G7" s="663" t="e">
        <f ca="1">_xll.BDP($A7,"CHG_PCT_YTD")</f>
        <v>#NAME?</v>
      </c>
      <c r="H7" s="663" t="e">
        <f ca="1">_xll.BDP($A7,"BEST_TARGET_PRICE")</f>
        <v>#NAME?</v>
      </c>
      <c r="I7" s="664" t="e">
        <f t="shared" ca="1" si="0"/>
        <v>#NAME?</v>
      </c>
      <c r="J7" s="665" t="e">
        <f ca="1">_xll.BDP($A7,"CUR_MKT_CAP")/1000000*$AG$1</f>
        <v>#NAME?</v>
      </c>
      <c r="K7" s="665" t="e">
        <f ca="1">_xll.BDP($A7,"EQY_FREE_FLOAT_PCT")</f>
        <v>#NAME?</v>
      </c>
      <c r="L7" s="666" t="e">
        <f ca="1">_xll.BDP($A7,"AVG_DAILY_VALUE_TRADED_6M")*$AG$1/100000000</f>
        <v>#NAME?</v>
      </c>
      <c r="M7" s="665" t="e">
        <f ca="1">_xll.BDP($A7,"INDUSTRY_GROUP")</f>
        <v>#NAME?</v>
      </c>
      <c r="N7" s="666" t="e">
        <f ca="1">_xll.BDP($A7,"EQY_BETA_6M")</f>
        <v>#NAME?</v>
      </c>
      <c r="O7" s="666" t="e">
        <f ca="1">_xll.BDP($A7,"EST_PE_NXT_YR")</f>
        <v>#NAME?</v>
      </c>
      <c r="P7" s="666" t="e">
        <f ca="1">_xll.BDP($A7,"EST_EV_THIS_YR_EBITDA")</f>
        <v>#NAME?</v>
      </c>
      <c r="Q7" s="666" t="e">
        <f ca="1">_xll.BDP($A7,"CURRENT_EV_TO_12M_SALES")</f>
        <v>#NAME?</v>
      </c>
      <c r="R7" s="666" t="e">
        <f ca="1">_xll.BDP($A7,"PX_TO_BOOK_RATIO")</f>
        <v>#NAME?</v>
      </c>
      <c r="S7" s="666" t="e">
        <f ca="1">_xll.BDP($A7,"PX_TO_FREE_CASH_FLOW")</f>
        <v>#NAME?</v>
      </c>
      <c r="T7" s="666" t="e">
        <f ca="1">_xll.BDP($A7,"NET_DEBT_TO_EBITDA")</f>
        <v>#NAME?</v>
      </c>
      <c r="U7" s="666" t="e">
        <f ca="1">_xll.BDP($A7,"SALES_GROWTH")</f>
        <v>#NAME?</v>
      </c>
      <c r="V7" s="666" t="e">
        <f ca="1">_xll.BDP($A7,"EPS_GROWTH")</f>
        <v>#NAME?</v>
      </c>
      <c r="W7" s="666" t="e">
        <f ca="1">_xll.BDP($A7,"EBITDA_MARGIN")</f>
        <v>#NAME?</v>
      </c>
      <c r="X7" s="666" t="e">
        <f ca="1">_xll.BDP($A7,"EBIT_MARGIN")</f>
        <v>#NAME?</v>
      </c>
      <c r="Y7" s="666" t="e">
        <f ca="1">_xll.BDP($A7,"TRAIL_12M_PROF_MARGIN")</f>
        <v>#NAME?</v>
      </c>
      <c r="Z7" s="666" t="e">
        <f ca="1">_xll.BDP($A7,"NORMALIZED_ROE")</f>
        <v>#NAME?</v>
      </c>
      <c r="AA7" s="667" t="e">
        <f ca="1">_xll.BDP($A7,"BDVD_PROJ_12M_YLD")</f>
        <v>#NAME?</v>
      </c>
      <c r="AB7" s="667" t="e">
        <f ca="1">_xll.BDP($A7,"DVD_RECORD_DT")</f>
        <v>#NAME?</v>
      </c>
      <c r="AC7" s="670" t="e">
        <f ca="1">_xll.BDP($A7,"EQY_REC_CONS")</f>
        <v>#NAME?</v>
      </c>
      <c r="AD7" s="666" t="e">
        <f ca="1">_xll.BDP($A7,"PCT_REVENUE_FROM_FOREIGN_SOURCES")</f>
        <v>#NAME?</v>
      </c>
      <c r="AE7" s="668" t="e">
        <f ca="1">_xll.BDP($A7,"BDVD_NEXT_EST_DECL_DT")</f>
        <v>#NAME?</v>
      </c>
    </row>
    <row r="8" spans="1:51" s="8" customFormat="1" x14ac:dyDescent="0.25">
      <c r="A8" s="778" t="s">
        <v>46</v>
      </c>
      <c r="B8" s="779" t="e">
        <f ca="1">_xll.BDP($A8,"SHORT_NAME")</f>
        <v>#NAME?</v>
      </c>
      <c r="C8" s="779" t="e">
        <f ca="1">_xll.BDP($A8,"PX_LAST")</f>
        <v>#NAME?</v>
      </c>
      <c r="D8" s="780" t="e">
        <f ca="1">_xll.BDP($A8,"CHG_PCT_WTD")</f>
        <v>#NAME?</v>
      </c>
      <c r="E8" s="780" t="e">
        <f ca="1">_xll.BDP($A8,"CHG_PCT_1M")</f>
        <v>#NAME?</v>
      </c>
      <c r="F8" s="780" t="e">
        <f ca="1">_xll.BDP($A8,"CHG_PCT_1YR")</f>
        <v>#NAME?</v>
      </c>
      <c r="G8" s="780" t="e">
        <f ca="1">_xll.BDP($A8,"CHG_PCT_YTD")</f>
        <v>#NAME?</v>
      </c>
      <c r="H8" s="780" t="e">
        <f ca="1">_xll.BDP($A8,"BEST_TARGET_PRICE")</f>
        <v>#NAME?</v>
      </c>
      <c r="I8" s="781" t="e">
        <f t="shared" ca="1" si="0"/>
        <v>#NAME?</v>
      </c>
      <c r="J8" s="782" t="e">
        <f ca="1">_xll.BDP($A8,"CUR_MKT_CAP")/1000000/$AI$1</f>
        <v>#NAME?</v>
      </c>
      <c r="K8" s="782" t="e">
        <f ca="1">_xll.BDP($A8,"EQY_FREE_FLOAT_PCT")</f>
        <v>#NAME?</v>
      </c>
      <c r="L8" s="783" t="e">
        <f ca="1">_xll.BDP($A8,"AVG_DAILY_VALUE_TRADED_6M")/$AI$1/1000000</f>
        <v>#NAME?</v>
      </c>
      <c r="M8" s="782" t="e">
        <f ca="1">_xll.BDP($A8,"INDUSTRY_GROUP")</f>
        <v>#NAME?</v>
      </c>
      <c r="N8" s="783" t="e">
        <f ca="1">_xll.BDP($A8,"EQY_BETA_6M")</f>
        <v>#NAME?</v>
      </c>
      <c r="O8" s="783" t="e">
        <f ca="1">_xll.BDP($A8,"EST_PE_NXT_YR")</f>
        <v>#NAME?</v>
      </c>
      <c r="P8" s="783" t="e">
        <f ca="1">_xll.BDP($A8,"EST_EV_THIS_YR_EBITDA")</f>
        <v>#NAME?</v>
      </c>
      <c r="Q8" s="783" t="e">
        <f ca="1">_xll.BDP($A8,"CURRENT_EV_TO_12M_SALES")</f>
        <v>#NAME?</v>
      </c>
      <c r="R8" s="783" t="e">
        <f ca="1">_xll.BDP($A8,"PX_TO_BOOK_RATIO")</f>
        <v>#NAME?</v>
      </c>
      <c r="S8" s="783" t="e">
        <f ca="1">_xll.BDP($A8,"PX_TO_FREE_CASH_FLOW")</f>
        <v>#NAME?</v>
      </c>
      <c r="T8" s="783" t="e">
        <f ca="1">_xll.BDP($A8,"NET_DEBT_TO_EBITDA")</f>
        <v>#NAME?</v>
      </c>
      <c r="U8" s="783" t="e">
        <f ca="1">_xll.BDP($A8,"SALES_GROWTH")</f>
        <v>#NAME?</v>
      </c>
      <c r="V8" s="783" t="e">
        <f ca="1">_xll.BDP($A8,"EPS_GROWTH")</f>
        <v>#NAME?</v>
      </c>
      <c r="W8" s="783" t="e">
        <f ca="1">_xll.BDP($A8,"EBITDA_MARGIN")</f>
        <v>#NAME?</v>
      </c>
      <c r="X8" s="783" t="e">
        <f ca="1">_xll.BDP($A8,"EBIT_MARGIN")</f>
        <v>#NAME?</v>
      </c>
      <c r="Y8" s="783" t="e">
        <f ca="1">_xll.BDP($A8,"TRAIL_12M_PROF_MARGIN")</f>
        <v>#NAME?</v>
      </c>
      <c r="Z8" s="783" t="e">
        <f ca="1">_xll.BDP($A8,"NORMALIZED_ROE")</f>
        <v>#NAME?</v>
      </c>
      <c r="AA8" s="784" t="e">
        <f ca="1">_xll.BDP($A8,"BDVD_PROJ_12M_YLD")</f>
        <v>#NAME?</v>
      </c>
      <c r="AB8" s="784" t="e">
        <f ca="1">_xll.BDP($A8,"DVD_RECORD_DT")</f>
        <v>#NAME?</v>
      </c>
      <c r="AC8" s="785" t="e">
        <f ca="1">_xll.BDP($A8,"EQY_REC_CONS")</f>
        <v>#NAME?</v>
      </c>
      <c r="AD8" s="783" t="e">
        <f ca="1">_xll.BDP($A8,"PCT_REVENUE_FROM_FOREIGN_SOURCES")</f>
        <v>#NAME?</v>
      </c>
      <c r="AE8" s="786" t="e">
        <f ca="1">_xll.BDP($A8,"BDVD_NEXT_EST_DECL_DT")</f>
        <v>#NAME?</v>
      </c>
    </row>
    <row r="9" spans="1:51" s="708" customFormat="1" x14ac:dyDescent="0.25">
      <c r="A9" s="701" t="s">
        <v>66</v>
      </c>
      <c r="B9" s="702" t="e">
        <f ca="1">_xll.BDP($A9,"SHORT_NAME")</f>
        <v>#NAME?</v>
      </c>
      <c r="C9" s="702" t="e">
        <f ca="1">_xll.BDP($A9,"PX_LAST")</f>
        <v>#NAME?</v>
      </c>
      <c r="D9" s="703" t="e">
        <f ca="1">_xll.BDP($A9,"CHG_PCT_WTD")</f>
        <v>#NAME?</v>
      </c>
      <c r="E9" s="703" t="e">
        <f ca="1">_xll.BDP($A9,"CHG_PCT_1M")</f>
        <v>#NAME?</v>
      </c>
      <c r="F9" s="703" t="e">
        <f ca="1">_xll.BDP($A9,"CHG_PCT_1YR")</f>
        <v>#NAME?</v>
      </c>
      <c r="G9" s="703" t="e">
        <f ca="1">_xll.BDP($A9,"CHG_PCT_YTD")</f>
        <v>#NAME?</v>
      </c>
      <c r="H9" s="703" t="e">
        <f ca="1">_xll.BDP($A9,"BEST_TARGET_PRICE")</f>
        <v>#NAME?</v>
      </c>
      <c r="I9" s="704" t="e">
        <f t="shared" ca="1" si="0"/>
        <v>#NAME?</v>
      </c>
      <c r="J9" s="705" t="e">
        <f ca="1">_xll.BDP($A9,"CUR_MKT_CAP")/1000000</f>
        <v>#NAME?</v>
      </c>
      <c r="K9" s="705" t="e">
        <f ca="1">_xll.BDP($A9,"EQY_FREE_FLOAT_PCT")</f>
        <v>#NAME?</v>
      </c>
      <c r="L9" s="706" t="e">
        <f ca="1">_xll.BDP($A9,"AVG_DAILY_VALUE_TRADED_6M")/1000000</f>
        <v>#NAME?</v>
      </c>
      <c r="M9" s="705" t="e">
        <f ca="1">_xll.BDP($A9,"INDUSTRY_GROUP")</f>
        <v>#NAME?</v>
      </c>
      <c r="N9" s="706" t="e">
        <f ca="1">_xll.BDP($A9,"EQY_BETA_6M")</f>
        <v>#NAME?</v>
      </c>
      <c r="O9" s="706" t="e">
        <f ca="1">_xll.BDP($A9,"EST_PE_NXT_YR")</f>
        <v>#NAME?</v>
      </c>
      <c r="P9" s="706" t="e">
        <f ca="1">_xll.BDP($A9,"EST_EV_THIS_YR_EBITDA")</f>
        <v>#NAME?</v>
      </c>
      <c r="Q9" s="706" t="e">
        <f ca="1">_xll.BDP($A9,"CURRENT_EV_TO_12M_SALES")</f>
        <v>#NAME?</v>
      </c>
      <c r="R9" s="706" t="e">
        <f ca="1">_xll.BDP($A9,"PX_TO_BOOK_RATIO")</f>
        <v>#NAME?</v>
      </c>
      <c r="S9" s="706" t="e">
        <f ca="1">_xll.BDP($A9,"PX_TO_FREE_CASH_FLOW")</f>
        <v>#NAME?</v>
      </c>
      <c r="T9" s="706" t="e">
        <f ca="1">_xll.BDP($A9,"NET_DEBT_TO_EBITDA")</f>
        <v>#NAME?</v>
      </c>
      <c r="U9" s="706" t="e">
        <f ca="1">_xll.BDP($A9,"SALES_GROWTH")</f>
        <v>#NAME?</v>
      </c>
      <c r="V9" s="706" t="e">
        <f ca="1">_xll.BDP($A9,"EPS_GROWTH")</f>
        <v>#NAME?</v>
      </c>
      <c r="W9" s="706" t="e">
        <f ca="1">_xll.BDP($A9,"EBITDA_MARGIN")</f>
        <v>#NAME?</v>
      </c>
      <c r="X9" s="706" t="e">
        <f ca="1">_xll.BDP($A9,"EBIT_MARGIN")</f>
        <v>#NAME?</v>
      </c>
      <c r="Y9" s="706" t="e">
        <f ca="1">_xll.BDP($A9,"TRAIL_12M_PROF_MARGIN")</f>
        <v>#NAME?</v>
      </c>
      <c r="Z9" s="706" t="e">
        <f ca="1">_xll.BDP($A9,"NORMALIZED_ROE")</f>
        <v>#NAME?</v>
      </c>
      <c r="AA9" s="390" t="e">
        <f ca="1">_xll.BDP($A9,"BDVD_PROJ_12M_YLD")</f>
        <v>#NAME?</v>
      </c>
      <c r="AB9" s="390" t="e">
        <f ca="1">_xll.BDP($A9,"DVD_RECORD_DT")</f>
        <v>#NAME?</v>
      </c>
      <c r="AC9" s="695" t="e">
        <f ca="1">_xll.BDP($A9,"EQY_REC_CONS")</f>
        <v>#NAME?</v>
      </c>
      <c r="AD9" s="706" t="e">
        <f ca="1">_xll.BDP($A9,"PCT_REVENUE_FROM_FOREIGN_SOURCES")</f>
        <v>#NAME?</v>
      </c>
      <c r="AE9" s="707" t="e">
        <f ca="1">_xll.BDP($A9,"BDVD_NEXT_EST_DECL_DT")</f>
        <v>#NAME?</v>
      </c>
    </row>
    <row r="10" spans="1:51" s="1" customFormat="1" x14ac:dyDescent="0.25">
      <c r="A10" s="659" t="s">
        <v>230</v>
      </c>
      <c r="B10" s="2" t="e">
        <f ca="1">_xll.BDP($A10,"SHORT_NAME")</f>
        <v>#NAME?</v>
      </c>
      <c r="C10" s="2" t="e">
        <f ca="1">_xll.BDP($A10,"PX_LAST")</f>
        <v>#NAME?</v>
      </c>
      <c r="D10" s="5" t="e">
        <f ca="1">_xll.BDP($A10,"CHG_PCT_WTD")</f>
        <v>#NAME?</v>
      </c>
      <c r="E10" s="5" t="e">
        <f ca="1">_xll.BDP($A10,"CHG_PCT_1M")</f>
        <v>#NAME?</v>
      </c>
      <c r="F10" s="5" t="e">
        <f ca="1">_xll.BDP($A10,"CHG_PCT_1YR")</f>
        <v>#NAME?</v>
      </c>
      <c r="G10" s="5" t="e">
        <f ca="1">_xll.BDP($A10,"CHG_PCT_YTD")</f>
        <v>#NAME?</v>
      </c>
      <c r="H10" s="5" t="e">
        <f ca="1">_xll.BDP($A10,"BEST_TARGET_PRICE")</f>
        <v>#NAME?</v>
      </c>
      <c r="I10" s="4" t="e">
        <f t="shared" ca="1" si="0"/>
        <v>#NAME?</v>
      </c>
      <c r="J10" s="3" t="e">
        <f ca="1">_xll.BDP($A10,"CUR_MKT_CAP")/1000000/$AI$1</f>
        <v>#NAME?</v>
      </c>
      <c r="K10" s="3" t="e">
        <f ca="1">_xll.BDP($A10,"EQY_FREE_FLOAT_PCT")</f>
        <v>#NAME?</v>
      </c>
      <c r="L10" s="6" t="e">
        <f ca="1">_xll.BDP($A10,"AVG_DAILY_VALUE_TRADED_6M")/$AI$1/1000000</f>
        <v>#NAME?</v>
      </c>
      <c r="M10" s="3" t="e">
        <f ca="1">_xll.BDP($A10,"INDUSTRY_GROUP")</f>
        <v>#NAME?</v>
      </c>
      <c r="N10" s="6" t="e">
        <f ca="1">_xll.BDP($A10,"EQY_BETA_6M")</f>
        <v>#NAME?</v>
      </c>
      <c r="O10" s="6" t="e">
        <f ca="1">_xll.BDP($A10,"EST_PE_NXT_YR")</f>
        <v>#NAME?</v>
      </c>
      <c r="P10" s="6" t="e">
        <f ca="1">_xll.BDP($A10,"EST_EV_THIS_YR_EBITDA")</f>
        <v>#NAME?</v>
      </c>
      <c r="Q10" s="6" t="e">
        <f ca="1">_xll.BDP($A10,"CURRENT_EV_TO_12M_SALES")</f>
        <v>#NAME?</v>
      </c>
      <c r="R10" s="6" t="e">
        <f ca="1">_xll.BDP($A10,"PX_TO_BOOK_RATIO")</f>
        <v>#NAME?</v>
      </c>
      <c r="S10" s="6" t="e">
        <f ca="1">_xll.BDP($A10,"PX_TO_FREE_CASH_FLOW")</f>
        <v>#NAME?</v>
      </c>
      <c r="T10" s="6" t="e">
        <f ca="1">_xll.BDP($A10,"NET_DEBT_TO_EBITDA")</f>
        <v>#NAME?</v>
      </c>
      <c r="U10" s="6" t="e">
        <f ca="1">_xll.BDP($A10,"SALES_GROWTH")</f>
        <v>#NAME?</v>
      </c>
      <c r="V10" s="6" t="e">
        <f ca="1">_xll.BDP($A10,"EPS_GROWTH")</f>
        <v>#NAME?</v>
      </c>
      <c r="W10" s="6" t="e">
        <f ca="1">_xll.BDP($A10,"EBITDA_MARGIN")</f>
        <v>#NAME?</v>
      </c>
      <c r="X10" s="6" t="e">
        <f ca="1">_xll.BDP($A10,"EBIT_MARGIN")</f>
        <v>#NAME?</v>
      </c>
      <c r="Y10" s="6" t="e">
        <f ca="1">_xll.BDP($A10,"TRAIL_12M_PROF_MARGIN")</f>
        <v>#NAME?</v>
      </c>
      <c r="Z10" s="6" t="e">
        <f ca="1">_xll.BDP($A10,"NORMALIZED_ROE")</f>
        <v>#NAME?</v>
      </c>
      <c r="AA10" s="7" t="e">
        <f ca="1">_xll.BDP($A10,"BDVD_PROJ_12M_YLD")</f>
        <v>#NAME?</v>
      </c>
      <c r="AB10" s="7" t="e">
        <f ca="1">_xll.BDP($A10,"DVD_RECORD_DT")</f>
        <v>#NAME?</v>
      </c>
      <c r="AC10" s="181" t="e">
        <f ca="1">_xll.BDP($A10,"EQY_REC_CONS")</f>
        <v>#NAME?</v>
      </c>
      <c r="AD10" s="6" t="e">
        <f ca="1">_xll.BDP($A10,"PCT_REVENUE_FROM_FOREIGN_SOURCES")</f>
        <v>#NAME?</v>
      </c>
      <c r="AE10" s="660" t="e">
        <f ca="1">_xll.BDP($A10,"BDVD_NEXT_EST_DECL_DT")</f>
        <v>#NAME?</v>
      </c>
    </row>
    <row r="11" spans="1:51" s="1" customFormat="1" x14ac:dyDescent="0.25">
      <c r="A11" s="659" t="s">
        <v>44</v>
      </c>
      <c r="B11" s="2" t="e">
        <f ca="1">_xll.BDP($A11,"SHORT_NAME")</f>
        <v>#NAME?</v>
      </c>
      <c r="C11" s="2" t="e">
        <f ca="1">_xll.BDP($A11,"PX_LAST")</f>
        <v>#NAME?</v>
      </c>
      <c r="D11" s="5" t="e">
        <f ca="1">_xll.BDP($A11,"CHG_PCT_WTD")</f>
        <v>#NAME?</v>
      </c>
      <c r="E11" s="5" t="e">
        <f ca="1">_xll.BDP($A11,"CHG_PCT_1M")</f>
        <v>#NAME?</v>
      </c>
      <c r="F11" s="5" t="e">
        <f ca="1">_xll.BDP($A11,"CHG_PCT_1YR")</f>
        <v>#NAME?</v>
      </c>
      <c r="G11" s="5" t="e">
        <f ca="1">_xll.BDP($A11,"CHG_PCT_YTD")</f>
        <v>#NAME?</v>
      </c>
      <c r="H11" s="5" t="e">
        <f ca="1">_xll.BDP($A11,"BEST_TARGET_PRICE")</f>
        <v>#NAME?</v>
      </c>
      <c r="I11" s="4" t="e">
        <f t="shared" ca="1" si="0"/>
        <v>#NAME?</v>
      </c>
      <c r="J11" s="3" t="e">
        <f ca="1">_xll.BDP($A11,"CUR_MKT_CAP")/1000000/$AI$1</f>
        <v>#NAME?</v>
      </c>
      <c r="K11" s="3" t="e">
        <f ca="1">_xll.BDP($A11,"EQY_FREE_FLOAT_PCT")</f>
        <v>#NAME?</v>
      </c>
      <c r="L11" s="6" t="e">
        <f ca="1">_xll.BDP($A11,"AVG_DAILY_VALUE_TRADED_6M")/$AI$1/1000000</f>
        <v>#NAME?</v>
      </c>
      <c r="M11" s="3" t="e">
        <f ca="1">_xll.BDP($A11,"INDUSTRY_GROUP")</f>
        <v>#NAME?</v>
      </c>
      <c r="N11" s="6" t="e">
        <f ca="1">_xll.BDP($A11,"EQY_BETA_6M")</f>
        <v>#NAME?</v>
      </c>
      <c r="O11" s="6" t="e">
        <f ca="1">_xll.BDP($A11,"EST_PE_NXT_YR")</f>
        <v>#NAME?</v>
      </c>
      <c r="P11" s="6" t="e">
        <f ca="1">_xll.BDP($A11,"EST_EV_THIS_YR_EBITDA")</f>
        <v>#NAME?</v>
      </c>
      <c r="Q11" s="6" t="e">
        <f ca="1">_xll.BDP($A11,"CURRENT_EV_TO_12M_SALES")</f>
        <v>#NAME?</v>
      </c>
      <c r="R11" s="6" t="e">
        <f ca="1">_xll.BDP($A11,"PX_TO_BOOK_RATIO")</f>
        <v>#NAME?</v>
      </c>
      <c r="S11" s="6" t="e">
        <f ca="1">_xll.BDP($A11,"PX_TO_FREE_CASH_FLOW")</f>
        <v>#NAME?</v>
      </c>
      <c r="T11" s="6" t="e">
        <f ca="1">_xll.BDP($A11,"NET_DEBT_TO_EBITDA")</f>
        <v>#NAME?</v>
      </c>
      <c r="U11" s="6" t="e">
        <f ca="1">_xll.BDP($A11,"SALES_GROWTH")</f>
        <v>#NAME?</v>
      </c>
      <c r="V11" s="6" t="e">
        <f ca="1">_xll.BDP($A11,"EPS_GROWTH")</f>
        <v>#NAME?</v>
      </c>
      <c r="W11" s="6" t="e">
        <f ca="1">_xll.BDP($A11,"EBITDA_MARGIN")</f>
        <v>#NAME?</v>
      </c>
      <c r="X11" s="6" t="e">
        <f ca="1">_xll.BDP($A11,"EBIT_MARGIN")</f>
        <v>#NAME?</v>
      </c>
      <c r="Y11" s="6" t="e">
        <f ca="1">_xll.BDP($A11,"TRAIL_12M_PROF_MARGIN")</f>
        <v>#NAME?</v>
      </c>
      <c r="Z11" s="6" t="e">
        <f ca="1">_xll.BDP($A11,"NORMALIZED_ROE")</f>
        <v>#NAME?</v>
      </c>
      <c r="AA11" s="7" t="e">
        <f ca="1">_xll.BDP($A11,"BDVD_PROJ_12M_YLD")</f>
        <v>#NAME?</v>
      </c>
      <c r="AB11" s="7" t="e">
        <f ca="1">_xll.BDP($A11,"DVD_RECORD_DT")</f>
        <v>#NAME?</v>
      </c>
      <c r="AC11" s="181" t="e">
        <f ca="1">_xll.BDP($A11,"EQY_REC_CONS")</f>
        <v>#NAME?</v>
      </c>
      <c r="AD11" s="6" t="e">
        <f ca="1">_xll.BDP($A11,"PCT_REVENUE_FROM_FOREIGN_SOURCES")</f>
        <v>#NAME?</v>
      </c>
      <c r="AE11" s="660" t="e">
        <f ca="1">_xll.BDP($A11,"BDVD_NEXT_EST_DECL_DT")</f>
        <v>#NAME?</v>
      </c>
    </row>
    <row r="12" spans="1:51" s="708" customFormat="1" x14ac:dyDescent="0.25">
      <c r="A12" s="701" t="s">
        <v>7</v>
      </c>
      <c r="B12" s="702" t="e">
        <f ca="1">_xll.BDP($A12,"SHORT_NAME")</f>
        <v>#NAME?</v>
      </c>
      <c r="C12" s="702" t="e">
        <f ca="1">_xll.BDP($A12,"PX_LAST")</f>
        <v>#NAME?</v>
      </c>
      <c r="D12" s="703" t="e">
        <f ca="1">_xll.BDP($A12,"CHG_PCT_WTD")</f>
        <v>#NAME?</v>
      </c>
      <c r="E12" s="703" t="e">
        <f ca="1">_xll.BDP($A12,"CHG_PCT_1M")</f>
        <v>#NAME?</v>
      </c>
      <c r="F12" s="703" t="e">
        <f ca="1">_xll.BDP($A12,"CHG_PCT_1YR")</f>
        <v>#NAME?</v>
      </c>
      <c r="G12" s="703" t="e">
        <f ca="1">_xll.BDP($A12,"CHG_PCT_YTD")</f>
        <v>#NAME?</v>
      </c>
      <c r="H12" s="703" t="e">
        <f ca="1">_xll.BDP($A12,"BEST_TARGET_PRICE")</f>
        <v>#NAME?</v>
      </c>
      <c r="I12" s="704" t="e">
        <f t="shared" ca="1" si="0"/>
        <v>#NAME?</v>
      </c>
      <c r="J12" s="705" t="e">
        <f ca="1">_xll.BDP($A12,"CUR_MKT_CAP")/1000000/$AI$1</f>
        <v>#NAME?</v>
      </c>
      <c r="K12" s="705" t="e">
        <f ca="1">_xll.BDP($A12,"EQY_FREE_FLOAT_PCT")</f>
        <v>#NAME?</v>
      </c>
      <c r="L12" s="706" t="e">
        <f ca="1">_xll.BDP($A12,"AVG_DAILY_VALUE_TRADED_6M")/$AI$1/1000000</f>
        <v>#NAME?</v>
      </c>
      <c r="M12" s="705" t="e">
        <f ca="1">_xll.BDP($A12,"INDUSTRY_GROUP")</f>
        <v>#NAME?</v>
      </c>
      <c r="N12" s="706" t="e">
        <f ca="1">_xll.BDP($A12,"EQY_BETA_6M")</f>
        <v>#NAME?</v>
      </c>
      <c r="O12" s="706" t="e">
        <f ca="1">_xll.BDP($A12,"EST_PE_NXT_YR")</f>
        <v>#NAME?</v>
      </c>
      <c r="P12" s="706" t="e">
        <f ca="1">_xll.BDP($A12,"EST_EV_THIS_YR_EBITDA")</f>
        <v>#NAME?</v>
      </c>
      <c r="Q12" s="706" t="e">
        <f ca="1">_xll.BDP($A12,"CURRENT_EV_TO_12M_SALES")</f>
        <v>#NAME?</v>
      </c>
      <c r="R12" s="706" t="e">
        <f ca="1">_xll.BDP($A12,"PX_TO_BOOK_RATIO")</f>
        <v>#NAME?</v>
      </c>
      <c r="S12" s="706" t="e">
        <f ca="1">_xll.BDP($A12,"PX_TO_FREE_CASH_FLOW")</f>
        <v>#NAME?</v>
      </c>
      <c r="T12" s="706" t="e">
        <f ca="1">_xll.BDP($A12,"NET_DEBT_TO_EBITDA")</f>
        <v>#NAME?</v>
      </c>
      <c r="U12" s="706" t="e">
        <f ca="1">_xll.BDP($A12,"SALES_GROWTH")</f>
        <v>#NAME?</v>
      </c>
      <c r="V12" s="706" t="e">
        <f ca="1">_xll.BDP($A12,"EPS_GROWTH")</f>
        <v>#NAME?</v>
      </c>
      <c r="W12" s="706" t="e">
        <f ca="1">_xll.BDP($A12,"EBITDA_MARGIN")</f>
        <v>#NAME?</v>
      </c>
      <c r="X12" s="706" t="e">
        <f ca="1">_xll.BDP($A12,"EBIT_MARGIN")</f>
        <v>#NAME?</v>
      </c>
      <c r="Y12" s="706" t="e">
        <f ca="1">_xll.BDP($A12,"TRAIL_12M_PROF_MARGIN")</f>
        <v>#NAME?</v>
      </c>
      <c r="Z12" s="706" t="e">
        <f ca="1">_xll.BDP($A12,"NORMALIZED_ROE")</f>
        <v>#NAME?</v>
      </c>
      <c r="AA12" s="390" t="e">
        <f ca="1">_xll.BDP($A12,"BDVD_PROJ_12M_YLD")</f>
        <v>#NAME?</v>
      </c>
      <c r="AB12" s="390" t="e">
        <f ca="1">_xll.BDP($A12,"DVD_RECORD_DT")</f>
        <v>#NAME?</v>
      </c>
      <c r="AC12" s="695" t="e">
        <f ca="1">_xll.BDP($A12,"EQY_REC_CONS")</f>
        <v>#NAME?</v>
      </c>
      <c r="AD12" s="706" t="e">
        <f ca="1">_xll.BDP($A12,"PCT_REVENUE_FROM_FOREIGN_SOURCES")</f>
        <v>#NAME?</v>
      </c>
      <c r="AE12" s="707" t="e">
        <f ca="1">_xll.BDP($A12,"BDVD_NEXT_EST_DECL_DT")</f>
        <v>#NAME?</v>
      </c>
    </row>
    <row r="13" spans="1:51" s="1" customFormat="1" x14ac:dyDescent="0.25">
      <c r="A13" s="659" t="s">
        <v>63</v>
      </c>
      <c r="B13" s="2" t="e">
        <f ca="1">_xll.BDP($A13,"SHORT_NAME")</f>
        <v>#NAME?</v>
      </c>
      <c r="C13" s="2" t="e">
        <f ca="1">_xll.BDP($A13,"PX_LAST")</f>
        <v>#NAME?</v>
      </c>
      <c r="D13" s="5" t="e">
        <f ca="1">_xll.BDP($A13,"CHG_PCT_WTD")</f>
        <v>#NAME?</v>
      </c>
      <c r="E13" s="5" t="e">
        <f ca="1">_xll.BDP($A13,"CHG_PCT_1M")</f>
        <v>#NAME?</v>
      </c>
      <c r="F13" s="5" t="e">
        <f ca="1">_xll.BDP($A13,"CHG_PCT_1YR")</f>
        <v>#NAME?</v>
      </c>
      <c r="G13" s="5" t="e">
        <f ca="1">_xll.BDP($A13,"CHG_PCT_YTD")</f>
        <v>#NAME?</v>
      </c>
      <c r="H13" s="5" t="e">
        <f ca="1">_xll.BDP($A13,"BEST_TARGET_PRICE")</f>
        <v>#NAME?</v>
      </c>
      <c r="I13" s="4" t="e">
        <f t="shared" ca="1" si="0"/>
        <v>#NAME?</v>
      </c>
      <c r="J13" s="3" t="e">
        <f ca="1">_xll.BDP($A13,"CUR_MKT_CAP")/1000000/$AI$1</f>
        <v>#NAME?</v>
      </c>
      <c r="K13" s="3" t="e">
        <f ca="1">_xll.BDP($A13,"EQY_FREE_FLOAT_PCT")</f>
        <v>#NAME?</v>
      </c>
      <c r="L13" s="6" t="e">
        <f ca="1">_xll.BDP($A13,"AVG_DAILY_VALUE_TRADED_6M")/$AI$1/1000000</f>
        <v>#NAME?</v>
      </c>
      <c r="M13" s="3" t="e">
        <f ca="1">_xll.BDP($A13,"INDUSTRY_GROUP")</f>
        <v>#NAME?</v>
      </c>
      <c r="N13" s="6" t="e">
        <f ca="1">_xll.BDP($A13,"EQY_BETA_6M")</f>
        <v>#NAME?</v>
      </c>
      <c r="O13" s="6" t="e">
        <f ca="1">_xll.BDP($A13,"EST_PE_NXT_YR")</f>
        <v>#NAME?</v>
      </c>
      <c r="P13" s="6" t="e">
        <f ca="1">_xll.BDP($A13,"EST_EV_THIS_YR_EBITDA")</f>
        <v>#NAME?</v>
      </c>
      <c r="Q13" s="6" t="e">
        <f ca="1">_xll.BDP($A13,"CURRENT_EV_TO_12M_SALES")</f>
        <v>#NAME?</v>
      </c>
      <c r="R13" s="6" t="e">
        <f ca="1">_xll.BDP($A13,"PX_TO_BOOK_RATIO")</f>
        <v>#NAME?</v>
      </c>
      <c r="S13" s="6" t="e">
        <f ca="1">_xll.BDP($A13,"PX_TO_FREE_CASH_FLOW")</f>
        <v>#NAME?</v>
      </c>
      <c r="T13" s="6" t="e">
        <f ca="1">_xll.BDP($A13,"NET_DEBT_TO_EBITDA")</f>
        <v>#NAME?</v>
      </c>
      <c r="U13" s="6" t="e">
        <f ca="1">_xll.BDP($A13,"SALES_GROWTH")</f>
        <v>#NAME?</v>
      </c>
      <c r="V13" s="6" t="e">
        <f ca="1">_xll.BDP($A13,"EPS_GROWTH")</f>
        <v>#NAME?</v>
      </c>
      <c r="W13" s="6" t="e">
        <f ca="1">_xll.BDP($A13,"EBITDA_MARGIN")</f>
        <v>#NAME?</v>
      </c>
      <c r="X13" s="6" t="e">
        <f ca="1">_xll.BDP($A13,"EBIT_MARGIN")</f>
        <v>#NAME?</v>
      </c>
      <c r="Y13" s="6" t="e">
        <f ca="1">_xll.BDP($A13,"TRAIL_12M_PROF_MARGIN")</f>
        <v>#NAME?</v>
      </c>
      <c r="Z13" s="6" t="e">
        <f ca="1">_xll.BDP($A13,"NORMALIZED_ROE")</f>
        <v>#NAME?</v>
      </c>
      <c r="AA13" s="7" t="e">
        <f ca="1">_xll.BDP($A13,"BDVD_PROJ_12M_YLD")</f>
        <v>#NAME?</v>
      </c>
      <c r="AB13" s="7" t="e">
        <f ca="1">_xll.BDP($A13,"DVD_RECORD_DT")</f>
        <v>#NAME?</v>
      </c>
      <c r="AC13" s="181" t="e">
        <f ca="1">_xll.BDP($A13,"EQY_REC_CONS")</f>
        <v>#NAME?</v>
      </c>
      <c r="AD13" s="6" t="e">
        <f ca="1">_xll.BDP($A13,"PCT_REVENUE_FROM_FOREIGN_SOURCES")</f>
        <v>#NAME?</v>
      </c>
      <c r="AE13" s="660" t="e">
        <f ca="1">_xll.BDP($A13,"BDVD_NEXT_EST_DECL_DT")</f>
        <v>#NAME?</v>
      </c>
    </row>
    <row r="14" spans="1:51" s="1" customFormat="1" x14ac:dyDescent="0.25">
      <c r="A14" s="659" t="s">
        <v>229</v>
      </c>
      <c r="B14" s="2" t="e">
        <f ca="1">_xll.BDP($A14,"SHORT_NAME")</f>
        <v>#NAME?</v>
      </c>
      <c r="C14" s="2" t="e">
        <f ca="1">_xll.BDP($A14,"PX_LAST")</f>
        <v>#NAME?</v>
      </c>
      <c r="D14" s="5" t="e">
        <f ca="1">_xll.BDP($A14,"CHG_PCT_WTD")</f>
        <v>#NAME?</v>
      </c>
      <c r="E14" s="5" t="e">
        <f ca="1">_xll.BDP($A14,"CHG_PCT_1M")</f>
        <v>#NAME?</v>
      </c>
      <c r="F14" s="5" t="e">
        <f ca="1">_xll.BDP($A14,"CHG_PCT_1YR")</f>
        <v>#NAME?</v>
      </c>
      <c r="G14" s="5" t="e">
        <f ca="1">_xll.BDP($A14,"CHG_PCT_YTD")</f>
        <v>#NAME?</v>
      </c>
      <c r="H14" s="5" t="e">
        <f ca="1">_xll.BDP($A14,"BEST_TARGET_PRICE")</f>
        <v>#NAME?</v>
      </c>
      <c r="I14" s="4" t="e">
        <f t="shared" ca="1" si="0"/>
        <v>#NAME?</v>
      </c>
      <c r="J14" s="3" t="e">
        <f ca="1">_xll.BDP($A14,"CUR_MKT_CAP")/1000000/$AI$1</f>
        <v>#NAME?</v>
      </c>
      <c r="K14" s="3" t="e">
        <f ca="1">_xll.BDP($A14,"EQY_FREE_FLOAT_PCT")</f>
        <v>#NAME?</v>
      </c>
      <c r="L14" s="6" t="e">
        <f ca="1">_xll.BDP($A14,"AVG_DAILY_VALUE_TRADED_6M")/$AI$1/1000000</f>
        <v>#NAME?</v>
      </c>
      <c r="M14" s="3" t="e">
        <f ca="1">_xll.BDP($A14,"INDUSTRY_GROUP")</f>
        <v>#NAME?</v>
      </c>
      <c r="N14" s="6" t="e">
        <f ca="1">_xll.BDP($A14,"EQY_BETA_6M")</f>
        <v>#NAME?</v>
      </c>
      <c r="O14" s="6" t="e">
        <f ca="1">_xll.BDP($A14,"EST_PE_NXT_YR")</f>
        <v>#NAME?</v>
      </c>
      <c r="P14" s="6" t="e">
        <f ca="1">_xll.BDP($A14,"EST_EV_THIS_YR_EBITDA")</f>
        <v>#NAME?</v>
      </c>
      <c r="Q14" s="6" t="e">
        <f ca="1">_xll.BDP($A14,"CURRENT_EV_TO_12M_SALES")</f>
        <v>#NAME?</v>
      </c>
      <c r="R14" s="6" t="e">
        <f ca="1">_xll.BDP($A14,"PX_TO_BOOK_RATIO")</f>
        <v>#NAME?</v>
      </c>
      <c r="S14" s="6" t="e">
        <f ca="1">_xll.BDP($A14,"PX_TO_FREE_CASH_FLOW")</f>
        <v>#NAME?</v>
      </c>
      <c r="T14" s="6" t="e">
        <f ca="1">_xll.BDP($A14,"NET_DEBT_TO_EBITDA")</f>
        <v>#NAME?</v>
      </c>
      <c r="U14" s="6" t="e">
        <f ca="1">_xll.BDP($A14,"SALES_GROWTH")</f>
        <v>#NAME?</v>
      </c>
      <c r="V14" s="6" t="e">
        <f ca="1">_xll.BDP($A14,"EPS_GROWTH")</f>
        <v>#NAME?</v>
      </c>
      <c r="W14" s="6" t="e">
        <f ca="1">_xll.BDP($A14,"EBITDA_MARGIN")</f>
        <v>#NAME?</v>
      </c>
      <c r="X14" s="6" t="e">
        <f ca="1">_xll.BDP($A14,"EBIT_MARGIN")</f>
        <v>#NAME?</v>
      </c>
      <c r="Y14" s="6" t="e">
        <f ca="1">_xll.BDP($A14,"TRAIL_12M_PROF_MARGIN")</f>
        <v>#NAME?</v>
      </c>
      <c r="Z14" s="6" t="e">
        <f ca="1">_xll.BDP($A14,"NORMALIZED_ROE")</f>
        <v>#NAME?</v>
      </c>
      <c r="AA14" s="7" t="e">
        <f ca="1">_xll.BDP($A14,"BDVD_PROJ_12M_YLD")</f>
        <v>#NAME?</v>
      </c>
      <c r="AB14" s="7" t="e">
        <f ca="1">_xll.BDP($A14,"DVD_RECORD_DT")</f>
        <v>#NAME?</v>
      </c>
      <c r="AC14" s="181" t="e">
        <f ca="1">_xll.BDP($A14,"EQY_REC_CONS")</f>
        <v>#NAME?</v>
      </c>
      <c r="AD14" s="6" t="e">
        <f ca="1">_xll.BDP($A14,"PCT_REVENUE_FROM_FOREIGN_SOURCES")</f>
        <v>#NAME?</v>
      </c>
      <c r="AE14" s="660" t="e">
        <f ca="1">_xll.BDP($A14,"BDVD_NEXT_EST_DECL_DT")</f>
        <v>#NAME?</v>
      </c>
    </row>
    <row r="15" spans="1:51" s="1" customFormat="1" x14ac:dyDescent="0.25">
      <c r="A15" s="701" t="s">
        <v>27</v>
      </c>
      <c r="B15" s="702" t="e">
        <f ca="1">_xll.BDP($A15,"SHORT_NAME")</f>
        <v>#NAME?</v>
      </c>
      <c r="C15" s="702" t="e">
        <f ca="1">_xll.BDP($A15,"PX_LAST")</f>
        <v>#NAME?</v>
      </c>
      <c r="D15" s="703" t="e">
        <f ca="1">_xll.BDP($A15,"CHG_PCT_WTD")</f>
        <v>#NAME?</v>
      </c>
      <c r="E15" s="703" t="e">
        <f ca="1">_xll.BDP($A15,"CHG_PCT_1M")</f>
        <v>#NAME?</v>
      </c>
      <c r="F15" s="703" t="e">
        <f ca="1">_xll.BDP($A15,"CHG_PCT_1YR")</f>
        <v>#NAME?</v>
      </c>
      <c r="G15" s="703" t="e">
        <f ca="1">_xll.BDP($A15,"CHG_PCT_YTD")</f>
        <v>#NAME?</v>
      </c>
      <c r="H15" s="703" t="e">
        <f ca="1">_xll.BDP($A15,"BEST_TARGET_PRICE")</f>
        <v>#NAME?</v>
      </c>
      <c r="I15" s="704" t="e">
        <f t="shared" ca="1" si="0"/>
        <v>#NAME?</v>
      </c>
      <c r="J15" s="705" t="e">
        <f ca="1">_xll.BDP($A15,"CUR_MKT_CAP")/1000000/$AI$1</f>
        <v>#NAME?</v>
      </c>
      <c r="K15" s="705" t="e">
        <f ca="1">_xll.BDP($A15,"EQY_FREE_FLOAT_PCT")</f>
        <v>#NAME?</v>
      </c>
      <c r="L15" s="706" t="e">
        <f ca="1">_xll.BDP($A15,"AVG_DAILY_VALUE_TRADED_6M")/$AI$1/1000000</f>
        <v>#NAME?</v>
      </c>
      <c r="M15" s="705" t="e">
        <f ca="1">_xll.BDP($A15,"INDUSTRY_GROUP")</f>
        <v>#NAME?</v>
      </c>
      <c r="N15" s="706" t="e">
        <f ca="1">_xll.BDP($A15,"EQY_BETA_6M")</f>
        <v>#NAME?</v>
      </c>
      <c r="O15" s="706" t="e">
        <f ca="1">_xll.BDP($A15,"EST_PE_NXT_YR")</f>
        <v>#NAME?</v>
      </c>
      <c r="P15" s="706" t="e">
        <f ca="1">_xll.BDP($A15,"EST_EV_THIS_YR_EBITDA")</f>
        <v>#NAME?</v>
      </c>
      <c r="Q15" s="706" t="e">
        <f ca="1">_xll.BDP($A15,"CURRENT_EV_TO_12M_SALES")</f>
        <v>#NAME?</v>
      </c>
      <c r="R15" s="706" t="e">
        <f ca="1">_xll.BDP($A15,"PX_TO_BOOK_RATIO")</f>
        <v>#NAME?</v>
      </c>
      <c r="S15" s="706" t="e">
        <f ca="1">_xll.BDP($A15,"PX_TO_FREE_CASH_FLOW")</f>
        <v>#NAME?</v>
      </c>
      <c r="T15" s="706" t="e">
        <f ca="1">_xll.BDP($A15,"NET_DEBT_TO_EBITDA")</f>
        <v>#NAME?</v>
      </c>
      <c r="U15" s="706" t="e">
        <f ca="1">_xll.BDP($A15,"SALES_GROWTH")</f>
        <v>#NAME?</v>
      </c>
      <c r="V15" s="706" t="e">
        <f ca="1">_xll.BDP($A15,"EPS_GROWTH")</f>
        <v>#NAME?</v>
      </c>
      <c r="W15" s="706" t="e">
        <f ca="1">_xll.BDP($A15,"EBITDA_MARGIN")</f>
        <v>#NAME?</v>
      </c>
      <c r="X15" s="706" t="e">
        <f ca="1">_xll.BDP($A15,"EBIT_MARGIN")</f>
        <v>#NAME?</v>
      </c>
      <c r="Y15" s="706" t="e">
        <f ca="1">_xll.BDP($A15,"TRAIL_12M_PROF_MARGIN")</f>
        <v>#NAME?</v>
      </c>
      <c r="Z15" s="706" t="e">
        <f ca="1">_xll.BDP($A15,"NORMALIZED_ROE")</f>
        <v>#NAME?</v>
      </c>
      <c r="AA15" s="390" t="e">
        <f ca="1">_xll.BDP($A15,"BDVD_PROJ_12M_YLD")</f>
        <v>#NAME?</v>
      </c>
      <c r="AB15" s="390" t="e">
        <f ca="1">_xll.BDP($A15,"DVD_RECORD_DT")</f>
        <v>#NAME?</v>
      </c>
      <c r="AC15" s="695" t="e">
        <f ca="1">_xll.BDP($A15,"EQY_REC_CONS")</f>
        <v>#NAME?</v>
      </c>
      <c r="AD15" s="706" t="e">
        <f ca="1">_xll.BDP($A15,"PCT_REVENUE_FROM_FOREIGN_SOURCES")</f>
        <v>#NAME?</v>
      </c>
      <c r="AE15" s="707" t="e">
        <f ca="1">_xll.BDP($A15,"BDVD_NEXT_EST_DECL_DT")</f>
        <v>#NAME?</v>
      </c>
    </row>
    <row r="16" spans="1:51" s="708" customFormat="1" x14ac:dyDescent="0.25">
      <c r="A16" s="659" t="s">
        <v>31</v>
      </c>
      <c r="B16" s="2" t="e">
        <f ca="1">_xll.BDP($A16,"SHORT_NAME")</f>
        <v>#NAME?</v>
      </c>
      <c r="C16" s="2" t="e">
        <f ca="1">_xll.BDP($A16,"PX_LAST")</f>
        <v>#NAME?</v>
      </c>
      <c r="D16" s="5" t="e">
        <f ca="1">_xll.BDP($A16,"CHG_PCT_WTD")</f>
        <v>#NAME?</v>
      </c>
      <c r="E16" s="5" t="e">
        <f ca="1">_xll.BDP($A16,"CHG_PCT_1M")</f>
        <v>#NAME?</v>
      </c>
      <c r="F16" s="5" t="e">
        <f ca="1">_xll.BDP($A16,"CHG_PCT_1YR")</f>
        <v>#NAME?</v>
      </c>
      <c r="G16" s="5" t="e">
        <f ca="1">_xll.BDP($A16,"CHG_PCT_YTD")</f>
        <v>#NAME?</v>
      </c>
      <c r="H16" s="5" t="e">
        <f ca="1">_xll.BDP($A16,"BEST_TARGET_PRICE")</f>
        <v>#NAME?</v>
      </c>
      <c r="I16" s="4" t="e">
        <f t="shared" ca="1" si="0"/>
        <v>#NAME?</v>
      </c>
      <c r="J16" s="3" t="e">
        <f ca="1">_xll.BDP($A16,"CUR_MKT_CAP")/1000000/$AI$1</f>
        <v>#NAME?</v>
      </c>
      <c r="K16" s="3" t="e">
        <f ca="1">_xll.BDP($A16,"EQY_FREE_FLOAT_PCT")</f>
        <v>#NAME?</v>
      </c>
      <c r="L16" s="6" t="e">
        <f ca="1">_xll.BDP($A16,"AVG_DAILY_VALUE_TRADED_6M")/$AI$1/1000000</f>
        <v>#NAME?</v>
      </c>
      <c r="M16" s="3" t="e">
        <f ca="1">_xll.BDP($A16,"INDUSTRY_GROUP")</f>
        <v>#NAME?</v>
      </c>
      <c r="N16" s="6" t="e">
        <f ca="1">_xll.BDP($A16,"EQY_BETA_6M")</f>
        <v>#NAME?</v>
      </c>
      <c r="O16" s="6" t="e">
        <f ca="1">_xll.BDP($A16,"EST_PE_NXT_YR")</f>
        <v>#NAME?</v>
      </c>
      <c r="P16" s="6" t="e">
        <f ca="1">_xll.BDP($A16,"EST_EV_THIS_YR_EBITDA")</f>
        <v>#NAME?</v>
      </c>
      <c r="Q16" s="6" t="e">
        <f ca="1">_xll.BDP($A16,"CURRENT_EV_TO_12M_SALES")</f>
        <v>#NAME?</v>
      </c>
      <c r="R16" s="6" t="e">
        <f ca="1">_xll.BDP($A16,"PX_TO_BOOK_RATIO")</f>
        <v>#NAME?</v>
      </c>
      <c r="S16" s="6" t="e">
        <f ca="1">_xll.BDP($A16,"PX_TO_FREE_CASH_FLOW")</f>
        <v>#NAME?</v>
      </c>
      <c r="T16" s="6" t="e">
        <f ca="1">_xll.BDP($A16,"NET_DEBT_TO_EBITDA")</f>
        <v>#NAME?</v>
      </c>
      <c r="U16" s="6" t="e">
        <f ca="1">_xll.BDP($A16,"SALES_GROWTH")</f>
        <v>#NAME?</v>
      </c>
      <c r="V16" s="6" t="e">
        <f ca="1">_xll.BDP($A16,"EPS_GROWTH")</f>
        <v>#NAME?</v>
      </c>
      <c r="W16" s="6" t="e">
        <f ca="1">_xll.BDP($A16,"EBITDA_MARGIN")</f>
        <v>#NAME?</v>
      </c>
      <c r="X16" s="6" t="e">
        <f ca="1">_xll.BDP($A16,"EBIT_MARGIN")</f>
        <v>#NAME?</v>
      </c>
      <c r="Y16" s="6" t="e">
        <f ca="1">_xll.BDP($A16,"TRAIL_12M_PROF_MARGIN")</f>
        <v>#NAME?</v>
      </c>
      <c r="Z16" s="6" t="e">
        <f ca="1">_xll.BDP($A16,"NORMALIZED_ROE")</f>
        <v>#NAME?</v>
      </c>
      <c r="AA16" s="7" t="e">
        <f ca="1">_xll.BDP($A16,"BDVD_PROJ_12M_YLD")</f>
        <v>#NAME?</v>
      </c>
      <c r="AB16" s="7" t="e">
        <f ca="1">_xll.BDP($A16,"DVD_RECORD_DT")</f>
        <v>#NAME?</v>
      </c>
      <c r="AC16" s="181" t="e">
        <f ca="1">_xll.BDP($A16,"EQY_REC_CONS")</f>
        <v>#NAME?</v>
      </c>
      <c r="AD16" s="6" t="e">
        <f ca="1">_xll.BDP($A16,"PCT_REVENUE_FROM_FOREIGN_SOURCES")</f>
        <v>#NAME?</v>
      </c>
      <c r="AE16" s="660" t="e">
        <f ca="1">_xll.BDP($A16,"BDVD_NEXT_EST_DECL_DT")</f>
        <v>#NAME?</v>
      </c>
    </row>
    <row r="17" spans="1:31" s="1" customFormat="1" x14ac:dyDescent="0.25">
      <c r="A17" s="659" t="s">
        <v>30</v>
      </c>
      <c r="B17" s="2" t="e">
        <f ca="1">_xll.BDP($A17,"SHORT_NAME")</f>
        <v>#NAME?</v>
      </c>
      <c r="C17" s="2" t="e">
        <f ca="1">_xll.BDP($A17,"PX_LAST")</f>
        <v>#NAME?</v>
      </c>
      <c r="D17" s="5" t="e">
        <f ca="1">_xll.BDP($A17,"CHG_PCT_WTD")</f>
        <v>#NAME?</v>
      </c>
      <c r="E17" s="5" t="e">
        <f ca="1">_xll.BDP($A17,"CHG_PCT_1M")</f>
        <v>#NAME?</v>
      </c>
      <c r="F17" s="5" t="e">
        <f ca="1">_xll.BDP($A17,"CHG_PCT_1YR")</f>
        <v>#NAME?</v>
      </c>
      <c r="G17" s="5" t="e">
        <f ca="1">_xll.BDP($A17,"CHG_PCT_YTD")</f>
        <v>#NAME?</v>
      </c>
      <c r="H17" s="5" t="e">
        <f ca="1">_xll.BDP($A17,"BEST_TARGET_PRICE")</f>
        <v>#NAME?</v>
      </c>
      <c r="I17" s="4" t="e">
        <f t="shared" ca="1" si="0"/>
        <v>#NAME?</v>
      </c>
      <c r="J17" s="3" t="e">
        <f ca="1">_xll.BDP($A17,"CUR_MKT_CAP")/1000000/$AI$1</f>
        <v>#NAME?</v>
      </c>
      <c r="K17" s="3" t="e">
        <f ca="1">_xll.BDP($A17,"EQY_FREE_FLOAT_PCT")</f>
        <v>#NAME?</v>
      </c>
      <c r="L17" s="6" t="e">
        <f ca="1">_xll.BDP($A17,"AVG_DAILY_VALUE_TRADED_6M")/$AI$1/1000000</f>
        <v>#NAME?</v>
      </c>
      <c r="M17" s="3" t="e">
        <f ca="1">_xll.BDP($A17,"INDUSTRY_GROUP")</f>
        <v>#NAME?</v>
      </c>
      <c r="N17" s="6" t="e">
        <f ca="1">_xll.BDP($A17,"EQY_BETA_6M")</f>
        <v>#NAME?</v>
      </c>
      <c r="O17" s="6" t="e">
        <f ca="1">_xll.BDP($A17,"EST_PE_NXT_YR")</f>
        <v>#NAME?</v>
      </c>
      <c r="P17" s="6" t="e">
        <f ca="1">_xll.BDP($A17,"EST_EV_THIS_YR_EBITDA")</f>
        <v>#NAME?</v>
      </c>
      <c r="Q17" s="6" t="e">
        <f ca="1">_xll.BDP($A17,"CURRENT_EV_TO_12M_SALES")</f>
        <v>#NAME?</v>
      </c>
      <c r="R17" s="6" t="e">
        <f ca="1">_xll.BDP($A17,"PX_TO_BOOK_RATIO")</f>
        <v>#NAME?</v>
      </c>
      <c r="S17" s="6" t="e">
        <f ca="1">_xll.BDP($A17,"PX_TO_FREE_CASH_FLOW")</f>
        <v>#NAME?</v>
      </c>
      <c r="T17" s="6" t="e">
        <f ca="1">_xll.BDP($A17,"NET_DEBT_TO_EBITDA")</f>
        <v>#NAME?</v>
      </c>
      <c r="U17" s="6" t="e">
        <f ca="1">_xll.BDP($A17,"SALES_GROWTH")</f>
        <v>#NAME?</v>
      </c>
      <c r="V17" s="6" t="e">
        <f ca="1">_xll.BDP($A17,"EPS_GROWTH")</f>
        <v>#NAME?</v>
      </c>
      <c r="W17" s="6" t="e">
        <f ca="1">_xll.BDP($A17,"EBITDA_MARGIN")</f>
        <v>#NAME?</v>
      </c>
      <c r="X17" s="6" t="e">
        <f ca="1">_xll.BDP($A17,"EBIT_MARGIN")</f>
        <v>#NAME?</v>
      </c>
      <c r="Y17" s="6" t="e">
        <f ca="1">_xll.BDP($A17,"TRAIL_12M_PROF_MARGIN")</f>
        <v>#NAME?</v>
      </c>
      <c r="Z17" s="6" t="e">
        <f ca="1">_xll.BDP($A17,"NORMALIZED_ROE")</f>
        <v>#NAME?</v>
      </c>
      <c r="AA17" s="7" t="e">
        <f ca="1">_xll.BDP($A17,"BDVD_PROJ_12M_YLD")</f>
        <v>#NAME?</v>
      </c>
      <c r="AB17" s="7" t="e">
        <f ca="1">_xll.BDP($A17,"DVD_RECORD_DT")</f>
        <v>#NAME?</v>
      </c>
      <c r="AC17" s="181" t="e">
        <f ca="1">_xll.BDP($A17,"EQY_REC_CONS")</f>
        <v>#NAME?</v>
      </c>
      <c r="AD17" s="6" t="e">
        <f ca="1">_xll.BDP($A17,"PCT_REVENUE_FROM_FOREIGN_SOURCES")</f>
        <v>#NAME?</v>
      </c>
      <c r="AE17" s="660" t="e">
        <f ca="1">_xll.BDP($A17,"BDVD_NEXT_EST_DECL_DT")</f>
        <v>#NAME?</v>
      </c>
    </row>
    <row r="18" spans="1:31" s="1" customFormat="1" x14ac:dyDescent="0.25">
      <c r="A18" s="659" t="s">
        <v>65</v>
      </c>
      <c r="B18" s="2" t="e">
        <f ca="1">_xll.BDP($A18,"SHORT_NAME")</f>
        <v>#NAME?</v>
      </c>
      <c r="C18" s="2" t="e">
        <f ca="1">_xll.BDP($A18,"PX_LAST")</f>
        <v>#NAME?</v>
      </c>
      <c r="D18" s="5" t="e">
        <f ca="1">_xll.BDP($A18,"CHG_PCT_WTD")</f>
        <v>#NAME?</v>
      </c>
      <c r="E18" s="5" t="e">
        <f ca="1">_xll.BDP($A18,"CHG_PCT_1M")</f>
        <v>#NAME?</v>
      </c>
      <c r="F18" s="5" t="e">
        <f ca="1">_xll.BDP($A18,"CHG_PCT_1YR")</f>
        <v>#NAME?</v>
      </c>
      <c r="G18" s="5" t="e">
        <f ca="1">_xll.BDP($A18,"CHG_PCT_YTD")</f>
        <v>#NAME?</v>
      </c>
      <c r="H18" s="5" t="e">
        <f ca="1">_xll.BDP($A18,"BEST_TARGET_PRICE")</f>
        <v>#NAME?</v>
      </c>
      <c r="I18" s="4" t="e">
        <f t="shared" ca="1" si="0"/>
        <v>#NAME?</v>
      </c>
      <c r="J18" s="3" t="e">
        <f ca="1">_xll.BDP($A18,"CUR_MKT_CAP")/1000000/$AI$1</f>
        <v>#NAME?</v>
      </c>
      <c r="K18" s="3" t="e">
        <f ca="1">_xll.BDP($A18,"EQY_FREE_FLOAT_PCT")</f>
        <v>#NAME?</v>
      </c>
      <c r="L18" s="6" t="e">
        <f ca="1">_xll.BDP($A18,"AVG_DAILY_VALUE_TRADED_6M")/$AI$1/1000000</f>
        <v>#NAME?</v>
      </c>
      <c r="M18" s="3" t="e">
        <f ca="1">_xll.BDP($A18,"INDUSTRY_GROUP")</f>
        <v>#NAME?</v>
      </c>
      <c r="N18" s="6" t="e">
        <f ca="1">_xll.BDP($A18,"EQY_BETA_6M")</f>
        <v>#NAME?</v>
      </c>
      <c r="O18" s="6" t="e">
        <f ca="1">_xll.BDP($A18,"EST_PE_NXT_YR")</f>
        <v>#NAME?</v>
      </c>
      <c r="P18" s="6" t="e">
        <f ca="1">_xll.BDP($A18,"EST_EV_THIS_YR_EBITDA")</f>
        <v>#NAME?</v>
      </c>
      <c r="Q18" s="6" t="e">
        <f ca="1">_xll.BDP($A18,"CURRENT_EV_TO_12M_SALES")</f>
        <v>#NAME?</v>
      </c>
      <c r="R18" s="6" t="e">
        <f ca="1">_xll.BDP($A18,"PX_TO_BOOK_RATIO")</f>
        <v>#NAME?</v>
      </c>
      <c r="S18" s="6" t="e">
        <f ca="1">_xll.BDP($A18,"PX_TO_FREE_CASH_FLOW")</f>
        <v>#NAME?</v>
      </c>
      <c r="T18" s="6" t="e">
        <f ca="1">_xll.BDP($A18,"NET_DEBT_TO_EBITDA")</f>
        <v>#NAME?</v>
      </c>
      <c r="U18" s="6" t="e">
        <f ca="1">_xll.BDP($A18,"SALES_GROWTH")</f>
        <v>#NAME?</v>
      </c>
      <c r="V18" s="6" t="e">
        <f ca="1">_xll.BDP($A18,"EPS_GROWTH")</f>
        <v>#NAME?</v>
      </c>
      <c r="W18" s="6" t="e">
        <f ca="1">_xll.BDP($A18,"EBITDA_MARGIN")</f>
        <v>#NAME?</v>
      </c>
      <c r="X18" s="6" t="e">
        <f ca="1">_xll.BDP($A18,"EBIT_MARGIN")</f>
        <v>#NAME?</v>
      </c>
      <c r="Y18" s="6" t="e">
        <f ca="1">_xll.BDP($A18,"TRAIL_12M_PROF_MARGIN")</f>
        <v>#NAME?</v>
      </c>
      <c r="Z18" s="6" t="e">
        <f ca="1">_xll.BDP($A18,"NORMALIZED_ROE")</f>
        <v>#NAME?</v>
      </c>
      <c r="AA18" s="7" t="e">
        <f ca="1">_xll.BDP($A18,"BDVD_PROJ_12M_YLD")</f>
        <v>#NAME?</v>
      </c>
      <c r="AB18" s="7" t="e">
        <f ca="1">_xll.BDP($A18,"DVD_RECORD_DT")</f>
        <v>#NAME?</v>
      </c>
      <c r="AC18" s="181" t="e">
        <f ca="1">_xll.BDP($A18,"EQY_REC_CONS")</f>
        <v>#NAME?</v>
      </c>
      <c r="AD18" s="6" t="e">
        <f ca="1">_xll.BDP($A18,"PCT_REVENUE_FROM_FOREIGN_SOURCES")</f>
        <v>#NAME?</v>
      </c>
      <c r="AE18" s="660" t="e">
        <f ca="1">_xll.BDP($A18,"BDVD_NEXT_EST_DECL_DT")</f>
        <v>#NAME?</v>
      </c>
    </row>
    <row r="19" spans="1:31" s="1" customFormat="1" x14ac:dyDescent="0.25">
      <c r="A19" s="659" t="s">
        <v>47</v>
      </c>
      <c r="B19" s="2" t="e">
        <f ca="1">_xll.BDP($A19,"SHORT_NAME")</f>
        <v>#NAME?</v>
      </c>
      <c r="C19" s="2" t="e">
        <f ca="1">_xll.BDP($A19,"PX_LAST")</f>
        <v>#NAME?</v>
      </c>
      <c r="D19" s="5" t="e">
        <f ca="1">_xll.BDP($A19,"CHG_PCT_WTD")</f>
        <v>#NAME?</v>
      </c>
      <c r="E19" s="5" t="e">
        <f ca="1">_xll.BDP($A19,"CHG_PCT_1M")</f>
        <v>#NAME?</v>
      </c>
      <c r="F19" s="5" t="e">
        <f ca="1">_xll.BDP($A19,"CHG_PCT_1YR")</f>
        <v>#NAME?</v>
      </c>
      <c r="G19" s="5" t="e">
        <f ca="1">_xll.BDP($A19,"CHG_PCT_YTD")</f>
        <v>#NAME?</v>
      </c>
      <c r="H19" s="5" t="e">
        <f ca="1">_xll.BDP($A19,"BEST_TARGET_PRICE")</f>
        <v>#NAME?</v>
      </c>
      <c r="I19" s="4" t="e">
        <f t="shared" ca="1" si="0"/>
        <v>#NAME?</v>
      </c>
      <c r="J19" s="3" t="e">
        <f ca="1">_xll.BDP($A19,"CUR_MKT_CAP")/1000000/$AI$1</f>
        <v>#NAME?</v>
      </c>
      <c r="K19" s="3" t="e">
        <f ca="1">_xll.BDP($A19,"EQY_FREE_FLOAT_PCT")</f>
        <v>#NAME?</v>
      </c>
      <c r="L19" s="6" t="e">
        <f ca="1">_xll.BDP($A19,"AVG_DAILY_VALUE_TRADED_6M")/$AI$1/1000000</f>
        <v>#NAME?</v>
      </c>
      <c r="M19" s="3" t="e">
        <f ca="1">_xll.BDP($A19,"INDUSTRY_GROUP")</f>
        <v>#NAME?</v>
      </c>
      <c r="N19" s="6" t="e">
        <f ca="1">_xll.BDP($A19,"EQY_BETA_6M")</f>
        <v>#NAME?</v>
      </c>
      <c r="O19" s="6" t="e">
        <f ca="1">_xll.BDP($A19,"EST_PE_NXT_YR")</f>
        <v>#NAME?</v>
      </c>
      <c r="P19" s="6" t="e">
        <f ca="1">_xll.BDP($A19,"EST_EV_THIS_YR_EBITDA")</f>
        <v>#NAME?</v>
      </c>
      <c r="Q19" s="6" t="e">
        <f ca="1">_xll.BDP($A19,"CURRENT_EV_TO_12M_SALES")</f>
        <v>#NAME?</v>
      </c>
      <c r="R19" s="6" t="e">
        <f ca="1">_xll.BDP($A19,"PX_TO_BOOK_RATIO")</f>
        <v>#NAME?</v>
      </c>
      <c r="S19" s="6" t="e">
        <f ca="1">_xll.BDP($A19,"PX_TO_FREE_CASH_FLOW")</f>
        <v>#NAME?</v>
      </c>
      <c r="T19" s="6" t="e">
        <f ca="1">_xll.BDP($A19,"NET_DEBT_TO_EBITDA")</f>
        <v>#NAME?</v>
      </c>
      <c r="U19" s="6" t="e">
        <f ca="1">_xll.BDP($A19,"SALES_GROWTH")</f>
        <v>#NAME?</v>
      </c>
      <c r="V19" s="6" t="e">
        <f ca="1">_xll.BDP($A19,"EPS_GROWTH")</f>
        <v>#NAME?</v>
      </c>
      <c r="W19" s="6" t="e">
        <f ca="1">_xll.BDP($A19,"EBITDA_MARGIN")</f>
        <v>#NAME?</v>
      </c>
      <c r="X19" s="6" t="e">
        <f ca="1">_xll.BDP($A19,"EBIT_MARGIN")</f>
        <v>#NAME?</v>
      </c>
      <c r="Y19" s="6" t="e">
        <f ca="1">_xll.BDP($A19,"TRAIL_12M_PROF_MARGIN")</f>
        <v>#NAME?</v>
      </c>
      <c r="Z19" s="6" t="e">
        <f ca="1">_xll.BDP($A19,"NORMALIZED_ROE")</f>
        <v>#NAME?</v>
      </c>
      <c r="AA19" s="7" t="e">
        <f ca="1">_xll.BDP($A19,"BDVD_PROJ_12M_YLD")</f>
        <v>#NAME?</v>
      </c>
      <c r="AB19" s="7" t="e">
        <f ca="1">_xll.BDP($A19,"DVD_RECORD_DT")</f>
        <v>#NAME?</v>
      </c>
      <c r="AC19" s="181" t="e">
        <f ca="1">_xll.BDP($A19,"EQY_REC_CONS")</f>
        <v>#NAME?</v>
      </c>
      <c r="AD19" s="6" t="e">
        <f ca="1">_xll.BDP($A19,"PCT_REVENUE_FROM_FOREIGN_SOURCES")</f>
        <v>#NAME?</v>
      </c>
      <c r="AE19" s="660" t="e">
        <f ca="1">_xll.BDP($A19,"BDVD_NEXT_EST_DECL_DT")</f>
        <v>#NAME?</v>
      </c>
    </row>
    <row r="20" spans="1:31" s="1" customFormat="1" ht="15.75" thickBot="1" x14ac:dyDescent="0.3">
      <c r="A20" s="661" t="s">
        <v>288</v>
      </c>
      <c r="B20" s="662" t="e">
        <f ca="1">_xll.BDP($A20,"SHORT_NAME")</f>
        <v>#NAME?</v>
      </c>
      <c r="C20" s="662" t="e">
        <f ca="1">_xll.BDP($A20,"PX_LAST")</f>
        <v>#NAME?</v>
      </c>
      <c r="D20" s="663" t="e">
        <f ca="1">_xll.BDP($A20,"CHG_PCT_WTD")</f>
        <v>#NAME?</v>
      </c>
      <c r="E20" s="663" t="e">
        <f ca="1">_xll.BDP($A20,"CHG_PCT_1M")</f>
        <v>#NAME?</v>
      </c>
      <c r="F20" s="663" t="e">
        <f ca="1">_xll.BDP($A20,"CHG_PCT_1YR")</f>
        <v>#NAME?</v>
      </c>
      <c r="G20" s="663" t="e">
        <f ca="1">_xll.BDP($A20,"CHG_PCT_YTD")</f>
        <v>#NAME?</v>
      </c>
      <c r="H20" s="663" t="e">
        <f ca="1">_xll.BDP($A20,"BEST_TARGET_PRICE")</f>
        <v>#NAME?</v>
      </c>
      <c r="I20" s="664" t="e">
        <f t="shared" ca="1" si="0"/>
        <v>#NAME?</v>
      </c>
      <c r="J20" s="665" t="e">
        <f ca="1">_xll.BDP($A20,"CUR_MKT_CAP")/1000000/$AI$1</f>
        <v>#NAME?</v>
      </c>
      <c r="K20" s="665" t="e">
        <f ca="1">_xll.BDP($A20,"EQY_FREE_FLOAT_PCT")</f>
        <v>#NAME?</v>
      </c>
      <c r="L20" s="666" t="e">
        <f ca="1">_xll.BDP($A20,"AVG_DAILY_VALUE_TRADED_6M")/$AI$1/1000000</f>
        <v>#NAME?</v>
      </c>
      <c r="M20" s="665" t="e">
        <f ca="1">_xll.BDP($A20,"INDUSTRY_GROUP")</f>
        <v>#NAME?</v>
      </c>
      <c r="N20" s="666" t="e">
        <f ca="1">_xll.BDP($A20,"EQY_BETA_6M")</f>
        <v>#NAME?</v>
      </c>
      <c r="O20" s="666" t="e">
        <f ca="1">_xll.BDP($A20,"EST_PE_NXT_YR")</f>
        <v>#NAME?</v>
      </c>
      <c r="P20" s="666" t="e">
        <f ca="1">_xll.BDP($A20,"EST_EV_THIS_YR_EBITDA")</f>
        <v>#NAME?</v>
      </c>
      <c r="Q20" s="666" t="e">
        <f ca="1">_xll.BDP($A20,"CURRENT_EV_TO_12M_SALES")</f>
        <v>#NAME?</v>
      </c>
      <c r="R20" s="666" t="e">
        <f ca="1">_xll.BDP($A20,"PX_TO_BOOK_RATIO")</f>
        <v>#NAME?</v>
      </c>
      <c r="S20" s="666" t="e">
        <f ca="1">_xll.BDP($A20,"PX_TO_FREE_CASH_FLOW")</f>
        <v>#NAME?</v>
      </c>
      <c r="T20" s="666" t="e">
        <f ca="1">_xll.BDP($A20,"NET_DEBT_TO_EBITDA")</f>
        <v>#NAME?</v>
      </c>
      <c r="U20" s="666" t="e">
        <f ca="1">_xll.BDP($A20,"SALES_GROWTH")</f>
        <v>#NAME?</v>
      </c>
      <c r="V20" s="666" t="e">
        <f ca="1">_xll.BDP($A20,"EPS_GROWTH")</f>
        <v>#NAME?</v>
      </c>
      <c r="W20" s="666" t="e">
        <f ca="1">_xll.BDP($A20,"EBITDA_MARGIN")</f>
        <v>#NAME?</v>
      </c>
      <c r="X20" s="666" t="e">
        <f ca="1">_xll.BDP($A20,"EBIT_MARGIN")</f>
        <v>#NAME?</v>
      </c>
      <c r="Y20" s="666" t="e">
        <f ca="1">_xll.BDP($A20,"TRAIL_12M_PROF_MARGIN")</f>
        <v>#NAME?</v>
      </c>
      <c r="Z20" s="666" t="e">
        <f ca="1">_xll.BDP($A20,"NORMALIZED_ROE")</f>
        <v>#NAME?</v>
      </c>
      <c r="AA20" s="667" t="e">
        <f ca="1">_xll.BDP($A20,"BDVD_PROJ_12M_YLD")</f>
        <v>#NAME?</v>
      </c>
      <c r="AB20" s="667" t="e">
        <f ca="1">_xll.BDP($A20,"DVD_RECORD_DT")</f>
        <v>#NAME?</v>
      </c>
      <c r="AC20" s="670" t="e">
        <f ca="1">_xll.BDP($A20,"EQY_REC_CONS")</f>
        <v>#NAME?</v>
      </c>
      <c r="AD20" s="666" t="e">
        <f ca="1">_xll.BDP($A20,"PCT_REVENUE_FROM_FOREIGN_SOURCES")</f>
        <v>#NAME?</v>
      </c>
      <c r="AE20" s="668" t="e">
        <f ca="1">_xll.BDP($A20,"BDVD_NEXT_EST_DECL_DT")</f>
        <v>#NAME?</v>
      </c>
    </row>
    <row r="21" spans="1:31" s="1" customFormat="1" x14ac:dyDescent="0.25">
      <c r="A21" s="651" t="s">
        <v>34</v>
      </c>
      <c r="B21" s="652" t="e">
        <f ca="1">_xll.BDP($A21,"SHORT_NAME")</f>
        <v>#NAME?</v>
      </c>
      <c r="C21" s="652" t="e">
        <f ca="1">_xll.BDP($A21,"PX_LAST")</f>
        <v>#NAME?</v>
      </c>
      <c r="D21" s="653" t="e">
        <f ca="1">_xll.BDP($A21,"CHG_PCT_WTD")</f>
        <v>#NAME?</v>
      </c>
      <c r="E21" s="653" t="e">
        <f ca="1">_xll.BDP($A21,"CHG_PCT_1M")</f>
        <v>#NAME?</v>
      </c>
      <c r="F21" s="653" t="e">
        <f ca="1">_xll.BDP($A21,"CHG_PCT_1YR")</f>
        <v>#NAME?</v>
      </c>
      <c r="G21" s="653" t="e">
        <f ca="1">_xll.BDP($A21,"CHG_PCT_YTD")</f>
        <v>#NAME?</v>
      </c>
      <c r="H21" s="653" t="e">
        <f ca="1">_xll.BDP($A21,"BEST_TARGET_PRICE")</f>
        <v>#NAME?</v>
      </c>
      <c r="I21" s="654" t="e">
        <f t="shared" ca="1" si="0"/>
        <v>#NAME?</v>
      </c>
      <c r="J21" s="655" t="e">
        <f ca="1">_xll.BDP($A21,"CUR_MKT_CAP")/1000000/$AI$1</f>
        <v>#NAME?</v>
      </c>
      <c r="K21" s="655" t="e">
        <f ca="1">_xll.BDP($A21,"EQY_FREE_FLOAT_PCT")</f>
        <v>#NAME?</v>
      </c>
      <c r="L21" s="656" t="e">
        <f ca="1">_xll.BDP($A21,"AVG_DAILY_VALUE_TRADED_6M")/$AI$1/1000000</f>
        <v>#NAME?</v>
      </c>
      <c r="M21" s="655" t="e">
        <f ca="1">_xll.BDP($A21,"INDUSTRY_GROUP")</f>
        <v>#NAME?</v>
      </c>
      <c r="N21" s="656" t="e">
        <f ca="1">_xll.BDP($A21,"EQY_BETA_6M")</f>
        <v>#NAME?</v>
      </c>
      <c r="O21" s="656" t="e">
        <f ca="1">_xll.BDP($A21,"EST_PE_NXT_YR")</f>
        <v>#NAME?</v>
      </c>
      <c r="P21" s="656" t="e">
        <f ca="1">_xll.BDP($A21,"EST_EV_THIS_YR_EBITDA")</f>
        <v>#NAME?</v>
      </c>
      <c r="Q21" s="656" t="e">
        <f ca="1">_xll.BDP($A21,"CURRENT_EV_TO_12M_SALES")</f>
        <v>#NAME?</v>
      </c>
      <c r="R21" s="656" t="e">
        <f ca="1">_xll.BDP($A21,"PX_TO_BOOK_RATIO")</f>
        <v>#NAME?</v>
      </c>
      <c r="S21" s="656" t="e">
        <f ca="1">_xll.BDP($A21,"PX_TO_FREE_CASH_FLOW")</f>
        <v>#NAME?</v>
      </c>
      <c r="T21" s="656" t="e">
        <f ca="1">_xll.BDP($A21,"NET_DEBT_TO_EBITDA")</f>
        <v>#NAME?</v>
      </c>
      <c r="U21" s="656" t="e">
        <f ca="1">_xll.BDP($A21,"SALES_GROWTH")</f>
        <v>#NAME?</v>
      </c>
      <c r="V21" s="656" t="e">
        <f ca="1">_xll.BDP($A21,"EPS_GROWTH")</f>
        <v>#NAME?</v>
      </c>
      <c r="W21" s="656" t="e">
        <f ca="1">_xll.BDP($A21,"EBITDA_MARGIN")</f>
        <v>#NAME?</v>
      </c>
      <c r="X21" s="656" t="e">
        <f ca="1">_xll.BDP($A21,"EBIT_MARGIN")</f>
        <v>#NAME?</v>
      </c>
      <c r="Y21" s="656" t="e">
        <f ca="1">_xll.BDP($A21,"TRAIL_12M_PROF_MARGIN")</f>
        <v>#NAME?</v>
      </c>
      <c r="Z21" s="656" t="e">
        <f ca="1">_xll.BDP($A21,"NORMALIZED_ROE")</f>
        <v>#NAME?</v>
      </c>
      <c r="AA21" s="657" t="e">
        <f ca="1">_xll.BDP($A21,"BDVD_PROJ_12M_YLD")</f>
        <v>#NAME?</v>
      </c>
      <c r="AB21" s="657" t="e">
        <f ca="1">_xll.BDP($A21,"DVD_RECORD_DT")</f>
        <v>#NAME?</v>
      </c>
      <c r="AC21" s="669" t="e">
        <f ca="1">_xll.BDP($A21,"EQY_REC_CONS")</f>
        <v>#NAME?</v>
      </c>
      <c r="AD21" s="656" t="e">
        <f ca="1">_xll.BDP($A21,"PCT_REVENUE_FROM_FOREIGN_SOURCES")</f>
        <v>#NAME?</v>
      </c>
      <c r="AE21" s="658" t="e">
        <f ca="1">_xll.BDP($A21,"BDVD_NEXT_EST_DECL_DT")</f>
        <v>#NAME?</v>
      </c>
    </row>
    <row r="22" spans="1:31" s="1" customFormat="1" x14ac:dyDescent="0.25">
      <c r="A22" s="659" t="s">
        <v>23</v>
      </c>
      <c r="B22" s="2" t="e">
        <f ca="1">_xll.BDP($A22,"SHORT_NAME")</f>
        <v>#NAME?</v>
      </c>
      <c r="C22" s="2" t="e">
        <f ca="1">_xll.BDP($A22,"PX_LAST")</f>
        <v>#NAME?</v>
      </c>
      <c r="D22" s="5" t="e">
        <f ca="1">_xll.BDP($A22,"CHG_PCT_WTD")</f>
        <v>#NAME?</v>
      </c>
      <c r="E22" s="5" t="e">
        <f ca="1">_xll.BDP($A22,"CHG_PCT_1M")</f>
        <v>#NAME?</v>
      </c>
      <c r="F22" s="5" t="e">
        <f ca="1">_xll.BDP($A22,"CHG_PCT_1YR")</f>
        <v>#NAME?</v>
      </c>
      <c r="G22" s="5" t="e">
        <f ca="1">_xll.BDP($A22,"CHG_PCT_YTD")</f>
        <v>#NAME?</v>
      </c>
      <c r="H22" s="5" t="e">
        <f ca="1">_xll.BDP($A22,"BEST_TARGET_PRICE")</f>
        <v>#NAME?</v>
      </c>
      <c r="I22" s="4" t="e">
        <f t="shared" ca="1" si="0"/>
        <v>#NAME?</v>
      </c>
      <c r="J22" s="3" t="e">
        <f ca="1">_xll.BDP($A22,"CUR_MKT_CAP")/1000000/$AI$1</f>
        <v>#NAME?</v>
      </c>
      <c r="K22" s="3" t="e">
        <f ca="1">_xll.BDP($A22,"EQY_FREE_FLOAT_PCT")</f>
        <v>#NAME?</v>
      </c>
      <c r="L22" s="6" t="e">
        <f ca="1">_xll.BDP($A22,"AVG_DAILY_VALUE_TRADED_6M")/$AI$1/1000000</f>
        <v>#NAME?</v>
      </c>
      <c r="M22" s="3" t="e">
        <f ca="1">_xll.BDP($A22,"INDUSTRY_GROUP")</f>
        <v>#NAME?</v>
      </c>
      <c r="N22" s="6" t="e">
        <f ca="1">_xll.BDP($A22,"EQY_BETA_6M")</f>
        <v>#NAME?</v>
      </c>
      <c r="O22" s="6" t="e">
        <f ca="1">_xll.BDP($A22,"EST_PE_NXT_YR")</f>
        <v>#NAME?</v>
      </c>
      <c r="P22" s="6" t="e">
        <f ca="1">_xll.BDP($A22,"EST_EV_THIS_YR_EBITDA")</f>
        <v>#NAME?</v>
      </c>
      <c r="Q22" s="6" t="e">
        <f ca="1">_xll.BDP($A22,"CURRENT_EV_TO_12M_SALES")</f>
        <v>#NAME?</v>
      </c>
      <c r="R22" s="6" t="e">
        <f ca="1">_xll.BDP($A22,"PX_TO_BOOK_RATIO")</f>
        <v>#NAME?</v>
      </c>
      <c r="S22" s="6" t="e">
        <f ca="1">_xll.BDP($A22,"PX_TO_FREE_CASH_FLOW")</f>
        <v>#NAME?</v>
      </c>
      <c r="T22" s="6" t="e">
        <f ca="1">_xll.BDP($A22,"NET_DEBT_TO_EBITDA")</f>
        <v>#NAME?</v>
      </c>
      <c r="U22" s="6" t="e">
        <f ca="1">_xll.BDP($A22,"SALES_GROWTH")</f>
        <v>#NAME?</v>
      </c>
      <c r="V22" s="6" t="e">
        <f ca="1">_xll.BDP($A22,"EPS_GROWTH")</f>
        <v>#NAME?</v>
      </c>
      <c r="W22" s="6" t="e">
        <f ca="1">_xll.BDP($A22,"EBITDA_MARGIN")</f>
        <v>#NAME?</v>
      </c>
      <c r="X22" s="6" t="e">
        <f ca="1">_xll.BDP($A22,"EBIT_MARGIN")</f>
        <v>#NAME?</v>
      </c>
      <c r="Y22" s="6" t="e">
        <f ca="1">_xll.BDP($A22,"TRAIL_12M_PROF_MARGIN")</f>
        <v>#NAME?</v>
      </c>
      <c r="Z22" s="6" t="e">
        <f ca="1">_xll.BDP($A22,"NORMALIZED_ROE")</f>
        <v>#NAME?</v>
      </c>
      <c r="AA22" s="7" t="e">
        <f ca="1">_xll.BDP($A22,"BDVD_PROJ_12M_YLD")</f>
        <v>#NAME?</v>
      </c>
      <c r="AB22" s="7" t="e">
        <f ca="1">_xll.BDP($A22,"DVD_RECORD_DT")</f>
        <v>#NAME?</v>
      </c>
      <c r="AC22" s="181" t="e">
        <f ca="1">_xll.BDP($A22,"EQY_REC_CONS")</f>
        <v>#NAME?</v>
      </c>
      <c r="AD22" s="6" t="e">
        <f ca="1">_xll.BDP($A22,"PCT_REVENUE_FROM_FOREIGN_SOURCES")</f>
        <v>#NAME?</v>
      </c>
      <c r="AE22" s="660" t="e">
        <f ca="1">_xll.BDP($A22,"BDVD_NEXT_EST_DECL_DT")</f>
        <v>#NAME?</v>
      </c>
    </row>
    <row r="23" spans="1:31" s="1" customFormat="1" x14ac:dyDescent="0.25">
      <c r="A23" s="659" t="s">
        <v>17</v>
      </c>
      <c r="B23" s="2" t="e">
        <f ca="1">_xll.BDP($A23,"SHORT_NAME")</f>
        <v>#NAME?</v>
      </c>
      <c r="C23" s="2" t="e">
        <f ca="1">_xll.BDP($A23,"PX_LAST")</f>
        <v>#NAME?</v>
      </c>
      <c r="D23" s="5" t="e">
        <f ca="1">_xll.BDP($A23,"CHG_PCT_WTD")</f>
        <v>#NAME?</v>
      </c>
      <c r="E23" s="5" t="e">
        <f ca="1">_xll.BDP($A23,"CHG_PCT_1M")</f>
        <v>#NAME?</v>
      </c>
      <c r="F23" s="5" t="e">
        <f ca="1">_xll.BDP($A23,"CHG_PCT_1YR")</f>
        <v>#NAME?</v>
      </c>
      <c r="G23" s="5" t="e">
        <f ca="1">_xll.BDP($A23,"CHG_PCT_YTD")</f>
        <v>#NAME?</v>
      </c>
      <c r="H23" s="5" t="e">
        <f ca="1">_xll.BDP($A23,"BEST_TARGET_PRICE")</f>
        <v>#NAME?</v>
      </c>
      <c r="I23" s="4" t="e">
        <f t="shared" ca="1" si="0"/>
        <v>#NAME?</v>
      </c>
      <c r="J23" s="3" t="e">
        <f ca="1">_xll.BDP($A23,"CUR_MKT_CAP")/1000000/$AI$1</f>
        <v>#NAME?</v>
      </c>
      <c r="K23" s="3" t="e">
        <f ca="1">_xll.BDP($A23,"EQY_FREE_FLOAT_PCT")</f>
        <v>#NAME?</v>
      </c>
      <c r="L23" s="6" t="e">
        <f ca="1">_xll.BDP($A23,"AVG_DAILY_VALUE_TRADED_6M")/$AI$1/1000000</f>
        <v>#NAME?</v>
      </c>
      <c r="M23" s="3" t="e">
        <f ca="1">_xll.BDP($A23,"INDUSTRY_GROUP")</f>
        <v>#NAME?</v>
      </c>
      <c r="N23" s="6" t="e">
        <f ca="1">_xll.BDP($A23,"EQY_BETA_6M")</f>
        <v>#NAME?</v>
      </c>
      <c r="O23" s="6" t="e">
        <f ca="1">_xll.BDP($A23,"EST_PE_NXT_YR")</f>
        <v>#NAME?</v>
      </c>
      <c r="P23" s="6" t="e">
        <f ca="1">_xll.BDP($A23,"EST_EV_THIS_YR_EBITDA")</f>
        <v>#NAME?</v>
      </c>
      <c r="Q23" s="6" t="e">
        <f ca="1">_xll.BDP($A23,"CURRENT_EV_TO_12M_SALES")</f>
        <v>#NAME?</v>
      </c>
      <c r="R23" s="6" t="e">
        <f ca="1">_xll.BDP($A23,"PX_TO_BOOK_RATIO")</f>
        <v>#NAME?</v>
      </c>
      <c r="S23" s="6" t="e">
        <f ca="1">_xll.BDP($A23,"PX_TO_FREE_CASH_FLOW")</f>
        <v>#NAME?</v>
      </c>
      <c r="T23" s="6" t="e">
        <f ca="1">_xll.BDP($A23,"NET_DEBT_TO_EBITDA")</f>
        <v>#NAME?</v>
      </c>
      <c r="U23" s="6" t="e">
        <f ca="1">_xll.BDP($A23,"SALES_GROWTH")</f>
        <v>#NAME?</v>
      </c>
      <c r="V23" s="6" t="e">
        <f ca="1">_xll.BDP($A23,"EPS_GROWTH")</f>
        <v>#NAME?</v>
      </c>
      <c r="W23" s="6" t="e">
        <f ca="1">_xll.BDP($A23,"EBITDA_MARGIN")</f>
        <v>#NAME?</v>
      </c>
      <c r="X23" s="6" t="e">
        <f ca="1">_xll.BDP($A23,"EBIT_MARGIN")</f>
        <v>#NAME?</v>
      </c>
      <c r="Y23" s="6" t="e">
        <f ca="1">_xll.BDP($A23,"TRAIL_12M_PROF_MARGIN")</f>
        <v>#NAME?</v>
      </c>
      <c r="Z23" s="6" t="e">
        <f ca="1">_xll.BDP($A23,"NORMALIZED_ROE")</f>
        <v>#NAME?</v>
      </c>
      <c r="AA23" s="7" t="e">
        <f ca="1">_xll.BDP($A23,"BDVD_PROJ_12M_YLD")</f>
        <v>#NAME?</v>
      </c>
      <c r="AB23" s="7" t="e">
        <f ca="1">_xll.BDP($A23,"DVD_RECORD_DT")</f>
        <v>#NAME?</v>
      </c>
      <c r="AC23" s="181" t="e">
        <f ca="1">_xll.BDP($A23,"EQY_REC_CONS")</f>
        <v>#NAME?</v>
      </c>
      <c r="AD23" s="6" t="e">
        <f ca="1">_xll.BDP($A23,"PCT_REVENUE_FROM_FOREIGN_SOURCES")</f>
        <v>#NAME?</v>
      </c>
      <c r="AE23" s="660" t="e">
        <f ca="1">_xll.BDP($A23,"BDVD_NEXT_EST_DECL_DT")</f>
        <v>#NAME?</v>
      </c>
    </row>
    <row r="24" spans="1:31" s="1" customFormat="1" x14ac:dyDescent="0.25">
      <c r="A24" s="659" t="s">
        <v>40</v>
      </c>
      <c r="B24" s="2" t="e">
        <f ca="1">_xll.BDP($A24,"SHORT_NAME")</f>
        <v>#NAME?</v>
      </c>
      <c r="C24" s="2" t="e">
        <f ca="1">_xll.BDP($A24,"PX_LAST")</f>
        <v>#NAME?</v>
      </c>
      <c r="D24" s="5" t="e">
        <f ca="1">_xll.BDP($A24,"CHG_PCT_WTD")</f>
        <v>#NAME?</v>
      </c>
      <c r="E24" s="5" t="e">
        <f ca="1">_xll.BDP($A24,"CHG_PCT_1M")</f>
        <v>#NAME?</v>
      </c>
      <c r="F24" s="5" t="e">
        <f ca="1">_xll.BDP($A24,"CHG_PCT_1YR")</f>
        <v>#NAME?</v>
      </c>
      <c r="G24" s="5" t="e">
        <f ca="1">_xll.BDP($A24,"CHG_PCT_YTD")</f>
        <v>#NAME?</v>
      </c>
      <c r="H24" s="5" t="e">
        <f ca="1">_xll.BDP($A24,"BEST_TARGET_PRICE")</f>
        <v>#NAME?</v>
      </c>
      <c r="I24" s="4" t="e">
        <f t="shared" ca="1" si="0"/>
        <v>#NAME?</v>
      </c>
      <c r="J24" s="3" t="e">
        <f ca="1">_xll.BDP($A24,"CUR_MKT_CAP")/1000000/$AI$1</f>
        <v>#NAME?</v>
      </c>
      <c r="K24" s="3" t="e">
        <f ca="1">_xll.BDP($A24,"EQY_FREE_FLOAT_PCT")</f>
        <v>#NAME?</v>
      </c>
      <c r="L24" s="6" t="e">
        <f ca="1">_xll.BDP($A24,"AVG_DAILY_VALUE_TRADED_6M")/$AI$1/1000000</f>
        <v>#NAME?</v>
      </c>
      <c r="M24" s="3" t="e">
        <f ca="1">_xll.BDP($A24,"INDUSTRY_GROUP")</f>
        <v>#NAME?</v>
      </c>
      <c r="N24" s="6" t="e">
        <f ca="1">_xll.BDP($A24,"EQY_BETA_6M")</f>
        <v>#NAME?</v>
      </c>
      <c r="O24" s="6" t="e">
        <f ca="1">_xll.BDP($A24,"EST_PE_NXT_YR")</f>
        <v>#NAME?</v>
      </c>
      <c r="P24" s="6" t="e">
        <f ca="1">_xll.BDP($A24,"EST_EV_THIS_YR_EBITDA")</f>
        <v>#NAME?</v>
      </c>
      <c r="Q24" s="6" t="e">
        <f ca="1">_xll.BDP($A24,"CURRENT_EV_TO_12M_SALES")</f>
        <v>#NAME?</v>
      </c>
      <c r="R24" s="6" t="e">
        <f ca="1">_xll.BDP($A24,"PX_TO_BOOK_RATIO")</f>
        <v>#NAME?</v>
      </c>
      <c r="S24" s="6" t="e">
        <f ca="1">_xll.BDP($A24,"PX_TO_FREE_CASH_FLOW")</f>
        <v>#NAME?</v>
      </c>
      <c r="T24" s="6" t="e">
        <f ca="1">_xll.BDP($A24,"NET_DEBT_TO_EBITDA")</f>
        <v>#NAME?</v>
      </c>
      <c r="U24" s="6" t="e">
        <f ca="1">_xll.BDP($A24,"SALES_GROWTH")</f>
        <v>#NAME?</v>
      </c>
      <c r="V24" s="6" t="e">
        <f ca="1">_xll.BDP($A24,"EPS_GROWTH")</f>
        <v>#NAME?</v>
      </c>
      <c r="W24" s="6" t="e">
        <f ca="1">_xll.BDP($A24,"EBITDA_MARGIN")</f>
        <v>#NAME?</v>
      </c>
      <c r="X24" s="6" t="e">
        <f ca="1">_xll.BDP($A24,"EBIT_MARGIN")</f>
        <v>#NAME?</v>
      </c>
      <c r="Y24" s="6" t="e">
        <f ca="1">_xll.BDP($A24,"TRAIL_12M_PROF_MARGIN")</f>
        <v>#NAME?</v>
      </c>
      <c r="Z24" s="6" t="e">
        <f ca="1">_xll.BDP($A24,"NORMALIZED_ROE")</f>
        <v>#NAME?</v>
      </c>
      <c r="AA24" s="7" t="e">
        <f ca="1">_xll.BDP($A24,"BDVD_PROJ_12M_YLD")</f>
        <v>#NAME?</v>
      </c>
      <c r="AB24" s="7" t="e">
        <f ca="1">_xll.BDP($A24,"DVD_RECORD_DT")</f>
        <v>#NAME?</v>
      </c>
      <c r="AC24" s="181" t="e">
        <f ca="1">_xll.BDP($A24,"EQY_REC_CONS")</f>
        <v>#NAME?</v>
      </c>
      <c r="AD24" s="6" t="e">
        <f ca="1">_xll.BDP($A24,"PCT_REVENUE_FROM_FOREIGN_SOURCES")</f>
        <v>#NAME?</v>
      </c>
      <c r="AE24" s="660" t="e">
        <f ca="1">_xll.BDP($A24,"BDVD_NEXT_EST_DECL_DT")</f>
        <v>#NAME?</v>
      </c>
    </row>
    <row r="25" spans="1:31" s="1" customFormat="1" x14ac:dyDescent="0.25">
      <c r="A25" s="659" t="s">
        <v>22</v>
      </c>
      <c r="B25" s="2" t="e">
        <f ca="1">_xll.BDP($A25,"SHORT_NAME")</f>
        <v>#NAME?</v>
      </c>
      <c r="C25" s="2" t="e">
        <f ca="1">_xll.BDP($A25,"PX_LAST")</f>
        <v>#NAME?</v>
      </c>
      <c r="D25" s="5" t="e">
        <f ca="1">_xll.BDP($A25,"CHG_PCT_WTD")</f>
        <v>#NAME?</v>
      </c>
      <c r="E25" s="5" t="e">
        <f ca="1">_xll.BDP($A25,"CHG_PCT_1M")</f>
        <v>#NAME?</v>
      </c>
      <c r="F25" s="5" t="e">
        <f ca="1">_xll.BDP($A25,"CHG_PCT_1YR")</f>
        <v>#NAME?</v>
      </c>
      <c r="G25" s="5" t="e">
        <f ca="1">_xll.BDP($A25,"CHG_PCT_YTD")</f>
        <v>#NAME?</v>
      </c>
      <c r="H25" s="5" t="e">
        <f ca="1">_xll.BDP($A25,"BEST_TARGET_PRICE")</f>
        <v>#NAME?</v>
      </c>
      <c r="I25" s="4" t="e">
        <f t="shared" ca="1" si="0"/>
        <v>#NAME?</v>
      </c>
      <c r="J25" s="3" t="e">
        <f ca="1">_xll.BDP($A25,"CUR_MKT_CAP")/1000000/$AI$1</f>
        <v>#NAME?</v>
      </c>
      <c r="K25" s="3" t="e">
        <f ca="1">_xll.BDP($A25,"EQY_FREE_FLOAT_PCT")</f>
        <v>#NAME?</v>
      </c>
      <c r="L25" s="6" t="e">
        <f ca="1">_xll.BDP($A25,"AVG_DAILY_VALUE_TRADED_6M")/$AI$1/1000000</f>
        <v>#NAME?</v>
      </c>
      <c r="M25" s="3" t="e">
        <f ca="1">_xll.BDP($A25,"INDUSTRY_GROUP")</f>
        <v>#NAME?</v>
      </c>
      <c r="N25" s="6" t="e">
        <f ca="1">_xll.BDP($A25,"EQY_BETA_6M")</f>
        <v>#NAME?</v>
      </c>
      <c r="O25" s="6" t="e">
        <f ca="1">_xll.BDP($A25,"EST_PE_NXT_YR")</f>
        <v>#NAME?</v>
      </c>
      <c r="P25" s="6" t="e">
        <f ca="1">_xll.BDP($A25,"EST_EV_THIS_YR_EBITDA")</f>
        <v>#NAME?</v>
      </c>
      <c r="Q25" s="6" t="e">
        <f ca="1">_xll.BDP($A25,"CURRENT_EV_TO_12M_SALES")</f>
        <v>#NAME?</v>
      </c>
      <c r="R25" s="6" t="e">
        <f ca="1">_xll.BDP($A25,"PX_TO_BOOK_RATIO")</f>
        <v>#NAME?</v>
      </c>
      <c r="S25" s="6" t="e">
        <f ca="1">_xll.BDP($A25,"PX_TO_FREE_CASH_FLOW")</f>
        <v>#NAME?</v>
      </c>
      <c r="T25" s="6" t="e">
        <f ca="1">_xll.BDP($A25,"NET_DEBT_TO_EBITDA")</f>
        <v>#NAME?</v>
      </c>
      <c r="U25" s="6" t="e">
        <f ca="1">_xll.BDP($A25,"SALES_GROWTH")</f>
        <v>#NAME?</v>
      </c>
      <c r="V25" s="6" t="e">
        <f ca="1">_xll.BDP($A25,"EPS_GROWTH")</f>
        <v>#NAME?</v>
      </c>
      <c r="W25" s="6" t="e">
        <f ca="1">_xll.BDP($A25,"EBITDA_MARGIN")</f>
        <v>#NAME?</v>
      </c>
      <c r="X25" s="6" t="e">
        <f ca="1">_xll.BDP($A25,"EBIT_MARGIN")</f>
        <v>#NAME?</v>
      </c>
      <c r="Y25" s="6" t="e">
        <f ca="1">_xll.BDP($A25,"TRAIL_12M_PROF_MARGIN")</f>
        <v>#NAME?</v>
      </c>
      <c r="Z25" s="6" t="e">
        <f ca="1">_xll.BDP($A25,"NORMALIZED_ROE")</f>
        <v>#NAME?</v>
      </c>
      <c r="AA25" s="7" t="e">
        <f ca="1">_xll.BDP($A25,"BDVD_PROJ_12M_YLD")</f>
        <v>#NAME?</v>
      </c>
      <c r="AB25" s="7" t="e">
        <f ca="1">_xll.BDP($A25,"DVD_RECORD_DT")</f>
        <v>#NAME?</v>
      </c>
      <c r="AC25" s="181" t="e">
        <f ca="1">_xll.BDP($A25,"EQY_REC_CONS")</f>
        <v>#NAME?</v>
      </c>
      <c r="AD25" s="6" t="e">
        <f ca="1">_xll.BDP($A25,"PCT_REVENUE_FROM_FOREIGN_SOURCES")</f>
        <v>#NAME?</v>
      </c>
      <c r="AE25" s="660" t="e">
        <f ca="1">_xll.BDP($A25,"BDVD_NEXT_EST_DECL_DT")</f>
        <v>#NAME?</v>
      </c>
    </row>
    <row r="26" spans="1:31" s="1" customFormat="1" x14ac:dyDescent="0.25">
      <c r="A26" s="659" t="s">
        <v>305</v>
      </c>
      <c r="B26" s="2" t="e">
        <f ca="1">_xll.BDP($A26,"SHORT_NAME")</f>
        <v>#NAME?</v>
      </c>
      <c r="C26" s="2" t="e">
        <f ca="1">_xll.BDP($A26,"PX_LAST")</f>
        <v>#NAME?</v>
      </c>
      <c r="D26" s="5" t="e">
        <f ca="1">_xll.BDP($A26,"CHG_PCT_WTD")</f>
        <v>#NAME?</v>
      </c>
      <c r="E26" s="5" t="e">
        <f ca="1">_xll.BDP($A26,"CHG_PCT_1M")</f>
        <v>#NAME?</v>
      </c>
      <c r="F26" s="5" t="e">
        <f ca="1">_xll.BDP($A26,"CHG_PCT_1YR")</f>
        <v>#NAME?</v>
      </c>
      <c r="G26" s="5" t="e">
        <f ca="1">_xll.BDP($A26,"CHG_PCT_YTD")</f>
        <v>#NAME?</v>
      </c>
      <c r="H26" s="5" t="e">
        <f ca="1">_xll.BDP($A26,"BEST_TARGET_PRICE")</f>
        <v>#NAME?</v>
      </c>
      <c r="I26" s="4" t="e">
        <f t="shared" ca="1" si="0"/>
        <v>#NAME?</v>
      </c>
      <c r="J26" s="3" t="e">
        <f ca="1">_xll.BDP($A26,"CUR_MKT_CAP")/1000000*$AG$1</f>
        <v>#NAME?</v>
      </c>
      <c r="K26" s="3" t="e">
        <f ca="1">_xll.BDP($A26,"EQY_FREE_FLOAT_PCT")</f>
        <v>#NAME?</v>
      </c>
      <c r="L26" s="6" t="e">
        <f ca="1">_xll.BDP($A26,"AVG_DAILY_VALUE_TRADED_6M")*$AG$1/100000000</f>
        <v>#NAME?</v>
      </c>
      <c r="M26" s="3" t="e">
        <f ca="1">_xll.BDP($A26,"INDUSTRY_GROUP")</f>
        <v>#NAME?</v>
      </c>
      <c r="N26" s="6" t="e">
        <f ca="1">_xll.BDP($A26,"EQY_BETA_6M")</f>
        <v>#NAME?</v>
      </c>
      <c r="O26" s="6" t="e">
        <f ca="1">_xll.BDP($A26,"EST_PE_NXT_YR")</f>
        <v>#NAME?</v>
      </c>
      <c r="P26" s="6" t="e">
        <f ca="1">_xll.BDP($A26,"EST_EV_THIS_YR_EBITDA")</f>
        <v>#NAME?</v>
      </c>
      <c r="Q26" s="6" t="e">
        <f ca="1">_xll.BDP($A26,"CURRENT_EV_TO_12M_SALES")</f>
        <v>#NAME?</v>
      </c>
      <c r="R26" s="6" t="e">
        <f ca="1">_xll.BDP($A26,"PX_TO_BOOK_RATIO")</f>
        <v>#NAME?</v>
      </c>
      <c r="S26" s="6" t="e">
        <f ca="1">_xll.BDP($A26,"PX_TO_FREE_CASH_FLOW")</f>
        <v>#NAME?</v>
      </c>
      <c r="T26" s="6" t="e">
        <f ca="1">_xll.BDP($A26,"NET_DEBT_TO_EBITDA")</f>
        <v>#NAME?</v>
      </c>
      <c r="U26" s="6" t="e">
        <f ca="1">_xll.BDP($A26,"SALES_GROWTH")</f>
        <v>#NAME?</v>
      </c>
      <c r="V26" s="6" t="e">
        <f ca="1">_xll.BDP($A26,"EPS_GROWTH")</f>
        <v>#NAME?</v>
      </c>
      <c r="W26" s="6" t="e">
        <f ca="1">_xll.BDP($A26,"EBITDA_MARGIN")</f>
        <v>#NAME?</v>
      </c>
      <c r="X26" s="6" t="e">
        <f ca="1">_xll.BDP($A26,"EBIT_MARGIN")</f>
        <v>#NAME?</v>
      </c>
      <c r="Y26" s="6" t="e">
        <f ca="1">_xll.BDP($A26,"TRAIL_12M_PROF_MARGIN")</f>
        <v>#NAME?</v>
      </c>
      <c r="Z26" s="6" t="e">
        <f ca="1">_xll.BDP($A26,"NORMALIZED_ROE")</f>
        <v>#NAME?</v>
      </c>
      <c r="AA26" s="7" t="e">
        <f ca="1">_xll.BDP($A26,"BDVD_PROJ_12M_YLD")</f>
        <v>#NAME?</v>
      </c>
      <c r="AB26" s="7" t="e">
        <f ca="1">_xll.BDP($A26,"DVD_RECORD_DT")</f>
        <v>#NAME?</v>
      </c>
      <c r="AC26" s="181" t="e">
        <f ca="1">_xll.BDP($A26,"EQY_REC_CONS")</f>
        <v>#NAME?</v>
      </c>
      <c r="AD26" s="6" t="e">
        <f ca="1">_xll.BDP($A26,"PCT_REVENUE_FROM_FOREIGN_SOURCES")</f>
        <v>#NAME?</v>
      </c>
      <c r="AE26" s="660" t="e">
        <f ca="1">_xll.BDP($A26,"BDVD_NEXT_EST_DECL_DT")</f>
        <v>#NAME?</v>
      </c>
    </row>
    <row r="27" spans="1:31" s="1" customFormat="1" x14ac:dyDescent="0.25">
      <c r="A27" s="659" t="s">
        <v>307</v>
      </c>
      <c r="B27" s="2" t="e">
        <f ca="1">_xll.BDP($A27,"SHORT_NAME")</f>
        <v>#NAME?</v>
      </c>
      <c r="C27" s="2" t="e">
        <f ca="1">_xll.BDP($A27,"PX_LAST")</f>
        <v>#NAME?</v>
      </c>
      <c r="D27" s="5" t="e">
        <f ca="1">_xll.BDP($A27,"CHG_PCT_WTD")</f>
        <v>#NAME?</v>
      </c>
      <c r="E27" s="5" t="e">
        <f ca="1">_xll.BDP($A27,"CHG_PCT_1M")</f>
        <v>#NAME?</v>
      </c>
      <c r="F27" s="5" t="e">
        <f ca="1">_xll.BDP($A27,"CHG_PCT_1YR")</f>
        <v>#NAME?</v>
      </c>
      <c r="G27" s="5" t="e">
        <f ca="1">_xll.BDP($A27,"CHG_PCT_YTD")</f>
        <v>#NAME?</v>
      </c>
      <c r="H27" s="5" t="e">
        <f ca="1">_xll.BDP($A27,"BEST_TARGET_PRICE")</f>
        <v>#NAME?</v>
      </c>
      <c r="I27" s="4" t="e">
        <f t="shared" ca="1" si="0"/>
        <v>#NAME?</v>
      </c>
      <c r="J27" s="3" t="e">
        <f ca="1">_xll.BDP($A27,"CUR_MKT_CAP")/1000000*$AG$1</f>
        <v>#NAME?</v>
      </c>
      <c r="K27" s="3" t="e">
        <f ca="1">_xll.BDP($A27,"EQY_FREE_FLOAT_PCT")</f>
        <v>#NAME?</v>
      </c>
      <c r="L27" s="6" t="e">
        <f ca="1">_xll.BDP($A27,"AVG_DAILY_VALUE_TRADED_6M")*$AG$1/100000000</f>
        <v>#NAME?</v>
      </c>
      <c r="M27" s="3" t="e">
        <f ca="1">_xll.BDP($A27,"INDUSTRY_GROUP")</f>
        <v>#NAME?</v>
      </c>
      <c r="N27" s="6" t="e">
        <f ca="1">_xll.BDP($A27,"EQY_BETA_6M")</f>
        <v>#NAME?</v>
      </c>
      <c r="O27" s="6" t="e">
        <f ca="1">_xll.BDP($A27,"EST_PE_NXT_YR")</f>
        <v>#NAME?</v>
      </c>
      <c r="P27" s="6" t="e">
        <f ca="1">_xll.BDP($A27,"EST_EV_THIS_YR_EBITDA")</f>
        <v>#NAME?</v>
      </c>
      <c r="Q27" s="6" t="e">
        <f ca="1">_xll.BDP($A27,"CURRENT_EV_TO_12M_SALES")</f>
        <v>#NAME?</v>
      </c>
      <c r="R27" s="6" t="e">
        <f ca="1">_xll.BDP($A27,"PX_TO_BOOK_RATIO")</f>
        <v>#NAME?</v>
      </c>
      <c r="S27" s="6" t="e">
        <f ca="1">_xll.BDP($A27,"PX_TO_FREE_CASH_FLOW")</f>
        <v>#NAME?</v>
      </c>
      <c r="T27" s="6" t="e">
        <f ca="1">_xll.BDP($A27,"NET_DEBT_TO_EBITDA")</f>
        <v>#NAME?</v>
      </c>
      <c r="U27" s="6" t="e">
        <f ca="1">_xll.BDP($A27,"SALES_GROWTH")</f>
        <v>#NAME?</v>
      </c>
      <c r="V27" s="6" t="e">
        <f ca="1">_xll.BDP($A27,"EPS_GROWTH")</f>
        <v>#NAME?</v>
      </c>
      <c r="W27" s="6" t="e">
        <f ca="1">_xll.BDP($A27,"EBITDA_MARGIN")</f>
        <v>#NAME?</v>
      </c>
      <c r="X27" s="6" t="e">
        <f ca="1">_xll.BDP($A27,"EBIT_MARGIN")</f>
        <v>#NAME?</v>
      </c>
      <c r="Y27" s="6" t="e">
        <f ca="1">_xll.BDP($A27,"TRAIL_12M_PROF_MARGIN")</f>
        <v>#NAME?</v>
      </c>
      <c r="Z27" s="6" t="e">
        <f ca="1">_xll.BDP($A27,"NORMALIZED_ROE")</f>
        <v>#NAME?</v>
      </c>
      <c r="AA27" s="7" t="e">
        <f ca="1">_xll.BDP($A27,"BDVD_PROJ_12M_YLD")</f>
        <v>#NAME?</v>
      </c>
      <c r="AB27" s="7" t="e">
        <f ca="1">_xll.BDP($A27,"DVD_RECORD_DT")</f>
        <v>#NAME?</v>
      </c>
      <c r="AC27" s="181" t="e">
        <f ca="1">_xll.BDP($A27,"EQY_REC_CONS")</f>
        <v>#NAME?</v>
      </c>
      <c r="AD27" s="6" t="e">
        <f ca="1">_xll.BDP($A27,"PCT_REVENUE_FROM_FOREIGN_SOURCES")</f>
        <v>#NAME?</v>
      </c>
      <c r="AE27" s="660" t="e">
        <f ca="1">_xll.BDP($A27,"BDVD_NEXT_EST_DECL_DT")</f>
        <v>#NAME?</v>
      </c>
    </row>
    <row r="28" spans="1:31" s="1" customFormat="1" ht="15.75" thickBot="1" x14ac:dyDescent="0.3">
      <c r="A28" s="661" t="s">
        <v>306</v>
      </c>
      <c r="B28" s="662" t="e">
        <f ca="1">_xll.BDP($A28,"SHORT_NAME")</f>
        <v>#NAME?</v>
      </c>
      <c r="C28" s="662" t="e">
        <f ca="1">_xll.BDP($A28,"PX_LAST")</f>
        <v>#NAME?</v>
      </c>
      <c r="D28" s="663" t="e">
        <f ca="1">_xll.BDP($A28,"CHG_PCT_WTD")</f>
        <v>#NAME?</v>
      </c>
      <c r="E28" s="663" t="e">
        <f ca="1">_xll.BDP($A28,"CHG_PCT_1M")</f>
        <v>#NAME?</v>
      </c>
      <c r="F28" s="663" t="e">
        <f ca="1">_xll.BDP($A28,"CHG_PCT_1YR")</f>
        <v>#NAME?</v>
      </c>
      <c r="G28" s="663" t="e">
        <f ca="1">_xll.BDP($A28,"CHG_PCT_YTD")</f>
        <v>#NAME?</v>
      </c>
      <c r="H28" s="663" t="e">
        <f ca="1">_xll.BDP($A28,"BEST_TARGET_PRICE")</f>
        <v>#NAME?</v>
      </c>
      <c r="I28" s="664" t="e">
        <f t="shared" ca="1" si="0"/>
        <v>#NAME?</v>
      </c>
      <c r="J28" s="665" t="e">
        <f ca="1">_xll.BDP($A28,"CUR_MKT_CAP")/1000000/$AI$1</f>
        <v>#NAME?</v>
      </c>
      <c r="K28" s="665" t="e">
        <f ca="1">_xll.BDP($A28,"EQY_FREE_FLOAT_PCT")</f>
        <v>#NAME?</v>
      </c>
      <c r="L28" s="666" t="e">
        <f ca="1">_xll.BDP($A28,"AVG_DAILY_VALUE_TRADED_6M")/$AI$1/1000000</f>
        <v>#NAME?</v>
      </c>
      <c r="M28" s="665" t="e">
        <f ca="1">_xll.BDP($A28,"INDUSTRY_GROUP")</f>
        <v>#NAME?</v>
      </c>
      <c r="N28" s="666" t="e">
        <f ca="1">_xll.BDP($A28,"EQY_BETA_6M")</f>
        <v>#NAME?</v>
      </c>
      <c r="O28" s="666" t="e">
        <f ca="1">_xll.BDP($A28,"EST_PE_NXT_YR")</f>
        <v>#NAME?</v>
      </c>
      <c r="P28" s="666" t="e">
        <f ca="1">_xll.BDP($A28,"EST_EV_THIS_YR_EBITDA")</f>
        <v>#NAME?</v>
      </c>
      <c r="Q28" s="666" t="e">
        <f ca="1">_xll.BDP($A28,"CURRENT_EV_TO_12M_SALES")</f>
        <v>#NAME?</v>
      </c>
      <c r="R28" s="666" t="e">
        <f ca="1">_xll.BDP($A28,"PX_TO_BOOK_RATIO")</f>
        <v>#NAME?</v>
      </c>
      <c r="S28" s="666" t="e">
        <f ca="1">_xll.BDP($A28,"PX_TO_FREE_CASH_FLOW")</f>
        <v>#NAME?</v>
      </c>
      <c r="T28" s="666" t="e">
        <f ca="1">_xll.BDP($A28,"NET_DEBT_TO_EBITDA")</f>
        <v>#NAME?</v>
      </c>
      <c r="U28" s="666" t="e">
        <f ca="1">_xll.BDP($A28,"SALES_GROWTH")</f>
        <v>#NAME?</v>
      </c>
      <c r="V28" s="666" t="e">
        <f ca="1">_xll.BDP($A28,"EPS_GROWTH")</f>
        <v>#NAME?</v>
      </c>
      <c r="W28" s="666" t="e">
        <f ca="1">_xll.BDP($A28,"EBITDA_MARGIN")</f>
        <v>#NAME?</v>
      </c>
      <c r="X28" s="666" t="e">
        <f ca="1">_xll.BDP($A28,"EBIT_MARGIN")</f>
        <v>#NAME?</v>
      </c>
      <c r="Y28" s="666" t="e">
        <f ca="1">_xll.BDP($A28,"TRAIL_12M_PROF_MARGIN")</f>
        <v>#NAME?</v>
      </c>
      <c r="Z28" s="666" t="e">
        <f ca="1">_xll.BDP($A28,"NORMALIZED_ROE")</f>
        <v>#NAME?</v>
      </c>
      <c r="AA28" s="667" t="e">
        <f ca="1">_xll.BDP($A28,"BDVD_PROJ_12M_YLD")</f>
        <v>#NAME?</v>
      </c>
      <c r="AB28" s="667" t="e">
        <f ca="1">_xll.BDP($A28,"DVD_RECORD_DT")</f>
        <v>#NAME?</v>
      </c>
      <c r="AC28" s="670" t="e">
        <f ca="1">_xll.BDP($A28,"EQY_REC_CONS")</f>
        <v>#NAME?</v>
      </c>
      <c r="AD28" s="666" t="e">
        <f ca="1">_xll.BDP($A28,"PCT_REVENUE_FROM_FOREIGN_SOURCES")</f>
        <v>#NAME?</v>
      </c>
      <c r="AE28" s="668" t="e">
        <f ca="1">_xll.BDP($A28,"BDVD_NEXT_EST_DECL_DT")</f>
        <v>#NAME?</v>
      </c>
    </row>
    <row r="29" spans="1:31" s="708" customFormat="1" x14ac:dyDescent="0.25">
      <c r="A29" s="709" t="s">
        <v>35</v>
      </c>
      <c r="B29" s="710" t="e">
        <f ca="1">_xll.BDP($A29,"SHORT_NAME")</f>
        <v>#NAME?</v>
      </c>
      <c r="C29" s="710" t="e">
        <f ca="1">_xll.BDP($A29,"PX_LAST")</f>
        <v>#NAME?</v>
      </c>
      <c r="D29" s="711" t="e">
        <f ca="1">_xll.BDP($A29,"CHG_PCT_WTD")</f>
        <v>#NAME?</v>
      </c>
      <c r="E29" s="711" t="e">
        <f ca="1">_xll.BDP($A29,"CHG_PCT_1M")</f>
        <v>#NAME?</v>
      </c>
      <c r="F29" s="711" t="e">
        <f ca="1">_xll.BDP($A29,"CHG_PCT_1YR")</f>
        <v>#NAME?</v>
      </c>
      <c r="G29" s="711" t="e">
        <f ca="1">_xll.BDP($A29,"CHG_PCT_YTD")</f>
        <v>#NAME?</v>
      </c>
      <c r="H29" s="711" t="e">
        <f ca="1">_xll.BDP($A29,"BEST_TARGET_PRICE")</f>
        <v>#NAME?</v>
      </c>
      <c r="I29" s="712" t="e">
        <f t="shared" ref="I29:I30" ca="1" si="1">H29/C29-1</f>
        <v>#NAME?</v>
      </c>
      <c r="J29" s="713" t="e">
        <f ca="1">_xll.BDP($A29,"CUR_MKT_CAP")/1000000/$AI$1</f>
        <v>#NAME?</v>
      </c>
      <c r="K29" s="713" t="e">
        <f ca="1">_xll.BDP($A29,"EQY_FREE_FLOAT_PCT")</f>
        <v>#NAME?</v>
      </c>
      <c r="L29" s="714" t="e">
        <f ca="1">_xll.BDP($A29,"AVG_DAILY_VALUE_TRADED_6M")/$AI$1/1000000</f>
        <v>#NAME?</v>
      </c>
      <c r="M29" s="713" t="e">
        <f ca="1">_xll.BDP($A29,"INDUSTRY_GROUP")</f>
        <v>#NAME?</v>
      </c>
      <c r="N29" s="714" t="e">
        <f ca="1">_xll.BDP($A29,"EQY_BETA_6M")</f>
        <v>#NAME?</v>
      </c>
      <c r="O29" s="714" t="e">
        <f ca="1">_xll.BDP($A29,"EST_PE_NXT_YR")</f>
        <v>#NAME?</v>
      </c>
      <c r="P29" s="714" t="e">
        <f ca="1">_xll.BDP($A29,"EST_EV_THIS_YR_EBITDA")</f>
        <v>#NAME?</v>
      </c>
      <c r="Q29" s="714" t="e">
        <f ca="1">_xll.BDP($A29,"CURRENT_EV_TO_12M_SALES")</f>
        <v>#NAME?</v>
      </c>
      <c r="R29" s="714" t="e">
        <f ca="1">_xll.BDP($A29,"PX_TO_BOOK_RATIO")</f>
        <v>#NAME?</v>
      </c>
      <c r="S29" s="714" t="e">
        <f ca="1">_xll.BDP($A29,"PX_TO_FREE_CASH_FLOW")</f>
        <v>#NAME?</v>
      </c>
      <c r="T29" s="714" t="e">
        <f ca="1">_xll.BDP($A29,"NET_DEBT_TO_EBITDA")</f>
        <v>#NAME?</v>
      </c>
      <c r="U29" s="714" t="e">
        <f ca="1">_xll.BDP($A29,"SALES_GROWTH")</f>
        <v>#NAME?</v>
      </c>
      <c r="V29" s="714" t="e">
        <f ca="1">_xll.BDP($A29,"EPS_GROWTH")</f>
        <v>#NAME?</v>
      </c>
      <c r="W29" s="714" t="e">
        <f ca="1">_xll.BDP($A29,"EBITDA_MARGIN")</f>
        <v>#NAME?</v>
      </c>
      <c r="X29" s="714" t="e">
        <f ca="1">_xll.BDP($A29,"EBIT_MARGIN")</f>
        <v>#NAME?</v>
      </c>
      <c r="Y29" s="714" t="e">
        <f ca="1">_xll.BDP($A29,"TRAIL_12M_PROF_MARGIN")</f>
        <v>#NAME?</v>
      </c>
      <c r="Z29" s="714" t="e">
        <f ca="1">_xll.BDP($A29,"NORMALIZED_ROE")</f>
        <v>#NAME?</v>
      </c>
      <c r="AA29" s="715" t="e">
        <f ca="1">_xll.BDP($A29,"BDVD_PROJ_12M_YLD")</f>
        <v>#NAME?</v>
      </c>
      <c r="AB29" s="715" t="e">
        <f ca="1">_xll.BDP($A29,"DVD_RECORD_DT")</f>
        <v>#NAME?</v>
      </c>
      <c r="AC29" s="716" t="e">
        <f ca="1">_xll.BDP($A29,"EQY_REC_CONS")</f>
        <v>#NAME?</v>
      </c>
      <c r="AD29" s="714" t="e">
        <f ca="1">_xll.BDP($A29,"PCT_REVENUE_FROM_FOREIGN_SOURCES")</f>
        <v>#NAME?</v>
      </c>
      <c r="AE29" s="717" t="e">
        <f ca="1">_xll.BDP($A29,"BDVD_NEXT_EST_DECL_DT")</f>
        <v>#NAME?</v>
      </c>
    </row>
    <row r="30" spans="1:31" s="708" customFormat="1" ht="15.75" thickBot="1" x14ac:dyDescent="0.3">
      <c r="A30" s="718" t="s">
        <v>286</v>
      </c>
      <c r="B30" s="719" t="e">
        <f ca="1">_xll.BDP($A30,"SHORT_NAME")</f>
        <v>#NAME?</v>
      </c>
      <c r="C30" s="719" t="e">
        <f ca="1">_xll.BDP($A30,"PX_LAST")</f>
        <v>#NAME?</v>
      </c>
      <c r="D30" s="720" t="e">
        <f ca="1">_xll.BDP($A30,"CHG_PCT_WTD")</f>
        <v>#NAME?</v>
      </c>
      <c r="E30" s="720" t="e">
        <f ca="1">_xll.BDP($A30,"CHG_PCT_1M")</f>
        <v>#NAME?</v>
      </c>
      <c r="F30" s="720" t="e">
        <f ca="1">_xll.BDP($A30,"CHG_PCT_1YR")</f>
        <v>#NAME?</v>
      </c>
      <c r="G30" s="720" t="e">
        <f ca="1">_xll.BDP($A30,"CHG_PCT_YTD")</f>
        <v>#NAME?</v>
      </c>
      <c r="H30" s="720" t="e">
        <f ca="1">_xll.BDP($A30,"BEST_TARGET_PRICE")</f>
        <v>#NAME?</v>
      </c>
      <c r="I30" s="721" t="e">
        <f t="shared" ca="1" si="1"/>
        <v>#NAME?</v>
      </c>
      <c r="J30" s="722" t="e">
        <f ca="1">_xll.BDP($A30,"CUR_MKT_CAP")/1000000/$AK$1</f>
        <v>#NAME?</v>
      </c>
      <c r="K30" s="722" t="e">
        <f ca="1">_xll.BDP($A30,"EQY_FREE_FLOAT_PCT")</f>
        <v>#NAME?</v>
      </c>
      <c r="L30" s="723" t="e">
        <f ca="1">_xll.BDP($A30,"AVG_DAILY_VALUE_TRADED_6M")/$AK$1/1000000</f>
        <v>#NAME?</v>
      </c>
      <c r="M30" s="722" t="e">
        <f ca="1">_xll.BDP($A30,"INDUSTRY_GROUP")</f>
        <v>#NAME?</v>
      </c>
      <c r="N30" s="723" t="e">
        <f ca="1">_xll.BDP($A30,"EQY_BETA_6M")</f>
        <v>#NAME?</v>
      </c>
      <c r="O30" s="723" t="e">
        <f ca="1">_xll.BDP($A30,"EST_PE_NXT_YR")</f>
        <v>#NAME?</v>
      </c>
      <c r="P30" s="723" t="e">
        <f ca="1">_xll.BDP($A30,"EST_EV_THIS_YR_EBITDA")</f>
        <v>#NAME?</v>
      </c>
      <c r="Q30" s="723" t="e">
        <f ca="1">_xll.BDP($A30,"CURRENT_EV_TO_12M_SALES")</f>
        <v>#NAME?</v>
      </c>
      <c r="R30" s="723" t="e">
        <f ca="1">_xll.BDP($A30,"PX_TO_BOOK_RATIO")</f>
        <v>#NAME?</v>
      </c>
      <c r="S30" s="723" t="e">
        <f ca="1">_xll.BDP($A30,"PX_TO_FREE_CASH_FLOW")</f>
        <v>#NAME?</v>
      </c>
      <c r="T30" s="723" t="e">
        <f ca="1">_xll.BDP($A30,"NET_DEBT_TO_EBITDA")</f>
        <v>#NAME?</v>
      </c>
      <c r="U30" s="723" t="e">
        <f ca="1">_xll.BDP($A30,"SALES_GROWTH")</f>
        <v>#NAME?</v>
      </c>
      <c r="V30" s="723" t="e">
        <f ca="1">_xll.BDP($A30,"EPS_GROWTH")</f>
        <v>#NAME?</v>
      </c>
      <c r="W30" s="723" t="e">
        <f ca="1">_xll.BDP($A30,"EBITDA_MARGIN")</f>
        <v>#NAME?</v>
      </c>
      <c r="X30" s="723" t="e">
        <f ca="1">_xll.BDP($A30,"EBIT_MARGIN")</f>
        <v>#NAME?</v>
      </c>
      <c r="Y30" s="723" t="e">
        <f ca="1">_xll.BDP($A30,"TRAIL_12M_PROF_MARGIN")</f>
        <v>#NAME?</v>
      </c>
      <c r="Z30" s="723" t="e">
        <f ca="1">_xll.BDP($A30,"NORMALIZED_ROE")</f>
        <v>#NAME?</v>
      </c>
      <c r="AA30" s="724" t="e">
        <f ca="1">_xll.BDP($A30,"BDVD_PROJ_12M_YLD")</f>
        <v>#NAME?</v>
      </c>
      <c r="AB30" s="724" t="e">
        <f ca="1">_xll.BDP($A30,"DVD_RECORD_DT")</f>
        <v>#NAME?</v>
      </c>
      <c r="AC30" s="725" t="e">
        <f ca="1">_xll.BDP($A30,"EQY_REC_CONS")</f>
        <v>#NAME?</v>
      </c>
      <c r="AD30" s="723" t="e">
        <f ca="1">_xll.BDP($A30,"PCT_REVENUE_FROM_FOREIGN_SOURCES")</f>
        <v>#NAME?</v>
      </c>
      <c r="AE30" s="726" t="e">
        <f ca="1">_xll.BDP($A30,"BDVD_NEXT_EST_DECL_DT")</f>
        <v>#NAME?</v>
      </c>
    </row>
    <row r="31" spans="1:31" s="1" customFormat="1" x14ac:dyDescent="0.25">
      <c r="A31" s="651" t="s">
        <v>253</v>
      </c>
      <c r="B31" s="652" t="e">
        <f ca="1">_xll.BDP($A31,"SHORT_NAME")</f>
        <v>#NAME?</v>
      </c>
      <c r="C31" s="652" t="e">
        <f ca="1">_xll.BDP($A31,"PX_LAST")</f>
        <v>#NAME?</v>
      </c>
      <c r="D31" s="653" t="e">
        <f ca="1">_xll.BDP($A31,"CHG_PCT_WTD")</f>
        <v>#NAME?</v>
      </c>
      <c r="E31" s="653" t="e">
        <f ca="1">_xll.BDP($A31,"CHG_PCT_1M")</f>
        <v>#NAME?</v>
      </c>
      <c r="F31" s="653" t="e">
        <f ca="1">_xll.BDP($A31,"CHG_PCT_1YR")</f>
        <v>#NAME?</v>
      </c>
      <c r="G31" s="653" t="e">
        <f ca="1">_xll.BDP($A31,"CHG_PCT_YTD")</f>
        <v>#NAME?</v>
      </c>
      <c r="H31" s="653" t="e">
        <f ca="1">_xll.BDP($A31,"BEST_TARGET_PRICE")</f>
        <v>#NAME?</v>
      </c>
      <c r="I31" s="654" t="e">
        <f t="shared" ref="I31:I39" ca="1" si="2">H31/C31-1</f>
        <v>#NAME?</v>
      </c>
      <c r="J31" s="655" t="e">
        <f ca="1">_xll.BDP($A31,"CUR_MKT_CAP")/1000000/$AI$1</f>
        <v>#NAME?</v>
      </c>
      <c r="K31" s="655" t="e">
        <f ca="1">_xll.BDP($A31,"EQY_FREE_FLOAT_PCT")</f>
        <v>#NAME?</v>
      </c>
      <c r="L31" s="656" t="e">
        <f ca="1">_xll.BDP($A31,"AVG_DAILY_VALUE_TRADED_6M")/$AI$1/1000000</f>
        <v>#NAME?</v>
      </c>
      <c r="M31" s="655" t="e">
        <f ca="1">_xll.BDP($A31,"INDUSTRY_GROUP")</f>
        <v>#NAME?</v>
      </c>
      <c r="N31" s="656" t="e">
        <f ca="1">_xll.BDP($A31,"EQY_BETA_6M")</f>
        <v>#NAME?</v>
      </c>
      <c r="O31" s="656" t="e">
        <f ca="1">_xll.BDP($A31,"EST_PE_NXT_YR")</f>
        <v>#NAME?</v>
      </c>
      <c r="P31" s="656" t="e">
        <f ca="1">_xll.BDP($A31,"EST_EV_THIS_YR_EBITDA")</f>
        <v>#NAME?</v>
      </c>
      <c r="Q31" s="656" t="e">
        <f ca="1">_xll.BDP($A31,"CURRENT_EV_TO_12M_SALES")</f>
        <v>#NAME?</v>
      </c>
      <c r="R31" s="656" t="e">
        <f ca="1">_xll.BDP($A31,"PX_TO_BOOK_RATIO")</f>
        <v>#NAME?</v>
      </c>
      <c r="S31" s="656" t="e">
        <f ca="1">_xll.BDP($A31,"PX_TO_FREE_CASH_FLOW")</f>
        <v>#NAME?</v>
      </c>
      <c r="T31" s="656" t="e">
        <f ca="1">_xll.BDP($A31,"NET_DEBT_TO_EBITDA")</f>
        <v>#NAME?</v>
      </c>
      <c r="U31" s="656" t="e">
        <f ca="1">_xll.BDP($A31,"SALES_GROWTH")</f>
        <v>#NAME?</v>
      </c>
      <c r="V31" s="656" t="e">
        <f ca="1">_xll.BDP($A31,"EPS_GROWTH")</f>
        <v>#NAME?</v>
      </c>
      <c r="W31" s="656" t="e">
        <f ca="1">_xll.BDP($A31,"EBITDA_MARGIN")</f>
        <v>#NAME?</v>
      </c>
      <c r="X31" s="656" t="e">
        <f ca="1">_xll.BDP($A31,"EBIT_MARGIN")</f>
        <v>#NAME?</v>
      </c>
      <c r="Y31" s="656" t="e">
        <f ca="1">_xll.BDP($A31,"TRAIL_12M_PROF_MARGIN")</f>
        <v>#NAME?</v>
      </c>
      <c r="Z31" s="656" t="e">
        <f ca="1">_xll.BDP($A31,"NORMALIZED_ROE")</f>
        <v>#NAME?</v>
      </c>
      <c r="AA31" s="657" t="e">
        <f ca="1">_xll.BDP($A31,"BDVD_PROJ_12M_YLD")</f>
        <v>#NAME?</v>
      </c>
      <c r="AB31" s="657" t="e">
        <f ca="1">_xll.BDP($A31,"DVD_RECORD_DT")</f>
        <v>#NAME?</v>
      </c>
      <c r="AC31" s="669" t="e">
        <f ca="1">_xll.BDP($A31,"EQY_REC_CONS")</f>
        <v>#NAME?</v>
      </c>
      <c r="AD31" s="656" t="e">
        <f ca="1">_xll.BDP($A31,"PCT_REVENUE_FROM_FOREIGN_SOURCES")</f>
        <v>#NAME?</v>
      </c>
      <c r="AE31" s="658" t="e">
        <f ca="1">_xll.BDP($A31,"BDVD_NEXT_EST_DECL_DT")</f>
        <v>#NAME?</v>
      </c>
    </row>
    <row r="32" spans="1:31" s="1" customFormat="1" x14ac:dyDescent="0.25">
      <c r="A32" s="659" t="s">
        <v>255</v>
      </c>
      <c r="B32" s="2" t="e">
        <f ca="1">_xll.BDP($A32,"SHORT_NAME")</f>
        <v>#NAME?</v>
      </c>
      <c r="C32" s="2" t="e">
        <f ca="1">_xll.BDP($A32,"PX_LAST")</f>
        <v>#NAME?</v>
      </c>
      <c r="D32" s="5" t="e">
        <f ca="1">_xll.BDP($A32,"CHG_PCT_WTD")</f>
        <v>#NAME?</v>
      </c>
      <c r="E32" s="5" t="e">
        <f ca="1">_xll.BDP($A32,"CHG_PCT_1M")</f>
        <v>#NAME?</v>
      </c>
      <c r="F32" s="5" t="e">
        <f ca="1">_xll.BDP($A32,"CHG_PCT_1YR")</f>
        <v>#NAME?</v>
      </c>
      <c r="G32" s="5" t="e">
        <f ca="1">_xll.BDP($A32,"CHG_PCT_YTD")</f>
        <v>#NAME?</v>
      </c>
      <c r="H32" s="5" t="e">
        <f ca="1">_xll.BDP($A32,"BEST_TARGET_PRICE")</f>
        <v>#NAME?</v>
      </c>
      <c r="I32" s="4" t="e">
        <f t="shared" ca="1" si="2"/>
        <v>#NAME?</v>
      </c>
      <c r="J32" s="3" t="e">
        <f ca="1">_xll.BDP($A32,"CUR_MKT_CAP")/1000000/$AI$1</f>
        <v>#NAME?</v>
      </c>
      <c r="K32" s="3" t="e">
        <f ca="1">_xll.BDP($A32,"EQY_FREE_FLOAT_PCT")</f>
        <v>#NAME?</v>
      </c>
      <c r="L32" s="6" t="e">
        <f ca="1">_xll.BDP($A32,"AVG_DAILY_VALUE_TRADED_6M")/$AI$1/1000000</f>
        <v>#NAME?</v>
      </c>
      <c r="M32" s="3" t="e">
        <f ca="1">_xll.BDP($A32,"INDUSTRY_GROUP")</f>
        <v>#NAME?</v>
      </c>
      <c r="N32" s="6" t="e">
        <f ca="1">_xll.BDP($A32,"EQY_BETA_6M")</f>
        <v>#NAME?</v>
      </c>
      <c r="O32" s="6" t="e">
        <f ca="1">_xll.BDP($A32,"EST_PE_NXT_YR")</f>
        <v>#NAME?</v>
      </c>
      <c r="P32" s="6" t="e">
        <f ca="1">_xll.BDP($A32,"EST_EV_THIS_YR_EBITDA")</f>
        <v>#NAME?</v>
      </c>
      <c r="Q32" s="6" t="e">
        <f ca="1">_xll.BDP($A32,"CURRENT_EV_TO_12M_SALES")</f>
        <v>#NAME?</v>
      </c>
      <c r="R32" s="6" t="e">
        <f ca="1">_xll.BDP($A32,"PX_TO_BOOK_RATIO")</f>
        <v>#NAME?</v>
      </c>
      <c r="S32" s="6" t="e">
        <f ca="1">_xll.BDP($A32,"PX_TO_FREE_CASH_FLOW")</f>
        <v>#NAME?</v>
      </c>
      <c r="T32" s="6" t="e">
        <f ca="1">_xll.BDP($A32,"NET_DEBT_TO_EBITDA")</f>
        <v>#NAME?</v>
      </c>
      <c r="U32" s="6" t="e">
        <f ca="1">_xll.BDP($A32,"SALES_GROWTH")</f>
        <v>#NAME?</v>
      </c>
      <c r="V32" s="6" t="e">
        <f ca="1">_xll.BDP($A32,"EPS_GROWTH")</f>
        <v>#NAME?</v>
      </c>
      <c r="W32" s="6" t="e">
        <f ca="1">_xll.BDP($A32,"EBITDA_MARGIN")</f>
        <v>#NAME?</v>
      </c>
      <c r="X32" s="6" t="e">
        <f ca="1">_xll.BDP($A32,"EBIT_MARGIN")</f>
        <v>#NAME?</v>
      </c>
      <c r="Y32" s="6" t="e">
        <f ca="1">_xll.BDP($A32,"TRAIL_12M_PROF_MARGIN")</f>
        <v>#NAME?</v>
      </c>
      <c r="Z32" s="6" t="e">
        <f ca="1">_xll.BDP($A32,"NORMALIZED_ROE")</f>
        <v>#NAME?</v>
      </c>
      <c r="AA32" s="7" t="e">
        <f ca="1">_xll.BDP($A32,"BDVD_PROJ_12M_YLD")</f>
        <v>#NAME?</v>
      </c>
      <c r="AB32" s="7" t="e">
        <f ca="1">_xll.BDP($A32,"DVD_RECORD_DT")</f>
        <v>#NAME?</v>
      </c>
      <c r="AC32" s="181" t="e">
        <f ca="1">_xll.BDP($A32,"EQY_REC_CONS")</f>
        <v>#NAME?</v>
      </c>
      <c r="AD32" s="6" t="e">
        <f ca="1">_xll.BDP($A32,"PCT_REVENUE_FROM_FOREIGN_SOURCES")</f>
        <v>#NAME?</v>
      </c>
      <c r="AE32" s="660" t="e">
        <f ca="1">_xll.BDP($A32,"BDVD_NEXT_EST_DECL_DT")</f>
        <v>#NAME?</v>
      </c>
    </row>
    <row r="33" spans="1:31" s="1" customFormat="1" ht="15.75" thickBot="1" x14ac:dyDescent="0.3">
      <c r="A33" s="661" t="s">
        <v>67</v>
      </c>
      <c r="B33" s="662" t="e">
        <f ca="1">_xll.BDP($A33,"SHORT_NAME")</f>
        <v>#NAME?</v>
      </c>
      <c r="C33" s="662" t="e">
        <f ca="1">_xll.BDP($A33,"PX_LAST")</f>
        <v>#NAME?</v>
      </c>
      <c r="D33" s="663" t="e">
        <f ca="1">_xll.BDP($A33,"CHG_PCT_WTD")</f>
        <v>#NAME?</v>
      </c>
      <c r="E33" s="663" t="e">
        <f ca="1">_xll.BDP($A33,"CHG_PCT_1M")</f>
        <v>#NAME?</v>
      </c>
      <c r="F33" s="663" t="e">
        <f ca="1">_xll.BDP($A33,"CHG_PCT_1YR")</f>
        <v>#NAME?</v>
      </c>
      <c r="G33" s="663" t="e">
        <f ca="1">_xll.BDP($A33,"CHG_PCT_YTD")</f>
        <v>#NAME?</v>
      </c>
      <c r="H33" s="663" t="e">
        <f ca="1">_xll.BDP($A33,"BEST_TARGET_PRICE")</f>
        <v>#NAME?</v>
      </c>
      <c r="I33" s="664" t="e">
        <f t="shared" ca="1" si="2"/>
        <v>#NAME?</v>
      </c>
      <c r="J33" s="665" t="e">
        <f ca="1">_xll.BDP($A33,"CUR_MKT_CAP")/1000000/$AI$1</f>
        <v>#NAME?</v>
      </c>
      <c r="K33" s="665" t="e">
        <f ca="1">_xll.BDP($A33,"EQY_FREE_FLOAT_PCT")</f>
        <v>#NAME?</v>
      </c>
      <c r="L33" s="666" t="e">
        <f ca="1">_xll.BDP($A33,"AVG_DAILY_VALUE_TRADED_6M")/$AI$1/1000000</f>
        <v>#NAME?</v>
      </c>
      <c r="M33" s="665" t="e">
        <f ca="1">_xll.BDP($A33,"INDUSTRY_GROUP")</f>
        <v>#NAME?</v>
      </c>
      <c r="N33" s="666" t="e">
        <f ca="1">_xll.BDP($A33,"EQY_BETA_6M")</f>
        <v>#NAME?</v>
      </c>
      <c r="O33" s="666" t="e">
        <f ca="1">_xll.BDP($A33,"EST_PE_NXT_YR")</f>
        <v>#NAME?</v>
      </c>
      <c r="P33" s="666" t="e">
        <f ca="1">_xll.BDP($A33,"EST_EV_THIS_YR_EBITDA")</f>
        <v>#NAME?</v>
      </c>
      <c r="Q33" s="666" t="e">
        <f ca="1">_xll.BDP($A33,"CURRENT_EV_TO_12M_SALES")</f>
        <v>#NAME?</v>
      </c>
      <c r="R33" s="666" t="e">
        <f ca="1">_xll.BDP($A33,"PX_TO_BOOK_RATIO")</f>
        <v>#NAME?</v>
      </c>
      <c r="S33" s="666" t="e">
        <f ca="1">_xll.BDP($A33,"PX_TO_FREE_CASH_FLOW")</f>
        <v>#NAME?</v>
      </c>
      <c r="T33" s="666" t="e">
        <f ca="1">_xll.BDP($A33,"NET_DEBT_TO_EBITDA")</f>
        <v>#NAME?</v>
      </c>
      <c r="U33" s="666" t="e">
        <f ca="1">_xll.BDP($A33,"SALES_GROWTH")</f>
        <v>#NAME?</v>
      </c>
      <c r="V33" s="666" t="e">
        <f ca="1">_xll.BDP($A33,"EPS_GROWTH")</f>
        <v>#NAME?</v>
      </c>
      <c r="W33" s="666" t="e">
        <f ca="1">_xll.BDP($A33,"EBITDA_MARGIN")</f>
        <v>#NAME?</v>
      </c>
      <c r="X33" s="666" t="e">
        <f ca="1">_xll.BDP($A33,"EBIT_MARGIN")</f>
        <v>#NAME?</v>
      </c>
      <c r="Y33" s="666" t="e">
        <f ca="1">_xll.BDP($A33,"TRAIL_12M_PROF_MARGIN")</f>
        <v>#NAME?</v>
      </c>
      <c r="Z33" s="666" t="e">
        <f ca="1">_xll.BDP($A33,"NORMALIZED_ROE")</f>
        <v>#NAME?</v>
      </c>
      <c r="AA33" s="667" t="e">
        <f ca="1">_xll.BDP($A33,"BDVD_PROJ_12M_YLD")</f>
        <v>#NAME?</v>
      </c>
      <c r="AB33" s="667" t="e">
        <f ca="1">_xll.BDP($A33,"DVD_RECORD_DT")</f>
        <v>#NAME?</v>
      </c>
      <c r="AC33" s="670" t="e">
        <f ca="1">_xll.BDP($A33,"EQY_REC_CONS")</f>
        <v>#NAME?</v>
      </c>
      <c r="AD33" s="666" t="e">
        <f ca="1">_xll.BDP($A33,"PCT_REVENUE_FROM_FOREIGN_SOURCES")</f>
        <v>#NAME?</v>
      </c>
      <c r="AE33" s="668" t="e">
        <f ca="1">_xll.BDP($A33,"BDVD_NEXT_EST_DECL_DT")</f>
        <v>#NAME?</v>
      </c>
    </row>
    <row r="34" spans="1:31" s="8" customFormat="1" x14ac:dyDescent="0.25">
      <c r="A34" s="525" t="s">
        <v>19</v>
      </c>
      <c r="B34" s="526" t="e">
        <f ca="1">_xll.BDP($A34,"SHORT_NAME")</f>
        <v>#NAME?</v>
      </c>
      <c r="C34" s="526" t="e">
        <f ca="1">_xll.BDP($A34,"PX_LAST")</f>
        <v>#NAME?</v>
      </c>
      <c r="D34" s="527" t="e">
        <f ca="1">_xll.BDP($A34,"CHG_PCT_WTD")</f>
        <v>#NAME?</v>
      </c>
      <c r="E34" s="527" t="e">
        <f ca="1">_xll.BDP($A34,"CHG_PCT_1M")</f>
        <v>#NAME?</v>
      </c>
      <c r="F34" s="527" t="e">
        <f ca="1">_xll.BDP($A34,"CHG_PCT_1YR")</f>
        <v>#NAME?</v>
      </c>
      <c r="G34" s="527" t="e">
        <f ca="1">_xll.BDP($A34,"CHG_PCT_YTD")</f>
        <v>#NAME?</v>
      </c>
      <c r="H34" s="527" t="e">
        <f ca="1">_xll.BDP($A34,"BEST_TARGET_PRICE")</f>
        <v>#NAME?</v>
      </c>
      <c r="I34" s="528" t="e">
        <f t="shared" ca="1" si="2"/>
        <v>#NAME?</v>
      </c>
      <c r="J34" s="529" t="e">
        <f ca="1">_xll.BDP($A34,"CUR_MKT_CAP")/1000000/$AI$1</f>
        <v>#NAME?</v>
      </c>
      <c r="K34" s="529" t="e">
        <f ca="1">_xll.BDP($A34,"EQY_FREE_FLOAT_PCT")</f>
        <v>#NAME?</v>
      </c>
      <c r="L34" s="530" t="e">
        <f ca="1">_xll.BDP($A34,"AVG_DAILY_VALUE_TRADED_6M")/$AI$1/1000000</f>
        <v>#NAME?</v>
      </c>
      <c r="M34" s="529" t="e">
        <f ca="1">_xll.BDP($A34,"INDUSTRY_GROUP")</f>
        <v>#NAME?</v>
      </c>
      <c r="N34" s="530" t="e">
        <f ca="1">_xll.BDP($A34,"EQY_BETA_6M")</f>
        <v>#NAME?</v>
      </c>
      <c r="O34" s="530" t="e">
        <f ca="1">_xll.BDP($A34,"EST_PE_NXT_YR")</f>
        <v>#NAME?</v>
      </c>
      <c r="P34" s="530" t="e">
        <f ca="1">_xll.BDP($A34,"EST_EV_THIS_YR_EBITDA")</f>
        <v>#NAME?</v>
      </c>
      <c r="Q34" s="530" t="e">
        <f ca="1">_xll.BDP($A34,"CURRENT_EV_TO_12M_SALES")</f>
        <v>#NAME?</v>
      </c>
      <c r="R34" s="530" t="e">
        <f ca="1">_xll.BDP($A34,"PX_TO_BOOK_RATIO")</f>
        <v>#NAME?</v>
      </c>
      <c r="S34" s="530" t="e">
        <f ca="1">_xll.BDP($A34,"PX_TO_FREE_CASH_FLOW")</f>
        <v>#NAME?</v>
      </c>
      <c r="T34" s="530" t="e">
        <f ca="1">_xll.BDP($A34,"NET_DEBT_TO_EBITDA")</f>
        <v>#NAME?</v>
      </c>
      <c r="U34" s="530" t="e">
        <f ca="1">_xll.BDP($A34,"SALES_GROWTH")</f>
        <v>#NAME?</v>
      </c>
      <c r="V34" s="530" t="e">
        <f ca="1">_xll.BDP($A34,"EPS_GROWTH")</f>
        <v>#NAME?</v>
      </c>
      <c r="W34" s="530" t="e">
        <f ca="1">_xll.BDP($A34,"EBITDA_MARGIN")</f>
        <v>#NAME?</v>
      </c>
      <c r="X34" s="530" t="e">
        <f ca="1">_xll.BDP($A34,"EBIT_MARGIN")</f>
        <v>#NAME?</v>
      </c>
      <c r="Y34" s="530" t="e">
        <f ca="1">_xll.BDP($A34,"TRAIL_12M_PROF_MARGIN")</f>
        <v>#NAME?</v>
      </c>
      <c r="Z34" s="530" t="e">
        <f ca="1">_xll.BDP($A34,"NORMALIZED_ROE")</f>
        <v>#NAME?</v>
      </c>
      <c r="AA34" s="531" t="e">
        <f ca="1">_xll.BDP($A34,"BDVD_PROJ_12M_YLD")</f>
        <v>#NAME?</v>
      </c>
      <c r="AB34" s="531" t="e">
        <f ca="1">_xll.BDP($A34,"DVD_RECORD_DT")</f>
        <v>#NAME?</v>
      </c>
      <c r="AC34" s="671" t="e">
        <f ca="1">_xll.BDP($A34,"EQY_REC_CONS")</f>
        <v>#NAME?</v>
      </c>
      <c r="AD34" s="530" t="e">
        <f ca="1">_xll.BDP($A34,"PCT_REVENUE_FROM_FOREIGN_SOURCES")</f>
        <v>#NAME?</v>
      </c>
      <c r="AE34" s="532" t="e">
        <f ca="1">_xll.BDP($A34,"BDVD_NEXT_EST_DECL_DT")</f>
        <v>#NAME?</v>
      </c>
    </row>
    <row r="35" spans="1:31" x14ac:dyDescent="0.25">
      <c r="A35" s="533" t="s">
        <v>8</v>
      </c>
      <c r="B35" s="520" t="e">
        <f ca="1">_xll.BDP($A35,"SHORT_NAME")</f>
        <v>#NAME?</v>
      </c>
      <c r="C35" s="520" t="e">
        <f ca="1">_xll.BDP($A35,"PX_LAST")</f>
        <v>#NAME?</v>
      </c>
      <c r="D35" s="521" t="e">
        <f ca="1">_xll.BDP($A35,"CHG_PCT_WTD")</f>
        <v>#NAME?</v>
      </c>
      <c r="E35" s="521" t="e">
        <f ca="1">_xll.BDP($A35,"CHG_PCT_1M")</f>
        <v>#NAME?</v>
      </c>
      <c r="F35" s="521" t="e">
        <f ca="1">_xll.BDP($A35,"CHG_PCT_1YR")</f>
        <v>#NAME?</v>
      </c>
      <c r="G35" s="521" t="e">
        <f ca="1">_xll.BDP($A35,"CHG_PCT_YTD")</f>
        <v>#NAME?</v>
      </c>
      <c r="H35" s="521" t="e">
        <f ca="1">_xll.BDP($A35,"BEST_TARGET_PRICE")</f>
        <v>#NAME?</v>
      </c>
      <c r="I35" s="522" t="e">
        <f t="shared" ca="1" si="2"/>
        <v>#NAME?</v>
      </c>
      <c r="J35" s="523" t="e">
        <f ca="1">_xll.BDP($A35,"CUR_MKT_CAP")/1000000/$AI$1</f>
        <v>#NAME?</v>
      </c>
      <c r="K35" s="523" t="e">
        <f ca="1">_xll.BDP($A35,"EQY_FREE_FLOAT_PCT")</f>
        <v>#NAME?</v>
      </c>
      <c r="L35" s="524" t="e">
        <f ca="1">_xll.BDP($A35,"AVG_DAILY_VALUE_TRADED_6M")/$AI$1/1000000</f>
        <v>#NAME?</v>
      </c>
      <c r="M35" s="523" t="e">
        <f ca="1">_xll.BDP($A35,"INDUSTRY_GROUP")</f>
        <v>#NAME?</v>
      </c>
      <c r="N35" s="524" t="e">
        <f ca="1">_xll.BDP($A35,"EQY_BETA_6M")</f>
        <v>#NAME?</v>
      </c>
      <c r="O35" s="524" t="e">
        <f ca="1">_xll.BDP($A35,"EST_PE_NXT_YR")</f>
        <v>#NAME?</v>
      </c>
      <c r="P35" s="524" t="e">
        <f ca="1">_xll.BDP($A35,"EST_EV_THIS_YR_EBITDA")</f>
        <v>#NAME?</v>
      </c>
      <c r="Q35" s="524" t="e">
        <f ca="1">_xll.BDP($A35,"CURRENT_EV_TO_12M_SALES")</f>
        <v>#NAME?</v>
      </c>
      <c r="R35" s="524" t="e">
        <f ca="1">_xll.BDP($A35,"PX_TO_BOOK_RATIO")</f>
        <v>#NAME?</v>
      </c>
      <c r="S35" s="524" t="e">
        <f ca="1">_xll.BDP($A35,"PX_TO_FREE_CASH_FLOW")</f>
        <v>#NAME?</v>
      </c>
      <c r="T35" s="524" t="e">
        <f ca="1">_xll.BDP($A35,"NET_DEBT_TO_EBITDA")</f>
        <v>#NAME?</v>
      </c>
      <c r="U35" s="524" t="e">
        <f ca="1">_xll.BDP($A35,"SALES_GROWTH")</f>
        <v>#NAME?</v>
      </c>
      <c r="V35" s="524" t="e">
        <f ca="1">_xll.BDP($A35,"EPS_GROWTH")</f>
        <v>#NAME?</v>
      </c>
      <c r="W35" s="524" t="e">
        <f ca="1">_xll.BDP($A35,"EBITDA_MARGIN")</f>
        <v>#NAME?</v>
      </c>
      <c r="X35" s="524" t="e">
        <f ca="1">_xll.BDP($A35,"EBIT_MARGIN")</f>
        <v>#NAME?</v>
      </c>
      <c r="Y35" s="524" t="e">
        <f ca="1">_xll.BDP($A35,"TRAIL_12M_PROF_MARGIN")</f>
        <v>#NAME?</v>
      </c>
      <c r="Z35" s="524" t="e">
        <f ca="1">_xll.BDP($A35,"NORMALIZED_ROE")</f>
        <v>#NAME?</v>
      </c>
      <c r="AA35" s="447" t="e">
        <f ca="1">_xll.BDP($A35,"BDVD_PROJ_12M_YLD")</f>
        <v>#NAME?</v>
      </c>
      <c r="AB35" s="447" t="e">
        <f ca="1">_xll.BDP($A35,"DVD_RECORD_DT")</f>
        <v>#NAME?</v>
      </c>
      <c r="AC35" s="444" t="e">
        <f ca="1">_xll.BDP($A35,"EQY_REC_CONS")</f>
        <v>#NAME?</v>
      </c>
      <c r="AD35" s="524" t="e">
        <f ca="1">_xll.BDP($A35,"PCT_REVENUE_FROM_FOREIGN_SOURCES")</f>
        <v>#NAME?</v>
      </c>
      <c r="AE35" s="534" t="e">
        <f ca="1">_xll.BDP($A35,"BDVD_NEXT_EST_DECL_DT")</f>
        <v>#NAME?</v>
      </c>
    </row>
    <row r="36" spans="1:31" s="8" customFormat="1" x14ac:dyDescent="0.25">
      <c r="A36" s="533" t="s">
        <v>20</v>
      </c>
      <c r="B36" s="520" t="e">
        <f ca="1">_xll.BDP($A36,"SHORT_NAME")</f>
        <v>#NAME?</v>
      </c>
      <c r="C36" s="520" t="e">
        <f ca="1">_xll.BDP($A36,"PX_LAST")</f>
        <v>#NAME?</v>
      </c>
      <c r="D36" s="521" t="e">
        <f ca="1">_xll.BDP($A36,"CHG_PCT_WTD")</f>
        <v>#NAME?</v>
      </c>
      <c r="E36" s="521" t="e">
        <f ca="1">_xll.BDP($A36,"CHG_PCT_1M")</f>
        <v>#NAME?</v>
      </c>
      <c r="F36" s="521" t="e">
        <f ca="1">_xll.BDP($A36,"CHG_PCT_1YR")</f>
        <v>#NAME?</v>
      </c>
      <c r="G36" s="521" t="e">
        <f ca="1">_xll.BDP($A36,"CHG_PCT_YTD")</f>
        <v>#NAME?</v>
      </c>
      <c r="H36" s="521" t="e">
        <f ca="1">_xll.BDP($A36,"BEST_TARGET_PRICE")</f>
        <v>#NAME?</v>
      </c>
      <c r="I36" s="522" t="e">
        <f t="shared" ca="1" si="2"/>
        <v>#NAME?</v>
      </c>
      <c r="J36" s="523" t="e">
        <f ca="1">_xll.BDP($A36,"CUR_MKT_CAP")/1000000</f>
        <v>#NAME?</v>
      </c>
      <c r="K36" s="523" t="e">
        <f ca="1">_xll.BDP($A36,"EQY_FREE_FLOAT_PCT")</f>
        <v>#NAME?</v>
      </c>
      <c r="L36" s="524" t="e">
        <f ca="1">_xll.BDP($A36,"AVG_DAILY_VALUE_TRADED_6M")/1000000</f>
        <v>#NAME?</v>
      </c>
      <c r="M36" s="523" t="e">
        <f ca="1">_xll.BDP($A36,"INDUSTRY_GROUP")</f>
        <v>#NAME?</v>
      </c>
      <c r="N36" s="524" t="e">
        <f ca="1">_xll.BDP($A36,"EQY_BETA_6M")</f>
        <v>#NAME?</v>
      </c>
      <c r="O36" s="524" t="e">
        <f ca="1">_xll.BDP($A36,"EST_PE_NXT_YR")</f>
        <v>#NAME?</v>
      </c>
      <c r="P36" s="524" t="e">
        <f ca="1">_xll.BDP($A36,"EST_EV_THIS_YR_EBITDA")</f>
        <v>#NAME?</v>
      </c>
      <c r="Q36" s="524" t="e">
        <f ca="1">_xll.BDP($A36,"CURRENT_EV_TO_12M_SALES")</f>
        <v>#NAME?</v>
      </c>
      <c r="R36" s="524" t="e">
        <f ca="1">_xll.BDP($A36,"PX_TO_BOOK_RATIO")</f>
        <v>#NAME?</v>
      </c>
      <c r="S36" s="524" t="e">
        <f ca="1">_xll.BDP($A36,"PX_TO_FREE_CASH_FLOW")</f>
        <v>#NAME?</v>
      </c>
      <c r="T36" s="524" t="e">
        <f ca="1">_xll.BDP($A36,"NET_DEBT_TO_EBITDA")</f>
        <v>#NAME?</v>
      </c>
      <c r="U36" s="524" t="e">
        <f ca="1">_xll.BDP($A36,"SALES_GROWTH")</f>
        <v>#NAME?</v>
      </c>
      <c r="V36" s="524" t="e">
        <f ca="1">_xll.BDP($A36,"EPS_GROWTH")</f>
        <v>#NAME?</v>
      </c>
      <c r="W36" s="524" t="e">
        <f ca="1">_xll.BDP($A36,"EBITDA_MARGIN")</f>
        <v>#NAME?</v>
      </c>
      <c r="X36" s="524" t="e">
        <f ca="1">_xll.BDP($A36,"EBIT_MARGIN")</f>
        <v>#NAME?</v>
      </c>
      <c r="Y36" s="524" t="e">
        <f ca="1">_xll.BDP($A36,"TRAIL_12M_PROF_MARGIN")</f>
        <v>#NAME?</v>
      </c>
      <c r="Z36" s="524" t="e">
        <f ca="1">_xll.BDP($A36,"NORMALIZED_ROE")</f>
        <v>#NAME?</v>
      </c>
      <c r="AA36" s="447" t="e">
        <f ca="1">_xll.BDP($A36,"BDVD_PROJ_12M_YLD")</f>
        <v>#NAME?</v>
      </c>
      <c r="AB36" s="447" t="e">
        <f ca="1">_xll.BDP($A36,"DVD_RECORD_DT")</f>
        <v>#NAME?</v>
      </c>
      <c r="AC36" s="444" t="e">
        <f ca="1">_xll.BDP($A36,"EQY_REC_CONS")</f>
        <v>#NAME?</v>
      </c>
      <c r="AD36" s="524" t="e">
        <f ca="1">_xll.BDP($A36,"PCT_REVENUE_FROM_FOREIGN_SOURCES")</f>
        <v>#NAME?</v>
      </c>
      <c r="AE36" s="534" t="e">
        <f ca="1">_xll.BDP($A36,"BDVD_NEXT_EST_DECL_DT")</f>
        <v>#NAME?</v>
      </c>
    </row>
    <row r="37" spans="1:31" s="8" customFormat="1" x14ac:dyDescent="0.25">
      <c r="A37" s="533" t="s">
        <v>41</v>
      </c>
      <c r="B37" s="520" t="e">
        <f ca="1">_xll.BDP($A37,"SHORT_NAME")</f>
        <v>#NAME?</v>
      </c>
      <c r="C37" s="520" t="e">
        <f ca="1">_xll.BDP($A37,"PX_LAST")</f>
        <v>#NAME?</v>
      </c>
      <c r="D37" s="521" t="e">
        <f ca="1">_xll.BDP($A37,"CHG_PCT_WTD")</f>
        <v>#NAME?</v>
      </c>
      <c r="E37" s="521" t="e">
        <f ca="1">_xll.BDP($A37,"CHG_PCT_1M")</f>
        <v>#NAME?</v>
      </c>
      <c r="F37" s="521" t="e">
        <f ca="1">_xll.BDP($A37,"CHG_PCT_1YR")</f>
        <v>#NAME?</v>
      </c>
      <c r="G37" s="521" t="e">
        <f ca="1">_xll.BDP($A37,"CHG_PCT_YTD")</f>
        <v>#NAME?</v>
      </c>
      <c r="H37" s="521" t="e">
        <f ca="1">_xll.BDP($A37,"BEST_TARGET_PRICE")</f>
        <v>#NAME?</v>
      </c>
      <c r="I37" s="522" t="e">
        <f t="shared" ca="1" si="2"/>
        <v>#NAME?</v>
      </c>
      <c r="J37" s="523" t="e">
        <f ca="1">_xll.BDP($A37,"CUR_MKT_CAP")/1000000/$AI$1</f>
        <v>#NAME?</v>
      </c>
      <c r="K37" s="523" t="e">
        <f ca="1">_xll.BDP($A37,"EQY_FREE_FLOAT_PCT")</f>
        <v>#NAME?</v>
      </c>
      <c r="L37" s="524" t="e">
        <f ca="1">_xll.BDP($A37,"AVG_DAILY_VALUE_TRADED_6M")/1000000</f>
        <v>#NAME?</v>
      </c>
      <c r="M37" s="523" t="e">
        <f ca="1">_xll.BDP($A37,"INDUSTRY_GROUP")</f>
        <v>#NAME?</v>
      </c>
      <c r="N37" s="524" t="e">
        <f ca="1">_xll.BDP($A37,"EQY_BETA_6M")</f>
        <v>#NAME?</v>
      </c>
      <c r="O37" s="524" t="e">
        <f ca="1">_xll.BDP($A37,"EST_PE_NXT_YR")</f>
        <v>#NAME?</v>
      </c>
      <c r="P37" s="524" t="e">
        <f ca="1">_xll.BDP($A37,"EST_EV_THIS_YR_EBITDA")</f>
        <v>#NAME?</v>
      </c>
      <c r="Q37" s="524" t="e">
        <f ca="1">_xll.BDP($A37,"CURRENT_EV_TO_12M_SALES")</f>
        <v>#NAME?</v>
      </c>
      <c r="R37" s="524" t="e">
        <f ca="1">_xll.BDP($A37,"PX_TO_BOOK_RATIO")</f>
        <v>#NAME?</v>
      </c>
      <c r="S37" s="524" t="e">
        <f ca="1">_xll.BDP($A37,"PX_TO_FREE_CASH_FLOW")</f>
        <v>#NAME?</v>
      </c>
      <c r="T37" s="524" t="e">
        <f ca="1">_xll.BDP($A37,"NET_DEBT_TO_EBITDA")</f>
        <v>#NAME?</v>
      </c>
      <c r="U37" s="524" t="e">
        <f ca="1">_xll.BDP($A37,"SALES_GROWTH")</f>
        <v>#NAME?</v>
      </c>
      <c r="V37" s="524" t="e">
        <f ca="1">_xll.BDP($A37,"EPS_GROWTH")</f>
        <v>#NAME?</v>
      </c>
      <c r="W37" s="524" t="e">
        <f ca="1">_xll.BDP($A37,"EBITDA_MARGIN")</f>
        <v>#NAME?</v>
      </c>
      <c r="X37" s="524" t="e">
        <f ca="1">_xll.BDP($A37,"EBIT_MARGIN")</f>
        <v>#NAME?</v>
      </c>
      <c r="Y37" s="524" t="e">
        <f ca="1">_xll.BDP($A37,"TRAIL_12M_PROF_MARGIN")</f>
        <v>#NAME?</v>
      </c>
      <c r="Z37" s="524" t="e">
        <f ca="1">_xll.BDP($A37,"NORMALIZED_ROE")</f>
        <v>#NAME?</v>
      </c>
      <c r="AA37" s="447" t="e">
        <f ca="1">_xll.BDP($A37,"BDVD_PROJ_12M_YLD")</f>
        <v>#NAME?</v>
      </c>
      <c r="AB37" s="447" t="e">
        <f ca="1">_xll.BDP($A37,"DVD_RECORD_DT")</f>
        <v>#NAME?</v>
      </c>
      <c r="AC37" s="444" t="e">
        <f ca="1">_xll.BDP($A37,"EQY_REC_CONS")</f>
        <v>#NAME?</v>
      </c>
      <c r="AD37" s="524" t="e">
        <f ca="1">_xll.BDP($A37,"PCT_REVENUE_FROM_FOREIGN_SOURCES")</f>
        <v>#NAME?</v>
      </c>
      <c r="AE37" s="534" t="e">
        <f ca="1">_xll.BDP($A37,"BDVD_NEXT_EST_DECL_DT")</f>
        <v>#NAME?</v>
      </c>
    </row>
    <row r="38" spans="1:31" x14ac:dyDescent="0.25">
      <c r="A38" s="533" t="s">
        <v>21</v>
      </c>
      <c r="B38" s="520" t="e">
        <f ca="1">_xll.BDP($A38,"SHORT_NAME")</f>
        <v>#NAME?</v>
      </c>
      <c r="C38" s="520" t="e">
        <f ca="1">_xll.BDP($A38,"PX_LAST")</f>
        <v>#NAME?</v>
      </c>
      <c r="D38" s="521" t="e">
        <f ca="1">_xll.BDP($A38,"CHG_PCT_WTD")</f>
        <v>#NAME?</v>
      </c>
      <c r="E38" s="521" t="e">
        <f ca="1">_xll.BDP($A38,"CHG_PCT_1M")</f>
        <v>#NAME?</v>
      </c>
      <c r="F38" s="521" t="e">
        <f ca="1">_xll.BDP($A38,"CHG_PCT_1YR")</f>
        <v>#NAME?</v>
      </c>
      <c r="G38" s="521" t="e">
        <f ca="1">_xll.BDP($A38,"CHG_PCT_YTD")</f>
        <v>#NAME?</v>
      </c>
      <c r="H38" s="521" t="e">
        <f ca="1">_xll.BDP($A38,"BEST_TARGET_PRICE")</f>
        <v>#NAME?</v>
      </c>
      <c r="I38" s="522" t="e">
        <f t="shared" ca="1" si="2"/>
        <v>#NAME?</v>
      </c>
      <c r="J38" s="523" t="e">
        <f ca="1">_xll.BDP($A38,"CUR_MKT_CAP")/1000000/$AI$1</f>
        <v>#NAME?</v>
      </c>
      <c r="K38" s="523" t="e">
        <f ca="1">_xll.BDP($A38,"EQY_FREE_FLOAT_PCT")</f>
        <v>#NAME?</v>
      </c>
      <c r="L38" s="524" t="e">
        <f ca="1">_xll.BDP($A38,"AVG_DAILY_VALUE_TRADED_6M")/$AI$1/1000000</f>
        <v>#NAME?</v>
      </c>
      <c r="M38" s="523" t="e">
        <f ca="1">_xll.BDP($A38,"INDUSTRY_GROUP")</f>
        <v>#NAME?</v>
      </c>
      <c r="N38" s="524" t="e">
        <f ca="1">_xll.BDP($A38,"EQY_BETA_6M")</f>
        <v>#NAME?</v>
      </c>
      <c r="O38" s="524" t="e">
        <f ca="1">_xll.BDP($A38,"EST_PE_NXT_YR")</f>
        <v>#NAME?</v>
      </c>
      <c r="P38" s="524" t="e">
        <f ca="1">_xll.BDP($A38,"EST_EV_THIS_YR_EBITDA")</f>
        <v>#NAME?</v>
      </c>
      <c r="Q38" s="524" t="e">
        <f ca="1">_xll.BDP($A38,"CURRENT_EV_TO_12M_SALES")</f>
        <v>#NAME?</v>
      </c>
      <c r="R38" s="524" t="e">
        <f ca="1">_xll.BDP($A38,"PX_TO_BOOK_RATIO")</f>
        <v>#NAME?</v>
      </c>
      <c r="S38" s="524" t="e">
        <f ca="1">_xll.BDP($A38,"PX_TO_FREE_CASH_FLOW")</f>
        <v>#NAME?</v>
      </c>
      <c r="T38" s="524" t="e">
        <f ca="1">_xll.BDP($A38,"NET_DEBT_TO_EBITDA")</f>
        <v>#NAME?</v>
      </c>
      <c r="U38" s="524" t="e">
        <f ca="1">_xll.BDP($A38,"SALES_GROWTH")</f>
        <v>#NAME?</v>
      </c>
      <c r="V38" s="524" t="e">
        <f ca="1">_xll.BDP($A38,"EPS_GROWTH")</f>
        <v>#NAME?</v>
      </c>
      <c r="W38" s="524" t="e">
        <f ca="1">_xll.BDP($A38,"EBITDA_MARGIN")</f>
        <v>#NAME?</v>
      </c>
      <c r="X38" s="524" t="e">
        <f ca="1">_xll.BDP($A38,"EBIT_MARGIN")</f>
        <v>#NAME?</v>
      </c>
      <c r="Y38" s="524" t="e">
        <f ca="1">_xll.BDP($A38,"TRAIL_12M_PROF_MARGIN")</f>
        <v>#NAME?</v>
      </c>
      <c r="Z38" s="524" t="e">
        <f ca="1">_xll.BDP($A38,"NORMALIZED_ROE")</f>
        <v>#NAME?</v>
      </c>
      <c r="AA38" s="447" t="e">
        <f ca="1">_xll.BDP($A38,"BDVD_PROJ_12M_YLD")</f>
        <v>#NAME?</v>
      </c>
      <c r="AB38" s="447" t="e">
        <f ca="1">_xll.BDP($A38,"DVD_RECORD_DT")</f>
        <v>#NAME?</v>
      </c>
      <c r="AC38" s="444" t="e">
        <f ca="1">_xll.BDP($A38,"EQY_REC_CONS")</f>
        <v>#NAME?</v>
      </c>
      <c r="AD38" s="524" t="e">
        <f ca="1">_xll.BDP($A38,"PCT_REVENUE_FROM_FOREIGN_SOURCES")</f>
        <v>#NAME?</v>
      </c>
      <c r="AE38" s="534" t="e">
        <f ca="1">_xll.BDP($A38,"BDVD_NEXT_EST_DECL_DT")</f>
        <v>#NAME?</v>
      </c>
    </row>
    <row r="39" spans="1:31" s="8" customFormat="1" ht="15.75" thickBot="1" x14ac:dyDescent="0.3">
      <c r="A39" s="535" t="s">
        <v>310</v>
      </c>
      <c r="B39" s="536" t="e">
        <f ca="1">_xll.BDP($A39,"SHORT_NAME")</f>
        <v>#NAME?</v>
      </c>
      <c r="C39" s="536" t="e">
        <f ca="1">_xll.BDP($A39,"PX_LAST")</f>
        <v>#NAME?</v>
      </c>
      <c r="D39" s="537" t="e">
        <f ca="1">_xll.BDP($A39,"CHG_PCT_WTD")</f>
        <v>#NAME?</v>
      </c>
      <c r="E39" s="537" t="e">
        <f ca="1">_xll.BDP($A39,"CHG_PCT_1M")</f>
        <v>#NAME?</v>
      </c>
      <c r="F39" s="537" t="e">
        <f ca="1">_xll.BDP($A39,"CHG_PCT_1YR")</f>
        <v>#NAME?</v>
      </c>
      <c r="G39" s="537" t="e">
        <f ca="1">_xll.BDP($A39,"CHG_PCT_YTD")</f>
        <v>#NAME?</v>
      </c>
      <c r="H39" s="537" t="e">
        <f ca="1">_xll.BDP($A39,"BEST_TARGET_PRICE")</f>
        <v>#NAME?</v>
      </c>
      <c r="I39" s="538" t="e">
        <f t="shared" ca="1" si="2"/>
        <v>#NAME?</v>
      </c>
      <c r="J39" s="539" t="e">
        <f ca="1">_xll.BDP($A39,"CUR_MKT_CAP")/1000000/$AI$1</f>
        <v>#NAME?</v>
      </c>
      <c r="K39" s="539" t="e">
        <f ca="1">_xll.BDP($A39,"EQY_FREE_FLOAT_PCT")</f>
        <v>#NAME?</v>
      </c>
      <c r="L39" s="540" t="e">
        <f ca="1">_xll.BDP($A39,"AVG_DAILY_VALUE_TRADED_6M")/1000000</f>
        <v>#NAME?</v>
      </c>
      <c r="M39" s="539" t="e">
        <f ca="1">_xll.BDP($A39,"INDUSTRY_GROUP")</f>
        <v>#NAME?</v>
      </c>
      <c r="N39" s="540" t="e">
        <f ca="1">_xll.BDP($A39,"EQY_BETA_6M")</f>
        <v>#NAME?</v>
      </c>
      <c r="O39" s="540" t="e">
        <f ca="1">_xll.BDP($A39,"EST_PE_NXT_YR")</f>
        <v>#NAME?</v>
      </c>
      <c r="P39" s="540" t="e">
        <f ca="1">_xll.BDP($A39,"EST_EV_THIS_YR_EBITDA")</f>
        <v>#NAME?</v>
      </c>
      <c r="Q39" s="540" t="e">
        <f ca="1">_xll.BDP($A39,"CURRENT_EV_TO_12M_SALES")</f>
        <v>#NAME?</v>
      </c>
      <c r="R39" s="540" t="e">
        <f ca="1">_xll.BDP($A39,"PX_TO_BOOK_RATIO")</f>
        <v>#NAME?</v>
      </c>
      <c r="S39" s="540" t="e">
        <f ca="1">_xll.BDP($A39,"PX_TO_FREE_CASH_FLOW")</f>
        <v>#NAME?</v>
      </c>
      <c r="T39" s="540" t="e">
        <f ca="1">_xll.BDP($A39,"NET_DEBT_TO_EBITDA")</f>
        <v>#NAME?</v>
      </c>
      <c r="U39" s="540" t="e">
        <f ca="1">_xll.BDP($A39,"SALES_GROWTH")</f>
        <v>#NAME?</v>
      </c>
      <c r="V39" s="540" t="e">
        <f ca="1">_xll.BDP($A39,"EPS_GROWTH")</f>
        <v>#NAME?</v>
      </c>
      <c r="W39" s="540" t="e">
        <f ca="1">_xll.BDP($A39,"EBITDA_MARGIN")</f>
        <v>#NAME?</v>
      </c>
      <c r="X39" s="540" t="e">
        <f ca="1">_xll.BDP($A39,"EBIT_MARGIN")</f>
        <v>#NAME?</v>
      </c>
      <c r="Y39" s="540" t="e">
        <f ca="1">_xll.BDP($A39,"TRAIL_12M_PROF_MARGIN")</f>
        <v>#NAME?</v>
      </c>
      <c r="Z39" s="540" t="e">
        <f ca="1">_xll.BDP($A39,"NORMALIZED_ROE")</f>
        <v>#NAME?</v>
      </c>
      <c r="AA39" s="541" t="e">
        <f ca="1">_xll.BDP($A39,"BDVD_PROJ_12M_YLD")</f>
        <v>#NAME?</v>
      </c>
      <c r="AB39" s="541" t="e">
        <f ca="1">_xll.BDP($A39,"DVD_RECORD_DT")</f>
        <v>#NAME?</v>
      </c>
      <c r="AC39" s="672" t="e">
        <f ca="1">_xll.BDP($A39,"EQY_REC_CONS")</f>
        <v>#NAME?</v>
      </c>
      <c r="AD39" s="540" t="e">
        <f ca="1">_xll.BDP($A39,"PCT_REVENUE_FROM_FOREIGN_SOURCES")</f>
        <v>#NAME?</v>
      </c>
      <c r="AE39" s="542" t="e">
        <f ca="1">_xll.BDP($A39,"BDVD_NEXT_EST_DECL_DT")</f>
        <v>#NAME?</v>
      </c>
    </row>
    <row r="40" spans="1:31" s="708" customFormat="1" x14ac:dyDescent="0.25">
      <c r="A40" s="709" t="s">
        <v>12</v>
      </c>
      <c r="B40" s="710" t="e">
        <f ca="1">_xll.BDP($A40,"SHORT_NAME")</f>
        <v>#NAME?</v>
      </c>
      <c r="C40" s="710" t="e">
        <f ca="1">_xll.BDP($A40,"PX_LAST")</f>
        <v>#NAME?</v>
      </c>
      <c r="D40" s="711" t="e">
        <f ca="1">_xll.BDP($A40,"CHG_PCT_WTD")</f>
        <v>#NAME?</v>
      </c>
      <c r="E40" s="711" t="e">
        <f ca="1">_xll.BDP($A40,"CHG_PCT_1M")</f>
        <v>#NAME?</v>
      </c>
      <c r="F40" s="711" t="e">
        <f ca="1">_xll.BDP($A40,"CHG_PCT_1YR")</f>
        <v>#NAME?</v>
      </c>
      <c r="G40" s="711" t="e">
        <f ca="1">_xll.BDP($A40,"CHG_PCT_YTD")</f>
        <v>#NAME?</v>
      </c>
      <c r="H40" s="711" t="e">
        <f ca="1">_xll.BDP($A40,"BEST_TARGET_PRICE")</f>
        <v>#NAME?</v>
      </c>
      <c r="I40" s="712" t="e">
        <f t="shared" ref="I40:I70" ca="1" si="3">H40/C40-1</f>
        <v>#NAME?</v>
      </c>
      <c r="J40" s="713" t="e">
        <f ca="1">_xll.BDP($A40,"CUR_MKT_CAP")/1000000</f>
        <v>#NAME?</v>
      </c>
      <c r="K40" s="713" t="e">
        <f ca="1">_xll.BDP($A40,"EQY_FREE_FLOAT_PCT")</f>
        <v>#NAME?</v>
      </c>
      <c r="L40" s="714" t="e">
        <f ca="1">_xll.BDP($A40,"AVG_DAILY_VALUE_TRADED_6M")/1000000</f>
        <v>#NAME?</v>
      </c>
      <c r="M40" s="713" t="e">
        <f ca="1">_xll.BDP($A40,"INDUSTRY_GROUP")</f>
        <v>#NAME?</v>
      </c>
      <c r="N40" s="714" t="e">
        <f ca="1">_xll.BDP($A40,"EQY_BETA_6M")</f>
        <v>#NAME?</v>
      </c>
      <c r="O40" s="714" t="e">
        <f ca="1">_xll.BDP($A40,"EST_PE_NXT_YR")</f>
        <v>#NAME?</v>
      </c>
      <c r="P40" s="714" t="e">
        <f ca="1">_xll.BDP($A40,"EST_EV_THIS_YR_EBITDA")</f>
        <v>#NAME?</v>
      </c>
      <c r="Q40" s="714" t="e">
        <f ca="1">_xll.BDP($A40,"CURRENT_EV_TO_12M_SALES")</f>
        <v>#NAME?</v>
      </c>
      <c r="R40" s="714" t="e">
        <f ca="1">_xll.BDP($A40,"PX_TO_BOOK_RATIO")</f>
        <v>#NAME?</v>
      </c>
      <c r="S40" s="714" t="e">
        <f ca="1">_xll.BDP($A40,"PX_TO_FREE_CASH_FLOW")</f>
        <v>#NAME?</v>
      </c>
      <c r="T40" s="714" t="e">
        <f ca="1">_xll.BDP($A40,"NET_DEBT_TO_EBITDA")</f>
        <v>#NAME?</v>
      </c>
      <c r="U40" s="714" t="e">
        <f ca="1">_xll.BDP($A40,"SALES_GROWTH")</f>
        <v>#NAME?</v>
      </c>
      <c r="V40" s="714" t="e">
        <f ca="1">_xll.BDP($A40,"EPS_GROWTH")</f>
        <v>#NAME?</v>
      </c>
      <c r="W40" s="714" t="e">
        <f ca="1">_xll.BDP($A40,"EBITDA_MARGIN")</f>
        <v>#NAME?</v>
      </c>
      <c r="X40" s="714" t="e">
        <f ca="1">_xll.BDP($A40,"EBIT_MARGIN")</f>
        <v>#NAME?</v>
      </c>
      <c r="Y40" s="714" t="e">
        <f ca="1">_xll.BDP($A40,"TRAIL_12M_PROF_MARGIN")</f>
        <v>#NAME?</v>
      </c>
      <c r="Z40" s="714" t="e">
        <f ca="1">_xll.BDP($A40,"NORMALIZED_ROE")</f>
        <v>#NAME?</v>
      </c>
      <c r="AA40" s="715" t="e">
        <f ca="1">_xll.BDP($A40,"BDVD_PROJ_12M_YLD")</f>
        <v>#NAME?</v>
      </c>
      <c r="AB40" s="715" t="e">
        <f ca="1">_xll.BDP($A40,"DVD_RECORD_DT")</f>
        <v>#NAME?</v>
      </c>
      <c r="AC40" s="716" t="e">
        <f ca="1">_xll.BDP($A40,"EQY_REC_CONS")</f>
        <v>#NAME?</v>
      </c>
      <c r="AD40" s="714" t="e">
        <f ca="1">_xll.BDP($A40,"PCT_REVENUE_FROM_FOREIGN_SOURCES")</f>
        <v>#NAME?</v>
      </c>
      <c r="AE40" s="717" t="e">
        <f ca="1">_xll.BDP($A40,"BDVD_NEXT_EST_DECL_DT")</f>
        <v>#NAME?</v>
      </c>
    </row>
    <row r="41" spans="1:31" s="708" customFormat="1" x14ac:dyDescent="0.25">
      <c r="A41" s="701" t="s">
        <v>15</v>
      </c>
      <c r="B41" s="702" t="e">
        <f ca="1">_xll.BDP($A41,"SHORT_NAME")</f>
        <v>#NAME?</v>
      </c>
      <c r="C41" s="702" t="e">
        <f ca="1">_xll.BDP($A41,"PX_LAST")</f>
        <v>#NAME?</v>
      </c>
      <c r="D41" s="703" t="e">
        <f ca="1">_xll.BDP($A41,"CHG_PCT_WTD")</f>
        <v>#NAME?</v>
      </c>
      <c r="E41" s="703" t="e">
        <f ca="1">_xll.BDP($A41,"CHG_PCT_1M")</f>
        <v>#NAME?</v>
      </c>
      <c r="F41" s="703" t="e">
        <f ca="1">_xll.BDP($A41,"CHG_PCT_1YR")</f>
        <v>#NAME?</v>
      </c>
      <c r="G41" s="703" t="e">
        <f ca="1">_xll.BDP($A41,"CHG_PCT_YTD")</f>
        <v>#NAME?</v>
      </c>
      <c r="H41" s="703" t="e">
        <f ca="1">_xll.BDP($A41,"BEST_TARGET_PRICE")</f>
        <v>#NAME?</v>
      </c>
      <c r="I41" s="704" t="e">
        <f t="shared" ca="1" si="3"/>
        <v>#NAME?</v>
      </c>
      <c r="J41" s="705" t="e">
        <f ca="1">_xll.BDP($A41,"CUR_MKT_CAP")/1000000</f>
        <v>#NAME?</v>
      </c>
      <c r="K41" s="705" t="e">
        <f ca="1">_xll.BDP($A41,"EQY_FREE_FLOAT_PCT")</f>
        <v>#NAME?</v>
      </c>
      <c r="L41" s="706" t="e">
        <f ca="1">_xll.BDP($A41,"AVG_DAILY_VALUE_TRADED_6M")/1000000</f>
        <v>#NAME?</v>
      </c>
      <c r="M41" s="705" t="e">
        <f ca="1">_xll.BDP($A41,"INDUSTRY_GROUP")</f>
        <v>#NAME?</v>
      </c>
      <c r="N41" s="706" t="e">
        <f ca="1">_xll.BDP($A41,"EQY_BETA_6M")</f>
        <v>#NAME?</v>
      </c>
      <c r="O41" s="706" t="e">
        <f ca="1">_xll.BDP($A41,"EST_PE_NXT_YR")</f>
        <v>#NAME?</v>
      </c>
      <c r="P41" s="706" t="e">
        <f ca="1">_xll.BDP($A41,"EST_EV_THIS_YR_EBITDA")</f>
        <v>#NAME?</v>
      </c>
      <c r="Q41" s="706" t="e">
        <f ca="1">_xll.BDP($A41,"CURRENT_EV_TO_12M_SALES")</f>
        <v>#NAME?</v>
      </c>
      <c r="R41" s="706" t="e">
        <f ca="1">_xll.BDP($A41,"PX_TO_BOOK_RATIO")</f>
        <v>#NAME?</v>
      </c>
      <c r="S41" s="706" t="e">
        <f ca="1">_xll.BDP($A41,"PX_TO_FREE_CASH_FLOW")</f>
        <v>#NAME?</v>
      </c>
      <c r="T41" s="706" t="e">
        <f ca="1">_xll.BDP($A41,"NET_DEBT_TO_EBITDA")</f>
        <v>#NAME?</v>
      </c>
      <c r="U41" s="706" t="e">
        <f ca="1">_xll.BDP($A41,"SALES_GROWTH")</f>
        <v>#NAME?</v>
      </c>
      <c r="V41" s="706" t="e">
        <f ca="1">_xll.BDP($A41,"EPS_GROWTH")</f>
        <v>#NAME?</v>
      </c>
      <c r="W41" s="706" t="e">
        <f ca="1">_xll.BDP($A41,"EBITDA_MARGIN")</f>
        <v>#NAME?</v>
      </c>
      <c r="X41" s="706" t="e">
        <f ca="1">_xll.BDP($A41,"EBIT_MARGIN")</f>
        <v>#NAME?</v>
      </c>
      <c r="Y41" s="706" t="e">
        <f ca="1">_xll.BDP($A41,"TRAIL_12M_PROF_MARGIN")</f>
        <v>#NAME?</v>
      </c>
      <c r="Z41" s="706" t="e">
        <f ca="1">_xll.BDP($A41,"NORMALIZED_ROE")</f>
        <v>#NAME?</v>
      </c>
      <c r="AA41" s="390" t="e">
        <f ca="1">_xll.BDP($A41,"BDVD_PROJ_12M_YLD")</f>
        <v>#NAME?</v>
      </c>
      <c r="AB41" s="390" t="e">
        <f ca="1">_xll.BDP($A41,"DVD_RECORD_DT")</f>
        <v>#NAME?</v>
      </c>
      <c r="AC41" s="695" t="e">
        <f ca="1">_xll.BDP($A41,"EQY_REC_CONS")</f>
        <v>#NAME?</v>
      </c>
      <c r="AD41" s="706" t="e">
        <f ca="1">_xll.BDP($A41,"PCT_REVENUE_FROM_FOREIGN_SOURCES")</f>
        <v>#NAME?</v>
      </c>
      <c r="AE41" s="707" t="e">
        <f ca="1">_xll.BDP($A41,"BDVD_NEXT_EST_DECL_DT")</f>
        <v>#NAME?</v>
      </c>
    </row>
    <row r="42" spans="1:31" x14ac:dyDescent="0.25">
      <c r="A42" s="533" t="s">
        <v>314</v>
      </c>
      <c r="B42" s="520" t="e">
        <f ca="1">_xll.BDP($A42,"SHORT_NAME")</f>
        <v>#NAME?</v>
      </c>
      <c r="C42" s="520" t="e">
        <f ca="1">_xll.BDP($A42,"PX_LAST")</f>
        <v>#NAME?</v>
      </c>
      <c r="D42" s="521" t="e">
        <f ca="1">_xll.BDP($A42,"CHG_PCT_WTD")</f>
        <v>#NAME?</v>
      </c>
      <c r="E42" s="521" t="e">
        <f ca="1">_xll.BDP($A42,"CHG_PCT_1M")</f>
        <v>#NAME?</v>
      </c>
      <c r="F42" s="521" t="e">
        <f ca="1">_xll.BDP($A42,"CHG_PCT_1YR")</f>
        <v>#NAME?</v>
      </c>
      <c r="G42" s="521" t="e">
        <f ca="1">_xll.BDP($A42,"CHG_PCT_YTD")</f>
        <v>#NAME?</v>
      </c>
      <c r="H42" s="521" t="e">
        <f ca="1">_xll.BDP($A42,"BEST_TARGET_PRICE")</f>
        <v>#NAME?</v>
      </c>
      <c r="I42" s="522" t="e">
        <f t="shared" ca="1" si="3"/>
        <v>#NAME?</v>
      </c>
      <c r="J42" s="523" t="e">
        <f ca="1">_xll.BDP($A42,"CUR_MKT_CAP")/1000000</f>
        <v>#NAME?</v>
      </c>
      <c r="K42" s="523" t="e">
        <f ca="1">_xll.BDP($A42,"EQY_FREE_FLOAT_PCT")</f>
        <v>#NAME?</v>
      </c>
      <c r="L42" s="524" t="e">
        <f ca="1">_xll.BDP($A42,"AVG_DAILY_VALUE_TRADED_6M")/1000000</f>
        <v>#NAME?</v>
      </c>
      <c r="M42" s="523" t="e">
        <f ca="1">_xll.BDP($A42,"INDUSTRY_GROUP")</f>
        <v>#NAME?</v>
      </c>
      <c r="N42" s="524" t="e">
        <f ca="1">_xll.BDP($A42,"EQY_BETA_6M")</f>
        <v>#NAME?</v>
      </c>
      <c r="O42" s="524" t="e">
        <f ca="1">_xll.BDP($A42,"EST_PE_NXT_YR")</f>
        <v>#NAME?</v>
      </c>
      <c r="P42" s="524" t="e">
        <f ca="1">_xll.BDP($A42,"EST_EV_THIS_YR_EBITDA")</f>
        <v>#NAME?</v>
      </c>
      <c r="Q42" s="524" t="e">
        <f ca="1">_xll.BDP($A42,"CURRENT_EV_TO_12M_SALES")</f>
        <v>#NAME?</v>
      </c>
      <c r="R42" s="524" t="e">
        <f ca="1">_xll.BDP($A42,"PX_TO_BOOK_RATIO")</f>
        <v>#NAME?</v>
      </c>
      <c r="S42" s="524" t="e">
        <f ca="1">_xll.BDP($A42,"PX_TO_FREE_CASH_FLOW")</f>
        <v>#NAME?</v>
      </c>
      <c r="T42" s="524" t="e">
        <f ca="1">_xll.BDP($A42,"NET_DEBT_TO_EBITDA")</f>
        <v>#NAME?</v>
      </c>
      <c r="U42" s="524" t="e">
        <f ca="1">_xll.BDP($A42,"SALES_GROWTH")</f>
        <v>#NAME?</v>
      </c>
      <c r="V42" s="524" t="e">
        <f ca="1">_xll.BDP($A42,"EPS_GROWTH")</f>
        <v>#NAME?</v>
      </c>
      <c r="W42" s="524" t="e">
        <f ca="1">_xll.BDP($A42,"EBITDA_MARGIN")</f>
        <v>#NAME?</v>
      </c>
      <c r="X42" s="524" t="e">
        <f ca="1">_xll.BDP($A42,"EBIT_MARGIN")</f>
        <v>#NAME?</v>
      </c>
      <c r="Y42" s="524" t="e">
        <f ca="1">_xll.BDP($A42,"TRAIL_12M_PROF_MARGIN")</f>
        <v>#NAME?</v>
      </c>
      <c r="Z42" s="524" t="e">
        <f ca="1">_xll.BDP($A42,"NORMALIZED_ROE")</f>
        <v>#NAME?</v>
      </c>
      <c r="AA42" s="447" t="e">
        <f ca="1">_xll.BDP($A42,"BDVD_PROJ_12M_YLD")</f>
        <v>#NAME?</v>
      </c>
      <c r="AB42" s="447" t="e">
        <f ca="1">_xll.BDP($A42,"DVD_RECORD_DT")</f>
        <v>#NAME?</v>
      </c>
      <c r="AC42" s="444" t="e">
        <f ca="1">_xll.BDP($A42,"EQY_REC_CONS")</f>
        <v>#NAME?</v>
      </c>
      <c r="AD42" s="524" t="e">
        <f ca="1">_xll.BDP($A42,"PCT_REVENUE_FROM_FOREIGN_SOURCES")</f>
        <v>#NAME?</v>
      </c>
      <c r="AE42" s="534" t="e">
        <f ca="1">_xll.BDP($A42,"BDVD_NEXT_EST_DECL_DT")</f>
        <v>#NAME?</v>
      </c>
    </row>
    <row r="43" spans="1:31" x14ac:dyDescent="0.25">
      <c r="A43" s="701" t="s">
        <v>10</v>
      </c>
      <c r="B43" s="702" t="e">
        <f ca="1">_xll.BDP($A43,"SHORT_NAME")</f>
        <v>#NAME?</v>
      </c>
      <c r="C43" s="702" t="e">
        <f ca="1">_xll.BDP($A43,"PX_LAST")</f>
        <v>#NAME?</v>
      </c>
      <c r="D43" s="703" t="e">
        <f ca="1">_xll.BDP($A43,"CHG_PCT_WTD")</f>
        <v>#NAME?</v>
      </c>
      <c r="E43" s="703" t="e">
        <f ca="1">_xll.BDP($A43,"CHG_PCT_1M")</f>
        <v>#NAME?</v>
      </c>
      <c r="F43" s="703" t="e">
        <f ca="1">_xll.BDP($A43,"CHG_PCT_1YR")</f>
        <v>#NAME?</v>
      </c>
      <c r="G43" s="703" t="e">
        <f ca="1">_xll.BDP($A43,"CHG_PCT_YTD")</f>
        <v>#NAME?</v>
      </c>
      <c r="H43" s="703" t="e">
        <f ca="1">_xll.BDP($A43,"BEST_TARGET_PRICE")</f>
        <v>#NAME?</v>
      </c>
      <c r="I43" s="704" t="e">
        <f t="shared" ca="1" si="3"/>
        <v>#NAME?</v>
      </c>
      <c r="J43" s="705" t="e">
        <f ca="1">_xll.BDP($A43,"CUR_MKT_CAP")/1000000</f>
        <v>#NAME?</v>
      </c>
      <c r="K43" s="705" t="e">
        <f ca="1">_xll.BDP($A43,"EQY_FREE_FLOAT_PCT")</f>
        <v>#NAME?</v>
      </c>
      <c r="L43" s="706" t="e">
        <f ca="1">_xll.BDP($A43,"AVG_DAILY_VALUE_TRADED_6M")/1000000</f>
        <v>#NAME?</v>
      </c>
      <c r="M43" s="705" t="e">
        <f ca="1">_xll.BDP($A43,"INDUSTRY_GROUP")</f>
        <v>#NAME?</v>
      </c>
      <c r="N43" s="706" t="e">
        <f ca="1">_xll.BDP($A43,"EQY_BETA_6M")</f>
        <v>#NAME?</v>
      </c>
      <c r="O43" s="706" t="e">
        <f ca="1">_xll.BDP($A43,"EST_PE_NXT_YR")</f>
        <v>#NAME?</v>
      </c>
      <c r="P43" s="706" t="e">
        <f ca="1">_xll.BDP($A43,"EST_EV_THIS_YR_EBITDA")</f>
        <v>#NAME?</v>
      </c>
      <c r="Q43" s="706" t="e">
        <f ca="1">_xll.BDP($A43,"CURRENT_EV_TO_12M_SALES")</f>
        <v>#NAME?</v>
      </c>
      <c r="R43" s="706" t="e">
        <f ca="1">_xll.BDP($A43,"PX_TO_BOOK_RATIO")</f>
        <v>#NAME?</v>
      </c>
      <c r="S43" s="706" t="e">
        <f ca="1">_xll.BDP($A43,"PX_TO_FREE_CASH_FLOW")</f>
        <v>#NAME?</v>
      </c>
      <c r="T43" s="706" t="e">
        <f ca="1">_xll.BDP($A43,"NET_DEBT_TO_EBITDA")</f>
        <v>#NAME?</v>
      </c>
      <c r="U43" s="706" t="e">
        <f ca="1">_xll.BDP($A43,"SALES_GROWTH")</f>
        <v>#NAME?</v>
      </c>
      <c r="V43" s="706" t="e">
        <f ca="1">_xll.BDP($A43,"EPS_GROWTH")</f>
        <v>#NAME?</v>
      </c>
      <c r="W43" s="706" t="e">
        <f ca="1">_xll.BDP($A43,"EBITDA_MARGIN")</f>
        <v>#NAME?</v>
      </c>
      <c r="X43" s="706" t="e">
        <f ca="1">_xll.BDP($A43,"EBIT_MARGIN")</f>
        <v>#NAME?</v>
      </c>
      <c r="Y43" s="706" t="e">
        <f ca="1">_xll.BDP($A43,"TRAIL_12M_PROF_MARGIN")</f>
        <v>#NAME?</v>
      </c>
      <c r="Z43" s="706" t="e">
        <f ca="1">_xll.BDP($A43,"NORMALIZED_ROE")</f>
        <v>#NAME?</v>
      </c>
      <c r="AA43" s="390" t="e">
        <f ca="1">_xll.BDP($A43,"BDVD_PROJ_12M_YLD")</f>
        <v>#NAME?</v>
      </c>
      <c r="AB43" s="390" t="e">
        <f ca="1">_xll.BDP($A43,"DVD_RECORD_DT")</f>
        <v>#NAME?</v>
      </c>
      <c r="AC43" s="695" t="e">
        <f ca="1">_xll.BDP($A43,"EQY_REC_CONS")</f>
        <v>#NAME?</v>
      </c>
      <c r="AD43" s="706" t="e">
        <f ca="1">_xll.BDP($A43,"PCT_REVENUE_FROM_FOREIGN_SOURCES")</f>
        <v>#NAME?</v>
      </c>
      <c r="AE43" s="707" t="e">
        <f ca="1">_xll.BDP($A43,"BDVD_NEXT_EST_DECL_DT")</f>
        <v>#NAME?</v>
      </c>
    </row>
    <row r="44" spans="1:31" s="708" customFormat="1" ht="15.75" thickBot="1" x14ac:dyDescent="0.3">
      <c r="A44" s="535" t="s">
        <v>11</v>
      </c>
      <c r="B44" s="536" t="e">
        <f ca="1">_xll.BDP($A44,"SHORT_NAME")</f>
        <v>#NAME?</v>
      </c>
      <c r="C44" s="536" t="e">
        <f ca="1">_xll.BDP($A44,"PX_LAST")</f>
        <v>#NAME?</v>
      </c>
      <c r="D44" s="537" t="e">
        <f ca="1">_xll.BDP($A44,"CHG_PCT_WTD")</f>
        <v>#NAME?</v>
      </c>
      <c r="E44" s="537" t="e">
        <f ca="1">_xll.BDP($A44,"CHG_PCT_1M")</f>
        <v>#NAME?</v>
      </c>
      <c r="F44" s="537" t="e">
        <f ca="1">_xll.BDP($A44,"CHG_PCT_1YR")</f>
        <v>#NAME?</v>
      </c>
      <c r="G44" s="537" t="e">
        <f ca="1">_xll.BDP($A44,"CHG_PCT_YTD")</f>
        <v>#NAME?</v>
      </c>
      <c r="H44" s="537" t="e">
        <f ca="1">_xll.BDP($A44,"BEST_TARGET_PRICE")</f>
        <v>#NAME?</v>
      </c>
      <c r="I44" s="538" t="e">
        <f t="shared" ca="1" si="3"/>
        <v>#NAME?</v>
      </c>
      <c r="J44" s="539" t="e">
        <f ca="1">_xll.BDP($A44,"CUR_MKT_CAP")/1000000</f>
        <v>#NAME?</v>
      </c>
      <c r="K44" s="539" t="e">
        <f ca="1">_xll.BDP($A44,"EQY_FREE_FLOAT_PCT")</f>
        <v>#NAME?</v>
      </c>
      <c r="L44" s="540" t="e">
        <f ca="1">_xll.BDP($A44,"AVG_DAILY_VALUE_TRADED_6M")/1000000</f>
        <v>#NAME?</v>
      </c>
      <c r="M44" s="539" t="e">
        <f ca="1">_xll.BDP($A44,"INDUSTRY_GROUP")</f>
        <v>#NAME?</v>
      </c>
      <c r="N44" s="540" t="e">
        <f ca="1">_xll.BDP($A44,"EQY_BETA_6M")</f>
        <v>#NAME?</v>
      </c>
      <c r="O44" s="540" t="e">
        <f ca="1">_xll.BDP($A44,"EST_PE_NXT_YR")</f>
        <v>#NAME?</v>
      </c>
      <c r="P44" s="540" t="e">
        <f ca="1">_xll.BDP($A44,"EST_EV_THIS_YR_EBITDA")</f>
        <v>#NAME?</v>
      </c>
      <c r="Q44" s="540" t="e">
        <f ca="1">_xll.BDP($A44,"CURRENT_EV_TO_12M_SALES")</f>
        <v>#NAME?</v>
      </c>
      <c r="R44" s="540" t="e">
        <f ca="1">_xll.BDP($A44,"PX_TO_BOOK_RATIO")</f>
        <v>#NAME?</v>
      </c>
      <c r="S44" s="540" t="e">
        <f ca="1">_xll.BDP($A44,"PX_TO_FREE_CASH_FLOW")</f>
        <v>#NAME?</v>
      </c>
      <c r="T44" s="540" t="e">
        <f ca="1">_xll.BDP($A44,"NET_DEBT_TO_EBITDA")</f>
        <v>#NAME?</v>
      </c>
      <c r="U44" s="540" t="e">
        <f ca="1">_xll.BDP($A44,"SALES_GROWTH")</f>
        <v>#NAME?</v>
      </c>
      <c r="V44" s="540" t="e">
        <f ca="1">_xll.BDP($A44,"EPS_GROWTH")</f>
        <v>#NAME?</v>
      </c>
      <c r="W44" s="540" t="e">
        <f ca="1">_xll.BDP($A44,"EBITDA_MARGIN")</f>
        <v>#NAME?</v>
      </c>
      <c r="X44" s="540" t="e">
        <f ca="1">_xll.BDP($A44,"EBIT_MARGIN")</f>
        <v>#NAME?</v>
      </c>
      <c r="Y44" s="540" t="e">
        <f ca="1">_xll.BDP($A44,"TRAIL_12M_PROF_MARGIN")</f>
        <v>#NAME?</v>
      </c>
      <c r="Z44" s="540" t="e">
        <f ca="1">_xll.BDP($A44,"NORMALIZED_ROE")</f>
        <v>#NAME?</v>
      </c>
      <c r="AA44" s="541" t="e">
        <f ca="1">_xll.BDP($A44,"BDVD_PROJ_12M_YLD")</f>
        <v>#NAME?</v>
      </c>
      <c r="AB44" s="541" t="e">
        <f ca="1">_xll.BDP($A44,"DVD_RECORD_DT")</f>
        <v>#NAME?</v>
      </c>
      <c r="AC44" s="672" t="e">
        <f ca="1">_xll.BDP($A44,"EQY_REC_CONS")</f>
        <v>#NAME?</v>
      </c>
      <c r="AD44" s="540" t="e">
        <f ca="1">_xll.BDP($A44,"PCT_REVENUE_FROM_FOREIGN_SOURCES")</f>
        <v>#NAME?</v>
      </c>
      <c r="AE44" s="542" t="e">
        <f ca="1">_xll.BDP($A44,"BDVD_NEXT_EST_DECL_DT")</f>
        <v>#NAME?</v>
      </c>
    </row>
    <row r="45" spans="1:31" s="8" customFormat="1" x14ac:dyDescent="0.25">
      <c r="A45" s="525" t="s">
        <v>285</v>
      </c>
      <c r="B45" s="526" t="e">
        <f ca="1">_xll.BDP($A45,"SHORT_NAME")</f>
        <v>#NAME?</v>
      </c>
      <c r="C45" s="526" t="e">
        <f ca="1">_xll.BDP($A45,"PX_LAST")</f>
        <v>#NAME?</v>
      </c>
      <c r="D45" s="527" t="e">
        <f ca="1">_xll.BDP($A45,"CHG_PCT_WTD")</f>
        <v>#NAME?</v>
      </c>
      <c r="E45" s="527" t="e">
        <f ca="1">_xll.BDP($A45,"CHG_PCT_1M")</f>
        <v>#NAME?</v>
      </c>
      <c r="F45" s="527" t="e">
        <f ca="1">_xll.BDP($A45,"CHG_PCT_1YR")</f>
        <v>#NAME?</v>
      </c>
      <c r="G45" s="527" t="e">
        <f ca="1">_xll.BDP($A45,"CHG_PCT_YTD")</f>
        <v>#NAME?</v>
      </c>
      <c r="H45" s="527" t="e">
        <f ca="1">_xll.BDP($A45,"BEST_TARGET_PRICE")</f>
        <v>#NAME?</v>
      </c>
      <c r="I45" s="528" t="e">
        <f t="shared" ca="1" si="3"/>
        <v>#NAME?</v>
      </c>
      <c r="J45" s="529" t="e">
        <f ca="1">_xll.BDP($A45,"CUR_MKT_CAP")/1000000/$AI$1</f>
        <v>#NAME?</v>
      </c>
      <c r="K45" s="529" t="e">
        <f ca="1">_xll.BDP($A45,"EQY_FREE_FLOAT_PCT")</f>
        <v>#NAME?</v>
      </c>
      <c r="L45" s="530" t="e">
        <f ca="1">_xll.BDP($A45,"AVG_DAILY_VALUE_TRADED_6M")/$AI$1/1000000</f>
        <v>#NAME?</v>
      </c>
      <c r="M45" s="529" t="e">
        <f ca="1">_xll.BDP($A45,"INDUSTRY_GROUP")</f>
        <v>#NAME?</v>
      </c>
      <c r="N45" s="530" t="e">
        <f ca="1">_xll.BDP($A45,"EQY_BETA_6M")</f>
        <v>#NAME?</v>
      </c>
      <c r="O45" s="530" t="e">
        <f ca="1">_xll.BDP($A45,"EST_PE_NXT_YR")</f>
        <v>#NAME?</v>
      </c>
      <c r="P45" s="530" t="e">
        <f ca="1">_xll.BDP($A45,"EST_EV_THIS_YR_EBITDA")</f>
        <v>#NAME?</v>
      </c>
      <c r="Q45" s="530" t="e">
        <f ca="1">_xll.BDP($A45,"CURRENT_EV_TO_12M_SALES")</f>
        <v>#NAME?</v>
      </c>
      <c r="R45" s="530" t="e">
        <f ca="1">_xll.BDP($A45,"PX_TO_BOOK_RATIO")</f>
        <v>#NAME?</v>
      </c>
      <c r="S45" s="530" t="e">
        <f ca="1">_xll.BDP($A45,"PX_TO_FREE_CASH_FLOW")</f>
        <v>#NAME?</v>
      </c>
      <c r="T45" s="530" t="e">
        <f ca="1">_xll.BDP($A45,"NET_DEBT_TO_EBITDA")</f>
        <v>#NAME?</v>
      </c>
      <c r="U45" s="530" t="e">
        <f ca="1">_xll.BDP($A45,"SALES_GROWTH")</f>
        <v>#NAME?</v>
      </c>
      <c r="V45" s="530" t="e">
        <f ca="1">_xll.BDP($A45,"EPS_GROWTH")</f>
        <v>#NAME?</v>
      </c>
      <c r="W45" s="530" t="e">
        <f ca="1">_xll.BDP($A45,"EBITDA_MARGIN")</f>
        <v>#NAME?</v>
      </c>
      <c r="X45" s="530" t="e">
        <f ca="1">_xll.BDP($A45,"EBIT_MARGIN")</f>
        <v>#NAME?</v>
      </c>
      <c r="Y45" s="530" t="e">
        <f ca="1">_xll.BDP($A45,"TRAIL_12M_PROF_MARGIN")</f>
        <v>#NAME?</v>
      </c>
      <c r="Z45" s="530" t="e">
        <f ca="1">_xll.BDP($A45,"NORMALIZED_ROE")</f>
        <v>#NAME?</v>
      </c>
      <c r="AA45" s="531" t="e">
        <f ca="1">_xll.BDP($A45,"BDVD_PROJ_12M_YLD")</f>
        <v>#NAME?</v>
      </c>
      <c r="AB45" s="531" t="e">
        <f ca="1">_xll.BDP($A45,"DVD_RECORD_DT")</f>
        <v>#NAME?</v>
      </c>
      <c r="AC45" s="671" t="e">
        <f ca="1">_xll.BDP($A45,"EQY_REC_CONS")</f>
        <v>#NAME?</v>
      </c>
      <c r="AD45" s="530" t="e">
        <f ca="1">_xll.BDP($A45,"PCT_REVENUE_FROM_FOREIGN_SOURCES")</f>
        <v>#NAME?</v>
      </c>
      <c r="AE45" s="532" t="e">
        <f ca="1">_xll.BDP($A45,"BDVD_NEXT_EST_DECL_DT")</f>
        <v>#NAME?</v>
      </c>
    </row>
    <row r="46" spans="1:31" s="8" customFormat="1" x14ac:dyDescent="0.25">
      <c r="A46" s="533" t="s">
        <v>256</v>
      </c>
      <c r="B46" s="520" t="e">
        <f ca="1">_xll.BDP($A46,"SHORT_NAME")</f>
        <v>#NAME?</v>
      </c>
      <c r="C46" s="520" t="e">
        <f ca="1">_xll.BDP($A46,"PX_LAST")</f>
        <v>#NAME?</v>
      </c>
      <c r="D46" s="521" t="e">
        <f ca="1">_xll.BDP($A46,"CHG_PCT_WTD")</f>
        <v>#NAME?</v>
      </c>
      <c r="E46" s="521" t="e">
        <f ca="1">_xll.BDP($A46,"CHG_PCT_1M")</f>
        <v>#NAME?</v>
      </c>
      <c r="F46" s="521" t="e">
        <f ca="1">_xll.BDP($A46,"CHG_PCT_1YR")</f>
        <v>#NAME?</v>
      </c>
      <c r="G46" s="521" t="e">
        <f ca="1">_xll.BDP($A46,"CHG_PCT_YTD")</f>
        <v>#NAME?</v>
      </c>
      <c r="H46" s="647" t="e">
        <f ca="1">_xll.BDP($A46,"BEST_TARGET_PRICE")</f>
        <v>#NAME?</v>
      </c>
      <c r="I46" s="522" t="e">
        <f t="shared" ca="1" si="3"/>
        <v>#NAME?</v>
      </c>
      <c r="J46" s="523" t="e">
        <f ca="1">_xll.BDP($A46,"CUR_MKT_CAP")/1000000</f>
        <v>#NAME?</v>
      </c>
      <c r="K46" s="523" t="e">
        <f ca="1">_xll.BDP($A46,"EQY_FREE_FLOAT_PCT")</f>
        <v>#NAME?</v>
      </c>
      <c r="L46" s="524" t="e">
        <f ca="1">_xll.BDP($A46,"AVG_DAILY_VALUE_TRADED_6M")/1000000</f>
        <v>#NAME?</v>
      </c>
      <c r="M46" s="523" t="e">
        <f ca="1">_xll.BDP($A46,"INDUSTRY_GROUP")</f>
        <v>#NAME?</v>
      </c>
      <c r="N46" s="524" t="e">
        <f ca="1">_xll.BDP($A46,"EQY_BETA_6M")</f>
        <v>#NAME?</v>
      </c>
      <c r="O46" s="524" t="e">
        <f ca="1">_xll.BDP($A46,"EST_PE_NXT_YR")</f>
        <v>#NAME?</v>
      </c>
      <c r="P46" s="524" t="e">
        <f ca="1">_xll.BDP($A46,"EST_EV_THIS_YR_EBITDA")</f>
        <v>#NAME?</v>
      </c>
      <c r="Q46" s="524" t="e">
        <f ca="1">_xll.BDP($A46,"CURRENT_EV_TO_12M_SALES")</f>
        <v>#NAME?</v>
      </c>
      <c r="R46" s="524" t="e">
        <f ca="1">_xll.BDP($A46,"PX_TO_BOOK_RATIO")</f>
        <v>#NAME?</v>
      </c>
      <c r="S46" s="524" t="e">
        <f ca="1">_xll.BDP($A46,"PX_TO_FREE_CASH_FLOW")</f>
        <v>#NAME?</v>
      </c>
      <c r="T46" s="524" t="e">
        <f ca="1">_xll.BDP($A46,"NET_DEBT_TO_EBITDA")</f>
        <v>#NAME?</v>
      </c>
      <c r="U46" s="524" t="e">
        <f ca="1">_xll.BDP($A46,"SALES_GROWTH")</f>
        <v>#NAME?</v>
      </c>
      <c r="V46" s="524" t="e">
        <f ca="1">_xll.BDP($A46,"EPS_GROWTH")</f>
        <v>#NAME?</v>
      </c>
      <c r="W46" s="524" t="e">
        <f ca="1">_xll.BDP($A46,"EBITDA_MARGIN")</f>
        <v>#NAME?</v>
      </c>
      <c r="X46" s="524" t="e">
        <f ca="1">_xll.BDP($A46,"EBIT_MARGIN")</f>
        <v>#NAME?</v>
      </c>
      <c r="Y46" s="524" t="e">
        <f ca="1">_xll.BDP($A46,"TRAIL_12M_PROF_MARGIN")</f>
        <v>#NAME?</v>
      </c>
      <c r="Z46" s="524" t="e">
        <f ca="1">_xll.BDP($A46,"NORMALIZED_ROE")</f>
        <v>#NAME?</v>
      </c>
      <c r="AA46" s="447" t="e">
        <f ca="1">_xll.BDP($A46,"BDVD_PROJ_12M_YLD")</f>
        <v>#NAME?</v>
      </c>
      <c r="AB46" s="447" t="e">
        <f ca="1">_xll.BDP($A46,"DVD_RECORD_DT")</f>
        <v>#NAME?</v>
      </c>
      <c r="AC46" s="444" t="e">
        <f ca="1">_xll.BDP($A46,"EQY_REC_CONS")</f>
        <v>#NAME?</v>
      </c>
      <c r="AD46" s="524" t="e">
        <f ca="1">_xll.BDP($A46,"PCT_REVENUE_FROM_FOREIGN_SOURCES")</f>
        <v>#NAME?</v>
      </c>
      <c r="AE46" s="534" t="e">
        <f ca="1">_xll.BDP($A46,"BDVD_NEXT_EST_DECL_DT")</f>
        <v>#NAME?</v>
      </c>
    </row>
    <row r="47" spans="1:31" s="8" customFormat="1" x14ac:dyDescent="0.25">
      <c r="A47" s="533" t="s">
        <v>5</v>
      </c>
      <c r="B47" s="520" t="e">
        <f ca="1">_xll.BDP($A47,"SHORT_NAME")</f>
        <v>#NAME?</v>
      </c>
      <c r="C47" s="520" t="e">
        <f ca="1">_xll.BDP($A47,"PX_LAST")</f>
        <v>#NAME?</v>
      </c>
      <c r="D47" s="521" t="e">
        <f ca="1">_xll.BDP($A47,"CHG_PCT_WTD")</f>
        <v>#NAME?</v>
      </c>
      <c r="E47" s="521" t="e">
        <f ca="1">_xll.BDP($A47,"CHG_PCT_1M")</f>
        <v>#NAME?</v>
      </c>
      <c r="F47" s="521" t="e">
        <f ca="1">_xll.BDP($A47,"CHG_PCT_1YR")</f>
        <v>#NAME?</v>
      </c>
      <c r="G47" s="521" t="e">
        <f ca="1">_xll.BDP($A47,"CHG_PCT_YTD")</f>
        <v>#NAME?</v>
      </c>
      <c r="H47" s="521" t="e">
        <f ca="1">_xll.BDP($A47,"BEST_TARGET_PRICE")</f>
        <v>#NAME?</v>
      </c>
      <c r="I47" s="522" t="e">
        <f t="shared" ca="1" si="3"/>
        <v>#NAME?</v>
      </c>
      <c r="J47" s="523" t="e">
        <f ca="1">_xll.BDP($A47,"CUR_MKT_CAP")/1000000/$AI$1</f>
        <v>#NAME?</v>
      </c>
      <c r="K47" s="523" t="e">
        <f ca="1">_xll.BDP($A47,"EQY_FREE_FLOAT_PCT")</f>
        <v>#NAME?</v>
      </c>
      <c r="L47" s="524" t="e">
        <f ca="1">_xll.BDP($A47,"AVG_DAILY_VALUE_TRADED_6M")/$AI$1/1000000</f>
        <v>#NAME?</v>
      </c>
      <c r="M47" s="523" t="e">
        <f ca="1">_xll.BDP($A47,"INDUSTRY_GROUP")</f>
        <v>#NAME?</v>
      </c>
      <c r="N47" s="524" t="e">
        <f ca="1">_xll.BDP($A47,"EQY_BETA_6M")</f>
        <v>#NAME?</v>
      </c>
      <c r="O47" s="524" t="e">
        <f ca="1">_xll.BDP($A47,"EST_PE_NXT_YR")</f>
        <v>#NAME?</v>
      </c>
      <c r="P47" s="524" t="e">
        <f ca="1">_xll.BDP($A47,"EST_EV_THIS_YR_EBITDA")</f>
        <v>#NAME?</v>
      </c>
      <c r="Q47" s="524" t="e">
        <f ca="1">_xll.BDP($A47,"CURRENT_EV_TO_12M_SALES")</f>
        <v>#NAME?</v>
      </c>
      <c r="R47" s="524" t="e">
        <f ca="1">_xll.BDP($A47,"PX_TO_BOOK_RATIO")</f>
        <v>#NAME?</v>
      </c>
      <c r="S47" s="524" t="e">
        <f ca="1">_xll.BDP($A47,"PX_TO_FREE_CASH_FLOW")</f>
        <v>#NAME?</v>
      </c>
      <c r="T47" s="524" t="e">
        <f ca="1">_xll.BDP($A47,"NET_DEBT_TO_EBITDA")</f>
        <v>#NAME?</v>
      </c>
      <c r="U47" s="524" t="e">
        <f ca="1">_xll.BDP($A47,"SALES_GROWTH")</f>
        <v>#NAME?</v>
      </c>
      <c r="V47" s="524" t="e">
        <f ca="1">_xll.BDP($A47,"EPS_GROWTH")</f>
        <v>#NAME?</v>
      </c>
      <c r="W47" s="524" t="e">
        <f ca="1">_xll.BDP($A47,"EBITDA_MARGIN")</f>
        <v>#NAME?</v>
      </c>
      <c r="X47" s="524" t="e">
        <f ca="1">_xll.BDP($A47,"EBIT_MARGIN")</f>
        <v>#NAME?</v>
      </c>
      <c r="Y47" s="524" t="e">
        <f ca="1">_xll.BDP($A47,"TRAIL_12M_PROF_MARGIN")</f>
        <v>#NAME?</v>
      </c>
      <c r="Z47" s="524" t="e">
        <f ca="1">_xll.BDP($A47,"NORMALIZED_ROE")</f>
        <v>#NAME?</v>
      </c>
      <c r="AA47" s="447" t="e">
        <f ca="1">_xll.BDP($A47,"BDVD_PROJ_12M_YLD")</f>
        <v>#NAME?</v>
      </c>
      <c r="AB47" s="447" t="e">
        <f ca="1">_xll.BDP($A47,"DVD_RECORD_DT")</f>
        <v>#NAME?</v>
      </c>
      <c r="AC47" s="444" t="e">
        <f ca="1">_xll.BDP($A47,"EQY_REC_CONS")</f>
        <v>#NAME?</v>
      </c>
      <c r="AD47" s="524" t="e">
        <f ca="1">_xll.BDP($A47,"PCT_REVENUE_FROM_FOREIGN_SOURCES")</f>
        <v>#NAME?</v>
      </c>
      <c r="AE47" s="534" t="e">
        <f ca="1">_xll.BDP($A47,"BDVD_NEXT_EST_DECL_DT")</f>
        <v>#NAME?</v>
      </c>
    </row>
    <row r="48" spans="1:31" s="8" customFormat="1" x14ac:dyDescent="0.25">
      <c r="A48" s="533" t="s">
        <v>13</v>
      </c>
      <c r="B48" s="520" t="e">
        <f ca="1">_xll.BDP($A48,"SHORT_NAME")</f>
        <v>#NAME?</v>
      </c>
      <c r="C48" s="520" t="e">
        <f ca="1">_xll.BDP($A48,"PX_LAST")</f>
        <v>#NAME?</v>
      </c>
      <c r="D48" s="521" t="e">
        <f ca="1">_xll.BDP($A48,"CHG_PCT_WTD")</f>
        <v>#NAME?</v>
      </c>
      <c r="E48" s="521" t="e">
        <f ca="1">_xll.BDP($A48,"CHG_PCT_1M")</f>
        <v>#NAME?</v>
      </c>
      <c r="F48" s="521" t="e">
        <f ca="1">_xll.BDP($A48,"CHG_PCT_1YR")</f>
        <v>#NAME?</v>
      </c>
      <c r="G48" s="521" t="e">
        <f ca="1">_xll.BDP($A48,"CHG_PCT_YTD")</f>
        <v>#NAME?</v>
      </c>
      <c r="H48" s="647" t="e">
        <f ca="1">_xll.BDP($A48,"BEST_TARGET_PRICE")</f>
        <v>#NAME?</v>
      </c>
      <c r="I48" s="522" t="e">
        <f t="shared" ca="1" si="3"/>
        <v>#NAME?</v>
      </c>
      <c r="J48" s="523" t="e">
        <f ca="1">_xll.BDP($A48,"CUR_MKT_CAP")/1000000</f>
        <v>#NAME?</v>
      </c>
      <c r="K48" s="523" t="e">
        <f ca="1">_xll.BDP($A48,"EQY_FREE_FLOAT_PCT")</f>
        <v>#NAME?</v>
      </c>
      <c r="L48" s="524" t="e">
        <f ca="1">_xll.BDP($A48,"AVG_DAILY_VALUE_TRADED_6M")/1000000</f>
        <v>#NAME?</v>
      </c>
      <c r="M48" s="523" t="e">
        <f ca="1">_xll.BDP($A48,"INDUSTRY_GROUP")</f>
        <v>#NAME?</v>
      </c>
      <c r="N48" s="524" t="e">
        <f ca="1">_xll.BDP($A48,"EQY_BETA_6M")</f>
        <v>#NAME?</v>
      </c>
      <c r="O48" s="524" t="e">
        <f ca="1">_xll.BDP($A48,"EST_PE_NXT_YR")</f>
        <v>#NAME?</v>
      </c>
      <c r="P48" s="524" t="e">
        <f ca="1">_xll.BDP($A48,"EST_EV_THIS_YR_EBITDA")</f>
        <v>#NAME?</v>
      </c>
      <c r="Q48" s="524" t="e">
        <f ca="1">_xll.BDP($A48,"CURRENT_EV_TO_12M_SALES")</f>
        <v>#NAME?</v>
      </c>
      <c r="R48" s="524" t="e">
        <f ca="1">_xll.BDP($A48,"PX_TO_BOOK_RATIO")</f>
        <v>#NAME?</v>
      </c>
      <c r="S48" s="524" t="e">
        <f ca="1">_xll.BDP($A48,"PX_TO_FREE_CASH_FLOW")</f>
        <v>#NAME?</v>
      </c>
      <c r="T48" s="524" t="e">
        <f ca="1">_xll.BDP($A48,"NET_DEBT_TO_EBITDA")</f>
        <v>#NAME?</v>
      </c>
      <c r="U48" s="524" t="e">
        <f ca="1">_xll.BDP($A48,"SALES_GROWTH")</f>
        <v>#NAME?</v>
      </c>
      <c r="V48" s="524" t="e">
        <f ca="1">_xll.BDP($A48,"EPS_GROWTH")</f>
        <v>#NAME?</v>
      </c>
      <c r="W48" s="524" t="e">
        <f ca="1">_xll.BDP($A48,"EBITDA_MARGIN")</f>
        <v>#NAME?</v>
      </c>
      <c r="X48" s="524" t="e">
        <f ca="1">_xll.BDP($A48,"EBIT_MARGIN")</f>
        <v>#NAME?</v>
      </c>
      <c r="Y48" s="524" t="e">
        <f ca="1">_xll.BDP($A48,"TRAIL_12M_PROF_MARGIN")</f>
        <v>#NAME?</v>
      </c>
      <c r="Z48" s="524" t="e">
        <f ca="1">_xll.BDP($A48,"NORMALIZED_ROE")</f>
        <v>#NAME?</v>
      </c>
      <c r="AA48" s="447" t="e">
        <f ca="1">_xll.BDP($A48,"BDVD_PROJ_12M_YLD")</f>
        <v>#NAME?</v>
      </c>
      <c r="AB48" s="447" t="e">
        <f ca="1">_xll.BDP($A48,"DVD_RECORD_DT")</f>
        <v>#NAME?</v>
      </c>
      <c r="AC48" s="444" t="e">
        <f ca="1">_xll.BDP($A48,"EQY_REC_CONS")</f>
        <v>#NAME?</v>
      </c>
      <c r="AD48" s="524" t="e">
        <f ca="1">_xll.BDP($A48,"PCT_REVENUE_FROM_FOREIGN_SOURCES")</f>
        <v>#NAME?</v>
      </c>
      <c r="AE48" s="534" t="e">
        <f ca="1">_xll.BDP($A48,"BDVD_NEXT_EST_DECL_DT")</f>
        <v>#NAME?</v>
      </c>
    </row>
    <row r="49" spans="1:31" s="8" customFormat="1" x14ac:dyDescent="0.25">
      <c r="A49" s="533" t="s">
        <v>257</v>
      </c>
      <c r="B49" s="520" t="e">
        <f ca="1">_xll.BDP($A49,"SHORT_NAME")</f>
        <v>#NAME?</v>
      </c>
      <c r="C49" s="520" t="e">
        <f ca="1">_xll.BDP($A49,"PX_LAST")</f>
        <v>#NAME?</v>
      </c>
      <c r="D49" s="521" t="e">
        <f ca="1">_xll.BDP($A49,"CHG_PCT_WTD")</f>
        <v>#NAME?</v>
      </c>
      <c r="E49" s="521" t="e">
        <f ca="1">_xll.BDP($A49,"CHG_PCT_1M")</f>
        <v>#NAME?</v>
      </c>
      <c r="F49" s="521" t="e">
        <f ca="1">_xll.BDP($A49,"CHG_PCT_1YR")</f>
        <v>#NAME?</v>
      </c>
      <c r="G49" s="521" t="e">
        <f ca="1">_xll.BDP($A49,"CHG_PCT_YTD")</f>
        <v>#NAME?</v>
      </c>
      <c r="H49" s="647" t="e">
        <f ca="1">_xll.BDP("NCSP LI EQUITY","BEST_TARGET_PRICE")*$AI$1/75</f>
        <v>#NAME?</v>
      </c>
      <c r="I49" s="522" t="e">
        <f t="shared" ca="1" si="3"/>
        <v>#NAME?</v>
      </c>
      <c r="J49" s="523" t="e">
        <f ca="1">_xll.BDP($A49,"CUR_MKT_CAP")/1000000/$AI$1</f>
        <v>#NAME?</v>
      </c>
      <c r="K49" s="523" t="e">
        <f ca="1">_xll.BDP($A49,"EQY_FREE_FLOAT_PCT")</f>
        <v>#NAME?</v>
      </c>
      <c r="L49" s="524" t="e">
        <f ca="1">_xll.BDP($A49,"AVG_DAILY_VALUE_TRADED_6M")/$AI$1/1000000</f>
        <v>#NAME?</v>
      </c>
      <c r="M49" s="523" t="e">
        <f ca="1">_xll.BDP($A49,"INDUSTRY_GROUP")</f>
        <v>#NAME?</v>
      </c>
      <c r="N49" s="524" t="e">
        <f ca="1">_xll.BDP($A49,"EQY_BETA_6M")</f>
        <v>#NAME?</v>
      </c>
      <c r="O49" s="524" t="e">
        <f ca="1">_xll.BDP($A49,"EST_PE_NXT_YR")</f>
        <v>#NAME?</v>
      </c>
      <c r="P49" s="524" t="e">
        <f ca="1">_xll.BDP($A49,"EST_EV_THIS_YR_EBITDA")</f>
        <v>#NAME?</v>
      </c>
      <c r="Q49" s="524" t="e">
        <f ca="1">_xll.BDP($A49,"CURRENT_EV_TO_12M_SALES")</f>
        <v>#NAME?</v>
      </c>
      <c r="R49" s="524" t="e">
        <f ca="1">_xll.BDP($A49,"PX_TO_BOOK_RATIO")</f>
        <v>#NAME?</v>
      </c>
      <c r="S49" s="524" t="e">
        <f ca="1">_xll.BDP($A49,"PX_TO_FREE_CASH_FLOW")</f>
        <v>#NAME?</v>
      </c>
      <c r="T49" s="524" t="e">
        <f ca="1">_xll.BDP($A49,"NET_DEBT_TO_EBITDA")</f>
        <v>#NAME?</v>
      </c>
      <c r="U49" s="524" t="e">
        <f ca="1">_xll.BDP($A49,"SALES_GROWTH")</f>
        <v>#NAME?</v>
      </c>
      <c r="V49" s="524" t="e">
        <f ca="1">_xll.BDP($A49,"EPS_GROWTH")</f>
        <v>#NAME?</v>
      </c>
      <c r="W49" s="524" t="e">
        <f ca="1">_xll.BDP($A49,"EBITDA_MARGIN")</f>
        <v>#NAME?</v>
      </c>
      <c r="X49" s="524" t="e">
        <f ca="1">_xll.BDP($A49,"EBIT_MARGIN")</f>
        <v>#NAME?</v>
      </c>
      <c r="Y49" s="524" t="e">
        <f ca="1">_xll.BDP($A49,"TRAIL_12M_PROF_MARGIN")</f>
        <v>#NAME?</v>
      </c>
      <c r="Z49" s="524" t="e">
        <f ca="1">_xll.BDP($A49,"NORMALIZED_ROE")</f>
        <v>#NAME?</v>
      </c>
      <c r="AA49" s="447" t="e">
        <f ca="1">_xll.BDP($A49,"BDVD_PROJ_12M_YLD")</f>
        <v>#NAME?</v>
      </c>
      <c r="AB49" s="447" t="e">
        <f ca="1">_xll.BDP($A49,"DVD_RECORD_DT")</f>
        <v>#NAME?</v>
      </c>
      <c r="AC49" s="444" t="e">
        <f ca="1">_xll.BDP($A49,"EQY_REC_CONS")</f>
        <v>#NAME?</v>
      </c>
      <c r="AD49" s="524" t="e">
        <f ca="1">_xll.BDP($A49,"PCT_REVENUE_FROM_FOREIGN_SOURCES")</f>
        <v>#NAME?</v>
      </c>
      <c r="AE49" s="534" t="e">
        <f ca="1">_xll.BDP($A49,"BDVD_NEXT_EST_DECL_DT")</f>
        <v>#NAME?</v>
      </c>
    </row>
    <row r="50" spans="1:31" s="8" customFormat="1" ht="15.75" thickBot="1" x14ac:dyDescent="0.3">
      <c r="A50" s="535" t="s">
        <v>316</v>
      </c>
      <c r="B50" s="536" t="e">
        <f ca="1">_xll.BDP($A50,"SHORT_NAME")</f>
        <v>#NAME?</v>
      </c>
      <c r="C50" s="536" t="e">
        <f ca="1">_xll.BDP($A50,"PX_LAST")</f>
        <v>#NAME?</v>
      </c>
      <c r="D50" s="537" t="e">
        <f ca="1">_xll.BDP($A50,"CHG_PCT_WTD")</f>
        <v>#NAME?</v>
      </c>
      <c r="E50" s="537" t="e">
        <f ca="1">_xll.BDP($A50,"CHG_PCT_1M")</f>
        <v>#NAME?</v>
      </c>
      <c r="F50" s="537" t="e">
        <f ca="1">_xll.BDP($A50,"CHG_PCT_1YR")</f>
        <v>#NAME?</v>
      </c>
      <c r="G50" s="537" t="e">
        <f ca="1">_xll.BDP($A50,"CHG_PCT_YTD")</f>
        <v>#NAME?</v>
      </c>
      <c r="H50" s="537" t="e">
        <f ca="1">_xll.BDP($A50,"BEST_TARGET_PRICE")</f>
        <v>#NAME?</v>
      </c>
      <c r="I50" s="538" t="e">
        <f t="shared" ca="1" si="3"/>
        <v>#NAME?</v>
      </c>
      <c r="J50" s="539" t="e">
        <f ca="1">_xll.BDP($A50,"CUR_MKT_CAP")/1000000/$AI$1</f>
        <v>#NAME?</v>
      </c>
      <c r="K50" s="539" t="e">
        <f ca="1">_xll.BDP($A50,"EQY_FREE_FLOAT_PCT")</f>
        <v>#NAME?</v>
      </c>
      <c r="L50" s="540" t="e">
        <f ca="1">_xll.BDP($A50,"AVG_DAILY_VALUE_TRADED_6M")/$AI$1/1000000</f>
        <v>#NAME?</v>
      </c>
      <c r="M50" s="539" t="e">
        <f ca="1">_xll.BDP($A50,"INDUSTRY_GROUP")</f>
        <v>#NAME?</v>
      </c>
      <c r="N50" s="540" t="e">
        <f ca="1">_xll.BDP($A50,"EQY_BETA_6M")</f>
        <v>#NAME?</v>
      </c>
      <c r="O50" s="540" t="e">
        <f ca="1">_xll.BDP($A50,"EST_PE_NXT_YR")</f>
        <v>#NAME?</v>
      </c>
      <c r="P50" s="540" t="e">
        <f ca="1">_xll.BDP($A50,"EST_EV_THIS_YR_EBITDA")</f>
        <v>#NAME?</v>
      </c>
      <c r="Q50" s="540" t="e">
        <f ca="1">_xll.BDP($A50,"CURRENT_EV_TO_12M_SALES")</f>
        <v>#NAME?</v>
      </c>
      <c r="R50" s="540" t="e">
        <f ca="1">_xll.BDP($A50,"PX_TO_BOOK_RATIO")</f>
        <v>#NAME?</v>
      </c>
      <c r="S50" s="540" t="e">
        <f ca="1">_xll.BDP($A50,"PX_TO_FREE_CASH_FLOW")</f>
        <v>#NAME?</v>
      </c>
      <c r="T50" s="540" t="e">
        <f ca="1">_xll.BDP($A50,"NET_DEBT_TO_EBITDA")</f>
        <v>#NAME?</v>
      </c>
      <c r="U50" s="540" t="e">
        <f ca="1">_xll.BDP($A50,"SALES_GROWTH")</f>
        <v>#NAME?</v>
      </c>
      <c r="V50" s="540" t="e">
        <f ca="1">_xll.BDP($A50,"EPS_GROWTH")</f>
        <v>#NAME?</v>
      </c>
      <c r="W50" s="540" t="e">
        <f ca="1">_xll.BDP($A50,"EBITDA_MARGIN")</f>
        <v>#NAME?</v>
      </c>
      <c r="X50" s="540" t="e">
        <f ca="1">_xll.BDP($A50,"EBIT_MARGIN")</f>
        <v>#NAME?</v>
      </c>
      <c r="Y50" s="540" t="e">
        <f ca="1">_xll.BDP($A50,"TRAIL_12M_PROF_MARGIN")</f>
        <v>#NAME?</v>
      </c>
      <c r="Z50" s="540" t="e">
        <f ca="1">_xll.BDP($A50,"NORMALIZED_ROE")</f>
        <v>#NAME?</v>
      </c>
      <c r="AA50" s="541" t="e">
        <f ca="1">_xll.BDP($A50,"BDVD_PROJ_12M_YLD")</f>
        <v>#NAME?</v>
      </c>
      <c r="AB50" s="541" t="e">
        <f ca="1">_xll.BDP($A50,"DVD_RECORD_DT")</f>
        <v>#NAME?</v>
      </c>
      <c r="AC50" s="672" t="e">
        <f ca="1">_xll.BDP($A50,"EQY_REC_CONS")</f>
        <v>#NAME?</v>
      </c>
      <c r="AD50" s="540" t="e">
        <f ca="1">_xll.BDP($A50,"PCT_REVENUE_FROM_FOREIGN_SOURCES")</f>
        <v>#NAME?</v>
      </c>
      <c r="AE50" s="542" t="e">
        <f ca="1">_xll.BDP($A50,"BDVD_NEXT_EST_DECL_DT")</f>
        <v>#NAME?</v>
      </c>
    </row>
    <row r="51" spans="1:31" s="8" customFormat="1" x14ac:dyDescent="0.25">
      <c r="A51" s="525" t="s">
        <v>36</v>
      </c>
      <c r="B51" s="526" t="e">
        <f ca="1">_xll.BDP($A51,"SHORT_NAME")</f>
        <v>#NAME?</v>
      </c>
      <c r="C51" s="526" t="e">
        <f ca="1">_xll.BDP($A51,"PX_LAST")</f>
        <v>#NAME?</v>
      </c>
      <c r="D51" s="527" t="e">
        <f ca="1">_xll.BDP($A51,"CHG_PCT_WTD")</f>
        <v>#NAME?</v>
      </c>
      <c r="E51" s="527" t="e">
        <f ca="1">_xll.BDP($A51,"CHG_PCT_1M")</f>
        <v>#NAME?</v>
      </c>
      <c r="F51" s="527" t="e">
        <f ca="1">_xll.BDP($A51,"CHG_PCT_1YR")</f>
        <v>#NAME?</v>
      </c>
      <c r="G51" s="527" t="e">
        <f ca="1">_xll.BDP($A51,"CHG_PCT_YTD")</f>
        <v>#NAME?</v>
      </c>
      <c r="H51" s="527" t="e">
        <f ca="1">_xll.BDP($A51,"BEST_TARGET_PRICE")</f>
        <v>#NAME?</v>
      </c>
      <c r="I51" s="528" t="e">
        <f t="shared" ca="1" si="3"/>
        <v>#NAME?</v>
      </c>
      <c r="J51" s="529" t="e">
        <f ca="1">_xll.BDP($A51,"CUR_MKT_CAP")/1000000/$AI$1</f>
        <v>#NAME?</v>
      </c>
      <c r="K51" s="529" t="e">
        <f ca="1">_xll.BDP($A51,"EQY_FREE_FLOAT_PCT")</f>
        <v>#NAME?</v>
      </c>
      <c r="L51" s="530" t="e">
        <f ca="1">_xll.BDP($A51,"AVG_DAILY_VALUE_TRADED_6M")/$AI$1/1000000</f>
        <v>#NAME?</v>
      </c>
      <c r="M51" s="529" t="e">
        <f ca="1">_xll.BDP($A51,"INDUSTRY_GROUP")</f>
        <v>#NAME?</v>
      </c>
      <c r="N51" s="530" t="e">
        <f ca="1">_xll.BDP($A51,"EQY_BETA_6M")</f>
        <v>#NAME?</v>
      </c>
      <c r="O51" s="530" t="e">
        <f ca="1">_xll.BDP($A51,"EST_PE_NXT_YR")</f>
        <v>#NAME?</v>
      </c>
      <c r="P51" s="530" t="e">
        <f ca="1">_xll.BDP($A51,"EST_EV_THIS_YR_EBITDA")</f>
        <v>#NAME?</v>
      </c>
      <c r="Q51" s="530" t="e">
        <f ca="1">_xll.BDP($A51,"CURRENT_EV_TO_12M_SALES")</f>
        <v>#NAME?</v>
      </c>
      <c r="R51" s="530" t="e">
        <f ca="1">_xll.BDP($A51,"PX_TO_BOOK_RATIO")</f>
        <v>#NAME?</v>
      </c>
      <c r="S51" s="530" t="e">
        <f ca="1">_xll.BDP($A51,"PX_TO_FREE_CASH_FLOW")</f>
        <v>#NAME?</v>
      </c>
      <c r="T51" s="530" t="e">
        <f ca="1">_xll.BDP($A51,"NET_DEBT_TO_EBITDA")</f>
        <v>#NAME?</v>
      </c>
      <c r="U51" s="530" t="e">
        <f ca="1">_xll.BDP($A51,"SALES_GROWTH")</f>
        <v>#NAME?</v>
      </c>
      <c r="V51" s="530" t="e">
        <f ca="1">_xll.BDP($A51,"EPS_GROWTH")</f>
        <v>#NAME?</v>
      </c>
      <c r="W51" s="530" t="e">
        <f ca="1">_xll.BDP($A51,"EBITDA_MARGIN")</f>
        <v>#NAME?</v>
      </c>
      <c r="X51" s="530" t="e">
        <f ca="1">_xll.BDP($A51,"EBIT_MARGIN")</f>
        <v>#NAME?</v>
      </c>
      <c r="Y51" s="530" t="e">
        <f ca="1">_xll.BDP($A51,"TRAIL_12M_PROF_MARGIN")</f>
        <v>#NAME?</v>
      </c>
      <c r="Z51" s="530" t="e">
        <f ca="1">_xll.BDP($A51,"NORMALIZED_ROE")</f>
        <v>#NAME?</v>
      </c>
      <c r="AA51" s="531" t="e">
        <f ca="1">_xll.BDP($A51,"BDVD_PROJ_12M_YLD")</f>
        <v>#NAME?</v>
      </c>
      <c r="AB51" s="531" t="e">
        <f ca="1">_xll.BDP($A51,"DVD_RECORD_DT")</f>
        <v>#NAME?</v>
      </c>
      <c r="AC51" s="671" t="e">
        <f ca="1">_xll.BDP($A51,"EQY_REC_CONS")</f>
        <v>#NAME?</v>
      </c>
      <c r="AD51" s="530" t="e">
        <f ca="1">_xll.BDP($A51,"PCT_REVENUE_FROM_FOREIGN_SOURCES")</f>
        <v>#NAME?</v>
      </c>
      <c r="AE51" s="532" t="e">
        <f ca="1">_xll.BDP($A51,"BDVD_NEXT_EST_DECL_DT")</f>
        <v>#NAME?</v>
      </c>
    </row>
    <row r="52" spans="1:31" s="8" customFormat="1" x14ac:dyDescent="0.25">
      <c r="A52" s="533" t="s">
        <v>729</v>
      </c>
      <c r="B52" s="520" t="e">
        <f ca="1">_xll.BDP($A52,"SHORT_NAME")</f>
        <v>#NAME?</v>
      </c>
      <c r="C52" s="520" t="e">
        <f ca="1">_xll.BDP($A52,"PX_LAST")</f>
        <v>#NAME?</v>
      </c>
      <c r="D52" s="521" t="e">
        <f ca="1">_xll.BDP($A52,"CHG_PCT_WTD")</f>
        <v>#NAME?</v>
      </c>
      <c r="E52" s="521" t="e">
        <f ca="1">_xll.BDP($A52,"CHG_PCT_1M")</f>
        <v>#NAME?</v>
      </c>
      <c r="F52" s="521" t="e">
        <f ca="1">_xll.BDP($A52,"CHG_PCT_1YR")</f>
        <v>#NAME?</v>
      </c>
      <c r="G52" s="521" t="e">
        <f ca="1">_xll.BDP($A52,"CHG_PCT_YTD")</f>
        <v>#NAME?</v>
      </c>
      <c r="H52" s="521" t="e">
        <f ca="1">_xll.BDP($A52,"BEST_TARGET_PRICE")</f>
        <v>#NAME?</v>
      </c>
      <c r="I52" s="522" t="e">
        <f t="shared" ca="1" si="3"/>
        <v>#NAME?</v>
      </c>
      <c r="J52" s="523" t="e">
        <f ca="1">_xll.BDP($A52,"CUR_MKT_CAP")/1000000/$AI$1</f>
        <v>#NAME?</v>
      </c>
      <c r="K52" s="523" t="e">
        <f ca="1">_xll.BDP($A52,"EQY_FREE_FLOAT_PCT")</f>
        <v>#NAME?</v>
      </c>
      <c r="L52" s="524" t="e">
        <f ca="1">_xll.BDP($A52,"AVG_DAILY_VALUE_TRADED_6M")/$AI$1/1000000</f>
        <v>#NAME?</v>
      </c>
      <c r="M52" s="523" t="e">
        <f ca="1">_xll.BDP($A52,"INDUSTRY_GROUP")</f>
        <v>#NAME?</v>
      </c>
      <c r="N52" s="524" t="e">
        <f ca="1">_xll.BDP($A52,"EQY_BETA_6M")</f>
        <v>#NAME?</v>
      </c>
      <c r="O52" s="524" t="e">
        <f ca="1">_xll.BDP($A52,"EST_PE_NXT_YR")</f>
        <v>#NAME?</v>
      </c>
      <c r="P52" s="524" t="e">
        <f ca="1">_xll.BDP($A52,"EST_EV_THIS_YR_EBITDA")</f>
        <v>#NAME?</v>
      </c>
      <c r="Q52" s="524" t="e">
        <f ca="1">_xll.BDP($A52,"CURRENT_EV_TO_12M_SALES")</f>
        <v>#NAME?</v>
      </c>
      <c r="R52" s="524" t="e">
        <f ca="1">_xll.BDP($A52,"PX_TO_BOOK_RATIO")</f>
        <v>#NAME?</v>
      </c>
      <c r="S52" s="524" t="e">
        <f ca="1">_xll.BDP($A52,"PX_TO_FREE_CASH_FLOW")</f>
        <v>#NAME?</v>
      </c>
      <c r="T52" s="524" t="e">
        <f ca="1">_xll.BDP($A52,"NET_DEBT_TO_EBITDA")</f>
        <v>#NAME?</v>
      </c>
      <c r="U52" s="524" t="e">
        <f ca="1">_xll.BDP($A52,"SALES_GROWTH")</f>
        <v>#NAME?</v>
      </c>
      <c r="V52" s="524" t="e">
        <f ca="1">_xll.BDP($A52,"EPS_GROWTH")</f>
        <v>#NAME?</v>
      </c>
      <c r="W52" s="524" t="e">
        <f ca="1">_xll.BDP($A52,"EBITDA_MARGIN")</f>
        <v>#NAME?</v>
      </c>
      <c r="X52" s="524" t="e">
        <f ca="1">_xll.BDP($A52,"EBIT_MARGIN")</f>
        <v>#NAME?</v>
      </c>
      <c r="Y52" s="524" t="e">
        <f ca="1">_xll.BDP($A52,"TRAIL_12M_PROF_MARGIN")</f>
        <v>#NAME?</v>
      </c>
      <c r="Z52" s="524" t="e">
        <f ca="1">_xll.BDP($A52,"NORMALIZED_ROE")</f>
        <v>#NAME?</v>
      </c>
      <c r="AA52" s="447" t="e">
        <f ca="1">_xll.BDP($A52,"BDVD_PROJ_12M_YLD")</f>
        <v>#NAME?</v>
      </c>
      <c r="AB52" s="447" t="e">
        <f ca="1">_xll.BDP($A52,"DVD_RECORD_DT")</f>
        <v>#NAME?</v>
      </c>
      <c r="AC52" s="444" t="e">
        <f ca="1">_xll.BDP($A52,"EQY_REC_CONS")</f>
        <v>#NAME?</v>
      </c>
      <c r="AD52" s="524" t="e">
        <f ca="1">_xll.BDP($A52,"PCT_REVENUE_FROM_FOREIGN_SOURCES")</f>
        <v>#NAME?</v>
      </c>
      <c r="AE52" s="534" t="e">
        <f ca="1">_xll.BDP($A52,"BDVD_NEXT_EST_DECL_DT")</f>
        <v>#NAME?</v>
      </c>
    </row>
    <row r="53" spans="1:31" s="8" customFormat="1" x14ac:dyDescent="0.25">
      <c r="A53" s="533" t="s">
        <v>313</v>
      </c>
      <c r="B53" s="520" t="e">
        <f ca="1">_xll.BDP($A53,"SHORT_NAME")</f>
        <v>#NAME?</v>
      </c>
      <c r="C53" s="520" t="e">
        <f ca="1">_xll.BDP($A53,"PX_LAST")</f>
        <v>#NAME?</v>
      </c>
      <c r="D53" s="521" t="e">
        <f ca="1">_xll.BDP($A53,"CHG_PCT_WTD")</f>
        <v>#NAME?</v>
      </c>
      <c r="E53" s="521" t="e">
        <f ca="1">_xll.BDP($A53,"CHG_PCT_1M")</f>
        <v>#NAME?</v>
      </c>
      <c r="F53" s="521" t="e">
        <f ca="1">_xll.BDP($A53,"CHG_PCT_1YR")</f>
        <v>#NAME?</v>
      </c>
      <c r="G53" s="521" t="e">
        <f ca="1">_xll.BDP($A53,"CHG_PCT_YTD")</f>
        <v>#NAME?</v>
      </c>
      <c r="H53" s="521" t="e">
        <f ca="1">_xll.BDP($A53,"BEST_TARGET_PRICE")</f>
        <v>#NAME?</v>
      </c>
      <c r="I53" s="522" t="e">
        <f t="shared" ca="1" si="3"/>
        <v>#NAME?</v>
      </c>
      <c r="J53" s="523" t="e">
        <f ca="1">_xll.BDP($A53,"CUR_MKT_CAP")/1000000/$AI$1</f>
        <v>#NAME?</v>
      </c>
      <c r="K53" s="523" t="e">
        <f ca="1">_xll.BDP($A53,"EQY_FREE_FLOAT_PCT")</f>
        <v>#NAME?</v>
      </c>
      <c r="L53" s="524" t="e">
        <f ca="1">_xll.BDP($A53,"AVG_DAILY_VALUE_TRADED_6M")/$AI$1/1000000</f>
        <v>#NAME?</v>
      </c>
      <c r="M53" s="523" t="e">
        <f ca="1">_xll.BDP($A53,"INDUSTRY_GROUP")</f>
        <v>#NAME?</v>
      </c>
      <c r="N53" s="524" t="e">
        <f ca="1">_xll.BDP($A53,"EQY_BETA_6M")</f>
        <v>#NAME?</v>
      </c>
      <c r="O53" s="524" t="e">
        <f ca="1">_xll.BDP($A53,"EST_PE_NXT_YR")</f>
        <v>#NAME?</v>
      </c>
      <c r="P53" s="524" t="e">
        <f ca="1">_xll.BDP($A53,"EST_EV_THIS_YR_EBITDA")</f>
        <v>#NAME?</v>
      </c>
      <c r="Q53" s="524" t="e">
        <f ca="1">_xll.BDP($A53,"CURRENT_EV_TO_12M_SALES")</f>
        <v>#NAME?</v>
      </c>
      <c r="R53" s="524" t="e">
        <f ca="1">_xll.BDP($A53,"PX_TO_BOOK_RATIO")</f>
        <v>#NAME?</v>
      </c>
      <c r="S53" s="524" t="e">
        <f ca="1">_xll.BDP($A53,"PX_TO_FREE_CASH_FLOW")</f>
        <v>#NAME?</v>
      </c>
      <c r="T53" s="524" t="e">
        <f ca="1">_xll.BDP($A53,"NET_DEBT_TO_EBITDA")</f>
        <v>#NAME?</v>
      </c>
      <c r="U53" s="524" t="e">
        <f ca="1">_xll.BDP($A53,"SALES_GROWTH")</f>
        <v>#NAME?</v>
      </c>
      <c r="V53" s="524" t="e">
        <f ca="1">_xll.BDP($A53,"EPS_GROWTH")</f>
        <v>#NAME?</v>
      </c>
      <c r="W53" s="524" t="e">
        <f ca="1">_xll.BDP($A53,"EBITDA_MARGIN")</f>
        <v>#NAME?</v>
      </c>
      <c r="X53" s="524" t="e">
        <f ca="1">_xll.BDP($A53,"EBIT_MARGIN")</f>
        <v>#NAME?</v>
      </c>
      <c r="Y53" s="524" t="e">
        <f ca="1">_xll.BDP($A53,"TRAIL_12M_PROF_MARGIN")</f>
        <v>#NAME?</v>
      </c>
      <c r="Z53" s="524" t="e">
        <f ca="1">_xll.BDP($A53,"NORMALIZED_ROE")</f>
        <v>#NAME?</v>
      </c>
      <c r="AA53" s="447" t="e">
        <f ca="1">_xll.BDP($A53,"BDVD_PROJ_12M_YLD")</f>
        <v>#NAME?</v>
      </c>
      <c r="AB53" s="447" t="e">
        <f ca="1">_xll.BDP($A53,"DVD_RECORD_DT")</f>
        <v>#NAME?</v>
      </c>
      <c r="AC53" s="444" t="e">
        <f ca="1">_xll.BDP($A53,"EQY_REC_CONS")</f>
        <v>#NAME?</v>
      </c>
      <c r="AD53" s="524" t="e">
        <f ca="1">_xll.BDP($A53,"PCT_REVENUE_FROM_FOREIGN_SOURCES")</f>
        <v>#NAME?</v>
      </c>
      <c r="AE53" s="534" t="e">
        <f ca="1">_xll.BDP($A53,"BDVD_NEXT_EST_DECL_DT")</f>
        <v>#NAME?</v>
      </c>
    </row>
    <row r="54" spans="1:31" s="8" customFormat="1" x14ac:dyDescent="0.25">
      <c r="A54" s="533" t="s">
        <v>311</v>
      </c>
      <c r="B54" s="520" t="e">
        <f ca="1">_xll.BDP($A54,"SHORT_NAME")</f>
        <v>#NAME?</v>
      </c>
      <c r="C54" s="520" t="e">
        <f ca="1">_xll.BDP($A54,"PX_LAST")</f>
        <v>#NAME?</v>
      </c>
      <c r="D54" s="521" t="e">
        <f ca="1">_xll.BDP($A54,"CHG_PCT_WTD")</f>
        <v>#NAME?</v>
      </c>
      <c r="E54" s="521" t="e">
        <f ca="1">_xll.BDP($A54,"CHG_PCT_1M")</f>
        <v>#NAME?</v>
      </c>
      <c r="F54" s="521" t="e">
        <f ca="1">_xll.BDP($A54,"CHG_PCT_1YR")</f>
        <v>#NAME?</v>
      </c>
      <c r="G54" s="521" t="e">
        <f ca="1">_xll.BDP($A54,"CHG_PCT_YTD")</f>
        <v>#NAME?</v>
      </c>
      <c r="H54" s="521" t="e">
        <f ca="1">_xll.BDP($A54,"BEST_TARGET_PRICE")</f>
        <v>#NAME?</v>
      </c>
      <c r="I54" s="522" t="e">
        <f t="shared" ca="1" si="3"/>
        <v>#NAME?</v>
      </c>
      <c r="J54" s="523" t="e">
        <f ca="1">_xll.BDP($A54,"CUR_MKT_CAP")/1000000/$AI$1</f>
        <v>#NAME?</v>
      </c>
      <c r="K54" s="523" t="e">
        <f ca="1">_xll.BDP($A54,"EQY_FREE_FLOAT_PCT")</f>
        <v>#NAME?</v>
      </c>
      <c r="L54" s="524" t="e">
        <f ca="1">_xll.BDP($A54,"AVG_DAILY_VALUE_TRADED_6M")/$AI$1/1000000</f>
        <v>#NAME?</v>
      </c>
      <c r="M54" s="523" t="e">
        <f ca="1">_xll.BDP($A54,"INDUSTRY_GROUP")</f>
        <v>#NAME?</v>
      </c>
      <c r="N54" s="524" t="e">
        <f ca="1">_xll.BDP($A54,"EQY_BETA_6M")</f>
        <v>#NAME?</v>
      </c>
      <c r="O54" s="524" t="e">
        <f ca="1">_xll.BDP($A54,"EST_PE_NXT_YR")</f>
        <v>#NAME?</v>
      </c>
      <c r="P54" s="524" t="e">
        <f ca="1">_xll.BDP($A54,"EST_EV_THIS_YR_EBITDA")</f>
        <v>#NAME?</v>
      </c>
      <c r="Q54" s="524" t="e">
        <f ca="1">_xll.BDP($A54,"CURRENT_EV_TO_12M_SALES")</f>
        <v>#NAME?</v>
      </c>
      <c r="R54" s="524" t="e">
        <f ca="1">_xll.BDP($A54,"PX_TO_BOOK_RATIO")</f>
        <v>#NAME?</v>
      </c>
      <c r="S54" s="524" t="e">
        <f ca="1">_xll.BDP($A54,"PX_TO_FREE_CASH_FLOW")</f>
        <v>#NAME?</v>
      </c>
      <c r="T54" s="524" t="e">
        <f ca="1">_xll.BDP($A54,"NET_DEBT_TO_EBITDA")</f>
        <v>#NAME?</v>
      </c>
      <c r="U54" s="524" t="e">
        <f ca="1">_xll.BDP($A54,"SALES_GROWTH")</f>
        <v>#NAME?</v>
      </c>
      <c r="V54" s="524" t="e">
        <f ca="1">_xll.BDP($A54,"EPS_GROWTH")</f>
        <v>#NAME?</v>
      </c>
      <c r="W54" s="524" t="e">
        <f ca="1">_xll.BDP($A54,"EBITDA_MARGIN")</f>
        <v>#NAME?</v>
      </c>
      <c r="X54" s="524" t="e">
        <f ca="1">_xll.BDP($A54,"EBIT_MARGIN")</f>
        <v>#NAME?</v>
      </c>
      <c r="Y54" s="524" t="e">
        <f ca="1">_xll.BDP($A54,"TRAIL_12M_PROF_MARGIN")</f>
        <v>#NAME?</v>
      </c>
      <c r="Z54" s="524" t="e">
        <f ca="1">_xll.BDP($A54,"NORMALIZED_ROE")</f>
        <v>#NAME?</v>
      </c>
      <c r="AA54" s="447" t="e">
        <f ca="1">_xll.BDP($A54,"BDVD_PROJ_12M_YLD")</f>
        <v>#NAME?</v>
      </c>
      <c r="AB54" s="447" t="e">
        <f ca="1">_xll.BDP($A54,"DVD_RECORD_DT")</f>
        <v>#NAME?</v>
      </c>
      <c r="AC54" s="444" t="e">
        <f ca="1">_xll.BDP($A54,"EQY_REC_CONS")</f>
        <v>#NAME?</v>
      </c>
      <c r="AD54" s="524" t="e">
        <f ca="1">_xll.BDP($A54,"PCT_REVENUE_FROM_FOREIGN_SOURCES")</f>
        <v>#NAME?</v>
      </c>
      <c r="AE54" s="534" t="e">
        <f ca="1">_xll.BDP($A54,"BDVD_NEXT_EST_DECL_DT")</f>
        <v>#NAME?</v>
      </c>
    </row>
    <row r="55" spans="1:31" s="8" customFormat="1" x14ac:dyDescent="0.25">
      <c r="A55" s="533" t="s">
        <v>39</v>
      </c>
      <c r="B55" s="520" t="e">
        <f ca="1">_xll.BDP($A55,"SHORT_NAME")</f>
        <v>#NAME?</v>
      </c>
      <c r="C55" s="520" t="e">
        <f ca="1">_xll.BDP($A55,"PX_LAST")</f>
        <v>#NAME?</v>
      </c>
      <c r="D55" s="521" t="e">
        <f ca="1">_xll.BDP($A55,"CHG_PCT_WTD")</f>
        <v>#NAME?</v>
      </c>
      <c r="E55" s="521" t="e">
        <f ca="1">_xll.BDP($A55,"CHG_PCT_1M")</f>
        <v>#NAME?</v>
      </c>
      <c r="F55" s="521" t="e">
        <f ca="1">_xll.BDP($A55,"CHG_PCT_1YR")</f>
        <v>#NAME?</v>
      </c>
      <c r="G55" s="521" t="e">
        <f ca="1">_xll.BDP($A55,"CHG_PCT_YTD")</f>
        <v>#NAME?</v>
      </c>
      <c r="H55" s="521" t="e">
        <f ca="1">_xll.BDP($A55,"BEST_TARGET_PRICE")</f>
        <v>#NAME?</v>
      </c>
      <c r="I55" s="522" t="e">
        <f t="shared" ca="1" si="3"/>
        <v>#NAME?</v>
      </c>
      <c r="J55" s="523" t="e">
        <f ca="1">_xll.BDP($A55,"CUR_MKT_CAP")/1000000/$AI$1</f>
        <v>#NAME?</v>
      </c>
      <c r="K55" s="523" t="e">
        <f ca="1">_xll.BDP($A55,"EQY_FREE_FLOAT_PCT")</f>
        <v>#NAME?</v>
      </c>
      <c r="L55" s="524" t="e">
        <f ca="1">_xll.BDP($A55,"AVG_DAILY_VALUE_TRADED_6M")/$AI$1/1000000</f>
        <v>#NAME?</v>
      </c>
      <c r="M55" s="523" t="e">
        <f ca="1">_xll.BDP($A55,"INDUSTRY_GROUP")</f>
        <v>#NAME?</v>
      </c>
      <c r="N55" s="524" t="e">
        <f ca="1">_xll.BDP($A55,"EQY_BETA_6M")</f>
        <v>#NAME?</v>
      </c>
      <c r="O55" s="524" t="e">
        <f ca="1">_xll.BDP($A55,"EST_PE_NXT_YR")</f>
        <v>#NAME?</v>
      </c>
      <c r="P55" s="524" t="e">
        <f ca="1">_xll.BDP($A55,"EST_EV_THIS_YR_EBITDA")</f>
        <v>#NAME?</v>
      </c>
      <c r="Q55" s="524" t="e">
        <f ca="1">_xll.BDP($A55,"CURRENT_EV_TO_12M_SALES")</f>
        <v>#NAME?</v>
      </c>
      <c r="R55" s="524" t="e">
        <f ca="1">_xll.BDP($A55,"PX_TO_BOOK_RATIO")</f>
        <v>#NAME?</v>
      </c>
      <c r="S55" s="524" t="e">
        <f ca="1">_xll.BDP($A55,"PX_TO_FREE_CASH_FLOW")</f>
        <v>#NAME?</v>
      </c>
      <c r="T55" s="524" t="e">
        <f ca="1">_xll.BDP($A55,"NET_DEBT_TO_EBITDA")</f>
        <v>#NAME?</v>
      </c>
      <c r="U55" s="524" t="e">
        <f ca="1">_xll.BDP($A55,"SALES_GROWTH")</f>
        <v>#NAME?</v>
      </c>
      <c r="V55" s="524" t="e">
        <f ca="1">_xll.BDP($A55,"EPS_GROWTH")</f>
        <v>#NAME?</v>
      </c>
      <c r="W55" s="524" t="e">
        <f ca="1">_xll.BDP($A55,"EBITDA_MARGIN")</f>
        <v>#NAME?</v>
      </c>
      <c r="X55" s="524" t="e">
        <f ca="1">_xll.BDP($A55,"EBIT_MARGIN")</f>
        <v>#NAME?</v>
      </c>
      <c r="Y55" s="524" t="e">
        <f ca="1">_xll.BDP($A55,"TRAIL_12M_PROF_MARGIN")</f>
        <v>#NAME?</v>
      </c>
      <c r="Z55" s="524" t="e">
        <f ca="1">_xll.BDP($A55,"NORMALIZED_ROE")</f>
        <v>#NAME?</v>
      </c>
      <c r="AA55" s="447" t="e">
        <f ca="1">_xll.BDP($A55,"BDVD_PROJ_12M_YLD")</f>
        <v>#NAME?</v>
      </c>
      <c r="AB55" s="447" t="e">
        <f ca="1">_xll.BDP($A55,"DVD_RECORD_DT")</f>
        <v>#NAME?</v>
      </c>
      <c r="AC55" s="444" t="e">
        <f ca="1">_xll.BDP($A55,"EQY_REC_CONS")</f>
        <v>#NAME?</v>
      </c>
      <c r="AD55" s="524" t="e">
        <f ca="1">_xll.BDP($A55,"PCT_REVENUE_FROM_FOREIGN_SOURCES")</f>
        <v>#NAME?</v>
      </c>
      <c r="AE55" s="534" t="e">
        <f ca="1">_xll.BDP($A55,"BDVD_NEXT_EST_DECL_DT")</f>
        <v>#NAME?</v>
      </c>
    </row>
    <row r="56" spans="1:31" s="8" customFormat="1" x14ac:dyDescent="0.25">
      <c r="A56" s="533" t="s">
        <v>37</v>
      </c>
      <c r="B56" s="520" t="e">
        <f ca="1">_xll.BDP($A56,"SHORT_NAME")</f>
        <v>#NAME?</v>
      </c>
      <c r="C56" s="520" t="e">
        <f ca="1">_xll.BDP($A56,"PX_LAST")</f>
        <v>#NAME?</v>
      </c>
      <c r="D56" s="521" t="e">
        <f ca="1">_xll.BDP($A56,"CHG_PCT_WTD")</f>
        <v>#NAME?</v>
      </c>
      <c r="E56" s="521" t="e">
        <f ca="1">_xll.BDP($A56,"CHG_PCT_1M")</f>
        <v>#NAME?</v>
      </c>
      <c r="F56" s="521" t="e">
        <f ca="1">_xll.BDP($A56,"CHG_PCT_1YR")</f>
        <v>#NAME?</v>
      </c>
      <c r="G56" s="521" t="e">
        <f ca="1">_xll.BDP($A56,"CHG_PCT_YTD")</f>
        <v>#NAME?</v>
      </c>
      <c r="H56" s="521" t="e">
        <f ca="1">_xll.BDP($A56,"BEST_TARGET_PRICE")</f>
        <v>#NAME?</v>
      </c>
      <c r="I56" s="522" t="e">
        <f t="shared" ca="1" si="3"/>
        <v>#NAME?</v>
      </c>
      <c r="J56" s="523" t="e">
        <f ca="1">_xll.BDP($A56,"CUR_MKT_CAP")/1000000/$AI$1</f>
        <v>#NAME?</v>
      </c>
      <c r="K56" s="523" t="e">
        <f ca="1">_xll.BDP($A56,"EQY_FREE_FLOAT_PCT")</f>
        <v>#NAME?</v>
      </c>
      <c r="L56" s="524" t="e">
        <f ca="1">_xll.BDP($A56,"AVG_DAILY_VALUE_TRADED_6M")/$AI$1/1000000</f>
        <v>#NAME?</v>
      </c>
      <c r="M56" s="523" t="e">
        <f ca="1">_xll.BDP($A56,"INDUSTRY_GROUP")</f>
        <v>#NAME?</v>
      </c>
      <c r="N56" s="524" t="e">
        <f ca="1">_xll.BDP($A56,"EQY_BETA_6M")</f>
        <v>#NAME?</v>
      </c>
      <c r="O56" s="524" t="e">
        <f ca="1">_xll.BDP($A56,"EST_PE_NXT_YR")</f>
        <v>#NAME?</v>
      </c>
      <c r="P56" s="524" t="e">
        <f ca="1">_xll.BDP($A56,"EST_EV_THIS_YR_EBITDA")</f>
        <v>#NAME?</v>
      </c>
      <c r="Q56" s="524" t="e">
        <f ca="1">_xll.BDP($A56,"CURRENT_EV_TO_12M_SALES")</f>
        <v>#NAME?</v>
      </c>
      <c r="R56" s="524" t="e">
        <f ca="1">_xll.BDP($A56,"PX_TO_BOOK_RATIO")</f>
        <v>#NAME?</v>
      </c>
      <c r="S56" s="524" t="e">
        <f ca="1">_xll.BDP($A56,"PX_TO_FREE_CASH_FLOW")</f>
        <v>#NAME?</v>
      </c>
      <c r="T56" s="524" t="e">
        <f ca="1">_xll.BDP($A56,"NET_DEBT_TO_EBITDA")</f>
        <v>#NAME?</v>
      </c>
      <c r="U56" s="524" t="e">
        <f ca="1">_xll.BDP($A56,"SALES_GROWTH")</f>
        <v>#NAME?</v>
      </c>
      <c r="V56" s="524" t="e">
        <f ca="1">_xll.BDP($A56,"EPS_GROWTH")</f>
        <v>#NAME?</v>
      </c>
      <c r="W56" s="524" t="e">
        <f ca="1">_xll.BDP($A56,"EBITDA_MARGIN")</f>
        <v>#NAME?</v>
      </c>
      <c r="X56" s="524" t="e">
        <f ca="1">_xll.BDP($A56,"EBIT_MARGIN")</f>
        <v>#NAME?</v>
      </c>
      <c r="Y56" s="524" t="e">
        <f ca="1">_xll.BDP($A56,"TRAIL_12M_PROF_MARGIN")</f>
        <v>#NAME?</v>
      </c>
      <c r="Z56" s="524" t="e">
        <f ca="1">_xll.BDP($A56,"NORMALIZED_ROE")</f>
        <v>#NAME?</v>
      </c>
      <c r="AA56" s="447" t="e">
        <f ca="1">_xll.BDP($A56,"BDVD_PROJ_12M_YLD")</f>
        <v>#NAME?</v>
      </c>
      <c r="AB56" s="447" t="e">
        <f ca="1">_xll.BDP($A56,"DVD_RECORD_DT")</f>
        <v>#NAME?</v>
      </c>
      <c r="AC56" s="444" t="e">
        <f ca="1">_xll.BDP($A56,"EQY_REC_CONS")</f>
        <v>#NAME?</v>
      </c>
      <c r="AD56" s="524" t="e">
        <f ca="1">_xll.BDP($A56,"PCT_REVENUE_FROM_FOREIGN_SOURCES")</f>
        <v>#NAME?</v>
      </c>
      <c r="AE56" s="534" t="e">
        <f ca="1">_xll.BDP($A56,"BDVD_NEXT_EST_DECL_DT")</f>
        <v>#NAME?</v>
      </c>
    </row>
    <row r="57" spans="1:31" s="8" customFormat="1" x14ac:dyDescent="0.25">
      <c r="A57" s="533" t="s">
        <v>312</v>
      </c>
      <c r="B57" s="520" t="e">
        <f ca="1">_xll.BDP($A57,"SHORT_NAME")</f>
        <v>#NAME?</v>
      </c>
      <c r="C57" s="520" t="e">
        <f ca="1">_xll.BDP($A57,"PX_LAST")</f>
        <v>#NAME?</v>
      </c>
      <c r="D57" s="521" t="e">
        <f ca="1">_xll.BDP($A57,"CHG_PCT_WTD")</f>
        <v>#NAME?</v>
      </c>
      <c r="E57" s="521" t="e">
        <f ca="1">_xll.BDP($A57,"CHG_PCT_1M")</f>
        <v>#NAME?</v>
      </c>
      <c r="F57" s="521" t="e">
        <f ca="1">_xll.BDP($A57,"CHG_PCT_1YR")</f>
        <v>#NAME?</v>
      </c>
      <c r="G57" s="521" t="e">
        <f ca="1">_xll.BDP($A57,"CHG_PCT_YTD")</f>
        <v>#NAME?</v>
      </c>
      <c r="H57" s="521" t="e">
        <f ca="1">_xll.BDP($A57,"BEST_TARGET_PRICE")</f>
        <v>#NAME?</v>
      </c>
      <c r="I57" s="522" t="e">
        <f t="shared" ca="1" si="3"/>
        <v>#NAME?</v>
      </c>
      <c r="J57" s="523" t="e">
        <f ca="1">_xll.BDP($A57,"CUR_MKT_CAP")/1000000/$AI$1</f>
        <v>#NAME?</v>
      </c>
      <c r="K57" s="523" t="e">
        <f ca="1">_xll.BDP($A57,"EQY_FREE_FLOAT_PCT")</f>
        <v>#NAME?</v>
      </c>
      <c r="L57" s="524" t="e">
        <f ca="1">_xll.BDP($A57,"AVG_DAILY_VALUE_TRADED_6M")/$AI$1/1000000</f>
        <v>#NAME?</v>
      </c>
      <c r="M57" s="523" t="e">
        <f ca="1">_xll.BDP($A57,"INDUSTRY_GROUP")</f>
        <v>#NAME?</v>
      </c>
      <c r="N57" s="524" t="e">
        <f ca="1">_xll.BDP($A57,"EQY_BETA_6M")</f>
        <v>#NAME?</v>
      </c>
      <c r="O57" s="524" t="e">
        <f ca="1">_xll.BDP($A57,"EST_PE_NXT_YR")</f>
        <v>#NAME?</v>
      </c>
      <c r="P57" s="524" t="e">
        <f ca="1">_xll.BDP($A57,"EST_EV_THIS_YR_EBITDA")</f>
        <v>#NAME?</v>
      </c>
      <c r="Q57" s="524" t="e">
        <f ca="1">_xll.BDP($A57,"CURRENT_EV_TO_12M_SALES")</f>
        <v>#NAME?</v>
      </c>
      <c r="R57" s="524" t="e">
        <f ca="1">_xll.BDP($A57,"PX_TO_BOOK_RATIO")</f>
        <v>#NAME?</v>
      </c>
      <c r="S57" s="524" t="e">
        <f ca="1">_xll.BDP($A57,"PX_TO_FREE_CASH_FLOW")</f>
        <v>#NAME?</v>
      </c>
      <c r="T57" s="524" t="e">
        <f ca="1">_xll.BDP($A57,"NET_DEBT_TO_EBITDA")</f>
        <v>#NAME?</v>
      </c>
      <c r="U57" s="524" t="e">
        <f ca="1">_xll.BDP($A57,"SALES_GROWTH")</f>
        <v>#NAME?</v>
      </c>
      <c r="V57" s="524" t="e">
        <f ca="1">_xll.BDP($A57,"EPS_GROWTH")</f>
        <v>#NAME?</v>
      </c>
      <c r="W57" s="524" t="e">
        <f ca="1">_xll.BDP($A57,"EBITDA_MARGIN")</f>
        <v>#NAME?</v>
      </c>
      <c r="X57" s="524" t="e">
        <f ca="1">_xll.BDP($A57,"EBIT_MARGIN")</f>
        <v>#NAME?</v>
      </c>
      <c r="Y57" s="524" t="e">
        <f ca="1">_xll.BDP($A57,"TRAIL_12M_PROF_MARGIN")</f>
        <v>#NAME?</v>
      </c>
      <c r="Z57" s="524" t="e">
        <f ca="1">_xll.BDP($A57,"NORMALIZED_ROE")</f>
        <v>#NAME?</v>
      </c>
      <c r="AA57" s="447" t="e">
        <f ca="1">_xll.BDP($A57,"BDVD_PROJ_12M_YLD")</f>
        <v>#NAME?</v>
      </c>
      <c r="AB57" s="447" t="e">
        <f ca="1">_xll.BDP($A57,"DVD_RECORD_DT")</f>
        <v>#NAME?</v>
      </c>
      <c r="AC57" s="444" t="e">
        <f ca="1">_xll.BDP($A57,"EQY_REC_CONS")</f>
        <v>#NAME?</v>
      </c>
      <c r="AD57" s="524" t="e">
        <f ca="1">_xll.BDP($A57,"PCT_REVENUE_FROM_FOREIGN_SOURCES")</f>
        <v>#NAME?</v>
      </c>
      <c r="AE57" s="534" t="e">
        <f ca="1">_xll.BDP($A57,"BDVD_NEXT_EST_DECL_DT")</f>
        <v>#NAME?</v>
      </c>
    </row>
    <row r="58" spans="1:31" s="8" customFormat="1" x14ac:dyDescent="0.25">
      <c r="A58" s="533" t="s">
        <v>38</v>
      </c>
      <c r="B58" s="520" t="e">
        <f ca="1">_xll.BDP($A58,"SHORT_NAME")</f>
        <v>#NAME?</v>
      </c>
      <c r="C58" s="520" t="e">
        <f ca="1">_xll.BDP($A58,"PX_LAST")</f>
        <v>#NAME?</v>
      </c>
      <c r="D58" s="521" t="e">
        <f ca="1">_xll.BDP($A58,"CHG_PCT_WTD")</f>
        <v>#NAME?</v>
      </c>
      <c r="E58" s="521" t="e">
        <f ca="1">_xll.BDP($A58,"CHG_PCT_1M")</f>
        <v>#NAME?</v>
      </c>
      <c r="F58" s="521" t="e">
        <f ca="1">_xll.BDP($A58,"CHG_PCT_1YR")</f>
        <v>#NAME?</v>
      </c>
      <c r="G58" s="521" t="e">
        <f ca="1">_xll.BDP($A58,"CHG_PCT_YTD")</f>
        <v>#NAME?</v>
      </c>
      <c r="H58" s="521" t="e">
        <f ca="1">_xll.BDP($A58,"BEST_TARGET_PRICE")</f>
        <v>#NAME?</v>
      </c>
      <c r="I58" s="522" t="e">
        <f t="shared" ca="1" si="3"/>
        <v>#NAME?</v>
      </c>
      <c r="J58" s="523" t="e">
        <f ca="1">_xll.BDP($A58,"CUR_MKT_CAP")/1000000/$AI$1</f>
        <v>#NAME?</v>
      </c>
      <c r="K58" s="523" t="e">
        <f ca="1">_xll.BDP($A58,"EQY_FREE_FLOAT_PCT")</f>
        <v>#NAME?</v>
      </c>
      <c r="L58" s="524" t="e">
        <f ca="1">_xll.BDP($A58,"AVG_DAILY_VALUE_TRADED_6M")/$AI$1/1000000</f>
        <v>#NAME?</v>
      </c>
      <c r="M58" s="523" t="e">
        <f ca="1">_xll.BDP($A58,"INDUSTRY_GROUP")</f>
        <v>#NAME?</v>
      </c>
      <c r="N58" s="524" t="e">
        <f ca="1">_xll.BDP($A58,"EQY_BETA_6M")</f>
        <v>#NAME?</v>
      </c>
      <c r="O58" s="524" t="e">
        <f ca="1">_xll.BDP($A58,"EST_PE_NXT_YR")</f>
        <v>#NAME?</v>
      </c>
      <c r="P58" s="524" t="e">
        <f ca="1">_xll.BDP($A58,"EST_EV_THIS_YR_EBITDA")</f>
        <v>#NAME?</v>
      </c>
      <c r="Q58" s="524" t="e">
        <f ca="1">_xll.BDP($A58,"CURRENT_EV_TO_12M_SALES")</f>
        <v>#NAME?</v>
      </c>
      <c r="R58" s="524" t="e">
        <f ca="1">_xll.BDP($A58,"PX_TO_BOOK_RATIO")</f>
        <v>#NAME?</v>
      </c>
      <c r="S58" s="524" t="e">
        <f ca="1">_xll.BDP($A58,"PX_TO_FREE_CASH_FLOW")</f>
        <v>#NAME?</v>
      </c>
      <c r="T58" s="524" t="e">
        <f ca="1">_xll.BDP($A58,"NET_DEBT_TO_EBITDA")</f>
        <v>#NAME?</v>
      </c>
      <c r="U58" s="524" t="e">
        <f ca="1">_xll.BDP($A58,"SALES_GROWTH")</f>
        <v>#NAME?</v>
      </c>
      <c r="V58" s="524" t="e">
        <f ca="1">_xll.BDP($A58,"EPS_GROWTH")</f>
        <v>#NAME?</v>
      </c>
      <c r="W58" s="524" t="e">
        <f ca="1">_xll.BDP($A58,"EBITDA_MARGIN")</f>
        <v>#NAME?</v>
      </c>
      <c r="X58" s="524" t="e">
        <f ca="1">_xll.BDP($A58,"EBIT_MARGIN")</f>
        <v>#NAME?</v>
      </c>
      <c r="Y58" s="524" t="e">
        <f ca="1">_xll.BDP($A58,"TRAIL_12M_PROF_MARGIN")</f>
        <v>#NAME?</v>
      </c>
      <c r="Z58" s="524" t="e">
        <f ca="1">_xll.BDP($A58,"NORMALIZED_ROE")</f>
        <v>#NAME?</v>
      </c>
      <c r="AA58" s="447" t="e">
        <f ca="1">_xll.BDP($A58,"BDVD_PROJ_12M_YLD")</f>
        <v>#NAME?</v>
      </c>
      <c r="AB58" s="447" t="e">
        <f ca="1">_xll.BDP($A58,"DVD_RECORD_DT")</f>
        <v>#NAME?</v>
      </c>
      <c r="AC58" s="444" t="e">
        <f ca="1">_xll.BDP($A58,"EQY_REC_CONS")</f>
        <v>#NAME?</v>
      </c>
      <c r="AD58" s="524" t="e">
        <f ca="1">_xll.BDP($A58,"PCT_REVENUE_FROM_FOREIGN_SOURCES")</f>
        <v>#NAME?</v>
      </c>
      <c r="AE58" s="534" t="e">
        <f ca="1">_xll.BDP($A58,"BDVD_NEXT_EST_DECL_DT")</f>
        <v>#NAME?</v>
      </c>
    </row>
    <row r="59" spans="1:31" s="8" customFormat="1" x14ac:dyDescent="0.25">
      <c r="A59" s="533" t="s">
        <v>70</v>
      </c>
      <c r="B59" s="520" t="e">
        <f ca="1">_xll.BDP($A59,"SHORT_NAME")</f>
        <v>#NAME?</v>
      </c>
      <c r="C59" s="520" t="e">
        <f ca="1">_xll.BDP($A59,"PX_LAST")</f>
        <v>#NAME?</v>
      </c>
      <c r="D59" s="521" t="e">
        <f ca="1">_xll.BDP($A59,"CHG_PCT_WTD")</f>
        <v>#NAME?</v>
      </c>
      <c r="E59" s="521" t="e">
        <f ca="1">_xll.BDP($A59,"CHG_PCT_1M")</f>
        <v>#NAME?</v>
      </c>
      <c r="F59" s="521" t="e">
        <f ca="1">_xll.BDP($A59,"CHG_PCT_1YR")</f>
        <v>#NAME?</v>
      </c>
      <c r="G59" s="521" t="e">
        <f ca="1">_xll.BDP($A59,"CHG_PCT_YTD")</f>
        <v>#NAME?</v>
      </c>
      <c r="H59" s="521" t="e">
        <f ca="1">_xll.BDP($A59,"BEST_TARGET_PRICE")</f>
        <v>#NAME?</v>
      </c>
      <c r="I59" s="522" t="e">
        <f t="shared" ca="1" si="3"/>
        <v>#NAME?</v>
      </c>
      <c r="J59" s="523" t="e">
        <f ca="1">_xll.BDP($A59,"CUR_MKT_CAP")/1000000/$AI$1</f>
        <v>#NAME?</v>
      </c>
      <c r="K59" s="523" t="e">
        <f ca="1">_xll.BDP($A59,"EQY_FREE_FLOAT_PCT")</f>
        <v>#NAME?</v>
      </c>
      <c r="L59" s="524" t="e">
        <f ca="1">_xll.BDP($A59,"AVG_DAILY_VALUE_TRADED_6M")/$AI$1/1000000</f>
        <v>#NAME?</v>
      </c>
      <c r="M59" s="523" t="e">
        <f ca="1">_xll.BDP($A59,"INDUSTRY_GROUP")</f>
        <v>#NAME?</v>
      </c>
      <c r="N59" s="524" t="e">
        <f ca="1">_xll.BDP($A59,"EQY_BETA_6M")</f>
        <v>#NAME?</v>
      </c>
      <c r="O59" s="524" t="e">
        <f ca="1">_xll.BDP($A59,"EST_PE_NXT_YR")</f>
        <v>#NAME?</v>
      </c>
      <c r="P59" s="524" t="e">
        <f ca="1">_xll.BDP($A59,"EST_EV_THIS_YR_EBITDA")</f>
        <v>#NAME?</v>
      </c>
      <c r="Q59" s="524" t="e">
        <f ca="1">_xll.BDP($A59,"CURRENT_EV_TO_12M_SALES")</f>
        <v>#NAME?</v>
      </c>
      <c r="R59" s="524" t="e">
        <f ca="1">_xll.BDP($A59,"PX_TO_BOOK_RATIO")</f>
        <v>#NAME?</v>
      </c>
      <c r="S59" s="524" t="e">
        <f ca="1">_xll.BDP($A59,"PX_TO_FREE_CASH_FLOW")</f>
        <v>#NAME?</v>
      </c>
      <c r="T59" s="524" t="e">
        <f ca="1">_xll.BDP($A59,"NET_DEBT_TO_EBITDA")</f>
        <v>#NAME?</v>
      </c>
      <c r="U59" s="524" t="e">
        <f ca="1">_xll.BDP($A59,"SALES_GROWTH")</f>
        <v>#NAME?</v>
      </c>
      <c r="V59" s="524" t="e">
        <f ca="1">_xll.BDP($A59,"EPS_GROWTH")</f>
        <v>#NAME?</v>
      </c>
      <c r="W59" s="524" t="e">
        <f ca="1">_xll.BDP($A59,"EBITDA_MARGIN")</f>
        <v>#NAME?</v>
      </c>
      <c r="X59" s="524" t="e">
        <f ca="1">_xll.BDP($A59,"EBIT_MARGIN")</f>
        <v>#NAME?</v>
      </c>
      <c r="Y59" s="524" t="e">
        <f ca="1">_xll.BDP($A59,"TRAIL_12M_PROF_MARGIN")</f>
        <v>#NAME?</v>
      </c>
      <c r="Z59" s="524" t="e">
        <f ca="1">_xll.BDP($A59,"NORMALIZED_ROE")</f>
        <v>#NAME?</v>
      </c>
      <c r="AA59" s="447" t="e">
        <f ca="1">_xll.BDP($A59,"BDVD_PROJ_12M_YLD")</f>
        <v>#NAME?</v>
      </c>
      <c r="AB59" s="447" t="e">
        <f ca="1">_xll.BDP($A59,"DVD_RECORD_DT")</f>
        <v>#NAME?</v>
      </c>
      <c r="AC59" s="444" t="e">
        <f ca="1">_xll.BDP($A59,"EQY_REC_CONS")</f>
        <v>#NAME?</v>
      </c>
      <c r="AD59" s="524" t="e">
        <f ca="1">_xll.BDP($A59,"PCT_REVENUE_FROM_FOREIGN_SOURCES")</f>
        <v>#NAME?</v>
      </c>
      <c r="AE59" s="534" t="e">
        <f ca="1">_xll.BDP($A59,"BDVD_NEXT_EST_DECL_DT")</f>
        <v>#NAME?</v>
      </c>
    </row>
    <row r="60" spans="1:31" s="8" customFormat="1" ht="15.75" thickBot="1" x14ac:dyDescent="0.3">
      <c r="A60" s="535" t="s">
        <v>143</v>
      </c>
      <c r="B60" s="536" t="e">
        <f ca="1">_xll.BDP($A60,"SHORT_NAME")</f>
        <v>#NAME?</v>
      </c>
      <c r="C60" s="536" t="e">
        <f ca="1">_xll.BDP($A60,"PX_LAST")</f>
        <v>#NAME?</v>
      </c>
      <c r="D60" s="537" t="e">
        <f ca="1">_xll.BDP($A60,"CHG_PCT_WTD")</f>
        <v>#NAME?</v>
      </c>
      <c r="E60" s="537" t="e">
        <f ca="1">_xll.BDP($A60,"CHG_PCT_1M")</f>
        <v>#NAME?</v>
      </c>
      <c r="F60" s="537" t="e">
        <f ca="1">_xll.BDP($A60,"CHG_PCT_1YR")</f>
        <v>#NAME?</v>
      </c>
      <c r="G60" s="537" t="e">
        <f ca="1">_xll.BDP($A60,"CHG_PCT_YTD")</f>
        <v>#NAME?</v>
      </c>
      <c r="H60" s="537" t="e">
        <f ca="1">_xll.BDP($A60,"BEST_TARGET_PRICE")</f>
        <v>#NAME?</v>
      </c>
      <c r="I60" s="538" t="e">
        <f t="shared" ca="1" si="3"/>
        <v>#NAME?</v>
      </c>
      <c r="J60" s="539" t="e">
        <f ca="1">_xll.BDP($A60,"CUR_MKT_CAP")/1000000/$AI$1</f>
        <v>#NAME?</v>
      </c>
      <c r="K60" s="539" t="e">
        <f ca="1">_xll.BDP($A60,"EQY_FREE_FLOAT_PCT")</f>
        <v>#NAME?</v>
      </c>
      <c r="L60" s="540" t="e">
        <f ca="1">_xll.BDP($A60,"AVG_DAILY_VALUE_TRADED_6M")/$AI$1/1000000</f>
        <v>#NAME?</v>
      </c>
      <c r="M60" s="539" t="e">
        <f ca="1">_xll.BDP($A60,"INDUSTRY_GROUP")</f>
        <v>#NAME?</v>
      </c>
      <c r="N60" s="540" t="e">
        <f ca="1">_xll.BDP($A60,"EQY_BETA_6M")</f>
        <v>#NAME?</v>
      </c>
      <c r="O60" s="540" t="e">
        <f ca="1">_xll.BDP($A60,"EST_PE_NXT_YR")</f>
        <v>#NAME?</v>
      </c>
      <c r="P60" s="540" t="e">
        <f ca="1">_xll.BDP($A60,"EST_EV_THIS_YR_EBITDA")</f>
        <v>#NAME?</v>
      </c>
      <c r="Q60" s="540" t="e">
        <f ca="1">_xll.BDP($A60,"CURRENT_EV_TO_12M_SALES")</f>
        <v>#NAME?</v>
      </c>
      <c r="R60" s="540" t="e">
        <f ca="1">_xll.BDP($A60,"PX_TO_BOOK_RATIO")</f>
        <v>#NAME?</v>
      </c>
      <c r="S60" s="540" t="e">
        <f ca="1">_xll.BDP($A60,"PX_TO_FREE_CASH_FLOW")</f>
        <v>#NAME?</v>
      </c>
      <c r="T60" s="540" t="e">
        <f ca="1">_xll.BDP($A60,"NET_DEBT_TO_EBITDA")</f>
        <v>#NAME?</v>
      </c>
      <c r="U60" s="540" t="e">
        <f ca="1">_xll.BDP($A60,"SALES_GROWTH")</f>
        <v>#NAME?</v>
      </c>
      <c r="V60" s="540" t="e">
        <f ca="1">_xll.BDP($A60,"EPS_GROWTH")</f>
        <v>#NAME?</v>
      </c>
      <c r="W60" s="540" t="e">
        <f ca="1">_xll.BDP($A60,"EBITDA_MARGIN")</f>
        <v>#NAME?</v>
      </c>
      <c r="X60" s="540" t="e">
        <f ca="1">_xll.BDP($A60,"EBIT_MARGIN")</f>
        <v>#NAME?</v>
      </c>
      <c r="Y60" s="540" t="e">
        <f ca="1">_xll.BDP($A60,"TRAIL_12M_PROF_MARGIN")</f>
        <v>#NAME?</v>
      </c>
      <c r="Z60" s="540" t="e">
        <f ca="1">_xll.BDP($A60,"NORMALIZED_ROE")</f>
        <v>#NAME?</v>
      </c>
      <c r="AA60" s="541" t="e">
        <f ca="1">_xll.BDP($A60,"BDVD_PROJ_12M_YLD")</f>
        <v>#NAME?</v>
      </c>
      <c r="AB60" s="541" t="e">
        <f ca="1">_xll.BDP($A60,"DVD_RECORD_DT")</f>
        <v>#NAME?</v>
      </c>
      <c r="AC60" s="672" t="e">
        <f ca="1">_xll.BDP($A60,"EQY_REC_CONS")</f>
        <v>#NAME?</v>
      </c>
      <c r="AD60" s="540" t="e">
        <f ca="1">_xll.BDP($A60,"PCT_REVENUE_FROM_FOREIGN_SOURCES")</f>
        <v>#NAME?</v>
      </c>
      <c r="AE60" s="542" t="e">
        <f ca="1">_xll.BDP($A60,"BDVD_NEXT_EST_DECL_DT")</f>
        <v>#NAME?</v>
      </c>
    </row>
    <row r="61" spans="1:31" s="708" customFormat="1" x14ac:dyDescent="0.25">
      <c r="A61" s="709" t="s">
        <v>42</v>
      </c>
      <c r="B61" s="710" t="e">
        <f ca="1">_xll.BDP($A61,"SHORT_NAME")</f>
        <v>#NAME?</v>
      </c>
      <c r="C61" s="710" t="e">
        <f ca="1">_xll.BDP($A61,"PX_LAST")</f>
        <v>#NAME?</v>
      </c>
      <c r="D61" s="711" t="e">
        <f ca="1">_xll.BDP($A61,"CHG_PCT_WTD")</f>
        <v>#NAME?</v>
      </c>
      <c r="E61" s="711" t="e">
        <f ca="1">_xll.BDP($A61,"CHG_PCT_1M")</f>
        <v>#NAME?</v>
      </c>
      <c r="F61" s="711" t="e">
        <f ca="1">_xll.BDP($A61,"CHG_PCT_1YR")</f>
        <v>#NAME?</v>
      </c>
      <c r="G61" s="711" t="e">
        <f ca="1">_xll.BDP($A61,"CHG_PCT_YTD")</f>
        <v>#NAME?</v>
      </c>
      <c r="H61" s="711" t="e">
        <f ca="1">_xll.BDP($A61,"BEST_TARGET_PRICE")</f>
        <v>#NAME?</v>
      </c>
      <c r="I61" s="712" t="e">
        <f t="shared" ca="1" si="3"/>
        <v>#NAME?</v>
      </c>
      <c r="J61" s="713" t="e">
        <f ca="1">_xll.BDP($A61,"CUR_MKT_CAP")/1000000</f>
        <v>#NAME?</v>
      </c>
      <c r="K61" s="713" t="e">
        <f ca="1">_xll.BDP($A61,"EQY_FREE_FLOAT_PCT")</f>
        <v>#NAME?</v>
      </c>
      <c r="L61" s="714" t="e">
        <f ca="1">_xll.BDP($A61,"AVG_DAILY_VALUE_TRADED_6M")/1000000</f>
        <v>#NAME?</v>
      </c>
      <c r="M61" s="713" t="e">
        <f ca="1">_xll.BDP($A61,"INDUSTRY_GROUP")</f>
        <v>#NAME?</v>
      </c>
      <c r="N61" s="714" t="e">
        <f ca="1">_xll.BDP($A61,"EQY_BETA_6M")</f>
        <v>#NAME?</v>
      </c>
      <c r="O61" s="714" t="e">
        <f ca="1">_xll.BDP($A61,"EST_PE_NXT_YR")</f>
        <v>#NAME?</v>
      </c>
      <c r="P61" s="714" t="e">
        <f ca="1">_xll.BDP($A61,"EST_EV_THIS_YR_EBITDA")</f>
        <v>#NAME?</v>
      </c>
      <c r="Q61" s="714" t="e">
        <f ca="1">_xll.BDP($A61,"CURRENT_EV_TO_12M_SALES")</f>
        <v>#NAME?</v>
      </c>
      <c r="R61" s="714" t="e">
        <f ca="1">_xll.BDP($A61,"PX_TO_BOOK_RATIO")</f>
        <v>#NAME?</v>
      </c>
      <c r="S61" s="714" t="e">
        <f ca="1">_xll.BDP($A61,"PX_TO_FREE_CASH_FLOW")</f>
        <v>#NAME?</v>
      </c>
      <c r="T61" s="714" t="e">
        <f ca="1">_xll.BDP($A61,"NET_DEBT_TO_EBITDA")</f>
        <v>#NAME?</v>
      </c>
      <c r="U61" s="714" t="e">
        <f ca="1">_xll.BDP($A61,"SALES_GROWTH")</f>
        <v>#NAME?</v>
      </c>
      <c r="V61" s="714" t="e">
        <f ca="1">_xll.BDP($A61,"EPS_GROWTH")</f>
        <v>#NAME?</v>
      </c>
      <c r="W61" s="714" t="e">
        <f ca="1">_xll.BDP($A61,"EBITDA_MARGIN")</f>
        <v>#NAME?</v>
      </c>
      <c r="X61" s="714" t="e">
        <f ca="1">_xll.BDP($A61,"EBIT_MARGIN")</f>
        <v>#NAME?</v>
      </c>
      <c r="Y61" s="714" t="e">
        <f ca="1">_xll.BDP($A61,"TRAIL_12M_PROF_MARGIN")</f>
        <v>#NAME?</v>
      </c>
      <c r="Z61" s="714" t="e">
        <f ca="1">_xll.BDP($A61,"NORMALIZED_ROE")</f>
        <v>#NAME?</v>
      </c>
      <c r="AA61" s="715" t="e">
        <f ca="1">_xll.BDP($A61,"BDVD_PROJ_12M_YLD")</f>
        <v>#NAME?</v>
      </c>
      <c r="AB61" s="715" t="e">
        <f ca="1">_xll.BDP($A61,"DVD_RECORD_DT")</f>
        <v>#NAME?</v>
      </c>
      <c r="AC61" s="716" t="e">
        <f ca="1">_xll.BDP($A61,"EQY_REC_CONS")</f>
        <v>#NAME?</v>
      </c>
      <c r="AD61" s="714" t="e">
        <f ca="1">_xll.BDP($A61,"PCT_REVENUE_FROM_FOREIGN_SOURCES")</f>
        <v>#NAME?</v>
      </c>
      <c r="AE61" s="717" t="e">
        <f ca="1">_xll.BDP($A61,"BDVD_NEXT_EST_DECL_DT")</f>
        <v>#NAME?</v>
      </c>
    </row>
    <row r="62" spans="1:31" s="708" customFormat="1" x14ac:dyDescent="0.25">
      <c r="A62" s="701" t="s">
        <v>2</v>
      </c>
      <c r="B62" s="702" t="e">
        <f ca="1">_xll.BDP($A62,"SHORT_NAME")</f>
        <v>#NAME?</v>
      </c>
      <c r="C62" s="702" t="e">
        <f ca="1">_xll.BDP($A62,"PX_LAST")</f>
        <v>#NAME?</v>
      </c>
      <c r="D62" s="703" t="e">
        <f ca="1">_xll.BDP($A62,"CHG_PCT_WTD")</f>
        <v>#NAME?</v>
      </c>
      <c r="E62" s="703" t="e">
        <f ca="1">_xll.BDP($A62,"CHG_PCT_1M")</f>
        <v>#NAME?</v>
      </c>
      <c r="F62" s="703" t="e">
        <f ca="1">_xll.BDP($A62,"CHG_PCT_1YR")</f>
        <v>#NAME?</v>
      </c>
      <c r="G62" s="703" t="e">
        <f ca="1">_xll.BDP($A62,"CHG_PCT_YTD")</f>
        <v>#NAME?</v>
      </c>
      <c r="H62" s="703" t="e">
        <f ca="1">_xll.BDP($A62,"BEST_TARGET_PRICE")</f>
        <v>#NAME?</v>
      </c>
      <c r="I62" s="704" t="e">
        <f t="shared" ca="1" si="3"/>
        <v>#NAME?</v>
      </c>
      <c r="J62" s="705" t="e">
        <f ca="1">_xll.BDP($A62,"CUR_MKT_CAP")/1000000/$AI$1</f>
        <v>#NAME?</v>
      </c>
      <c r="K62" s="705" t="e">
        <f ca="1">_xll.BDP($A62,"EQY_FREE_FLOAT_PCT")</f>
        <v>#NAME?</v>
      </c>
      <c r="L62" s="706" t="e">
        <f ca="1">_xll.BDP($A62,"AVG_DAILY_VALUE_TRADED_6M")/$AI$1/1000000</f>
        <v>#NAME?</v>
      </c>
      <c r="M62" s="705" t="e">
        <f ca="1">_xll.BDP($A62,"INDUSTRY_GROUP")</f>
        <v>#NAME?</v>
      </c>
      <c r="N62" s="706" t="e">
        <f ca="1">_xll.BDP($A62,"EQY_BETA_6M")</f>
        <v>#NAME?</v>
      </c>
      <c r="O62" s="706" t="e">
        <f ca="1">_xll.BDP($A62,"EST_PE_NXT_YR")</f>
        <v>#NAME?</v>
      </c>
      <c r="P62" s="706" t="e">
        <f ca="1">_xll.BDP($A62,"EST_EV_THIS_YR_EBITDA")</f>
        <v>#NAME?</v>
      </c>
      <c r="Q62" s="706" t="e">
        <f ca="1">_xll.BDP($A62,"CURRENT_EV_TO_12M_SALES")</f>
        <v>#NAME?</v>
      </c>
      <c r="R62" s="706" t="e">
        <f ca="1">_xll.BDP($A62,"PX_TO_BOOK_RATIO")</f>
        <v>#NAME?</v>
      </c>
      <c r="S62" s="706" t="e">
        <f ca="1">_xll.BDP($A62,"PX_TO_FREE_CASH_FLOW")</f>
        <v>#NAME?</v>
      </c>
      <c r="T62" s="706" t="e">
        <f ca="1">_xll.BDP($A62,"NET_DEBT_TO_EBITDA")</f>
        <v>#NAME?</v>
      </c>
      <c r="U62" s="706" t="e">
        <f ca="1">_xll.BDP($A62,"SALES_GROWTH")</f>
        <v>#NAME?</v>
      </c>
      <c r="V62" s="706" t="e">
        <f ca="1">_xll.BDP($A62,"EPS_GROWTH")</f>
        <v>#NAME?</v>
      </c>
      <c r="W62" s="706" t="e">
        <f ca="1">_xll.BDP($A62,"EBITDA_MARGIN")</f>
        <v>#NAME?</v>
      </c>
      <c r="X62" s="706" t="e">
        <f ca="1">_xll.BDP($A62,"EBIT_MARGIN")</f>
        <v>#NAME?</v>
      </c>
      <c r="Y62" s="706" t="e">
        <f ca="1">_xll.BDP($A62,"TRAIL_12M_PROF_MARGIN")</f>
        <v>#NAME?</v>
      </c>
      <c r="Z62" s="706" t="e">
        <f ca="1">_xll.BDP($A62,"NORMALIZED_ROE")</f>
        <v>#NAME?</v>
      </c>
      <c r="AA62" s="390" t="e">
        <f ca="1">_xll.BDP($A62,"BDVD_PROJ_12M_YLD")</f>
        <v>#NAME?</v>
      </c>
      <c r="AB62" s="390" t="e">
        <f ca="1">_xll.BDP($A62,"DVD_RECORD_DT")</f>
        <v>#NAME?</v>
      </c>
      <c r="AC62" s="695" t="e">
        <f ca="1">_xll.BDP($A62,"EQY_REC_CONS")</f>
        <v>#NAME?</v>
      </c>
      <c r="AD62" s="706" t="e">
        <f ca="1">_xll.BDP($A62,"PCT_REVENUE_FROM_FOREIGN_SOURCES")</f>
        <v>#NAME?</v>
      </c>
      <c r="AE62" s="707" t="e">
        <f ca="1">_xll.BDP($A62,"BDVD_NEXT_EST_DECL_DT")</f>
        <v>#NAME?</v>
      </c>
    </row>
    <row r="63" spans="1:31" s="8" customFormat="1" x14ac:dyDescent="0.25">
      <c r="A63" s="533" t="s">
        <v>45</v>
      </c>
      <c r="B63" s="520" t="e">
        <f ca="1">_xll.BDP($A63,"SHORT_NAME")</f>
        <v>#NAME?</v>
      </c>
      <c r="C63" s="520" t="e">
        <f ca="1">_xll.BDP($A63,"PX_LAST")</f>
        <v>#NAME?</v>
      </c>
      <c r="D63" s="521" t="e">
        <f ca="1">_xll.BDP($A63,"CHG_PCT_WTD")</f>
        <v>#NAME?</v>
      </c>
      <c r="E63" s="521" t="e">
        <f ca="1">_xll.BDP($A63,"CHG_PCT_1M")</f>
        <v>#NAME?</v>
      </c>
      <c r="F63" s="521" t="e">
        <f ca="1">_xll.BDP($A63,"CHG_PCT_1YR")</f>
        <v>#NAME?</v>
      </c>
      <c r="G63" s="521" t="e">
        <f ca="1">_xll.BDP($A63,"CHG_PCT_YTD")</f>
        <v>#NAME?</v>
      </c>
      <c r="H63" s="521" t="e">
        <f ca="1">_xll.BDP($A63,"BEST_TARGET_PRICE")</f>
        <v>#NAME?</v>
      </c>
      <c r="I63" s="522" t="e">
        <f t="shared" ca="1" si="3"/>
        <v>#NAME?</v>
      </c>
      <c r="J63" s="523" t="e">
        <f ca="1">_xll.BDP($A63,"CUR_MKT_CAP")/1000000/$AI$1</f>
        <v>#NAME?</v>
      </c>
      <c r="K63" s="523" t="e">
        <f ca="1">_xll.BDP($A63,"EQY_FREE_FLOAT_PCT")</f>
        <v>#NAME?</v>
      </c>
      <c r="L63" s="524" t="e">
        <f ca="1">_xll.BDP($A63,"AVG_DAILY_VALUE_TRADED_6M")/$AI$1/1000000</f>
        <v>#NAME?</v>
      </c>
      <c r="M63" s="523" t="e">
        <f ca="1">_xll.BDP($A63,"INDUSTRY_GROUP")</f>
        <v>#NAME?</v>
      </c>
      <c r="N63" s="524" t="e">
        <f ca="1">_xll.BDP($A63,"EQY_BETA_6M")</f>
        <v>#NAME?</v>
      </c>
      <c r="O63" s="524" t="e">
        <f ca="1">_xll.BDP($A63,"EST_PE_NXT_YR")</f>
        <v>#NAME?</v>
      </c>
      <c r="P63" s="524" t="e">
        <f ca="1">_xll.BDP($A63,"EST_EV_THIS_YR_EBITDA")</f>
        <v>#NAME?</v>
      </c>
      <c r="Q63" s="524" t="e">
        <f ca="1">_xll.BDP($A63,"CURRENT_EV_TO_12M_SALES")</f>
        <v>#NAME?</v>
      </c>
      <c r="R63" s="524" t="e">
        <f ca="1">_xll.BDP($A63,"PX_TO_BOOK_RATIO")</f>
        <v>#NAME?</v>
      </c>
      <c r="S63" s="524" t="e">
        <f ca="1">_xll.BDP($A63,"PX_TO_FREE_CASH_FLOW")</f>
        <v>#NAME?</v>
      </c>
      <c r="T63" s="524" t="e">
        <f ca="1">_xll.BDP($A63,"NET_DEBT_TO_EBITDA")</f>
        <v>#NAME?</v>
      </c>
      <c r="U63" s="524" t="e">
        <f ca="1">_xll.BDP($A63,"SALES_GROWTH")</f>
        <v>#NAME?</v>
      </c>
      <c r="V63" s="524" t="e">
        <f ca="1">_xll.BDP($A63,"EPS_GROWTH")</f>
        <v>#NAME?</v>
      </c>
      <c r="W63" s="524" t="e">
        <f ca="1">_xll.BDP($A63,"EBITDA_MARGIN")</f>
        <v>#NAME?</v>
      </c>
      <c r="X63" s="524" t="e">
        <f ca="1">_xll.BDP($A63,"EBIT_MARGIN")</f>
        <v>#NAME?</v>
      </c>
      <c r="Y63" s="524" t="e">
        <f ca="1">_xll.BDP($A63,"TRAIL_12M_PROF_MARGIN")</f>
        <v>#NAME?</v>
      </c>
      <c r="Z63" s="524" t="e">
        <f ca="1">_xll.BDP($A63,"NORMALIZED_ROE")</f>
        <v>#NAME?</v>
      </c>
      <c r="AA63" s="447" t="e">
        <f ca="1">_xll.BDP($A63,"BDVD_PROJ_12M_YLD")</f>
        <v>#NAME?</v>
      </c>
      <c r="AB63" s="447" t="e">
        <f ca="1">_xll.BDP($A63,"DVD_RECORD_DT")</f>
        <v>#NAME?</v>
      </c>
      <c r="AC63" s="444" t="e">
        <f ca="1">_xll.BDP($A63,"EQY_REC_CONS")</f>
        <v>#NAME?</v>
      </c>
      <c r="AD63" s="524" t="e">
        <f ca="1">_xll.BDP($A63,"PCT_REVENUE_FROM_FOREIGN_SOURCES")</f>
        <v>#NAME?</v>
      </c>
      <c r="AE63" s="534" t="e">
        <f ca="1">_xll.BDP($A63,"BDVD_NEXT_EST_DECL_DT")</f>
        <v>#NAME?</v>
      </c>
    </row>
    <row r="64" spans="1:31" s="8" customFormat="1" x14ac:dyDescent="0.25">
      <c r="A64" s="533" t="s">
        <v>309</v>
      </c>
      <c r="B64" s="520" t="e">
        <f ca="1">_xll.BDP($A64,"SHORT_NAME")</f>
        <v>#NAME?</v>
      </c>
      <c r="C64" s="520" t="e">
        <f ca="1">_xll.BDP($A64,"PX_LAST")</f>
        <v>#NAME?</v>
      </c>
      <c r="D64" s="521" t="e">
        <f ca="1">_xll.BDP($A64,"CHG_PCT_WTD")</f>
        <v>#NAME?</v>
      </c>
      <c r="E64" s="521" t="e">
        <f ca="1">_xll.BDP($A64,"CHG_PCT_1M")</f>
        <v>#NAME?</v>
      </c>
      <c r="F64" s="521" t="e">
        <f ca="1">_xll.BDP($A64,"CHG_PCT_1YR")</f>
        <v>#NAME?</v>
      </c>
      <c r="G64" s="521" t="e">
        <f ca="1">_xll.BDP($A64,"CHG_PCT_YTD")</f>
        <v>#NAME?</v>
      </c>
      <c r="H64" s="521" t="e">
        <f ca="1">_xll.BDP($A64,"BEST_TARGET_PRICE")</f>
        <v>#NAME?</v>
      </c>
      <c r="I64" s="522" t="e">
        <f t="shared" ca="1" si="3"/>
        <v>#NAME?</v>
      </c>
      <c r="J64" s="523" t="e">
        <f ca="1">_xll.BDP($A64,"CUR_MKT_CAP")/1000000/$AI$1</f>
        <v>#NAME?</v>
      </c>
      <c r="K64" s="523" t="e">
        <f ca="1">_xll.BDP($A64,"EQY_FREE_FLOAT_PCT")</f>
        <v>#NAME?</v>
      </c>
      <c r="L64" s="524" t="e">
        <f ca="1">_xll.BDP($A64,"AVG_DAILY_VALUE_TRADED_6M")/$AI$1/1000000</f>
        <v>#NAME?</v>
      </c>
      <c r="M64" s="523" t="e">
        <f ca="1">_xll.BDP($A64,"INDUSTRY_GROUP")</f>
        <v>#NAME?</v>
      </c>
      <c r="N64" s="524" t="e">
        <f ca="1">_xll.BDP($A64,"EQY_BETA_6M")</f>
        <v>#NAME?</v>
      </c>
      <c r="O64" s="524" t="e">
        <f ca="1">_xll.BDP($A64,"EST_PE_NXT_YR")</f>
        <v>#NAME?</v>
      </c>
      <c r="P64" s="524" t="e">
        <f ca="1">_xll.BDP($A64,"EST_EV_THIS_YR_EBITDA")</f>
        <v>#NAME?</v>
      </c>
      <c r="Q64" s="524" t="e">
        <f ca="1">_xll.BDP($A64,"CURRENT_EV_TO_12M_SALES")</f>
        <v>#NAME?</v>
      </c>
      <c r="R64" s="524" t="e">
        <f ca="1">_xll.BDP($A64,"PX_TO_BOOK_RATIO")</f>
        <v>#NAME?</v>
      </c>
      <c r="S64" s="524" t="e">
        <f ca="1">_xll.BDP($A64,"PX_TO_FREE_CASH_FLOW")</f>
        <v>#NAME?</v>
      </c>
      <c r="T64" s="524" t="e">
        <f ca="1">_xll.BDP($A64,"NET_DEBT_TO_EBITDA")</f>
        <v>#NAME?</v>
      </c>
      <c r="U64" s="524" t="e">
        <f ca="1">_xll.BDP($A64,"SALES_GROWTH")</f>
        <v>#NAME?</v>
      </c>
      <c r="V64" s="524" t="e">
        <f ca="1">_xll.BDP($A64,"EPS_GROWTH")</f>
        <v>#NAME?</v>
      </c>
      <c r="W64" s="524" t="e">
        <f ca="1">_xll.BDP($A64,"EBITDA_MARGIN")</f>
        <v>#NAME?</v>
      </c>
      <c r="X64" s="524" t="e">
        <f ca="1">_xll.BDP($A64,"EBIT_MARGIN")</f>
        <v>#NAME?</v>
      </c>
      <c r="Y64" s="524" t="e">
        <f ca="1">_xll.BDP($A64,"TRAIL_12M_PROF_MARGIN")</f>
        <v>#NAME?</v>
      </c>
      <c r="Z64" s="524" t="e">
        <f ca="1">_xll.BDP($A64,"NORMALIZED_ROE")</f>
        <v>#NAME?</v>
      </c>
      <c r="AA64" s="447" t="e">
        <f ca="1">_xll.BDP($A64,"BDVD_PROJ_12M_YLD")</f>
        <v>#NAME?</v>
      </c>
      <c r="AB64" s="447" t="e">
        <f ca="1">_xll.BDP($A64,"DVD_RECORD_DT")</f>
        <v>#NAME?</v>
      </c>
      <c r="AC64" s="444" t="e">
        <f ca="1">_xll.BDP($A64,"EQY_REC_CONS")</f>
        <v>#NAME?</v>
      </c>
      <c r="AD64" s="524" t="e">
        <f ca="1">_xll.BDP($A64,"PCT_REVENUE_FROM_FOREIGN_SOURCES")</f>
        <v>#NAME?</v>
      </c>
      <c r="AE64" s="534" t="e">
        <f ca="1">_xll.BDP($A64,"BDVD_NEXT_EST_DECL_DT")</f>
        <v>#NAME?</v>
      </c>
    </row>
    <row r="65" spans="1:31" s="8" customFormat="1" x14ac:dyDescent="0.25">
      <c r="A65" s="533" t="s">
        <v>461</v>
      </c>
      <c r="B65" s="520" t="e">
        <f ca="1">_xll.BDP($A65,"SHORT_NAME")</f>
        <v>#NAME?</v>
      </c>
      <c r="C65" s="520" t="e">
        <f ca="1">_xll.BDP($A65,"PX_LAST")</f>
        <v>#NAME?</v>
      </c>
      <c r="D65" s="521" t="e">
        <f ca="1">_xll.BDP($A65,"CHG_PCT_WTD")</f>
        <v>#NAME?</v>
      </c>
      <c r="E65" s="521" t="e">
        <f ca="1">_xll.BDP($A65,"CHG_PCT_1M")</f>
        <v>#NAME?</v>
      </c>
      <c r="F65" s="521" t="e">
        <f ca="1">_xll.BDP($A65,"CHG_PCT_1YR")</f>
        <v>#NAME?</v>
      </c>
      <c r="G65" s="521" t="e">
        <f ca="1">_xll.BDP($A65,"CHG_PCT_YTD")</f>
        <v>#NAME?</v>
      </c>
      <c r="H65" s="521" t="e">
        <f ca="1">_xll.BDP($A65,"BEST_TARGET_PRICE")</f>
        <v>#NAME?</v>
      </c>
      <c r="I65" s="522" t="e">
        <f t="shared" ca="1" si="3"/>
        <v>#NAME?</v>
      </c>
      <c r="J65" s="523" t="e">
        <f ca="1">_xll.BDP($A65,"CUR_MKT_CAP")/1000000</f>
        <v>#NAME?</v>
      </c>
      <c r="K65" s="523" t="e">
        <f ca="1">_xll.BDP($A65,"EQY_FREE_FLOAT_PCT")</f>
        <v>#NAME?</v>
      </c>
      <c r="L65" s="524" t="e">
        <f ca="1">_xll.BDP($A65,"AVG_DAILY_VALUE_TRADED_6M")/1000000</f>
        <v>#NAME?</v>
      </c>
      <c r="M65" s="523" t="e">
        <f ca="1">_xll.BDP($A65,"INDUSTRY_GROUP")</f>
        <v>#NAME?</v>
      </c>
      <c r="N65" s="524" t="e">
        <f ca="1">_xll.BDP($A65,"EQY_BETA_6M")</f>
        <v>#NAME?</v>
      </c>
      <c r="O65" s="524" t="e">
        <f ca="1">_xll.BDP($A65,"EST_PE_NXT_YR")</f>
        <v>#NAME?</v>
      </c>
      <c r="P65" s="524" t="e">
        <f ca="1">_xll.BDP($A65,"EST_EV_THIS_YR_EBITDA")</f>
        <v>#NAME?</v>
      </c>
      <c r="Q65" s="524" t="e">
        <f ca="1">_xll.BDP($A65,"CURRENT_EV_TO_12M_SALES")</f>
        <v>#NAME?</v>
      </c>
      <c r="R65" s="524" t="e">
        <f ca="1">_xll.BDP($A65,"PX_TO_BOOK_RATIO")</f>
        <v>#NAME?</v>
      </c>
      <c r="S65" s="524" t="e">
        <f ca="1">_xll.BDP($A65,"PX_TO_FREE_CASH_FLOW")</f>
        <v>#NAME?</v>
      </c>
      <c r="T65" s="524" t="e">
        <f ca="1">_xll.BDP($A65,"NET_DEBT_TO_EBITDA")</f>
        <v>#NAME?</v>
      </c>
      <c r="U65" s="524" t="e">
        <f ca="1">_xll.BDP($A65,"SALES_GROWTH")</f>
        <v>#NAME?</v>
      </c>
      <c r="V65" s="524" t="e">
        <f ca="1">_xll.BDP($A65,"EPS_GROWTH")</f>
        <v>#NAME?</v>
      </c>
      <c r="W65" s="524" t="e">
        <f ca="1">_xll.BDP($A65,"EBITDA_MARGIN")</f>
        <v>#NAME?</v>
      </c>
      <c r="X65" s="524" t="e">
        <f ca="1">_xll.BDP($A65,"EBIT_MARGIN")</f>
        <v>#NAME?</v>
      </c>
      <c r="Y65" s="524" t="e">
        <f ca="1">_xll.BDP($A65,"TRAIL_12M_PROF_MARGIN")</f>
        <v>#NAME?</v>
      </c>
      <c r="Z65" s="524" t="e">
        <f ca="1">_xll.BDP($A65,"NORMALIZED_ROE")</f>
        <v>#NAME?</v>
      </c>
      <c r="AA65" s="447" t="e">
        <f ca="1">_xll.BDP($A65,"BDVD_PROJ_12M_YLD")</f>
        <v>#NAME?</v>
      </c>
      <c r="AB65" s="447" t="e">
        <f ca="1">_xll.BDP($A65,"DVD_RECORD_DT")</f>
        <v>#NAME?</v>
      </c>
      <c r="AC65" s="444" t="e">
        <f ca="1">_xll.BDP($A65,"EQY_REC_CONS")</f>
        <v>#NAME?</v>
      </c>
      <c r="AD65" s="524" t="e">
        <f ca="1">_xll.BDP($A65,"PCT_REVENUE_FROM_FOREIGN_SOURCES")</f>
        <v>#NAME?</v>
      </c>
      <c r="AE65" s="534" t="e">
        <f ca="1">_xll.BDP($A65,"BDVD_NEXT_EST_DECL_DT")</f>
        <v>#NAME?</v>
      </c>
    </row>
    <row r="66" spans="1:31" s="8" customFormat="1" x14ac:dyDescent="0.25">
      <c r="A66" s="533" t="s">
        <v>287</v>
      </c>
      <c r="B66" s="520" t="e">
        <f ca="1">_xll.BDP($A66,"SHORT_NAME")</f>
        <v>#NAME?</v>
      </c>
      <c r="C66" s="520" t="e">
        <f ca="1">_xll.BDP($A66,"PX_LAST")</f>
        <v>#NAME?</v>
      </c>
      <c r="D66" s="521" t="e">
        <f ca="1">_xll.BDP($A66,"CHG_PCT_WTD")</f>
        <v>#NAME?</v>
      </c>
      <c r="E66" s="521" t="e">
        <f ca="1">_xll.BDP($A66,"CHG_PCT_1M")</f>
        <v>#NAME?</v>
      </c>
      <c r="F66" s="521" t="e">
        <f ca="1">_xll.BDP($A66,"CHG_PCT_1YR")</f>
        <v>#NAME?</v>
      </c>
      <c r="G66" s="521" t="e">
        <f ca="1">_xll.BDP($A66,"CHG_PCT_YTD")</f>
        <v>#NAME?</v>
      </c>
      <c r="H66" s="521" t="e">
        <f ca="1">_xll.BDP($A66,"BEST_TARGET_PRICE")</f>
        <v>#NAME?</v>
      </c>
      <c r="I66" s="522" t="e">
        <f t="shared" ca="1" si="3"/>
        <v>#NAME?</v>
      </c>
      <c r="J66" s="523" t="e">
        <f ca="1">_xll.BDP($A66,"CUR_MKT_CAP")/1000000/$AI$1</f>
        <v>#NAME?</v>
      </c>
      <c r="K66" s="523" t="e">
        <f ca="1">_xll.BDP($A66,"EQY_FREE_FLOAT_PCT")</f>
        <v>#NAME?</v>
      </c>
      <c r="L66" s="524" t="e">
        <f ca="1">_xll.BDP($A66,"AVG_DAILY_VALUE_TRADED_6M")/$AI$1/1000000</f>
        <v>#NAME?</v>
      </c>
      <c r="M66" s="523" t="e">
        <f ca="1">_xll.BDP($A66,"INDUSTRY_GROUP")</f>
        <v>#NAME?</v>
      </c>
      <c r="N66" s="524" t="e">
        <f ca="1">_xll.BDP($A66,"EQY_BETA_6M")</f>
        <v>#NAME?</v>
      </c>
      <c r="O66" s="524" t="e">
        <f ca="1">_xll.BDP($A66,"EST_PE_NXT_YR")</f>
        <v>#NAME?</v>
      </c>
      <c r="P66" s="524" t="e">
        <f ca="1">_xll.BDP($A66,"EST_EV_THIS_YR_EBITDA")</f>
        <v>#NAME?</v>
      </c>
      <c r="Q66" s="524" t="e">
        <f ca="1">_xll.BDP($A66,"CURRENT_EV_TO_12M_SALES")</f>
        <v>#NAME?</v>
      </c>
      <c r="R66" s="524" t="e">
        <f ca="1">_xll.BDP($A66,"PX_TO_BOOK_RATIO")</f>
        <v>#NAME?</v>
      </c>
      <c r="S66" s="524" t="e">
        <f ca="1">_xll.BDP($A66,"PX_TO_FREE_CASH_FLOW")</f>
        <v>#NAME?</v>
      </c>
      <c r="T66" s="524" t="e">
        <f ca="1">_xll.BDP($A66,"NET_DEBT_TO_EBITDA")</f>
        <v>#NAME?</v>
      </c>
      <c r="U66" s="524" t="e">
        <f ca="1">_xll.BDP($A66,"SALES_GROWTH")</f>
        <v>#NAME?</v>
      </c>
      <c r="V66" s="524" t="e">
        <f ca="1">_xll.BDP($A66,"EPS_GROWTH")</f>
        <v>#NAME?</v>
      </c>
      <c r="W66" s="524" t="e">
        <f ca="1">_xll.BDP($A66,"EBITDA_MARGIN")</f>
        <v>#NAME?</v>
      </c>
      <c r="X66" s="524" t="e">
        <f ca="1">_xll.BDP($A66,"EBIT_MARGIN")</f>
        <v>#NAME?</v>
      </c>
      <c r="Y66" s="524" t="e">
        <f ca="1">_xll.BDP($A66,"TRAIL_12M_PROF_MARGIN")</f>
        <v>#NAME?</v>
      </c>
      <c r="Z66" s="524" t="e">
        <f ca="1">_xll.BDP($A66,"NORMALIZED_ROE")</f>
        <v>#NAME?</v>
      </c>
      <c r="AA66" s="447" t="e">
        <f ca="1">_xll.BDP($A66,"BDVD_PROJ_12M_YLD")</f>
        <v>#NAME?</v>
      </c>
      <c r="AB66" s="447" t="e">
        <f ca="1">_xll.BDP($A66,"DVD_RECORD_DT")</f>
        <v>#NAME?</v>
      </c>
      <c r="AC66" s="444" t="e">
        <f ca="1">_xll.BDP($A66,"EQY_REC_CONS")</f>
        <v>#NAME?</v>
      </c>
      <c r="AD66" s="524" t="e">
        <f ca="1">_xll.BDP($A66,"PCT_REVENUE_FROM_FOREIGN_SOURCES")</f>
        <v>#NAME?</v>
      </c>
      <c r="AE66" s="534" t="e">
        <f ca="1">_xll.BDP($A66,"BDVD_NEXT_EST_DECL_DT")</f>
        <v>#NAME?</v>
      </c>
    </row>
    <row r="67" spans="1:31" s="777" customFormat="1" ht="15.75" thickBot="1" x14ac:dyDescent="0.3">
      <c r="A67" s="535" t="s">
        <v>18</v>
      </c>
      <c r="B67" s="536" t="e">
        <f ca="1">_xll.BDP($A67,"SHORT_NAME")</f>
        <v>#NAME?</v>
      </c>
      <c r="C67" s="536" t="e">
        <f ca="1">_xll.BDP($A67,"PX_LAST")</f>
        <v>#NAME?</v>
      </c>
      <c r="D67" s="537" t="e">
        <f ca="1">_xll.BDP($A67,"CHG_PCT_WTD")</f>
        <v>#NAME?</v>
      </c>
      <c r="E67" s="537" t="e">
        <f ca="1">_xll.BDP($A67,"CHG_PCT_1M")</f>
        <v>#NAME?</v>
      </c>
      <c r="F67" s="537" t="e">
        <f ca="1">_xll.BDP($A67,"CHG_PCT_1YR")</f>
        <v>#NAME?</v>
      </c>
      <c r="G67" s="537" t="e">
        <f ca="1">_xll.BDP($A67,"CHG_PCT_YTD")</f>
        <v>#NAME?</v>
      </c>
      <c r="H67" s="537" t="e">
        <f ca="1">_xll.BDP($A67,"BEST_TARGET_PRICE")</f>
        <v>#NAME?</v>
      </c>
      <c r="I67" s="538" t="e">
        <f t="shared" ca="1" si="3"/>
        <v>#NAME?</v>
      </c>
      <c r="J67" s="539" t="e">
        <f ca="1">_xll.BDP($A67,"CUR_MKT_CAP")/1000000/$AI$1</f>
        <v>#NAME?</v>
      </c>
      <c r="K67" s="539" t="e">
        <f ca="1">_xll.BDP($A67,"EQY_FREE_FLOAT_PCT")</f>
        <v>#NAME?</v>
      </c>
      <c r="L67" s="540" t="e">
        <f ca="1">_xll.BDP($A67,"AVG_DAILY_VALUE_TRADED_6M")/$AI$1/1000000</f>
        <v>#NAME?</v>
      </c>
      <c r="M67" s="539" t="e">
        <f ca="1">_xll.BDP($A67,"INDUSTRY_GROUP")</f>
        <v>#NAME?</v>
      </c>
      <c r="N67" s="540" t="e">
        <f ca="1">_xll.BDP($A67,"EQY_BETA_6M")</f>
        <v>#NAME?</v>
      </c>
      <c r="O67" s="540" t="e">
        <f ca="1">_xll.BDP($A67,"EST_PE_NXT_YR")</f>
        <v>#NAME?</v>
      </c>
      <c r="P67" s="540" t="e">
        <f ca="1">_xll.BDP($A67,"EST_EV_THIS_YR_EBITDA")</f>
        <v>#NAME?</v>
      </c>
      <c r="Q67" s="540" t="e">
        <f ca="1">_xll.BDP($A67,"CURRENT_EV_TO_12M_SALES")</f>
        <v>#NAME?</v>
      </c>
      <c r="R67" s="540" t="e">
        <f ca="1">_xll.BDP($A67,"PX_TO_BOOK_RATIO")</f>
        <v>#NAME?</v>
      </c>
      <c r="S67" s="540" t="e">
        <f ca="1">_xll.BDP($A67,"PX_TO_FREE_CASH_FLOW")</f>
        <v>#NAME?</v>
      </c>
      <c r="T67" s="540" t="e">
        <f ca="1">_xll.BDP($A67,"NET_DEBT_TO_EBITDA")</f>
        <v>#NAME?</v>
      </c>
      <c r="U67" s="540" t="e">
        <f ca="1">_xll.BDP($A67,"SALES_GROWTH")</f>
        <v>#NAME?</v>
      </c>
      <c r="V67" s="540" t="e">
        <f ca="1">_xll.BDP($A67,"EPS_GROWTH")</f>
        <v>#NAME?</v>
      </c>
      <c r="W67" s="540" t="e">
        <f ca="1">_xll.BDP($A67,"EBITDA_MARGIN")</f>
        <v>#NAME?</v>
      </c>
      <c r="X67" s="540" t="e">
        <f ca="1">_xll.BDP($A67,"EBIT_MARGIN")</f>
        <v>#NAME?</v>
      </c>
      <c r="Y67" s="540" t="e">
        <f ca="1">_xll.BDP($A67,"TRAIL_12M_PROF_MARGIN")</f>
        <v>#NAME?</v>
      </c>
      <c r="Z67" s="540" t="e">
        <f ca="1">_xll.BDP($A67,"NORMALIZED_ROE")</f>
        <v>#NAME?</v>
      </c>
      <c r="AA67" s="541" t="e">
        <f ca="1">_xll.BDP($A67,"BDVD_PROJ_12M_YLD")</f>
        <v>#NAME?</v>
      </c>
      <c r="AB67" s="541" t="e">
        <f ca="1">_xll.BDP($A67,"DVD_RECORD_DT")</f>
        <v>#NAME?</v>
      </c>
      <c r="AC67" s="672" t="e">
        <f ca="1">_xll.BDP($A67,"EQY_REC_CONS")</f>
        <v>#NAME?</v>
      </c>
      <c r="AD67" s="540" t="e">
        <f ca="1">_xll.BDP($A67,"PCT_REVENUE_FROM_FOREIGN_SOURCES")</f>
        <v>#NAME?</v>
      </c>
      <c r="AE67" s="542" t="e">
        <f ca="1">_xll.BDP($A67,"BDVD_NEXT_EST_DECL_DT")</f>
        <v>#NAME?</v>
      </c>
    </row>
    <row r="68" spans="1:31" s="708" customFormat="1" x14ac:dyDescent="0.25">
      <c r="A68" s="525" t="s">
        <v>315</v>
      </c>
      <c r="B68" s="526" t="e">
        <f ca="1">_xll.BDP($A68,"SHORT_NAME")</f>
        <v>#NAME?</v>
      </c>
      <c r="C68" s="526" t="e">
        <f ca="1">_xll.BDP($A68,"PX_LAST")</f>
        <v>#NAME?</v>
      </c>
      <c r="D68" s="527" t="e">
        <f ca="1">_xll.BDP($A68,"CHG_PCT_WTD")</f>
        <v>#NAME?</v>
      </c>
      <c r="E68" s="527" t="e">
        <f ca="1">_xll.BDP($A68,"CHG_PCT_1M")</f>
        <v>#NAME?</v>
      </c>
      <c r="F68" s="527" t="e">
        <f ca="1">_xll.BDP($A68,"CHG_PCT_1YR")</f>
        <v>#NAME?</v>
      </c>
      <c r="G68" s="527" t="e">
        <f ca="1">_xll.BDP($A68,"CHG_PCT_YTD")</f>
        <v>#NAME?</v>
      </c>
      <c r="H68" s="527" t="e">
        <f ca="1">_xll.BDP($A68,"BEST_TARGET_PRICE")</f>
        <v>#NAME?</v>
      </c>
      <c r="I68" s="528" t="e">
        <f t="shared" ca="1" si="3"/>
        <v>#NAME?</v>
      </c>
      <c r="J68" s="529" t="e">
        <f ca="1">_xll.BDP($A68,"CUR_MKT_CAP")/1000000/$AI$1</f>
        <v>#NAME?</v>
      </c>
      <c r="K68" s="529" t="e">
        <f ca="1">_xll.BDP($A68,"EQY_FREE_FLOAT_PCT")</f>
        <v>#NAME?</v>
      </c>
      <c r="L68" s="530" t="e">
        <f ca="1">_xll.BDP($A68,"AVG_DAILY_VALUE_TRADED_6M")/$AI$1/1000000</f>
        <v>#NAME?</v>
      </c>
      <c r="M68" s="529" t="e">
        <f ca="1">_xll.BDP($A68,"INDUSTRY_GROUP")</f>
        <v>#NAME?</v>
      </c>
      <c r="N68" s="530" t="e">
        <f ca="1">_xll.BDP($A68,"EQY_BETA_6M")</f>
        <v>#NAME?</v>
      </c>
      <c r="O68" s="530" t="e">
        <f ca="1">_xll.BDP($A68,"EST_PE_NXT_YR")</f>
        <v>#NAME?</v>
      </c>
      <c r="P68" s="530" t="e">
        <f ca="1">_xll.BDP($A68,"EST_EV_THIS_YR_EBITDA")</f>
        <v>#NAME?</v>
      </c>
      <c r="Q68" s="530" t="e">
        <f ca="1">_xll.BDP($A68,"CURRENT_EV_TO_12M_SALES")</f>
        <v>#NAME?</v>
      </c>
      <c r="R68" s="530" t="e">
        <f ca="1">_xll.BDP($A68,"PX_TO_BOOK_RATIO")</f>
        <v>#NAME?</v>
      </c>
      <c r="S68" s="530" t="e">
        <f ca="1">_xll.BDP($A68,"PX_TO_FREE_CASH_FLOW")</f>
        <v>#NAME?</v>
      </c>
      <c r="T68" s="530" t="e">
        <f ca="1">_xll.BDP($A68,"NET_DEBT_TO_EBITDA")</f>
        <v>#NAME?</v>
      </c>
      <c r="U68" s="530" t="e">
        <f ca="1">_xll.BDP($A68,"SALES_GROWTH")</f>
        <v>#NAME?</v>
      </c>
      <c r="V68" s="530" t="e">
        <f ca="1">_xll.BDP($A68,"EPS_GROWTH")</f>
        <v>#NAME?</v>
      </c>
      <c r="W68" s="530" t="e">
        <f ca="1">_xll.BDP($A68,"EBITDA_MARGIN")</f>
        <v>#NAME?</v>
      </c>
      <c r="X68" s="530" t="e">
        <f ca="1">_xll.BDP($A68,"EBIT_MARGIN")</f>
        <v>#NAME?</v>
      </c>
      <c r="Y68" s="530" t="e">
        <f ca="1">_xll.BDP($A68,"TRAIL_12M_PROF_MARGIN")</f>
        <v>#NAME?</v>
      </c>
      <c r="Z68" s="530" t="e">
        <f ca="1">_xll.BDP($A68,"NORMALIZED_ROE")</f>
        <v>#NAME?</v>
      </c>
      <c r="AA68" s="531" t="e">
        <f ca="1">_xll.BDP($A68,"BDVD_PROJ_12M_YLD")</f>
        <v>#NAME?</v>
      </c>
      <c r="AB68" s="531" t="e">
        <f ca="1">_xll.BDP($A68,"DVD_RECORD_DT")</f>
        <v>#NAME?</v>
      </c>
      <c r="AC68" s="671" t="e">
        <f ca="1">_xll.BDP($A68,"EQY_REC_CONS")</f>
        <v>#NAME?</v>
      </c>
      <c r="AD68" s="530" t="e">
        <f ca="1">_xll.BDP($A68,"PCT_REVENUE_FROM_FOREIGN_SOURCES")</f>
        <v>#NAME?</v>
      </c>
      <c r="AE68" s="532" t="e">
        <f ca="1">_xll.BDP($A68,"BDVD_NEXT_EST_DECL_DT")</f>
        <v>#NAME?</v>
      </c>
    </row>
    <row r="69" spans="1:31" s="708" customFormat="1" x14ac:dyDescent="0.25">
      <c r="A69" s="701" t="s">
        <v>3</v>
      </c>
      <c r="B69" s="702" t="e">
        <f ca="1">_xll.BDP($A69,"SHORT_NAME")</f>
        <v>#NAME?</v>
      </c>
      <c r="C69" s="702" t="e">
        <f ca="1">_xll.BDP($A69,"PX_LAST")</f>
        <v>#NAME?</v>
      </c>
      <c r="D69" s="703" t="e">
        <f ca="1">_xll.BDP($A69,"CHG_PCT_WTD")</f>
        <v>#NAME?</v>
      </c>
      <c r="E69" s="703" t="e">
        <f ca="1">_xll.BDP($A69,"CHG_PCT_1M")</f>
        <v>#NAME?</v>
      </c>
      <c r="F69" s="703" t="e">
        <f ca="1">_xll.BDP($A69,"CHG_PCT_1YR")</f>
        <v>#NAME?</v>
      </c>
      <c r="G69" s="703" t="e">
        <f ca="1">_xll.BDP($A69,"CHG_PCT_YTD")</f>
        <v>#NAME?</v>
      </c>
      <c r="H69" s="703" t="e">
        <f ca="1">_xll.BDP("LSRG LI EQUITY","BEST_TARGET_PRICE")*5*$AI$1</f>
        <v>#NAME?</v>
      </c>
      <c r="I69" s="704" t="e">
        <f t="shared" ca="1" si="3"/>
        <v>#NAME?</v>
      </c>
      <c r="J69" s="705" t="e">
        <f ca="1">_xll.BDP($A69,"CUR_MKT_CAP")/1000000/$AI$1</f>
        <v>#NAME?</v>
      </c>
      <c r="K69" s="705" t="e">
        <f ca="1">_xll.BDP($A69,"EQY_FREE_FLOAT_PCT")</f>
        <v>#NAME?</v>
      </c>
      <c r="L69" s="706" t="e">
        <f ca="1">_xll.BDP($A69,"AVG_DAILY_VALUE_TRADED_6M")/$AI$1/1000000</f>
        <v>#NAME?</v>
      </c>
      <c r="M69" s="705" t="e">
        <f ca="1">_xll.BDP($A69,"INDUSTRY_GROUP")</f>
        <v>#NAME?</v>
      </c>
      <c r="N69" s="706" t="e">
        <f ca="1">_xll.BDP($A69,"EQY_BETA_6M")</f>
        <v>#NAME?</v>
      </c>
      <c r="O69" s="706" t="e">
        <f ca="1">_xll.BDP($A69,"EST_PE_NXT_YR")</f>
        <v>#NAME?</v>
      </c>
      <c r="P69" s="706" t="e">
        <f ca="1">_xll.BDP($A69,"EST_EV_THIS_YR_EBITDA")</f>
        <v>#NAME?</v>
      </c>
      <c r="Q69" s="706" t="e">
        <f ca="1">_xll.BDP($A69,"CURRENT_EV_TO_12M_SALES")</f>
        <v>#NAME?</v>
      </c>
      <c r="R69" s="706" t="e">
        <f ca="1">_xll.BDP($A69,"PX_TO_BOOK_RATIO")</f>
        <v>#NAME?</v>
      </c>
      <c r="S69" s="706" t="e">
        <f ca="1">_xll.BDP($A69,"PX_TO_FREE_CASH_FLOW")</f>
        <v>#NAME?</v>
      </c>
      <c r="T69" s="706" t="e">
        <f ca="1">_xll.BDP($A69,"NET_DEBT_TO_EBITDA")</f>
        <v>#NAME?</v>
      </c>
      <c r="U69" s="706" t="e">
        <f ca="1">_xll.BDP($A69,"SALES_GROWTH")</f>
        <v>#NAME?</v>
      </c>
      <c r="V69" s="706" t="e">
        <f ca="1">_xll.BDP($A69,"EPS_GROWTH")</f>
        <v>#NAME?</v>
      </c>
      <c r="W69" s="706" t="e">
        <f ca="1">_xll.BDP($A69,"EBITDA_MARGIN")</f>
        <v>#NAME?</v>
      </c>
      <c r="X69" s="706" t="e">
        <f ca="1">_xll.BDP($A69,"EBIT_MARGIN")</f>
        <v>#NAME?</v>
      </c>
      <c r="Y69" s="706" t="e">
        <f ca="1">_xll.BDP($A69,"TRAIL_12M_PROF_MARGIN")</f>
        <v>#NAME?</v>
      </c>
      <c r="Z69" s="706" t="e">
        <f ca="1">_xll.BDP($A69,"NORMALIZED_ROE")</f>
        <v>#NAME?</v>
      </c>
      <c r="AA69" s="390" t="e">
        <f ca="1">_xll.BDP($A69,"BDVD_PROJ_12M_YLD")</f>
        <v>#NAME?</v>
      </c>
      <c r="AB69" s="390" t="e">
        <f ca="1">_xll.BDP($A69,"DVD_RECORD_DT")</f>
        <v>#NAME?</v>
      </c>
      <c r="AC69" s="695" t="e">
        <f ca="1">_xll.BDP($A69,"EQY_REC_CONS")</f>
        <v>#NAME?</v>
      </c>
      <c r="AD69" s="706" t="e">
        <f ca="1">_xll.BDP($A69,"PCT_REVENUE_FROM_FOREIGN_SOURCES")</f>
        <v>#NAME?</v>
      </c>
      <c r="AE69" s="707" t="e">
        <f ca="1">_xll.BDP($A69,"BDVD_NEXT_EST_DECL_DT")</f>
        <v>#NAME?</v>
      </c>
    </row>
    <row r="70" spans="1:31" s="8" customFormat="1" ht="15.75" thickBot="1" x14ac:dyDescent="0.3">
      <c r="A70" s="718" t="s">
        <v>4</v>
      </c>
      <c r="B70" s="719" t="e">
        <f ca="1">_xll.BDP($A70,"SHORT_NAME")</f>
        <v>#NAME?</v>
      </c>
      <c r="C70" s="719" t="e">
        <f ca="1">_xll.BDP($A70,"PX_LAST")</f>
        <v>#NAME?</v>
      </c>
      <c r="D70" s="720" t="e">
        <f ca="1">_xll.BDP($A70,"CHG_PCT_WTD")</f>
        <v>#NAME?</v>
      </c>
      <c r="E70" s="720" t="e">
        <f ca="1">_xll.BDP($A70,"CHG_PCT_1M")</f>
        <v>#NAME?</v>
      </c>
      <c r="F70" s="720" t="e">
        <f ca="1">_xll.BDP($A70,"CHG_PCT_1YR")</f>
        <v>#NAME?</v>
      </c>
      <c r="G70" s="720" t="e">
        <f ca="1">_xll.BDP($A70,"CHG_PCT_YTD")</f>
        <v>#NAME?</v>
      </c>
      <c r="H70" s="720" t="e">
        <f ca="1">_xll.BDP($A70,"BEST_TARGET_PRICE")</f>
        <v>#NAME?</v>
      </c>
      <c r="I70" s="721" t="e">
        <f t="shared" ca="1" si="3"/>
        <v>#NAME?</v>
      </c>
      <c r="J70" s="722" t="e">
        <f ca="1">_xll.BDP($A70,"CUR_MKT_CAP")/1000000</f>
        <v>#NAME?</v>
      </c>
      <c r="K70" s="722" t="e">
        <f ca="1">_xll.BDP($A70,"EQY_FREE_FLOAT_PCT")</f>
        <v>#NAME?</v>
      </c>
      <c r="L70" s="723" t="e">
        <f ca="1">_xll.BDP($A70,"AVG_DAILY_VALUE_TRADED_6M")/1000000</f>
        <v>#NAME?</v>
      </c>
      <c r="M70" s="722" t="e">
        <f ca="1">_xll.BDP($A70,"INDUSTRY_GROUP")</f>
        <v>#NAME?</v>
      </c>
      <c r="N70" s="723" t="e">
        <f ca="1">_xll.BDP($A70,"EQY_BETA_6M")</f>
        <v>#NAME?</v>
      </c>
      <c r="O70" s="723" t="e">
        <f ca="1">_xll.BDP($A70,"EST_PE_NXT_YR")</f>
        <v>#NAME?</v>
      </c>
      <c r="P70" s="723" t="e">
        <f ca="1">_xll.BDP($A70,"EST_EV_THIS_YR_EBITDA")</f>
        <v>#NAME?</v>
      </c>
      <c r="Q70" s="723" t="e">
        <f ca="1">_xll.BDP($A70,"CURRENT_EV_TO_12M_SALES")</f>
        <v>#NAME?</v>
      </c>
      <c r="R70" s="723" t="e">
        <f ca="1">_xll.BDP($A70,"PX_TO_BOOK_RATIO")</f>
        <v>#NAME?</v>
      </c>
      <c r="S70" s="723" t="e">
        <f ca="1">_xll.BDP($A70,"PX_TO_FREE_CASH_FLOW")</f>
        <v>#NAME?</v>
      </c>
      <c r="T70" s="723" t="e">
        <f ca="1">_xll.BDP($A70,"NET_DEBT_TO_EBITDA")</f>
        <v>#NAME?</v>
      </c>
      <c r="U70" s="723" t="e">
        <f ca="1">_xll.BDP($A70,"SALES_GROWTH")</f>
        <v>#NAME?</v>
      </c>
      <c r="V70" s="723" t="e">
        <f ca="1">_xll.BDP($A70,"EPS_GROWTH")</f>
        <v>#NAME?</v>
      </c>
      <c r="W70" s="723" t="e">
        <f ca="1">_xll.BDP($A70,"EBITDA_MARGIN")</f>
        <v>#NAME?</v>
      </c>
      <c r="X70" s="723" t="e">
        <f ca="1">_xll.BDP($A70,"EBIT_MARGIN")</f>
        <v>#NAME?</v>
      </c>
      <c r="Y70" s="723" t="e">
        <f ca="1">_xll.BDP($A70,"TRAIL_12M_PROF_MARGIN")</f>
        <v>#NAME?</v>
      </c>
      <c r="Z70" s="723" t="e">
        <f ca="1">_xll.BDP($A70,"NORMALIZED_ROE")</f>
        <v>#NAME?</v>
      </c>
      <c r="AA70" s="724" t="e">
        <f ca="1">_xll.BDP($A70,"BDVD_PROJ_12M_YLD")</f>
        <v>#NAME?</v>
      </c>
      <c r="AB70" s="724" t="e">
        <f ca="1">_xll.BDP($A70,"DVD_RECORD_DT")</f>
        <v>#NAME?</v>
      </c>
      <c r="AC70" s="725" t="e">
        <f ca="1">_xll.BDP($A70,"EQY_REC_CONS")</f>
        <v>#NAME?</v>
      </c>
      <c r="AD70" s="723" t="e">
        <f ca="1">_xll.BDP($A70,"PCT_REVENUE_FROM_FOREIGN_SOURCES")</f>
        <v>#NAME?</v>
      </c>
      <c r="AE70" s="726" t="e">
        <f ca="1">_xll.BDP($A70,"BDVD_NEXT_EST_DECL_DT")</f>
        <v>#NAME?</v>
      </c>
    </row>
    <row r="71" spans="1:31" s="708" customFormat="1" x14ac:dyDescent="0.25">
      <c r="A71" s="709" t="s">
        <v>722</v>
      </c>
      <c r="B71" s="710" t="e">
        <f ca="1">_xll.BDP($A71,"SHORT_NAME")</f>
        <v>#NAME?</v>
      </c>
      <c r="C71" s="710" t="e">
        <f ca="1">_xll.BDP($A71,"PX_LAST")</f>
        <v>#NAME?</v>
      </c>
      <c r="D71" s="711" t="e">
        <f ca="1">_xll.BDP($A71,"CHG_PCT_WTD")</f>
        <v>#NAME?</v>
      </c>
      <c r="E71" s="711" t="e">
        <f ca="1">_xll.BDP($A71,"CHG_PCT_1M")</f>
        <v>#NAME?</v>
      </c>
      <c r="F71" s="711" t="e">
        <f ca="1">_xll.BDP($A71,"CHG_PCT_1YR")</f>
        <v>#NAME?</v>
      </c>
      <c r="G71" s="711" t="e">
        <f ca="1">_xll.BDP($A71,"CHG_PCT_YTD")</f>
        <v>#NAME?</v>
      </c>
      <c r="H71" s="711" t="e">
        <f ca="1">_xll.BDP($A71,"BEST_TARGET_PRICE")</f>
        <v>#NAME?</v>
      </c>
      <c r="I71" s="712" t="e">
        <f t="shared" ref="I71:I73" ca="1" si="4">H71/C71-1</f>
        <v>#NAME?</v>
      </c>
      <c r="J71" s="713" t="e">
        <f ca="1">_xll.BDP($A71,"CUR_MKT_CAP")/1000000</f>
        <v>#NAME?</v>
      </c>
      <c r="K71" s="713" t="e">
        <f ca="1">_xll.BDP($A71,"EQY_FREE_FLOAT_PCT")</f>
        <v>#NAME?</v>
      </c>
      <c r="L71" s="714" t="e">
        <f ca="1">_xll.BDP($A71,"AVG_DAILY_VALUE_TRADED_6M")/1000000</f>
        <v>#NAME?</v>
      </c>
      <c r="M71" s="713" t="e">
        <f ca="1">_xll.BDP($A71,"INDUSTRY_GROUP")</f>
        <v>#NAME?</v>
      </c>
      <c r="N71" s="714" t="e">
        <f ca="1">_xll.BDP($A71,"EQY_BETA_6M")</f>
        <v>#NAME?</v>
      </c>
      <c r="O71" s="714" t="e">
        <f ca="1">_xll.BDP($A71,"EST_PE_NXT_YR")</f>
        <v>#NAME?</v>
      </c>
      <c r="P71" s="714" t="e">
        <f ca="1">_xll.BDP($A71,"EST_EV_THIS_YR_EBITDA")</f>
        <v>#NAME?</v>
      </c>
      <c r="Q71" s="714" t="e">
        <f ca="1">_xll.BDP($A71,"CURRENT_EV_TO_12M_SALES")</f>
        <v>#NAME?</v>
      </c>
      <c r="R71" s="714" t="e">
        <f ca="1">_xll.BDP($A71,"PX_TO_BOOK_RATIO")</f>
        <v>#NAME?</v>
      </c>
      <c r="S71" s="714" t="e">
        <f ca="1">_xll.BDP($A71,"PX_TO_FREE_CASH_FLOW")</f>
        <v>#NAME?</v>
      </c>
      <c r="T71" s="714" t="e">
        <f ca="1">_xll.BDP($A71,"NET_DEBT_TO_EBITDA")</f>
        <v>#NAME?</v>
      </c>
      <c r="U71" s="714" t="e">
        <f ca="1">_xll.BDP($A71,"SALES_GROWTH")</f>
        <v>#NAME?</v>
      </c>
      <c r="V71" s="714" t="e">
        <f ca="1">_xll.BDP($A71,"EPS_GROWTH")</f>
        <v>#NAME?</v>
      </c>
      <c r="W71" s="714" t="e">
        <f ca="1">_xll.BDP($A71,"EBITDA_MARGIN")</f>
        <v>#NAME?</v>
      </c>
      <c r="X71" s="714" t="e">
        <f ca="1">_xll.BDP($A71,"EBIT_MARGIN")</f>
        <v>#NAME?</v>
      </c>
      <c r="Y71" s="714" t="e">
        <f ca="1">_xll.BDP($A71,"TRAIL_12M_PROF_MARGIN")</f>
        <v>#NAME?</v>
      </c>
      <c r="Z71" s="714" t="e">
        <f ca="1">_xll.BDP($A71,"NORMALIZED_ROE")</f>
        <v>#NAME?</v>
      </c>
      <c r="AA71" s="715" t="e">
        <f ca="1">_xll.BDP($A71,"BDVD_PROJ_12M_YLD")</f>
        <v>#NAME?</v>
      </c>
      <c r="AB71" s="715" t="e">
        <f ca="1">_xll.BDP($A71,"DVD_RECORD_DT")</f>
        <v>#NAME?</v>
      </c>
      <c r="AC71" s="716" t="e">
        <f ca="1">_xll.BDP($A71,"EQY_REC_CONS")</f>
        <v>#NAME?</v>
      </c>
      <c r="AD71" s="714" t="e">
        <f ca="1">_xll.BDP($A71,"PCT_REVENUE_FROM_FOREIGN_SOURCES")</f>
        <v>#NAME?</v>
      </c>
      <c r="AE71" s="717" t="e">
        <f ca="1">_xll.BDP($A71,"BDVD_NEXT_EST_DECL_DT")</f>
        <v>#NAME?</v>
      </c>
    </row>
    <row r="72" spans="1:31" s="8" customFormat="1" x14ac:dyDescent="0.25">
      <c r="A72" s="533" t="s">
        <v>228</v>
      </c>
      <c r="B72" s="520" t="e">
        <f ca="1">_xll.BDP($A72,"SHORT_NAME")</f>
        <v>#NAME?</v>
      </c>
      <c r="C72" s="520" t="e">
        <f ca="1">_xll.BDP($A72,"PX_LAST")</f>
        <v>#NAME?</v>
      </c>
      <c r="D72" s="521" t="e">
        <f ca="1">_xll.BDP($A72,"CHG_PCT_WTD")</f>
        <v>#NAME?</v>
      </c>
      <c r="E72" s="521" t="e">
        <f ca="1">_xll.BDP($A72,"CHG_PCT_1M")</f>
        <v>#NAME?</v>
      </c>
      <c r="F72" s="521" t="e">
        <f ca="1">_xll.BDP($A72,"CHG_PCT_1YR")</f>
        <v>#NAME?</v>
      </c>
      <c r="G72" s="521" t="e">
        <f ca="1">_xll.BDP($A72,"CHG_PCT_YTD")</f>
        <v>#NAME?</v>
      </c>
      <c r="H72" s="521" t="e">
        <f ca="1">_xll.BDP($A72,"BEST_TARGET_PRICE")</f>
        <v>#NAME?</v>
      </c>
      <c r="I72" s="522" t="e">
        <f t="shared" ca="1" si="4"/>
        <v>#NAME?</v>
      </c>
      <c r="J72" s="523" t="e">
        <f ca="1">_xll.BDP($A72,"CUR_MKT_CAP")/1000000/$AI$1</f>
        <v>#NAME?</v>
      </c>
      <c r="K72" s="523" t="e">
        <f ca="1">_xll.BDP($A72,"EQY_FREE_FLOAT_PCT")</f>
        <v>#NAME?</v>
      </c>
      <c r="L72" s="524" t="e">
        <f ca="1">_xll.BDP($A72,"AVG_DAILY_VALUE_TRADED_6M")/$AI$1/1000000</f>
        <v>#NAME?</v>
      </c>
      <c r="M72" s="523" t="e">
        <f ca="1">_xll.BDP($A72,"INDUSTRY_GROUP")</f>
        <v>#NAME?</v>
      </c>
      <c r="N72" s="524" t="e">
        <f ca="1">_xll.BDP($A72,"EQY_BETA_6M")</f>
        <v>#NAME?</v>
      </c>
      <c r="O72" s="524" t="e">
        <f ca="1">_xll.BDP($A72,"EST_PE_NXT_YR")</f>
        <v>#NAME?</v>
      </c>
      <c r="P72" s="524" t="e">
        <f ca="1">_xll.BDP($A72,"EST_EV_THIS_YR_EBITDA")</f>
        <v>#NAME?</v>
      </c>
      <c r="Q72" s="524" t="e">
        <f ca="1">_xll.BDP($A72,"CURRENT_EV_TO_12M_SALES")</f>
        <v>#NAME?</v>
      </c>
      <c r="R72" s="524" t="e">
        <f ca="1">_xll.BDP($A72,"PX_TO_BOOK_RATIO")</f>
        <v>#NAME?</v>
      </c>
      <c r="S72" s="524" t="e">
        <f ca="1">_xll.BDP($A72,"PX_TO_FREE_CASH_FLOW")</f>
        <v>#NAME?</v>
      </c>
      <c r="T72" s="524" t="e">
        <f ca="1">_xll.BDP($A72,"NET_DEBT_TO_EBITDA")</f>
        <v>#NAME?</v>
      </c>
      <c r="U72" s="524" t="e">
        <f ca="1">_xll.BDP($A72,"SALES_GROWTH")</f>
        <v>#NAME?</v>
      </c>
      <c r="V72" s="524" t="e">
        <f ca="1">_xll.BDP($A72,"EPS_GROWTH")</f>
        <v>#NAME?</v>
      </c>
      <c r="W72" s="524" t="e">
        <f ca="1">_xll.BDP($A72,"EBITDA_MARGIN")</f>
        <v>#NAME?</v>
      </c>
      <c r="X72" s="524" t="e">
        <f ca="1">_xll.BDP($A72,"EBIT_MARGIN")</f>
        <v>#NAME?</v>
      </c>
      <c r="Y72" s="524" t="e">
        <f ca="1">_xll.BDP($A72,"TRAIL_12M_PROF_MARGIN")</f>
        <v>#NAME?</v>
      </c>
      <c r="Z72" s="524" t="e">
        <f ca="1">_xll.BDP($A72,"NORMALIZED_ROE")</f>
        <v>#NAME?</v>
      </c>
      <c r="AA72" s="447" t="e">
        <f ca="1">_xll.BDP($A72,"BDVD_PROJ_12M_YLD")</f>
        <v>#NAME?</v>
      </c>
      <c r="AB72" s="447" t="e">
        <f ca="1">_xll.BDP($A72,"DVD_RECORD_DT")</f>
        <v>#NAME?</v>
      </c>
      <c r="AC72" s="444" t="e">
        <f ca="1">_xll.BDP($A72,"EQY_REC_CONS")</f>
        <v>#NAME?</v>
      </c>
      <c r="AD72" s="524" t="e">
        <f ca="1">_xll.BDP($A72,"PCT_REVENUE_FROM_FOREIGN_SOURCES")</f>
        <v>#NAME?</v>
      </c>
      <c r="AE72" s="534" t="e">
        <f ca="1">_xll.BDP($A72,"BDVD_NEXT_EST_DECL_DT")</f>
        <v>#NAME?</v>
      </c>
    </row>
    <row r="73" spans="1:31" s="8" customFormat="1" ht="15.75" thickBot="1" x14ac:dyDescent="0.3">
      <c r="A73" s="535" t="s">
        <v>123</v>
      </c>
      <c r="B73" s="536" t="e">
        <f ca="1">_xll.BDP($A73,"SHORT_NAME")</f>
        <v>#NAME?</v>
      </c>
      <c r="C73" s="536" t="e">
        <f ca="1">_xll.BDP($A73,"PX_LAST")</f>
        <v>#NAME?</v>
      </c>
      <c r="D73" s="537" t="e">
        <f ca="1">_xll.BDP($A73,"CHG_PCT_WTD")</f>
        <v>#NAME?</v>
      </c>
      <c r="E73" s="537" t="e">
        <f ca="1">_xll.BDP($A73,"CHG_PCT_1M")</f>
        <v>#NAME?</v>
      </c>
      <c r="F73" s="537" t="e">
        <f ca="1">_xll.BDP($A73,"CHG_PCT_1YR")</f>
        <v>#NAME?</v>
      </c>
      <c r="G73" s="537" t="e">
        <f ca="1">_xll.BDP($A73,"CHG_PCT_YTD")</f>
        <v>#NAME?</v>
      </c>
      <c r="H73" s="537" t="e">
        <f ca="1">_xll.BDP($A73,"BEST_TARGET_PRICE")</f>
        <v>#NAME?</v>
      </c>
      <c r="I73" s="538" t="e">
        <f t="shared" ca="1" si="4"/>
        <v>#NAME?</v>
      </c>
      <c r="J73" s="539" t="e">
        <f ca="1">_xll.BDP($A73,"CUR_MKT_CAP")/1000000/$AI$1</f>
        <v>#NAME?</v>
      </c>
      <c r="K73" s="539" t="e">
        <f ca="1">_xll.BDP($A73,"EQY_FREE_FLOAT_PCT")</f>
        <v>#NAME?</v>
      </c>
      <c r="L73" s="540" t="e">
        <f ca="1">_xll.BDP($A73,"AVG_DAILY_VALUE_TRADED_6M")/$AI$1/1000000</f>
        <v>#NAME?</v>
      </c>
      <c r="M73" s="539" t="e">
        <f ca="1">_xll.BDP($A73,"INDUSTRY_GROUP")</f>
        <v>#NAME?</v>
      </c>
      <c r="N73" s="540" t="e">
        <f ca="1">_xll.BDP($A73,"EQY_BETA_6M")</f>
        <v>#NAME?</v>
      </c>
      <c r="O73" s="540" t="e">
        <f ca="1">_xll.BDP($A73,"EST_PE_NXT_YR")</f>
        <v>#NAME?</v>
      </c>
      <c r="P73" s="540" t="e">
        <f ca="1">_xll.BDP($A73,"EST_EV_THIS_YR_EBITDA")</f>
        <v>#NAME?</v>
      </c>
      <c r="Q73" s="540" t="e">
        <f ca="1">_xll.BDP($A73,"CURRENT_EV_TO_12M_SALES")</f>
        <v>#NAME?</v>
      </c>
      <c r="R73" s="540" t="e">
        <f ca="1">_xll.BDP($A73,"PX_TO_BOOK_RATIO")</f>
        <v>#NAME?</v>
      </c>
      <c r="S73" s="540" t="e">
        <f ca="1">_xll.BDP($A73,"PX_TO_FREE_CASH_FLOW")</f>
        <v>#NAME?</v>
      </c>
      <c r="T73" s="540" t="e">
        <f ca="1">_xll.BDP($A73,"NET_DEBT_TO_EBITDA")</f>
        <v>#NAME?</v>
      </c>
      <c r="U73" s="540" t="e">
        <f ca="1">_xll.BDP($A73,"SALES_GROWTH")</f>
        <v>#NAME?</v>
      </c>
      <c r="V73" s="540" t="e">
        <f ca="1">_xll.BDP($A73,"EPS_GROWTH")</f>
        <v>#NAME?</v>
      </c>
      <c r="W73" s="540" t="e">
        <f ca="1">_xll.BDP($A73,"EBITDA_MARGIN")</f>
        <v>#NAME?</v>
      </c>
      <c r="X73" s="540" t="e">
        <f ca="1">_xll.BDP($A73,"EBIT_MARGIN")</f>
        <v>#NAME?</v>
      </c>
      <c r="Y73" s="540" t="e">
        <f ca="1">_xll.BDP($A73,"TRAIL_12M_PROF_MARGIN")</f>
        <v>#NAME?</v>
      </c>
      <c r="Z73" s="540" t="e">
        <f ca="1">_xll.BDP($A73,"NORMALIZED_ROE")</f>
        <v>#NAME?</v>
      </c>
      <c r="AA73" s="541" t="e">
        <f ca="1">_xll.BDP($A73,"BDVD_PROJ_12M_YLD")</f>
        <v>#NAME?</v>
      </c>
      <c r="AB73" s="541" t="e">
        <f ca="1">_xll.BDP($A73,"DVD_RECORD_DT")</f>
        <v>#NAME?</v>
      </c>
      <c r="AC73" s="672" t="e">
        <f ca="1">_xll.BDP($A73,"EQY_REC_CONS")</f>
        <v>#NAME?</v>
      </c>
      <c r="AD73" s="540" t="e">
        <f ca="1">_xll.BDP($A73,"PCT_REVENUE_FROM_FOREIGN_SOURCES")</f>
        <v>#NAME?</v>
      </c>
      <c r="AE73" s="542" t="e">
        <f ca="1">_xll.BDP($A73,"BDVD_NEXT_EST_DECL_DT")</f>
        <v>#NAME?</v>
      </c>
    </row>
    <row r="74" spans="1:31" s="8" customFormat="1" x14ac:dyDescent="0.25">
      <c r="A74" s="525" t="s">
        <v>324</v>
      </c>
      <c r="B74" s="526" t="e">
        <f ca="1">_xll.BDP($A74,"SHORT_NAME")</f>
        <v>#NAME?</v>
      </c>
      <c r="C74" s="526" t="e">
        <f ca="1">_xll.BDP($A74,"PX_LAST")</f>
        <v>#NAME?</v>
      </c>
      <c r="D74" s="527" t="e">
        <f ca="1">_xll.BDP($A74,"CHG_PCT_WTD")</f>
        <v>#NAME?</v>
      </c>
      <c r="E74" s="527" t="e">
        <f ca="1">_xll.BDP($A74,"CHG_PCT_1M")</f>
        <v>#NAME?</v>
      </c>
      <c r="F74" s="527" t="e">
        <f ca="1">_xll.BDP($A74,"CHG_PCT_1YR")</f>
        <v>#NAME?</v>
      </c>
      <c r="G74" s="527" t="e">
        <f ca="1">_xll.BDP($A74,"CHG_PCT_YTD")</f>
        <v>#NAME?</v>
      </c>
      <c r="H74" s="527" t="e">
        <f ca="1">_xll.BDP($A74,"BEST_TARGET_PRICE")</f>
        <v>#NAME?</v>
      </c>
      <c r="I74" s="528" t="e">
        <f ca="1">H74/C74-1</f>
        <v>#NAME?</v>
      </c>
      <c r="J74" s="529" t="e">
        <f ca="1">_xll.BDP($A74,"CUR_MKT_CAP")/1000000/$AI$1</f>
        <v>#NAME?</v>
      </c>
      <c r="K74" s="529" t="e">
        <f ca="1">_xll.BDP($A74,"EQY_FREE_FLOAT_PCT")</f>
        <v>#NAME?</v>
      </c>
      <c r="L74" s="530" t="e">
        <f ca="1">_xll.BDP($A74,"AVG_DAILY_VALUE_TRADED_6M")/$AI$1/1000000</f>
        <v>#NAME?</v>
      </c>
      <c r="M74" s="529" t="e">
        <f ca="1">_xll.BDP($A74,"INDUSTRY_GROUP")</f>
        <v>#NAME?</v>
      </c>
      <c r="N74" s="530" t="e">
        <f ca="1">_xll.BDP($A74,"EQY_BETA_6M")</f>
        <v>#NAME?</v>
      </c>
      <c r="O74" s="530" t="e">
        <f ca="1">_xll.BDP($A74,"EST_PE_NXT_YR")</f>
        <v>#NAME?</v>
      </c>
      <c r="P74" s="530" t="e">
        <f ca="1">_xll.BDP($A74,"EST_EV_THIS_YR_EBITDA")</f>
        <v>#NAME?</v>
      </c>
      <c r="Q74" s="530" t="e">
        <f ca="1">_xll.BDP($A74,"CURRENT_EV_TO_12M_SALES")</f>
        <v>#NAME?</v>
      </c>
      <c r="R74" s="530" t="e">
        <f ca="1">_xll.BDP($A74,"PX_TO_BOOK_RATIO")</f>
        <v>#NAME?</v>
      </c>
      <c r="S74" s="530" t="e">
        <f ca="1">_xll.BDP($A74,"PX_TO_FREE_CASH_FLOW")</f>
        <v>#NAME?</v>
      </c>
      <c r="T74" s="530" t="e">
        <f ca="1">_xll.BDP($A74,"NET_DEBT_TO_EBITDA")</f>
        <v>#NAME?</v>
      </c>
      <c r="U74" s="530" t="e">
        <f ca="1">_xll.BDP($A74,"SALES_GROWTH")</f>
        <v>#NAME?</v>
      </c>
      <c r="V74" s="530" t="e">
        <f ca="1">_xll.BDP($A74,"EPS_GROWTH")</f>
        <v>#NAME?</v>
      </c>
      <c r="W74" s="530" t="e">
        <f ca="1">_xll.BDP($A74,"EBITDA_MARGIN")</f>
        <v>#NAME?</v>
      </c>
      <c r="X74" s="530" t="e">
        <f ca="1">_xll.BDP($A74,"EBIT_MARGIN")</f>
        <v>#NAME?</v>
      </c>
      <c r="Y74" s="530" t="e">
        <f ca="1">_xll.BDP($A74,"TRAIL_12M_PROF_MARGIN")</f>
        <v>#NAME?</v>
      </c>
      <c r="Z74" s="530" t="e">
        <f ca="1">_xll.BDP($A74,"NORMALIZED_ROE")</f>
        <v>#NAME?</v>
      </c>
      <c r="AA74" s="531" t="e">
        <f ca="1">_xll.BDP($A74,"BDVD_PROJ_12M_YLD")</f>
        <v>#NAME?</v>
      </c>
      <c r="AB74" s="531" t="e">
        <f ca="1">_xll.BDP($A74,"DVD_RECORD_DT")</f>
        <v>#NAME?</v>
      </c>
      <c r="AC74" s="671" t="e">
        <f ca="1">_xll.BDP($A74,"EQY_REC_CONS")</f>
        <v>#NAME?</v>
      </c>
      <c r="AD74" s="530" t="e">
        <f ca="1">_xll.BDP($A74,"PCT_REVENUE_FROM_FOREIGN_SOURCES")</f>
        <v>#NAME?</v>
      </c>
      <c r="AE74" s="532" t="e">
        <f ca="1">_xll.BDP($A74,"BDVD_NEXT_EST_DECL_DT")</f>
        <v>#NAME?</v>
      </c>
    </row>
    <row r="75" spans="1:31" s="8" customFormat="1" x14ac:dyDescent="0.25">
      <c r="A75" s="533" t="s">
        <v>6</v>
      </c>
      <c r="B75" s="520" t="e">
        <f ca="1">_xll.BDP($A75,"SHORT_NAME")</f>
        <v>#NAME?</v>
      </c>
      <c r="C75" s="520" t="e">
        <f ca="1">_xll.BDP($A75,"PX_LAST")</f>
        <v>#NAME?</v>
      </c>
      <c r="D75" s="521" t="e">
        <f ca="1">_xll.BDP($A75,"CHG_PCT_WTD")</f>
        <v>#NAME?</v>
      </c>
      <c r="E75" s="521" t="e">
        <f ca="1">_xll.BDP($A75,"CHG_PCT_1M")</f>
        <v>#NAME?</v>
      </c>
      <c r="F75" s="521" t="e">
        <f ca="1">_xll.BDP($A75,"CHG_PCT_1YR")</f>
        <v>#NAME?</v>
      </c>
      <c r="G75" s="521" t="e">
        <f ca="1">_xll.BDP($A75,"CHG_PCT_YTD")</f>
        <v>#NAME?</v>
      </c>
      <c r="H75" s="521" t="e">
        <f ca="1">_xll.BDP($A75,"BEST_TARGET_PRICE")</f>
        <v>#NAME?</v>
      </c>
      <c r="I75" s="522" t="e">
        <f ca="1">H75/C75-1</f>
        <v>#NAME?</v>
      </c>
      <c r="J75" s="523" t="e">
        <f ca="1">_xll.BDP($A75,"CUR_MKT_CAP")/1000000/$AI$1</f>
        <v>#NAME?</v>
      </c>
      <c r="K75" s="523" t="e">
        <f ca="1">_xll.BDP($A75,"EQY_FREE_FLOAT_PCT")</f>
        <v>#NAME?</v>
      </c>
      <c r="L75" s="524" t="e">
        <f ca="1">_xll.BDP($A75,"AVG_DAILY_VALUE_TRADED_6M")/$AI$1/1000000</f>
        <v>#NAME?</v>
      </c>
      <c r="M75" s="523" t="e">
        <f ca="1">_xll.BDP($A75,"INDUSTRY_GROUP")</f>
        <v>#NAME?</v>
      </c>
      <c r="N75" s="524" t="e">
        <f ca="1">_xll.BDP($A75,"EQY_BETA_6M")</f>
        <v>#NAME?</v>
      </c>
      <c r="O75" s="524" t="e">
        <f ca="1">_xll.BDP($A75,"EST_PE_NXT_YR")</f>
        <v>#NAME?</v>
      </c>
      <c r="P75" s="524" t="e">
        <f ca="1">_xll.BDP($A75,"EST_EV_THIS_YR_EBITDA")</f>
        <v>#NAME?</v>
      </c>
      <c r="Q75" s="524" t="e">
        <f ca="1">_xll.BDP($A75,"CURRENT_EV_TO_12M_SALES")</f>
        <v>#NAME?</v>
      </c>
      <c r="R75" s="524" t="e">
        <f ca="1">_xll.BDP($A75,"PX_TO_BOOK_RATIO")</f>
        <v>#NAME?</v>
      </c>
      <c r="S75" s="524" t="e">
        <f ca="1">_xll.BDP($A75,"PX_TO_FREE_CASH_FLOW")</f>
        <v>#NAME?</v>
      </c>
      <c r="T75" s="524" t="e">
        <f ca="1">_xll.BDP($A75,"NET_DEBT_TO_EBITDA")</f>
        <v>#NAME?</v>
      </c>
      <c r="U75" s="524" t="e">
        <f ca="1">_xll.BDP($A75,"SALES_GROWTH")</f>
        <v>#NAME?</v>
      </c>
      <c r="V75" s="524" t="e">
        <f ca="1">_xll.BDP($A75,"EPS_GROWTH")</f>
        <v>#NAME?</v>
      </c>
      <c r="W75" s="524" t="e">
        <f ca="1">_xll.BDP($A75,"EBITDA_MARGIN")</f>
        <v>#NAME?</v>
      </c>
      <c r="X75" s="524" t="e">
        <f ca="1">_xll.BDP($A75,"EBIT_MARGIN")</f>
        <v>#NAME?</v>
      </c>
      <c r="Y75" s="524" t="e">
        <f ca="1">_xll.BDP($A75,"TRAIL_12M_PROF_MARGIN")</f>
        <v>#NAME?</v>
      </c>
      <c r="Z75" s="524" t="e">
        <f ca="1">_xll.BDP($A75,"NORMALIZED_ROE")</f>
        <v>#NAME?</v>
      </c>
      <c r="AA75" s="447" t="e">
        <f ca="1">_xll.BDP($A75,"BDVD_PROJ_12M_YLD")</f>
        <v>#NAME?</v>
      </c>
      <c r="AB75" s="447" t="e">
        <f ca="1">_xll.BDP($A75,"DVD_RECORD_DT")</f>
        <v>#NAME?</v>
      </c>
      <c r="AC75" s="444" t="e">
        <f ca="1">_xll.BDP($A75,"EQY_REC_CONS")</f>
        <v>#NAME?</v>
      </c>
      <c r="AD75" s="524" t="e">
        <f ca="1">_xll.BDP($A75,"PCT_REVENUE_FROM_FOREIGN_SOURCES")</f>
        <v>#NAME?</v>
      </c>
      <c r="AE75" s="534" t="e">
        <f ca="1">_xll.BDP($A75,"BDVD_NEXT_EST_DECL_DT")</f>
        <v>#NAME?</v>
      </c>
    </row>
    <row r="76" spans="1:31" s="8" customFormat="1" x14ac:dyDescent="0.25">
      <c r="A76" s="533" t="s">
        <v>68</v>
      </c>
      <c r="B76" s="520" t="e">
        <f ca="1">_xll.BDP($A76,"SHORT_NAME")</f>
        <v>#NAME?</v>
      </c>
      <c r="C76" s="520" t="e">
        <f ca="1">_xll.BDP($A76,"PX_LAST")</f>
        <v>#NAME?</v>
      </c>
      <c r="D76" s="521" t="e">
        <f ca="1">_xll.BDP($A76,"CHG_PCT_WTD")</f>
        <v>#NAME?</v>
      </c>
      <c r="E76" s="521" t="e">
        <f ca="1">_xll.BDP($A76,"CHG_PCT_1M")</f>
        <v>#NAME?</v>
      </c>
      <c r="F76" s="521" t="e">
        <f ca="1">_xll.BDP($A76,"CHG_PCT_1YR")</f>
        <v>#NAME?</v>
      </c>
      <c r="G76" s="521" t="e">
        <f ca="1">_xll.BDP($A76,"CHG_PCT_YTD")</f>
        <v>#NAME?</v>
      </c>
      <c r="H76" s="521" t="e">
        <f ca="1">_xll.BDP($A76,"BEST_TARGET_PRICE")</f>
        <v>#NAME?</v>
      </c>
      <c r="I76" s="522" t="e">
        <f ca="1">H76/C76-1</f>
        <v>#NAME?</v>
      </c>
      <c r="J76" s="523" t="e">
        <f ca="1">_xll.BDP($A76,"CUR_MKT_CAP")/1000000/$AI$1</f>
        <v>#NAME?</v>
      </c>
      <c r="K76" s="523" t="e">
        <f ca="1">_xll.BDP($A76,"EQY_FREE_FLOAT_PCT")</f>
        <v>#NAME?</v>
      </c>
      <c r="L76" s="524" t="e">
        <f ca="1">_xll.BDP($A76,"AVG_DAILY_VALUE_TRADED_6M")/$AI$1/1000000</f>
        <v>#NAME?</v>
      </c>
      <c r="M76" s="523" t="e">
        <f ca="1">_xll.BDP($A76,"INDUSTRY_GROUP")</f>
        <v>#NAME?</v>
      </c>
      <c r="N76" s="524" t="e">
        <f ca="1">_xll.BDP($A76,"EQY_BETA_6M")</f>
        <v>#NAME?</v>
      </c>
      <c r="O76" s="524" t="e">
        <f ca="1">_xll.BDP($A76,"EST_PE_NXT_YR")</f>
        <v>#NAME?</v>
      </c>
      <c r="P76" s="524" t="e">
        <f ca="1">_xll.BDP($A76,"EST_EV_THIS_YR_EBITDA")</f>
        <v>#NAME?</v>
      </c>
      <c r="Q76" s="524" t="e">
        <f ca="1">_xll.BDP($A76,"CURRENT_EV_TO_12M_SALES")</f>
        <v>#NAME?</v>
      </c>
      <c r="R76" s="524" t="e">
        <f ca="1">_xll.BDP($A76,"PX_TO_BOOK_RATIO")</f>
        <v>#NAME?</v>
      </c>
      <c r="S76" s="524" t="e">
        <f ca="1">_xll.BDP($A76,"PX_TO_FREE_CASH_FLOW")</f>
        <v>#NAME?</v>
      </c>
      <c r="T76" s="524" t="e">
        <f ca="1">_xll.BDP($A76,"NET_DEBT_TO_EBITDA")</f>
        <v>#NAME?</v>
      </c>
      <c r="U76" s="524" t="e">
        <f ca="1">_xll.BDP($A76,"SALES_GROWTH")</f>
        <v>#NAME?</v>
      </c>
      <c r="V76" s="524" t="e">
        <f ca="1">_xll.BDP($A76,"EPS_GROWTH")</f>
        <v>#NAME?</v>
      </c>
      <c r="W76" s="524" t="e">
        <f ca="1">_xll.BDP($A76,"EBITDA_MARGIN")</f>
        <v>#NAME?</v>
      </c>
      <c r="X76" s="524" t="e">
        <f ca="1">_xll.BDP($A76,"EBIT_MARGIN")</f>
        <v>#NAME?</v>
      </c>
      <c r="Y76" s="524" t="e">
        <f ca="1">_xll.BDP($A76,"TRAIL_12M_PROF_MARGIN")</f>
        <v>#NAME?</v>
      </c>
      <c r="Z76" s="524" t="e">
        <f ca="1">_xll.BDP($A76,"NORMALIZED_ROE")</f>
        <v>#NAME?</v>
      </c>
      <c r="AA76" s="447" t="e">
        <f ca="1">_xll.BDP($A76,"BDVD_PROJ_12M_YLD")</f>
        <v>#NAME?</v>
      </c>
      <c r="AB76" s="447" t="e">
        <f ca="1">_xll.BDP($A76,"DVD_RECORD_DT")</f>
        <v>#NAME?</v>
      </c>
      <c r="AC76" s="444" t="e">
        <f ca="1">_xll.BDP($A76,"EQY_REC_CONS")</f>
        <v>#NAME?</v>
      </c>
      <c r="AD76" s="524" t="e">
        <f ca="1">_xll.BDP($A76,"PCT_REVENUE_FROM_FOREIGN_SOURCES")</f>
        <v>#NAME?</v>
      </c>
      <c r="AE76" s="534" t="e">
        <f ca="1">_xll.BDP($A76,"BDVD_NEXT_EST_DECL_DT")</f>
        <v>#NAME?</v>
      </c>
    </row>
    <row r="77" spans="1:31" s="8" customFormat="1" ht="15.75" thickBot="1" x14ac:dyDescent="0.3">
      <c r="A77" s="535" t="s">
        <v>133</v>
      </c>
      <c r="B77" s="536" t="e">
        <f ca="1">_xll.BDP($A77,"SHORT_NAME")</f>
        <v>#NAME?</v>
      </c>
      <c r="C77" s="536" t="e">
        <f ca="1">_xll.BDP($A77,"PX_LAST")</f>
        <v>#NAME?</v>
      </c>
      <c r="D77" s="537" t="e">
        <f ca="1">_xll.BDP($A77,"CHG_PCT_WTD")</f>
        <v>#NAME?</v>
      </c>
      <c r="E77" s="537" t="e">
        <f ca="1">_xll.BDP($A77,"CHG_PCT_1M")</f>
        <v>#NAME?</v>
      </c>
      <c r="F77" s="537" t="e">
        <f ca="1">_xll.BDP($A77,"CHG_PCT_1YR")</f>
        <v>#NAME?</v>
      </c>
      <c r="G77" s="537" t="e">
        <f ca="1">_xll.BDP($A77,"CHG_PCT_YTD")</f>
        <v>#NAME?</v>
      </c>
      <c r="H77" s="537" t="e">
        <f ca="1">_xll.BDP($A77,"BEST_TARGET_PRICE")</f>
        <v>#NAME?</v>
      </c>
      <c r="I77" s="538" t="e">
        <f ca="1">H77/C77-1</f>
        <v>#NAME?</v>
      </c>
      <c r="J77" s="539" t="e">
        <f ca="1">_xll.BDP($A77,"CUR_MKT_CAP")/1000000/$AI$1</f>
        <v>#NAME?</v>
      </c>
      <c r="K77" s="539" t="e">
        <f ca="1">_xll.BDP($A77,"EQY_FREE_FLOAT_PCT")</f>
        <v>#NAME?</v>
      </c>
      <c r="L77" s="540" t="e">
        <f ca="1">_xll.BDP($A77,"AVG_DAILY_VALUE_TRADED_6M")/$AI$1/1000000</f>
        <v>#NAME?</v>
      </c>
      <c r="M77" s="539" t="e">
        <f ca="1">_xll.BDP($A77,"INDUSTRY_GROUP")</f>
        <v>#NAME?</v>
      </c>
      <c r="N77" s="540" t="e">
        <f ca="1">_xll.BDP($A77,"EQY_BETA_6M")</f>
        <v>#NAME?</v>
      </c>
      <c r="O77" s="540" t="e">
        <f ca="1">_xll.BDP($A77,"EST_PE_NXT_YR")</f>
        <v>#NAME?</v>
      </c>
      <c r="P77" s="540" t="e">
        <f ca="1">_xll.BDP($A77,"EST_EV_THIS_YR_EBITDA")</f>
        <v>#NAME?</v>
      </c>
      <c r="Q77" s="540" t="e">
        <f ca="1">_xll.BDP($A77,"CURRENT_EV_TO_12M_SALES")</f>
        <v>#NAME?</v>
      </c>
      <c r="R77" s="540" t="e">
        <f ca="1">_xll.BDP($A77,"PX_TO_BOOK_RATIO")</f>
        <v>#NAME?</v>
      </c>
      <c r="S77" s="540" t="e">
        <f ca="1">_xll.BDP($A77,"PX_TO_FREE_CASH_FLOW")</f>
        <v>#NAME?</v>
      </c>
      <c r="T77" s="540" t="e">
        <f ca="1">_xll.BDP($A77,"NET_DEBT_TO_EBITDA")</f>
        <v>#NAME?</v>
      </c>
      <c r="U77" s="540" t="e">
        <f ca="1">_xll.BDP($A77,"SALES_GROWTH")</f>
        <v>#NAME?</v>
      </c>
      <c r="V77" s="540" t="e">
        <f ca="1">_xll.BDP($A77,"EPS_GROWTH")</f>
        <v>#NAME?</v>
      </c>
      <c r="W77" s="540" t="e">
        <f ca="1">_xll.BDP($A77,"EBITDA_MARGIN")</f>
        <v>#NAME?</v>
      </c>
      <c r="X77" s="540" t="e">
        <f ca="1">_xll.BDP($A77,"EBIT_MARGIN")</f>
        <v>#NAME?</v>
      </c>
      <c r="Y77" s="540" t="e">
        <f ca="1">_xll.BDP($A77,"TRAIL_12M_PROF_MARGIN")</f>
        <v>#NAME?</v>
      </c>
      <c r="Z77" s="540" t="e">
        <f ca="1">_xll.BDP($A77,"NORMALIZED_ROE")</f>
        <v>#NAME?</v>
      </c>
      <c r="AA77" s="541" t="e">
        <f ca="1">_xll.BDP($A77,"BDVD_PROJ_12M_YLD")</f>
        <v>#NAME?</v>
      </c>
      <c r="AB77" s="541" t="e">
        <f ca="1">_xll.BDP($A77,"DVD_RECORD_DT")</f>
        <v>#NAME?</v>
      </c>
      <c r="AC77" s="672" t="e">
        <f ca="1">_xll.BDP($A77,"EQY_REC_CONS")</f>
        <v>#NAME?</v>
      </c>
      <c r="AD77" s="540" t="e">
        <f ca="1">_xll.BDP($A77,"PCT_REVENUE_FROM_FOREIGN_SOURCES")</f>
        <v>#NAME?</v>
      </c>
      <c r="AE77" s="542" t="e">
        <f ca="1">_xll.BDP($A77,"BDVD_NEXT_EST_DECL_DT")</f>
        <v>#NAME?</v>
      </c>
    </row>
    <row r="78" spans="1:31" x14ac:dyDescent="0.25">
      <c r="A78" s="2"/>
      <c r="B78" s="2"/>
      <c r="C78" s="2"/>
      <c r="D78" s="5"/>
      <c r="E78" s="5"/>
      <c r="F78" s="5"/>
      <c r="G78" s="5"/>
      <c r="H78" s="5"/>
      <c r="I78" s="4"/>
      <c r="J78" s="3"/>
      <c r="K78" s="3"/>
      <c r="L78" s="3"/>
      <c r="M78" s="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7"/>
      <c r="AB78" s="7"/>
      <c r="AC78" s="6"/>
      <c r="AD78" s="6"/>
    </row>
    <row r="79" spans="1:31" x14ac:dyDescent="0.25">
      <c r="A79" s="2"/>
      <c r="B79" s="2"/>
      <c r="C79" s="2"/>
      <c r="D79" s="5"/>
      <c r="E79" s="5"/>
      <c r="F79" s="5"/>
      <c r="G79" s="5"/>
      <c r="H79" s="5"/>
      <c r="I79" s="4"/>
      <c r="J79" s="3"/>
      <c r="K79" s="3"/>
      <c r="L79" s="3"/>
      <c r="M79" s="3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7"/>
      <c r="AB79" s="7"/>
      <c r="AC79" s="6"/>
      <c r="AD79" s="6"/>
    </row>
  </sheetData>
  <sortState ref="A68:AE70">
    <sortCondition descending="1" ref="I68:I70"/>
  </sortState>
  <conditionalFormatting sqref="D47 D59">
    <cfRule type="dataBar" priority="1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{B61C2E3A-6143-49FD-A735-6C5B733AA74D}</x14:id>
        </ext>
      </extLst>
    </cfRule>
  </conditionalFormatting>
  <conditionalFormatting sqref="E47 E59">
    <cfRule type="dataBar" priority="16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{E5B753BF-68BD-4F80-9C55-8F9D08303168}</x14:id>
        </ext>
      </extLst>
    </cfRule>
  </conditionalFormatting>
  <conditionalFormatting sqref="F47 F59">
    <cfRule type="dataBar" priority="1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{CDACE354-FEAE-4D8B-BF66-3745A856D78D}</x14:id>
        </ext>
      </extLst>
    </cfRule>
  </conditionalFormatting>
  <conditionalFormatting sqref="G47 G59">
    <cfRule type="dataBar" priority="1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{7FE4F2EC-4FDD-43C4-9B4A-4908A731B05B}</x14:id>
        </ext>
      </extLst>
    </cfRule>
  </conditionalFormatting>
  <conditionalFormatting sqref="I47 I59">
    <cfRule type="dataBar" priority="1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{49B1BA99-9424-4C4A-B027-B08FD29A23F5}</x14:id>
        </ext>
      </extLst>
    </cfRule>
  </conditionalFormatting>
  <conditionalFormatting sqref="O47 O59">
    <cfRule type="dataBar" priority="1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{92F6290B-A65B-4346-AA9E-D5360C49DFA1}</x14:id>
        </ext>
      </extLst>
    </cfRule>
  </conditionalFormatting>
  <conditionalFormatting sqref="P47 P59">
    <cfRule type="dataBar" priority="1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{4117B5C8-E815-4FD7-8D75-CCE5A469B1A4}</x14:id>
        </ext>
      </extLst>
    </cfRule>
  </conditionalFormatting>
  <conditionalFormatting sqref="Q47 Q59">
    <cfRule type="dataBar" priority="1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{68316DB4-FF55-4D77-A73F-F448151B639F}</x14:id>
        </ext>
      </extLst>
    </cfRule>
  </conditionalFormatting>
  <conditionalFormatting sqref="R47 R59">
    <cfRule type="dataBar" priority="1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{CE73B41C-F65A-4311-955D-45300ECF4366}</x14:id>
        </ext>
      </extLst>
    </cfRule>
  </conditionalFormatting>
  <conditionalFormatting sqref="S47 S59">
    <cfRule type="dataBar" priority="1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{AAC5FCC9-8874-406D-A22D-7BD1E9B6DA63}</x14:id>
        </ext>
      </extLst>
    </cfRule>
  </conditionalFormatting>
  <conditionalFormatting sqref="T47 T59">
    <cfRule type="dataBar" priority="1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{5FDB4008-04B9-4781-9E23-714D648262A5}</x14:id>
        </ext>
      </extLst>
    </cfRule>
  </conditionalFormatting>
  <conditionalFormatting sqref="U47 U59">
    <cfRule type="dataBar" priority="1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{E59400D0-B9DF-42EB-9810-BADF48CEC644}</x14:id>
        </ext>
      </extLst>
    </cfRule>
  </conditionalFormatting>
  <conditionalFormatting sqref="V47 V59">
    <cfRule type="dataBar" priority="1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{D5B1567C-AA16-4913-A48A-2AA3185D5E36}</x14:id>
        </ext>
      </extLst>
    </cfRule>
  </conditionalFormatting>
  <conditionalFormatting sqref="W47 W59">
    <cfRule type="dataBar" priority="1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{1613F396-EAA4-4A32-92BF-7B5D8F2E05F9}</x14:id>
        </ext>
      </extLst>
    </cfRule>
  </conditionalFormatting>
  <conditionalFormatting sqref="X47 X59">
    <cfRule type="dataBar" priority="16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{84182A9C-6C36-48F2-93B0-B579F3050F0C}</x14:id>
        </ext>
      </extLst>
    </cfRule>
  </conditionalFormatting>
  <conditionalFormatting sqref="Y47 Y59">
    <cfRule type="dataBar" priority="16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{6B63572A-3660-4F38-B0CC-66C43CBA7440}</x14:id>
        </ext>
      </extLst>
    </cfRule>
  </conditionalFormatting>
  <conditionalFormatting sqref="Z47 Z59">
    <cfRule type="dataBar" priority="16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{41B117B7-A231-4A7E-96B5-F5F777464614}</x14:id>
        </ext>
      </extLst>
    </cfRule>
  </conditionalFormatting>
  <conditionalFormatting sqref="AA59:AB59 AA47:AB47">
    <cfRule type="dataBar" priority="1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{5AA25522-8750-4809-AB59-BBBA8E933B23}</x14:id>
        </ext>
      </extLst>
    </cfRule>
  </conditionalFormatting>
  <conditionalFormatting sqref="D78">
    <cfRule type="dataBar" priority="1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{B8AEB6E2-C100-40B1-B209-F70D66B6601D}</x14:id>
        </ext>
      </extLst>
    </cfRule>
  </conditionalFormatting>
  <conditionalFormatting sqref="E78">
    <cfRule type="dataBar" priority="1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{99F80D03-44AB-4578-8681-C2AA6BC94577}</x14:id>
        </ext>
      </extLst>
    </cfRule>
  </conditionalFormatting>
  <conditionalFormatting sqref="F78">
    <cfRule type="dataBar" priority="1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{D2162D01-89A0-4650-BC63-F9FFB50D4463}</x14:id>
        </ext>
      </extLst>
    </cfRule>
  </conditionalFormatting>
  <conditionalFormatting sqref="G78">
    <cfRule type="dataBar" priority="1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{006EF5FD-3D53-4097-89BC-86D017D1D215}</x14:id>
        </ext>
      </extLst>
    </cfRule>
  </conditionalFormatting>
  <conditionalFormatting sqref="I78">
    <cfRule type="dataBar" priority="1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{FC501ACD-35DA-42CB-92F1-8F43EAEA69BB}</x14:id>
        </ext>
      </extLst>
    </cfRule>
  </conditionalFormatting>
  <conditionalFormatting sqref="O78">
    <cfRule type="dataBar" priority="1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{6D58DD95-E21D-401C-9D67-32E649D6904A}</x14:id>
        </ext>
      </extLst>
    </cfRule>
  </conditionalFormatting>
  <conditionalFormatting sqref="P78">
    <cfRule type="dataBar" priority="1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{90D847D5-01E5-45B1-97D3-3AD1307864DE}</x14:id>
        </ext>
      </extLst>
    </cfRule>
  </conditionalFormatting>
  <conditionalFormatting sqref="Q78">
    <cfRule type="dataBar" priority="1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{9CDCB2B2-DDC1-44BC-95CD-2EDA8434DC25}</x14:id>
        </ext>
      </extLst>
    </cfRule>
  </conditionalFormatting>
  <conditionalFormatting sqref="R78">
    <cfRule type="dataBar" priority="1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{977091AE-D460-4D9A-87AF-AB7A03DE4379}</x14:id>
        </ext>
      </extLst>
    </cfRule>
  </conditionalFormatting>
  <conditionalFormatting sqref="S78">
    <cfRule type="dataBar" priority="1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{3D1D4C25-0D10-4556-9804-9B4A84CFC9BB}</x14:id>
        </ext>
      </extLst>
    </cfRule>
  </conditionalFormatting>
  <conditionalFormatting sqref="T78">
    <cfRule type="dataBar" priority="1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{CA09B202-49D1-41F9-B11E-A13A41DBED4C}</x14:id>
        </ext>
      </extLst>
    </cfRule>
  </conditionalFormatting>
  <conditionalFormatting sqref="U78">
    <cfRule type="dataBar" priority="1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{1EC63C6C-26CB-4463-8C17-C6AA880D8C08}</x14:id>
        </ext>
      </extLst>
    </cfRule>
  </conditionalFormatting>
  <conditionalFormatting sqref="V78">
    <cfRule type="dataBar" priority="1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{C3C73A47-6AF1-49F1-A5F7-B0589AAB0887}</x14:id>
        </ext>
      </extLst>
    </cfRule>
  </conditionalFormatting>
  <conditionalFormatting sqref="W78">
    <cfRule type="dataBar" priority="1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{65D25532-F512-4C26-8F46-8E0A77CE25AE}</x14:id>
        </ext>
      </extLst>
    </cfRule>
  </conditionalFormatting>
  <conditionalFormatting sqref="X78">
    <cfRule type="dataBar" priority="16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{171EF88C-570C-46A6-8A6F-336329B04B64}</x14:id>
        </ext>
      </extLst>
    </cfRule>
  </conditionalFormatting>
  <conditionalFormatting sqref="Y78">
    <cfRule type="dataBar" priority="16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{783B3944-CBEB-45D0-B706-1D03FC61A759}</x14:id>
        </ext>
      </extLst>
    </cfRule>
  </conditionalFormatting>
  <conditionalFormatting sqref="Z78">
    <cfRule type="dataBar" priority="16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{5E46827E-FE41-42D0-B704-0B951FDFD7BC}</x14:id>
        </ext>
      </extLst>
    </cfRule>
  </conditionalFormatting>
  <conditionalFormatting sqref="AA78:AB78">
    <cfRule type="dataBar" priority="16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{DF057747-530B-40F7-ACD2-6E3377AED70D}</x14:id>
        </ext>
      </extLst>
    </cfRule>
  </conditionalFormatting>
  <conditionalFormatting sqref="D78:G78">
    <cfRule type="dataBar" priority="1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{3A598585-CF8E-4E45-B6B0-310AE8217C3D}</x14:id>
        </ext>
      </extLst>
    </cfRule>
  </conditionalFormatting>
  <conditionalFormatting sqref="I78">
    <cfRule type="dataBar" priority="1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{91A3A05C-CA67-489F-9D56-05525F083D35}</x14:id>
        </ext>
      </extLst>
    </cfRule>
  </conditionalFormatting>
  <conditionalFormatting sqref="D79">
    <cfRule type="dataBar" priority="15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{92DE4CE6-AE74-41A9-B9BC-C178164B66AE}</x14:id>
        </ext>
      </extLst>
    </cfRule>
  </conditionalFormatting>
  <conditionalFormatting sqref="E79">
    <cfRule type="dataBar" priority="1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{E31BC2E4-6926-4EC0-A037-AE8D80115A6B}</x14:id>
        </ext>
      </extLst>
    </cfRule>
  </conditionalFormatting>
  <conditionalFormatting sqref="F79">
    <cfRule type="dataBar" priority="1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{DE0593C3-DA73-4DD8-B51A-C16AC89853D5}</x14:id>
        </ext>
      </extLst>
    </cfRule>
  </conditionalFormatting>
  <conditionalFormatting sqref="G79">
    <cfRule type="dataBar" priority="1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{2519D362-977F-48B7-88CD-F233D183BE69}</x14:id>
        </ext>
      </extLst>
    </cfRule>
  </conditionalFormatting>
  <conditionalFormatting sqref="I79">
    <cfRule type="dataBar" priority="15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{A4103FB3-52BF-4A9C-9A5C-25BC08BBF309}</x14:id>
        </ext>
      </extLst>
    </cfRule>
  </conditionalFormatting>
  <conditionalFormatting sqref="O79">
    <cfRule type="dataBar" priority="1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{B5A9BE54-F28E-488D-9E81-30DE77AEFF44}</x14:id>
        </ext>
      </extLst>
    </cfRule>
  </conditionalFormatting>
  <conditionalFormatting sqref="P79">
    <cfRule type="dataBar" priority="1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{35D86867-CED9-49C5-8AF9-3DE77EC7138C}</x14:id>
        </ext>
      </extLst>
    </cfRule>
  </conditionalFormatting>
  <conditionalFormatting sqref="Q79">
    <cfRule type="dataBar" priority="1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{CC4170E5-3657-4AF5-8F79-81EE66934486}</x14:id>
        </ext>
      </extLst>
    </cfRule>
  </conditionalFormatting>
  <conditionalFormatting sqref="R79">
    <cfRule type="dataBar" priority="1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{432EBD34-E2DE-49A9-9813-4A599BA0FE45}</x14:id>
        </ext>
      </extLst>
    </cfRule>
  </conditionalFormatting>
  <conditionalFormatting sqref="S79">
    <cfRule type="dataBar" priority="1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{67DB8239-9C4E-41B1-BA66-204B3607E78D}</x14:id>
        </ext>
      </extLst>
    </cfRule>
  </conditionalFormatting>
  <conditionalFormatting sqref="T79">
    <cfRule type="dataBar" priority="1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{65888D2B-ECFD-4C07-9D6C-3A080EC8878B}</x14:id>
        </ext>
      </extLst>
    </cfRule>
  </conditionalFormatting>
  <conditionalFormatting sqref="U79">
    <cfRule type="dataBar" priority="1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{90F8ABA2-A4EE-48B2-8980-EC503D351D70}</x14:id>
        </ext>
      </extLst>
    </cfRule>
  </conditionalFormatting>
  <conditionalFormatting sqref="V79">
    <cfRule type="dataBar" priority="1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{7EC4B17F-D5EC-4FDC-BE16-A0BC60E199E2}</x14:id>
        </ext>
      </extLst>
    </cfRule>
  </conditionalFormatting>
  <conditionalFormatting sqref="W79">
    <cfRule type="dataBar" priority="1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{0AA164F1-5D31-482F-951B-8EACEBFD24B6}</x14:id>
        </ext>
      </extLst>
    </cfRule>
  </conditionalFormatting>
  <conditionalFormatting sqref="X79">
    <cfRule type="dataBar" priority="16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{706D6606-2FFD-45F2-9568-029A25BF961D}</x14:id>
        </ext>
      </extLst>
    </cfRule>
  </conditionalFormatting>
  <conditionalFormatting sqref="Y79">
    <cfRule type="dataBar" priority="1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{9F3A7F24-ED6A-4BD9-8881-0B0982CDC1FC}</x14:id>
        </ext>
      </extLst>
    </cfRule>
  </conditionalFormatting>
  <conditionalFormatting sqref="Z79">
    <cfRule type="dataBar" priority="1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{07315552-0DF0-4E60-A1F0-8270297C9E1C}</x14:id>
        </ext>
      </extLst>
    </cfRule>
  </conditionalFormatting>
  <conditionalFormatting sqref="AA79:AB79">
    <cfRule type="dataBar" priority="1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{945B6549-A0E0-470D-AB13-E09276E8EACD}</x14:id>
        </ext>
      </extLst>
    </cfRule>
  </conditionalFormatting>
  <conditionalFormatting sqref="D79:G79">
    <cfRule type="dataBar" priority="15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{153ADD4C-3907-4FF2-B009-E2CE4C402FE3}</x14:id>
        </ext>
      </extLst>
    </cfRule>
  </conditionalFormatting>
  <conditionalFormatting sqref="I79">
    <cfRule type="dataBar" priority="15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{89CA46A4-D2E7-4DED-9818-1545E2C20061}</x14:id>
        </ext>
      </extLst>
    </cfRule>
  </conditionalFormatting>
  <conditionalFormatting sqref="G42">
    <cfRule type="dataBar" priority="1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{94634BC5-E507-4C05-BC5F-07BFEE53BC39}</x14:id>
        </ext>
      </extLst>
    </cfRule>
  </conditionalFormatting>
  <conditionalFormatting sqref="P42">
    <cfRule type="dataBar" priority="1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{864CB70E-9726-4FCC-8DDD-EE2DBB8515F9}</x14:id>
        </ext>
      </extLst>
    </cfRule>
  </conditionalFormatting>
  <conditionalFormatting sqref="Q42">
    <cfRule type="dataBar" priority="1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{7CBC26A5-3C9B-4B2D-BA2D-54A33D9491DA}</x14:id>
        </ext>
      </extLst>
    </cfRule>
  </conditionalFormatting>
  <conditionalFormatting sqref="T42">
    <cfRule type="dataBar" priority="1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{F62ADA0D-43B6-49F0-B820-702221B6836A}</x14:id>
        </ext>
      </extLst>
    </cfRule>
  </conditionalFormatting>
  <conditionalFormatting sqref="W42">
    <cfRule type="dataBar" priority="1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{12B23798-477B-445A-8AA1-16CAB55E52B2}</x14:id>
        </ext>
      </extLst>
    </cfRule>
  </conditionalFormatting>
  <conditionalFormatting sqref="X42">
    <cfRule type="dataBar" priority="1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{F3E686AF-91F8-4C1D-8481-7F1409EFC02B}</x14:id>
        </ext>
      </extLst>
    </cfRule>
  </conditionalFormatting>
  <conditionalFormatting sqref="Y42">
    <cfRule type="dataBar" priority="1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{8AF29AFE-5424-4AA5-BE0A-C905FD4BACBF}</x14:id>
        </ext>
      </extLst>
    </cfRule>
  </conditionalFormatting>
  <conditionalFormatting sqref="Z42">
    <cfRule type="dataBar" priority="1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{F91F5200-60C2-4629-95EF-1E9D277BACB6}</x14:id>
        </ext>
      </extLst>
    </cfRule>
  </conditionalFormatting>
  <conditionalFormatting sqref="AA42:AB42">
    <cfRule type="dataBar" priority="1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{5A77932A-CE6F-4B60-B915-E2A00CE7DDE2}</x14:id>
        </ext>
      </extLst>
    </cfRule>
  </conditionalFormatting>
  <conditionalFormatting sqref="R42">
    <cfRule type="dataBar" priority="1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{04330E54-DA92-4134-9690-E87BB1E180A4}</x14:id>
        </ext>
      </extLst>
    </cfRule>
  </conditionalFormatting>
  <conditionalFormatting sqref="S42">
    <cfRule type="dataBar" priority="1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{D1841BD3-64AA-4F1D-A03F-99B9560035CE}</x14:id>
        </ext>
      </extLst>
    </cfRule>
  </conditionalFormatting>
  <conditionalFormatting sqref="U42">
    <cfRule type="dataBar" priority="1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{DD88960F-3AAD-47FA-90EE-4BE9AF55CD4C}</x14:id>
        </ext>
      </extLst>
    </cfRule>
  </conditionalFormatting>
  <conditionalFormatting sqref="I42">
    <cfRule type="dataBar" priority="14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{4844319F-3036-4601-92C9-36DCEB4C4ED0}</x14:id>
        </ext>
      </extLst>
    </cfRule>
  </conditionalFormatting>
  <conditionalFormatting sqref="D42">
    <cfRule type="dataBar" priority="14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{0C56E267-8E37-4DA3-AF5F-002941A075ED}</x14:id>
        </ext>
      </extLst>
    </cfRule>
  </conditionalFormatting>
  <conditionalFormatting sqref="E42">
    <cfRule type="dataBar" priority="14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{BD1F24A1-9AEB-48E4-8807-0B797F8724D1}</x14:id>
        </ext>
      </extLst>
    </cfRule>
  </conditionalFormatting>
  <conditionalFormatting sqref="F42">
    <cfRule type="dataBar" priority="14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{4F5BE21A-931F-4ABA-A7CD-851704EA0A39}</x14:id>
        </ext>
      </extLst>
    </cfRule>
  </conditionalFormatting>
  <conditionalFormatting sqref="D63">
    <cfRule type="dataBar" priority="1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{C0883C95-266B-421B-B468-2883C4531047}</x14:id>
        </ext>
      </extLst>
    </cfRule>
  </conditionalFormatting>
  <conditionalFormatting sqref="E63">
    <cfRule type="dataBar" priority="1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{368085BC-92FF-46F9-B745-D7705E62F62A}</x14:id>
        </ext>
      </extLst>
    </cfRule>
  </conditionalFormatting>
  <conditionalFormatting sqref="F63">
    <cfRule type="dataBar" priority="1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{2D33F8C0-0A19-49FA-B730-1DD9F4E16A80}</x14:id>
        </ext>
      </extLst>
    </cfRule>
  </conditionalFormatting>
  <conditionalFormatting sqref="G63">
    <cfRule type="dataBar" priority="1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{30CAC70F-398E-4BC0-91E2-2BBA713C80DA}</x14:id>
        </ext>
      </extLst>
    </cfRule>
  </conditionalFormatting>
  <conditionalFormatting sqref="I63">
    <cfRule type="dataBar" priority="1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{88031E98-2419-4C86-994D-387FCD511074}</x14:id>
        </ext>
      </extLst>
    </cfRule>
  </conditionalFormatting>
  <conditionalFormatting sqref="O63">
    <cfRule type="dataBar" priority="1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{0F594D7F-4695-4B1E-9837-D8F9D9E609CA}</x14:id>
        </ext>
      </extLst>
    </cfRule>
  </conditionalFormatting>
  <conditionalFormatting sqref="P63">
    <cfRule type="dataBar" priority="1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{029280A9-24B9-4C70-8387-17D8A90FA035}</x14:id>
        </ext>
      </extLst>
    </cfRule>
  </conditionalFormatting>
  <conditionalFormatting sqref="Q63">
    <cfRule type="dataBar" priority="14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{AA5383A6-C848-4F29-804F-7F5A403434A1}</x14:id>
        </ext>
      </extLst>
    </cfRule>
  </conditionalFormatting>
  <conditionalFormatting sqref="R63">
    <cfRule type="dataBar" priority="14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{03FE55C8-7409-4CBD-85C0-55A6DC6EB054}</x14:id>
        </ext>
      </extLst>
    </cfRule>
  </conditionalFormatting>
  <conditionalFormatting sqref="S63">
    <cfRule type="dataBar" priority="14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{DC6063FF-20B1-4B64-9C8B-C986A84A00F4}</x14:id>
        </ext>
      </extLst>
    </cfRule>
  </conditionalFormatting>
  <conditionalFormatting sqref="T63">
    <cfRule type="dataBar" priority="1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{01B110C4-F2DD-4A34-9870-48C6078EF1E6}</x14:id>
        </ext>
      </extLst>
    </cfRule>
  </conditionalFormatting>
  <conditionalFormatting sqref="U63">
    <cfRule type="dataBar" priority="14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{BBBC3C29-4CB6-403B-91E6-2704E41D32F9}</x14:id>
        </ext>
      </extLst>
    </cfRule>
  </conditionalFormatting>
  <conditionalFormatting sqref="V63">
    <cfRule type="dataBar" priority="1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{3DD80CBD-A2FA-4186-A8BE-00018BA13648}</x14:id>
        </ext>
      </extLst>
    </cfRule>
  </conditionalFormatting>
  <conditionalFormatting sqref="W63">
    <cfRule type="dataBar" priority="1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{1204AA3A-E44F-4601-A378-D5C4A7E3942B}</x14:id>
        </ext>
      </extLst>
    </cfRule>
  </conditionalFormatting>
  <conditionalFormatting sqref="X63">
    <cfRule type="dataBar" priority="1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{0B4F63C4-7BA3-4BA7-903B-D78675D1B657}</x14:id>
        </ext>
      </extLst>
    </cfRule>
  </conditionalFormatting>
  <conditionalFormatting sqref="Y63">
    <cfRule type="dataBar" priority="1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{83F089DC-0AFA-4E62-AB53-666B86A4FBD7}</x14:id>
        </ext>
      </extLst>
    </cfRule>
  </conditionalFormatting>
  <conditionalFormatting sqref="Z63">
    <cfRule type="dataBar" priority="1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{AECFA5E1-9CE9-40E0-B6C5-5A7417CE2C15}</x14:id>
        </ext>
      </extLst>
    </cfRule>
  </conditionalFormatting>
  <conditionalFormatting sqref="AA63:AB63">
    <cfRule type="dataBar" priority="1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{FA523C43-08EE-4045-8E6C-6969BECB9483}</x14:id>
        </ext>
      </extLst>
    </cfRule>
  </conditionalFormatting>
  <conditionalFormatting sqref="D63:G63">
    <cfRule type="dataBar" priority="1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{C2290F5B-704C-4033-B8E7-13ADB1D9B96A}</x14:id>
        </ext>
      </extLst>
    </cfRule>
  </conditionalFormatting>
  <conditionalFormatting sqref="I63">
    <cfRule type="dataBar" priority="1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{572207CE-EE83-49BD-AAF2-DAEFD646F358}</x14:id>
        </ext>
      </extLst>
    </cfRule>
  </conditionalFormatting>
  <conditionalFormatting sqref="I63">
    <cfRule type="dataBar" priority="1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{67A8C800-CA64-4F39-97A2-8E182F7E62DE}</x14:id>
        </ext>
      </extLst>
    </cfRule>
  </conditionalFormatting>
  <conditionalFormatting sqref="D63:G63">
    <cfRule type="dataBar" priority="1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{046FC0B0-05F1-4387-86C0-6CF966796CDC}</x14:id>
        </ext>
      </extLst>
    </cfRule>
  </conditionalFormatting>
  <conditionalFormatting sqref="D63:G63">
    <cfRule type="dataBar" priority="1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{D1F63128-09B7-4A31-A2B8-EC66EC1A5287}</x14:id>
        </ext>
      </extLst>
    </cfRule>
  </conditionalFormatting>
  <conditionalFormatting sqref="I63">
    <cfRule type="dataBar" priority="1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{42AB0FD4-C1DD-4160-B2B9-5C40D839B2F7}</x14:id>
        </ext>
      </extLst>
    </cfRule>
  </conditionalFormatting>
  <conditionalFormatting sqref="O63:AB63">
    <cfRule type="dataBar" priority="1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{715DD97A-0BDD-4B79-B084-011E69597208}</x14:id>
        </ext>
      </extLst>
    </cfRule>
  </conditionalFormatting>
  <conditionalFormatting sqref="O63">
    <cfRule type="dataBar" priority="1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{62D90C15-D90A-4A2D-897F-7589E93D0A06}</x14:id>
        </ext>
      </extLst>
    </cfRule>
  </conditionalFormatting>
  <conditionalFormatting sqref="P63">
    <cfRule type="dataBar" priority="1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{F9166350-D8E7-48B6-AB6D-DAC9FE0374DB}</x14:id>
        </ext>
      </extLst>
    </cfRule>
  </conditionalFormatting>
  <conditionalFormatting sqref="AA63:AB63">
    <cfRule type="dataBar" priority="1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{8A13817A-97FF-44FE-92AE-EC9871631237}</x14:id>
        </ext>
      </extLst>
    </cfRule>
  </conditionalFormatting>
  <conditionalFormatting sqref="D36:G36">
    <cfRule type="dataBar" priority="1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{D9C1A974-C8E1-4F14-B70B-7CCF90154CF6}</x14:id>
        </ext>
      </extLst>
    </cfRule>
  </conditionalFormatting>
  <conditionalFormatting sqref="I36">
    <cfRule type="dataBar" priority="1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{6642C6A9-B901-44AB-8D55-2403F5C982E1}</x14:id>
        </ext>
      </extLst>
    </cfRule>
  </conditionalFormatting>
  <conditionalFormatting sqref="I36">
    <cfRule type="dataBar" priority="1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{A4126841-8DF8-46EE-8252-F047E885D17F}</x14:id>
        </ext>
      </extLst>
    </cfRule>
  </conditionalFormatting>
  <conditionalFormatting sqref="D36">
    <cfRule type="dataBar" priority="1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{786232E8-33C4-4A5D-9F25-50EC1E2A3283}</x14:id>
        </ext>
      </extLst>
    </cfRule>
  </conditionalFormatting>
  <conditionalFormatting sqref="E36">
    <cfRule type="dataBar" priority="1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{3A9CB9AC-C1E8-4D3B-9858-4EC9817F6E98}</x14:id>
        </ext>
      </extLst>
    </cfRule>
  </conditionalFormatting>
  <conditionalFormatting sqref="F36">
    <cfRule type="dataBar" priority="1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{6B4DE612-196F-44B2-829C-55D821A3C8F8}</x14:id>
        </ext>
      </extLst>
    </cfRule>
  </conditionalFormatting>
  <conditionalFormatting sqref="G36">
    <cfRule type="dataBar" priority="1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{869C688F-7EE3-4329-85EB-5F35BF63E4E4}</x14:id>
        </ext>
      </extLst>
    </cfRule>
  </conditionalFormatting>
  <conditionalFormatting sqref="I36">
    <cfRule type="dataBar" priority="1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{F34B6241-8505-47DD-9CCD-4DCBA2495540}</x14:id>
        </ext>
      </extLst>
    </cfRule>
  </conditionalFormatting>
  <conditionalFormatting sqref="O36">
    <cfRule type="dataBar" priority="1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{DA48DDB5-AC95-434F-B6CF-99CCDCDDE452}</x14:id>
        </ext>
      </extLst>
    </cfRule>
  </conditionalFormatting>
  <conditionalFormatting sqref="P36">
    <cfRule type="dataBar" priority="1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{9B1C5D1A-A1C3-4E26-B931-67C614F73F22}</x14:id>
        </ext>
      </extLst>
    </cfRule>
  </conditionalFormatting>
  <conditionalFormatting sqref="Q36">
    <cfRule type="dataBar" priority="1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{01C771AD-43BA-40CE-A4D5-BA2C8715E02F}</x14:id>
        </ext>
      </extLst>
    </cfRule>
  </conditionalFormatting>
  <conditionalFormatting sqref="R36">
    <cfRule type="dataBar" priority="1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{BB44D3F9-3D6E-4D46-BEED-5E69000DDFCC}</x14:id>
        </ext>
      </extLst>
    </cfRule>
  </conditionalFormatting>
  <conditionalFormatting sqref="S36">
    <cfRule type="dataBar" priority="1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{1251046B-E20C-4813-84C8-8066424CA854}</x14:id>
        </ext>
      </extLst>
    </cfRule>
  </conditionalFormatting>
  <conditionalFormatting sqref="T36">
    <cfRule type="dataBar" priority="1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{0ADA3476-35AA-4319-A95B-15811ABF9457}</x14:id>
        </ext>
      </extLst>
    </cfRule>
  </conditionalFormatting>
  <conditionalFormatting sqref="U36">
    <cfRule type="dataBar" priority="1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{C90BCA92-142B-4FBF-BC95-D3E47E47D4B7}</x14:id>
        </ext>
      </extLst>
    </cfRule>
  </conditionalFormatting>
  <conditionalFormatting sqref="V36">
    <cfRule type="dataBar" priority="1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{017F680C-E2A0-4F24-9A64-048F6E6F4C31}</x14:id>
        </ext>
      </extLst>
    </cfRule>
  </conditionalFormatting>
  <conditionalFormatting sqref="W36">
    <cfRule type="dataBar" priority="1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{08E98F12-3493-42B5-8781-559058C207E5}</x14:id>
        </ext>
      </extLst>
    </cfRule>
  </conditionalFormatting>
  <conditionalFormatting sqref="X36">
    <cfRule type="dataBar" priority="1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{F66F0AB9-2910-4918-B707-E5A6CC212547}</x14:id>
        </ext>
      </extLst>
    </cfRule>
  </conditionalFormatting>
  <conditionalFormatting sqref="Y36">
    <cfRule type="dataBar" priority="13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{95BCB110-D632-492F-99EE-A0A136462284}</x14:id>
        </ext>
      </extLst>
    </cfRule>
  </conditionalFormatting>
  <conditionalFormatting sqref="Z36">
    <cfRule type="dataBar" priority="1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{117DA467-D7AD-4633-8A1F-CF6DADAB8316}</x14:id>
        </ext>
      </extLst>
    </cfRule>
  </conditionalFormatting>
  <conditionalFormatting sqref="AA36:AB36">
    <cfRule type="dataBar" priority="1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{85FDE4FD-41DF-4BFC-AB32-21286CD0DC49}</x14:id>
        </ext>
      </extLst>
    </cfRule>
  </conditionalFormatting>
  <conditionalFormatting sqref="D36:G36">
    <cfRule type="dataBar" priority="1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{4E516152-2DAD-40C5-A694-53E8E71C8EF2}</x14:id>
        </ext>
      </extLst>
    </cfRule>
  </conditionalFormatting>
  <conditionalFormatting sqref="D36:G36">
    <cfRule type="dataBar" priority="1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{510EAE78-F20F-47EC-9B17-603A8D80C72A}</x14:id>
        </ext>
      </extLst>
    </cfRule>
  </conditionalFormatting>
  <conditionalFormatting sqref="I36">
    <cfRule type="dataBar" priority="1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{AAB7A41B-91E4-4A19-9C0B-8877FF8863FB}</x14:id>
        </ext>
      </extLst>
    </cfRule>
  </conditionalFormatting>
  <conditionalFormatting sqref="O36:AB36">
    <cfRule type="dataBar" priority="1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{0152D481-6736-457F-974E-337BF9494B5D}</x14:id>
        </ext>
      </extLst>
    </cfRule>
  </conditionalFormatting>
  <conditionalFormatting sqref="O36">
    <cfRule type="dataBar" priority="1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{B9E91BBC-52B0-48A9-9BC9-F6749B5B6289}</x14:id>
        </ext>
      </extLst>
    </cfRule>
  </conditionalFormatting>
  <conditionalFormatting sqref="P36">
    <cfRule type="dataBar" priority="1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{34E1BFC1-7F95-4AA2-9778-553FD9FE5466}</x14:id>
        </ext>
      </extLst>
    </cfRule>
  </conditionalFormatting>
  <conditionalFormatting sqref="AA36:AB36">
    <cfRule type="dataBar" priority="1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{4501E1E3-36C6-4938-9DE6-6FAC2BED3AF3}</x14:id>
        </ext>
      </extLst>
    </cfRule>
  </conditionalFormatting>
  <conditionalFormatting sqref="D36:G36">
    <cfRule type="dataBar" priority="1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{6E981123-AA2C-4A07-A353-5E82A1289B91}</x14:id>
        </ext>
      </extLst>
    </cfRule>
  </conditionalFormatting>
  <conditionalFormatting sqref="I36">
    <cfRule type="dataBar" priority="1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{95A2B957-2EA5-46DD-BF45-A5C22E6732FA}</x14:id>
        </ext>
      </extLst>
    </cfRule>
  </conditionalFormatting>
  <conditionalFormatting sqref="O36:AA36">
    <cfRule type="dataBar" priority="1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{CE89326F-36E6-4A07-9008-6D7ECD4AC30F}</x14:id>
        </ext>
      </extLst>
    </cfRule>
  </conditionalFormatting>
  <conditionalFormatting sqref="D43:G43">
    <cfRule type="dataBar" priority="1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{4A37E843-965B-498B-9096-FB3B64DC042E}</x14:id>
        </ext>
      </extLst>
    </cfRule>
  </conditionalFormatting>
  <conditionalFormatting sqref="I43">
    <cfRule type="dataBar" priority="1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{DD62903E-57F2-4C8A-851A-F5C9B0C02D52}</x14:id>
        </ext>
      </extLst>
    </cfRule>
  </conditionalFormatting>
  <conditionalFormatting sqref="I43">
    <cfRule type="dataBar" priority="1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{9C1D8EFC-56B1-4F2D-AF62-3759AA7E52E8}</x14:id>
        </ext>
      </extLst>
    </cfRule>
  </conditionalFormatting>
  <conditionalFormatting sqref="G43">
    <cfRule type="dataBar" priority="1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{B11FF317-FF13-4D7B-B9B7-0AF2FFBE62AF}</x14:id>
        </ext>
      </extLst>
    </cfRule>
  </conditionalFormatting>
  <conditionalFormatting sqref="P43">
    <cfRule type="dataBar" priority="1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{5305F718-81F7-48FF-A08C-553B66B69500}</x14:id>
        </ext>
      </extLst>
    </cfRule>
  </conditionalFormatting>
  <conditionalFormatting sqref="Q43">
    <cfRule type="dataBar" priority="1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{E9A3B1F3-BCBD-4347-AEE4-B21516FAA5A3}</x14:id>
        </ext>
      </extLst>
    </cfRule>
  </conditionalFormatting>
  <conditionalFormatting sqref="T43">
    <cfRule type="dataBar" priority="1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{EEA8DB1C-A3C4-415E-A6C3-C894F985976A}</x14:id>
        </ext>
      </extLst>
    </cfRule>
  </conditionalFormatting>
  <conditionalFormatting sqref="W43">
    <cfRule type="dataBar" priority="1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{5913E6EB-27CA-4DFE-AA54-B343E9045DDB}</x14:id>
        </ext>
      </extLst>
    </cfRule>
  </conditionalFormatting>
  <conditionalFormatting sqref="X43">
    <cfRule type="dataBar" priority="1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{AE037193-1ACF-4054-806F-DE00CDC51984}</x14:id>
        </ext>
      </extLst>
    </cfRule>
  </conditionalFormatting>
  <conditionalFormatting sqref="Y43">
    <cfRule type="dataBar" priority="1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{2FAF86AC-B589-4F9C-9FAF-8F42C57DD5B6}</x14:id>
        </ext>
      </extLst>
    </cfRule>
  </conditionalFormatting>
  <conditionalFormatting sqref="Z43">
    <cfRule type="dataBar" priority="1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{8B83C29D-9349-41AB-B250-A63C8E6023E3}</x14:id>
        </ext>
      </extLst>
    </cfRule>
  </conditionalFormatting>
  <conditionalFormatting sqref="AA43:AB43">
    <cfRule type="dataBar" priority="1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{B7079C89-D508-4A8E-91B6-4419E2D35CC2}</x14:id>
        </ext>
      </extLst>
    </cfRule>
  </conditionalFormatting>
  <conditionalFormatting sqref="R43">
    <cfRule type="dataBar" priority="1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{7DEFE514-4704-412C-9776-F6E24EAC08E4}</x14:id>
        </ext>
      </extLst>
    </cfRule>
  </conditionalFormatting>
  <conditionalFormatting sqref="S43">
    <cfRule type="dataBar" priority="1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{B26BE20C-2E58-4729-AC8A-53699AE345AE}</x14:id>
        </ext>
      </extLst>
    </cfRule>
  </conditionalFormatting>
  <conditionalFormatting sqref="U43">
    <cfRule type="dataBar" priority="1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{1C1F6F15-DD72-4D76-833A-EE5D45B7FE3E}</x14:id>
        </ext>
      </extLst>
    </cfRule>
  </conditionalFormatting>
  <conditionalFormatting sqref="I43">
    <cfRule type="dataBar" priority="1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{05A0E2A9-40A7-424D-918B-B65D731CFC44}</x14:id>
        </ext>
      </extLst>
    </cfRule>
  </conditionalFormatting>
  <conditionalFormatting sqref="D43">
    <cfRule type="dataBar" priority="1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{3F87C7F1-1950-4A95-8698-D83E211EBFBE}</x14:id>
        </ext>
      </extLst>
    </cfRule>
  </conditionalFormatting>
  <conditionalFormatting sqref="E43">
    <cfRule type="dataBar" priority="1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{9C5DA39B-1E98-4913-84EB-F99B1E8F5C84}</x14:id>
        </ext>
      </extLst>
    </cfRule>
  </conditionalFormatting>
  <conditionalFormatting sqref="F43">
    <cfRule type="dataBar" priority="1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{589DAF9E-BBA9-461A-8924-D6DC70D150BB}</x14:id>
        </ext>
      </extLst>
    </cfRule>
  </conditionalFormatting>
  <conditionalFormatting sqref="D43">
    <cfRule type="dataBar" priority="1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{BBD5E712-565C-4302-9715-EBC608275B1D}</x14:id>
        </ext>
      </extLst>
    </cfRule>
  </conditionalFormatting>
  <conditionalFormatting sqref="E43">
    <cfRule type="dataBar" priority="13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{274CB1C8-9298-4219-A460-0B8E4C6BFE08}</x14:id>
        </ext>
      </extLst>
    </cfRule>
  </conditionalFormatting>
  <conditionalFormatting sqref="F43">
    <cfRule type="dataBar" priority="1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{9BD6A741-B8DA-4DDD-B2F8-FF8CB75C45A8}</x14:id>
        </ext>
      </extLst>
    </cfRule>
  </conditionalFormatting>
  <conditionalFormatting sqref="G43">
    <cfRule type="dataBar" priority="13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{1485E23A-C064-417B-BED6-03C1947922EC}</x14:id>
        </ext>
      </extLst>
    </cfRule>
  </conditionalFormatting>
  <conditionalFormatting sqref="I43">
    <cfRule type="dataBar" priority="13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{0D07EEE8-D1B0-49EC-B29A-621366E07A4B}</x14:id>
        </ext>
      </extLst>
    </cfRule>
  </conditionalFormatting>
  <conditionalFormatting sqref="O43">
    <cfRule type="dataBar" priority="13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{2A8084EB-E308-42AD-8D03-5C8231EDD9BC}</x14:id>
        </ext>
      </extLst>
    </cfRule>
  </conditionalFormatting>
  <conditionalFormatting sqref="P43">
    <cfRule type="dataBar" priority="13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{C9D7C382-A0F0-4EDF-969C-5A7CD7BEDCF3}</x14:id>
        </ext>
      </extLst>
    </cfRule>
  </conditionalFormatting>
  <conditionalFormatting sqref="Q43">
    <cfRule type="dataBar" priority="13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{135CDBAD-8B90-41D2-AEB9-74893EE54791}</x14:id>
        </ext>
      </extLst>
    </cfRule>
  </conditionalFormatting>
  <conditionalFormatting sqref="R43">
    <cfRule type="dataBar" priority="1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{AD042357-EFD4-4670-810C-452B50E24DBA}</x14:id>
        </ext>
      </extLst>
    </cfRule>
  </conditionalFormatting>
  <conditionalFormatting sqref="S43">
    <cfRule type="dataBar" priority="13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{1BAACE3B-55B2-4AAF-9CB7-E11E3A2FB724}</x14:id>
        </ext>
      </extLst>
    </cfRule>
  </conditionalFormatting>
  <conditionalFormatting sqref="T43">
    <cfRule type="dataBar" priority="13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{A98108CA-66E2-47E6-AC8B-93BC4C151E3D}</x14:id>
        </ext>
      </extLst>
    </cfRule>
  </conditionalFormatting>
  <conditionalFormatting sqref="U43">
    <cfRule type="dataBar" priority="13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{DA2B679F-519A-4F00-B897-9B2604E2F0D6}</x14:id>
        </ext>
      </extLst>
    </cfRule>
  </conditionalFormatting>
  <conditionalFormatting sqref="V43">
    <cfRule type="dataBar" priority="1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{0E261B67-5071-4E6A-8BE7-ACB2CA49FFA9}</x14:id>
        </ext>
      </extLst>
    </cfRule>
  </conditionalFormatting>
  <conditionalFormatting sqref="W43">
    <cfRule type="dataBar" priority="1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{050757F8-D5AC-4B93-A97C-586FE1FEA1C8}</x14:id>
        </ext>
      </extLst>
    </cfRule>
  </conditionalFormatting>
  <conditionalFormatting sqref="X43">
    <cfRule type="dataBar" priority="1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{50731536-E89E-437C-B9F2-2CD79B75E06F}</x14:id>
        </ext>
      </extLst>
    </cfRule>
  </conditionalFormatting>
  <conditionalFormatting sqref="Y43">
    <cfRule type="dataBar" priority="1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{190CE093-7966-4A93-BA59-D78275F217DF}</x14:id>
        </ext>
      </extLst>
    </cfRule>
  </conditionalFormatting>
  <conditionalFormatting sqref="Z43">
    <cfRule type="dataBar" priority="1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{831B63CF-68A0-46A1-8E3E-F0F5527467D2}</x14:id>
        </ext>
      </extLst>
    </cfRule>
  </conditionalFormatting>
  <conditionalFormatting sqref="AA43:AB43">
    <cfRule type="dataBar" priority="1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{ADEF9BB7-9BF1-4A71-B229-A0D7E190CAEB}</x14:id>
        </ext>
      </extLst>
    </cfRule>
  </conditionalFormatting>
  <conditionalFormatting sqref="D43:G43">
    <cfRule type="dataBar" priority="1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{147B0F26-90C4-471A-8C54-D72BC9D9DFDE}</x14:id>
        </ext>
      </extLst>
    </cfRule>
  </conditionalFormatting>
  <conditionalFormatting sqref="D43:G43">
    <cfRule type="dataBar" priority="13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{03DD3DE5-0878-4087-9E0F-8E70484E38D7}</x14:id>
        </ext>
      </extLst>
    </cfRule>
  </conditionalFormatting>
  <conditionalFormatting sqref="I43">
    <cfRule type="dataBar" priority="13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{4D8F454F-8F13-4387-93EB-D7503D7DBBDC}</x14:id>
        </ext>
      </extLst>
    </cfRule>
  </conditionalFormatting>
  <conditionalFormatting sqref="O43:AB43">
    <cfRule type="dataBar" priority="1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{09F90C26-F9B6-4034-B41E-57E0655FDD90}</x14:id>
        </ext>
      </extLst>
    </cfRule>
  </conditionalFormatting>
  <conditionalFormatting sqref="O43">
    <cfRule type="dataBar" priority="1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{4320D210-0559-4EAD-BD5F-BFED8AC0AE79}</x14:id>
        </ext>
      </extLst>
    </cfRule>
  </conditionalFormatting>
  <conditionalFormatting sqref="P43">
    <cfRule type="dataBar" priority="1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{0E6F1876-7778-4B87-9805-6FFB815A9622}</x14:id>
        </ext>
      </extLst>
    </cfRule>
  </conditionalFormatting>
  <conditionalFormatting sqref="AA43:AB43">
    <cfRule type="dataBar" priority="1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{620D87A1-9B77-40F2-9A68-0A3DFF29DC07}</x14:id>
        </ext>
      </extLst>
    </cfRule>
  </conditionalFormatting>
  <conditionalFormatting sqref="D43:G43">
    <cfRule type="dataBar" priority="1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{F83E5EF4-B96B-4368-9DC2-04A512401EE5}</x14:id>
        </ext>
      </extLst>
    </cfRule>
  </conditionalFormatting>
  <conditionalFormatting sqref="I43">
    <cfRule type="dataBar" priority="1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{B315B53E-F931-4BC5-AC76-BB3B0E65CEB9}</x14:id>
        </ext>
      </extLst>
    </cfRule>
  </conditionalFormatting>
  <conditionalFormatting sqref="O43:AA43">
    <cfRule type="dataBar" priority="1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{8212D341-9A6A-4F71-A7F5-A297869E2BDD}</x14:id>
        </ext>
      </extLst>
    </cfRule>
  </conditionalFormatting>
  <conditionalFormatting sqref="D2:E2">
    <cfRule type="dataBar" priority="1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{55BFEEA6-C5CB-4A52-AD98-3D8E74D4CF90}</x14:id>
        </ext>
      </extLst>
    </cfRule>
  </conditionalFormatting>
  <conditionalFormatting sqref="D2">
    <cfRule type="dataBar" priority="1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{9F8C768C-6360-416E-83AD-469258EA67B7}</x14:id>
        </ext>
      </extLst>
    </cfRule>
  </conditionalFormatting>
  <conditionalFormatting sqref="E2">
    <cfRule type="dataBar" priority="1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{7088894C-A040-4842-8EE6-A1664E87AAF8}</x14:id>
        </ext>
      </extLst>
    </cfRule>
  </conditionalFormatting>
  <conditionalFormatting sqref="Q2">
    <cfRule type="dataBar" priority="1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{C7B43ACC-6D2B-4647-AE40-6FFC595C3AE3}</x14:id>
        </ext>
      </extLst>
    </cfRule>
  </conditionalFormatting>
  <conditionalFormatting sqref="R2">
    <cfRule type="dataBar" priority="1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{9DBE13C0-2D01-477D-B913-82E5A8DFFA17}</x14:id>
        </ext>
      </extLst>
    </cfRule>
  </conditionalFormatting>
  <conditionalFormatting sqref="S2">
    <cfRule type="dataBar" priority="1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{7F9CB863-E882-471E-AC20-6ECD3547193D}</x14:id>
        </ext>
      </extLst>
    </cfRule>
  </conditionalFormatting>
  <conditionalFormatting sqref="T2">
    <cfRule type="dataBar" priority="1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{04588B3A-CDF3-422A-805B-BB74ADD71EFA}</x14:id>
        </ext>
      </extLst>
    </cfRule>
  </conditionalFormatting>
  <conditionalFormatting sqref="U2">
    <cfRule type="dataBar" priority="1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{5C220A9D-EF82-4DB0-AF59-47A8F10266EB}</x14:id>
        </ext>
      </extLst>
    </cfRule>
  </conditionalFormatting>
  <conditionalFormatting sqref="V2">
    <cfRule type="dataBar" priority="1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{A26FDE4F-300C-429F-B04A-7D6E8BF1CE4C}</x14:id>
        </ext>
      </extLst>
    </cfRule>
  </conditionalFormatting>
  <conditionalFormatting sqref="W2">
    <cfRule type="dataBar" priority="1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{3784F588-7E76-4EF2-9286-8F452B8A600F}</x14:id>
        </ext>
      </extLst>
    </cfRule>
  </conditionalFormatting>
  <conditionalFormatting sqref="X2">
    <cfRule type="dataBar" priority="1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{A057C0D6-774B-4D9F-86ED-F10C5C764DBB}</x14:id>
        </ext>
      </extLst>
    </cfRule>
  </conditionalFormatting>
  <conditionalFormatting sqref="Y2">
    <cfRule type="dataBar" priority="1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{53F8846F-0597-497E-B925-F0EEADF3984A}</x14:id>
        </ext>
      </extLst>
    </cfRule>
  </conditionalFormatting>
  <conditionalFormatting sqref="Z2">
    <cfRule type="dataBar" priority="1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{D87C15F4-1743-4206-8B7E-D5ACF1A8F4BA}</x14:id>
        </ext>
      </extLst>
    </cfRule>
  </conditionalFormatting>
  <conditionalFormatting sqref="AA2:AB2">
    <cfRule type="dataBar" priority="1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{5743AECC-40D8-4B7C-A0B6-64C89D40E35F}</x14:id>
        </ext>
      </extLst>
    </cfRule>
  </conditionalFormatting>
  <conditionalFormatting sqref="D2:E2">
    <cfRule type="dataBar" priority="1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{9493F128-176B-4FD3-852F-1C9A7D215FE4}</x14:id>
        </ext>
      </extLst>
    </cfRule>
  </conditionalFormatting>
  <conditionalFormatting sqref="D2:E2">
    <cfRule type="dataBar" priority="1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{932C1517-4A85-4ECB-8BC8-FE3FB6A20566}</x14:id>
        </ext>
      </extLst>
    </cfRule>
  </conditionalFormatting>
  <conditionalFormatting sqref="Q2:AB2">
    <cfRule type="dataBar" priority="1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{DE04BACF-D41A-4813-8B63-AF5491851BBB}</x14:id>
        </ext>
      </extLst>
    </cfRule>
  </conditionalFormatting>
  <conditionalFormatting sqref="AA2:AB2">
    <cfRule type="dataBar" priority="1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{149FBC5A-58AC-47A4-85F5-E8AF91C89D45}</x14:id>
        </ext>
      </extLst>
    </cfRule>
  </conditionalFormatting>
  <conditionalFormatting sqref="D2:E2">
    <cfRule type="dataBar" priority="1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{925A1CD1-8AF1-43C7-92A0-186F82A75725}</x14:id>
        </ext>
      </extLst>
    </cfRule>
  </conditionalFormatting>
  <conditionalFormatting sqref="Q2:AA2">
    <cfRule type="dataBar" priority="1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{0C4D0190-076D-4FCD-91EF-05F29A798C95}</x14:id>
        </ext>
      </extLst>
    </cfRule>
  </conditionalFormatting>
  <conditionalFormatting sqref="AA2">
    <cfRule type="dataBar" priority="1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{51DC07A6-DF25-4809-890C-0E0573B67BA3}</x14:id>
        </ext>
      </extLst>
    </cfRule>
  </conditionalFormatting>
  <conditionalFormatting sqref="D3:G3">
    <cfRule type="dataBar" priority="1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{B2F36608-0F0A-4EB3-A8F7-A1D21D4E577A}</x14:id>
        </ext>
      </extLst>
    </cfRule>
  </conditionalFormatting>
  <conditionalFormatting sqref="I3">
    <cfRule type="dataBar" priority="1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{F5B9E8E5-8158-4D2C-BAFC-877913D4412A}</x14:id>
        </ext>
      </extLst>
    </cfRule>
  </conditionalFormatting>
  <conditionalFormatting sqref="I3">
    <cfRule type="dataBar" priority="1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{9A8F147E-D124-47A8-A070-74DCDDE6B3EF}</x14:id>
        </ext>
      </extLst>
    </cfRule>
  </conditionalFormatting>
  <conditionalFormatting sqref="D3">
    <cfRule type="dataBar" priority="1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{C1CB080C-ACDC-4D7B-8878-297E92F12154}</x14:id>
        </ext>
      </extLst>
    </cfRule>
  </conditionalFormatting>
  <conditionalFormatting sqref="E3">
    <cfRule type="dataBar" priority="1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{1BA3F07C-7D73-43CA-B5F2-45709DAA731E}</x14:id>
        </ext>
      </extLst>
    </cfRule>
  </conditionalFormatting>
  <conditionalFormatting sqref="F3">
    <cfRule type="dataBar" priority="1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{D6FBD7ED-B092-4AA9-8108-C261CBBCF0DA}</x14:id>
        </ext>
      </extLst>
    </cfRule>
  </conditionalFormatting>
  <conditionalFormatting sqref="G3">
    <cfRule type="dataBar" priority="1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{467F2925-3DB5-4933-BF2A-42A003D3745D}</x14:id>
        </ext>
      </extLst>
    </cfRule>
  </conditionalFormatting>
  <conditionalFormatting sqref="I3">
    <cfRule type="dataBar" priority="1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{896586EF-3A81-4D5F-B88D-92ACE6517C93}</x14:id>
        </ext>
      </extLst>
    </cfRule>
  </conditionalFormatting>
  <conditionalFormatting sqref="O3">
    <cfRule type="dataBar" priority="1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{7FD1FA39-B951-41DB-B20B-DB3BAE9073B7}</x14:id>
        </ext>
      </extLst>
    </cfRule>
  </conditionalFormatting>
  <conditionalFormatting sqref="P3">
    <cfRule type="dataBar" priority="1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{22E8245C-F253-4FC4-B474-AF4F7F93C248}</x14:id>
        </ext>
      </extLst>
    </cfRule>
  </conditionalFormatting>
  <conditionalFormatting sqref="Q3">
    <cfRule type="dataBar" priority="1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{577BD4B2-8F99-481C-BB44-6626748F8FF1}</x14:id>
        </ext>
      </extLst>
    </cfRule>
  </conditionalFormatting>
  <conditionalFormatting sqref="R3">
    <cfRule type="dataBar" priority="1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{1A4F04BE-36ED-4EA3-BB50-7F7B63F8C544}</x14:id>
        </ext>
      </extLst>
    </cfRule>
  </conditionalFormatting>
  <conditionalFormatting sqref="S3">
    <cfRule type="dataBar" priority="1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{671D1BBC-7C44-4B10-82B3-10CEB8AD12AE}</x14:id>
        </ext>
      </extLst>
    </cfRule>
  </conditionalFormatting>
  <conditionalFormatting sqref="T3">
    <cfRule type="dataBar" priority="1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{E483EF39-ECD7-4C45-8BE5-A808D7AC960A}</x14:id>
        </ext>
      </extLst>
    </cfRule>
  </conditionalFormatting>
  <conditionalFormatting sqref="U3">
    <cfRule type="dataBar" priority="1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{26C3783D-DF95-4160-8D57-0F5CF86D899F}</x14:id>
        </ext>
      </extLst>
    </cfRule>
  </conditionalFormatting>
  <conditionalFormatting sqref="V3">
    <cfRule type="dataBar" priority="1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{8552E6B1-5B1B-4EFD-9FB2-42647DFB7440}</x14:id>
        </ext>
      </extLst>
    </cfRule>
  </conditionalFormatting>
  <conditionalFormatting sqref="W3">
    <cfRule type="dataBar" priority="1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{D2652163-3262-49A5-A1A3-1DB6CBC3390D}</x14:id>
        </ext>
      </extLst>
    </cfRule>
  </conditionalFormatting>
  <conditionalFormatting sqref="X3">
    <cfRule type="dataBar" priority="1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{9BC24E82-8816-4D8E-9287-4617782C987B}</x14:id>
        </ext>
      </extLst>
    </cfRule>
  </conditionalFormatting>
  <conditionalFormatting sqref="Y3">
    <cfRule type="dataBar" priority="1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{5F03CAA1-1168-443E-8B09-06D61AC31EAF}</x14:id>
        </ext>
      </extLst>
    </cfRule>
  </conditionalFormatting>
  <conditionalFormatting sqref="Z3">
    <cfRule type="dataBar" priority="1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{8C5342D3-D307-4DDF-851A-A58B101F7CE3}</x14:id>
        </ext>
      </extLst>
    </cfRule>
  </conditionalFormatting>
  <conditionalFormatting sqref="AA3:AB3">
    <cfRule type="dataBar" priority="1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{2639AAD1-B86D-478F-A18E-7BB75875D090}</x14:id>
        </ext>
      </extLst>
    </cfRule>
  </conditionalFormatting>
  <conditionalFormatting sqref="D3:G3">
    <cfRule type="dataBar" priority="1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{18CEA024-F318-44D8-A525-D417247C8F7E}</x14:id>
        </ext>
      </extLst>
    </cfRule>
  </conditionalFormatting>
  <conditionalFormatting sqref="D3:G3">
    <cfRule type="dataBar" priority="1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{85753F13-A97C-44D0-A438-ADCD0773D0E8}</x14:id>
        </ext>
      </extLst>
    </cfRule>
  </conditionalFormatting>
  <conditionalFormatting sqref="I3">
    <cfRule type="dataBar" priority="1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{90A6684E-0904-415C-B63E-19F9B8569803}</x14:id>
        </ext>
      </extLst>
    </cfRule>
  </conditionalFormatting>
  <conditionalFormatting sqref="O3:AB3">
    <cfRule type="dataBar" priority="1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{815E619D-EF2F-48F9-87FC-798E09319211}</x14:id>
        </ext>
      </extLst>
    </cfRule>
  </conditionalFormatting>
  <conditionalFormatting sqref="O3">
    <cfRule type="dataBar" priority="1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{FAEA7B25-95D9-4B3E-9FA2-77EB6090C105}</x14:id>
        </ext>
      </extLst>
    </cfRule>
  </conditionalFormatting>
  <conditionalFormatting sqref="P3">
    <cfRule type="dataBar" priority="12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{2096555E-322A-480B-9048-969A809ABCC2}</x14:id>
        </ext>
      </extLst>
    </cfRule>
  </conditionalFormatting>
  <conditionalFormatting sqref="AA3:AB3">
    <cfRule type="dataBar" priority="12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{8CFF14FA-0DB0-40BB-9EAA-B2BF5EAC2FDE}</x14:id>
        </ext>
      </extLst>
    </cfRule>
  </conditionalFormatting>
  <conditionalFormatting sqref="D3:G3">
    <cfRule type="dataBar" priority="12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{4B31E594-3E28-463B-8523-3D746648EE21}</x14:id>
        </ext>
      </extLst>
    </cfRule>
  </conditionalFormatting>
  <conditionalFormatting sqref="I3">
    <cfRule type="dataBar" priority="1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{765B1359-938F-4097-ACA7-10765CB53FB6}</x14:id>
        </ext>
      </extLst>
    </cfRule>
  </conditionalFormatting>
  <conditionalFormatting sqref="O3:AA3">
    <cfRule type="dataBar" priority="1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{BB65CF4A-A24E-468E-8B68-562687EF39F6}</x14:id>
        </ext>
      </extLst>
    </cfRule>
  </conditionalFormatting>
  <conditionalFormatting sqref="I3">
    <cfRule type="dataBar" priority="1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{102FCD22-3C32-4610-A1B4-A74226DE6C34}</x14:id>
        </ext>
      </extLst>
    </cfRule>
  </conditionalFormatting>
  <conditionalFormatting sqref="F3">
    <cfRule type="dataBar" priority="12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{BCB14CE3-D880-4361-9EA6-DA3EF38CF9B6}</x14:id>
        </ext>
      </extLst>
    </cfRule>
  </conditionalFormatting>
  <conditionalFormatting sqref="G3">
    <cfRule type="dataBar" priority="1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{2E74B8C6-4F1A-42C6-9DFC-6E59DD0D7EDE}</x14:id>
        </ext>
      </extLst>
    </cfRule>
  </conditionalFormatting>
  <conditionalFormatting sqref="O3">
    <cfRule type="dataBar" priority="1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{18467C09-0EF3-489A-AAA1-5D196E503226}</x14:id>
        </ext>
      </extLst>
    </cfRule>
  </conditionalFormatting>
  <conditionalFormatting sqref="P3">
    <cfRule type="dataBar" priority="1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{C3BE8705-BBD9-44B7-AA35-7DB625C3B8C1}</x14:id>
        </ext>
      </extLst>
    </cfRule>
  </conditionalFormatting>
  <conditionalFormatting sqref="AA3">
    <cfRule type="dataBar" priority="1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{19D8C1E2-8657-47C9-A5D4-505D49DCB865}</x14:id>
        </ext>
      </extLst>
    </cfRule>
  </conditionalFormatting>
  <conditionalFormatting sqref="D4:G4">
    <cfRule type="dataBar" priority="11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{BDE0B892-0663-44A2-818D-22DFB08E39D1}</x14:id>
        </ext>
      </extLst>
    </cfRule>
  </conditionalFormatting>
  <conditionalFormatting sqref="I4">
    <cfRule type="dataBar" priority="1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{F46C33AC-B06D-45C5-B541-0F8214DA578C}</x14:id>
        </ext>
      </extLst>
    </cfRule>
  </conditionalFormatting>
  <conditionalFormatting sqref="I4">
    <cfRule type="dataBar" priority="1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{480FFC50-C094-4FC2-96F1-B1133CB35163}</x14:id>
        </ext>
      </extLst>
    </cfRule>
  </conditionalFormatting>
  <conditionalFormatting sqref="D4">
    <cfRule type="dataBar" priority="1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{CC839902-0CF0-4E37-AA7B-FD0899E458BF}</x14:id>
        </ext>
      </extLst>
    </cfRule>
  </conditionalFormatting>
  <conditionalFormatting sqref="E4">
    <cfRule type="dataBar" priority="12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{795C3E0E-88E3-488C-957F-8C1D4ADF3187}</x14:id>
        </ext>
      </extLst>
    </cfRule>
  </conditionalFormatting>
  <conditionalFormatting sqref="F4">
    <cfRule type="dataBar" priority="1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{33A89102-6F8D-4ABB-BD9E-747BE016132E}</x14:id>
        </ext>
      </extLst>
    </cfRule>
  </conditionalFormatting>
  <conditionalFormatting sqref="G4">
    <cfRule type="dataBar" priority="1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{2F0E6964-CA40-4F88-91A1-265F5AC81319}</x14:id>
        </ext>
      </extLst>
    </cfRule>
  </conditionalFormatting>
  <conditionalFormatting sqref="I4">
    <cfRule type="dataBar" priority="12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{34AAA90E-4D78-42B5-9A8D-EEA6D1F45C56}</x14:id>
        </ext>
      </extLst>
    </cfRule>
  </conditionalFormatting>
  <conditionalFormatting sqref="O4">
    <cfRule type="dataBar" priority="12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{F9EC2A35-23A3-4CD6-A7F7-FC0681E46CD1}</x14:id>
        </ext>
      </extLst>
    </cfRule>
  </conditionalFormatting>
  <conditionalFormatting sqref="P4">
    <cfRule type="dataBar" priority="1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{82174D47-CA57-4A75-BC88-847353CCECB3}</x14:id>
        </ext>
      </extLst>
    </cfRule>
  </conditionalFormatting>
  <conditionalFormatting sqref="Q4">
    <cfRule type="dataBar" priority="1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{FD01C3FA-E8B2-4A41-88D0-755137ECFFDE}</x14:id>
        </ext>
      </extLst>
    </cfRule>
  </conditionalFormatting>
  <conditionalFormatting sqref="R4">
    <cfRule type="dataBar" priority="1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{57C05757-79B7-461F-B9F3-0B97F2C1C64F}</x14:id>
        </ext>
      </extLst>
    </cfRule>
  </conditionalFormatting>
  <conditionalFormatting sqref="S4">
    <cfRule type="dataBar" priority="1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{145762D3-9541-4BCD-8C90-47567305C690}</x14:id>
        </ext>
      </extLst>
    </cfRule>
  </conditionalFormatting>
  <conditionalFormatting sqref="T4">
    <cfRule type="dataBar" priority="1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{A9667B38-B128-4BF5-9BE5-B3A94467A65F}</x14:id>
        </ext>
      </extLst>
    </cfRule>
  </conditionalFormatting>
  <conditionalFormatting sqref="U4">
    <cfRule type="dataBar" priority="1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{805A6198-26F5-444D-8D63-0A0C8B488C1D}</x14:id>
        </ext>
      </extLst>
    </cfRule>
  </conditionalFormatting>
  <conditionalFormatting sqref="V4">
    <cfRule type="dataBar" priority="1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{ABB2B070-0CBE-4950-8EBB-CE971D02F918}</x14:id>
        </ext>
      </extLst>
    </cfRule>
  </conditionalFormatting>
  <conditionalFormatting sqref="W4">
    <cfRule type="dataBar" priority="1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{85E6C408-7F34-4525-8805-60CC396D3F87}</x14:id>
        </ext>
      </extLst>
    </cfRule>
  </conditionalFormatting>
  <conditionalFormatting sqref="X4">
    <cfRule type="dataBar" priority="1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{A2062E49-E004-47B0-AA22-2F24BD704486}</x14:id>
        </ext>
      </extLst>
    </cfRule>
  </conditionalFormatting>
  <conditionalFormatting sqref="Y4">
    <cfRule type="dataBar" priority="1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{CEF1A885-B9DB-4DE4-8572-52C2889369D3}</x14:id>
        </ext>
      </extLst>
    </cfRule>
  </conditionalFormatting>
  <conditionalFormatting sqref="Z4">
    <cfRule type="dataBar" priority="1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{4B0AB882-229C-4FEF-8CB9-A8C429D38B28}</x14:id>
        </ext>
      </extLst>
    </cfRule>
  </conditionalFormatting>
  <conditionalFormatting sqref="AA4:AB4">
    <cfRule type="dataBar" priority="1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{63CCF495-F812-4CB8-8963-589226D24192}</x14:id>
        </ext>
      </extLst>
    </cfRule>
  </conditionalFormatting>
  <conditionalFormatting sqref="D4:G4">
    <cfRule type="dataBar" priority="1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{609F05BA-AA91-4B62-A2AA-3FCE7740088D}</x14:id>
        </ext>
      </extLst>
    </cfRule>
  </conditionalFormatting>
  <conditionalFormatting sqref="D4:G4">
    <cfRule type="dataBar" priority="1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{CAE7D9F3-47E1-4FED-A916-E3FEFEA2D293}</x14:id>
        </ext>
      </extLst>
    </cfRule>
  </conditionalFormatting>
  <conditionalFormatting sqref="I4">
    <cfRule type="dataBar" priority="1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{A1B9AFE3-D8BD-41CA-BC1B-7E92F735246E}</x14:id>
        </ext>
      </extLst>
    </cfRule>
  </conditionalFormatting>
  <conditionalFormatting sqref="O4:AB4">
    <cfRule type="dataBar" priority="1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{7BC71181-0376-4A6B-8BD1-CE316C1C7725}</x14:id>
        </ext>
      </extLst>
    </cfRule>
  </conditionalFormatting>
  <conditionalFormatting sqref="O4">
    <cfRule type="dataBar" priority="1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{C385180F-FC6B-4573-9FB7-2DB39B6C283F}</x14:id>
        </ext>
      </extLst>
    </cfRule>
  </conditionalFormatting>
  <conditionalFormatting sqref="P4">
    <cfRule type="dataBar" priority="1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{06DB24C4-6C5E-403F-BA4B-631EA39752F2}</x14:id>
        </ext>
      </extLst>
    </cfRule>
  </conditionalFormatting>
  <conditionalFormatting sqref="AA4:AB4">
    <cfRule type="dataBar" priority="1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{41DEBAD2-2118-4148-90FF-841D894C9D1E}</x14:id>
        </ext>
      </extLst>
    </cfRule>
  </conditionalFormatting>
  <conditionalFormatting sqref="D4:G4">
    <cfRule type="dataBar" priority="1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{646874FB-D5B3-437F-92D9-6D777A1CA213}</x14:id>
        </ext>
      </extLst>
    </cfRule>
  </conditionalFormatting>
  <conditionalFormatting sqref="I4">
    <cfRule type="dataBar" priority="1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{E85CFB83-8AD4-46A8-B4DD-62A2FAC78452}</x14:id>
        </ext>
      </extLst>
    </cfRule>
  </conditionalFormatting>
  <conditionalFormatting sqref="O4:AA4">
    <cfRule type="dataBar" priority="12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{7DE054D6-BC2B-4BD6-AA08-7B933698C4BD}</x14:id>
        </ext>
      </extLst>
    </cfRule>
  </conditionalFormatting>
  <conditionalFormatting sqref="I4">
    <cfRule type="dataBar" priority="12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{5937B106-58BB-4D35-89FC-C535A85629C6}</x14:id>
        </ext>
      </extLst>
    </cfRule>
  </conditionalFormatting>
  <conditionalFormatting sqref="F4">
    <cfRule type="dataBar" priority="1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{F3116565-7EDE-406F-95C5-22B211CAAA77}</x14:id>
        </ext>
      </extLst>
    </cfRule>
  </conditionalFormatting>
  <conditionalFormatting sqref="G4">
    <cfRule type="dataBar" priority="1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{FE17148E-2FA0-4ABE-85E7-5D82AC716A50}</x14:id>
        </ext>
      </extLst>
    </cfRule>
  </conditionalFormatting>
  <conditionalFormatting sqref="O4">
    <cfRule type="dataBar" priority="1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{B2F67859-75FA-45E4-ACFD-15959CCAF54A}</x14:id>
        </ext>
      </extLst>
    </cfRule>
  </conditionalFormatting>
  <conditionalFormatting sqref="P4">
    <cfRule type="dataBar" priority="1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{9748FD8F-ABC9-4339-92DD-CF92ACA7CF81}</x14:id>
        </ext>
      </extLst>
    </cfRule>
  </conditionalFormatting>
  <conditionalFormatting sqref="AA4">
    <cfRule type="dataBar" priority="1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{186E6F63-7485-401E-BFC0-A66D839212E1}</x14:id>
        </ext>
      </extLst>
    </cfRule>
  </conditionalFormatting>
  <conditionalFormatting sqref="D5:G5">
    <cfRule type="dataBar" priority="1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{A06B1537-D885-42FB-ADC1-79A3B951FC9C}</x14:id>
        </ext>
      </extLst>
    </cfRule>
  </conditionalFormatting>
  <conditionalFormatting sqref="I5">
    <cfRule type="dataBar" priority="1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{943CB851-02CB-434D-9753-CEC45C72D30B}</x14:id>
        </ext>
      </extLst>
    </cfRule>
  </conditionalFormatting>
  <conditionalFormatting sqref="I5">
    <cfRule type="dataBar" priority="1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{350E7D99-FB3B-4710-854E-CC5C0E531AF5}</x14:id>
        </ext>
      </extLst>
    </cfRule>
  </conditionalFormatting>
  <conditionalFormatting sqref="D5">
    <cfRule type="dataBar" priority="1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{741F39F1-C03F-40AA-903E-0F8B318D172F}</x14:id>
        </ext>
      </extLst>
    </cfRule>
  </conditionalFormatting>
  <conditionalFormatting sqref="E5">
    <cfRule type="dataBar" priority="1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{B4FEA7C6-3E84-430E-B5CC-BED6B9790193}</x14:id>
        </ext>
      </extLst>
    </cfRule>
  </conditionalFormatting>
  <conditionalFormatting sqref="F5">
    <cfRule type="dataBar" priority="1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{112F109F-105D-46DA-A7CC-C5D801D98A83}</x14:id>
        </ext>
      </extLst>
    </cfRule>
  </conditionalFormatting>
  <conditionalFormatting sqref="G5">
    <cfRule type="dataBar" priority="1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{373293D2-83C2-47F8-9FDD-950DC65C9830}</x14:id>
        </ext>
      </extLst>
    </cfRule>
  </conditionalFormatting>
  <conditionalFormatting sqref="I5">
    <cfRule type="dataBar" priority="1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{263B551D-4338-43FD-AA2C-44CBD3ACDC75}</x14:id>
        </ext>
      </extLst>
    </cfRule>
  </conditionalFormatting>
  <conditionalFormatting sqref="O5">
    <cfRule type="dataBar" priority="1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{3603D4C0-4FA7-43B3-B84E-6C268C25C2AB}</x14:id>
        </ext>
      </extLst>
    </cfRule>
  </conditionalFormatting>
  <conditionalFormatting sqref="P5">
    <cfRule type="dataBar" priority="1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{686C41FA-EEB2-4BB3-84C1-1A9C0A323C90}</x14:id>
        </ext>
      </extLst>
    </cfRule>
  </conditionalFormatting>
  <conditionalFormatting sqref="Q5">
    <cfRule type="dataBar" priority="1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{ACEB5BDC-51E9-4AE6-92C7-93D197E2A070}</x14:id>
        </ext>
      </extLst>
    </cfRule>
  </conditionalFormatting>
  <conditionalFormatting sqref="R5">
    <cfRule type="dataBar" priority="1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{09A1C112-3A28-4C01-B31F-2C4C9BE52D4D}</x14:id>
        </ext>
      </extLst>
    </cfRule>
  </conditionalFormatting>
  <conditionalFormatting sqref="S5">
    <cfRule type="dataBar" priority="11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{05022D5A-B526-4C3B-995A-AEBDE592CCCB}</x14:id>
        </ext>
      </extLst>
    </cfRule>
  </conditionalFormatting>
  <conditionalFormatting sqref="T5">
    <cfRule type="dataBar" priority="11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{73095BAE-09CF-45A5-B656-0492A82BECC1}</x14:id>
        </ext>
      </extLst>
    </cfRule>
  </conditionalFormatting>
  <conditionalFormatting sqref="U5">
    <cfRule type="dataBar" priority="1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{B84A7693-9529-42E7-AA1C-A344E49EE163}</x14:id>
        </ext>
      </extLst>
    </cfRule>
  </conditionalFormatting>
  <conditionalFormatting sqref="V5">
    <cfRule type="dataBar" priority="1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{2933CF7E-5EEA-491B-A9B5-E98E4B8F4593}</x14:id>
        </ext>
      </extLst>
    </cfRule>
  </conditionalFormatting>
  <conditionalFormatting sqref="W5">
    <cfRule type="dataBar" priority="11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{6857C886-01B7-45A9-9BC8-AED104C6FAD0}</x14:id>
        </ext>
      </extLst>
    </cfRule>
  </conditionalFormatting>
  <conditionalFormatting sqref="X5">
    <cfRule type="dataBar" priority="1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{893FCACC-000A-4C62-9D16-5D6D41902FA1}</x14:id>
        </ext>
      </extLst>
    </cfRule>
  </conditionalFormatting>
  <conditionalFormatting sqref="Y5">
    <cfRule type="dataBar" priority="1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{D173F982-B775-4E92-BF2F-CFEE4C8C3C40}</x14:id>
        </ext>
      </extLst>
    </cfRule>
  </conditionalFormatting>
  <conditionalFormatting sqref="Z5">
    <cfRule type="dataBar" priority="11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{45C3FE60-EFC3-4222-9699-1D9642623927}</x14:id>
        </ext>
      </extLst>
    </cfRule>
  </conditionalFormatting>
  <conditionalFormatting sqref="AA5:AB5">
    <cfRule type="dataBar" priority="11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{B0A20A31-6E15-433E-A7C4-44010D49899F}</x14:id>
        </ext>
      </extLst>
    </cfRule>
  </conditionalFormatting>
  <conditionalFormatting sqref="D5:G5">
    <cfRule type="dataBar" priority="11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{56931C2E-0AFA-4B43-B966-DBF6BC4DA3AA}</x14:id>
        </ext>
      </extLst>
    </cfRule>
  </conditionalFormatting>
  <conditionalFormatting sqref="D5:G5">
    <cfRule type="dataBar" priority="11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{FC062E5E-5749-4367-A8E5-8B57C9C80CC1}</x14:id>
        </ext>
      </extLst>
    </cfRule>
  </conditionalFormatting>
  <conditionalFormatting sqref="I5">
    <cfRule type="dataBar" priority="1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{31B31431-BBF3-41C0-A440-9581902DB6ED}</x14:id>
        </ext>
      </extLst>
    </cfRule>
  </conditionalFormatting>
  <conditionalFormatting sqref="O5:AB5">
    <cfRule type="dataBar" priority="11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{9FDFC7B6-3E21-4C65-A9EA-21FB66F58B9B}</x14:id>
        </ext>
      </extLst>
    </cfRule>
  </conditionalFormatting>
  <conditionalFormatting sqref="O5">
    <cfRule type="dataBar" priority="11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{BB1064C1-E98E-4B3E-AEFC-376AA13D8F6E}</x14:id>
        </ext>
      </extLst>
    </cfRule>
  </conditionalFormatting>
  <conditionalFormatting sqref="P5">
    <cfRule type="dataBar" priority="1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{2C1D4F17-822B-4E67-BCBE-1CA30CF31037}</x14:id>
        </ext>
      </extLst>
    </cfRule>
  </conditionalFormatting>
  <conditionalFormatting sqref="AA5:AB5">
    <cfRule type="dataBar" priority="1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{94B49FF0-FE87-4791-8B9D-1B8699E9F25D}</x14:id>
        </ext>
      </extLst>
    </cfRule>
  </conditionalFormatting>
  <conditionalFormatting sqref="D5:G5">
    <cfRule type="dataBar" priority="11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{2FC36FA5-19F3-4A8A-90D9-AB8FD84C0A46}</x14:id>
        </ext>
      </extLst>
    </cfRule>
  </conditionalFormatting>
  <conditionalFormatting sqref="I5">
    <cfRule type="dataBar" priority="11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{5F353EFD-B771-4540-9D75-C0274C0F4E93}</x14:id>
        </ext>
      </extLst>
    </cfRule>
  </conditionalFormatting>
  <conditionalFormatting sqref="O5:AA5">
    <cfRule type="dataBar" priority="11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{169BA345-3B0E-4A77-AFF9-85ECCA8366F0}</x14:id>
        </ext>
      </extLst>
    </cfRule>
  </conditionalFormatting>
  <conditionalFormatting sqref="I5">
    <cfRule type="dataBar" priority="1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{811C131D-5A5D-46C9-9CA6-62EDB5BE99DC}</x14:id>
        </ext>
      </extLst>
    </cfRule>
  </conditionalFormatting>
  <conditionalFormatting sqref="F5">
    <cfRule type="dataBar" priority="11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{93FE3FEC-89D4-456B-871F-1F60CFBC63EB}</x14:id>
        </ext>
      </extLst>
    </cfRule>
  </conditionalFormatting>
  <conditionalFormatting sqref="G5">
    <cfRule type="dataBar" priority="1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{C0F3ACED-4045-40B0-91DB-0A2760CB2018}</x14:id>
        </ext>
      </extLst>
    </cfRule>
  </conditionalFormatting>
  <conditionalFormatting sqref="O5">
    <cfRule type="dataBar" priority="1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{066B7979-9A84-4363-87B3-73BA8EAD6222}</x14:id>
        </ext>
      </extLst>
    </cfRule>
  </conditionalFormatting>
  <conditionalFormatting sqref="P5">
    <cfRule type="dataBar" priority="1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{E429ADE7-7E30-4519-99B0-C3C1E6EC1865}</x14:id>
        </ext>
      </extLst>
    </cfRule>
  </conditionalFormatting>
  <conditionalFormatting sqref="AA5">
    <cfRule type="dataBar" priority="1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{ED52114B-494D-4820-909B-9E01F15B419E}</x14:id>
        </ext>
      </extLst>
    </cfRule>
  </conditionalFormatting>
  <conditionalFormatting sqref="D8:E8">
    <cfRule type="dataBar" priority="10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{27BCB964-2EE1-4D5D-B5B4-3B294A905549}</x14:id>
        </ext>
      </extLst>
    </cfRule>
  </conditionalFormatting>
  <conditionalFormatting sqref="D8">
    <cfRule type="dataBar" priority="10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{0F07682A-489A-4DD5-A116-75AF3461C5B3}</x14:id>
        </ext>
      </extLst>
    </cfRule>
  </conditionalFormatting>
  <conditionalFormatting sqref="E8">
    <cfRule type="dataBar" priority="1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{9BA80920-1BF4-4D90-A86D-983BD8CA3C29}</x14:id>
        </ext>
      </extLst>
    </cfRule>
  </conditionalFormatting>
  <conditionalFormatting sqref="Q8">
    <cfRule type="dataBar" priority="1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{BDD13D41-7CF4-4EAA-910B-B3AF0EB831E1}</x14:id>
        </ext>
      </extLst>
    </cfRule>
  </conditionalFormatting>
  <conditionalFormatting sqref="R8">
    <cfRule type="dataBar" priority="1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{ABE6B963-6618-4D9A-8465-9C1758125BA7}</x14:id>
        </ext>
      </extLst>
    </cfRule>
  </conditionalFormatting>
  <conditionalFormatting sqref="S8">
    <cfRule type="dataBar" priority="1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{8F4EA996-4A96-4949-87FC-D614CE310284}</x14:id>
        </ext>
      </extLst>
    </cfRule>
  </conditionalFormatting>
  <conditionalFormatting sqref="T8">
    <cfRule type="dataBar" priority="1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{338831B5-21DA-41E0-B1C2-9E86386C3DEE}</x14:id>
        </ext>
      </extLst>
    </cfRule>
  </conditionalFormatting>
  <conditionalFormatting sqref="U8">
    <cfRule type="dataBar" priority="1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{0A09E258-5178-4D8F-9F4E-372CDACC4A72}</x14:id>
        </ext>
      </extLst>
    </cfRule>
  </conditionalFormatting>
  <conditionalFormatting sqref="V8">
    <cfRule type="dataBar" priority="1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{5E9FF6D0-F3D1-4B5C-B294-C994D1C53495}</x14:id>
        </ext>
      </extLst>
    </cfRule>
  </conditionalFormatting>
  <conditionalFormatting sqref="W8">
    <cfRule type="dataBar" priority="1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{3F0EB657-E4BA-438A-A259-13D890A372F1}</x14:id>
        </ext>
      </extLst>
    </cfRule>
  </conditionalFormatting>
  <conditionalFormatting sqref="X8">
    <cfRule type="dataBar" priority="1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{06AE2899-F3DD-463F-83F9-FFC3F0A29A34}</x14:id>
        </ext>
      </extLst>
    </cfRule>
  </conditionalFormatting>
  <conditionalFormatting sqref="Y8">
    <cfRule type="dataBar" priority="1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{8DEDBF62-2764-4682-BBD2-FF548B468BF4}</x14:id>
        </ext>
      </extLst>
    </cfRule>
  </conditionalFormatting>
  <conditionalFormatting sqref="Z8">
    <cfRule type="dataBar" priority="1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{58B4814B-45F9-45AB-B8A9-F3EB30CFFB4E}</x14:id>
        </ext>
      </extLst>
    </cfRule>
  </conditionalFormatting>
  <conditionalFormatting sqref="AA8:AB8">
    <cfRule type="dataBar" priority="1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{55D151BA-DA2B-4594-9E03-CD3F8ECAC6A0}</x14:id>
        </ext>
      </extLst>
    </cfRule>
  </conditionalFormatting>
  <conditionalFormatting sqref="D8:E8">
    <cfRule type="dataBar" priority="1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{D833F55F-8177-40E6-842E-B3C5835887B3}</x14:id>
        </ext>
      </extLst>
    </cfRule>
  </conditionalFormatting>
  <conditionalFormatting sqref="D8:E8">
    <cfRule type="dataBar" priority="1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{C166C437-D6FF-45DB-8B8B-FE9F91FE06C1}</x14:id>
        </ext>
      </extLst>
    </cfRule>
  </conditionalFormatting>
  <conditionalFormatting sqref="Q8:AB8">
    <cfRule type="dataBar" priority="1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{F4165190-1B89-4958-8003-2327DB45D28A}</x14:id>
        </ext>
      </extLst>
    </cfRule>
  </conditionalFormatting>
  <conditionalFormatting sqref="AA8:AB8">
    <cfRule type="dataBar" priority="1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{282EB88C-CBB2-465D-B163-EBEABE3E78C7}</x14:id>
        </ext>
      </extLst>
    </cfRule>
  </conditionalFormatting>
  <conditionalFormatting sqref="D8:E8">
    <cfRule type="dataBar" priority="1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{74682F76-9DEF-46A8-89CB-D4F1051AF699}</x14:id>
        </ext>
      </extLst>
    </cfRule>
  </conditionalFormatting>
  <conditionalFormatting sqref="Q8:AA8">
    <cfRule type="dataBar" priority="1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{CA72B00D-4999-4918-9EF6-01AD10249E39}</x14:id>
        </ext>
      </extLst>
    </cfRule>
  </conditionalFormatting>
  <conditionalFormatting sqref="AA8">
    <cfRule type="dataBar" priority="1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{5FACA732-033C-425E-9239-76A838D61351}</x14:id>
        </ext>
      </extLst>
    </cfRule>
  </conditionalFormatting>
  <conditionalFormatting sqref="D9:G9">
    <cfRule type="dataBar" priority="10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{B3730FB3-6FE0-4CF1-A5F0-53273DA328FA}</x14:id>
        </ext>
      </extLst>
    </cfRule>
  </conditionalFormatting>
  <conditionalFormatting sqref="I9">
    <cfRule type="dataBar" priority="10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{4970BE9D-CCAF-4F32-88FE-33BF4A410E44}</x14:id>
        </ext>
      </extLst>
    </cfRule>
  </conditionalFormatting>
  <conditionalFormatting sqref="I9">
    <cfRule type="dataBar" priority="10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{C62CD078-96AC-4C38-AC47-D53DB6F44202}</x14:id>
        </ext>
      </extLst>
    </cfRule>
  </conditionalFormatting>
  <conditionalFormatting sqref="F9">
    <cfRule type="dataBar" priority="10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{9520C51F-1911-4BFC-8F71-4B4DC1730F13}</x14:id>
        </ext>
      </extLst>
    </cfRule>
  </conditionalFormatting>
  <conditionalFormatting sqref="G9">
    <cfRule type="dataBar" priority="10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{72DAE52D-CE40-424D-BFE5-1F275A68B6B0}</x14:id>
        </ext>
      </extLst>
    </cfRule>
  </conditionalFormatting>
  <conditionalFormatting sqref="I9">
    <cfRule type="dataBar" priority="10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{15BCD5F2-3CA4-4BC8-8586-F32ADF121B30}</x14:id>
        </ext>
      </extLst>
    </cfRule>
  </conditionalFormatting>
  <conditionalFormatting sqref="O9">
    <cfRule type="dataBar" priority="10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{9EA2CD58-E9DD-411E-9159-AEE0284FE666}</x14:id>
        </ext>
      </extLst>
    </cfRule>
  </conditionalFormatting>
  <conditionalFormatting sqref="P9">
    <cfRule type="dataBar" priority="10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{B636EAC7-12D5-4588-878D-5D171C14329C}</x14:id>
        </ext>
      </extLst>
    </cfRule>
  </conditionalFormatting>
  <conditionalFormatting sqref="AA9:AB9">
    <cfRule type="dataBar" priority="10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{7305C7B7-85CF-4566-960D-61890E1CDA3F}</x14:id>
        </ext>
      </extLst>
    </cfRule>
  </conditionalFormatting>
  <conditionalFormatting sqref="D9:G9">
    <cfRule type="dataBar" priority="10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{611DD6F3-62A6-4889-B417-563F50D11718}</x14:id>
        </ext>
      </extLst>
    </cfRule>
  </conditionalFormatting>
  <conditionalFormatting sqref="D9:G9">
    <cfRule type="dataBar" priority="10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{DCF18977-5EB1-4D3E-9C32-DAF42C3C8AD2}</x14:id>
        </ext>
      </extLst>
    </cfRule>
  </conditionalFormatting>
  <conditionalFormatting sqref="I9">
    <cfRule type="dataBar" priority="10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{F26F173C-CBEF-40E2-9FBC-7DCFB618542B}</x14:id>
        </ext>
      </extLst>
    </cfRule>
  </conditionalFormatting>
  <conditionalFormatting sqref="O9:AB9">
    <cfRule type="dataBar" priority="10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{E5E50AC2-9EE1-4079-9BED-187077449A68}</x14:id>
        </ext>
      </extLst>
    </cfRule>
  </conditionalFormatting>
  <conditionalFormatting sqref="O9">
    <cfRule type="dataBar" priority="10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{F9039DE0-07B9-461E-9772-DFE48D8769B2}</x14:id>
        </ext>
      </extLst>
    </cfRule>
  </conditionalFormatting>
  <conditionalFormatting sqref="P9">
    <cfRule type="dataBar" priority="10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{A8813CBE-3A76-4843-85DD-8E6DCB1A0DE8}</x14:id>
        </ext>
      </extLst>
    </cfRule>
  </conditionalFormatting>
  <conditionalFormatting sqref="AA9:AB9">
    <cfRule type="dataBar" priority="10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{179FFF13-711B-4D0C-986A-9BAE67050393}</x14:id>
        </ext>
      </extLst>
    </cfRule>
  </conditionalFormatting>
  <conditionalFormatting sqref="D9:G9">
    <cfRule type="dataBar" priority="10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{C2EF04A4-3D21-492D-9611-04C9DD5E3173}</x14:id>
        </ext>
      </extLst>
    </cfRule>
  </conditionalFormatting>
  <conditionalFormatting sqref="I9">
    <cfRule type="dataBar" priority="10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{05EDEB34-9E16-4587-9A8E-2089B3D4C451}</x14:id>
        </ext>
      </extLst>
    </cfRule>
  </conditionalFormatting>
  <conditionalFormatting sqref="O9:AA9">
    <cfRule type="dataBar" priority="10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{A9B18B65-4361-4C29-9100-989E76B7DB13}</x14:id>
        </ext>
      </extLst>
    </cfRule>
  </conditionalFormatting>
  <conditionalFormatting sqref="I9">
    <cfRule type="dataBar" priority="10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{C4710D95-A7F8-4083-B8BB-536ED2747478}</x14:id>
        </ext>
      </extLst>
    </cfRule>
  </conditionalFormatting>
  <conditionalFormatting sqref="F9">
    <cfRule type="dataBar" priority="10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{A5AA762B-1891-49A8-A80A-7C03B3EBB4DC}</x14:id>
        </ext>
      </extLst>
    </cfRule>
  </conditionalFormatting>
  <conditionalFormatting sqref="G9">
    <cfRule type="dataBar" priority="10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{7B348A64-BCFD-4592-BC23-D60783A46104}</x14:id>
        </ext>
      </extLst>
    </cfRule>
  </conditionalFormatting>
  <conditionalFormatting sqref="O9">
    <cfRule type="dataBar" priority="10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{0F6C50A7-27B1-47BB-BE2B-6B3047A11252}</x14:id>
        </ext>
      </extLst>
    </cfRule>
  </conditionalFormatting>
  <conditionalFormatting sqref="P9">
    <cfRule type="dataBar" priority="10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{FE1F18EB-BD38-4F37-B21C-2419A9FF6D42}</x14:id>
        </ext>
      </extLst>
    </cfRule>
  </conditionalFormatting>
  <conditionalFormatting sqref="D9">
    <cfRule type="dataBar" priority="10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{11AAEE78-DC35-4979-8A86-69738F09FDF7}</x14:id>
        </ext>
      </extLst>
    </cfRule>
  </conditionalFormatting>
  <conditionalFormatting sqref="E9">
    <cfRule type="dataBar" priority="1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{48850481-504A-45DD-ADC7-A10E385F8387}</x14:id>
        </ext>
      </extLst>
    </cfRule>
  </conditionalFormatting>
  <conditionalFormatting sqref="Q9">
    <cfRule type="dataBar" priority="10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{A374E640-1FAF-4DAD-84C9-1C3F8206731C}</x14:id>
        </ext>
      </extLst>
    </cfRule>
  </conditionalFormatting>
  <conditionalFormatting sqref="R9">
    <cfRule type="dataBar" priority="10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{9DA587CE-64D4-4CFC-9623-58F9C3D51A2D}</x14:id>
        </ext>
      </extLst>
    </cfRule>
  </conditionalFormatting>
  <conditionalFormatting sqref="S9">
    <cfRule type="dataBar" priority="10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{95C6B83D-6332-4E44-9756-C9452C3B8321}</x14:id>
        </ext>
      </extLst>
    </cfRule>
  </conditionalFormatting>
  <conditionalFormatting sqref="T9">
    <cfRule type="dataBar" priority="10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{C49A967A-E684-43B1-8C39-F0C3AF72F4F6}</x14:id>
        </ext>
      </extLst>
    </cfRule>
  </conditionalFormatting>
  <conditionalFormatting sqref="U9">
    <cfRule type="dataBar" priority="10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{17C19C06-3737-4DE3-8C1D-788D6C4BC1B5}</x14:id>
        </ext>
      </extLst>
    </cfRule>
  </conditionalFormatting>
  <conditionalFormatting sqref="V9">
    <cfRule type="dataBar" priority="10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{BC990337-2718-4E37-972A-81648EC20443}</x14:id>
        </ext>
      </extLst>
    </cfRule>
  </conditionalFormatting>
  <conditionalFormatting sqref="W9">
    <cfRule type="dataBar" priority="10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{509A21EE-D507-4065-A280-81D34C4E4BEF}</x14:id>
        </ext>
      </extLst>
    </cfRule>
  </conditionalFormatting>
  <conditionalFormatting sqref="X9">
    <cfRule type="dataBar" priority="10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{58FB06C1-F59B-46D6-8EC9-43C8778E9C74}</x14:id>
        </ext>
      </extLst>
    </cfRule>
  </conditionalFormatting>
  <conditionalFormatting sqref="Y9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{7E8C6065-F84B-4523-BD54-07E794F3D58E}</x14:id>
        </ext>
      </extLst>
    </cfRule>
  </conditionalFormatting>
  <conditionalFormatting sqref="Z9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{95B7F448-F2D2-4FDC-BF37-33306EC5C8D6}</x14:id>
        </ext>
      </extLst>
    </cfRule>
  </conditionalFormatting>
  <conditionalFormatting sqref="AA9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{A78CBF28-4ECD-47FA-81E2-CBB157EF165A}</x14:id>
        </ext>
      </extLst>
    </cfRule>
  </conditionalFormatting>
  <conditionalFormatting sqref="AA10:AB10">
    <cfRule type="dataBar" priority="10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{25509BA3-4334-49A3-B29E-C45146CB5BCC}</x14:id>
        </ext>
      </extLst>
    </cfRule>
  </conditionalFormatting>
  <conditionalFormatting sqref="Q10:AB10">
    <cfRule type="dataBar" priority="10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{610B6A33-BA45-4EF5-9ED5-B0A0D524E992}</x14:id>
        </ext>
      </extLst>
    </cfRule>
  </conditionalFormatting>
  <conditionalFormatting sqref="AA10:AB10">
    <cfRule type="dataBar" priority="10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{591D2C42-1705-497B-B64F-226762C3FB3E}</x14:id>
        </ext>
      </extLst>
    </cfRule>
  </conditionalFormatting>
  <conditionalFormatting sqref="D10:E10">
    <cfRule type="dataBar" priority="10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{416BE0B6-DDD0-481D-9813-106C0697CF9C}</x14:id>
        </ext>
      </extLst>
    </cfRule>
  </conditionalFormatting>
  <conditionalFormatting sqref="D10:E10">
    <cfRule type="dataBar" priority="10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{F1CA788D-ACEB-411B-8140-03330AE6B825}</x14:id>
        </ext>
      </extLst>
    </cfRule>
  </conditionalFormatting>
  <conditionalFormatting sqref="D10:E10">
    <cfRule type="dataBar" priority="10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{64468754-B7B8-4FDF-B920-20386524166F}</x14:id>
        </ext>
      </extLst>
    </cfRule>
  </conditionalFormatting>
  <conditionalFormatting sqref="D10:E10">
    <cfRule type="dataBar" priority="10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{5956B382-515D-4ACE-BF5E-0D2AC4895E7C}</x14:id>
        </ext>
      </extLst>
    </cfRule>
  </conditionalFormatting>
  <conditionalFormatting sqref="Q10:AA10">
    <cfRule type="dataBar" priority="10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{5D59C3E1-9B03-4AD1-A0CC-F91443538015}</x14:id>
        </ext>
      </extLst>
    </cfRule>
  </conditionalFormatting>
  <conditionalFormatting sqref="D10">
    <cfRule type="dataBar" priority="10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{50087712-B213-4BC5-B2CD-A1C999247195}</x14:id>
        </ext>
      </extLst>
    </cfRule>
  </conditionalFormatting>
  <conditionalFormatting sqref="E10">
    <cfRule type="dataBar" priority="10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{0895B330-B279-40A5-9FFC-0EA97853A24E}</x14:id>
        </ext>
      </extLst>
    </cfRule>
  </conditionalFormatting>
  <conditionalFormatting sqref="Q10">
    <cfRule type="dataBar" priority="10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{ADB468EA-16A1-49CB-A979-DE164495A3A9}</x14:id>
        </ext>
      </extLst>
    </cfRule>
  </conditionalFormatting>
  <conditionalFormatting sqref="R10">
    <cfRule type="dataBar" priority="10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{A2E88C61-5AD2-4382-A7DC-CF3ADC7DE1C3}</x14:id>
        </ext>
      </extLst>
    </cfRule>
  </conditionalFormatting>
  <conditionalFormatting sqref="S10">
    <cfRule type="dataBar" priority="10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{246B64AA-0D29-42E7-A5CE-186647A2ECC1}</x14:id>
        </ext>
      </extLst>
    </cfRule>
  </conditionalFormatting>
  <conditionalFormatting sqref="T10">
    <cfRule type="dataBar" priority="10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{3FD00092-4CFE-4BB7-8F91-6EFDB8DC7CFF}</x14:id>
        </ext>
      </extLst>
    </cfRule>
  </conditionalFormatting>
  <conditionalFormatting sqref="U10">
    <cfRule type="dataBar" priority="10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{3F112D73-322E-481E-92A6-F7EA62370E9B}</x14:id>
        </ext>
      </extLst>
    </cfRule>
  </conditionalFormatting>
  <conditionalFormatting sqref="V10">
    <cfRule type="dataBar" priority="10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{33D8BC92-C0A2-4513-8D60-F682EEA70B26}</x14:id>
        </ext>
      </extLst>
    </cfRule>
  </conditionalFormatting>
  <conditionalFormatting sqref="W10">
    <cfRule type="dataBar" priority="10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{40D99EC5-F05F-4F90-98D0-49895DD5E6E9}</x14:id>
        </ext>
      </extLst>
    </cfRule>
  </conditionalFormatting>
  <conditionalFormatting sqref="X10">
    <cfRule type="dataBar" priority="10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{0D769AD7-3B0E-4A56-81B2-CD7E50DBADD2}</x14:id>
        </ext>
      </extLst>
    </cfRule>
  </conditionalFormatting>
  <conditionalFormatting sqref="Y10">
    <cfRule type="dataBar" priority="10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{36AF5AA1-D0A7-41E8-847E-471AD9FAA312}</x14:id>
        </ext>
      </extLst>
    </cfRule>
  </conditionalFormatting>
  <conditionalFormatting sqref="Z10">
    <cfRule type="dataBar" priority="10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{63B6F80A-FB13-4E28-9164-05B1568266C0}</x14:id>
        </ext>
      </extLst>
    </cfRule>
  </conditionalFormatting>
  <conditionalFormatting sqref="AA10">
    <cfRule type="dataBar" priority="10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{110F84D7-CD74-488B-A42E-7BC61EF875EB}</x14:id>
        </ext>
      </extLst>
    </cfRule>
  </conditionalFormatting>
  <conditionalFormatting sqref="AA11:AB11">
    <cfRule type="dataBar" priority="1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{9D34ED3A-E6CB-4CD2-BC7A-EB73A4642C1B}</x14:id>
        </ext>
      </extLst>
    </cfRule>
  </conditionalFormatting>
  <conditionalFormatting sqref="Q11:AB11">
    <cfRule type="dataBar" priority="10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{DFC3F296-AE1D-4F94-A528-F2E6F3DF4FFA}</x14:id>
        </ext>
      </extLst>
    </cfRule>
  </conditionalFormatting>
  <conditionalFormatting sqref="AA11:AB11">
    <cfRule type="dataBar" priority="10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{4539BA78-511A-437B-872F-11058963F567}</x14:id>
        </ext>
      </extLst>
    </cfRule>
  </conditionalFormatting>
  <conditionalFormatting sqref="D11:E11">
    <cfRule type="dataBar" priority="10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{3740FD6D-F221-4673-8C6E-B8A3A73DC392}</x14:id>
        </ext>
      </extLst>
    </cfRule>
  </conditionalFormatting>
  <conditionalFormatting sqref="D11:E11">
    <cfRule type="dataBar" priority="10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{7A6EFDA1-D620-479F-B690-06C4CCE828B9}</x14:id>
        </ext>
      </extLst>
    </cfRule>
  </conditionalFormatting>
  <conditionalFormatting sqref="D11:E11">
    <cfRule type="dataBar" priority="10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{EBDA98D3-A28F-4349-8308-241D880A5322}</x14:id>
        </ext>
      </extLst>
    </cfRule>
  </conditionalFormatting>
  <conditionalFormatting sqref="D11:E11">
    <cfRule type="dataBar" priority="10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{535B690D-F24B-460A-B492-B454619817E5}</x14:id>
        </ext>
      </extLst>
    </cfRule>
  </conditionalFormatting>
  <conditionalFormatting sqref="Q11:AA11">
    <cfRule type="dataBar" priority="10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{EDEF349C-20A6-4769-A325-C233E4D70185}</x14:id>
        </ext>
      </extLst>
    </cfRule>
  </conditionalFormatting>
  <conditionalFormatting sqref="D11">
    <cfRule type="dataBar" priority="10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{3C740BA9-1B86-4481-BCB1-78682802B755}</x14:id>
        </ext>
      </extLst>
    </cfRule>
  </conditionalFormatting>
  <conditionalFormatting sqref="E11">
    <cfRule type="dataBar" priority="10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{4DBDFBA2-0926-42C8-9EF6-37DF3D874CC6}</x14:id>
        </ext>
      </extLst>
    </cfRule>
  </conditionalFormatting>
  <conditionalFormatting sqref="Q11">
    <cfRule type="dataBar" priority="10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{11F54433-1BCB-481D-BFF4-C8E7D34BE798}</x14:id>
        </ext>
      </extLst>
    </cfRule>
  </conditionalFormatting>
  <conditionalFormatting sqref="R11">
    <cfRule type="dataBar" priority="10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{F6653CD7-285C-43B1-ADFA-5D155E122E5B}</x14:id>
        </ext>
      </extLst>
    </cfRule>
  </conditionalFormatting>
  <conditionalFormatting sqref="S11">
    <cfRule type="dataBar" priority="10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{2196D122-E2A8-451B-9767-F83537DF42E8}</x14:id>
        </ext>
      </extLst>
    </cfRule>
  </conditionalFormatting>
  <conditionalFormatting sqref="T11">
    <cfRule type="dataBar" priority="10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{864D12F1-A687-44E1-8790-C109D5A6CAB1}</x14:id>
        </ext>
      </extLst>
    </cfRule>
  </conditionalFormatting>
  <conditionalFormatting sqref="U11">
    <cfRule type="dataBar" priority="10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{23D4DA58-4352-404F-85A9-E28DF83230E2}</x14:id>
        </ext>
      </extLst>
    </cfRule>
  </conditionalFormatting>
  <conditionalFormatting sqref="V11">
    <cfRule type="dataBar" priority="10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{18AF1BF2-111D-4738-AAF8-AB99031660A4}</x14:id>
        </ext>
      </extLst>
    </cfRule>
  </conditionalFormatting>
  <conditionalFormatting sqref="W11">
    <cfRule type="dataBar" priority="10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{12057B93-C65A-45E6-8FD5-9403A28E770A}</x14:id>
        </ext>
      </extLst>
    </cfRule>
  </conditionalFormatting>
  <conditionalFormatting sqref="X11">
    <cfRule type="dataBar" priority="10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{48559B1D-E476-4F2E-8857-DAEDCECE173D}</x14:id>
        </ext>
      </extLst>
    </cfRule>
  </conditionalFormatting>
  <conditionalFormatting sqref="Y11">
    <cfRule type="dataBar" priority="10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{4C797900-541B-4226-8EA8-2F495C78DE71}</x14:id>
        </ext>
      </extLst>
    </cfRule>
  </conditionalFormatting>
  <conditionalFormatting sqref="Z11">
    <cfRule type="dataBar" priority="10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{A2C50872-65BC-46E1-AC51-7555CC0A76DD}</x14:id>
        </ext>
      </extLst>
    </cfRule>
  </conditionalFormatting>
  <conditionalFormatting sqref="AA11">
    <cfRule type="dataBar" priority="10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{63C0E9BA-66CF-4BCD-8BD3-4169227084B9}</x14:id>
        </ext>
      </extLst>
    </cfRule>
  </conditionalFormatting>
  <conditionalFormatting sqref="AA13:AB13">
    <cfRule type="dataBar" priority="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{DCF3C248-0722-433B-BF0F-EA4B618B25FD}</x14:id>
        </ext>
      </extLst>
    </cfRule>
  </conditionalFormatting>
  <conditionalFormatting sqref="Q13:AB13">
    <cfRule type="dataBar" priority="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{130C0C02-83A7-4CED-9BDF-00B25CF3A605}</x14:id>
        </ext>
      </extLst>
    </cfRule>
  </conditionalFormatting>
  <conditionalFormatting sqref="AA13:AB13">
    <cfRule type="dataBar" priority="1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{68510B6B-D4A1-46BE-86C5-4CA08F08071F}</x14:id>
        </ext>
      </extLst>
    </cfRule>
  </conditionalFormatting>
  <conditionalFormatting sqref="D13:E13">
    <cfRule type="dataBar" priority="10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{693DDAF6-2AD7-4127-B059-C521260934EF}</x14:id>
        </ext>
      </extLst>
    </cfRule>
  </conditionalFormatting>
  <conditionalFormatting sqref="D13:E13">
    <cfRule type="dataBar" priority="10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{DD8F8ACA-78B0-40AD-A8E9-EA21F8A81A94}</x14:id>
        </ext>
      </extLst>
    </cfRule>
  </conditionalFormatting>
  <conditionalFormatting sqref="D13:E13">
    <cfRule type="dataBar" priority="1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{3A1346AA-0758-4CA1-8CDE-EFFF1322F2F5}</x14:id>
        </ext>
      </extLst>
    </cfRule>
  </conditionalFormatting>
  <conditionalFormatting sqref="D13:E13">
    <cfRule type="dataBar" priority="10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{FCEAF70A-5788-48B2-B014-B20F5B646BD2}</x14:id>
        </ext>
      </extLst>
    </cfRule>
  </conditionalFormatting>
  <conditionalFormatting sqref="Q13:AA13">
    <cfRule type="dataBar" priority="10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{AEC24BE9-8BDC-4C6A-92FB-6173D5B54A40}</x14:id>
        </ext>
      </extLst>
    </cfRule>
  </conditionalFormatting>
  <conditionalFormatting sqref="D13">
    <cfRule type="dataBar" priority="10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{24B24232-D542-4702-B287-8CA6E4009CC3}</x14:id>
        </ext>
      </extLst>
    </cfRule>
  </conditionalFormatting>
  <conditionalFormatting sqref="E13">
    <cfRule type="dataBar" priority="10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{DF417CB8-E9BD-4113-B2E5-3B5E80D682EC}</x14:id>
        </ext>
      </extLst>
    </cfRule>
  </conditionalFormatting>
  <conditionalFormatting sqref="Q13">
    <cfRule type="dataBar" priority="1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{85F2E075-2A26-4C1E-97B2-BD7157ECAEF3}</x14:id>
        </ext>
      </extLst>
    </cfRule>
  </conditionalFormatting>
  <conditionalFormatting sqref="R13">
    <cfRule type="dataBar" priority="10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{DC560417-69EF-424D-B3E8-6B4FD9B02330}</x14:id>
        </ext>
      </extLst>
    </cfRule>
  </conditionalFormatting>
  <conditionalFormatting sqref="S13">
    <cfRule type="dataBar" priority="10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{7104D6D7-7A02-4435-9933-C668E2C96320}</x14:id>
        </ext>
      </extLst>
    </cfRule>
  </conditionalFormatting>
  <conditionalFormatting sqref="T13">
    <cfRule type="dataBar" priority="10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{29EB8678-EE6A-462D-9999-91FD9827D0A5}</x14:id>
        </ext>
      </extLst>
    </cfRule>
  </conditionalFormatting>
  <conditionalFormatting sqref="U13">
    <cfRule type="dataBar" priority="10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{C0FD6285-2EC0-45D7-90AC-27D9AEFC7384}</x14:id>
        </ext>
      </extLst>
    </cfRule>
  </conditionalFormatting>
  <conditionalFormatting sqref="V13">
    <cfRule type="dataBar" priority="10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{4354AC7E-735A-406C-84D8-97AAF7B4C4FC}</x14:id>
        </ext>
      </extLst>
    </cfRule>
  </conditionalFormatting>
  <conditionalFormatting sqref="W13">
    <cfRule type="dataBar" priority="10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{775BB4E1-B3B6-4ACE-8A64-A6839EC5AD34}</x14:id>
        </ext>
      </extLst>
    </cfRule>
  </conditionalFormatting>
  <conditionalFormatting sqref="X13">
    <cfRule type="dataBar" priority="10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{0EE08D90-E7AD-40B9-966B-F0B08B1506F2}</x14:id>
        </ext>
      </extLst>
    </cfRule>
  </conditionalFormatting>
  <conditionalFormatting sqref="Y13">
    <cfRule type="dataBar" priority="10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{BE2CFCF3-A1B4-4DB3-B8A7-07EE10387CD2}</x14:id>
        </ext>
      </extLst>
    </cfRule>
  </conditionalFormatting>
  <conditionalFormatting sqref="Z13">
    <cfRule type="dataBar" priority="10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{14FF5759-8AF4-44BA-94B0-4C0C1A69F96A}</x14:id>
        </ext>
      </extLst>
    </cfRule>
  </conditionalFormatting>
  <conditionalFormatting sqref="AA13">
    <cfRule type="dataBar" priority="10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{0FF12043-2219-4C42-9D77-7C6C9FCE81F6}</x14:id>
        </ext>
      </extLst>
    </cfRule>
  </conditionalFormatting>
  <conditionalFormatting sqref="I12">
    <cfRule type="dataBar" priority="9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{2083CA3B-1FA7-49C8-AB58-93F3B88081D8}</x14:id>
        </ext>
      </extLst>
    </cfRule>
  </conditionalFormatting>
  <conditionalFormatting sqref="AA12:AB12">
    <cfRule type="dataBar" priority="9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{F994C298-2140-415F-9689-ED9F70204F33}</x14:id>
        </ext>
      </extLst>
    </cfRule>
  </conditionalFormatting>
  <conditionalFormatting sqref="O12:AB12">
    <cfRule type="dataBar" priority="9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{2DDF4E50-4FE1-4D88-B69C-029D2B52715C}</x14:id>
        </ext>
      </extLst>
    </cfRule>
  </conditionalFormatting>
  <conditionalFormatting sqref="AA12:AB12">
    <cfRule type="dataBar" priority="9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{13B9F320-25A7-4C3E-B136-41D3635F4D90}</x14:id>
        </ext>
      </extLst>
    </cfRule>
  </conditionalFormatting>
  <conditionalFormatting sqref="D12:G12">
    <cfRule type="dataBar" priority="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{3BF41F15-ABCF-48B8-BAF1-36F65847170B}</x14:id>
        </ext>
      </extLst>
    </cfRule>
  </conditionalFormatting>
  <conditionalFormatting sqref="I12">
    <cfRule type="dataBar" priority="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{8F83C258-66C7-4546-9A2F-2BBD25E5D27E}</x14:id>
        </ext>
      </extLst>
    </cfRule>
  </conditionalFormatting>
  <conditionalFormatting sqref="F12">
    <cfRule type="dataBar" priority="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{3BEF16BD-436B-423C-9FCC-12A29720B1D8}</x14:id>
        </ext>
      </extLst>
    </cfRule>
  </conditionalFormatting>
  <conditionalFormatting sqref="G12">
    <cfRule type="dataBar" priority="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{0B13AC31-E2DB-4EE0-9E99-FEACE25C330E}</x14:id>
        </ext>
      </extLst>
    </cfRule>
  </conditionalFormatting>
  <conditionalFormatting sqref="I12">
    <cfRule type="dataBar" priority="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{32CE988F-156D-4305-8EF6-CEC1C55C28D3}</x14:id>
        </ext>
      </extLst>
    </cfRule>
  </conditionalFormatting>
  <conditionalFormatting sqref="O12">
    <cfRule type="dataBar" priority="9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{80754895-92E1-4BD2-B12E-E974B98492ED}</x14:id>
        </ext>
      </extLst>
    </cfRule>
  </conditionalFormatting>
  <conditionalFormatting sqref="P12">
    <cfRule type="dataBar" priority="9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{7393AFE1-4701-4DB8-B0DF-1D7621BE1AFE}</x14:id>
        </ext>
      </extLst>
    </cfRule>
  </conditionalFormatting>
  <conditionalFormatting sqref="D12:G12">
    <cfRule type="dataBar" priority="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{E887B879-212A-403C-8B90-7EE51AF42FED}</x14:id>
        </ext>
      </extLst>
    </cfRule>
  </conditionalFormatting>
  <conditionalFormatting sqref="D12:G12">
    <cfRule type="dataBar" priority="9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{F0C217F0-7799-47FC-948E-56B24871B8EA}</x14:id>
        </ext>
      </extLst>
    </cfRule>
  </conditionalFormatting>
  <conditionalFormatting sqref="I12">
    <cfRule type="dataBar" priority="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{C47BA05E-4C92-4B59-A962-F5737E866765}</x14:id>
        </ext>
      </extLst>
    </cfRule>
  </conditionalFormatting>
  <conditionalFormatting sqref="O12">
    <cfRule type="dataBar" priority="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{CC523EAC-096D-413A-A141-5F387E76705A}</x14:id>
        </ext>
      </extLst>
    </cfRule>
  </conditionalFormatting>
  <conditionalFormatting sqref="P12">
    <cfRule type="dataBar" priority="9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{3E3BE183-6048-499A-BBB0-43F789FA2167}</x14:id>
        </ext>
      </extLst>
    </cfRule>
  </conditionalFormatting>
  <conditionalFormatting sqref="D12:G12">
    <cfRule type="dataBar" priority="9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{5F277D65-3182-46C6-A39B-358384749355}</x14:id>
        </ext>
      </extLst>
    </cfRule>
  </conditionalFormatting>
  <conditionalFormatting sqref="I12">
    <cfRule type="dataBar" priority="9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{DDC2D0AB-5B36-4BB7-B043-8ECCC97ACB24}</x14:id>
        </ext>
      </extLst>
    </cfRule>
  </conditionalFormatting>
  <conditionalFormatting sqref="O12:AA12">
    <cfRule type="dataBar" priority="9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{EB1A230E-1F56-4D14-B6D6-5AB8BB957AA2}</x14:id>
        </ext>
      </extLst>
    </cfRule>
  </conditionalFormatting>
  <conditionalFormatting sqref="I12">
    <cfRule type="dataBar" priority="9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{85593A6B-CF6A-4C61-9D86-12F230B06D21}</x14:id>
        </ext>
      </extLst>
    </cfRule>
  </conditionalFormatting>
  <conditionalFormatting sqref="F12">
    <cfRule type="dataBar" priority="9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{42BA4E76-E7A2-4679-8025-744FDE586BE4}</x14:id>
        </ext>
      </extLst>
    </cfRule>
  </conditionalFormatting>
  <conditionalFormatting sqref="G12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{DD68CF4B-004A-4BB3-8893-9B3BC8C44409}</x14:id>
        </ext>
      </extLst>
    </cfRule>
  </conditionalFormatting>
  <conditionalFormatting sqref="O12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{44389CCA-B3DD-421C-A9F6-9D61D89E9AFA}</x14:id>
        </ext>
      </extLst>
    </cfRule>
  </conditionalFormatting>
  <conditionalFormatting sqref="P12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{5FBB6E0D-52C8-4125-AEA8-E639F0087E35}</x14:id>
        </ext>
      </extLst>
    </cfRule>
  </conditionalFormatting>
  <conditionalFormatting sqref="D12">
    <cfRule type="dataBar" priority="9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{0810F306-C173-46D2-A7E9-8D07636D22BA}</x14:id>
        </ext>
      </extLst>
    </cfRule>
  </conditionalFormatting>
  <conditionalFormatting sqref="E12">
    <cfRule type="dataBar" priority="9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{1D61377E-CD56-4B12-B154-CEA419C9ECAF}</x14:id>
        </ext>
      </extLst>
    </cfRule>
  </conditionalFormatting>
  <conditionalFormatting sqref="Q12">
    <cfRule type="dataBar" priority="9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{103CFC89-7201-4F37-A6EB-9D50167C4A6E}</x14:id>
        </ext>
      </extLst>
    </cfRule>
  </conditionalFormatting>
  <conditionalFormatting sqref="R12">
    <cfRule type="dataBar" priority="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{E0177A4C-1A82-438E-81F5-75FDC0C1C900}</x14:id>
        </ext>
      </extLst>
    </cfRule>
  </conditionalFormatting>
  <conditionalFormatting sqref="S12">
    <cfRule type="dataBar" priority="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{C6855CCF-DF20-4D77-8855-573EF7D6E00E}</x14:id>
        </ext>
      </extLst>
    </cfRule>
  </conditionalFormatting>
  <conditionalFormatting sqref="T12">
    <cfRule type="dataBar" priority="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{FCAA38B8-A227-4FBB-8EBC-B6980080DE3F}</x14:id>
        </ext>
      </extLst>
    </cfRule>
  </conditionalFormatting>
  <conditionalFormatting sqref="U12">
    <cfRule type="dataBar" priority="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{B1BCB5CD-F897-47BC-BF71-8CDCD9419BBE}</x14:id>
        </ext>
      </extLst>
    </cfRule>
  </conditionalFormatting>
  <conditionalFormatting sqref="V12">
    <cfRule type="dataBar" priority="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{313C5324-2FFA-4E3B-9D98-AAF5C201D27C}</x14:id>
        </ext>
      </extLst>
    </cfRule>
  </conditionalFormatting>
  <conditionalFormatting sqref="W12">
    <cfRule type="dataBar" priority="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{4BC09FBD-20AD-430C-9920-6EE3C5F69666}</x14:id>
        </ext>
      </extLst>
    </cfRule>
  </conditionalFormatting>
  <conditionalFormatting sqref="X12">
    <cfRule type="dataBar" priority="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{FAB87A53-38BF-4F19-BE93-8A2AFFF34837}</x14:id>
        </ext>
      </extLst>
    </cfRule>
  </conditionalFormatting>
  <conditionalFormatting sqref="Y12">
    <cfRule type="dataBar" priority="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{4043B9AA-922E-47FA-94AD-43771FD1E564}</x14:id>
        </ext>
      </extLst>
    </cfRule>
  </conditionalFormatting>
  <conditionalFormatting sqref="Z12">
    <cfRule type="dataBar" priority="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{D6ED4871-E54C-4D22-B102-9BB9667DACD8}</x14:id>
        </ext>
      </extLst>
    </cfRule>
  </conditionalFormatting>
  <conditionalFormatting sqref="AA12">
    <cfRule type="dataBar" priority="9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{0450D20C-8BED-4989-BAF9-C73E70DDA663}</x14:id>
        </ext>
      </extLst>
    </cfRule>
  </conditionalFormatting>
  <conditionalFormatting sqref="AA14:AB14">
    <cfRule type="dataBar" priority="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{7FC68E5C-50DE-49F7-80E1-B05136AA6E3F}</x14:id>
        </ext>
      </extLst>
    </cfRule>
  </conditionalFormatting>
  <conditionalFormatting sqref="O14:AB14">
    <cfRule type="dataBar" priority="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{532CC341-45C1-4550-81B9-C1EC9C1B72F3}</x14:id>
        </ext>
      </extLst>
    </cfRule>
  </conditionalFormatting>
  <conditionalFormatting sqref="AA14:AB14">
    <cfRule type="dataBar" priority="9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{20F19980-1482-4A12-AA8E-CFBBDA12F7AA}</x14:id>
        </ext>
      </extLst>
    </cfRule>
  </conditionalFormatting>
  <conditionalFormatting sqref="I14">
    <cfRule type="dataBar" priority="9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{C4237647-0033-44DF-816D-13B28F0AC049}</x14:id>
        </ext>
      </extLst>
    </cfRule>
  </conditionalFormatting>
  <conditionalFormatting sqref="D14:G14">
    <cfRule type="dataBar" priority="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{58BE101B-5970-4675-B6BF-91B2C5FE34C1}</x14:id>
        </ext>
      </extLst>
    </cfRule>
  </conditionalFormatting>
  <conditionalFormatting sqref="I14">
    <cfRule type="dataBar" priority="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{234E2B7B-B7CB-4C21-BEA8-AD8EE8CA5DF4}</x14:id>
        </ext>
      </extLst>
    </cfRule>
  </conditionalFormatting>
  <conditionalFormatting sqref="F14">
    <cfRule type="dataBar" priority="9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{BB6260EF-B591-4016-9A19-69053E2150CC}</x14:id>
        </ext>
      </extLst>
    </cfRule>
  </conditionalFormatting>
  <conditionalFormatting sqref="G14">
    <cfRule type="dataBar" priority="9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{BF3A7A0D-5E40-4BB8-A91A-E4719CDA4070}</x14:id>
        </ext>
      </extLst>
    </cfRule>
  </conditionalFormatting>
  <conditionalFormatting sqref="I14">
    <cfRule type="dataBar" priority="9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{00486BAB-7BE3-4F96-A184-D0423A84A70E}</x14:id>
        </ext>
      </extLst>
    </cfRule>
  </conditionalFormatting>
  <conditionalFormatting sqref="O14">
    <cfRule type="dataBar" priority="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{9A5663CE-7814-45D7-9042-C1FE7AC68FB6}</x14:id>
        </ext>
      </extLst>
    </cfRule>
  </conditionalFormatting>
  <conditionalFormatting sqref="P14">
    <cfRule type="dataBar" priority="9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{EEFE186A-D682-4A76-AF8B-682C878F1E18}</x14:id>
        </ext>
      </extLst>
    </cfRule>
  </conditionalFormatting>
  <conditionalFormatting sqref="D14:G14">
    <cfRule type="dataBar" priority="9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{0A755D8F-FB1A-4274-823E-9ABEDEEC5C92}</x14:id>
        </ext>
      </extLst>
    </cfRule>
  </conditionalFormatting>
  <conditionalFormatting sqref="D14:G14">
    <cfRule type="dataBar" priority="9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{9CAE945F-2E91-4D67-B687-6B135C2DAEA2}</x14:id>
        </ext>
      </extLst>
    </cfRule>
  </conditionalFormatting>
  <conditionalFormatting sqref="I14">
    <cfRule type="dataBar" priority="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{F36F6F6E-6430-4E9B-800D-42829DCB4561}</x14:id>
        </ext>
      </extLst>
    </cfRule>
  </conditionalFormatting>
  <conditionalFormatting sqref="O14">
    <cfRule type="dataBar" priority="9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{9F01BA6C-2C38-4494-B0EE-D2DA25716A2C}</x14:id>
        </ext>
      </extLst>
    </cfRule>
  </conditionalFormatting>
  <conditionalFormatting sqref="P14">
    <cfRule type="dataBar" priority="9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{4C62F99A-E1A6-4625-9458-2A0278BF897F}</x14:id>
        </ext>
      </extLst>
    </cfRule>
  </conditionalFormatting>
  <conditionalFormatting sqref="D14:G14">
    <cfRule type="dataBar" priority="9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{B8D435F1-8BF1-4ED8-AB47-1773C9F79627}</x14:id>
        </ext>
      </extLst>
    </cfRule>
  </conditionalFormatting>
  <conditionalFormatting sqref="I14">
    <cfRule type="dataBar" priority="9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{EDA3B025-8BA2-4735-84AE-45D0EF43C666}</x14:id>
        </ext>
      </extLst>
    </cfRule>
  </conditionalFormatting>
  <conditionalFormatting sqref="O14:AA14">
    <cfRule type="dataBar" priority="9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{B6405C4C-8DF6-49E9-A4C5-0E1EF86CA646}</x14:id>
        </ext>
      </extLst>
    </cfRule>
  </conditionalFormatting>
  <conditionalFormatting sqref="I14">
    <cfRule type="dataBar" priority="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{8DB8059B-B47E-461E-831B-8DCF6A313DE6}</x14:id>
        </ext>
      </extLst>
    </cfRule>
  </conditionalFormatting>
  <conditionalFormatting sqref="F14">
    <cfRule type="dataBar" priority="9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{69DBB2FF-776B-4A9C-B988-EA08CCBE1BA7}</x14:id>
        </ext>
      </extLst>
    </cfRule>
  </conditionalFormatting>
  <conditionalFormatting sqref="G14">
    <cfRule type="dataBar" priority="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{7FBFF7BA-CCE2-4C07-85D7-BA5296F87CBD}</x14:id>
        </ext>
      </extLst>
    </cfRule>
  </conditionalFormatting>
  <conditionalFormatting sqref="O14">
    <cfRule type="dataBar" priority="9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{DC673A3B-C8F4-49FA-960C-DF18BB788810}</x14:id>
        </ext>
      </extLst>
    </cfRule>
  </conditionalFormatting>
  <conditionalFormatting sqref="P14">
    <cfRule type="dataBar" priority="9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{3E99D102-B9D1-433A-B6E7-A11D92C953FD}</x14:id>
        </ext>
      </extLst>
    </cfRule>
  </conditionalFormatting>
  <conditionalFormatting sqref="D14">
    <cfRule type="dataBar" priority="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{D18DC21A-27F7-41F2-9CEC-7635B12D46C9}</x14:id>
        </ext>
      </extLst>
    </cfRule>
  </conditionalFormatting>
  <conditionalFormatting sqref="E14">
    <cfRule type="dataBar" priority="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{09F970B7-3990-42A8-B581-9F807C938C4C}</x14:id>
        </ext>
      </extLst>
    </cfRule>
  </conditionalFormatting>
  <conditionalFormatting sqref="Q14">
    <cfRule type="dataBar" priority="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{F2D5F57D-5F82-4D8F-9774-861334D16017}</x14:id>
        </ext>
      </extLst>
    </cfRule>
  </conditionalFormatting>
  <conditionalFormatting sqref="R14">
    <cfRule type="dataBar" priority="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{4DEB3F36-3A3D-4D30-9D72-F5B41BEF0AEE}</x14:id>
        </ext>
      </extLst>
    </cfRule>
  </conditionalFormatting>
  <conditionalFormatting sqref="S14">
    <cfRule type="dataBar" priority="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{245C76D9-702C-4BCA-BAC9-2ECF6AD5C957}</x14:id>
        </ext>
      </extLst>
    </cfRule>
  </conditionalFormatting>
  <conditionalFormatting sqref="T14">
    <cfRule type="dataBar" priority="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{F6189F5E-D9A1-4B8E-8D27-8B4080FCFEF5}</x14:id>
        </ext>
      </extLst>
    </cfRule>
  </conditionalFormatting>
  <conditionalFormatting sqref="U14">
    <cfRule type="dataBar" priority="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{871898DE-5419-4530-B5B8-CBDAF076C355}</x14:id>
        </ext>
      </extLst>
    </cfRule>
  </conditionalFormatting>
  <conditionalFormatting sqref="V14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{50DA5684-EC41-4931-9E02-43E9BC95B5FD}</x14:id>
        </ext>
      </extLst>
    </cfRule>
  </conditionalFormatting>
  <conditionalFormatting sqref="W14">
    <cfRule type="dataBar" priority="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{31D3DF65-A0D2-45A5-937B-9FE2972457A4}</x14:id>
        </ext>
      </extLst>
    </cfRule>
  </conditionalFormatting>
  <conditionalFormatting sqref="X14">
    <cfRule type="dataBar" priority="9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{ADBBB8E3-D29D-49EE-8F2E-02181D448791}</x14:id>
        </ext>
      </extLst>
    </cfRule>
  </conditionalFormatting>
  <conditionalFormatting sqref="Y14">
    <cfRule type="dataBar" priority="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{0E197128-CFD6-45B1-A848-52E6803B51C4}</x14:id>
        </ext>
      </extLst>
    </cfRule>
  </conditionalFormatting>
  <conditionalFormatting sqref="Z14">
    <cfRule type="dataBar" priority="9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{318D823D-880B-4C38-8792-6529B4EF4031}</x14:id>
        </ext>
      </extLst>
    </cfRule>
  </conditionalFormatting>
  <conditionalFormatting sqref="AA14">
    <cfRule type="dataBar" priority="9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{D413701D-75E5-4369-B24A-E00D38C5DDCB}</x14:id>
        </ext>
      </extLst>
    </cfRule>
  </conditionalFormatting>
  <conditionalFormatting sqref="AA15:AB15">
    <cfRule type="dataBar" priority="8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{252F1777-DBFC-47F2-ACEB-6DB14693C17D}</x14:id>
        </ext>
      </extLst>
    </cfRule>
  </conditionalFormatting>
  <conditionalFormatting sqref="O15:AB15">
    <cfRule type="dataBar" priority="8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{8F50E1F5-C5B1-4828-9699-9EB1738B9890}</x14:id>
        </ext>
      </extLst>
    </cfRule>
  </conditionalFormatting>
  <conditionalFormatting sqref="AA15:AB15">
    <cfRule type="dataBar" priority="8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{5E06B57A-2861-4D44-9844-D3FD2093C860}</x14:id>
        </ext>
      </extLst>
    </cfRule>
  </conditionalFormatting>
  <conditionalFormatting sqref="I15">
    <cfRule type="dataBar" priority="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{88DE6740-08BA-4CD0-9D5E-89EFB0981565}</x14:id>
        </ext>
      </extLst>
    </cfRule>
  </conditionalFormatting>
  <conditionalFormatting sqref="D15:G15">
    <cfRule type="dataBar" priority="8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{AD233BB4-7A71-4BC7-9EE6-01960D3C53F5}</x14:id>
        </ext>
      </extLst>
    </cfRule>
  </conditionalFormatting>
  <conditionalFormatting sqref="I15">
    <cfRule type="dataBar" priority="8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{06081D43-9F56-4469-9426-2425F1616FC8}</x14:id>
        </ext>
      </extLst>
    </cfRule>
  </conditionalFormatting>
  <conditionalFormatting sqref="F15">
    <cfRule type="dataBar" priority="8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{E7EE87F0-A42B-44FD-B88F-2496EF496B5C}</x14:id>
        </ext>
      </extLst>
    </cfRule>
  </conditionalFormatting>
  <conditionalFormatting sqref="G15">
    <cfRule type="dataBar" priority="8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{E82D4DED-C37B-48AD-932B-7F2162D90CF8}</x14:id>
        </ext>
      </extLst>
    </cfRule>
  </conditionalFormatting>
  <conditionalFormatting sqref="I15">
    <cfRule type="dataBar" priority="8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{48B31EB8-F686-47AF-B5C5-DF6EA520D9FC}</x14:id>
        </ext>
      </extLst>
    </cfRule>
  </conditionalFormatting>
  <conditionalFormatting sqref="O15">
    <cfRule type="dataBar" priority="8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{3B2B0B44-245E-4D96-83A7-EEAD0B721EF5}</x14:id>
        </ext>
      </extLst>
    </cfRule>
  </conditionalFormatting>
  <conditionalFormatting sqref="P15">
    <cfRule type="dataBar" priority="8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{A3089D13-0F80-4BAD-9D43-56D09DB83BD4}</x14:id>
        </ext>
      </extLst>
    </cfRule>
  </conditionalFormatting>
  <conditionalFormatting sqref="D15:G15">
    <cfRule type="dataBar" priority="8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{257786FA-D4D4-420C-8410-2C3BB867F16E}</x14:id>
        </ext>
      </extLst>
    </cfRule>
  </conditionalFormatting>
  <conditionalFormatting sqref="D15:G15">
    <cfRule type="dataBar" priority="8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{3C6DDD0F-22B1-4450-B819-5AD3F04BD3FB}</x14:id>
        </ext>
      </extLst>
    </cfRule>
  </conditionalFormatting>
  <conditionalFormatting sqref="I15">
    <cfRule type="dataBar" priority="9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{066497AA-46A7-4F04-B3EE-C3979809EA1F}</x14:id>
        </ext>
      </extLst>
    </cfRule>
  </conditionalFormatting>
  <conditionalFormatting sqref="O15">
    <cfRule type="dataBar" priority="9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{62CE6F7E-8E85-4EA2-9562-18721E2C2D43}</x14:id>
        </ext>
      </extLst>
    </cfRule>
  </conditionalFormatting>
  <conditionalFormatting sqref="P15">
    <cfRule type="dataBar" priority="9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{AA7FF30E-D715-4D65-AB9C-A2F5FA7252AF}</x14:id>
        </ext>
      </extLst>
    </cfRule>
  </conditionalFormatting>
  <conditionalFormatting sqref="D15:G15">
    <cfRule type="dataBar" priority="9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{51940C8C-DAF0-4368-B78F-36F86800E07E}</x14:id>
        </ext>
      </extLst>
    </cfRule>
  </conditionalFormatting>
  <conditionalFormatting sqref="I15">
    <cfRule type="dataBar" priority="9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{384A370F-851D-4D2A-B474-7151AB4EE401}</x14:id>
        </ext>
      </extLst>
    </cfRule>
  </conditionalFormatting>
  <conditionalFormatting sqref="O15:AA15">
    <cfRule type="dataBar" priority="9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{AF995D8B-7682-4563-A365-B25AA6B93BF2}</x14:id>
        </ext>
      </extLst>
    </cfRule>
  </conditionalFormatting>
  <conditionalFormatting sqref="I15">
    <cfRule type="dataBar" priority="9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{E893AC99-E765-4004-ACC4-BA7F998DBA94}</x14:id>
        </ext>
      </extLst>
    </cfRule>
  </conditionalFormatting>
  <conditionalFormatting sqref="F15">
    <cfRule type="dataBar" priority="9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{2DC24F8A-ED5D-438D-82DB-D19EAE67F17D}</x14:id>
        </ext>
      </extLst>
    </cfRule>
  </conditionalFormatting>
  <conditionalFormatting sqref="G15">
    <cfRule type="dataBar" priority="9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{6F710BC0-586C-414D-9401-F6C9A17BC4B5}</x14:id>
        </ext>
      </extLst>
    </cfRule>
  </conditionalFormatting>
  <conditionalFormatting sqref="O15">
    <cfRule type="dataBar" priority="9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{F7F47268-E6E1-429F-B3D7-D6901C4CAF96}</x14:id>
        </ext>
      </extLst>
    </cfRule>
  </conditionalFormatting>
  <conditionalFormatting sqref="P15">
    <cfRule type="dataBar" priority="9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{EF73C1C7-795C-4B25-9B45-EB1840EFA421}</x14:id>
        </ext>
      </extLst>
    </cfRule>
  </conditionalFormatting>
  <conditionalFormatting sqref="D15">
    <cfRule type="dataBar" priority="9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{0C948DB4-184E-4389-96CB-0E32759F42F5}</x14:id>
        </ext>
      </extLst>
    </cfRule>
  </conditionalFormatting>
  <conditionalFormatting sqref="E15">
    <cfRule type="dataBar" priority="9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{867CC24D-3C60-4D73-B38B-DE17D51CB582}</x14:id>
        </ext>
      </extLst>
    </cfRule>
  </conditionalFormatting>
  <conditionalFormatting sqref="Q15">
    <cfRule type="dataBar" priority="9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{E9231FE8-4FBD-411F-AE0B-B6887274BC15}</x14:id>
        </ext>
      </extLst>
    </cfRule>
  </conditionalFormatting>
  <conditionalFormatting sqref="R15">
    <cfRule type="dataBar" priority="9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{2E488495-D019-45DC-BEC7-822E1AB27745}</x14:id>
        </ext>
      </extLst>
    </cfRule>
  </conditionalFormatting>
  <conditionalFormatting sqref="S15">
    <cfRule type="dataBar" priority="9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{65C948FC-14E7-4A85-8CA7-B780602E3454}</x14:id>
        </ext>
      </extLst>
    </cfRule>
  </conditionalFormatting>
  <conditionalFormatting sqref="T15">
    <cfRule type="dataBar" priority="9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{2556AAD6-ECF1-4F06-9832-92E6286CDE6B}</x14:id>
        </ext>
      </extLst>
    </cfRule>
  </conditionalFormatting>
  <conditionalFormatting sqref="U15">
    <cfRule type="dataBar" priority="9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{41FBE2C5-92AC-40B9-8531-C9E3939C4B42}</x14:id>
        </ext>
      </extLst>
    </cfRule>
  </conditionalFormatting>
  <conditionalFormatting sqref="V15">
    <cfRule type="dataBar" priority="9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{50C8B307-A593-44D6-9514-90DA9FCB23F9}</x14:id>
        </ext>
      </extLst>
    </cfRule>
  </conditionalFormatting>
  <conditionalFormatting sqref="W15">
    <cfRule type="dataBar" priority="9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{B6EF8092-69A6-431F-9BCC-2A2247526E60}</x14:id>
        </ext>
      </extLst>
    </cfRule>
  </conditionalFormatting>
  <conditionalFormatting sqref="X15">
    <cfRule type="dataBar" priority="9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{DC546049-D43F-4BA3-861C-05B70A5ED2C7}</x14:id>
        </ext>
      </extLst>
    </cfRule>
  </conditionalFormatting>
  <conditionalFormatting sqref="Y15">
    <cfRule type="dataBar" priority="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{265C8A35-E3BF-4668-A8FD-6E8F2DFC3DCC}</x14:id>
        </ext>
      </extLst>
    </cfRule>
  </conditionalFormatting>
  <conditionalFormatting sqref="Z15">
    <cfRule type="dataBar" priority="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{18B20084-A428-467F-8E57-44E5B4505898}</x14:id>
        </ext>
      </extLst>
    </cfRule>
  </conditionalFormatting>
  <conditionalFormatting sqref="AA15">
    <cfRule type="dataBar" priority="9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{2EA101CA-EBE7-40E4-A784-0C7A091E9D55}</x14:id>
        </ext>
      </extLst>
    </cfRule>
  </conditionalFormatting>
  <conditionalFormatting sqref="AA16:AB16">
    <cfRule type="dataBar" priority="8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{E6290B6D-B037-4ED1-B768-058996C2883C}</x14:id>
        </ext>
      </extLst>
    </cfRule>
  </conditionalFormatting>
  <conditionalFormatting sqref="O16:AB16">
    <cfRule type="dataBar" priority="8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{8C6DD835-69B5-4F5E-B300-EDCCBE609AC9}</x14:id>
        </ext>
      </extLst>
    </cfRule>
  </conditionalFormatting>
  <conditionalFormatting sqref="AA16:AB16">
    <cfRule type="dataBar" priority="8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{B19650B9-6ED6-4324-9967-2853D5CD4DC7}</x14:id>
        </ext>
      </extLst>
    </cfRule>
  </conditionalFormatting>
  <conditionalFormatting sqref="I16">
    <cfRule type="dataBar" priority="8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{44F01EDC-83A8-4FDA-9994-D0C27D0715C7}</x14:id>
        </ext>
      </extLst>
    </cfRule>
  </conditionalFormatting>
  <conditionalFormatting sqref="D16:G16">
    <cfRule type="dataBar" priority="8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{79F825B5-50B0-48B7-9276-3D0CF976813F}</x14:id>
        </ext>
      </extLst>
    </cfRule>
  </conditionalFormatting>
  <conditionalFormatting sqref="I16">
    <cfRule type="dataBar" priority="8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{9B6E4CC5-7D6D-454B-A997-F22E7F81B7A1}</x14:id>
        </ext>
      </extLst>
    </cfRule>
  </conditionalFormatting>
  <conditionalFormatting sqref="F16">
    <cfRule type="dataBar" priority="8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{1E438B07-022F-49A5-B28F-ADDA8D286BE7}</x14:id>
        </ext>
      </extLst>
    </cfRule>
  </conditionalFormatting>
  <conditionalFormatting sqref="G16">
    <cfRule type="dataBar" priority="8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{0ACB4870-9504-4140-86BC-1B1DD6C3E4A4}</x14:id>
        </ext>
      </extLst>
    </cfRule>
  </conditionalFormatting>
  <conditionalFormatting sqref="I16">
    <cfRule type="dataBar" priority="8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{46BD2D4B-68C0-4E24-BF09-61C7CD5E71C7}</x14:id>
        </ext>
      </extLst>
    </cfRule>
  </conditionalFormatting>
  <conditionalFormatting sqref="O16">
    <cfRule type="dataBar" priority="8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{4C8209F0-6ED1-4D56-8225-017FCA677691}</x14:id>
        </ext>
      </extLst>
    </cfRule>
  </conditionalFormatting>
  <conditionalFormatting sqref="P16">
    <cfRule type="dataBar" priority="8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{8FF67EA0-F9D6-4C5E-BBA6-B9F62501C171}</x14:id>
        </ext>
      </extLst>
    </cfRule>
  </conditionalFormatting>
  <conditionalFormatting sqref="D16:G16">
    <cfRule type="dataBar" priority="8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{AB09D6B2-FED5-4F66-85FE-BC5E298BC76C}</x14:id>
        </ext>
      </extLst>
    </cfRule>
  </conditionalFormatting>
  <conditionalFormatting sqref="D16:G16">
    <cfRule type="dataBar" priority="8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{3C18B704-3D52-4BFA-B294-527E789A86E5}</x14:id>
        </ext>
      </extLst>
    </cfRule>
  </conditionalFormatting>
  <conditionalFormatting sqref="I16">
    <cfRule type="dataBar" priority="8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{8777F6AA-3441-434E-B423-3B87E78D6F7C}</x14:id>
        </ext>
      </extLst>
    </cfRule>
  </conditionalFormatting>
  <conditionalFormatting sqref="O16">
    <cfRule type="dataBar" priority="8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{ACDB96FA-B880-4E2C-A634-B18599BA4FD9}</x14:id>
        </ext>
      </extLst>
    </cfRule>
  </conditionalFormatting>
  <conditionalFormatting sqref="P16">
    <cfRule type="dataBar" priority="8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{677439CF-28E5-4A3A-BF2F-73F248881BB6}</x14:id>
        </ext>
      </extLst>
    </cfRule>
  </conditionalFormatting>
  <conditionalFormatting sqref="D16:G16">
    <cfRule type="dataBar" priority="8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{C976DCF6-63E0-417D-9E7A-8344CCE1BF43}</x14:id>
        </ext>
      </extLst>
    </cfRule>
  </conditionalFormatting>
  <conditionalFormatting sqref="I16">
    <cfRule type="dataBar" priority="8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{1C9E69F7-9092-4504-ADF6-0BDEF002A5BC}</x14:id>
        </ext>
      </extLst>
    </cfRule>
  </conditionalFormatting>
  <conditionalFormatting sqref="O16:AA16">
    <cfRule type="dataBar" priority="8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{F575981E-59F7-43F9-AD25-0746A4BE77BA}</x14:id>
        </ext>
      </extLst>
    </cfRule>
  </conditionalFormatting>
  <conditionalFormatting sqref="I16">
    <cfRule type="dataBar" priority="8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{787133C2-7113-4EB7-B9C7-603F04F7C09B}</x14:id>
        </ext>
      </extLst>
    </cfRule>
  </conditionalFormatting>
  <conditionalFormatting sqref="F16">
    <cfRule type="dataBar" priority="8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{76CAA07D-F217-4A82-BEDE-5903FA79F026}</x14:id>
        </ext>
      </extLst>
    </cfRule>
  </conditionalFormatting>
  <conditionalFormatting sqref="G16">
    <cfRule type="dataBar" priority="8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{3F175210-F0D6-4529-90F6-059024345499}</x14:id>
        </ext>
      </extLst>
    </cfRule>
  </conditionalFormatting>
  <conditionalFormatting sqref="O16">
    <cfRule type="dataBar" priority="8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{69350702-1BF6-444A-A349-D66CA4FA68E5}</x14:id>
        </ext>
      </extLst>
    </cfRule>
  </conditionalFormatting>
  <conditionalFormatting sqref="P16">
    <cfRule type="dataBar" priority="8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{BCD8C6CB-D6B3-41AE-9E6D-65BE7542911C}</x14:id>
        </ext>
      </extLst>
    </cfRule>
  </conditionalFormatting>
  <conditionalFormatting sqref="D16">
    <cfRule type="dataBar" priority="8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{A86F9487-BDA1-4462-9F06-58E265576712}</x14:id>
        </ext>
      </extLst>
    </cfRule>
  </conditionalFormatting>
  <conditionalFormatting sqref="E16">
    <cfRule type="dataBar" priority="8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{5E29C2F3-8B2A-45EC-AB05-CF01057DC227}</x14:id>
        </ext>
      </extLst>
    </cfRule>
  </conditionalFormatting>
  <conditionalFormatting sqref="Q16">
    <cfRule type="dataBar" priority="8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{BEA9184C-88B4-46E0-80D9-DD013FCA9BB5}</x14:id>
        </ext>
      </extLst>
    </cfRule>
  </conditionalFormatting>
  <conditionalFormatting sqref="R16">
    <cfRule type="dataBar" priority="8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{9ACED7CD-47D4-47EA-BC00-3131C6FE7CD3}</x14:id>
        </ext>
      </extLst>
    </cfRule>
  </conditionalFormatting>
  <conditionalFormatting sqref="S16">
    <cfRule type="dataBar" priority="8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{B9382BD8-C147-4495-96F0-587908DAA9E5}</x14:id>
        </ext>
      </extLst>
    </cfRule>
  </conditionalFormatting>
  <conditionalFormatting sqref="T16">
    <cfRule type="dataBar" priority="8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{A2683CC1-D7E0-497D-9E60-629A85DC7679}</x14:id>
        </ext>
      </extLst>
    </cfRule>
  </conditionalFormatting>
  <conditionalFormatting sqref="U16">
    <cfRule type="dataBar" priority="8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{708FD3AB-5332-4975-95A4-E814AB7AF914}</x14:id>
        </ext>
      </extLst>
    </cfRule>
  </conditionalFormatting>
  <conditionalFormatting sqref="V16">
    <cfRule type="dataBar" priority="8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{94419C55-3116-4BC0-B331-0B33AF8FABF9}</x14:id>
        </ext>
      </extLst>
    </cfRule>
  </conditionalFormatting>
  <conditionalFormatting sqref="W16">
    <cfRule type="dataBar" priority="8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{89E6D1C6-5577-41E6-BC85-3A76903AE1AC}</x14:id>
        </ext>
      </extLst>
    </cfRule>
  </conditionalFormatting>
  <conditionalFormatting sqref="X16">
    <cfRule type="dataBar" priority="8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{D226E456-D6AB-4AC7-9D8C-C0538CC7F358}</x14:id>
        </ext>
      </extLst>
    </cfRule>
  </conditionalFormatting>
  <conditionalFormatting sqref="Y16">
    <cfRule type="dataBar" priority="8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{A30554F7-7541-4329-8AB1-C1C19F01D5DD}</x14:id>
        </ext>
      </extLst>
    </cfRule>
  </conditionalFormatting>
  <conditionalFormatting sqref="Z16">
    <cfRule type="dataBar" priority="8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{3122A89E-119D-4555-BBFB-11978D0C1BE6}</x14:id>
        </ext>
      </extLst>
    </cfRule>
  </conditionalFormatting>
  <conditionalFormatting sqref="AA16">
    <cfRule type="dataBar" priority="8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{AF87CA4E-E987-479E-AD99-223D8945F8DC}</x14:id>
        </ext>
      </extLst>
    </cfRule>
  </conditionalFormatting>
  <conditionalFormatting sqref="AA18:AB18">
    <cfRule type="dataBar" priority="8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{1EEB8927-C645-4A35-84E8-F08F563E0F7C}</x14:id>
        </ext>
      </extLst>
    </cfRule>
  </conditionalFormatting>
  <conditionalFormatting sqref="O18:AB18">
    <cfRule type="dataBar" priority="8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{D2913F8B-D28B-4358-BA17-5E57AFFC0EAB}</x14:id>
        </ext>
      </extLst>
    </cfRule>
  </conditionalFormatting>
  <conditionalFormatting sqref="AA18:AB18">
    <cfRule type="dataBar" priority="8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{804024BD-7258-4813-9EA2-C9E30B697E2D}</x14:id>
        </ext>
      </extLst>
    </cfRule>
  </conditionalFormatting>
  <conditionalFormatting sqref="I18">
    <cfRule type="dataBar" priority="8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{C329C999-12DB-4B1C-B7B0-9FAFEB4595BE}</x14:id>
        </ext>
      </extLst>
    </cfRule>
  </conditionalFormatting>
  <conditionalFormatting sqref="D18:G18">
    <cfRule type="dataBar" priority="8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{C27EA288-4A42-4DB2-A8A2-96EDFFB0B5CB}</x14:id>
        </ext>
      </extLst>
    </cfRule>
  </conditionalFormatting>
  <conditionalFormatting sqref="I18">
    <cfRule type="dataBar" priority="8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{C97DB6BE-115E-4FCF-8AEC-301863F4D5CD}</x14:id>
        </ext>
      </extLst>
    </cfRule>
  </conditionalFormatting>
  <conditionalFormatting sqref="F18">
    <cfRule type="dataBar" priority="8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{615544BB-7E55-40E7-B0A7-D0F81029A2AE}</x14:id>
        </ext>
      </extLst>
    </cfRule>
  </conditionalFormatting>
  <conditionalFormatting sqref="G18">
    <cfRule type="dataBar" priority="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{248238C2-1722-4994-9777-B62C40C88504}</x14:id>
        </ext>
      </extLst>
    </cfRule>
  </conditionalFormatting>
  <conditionalFormatting sqref="I18">
    <cfRule type="dataBar" priority="8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{890415FC-7B38-4CEF-9A8A-100A64A3B44D}</x14:id>
        </ext>
      </extLst>
    </cfRule>
  </conditionalFormatting>
  <conditionalFormatting sqref="O18">
    <cfRule type="dataBar" priority="8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{8A7ADC85-5DB7-4445-9C1F-1AC129F92CFB}</x14:id>
        </ext>
      </extLst>
    </cfRule>
  </conditionalFormatting>
  <conditionalFormatting sqref="P18">
    <cfRule type="dataBar" priority="8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{2A96E609-A0C0-4ABF-ACB0-622A3DE4F402}</x14:id>
        </ext>
      </extLst>
    </cfRule>
  </conditionalFormatting>
  <conditionalFormatting sqref="D18:G18">
    <cfRule type="dataBar" priority="8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{DF54FE73-B546-4C4A-BEF4-F810550B8CA1}</x14:id>
        </ext>
      </extLst>
    </cfRule>
  </conditionalFormatting>
  <conditionalFormatting sqref="D18:G18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{9EE86D82-0DA1-4301-A2D2-D880D105F86A}</x14:id>
        </ext>
      </extLst>
    </cfRule>
  </conditionalFormatting>
  <conditionalFormatting sqref="I18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{B6DF5CF6-2AD4-4AF3-8F12-836C2767A3A1}</x14:id>
        </ext>
      </extLst>
    </cfRule>
  </conditionalFormatting>
  <conditionalFormatting sqref="O18">
    <cfRule type="dataBar" priority="8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{5A5F721E-6AA1-4376-BF56-143C8375EA7E}</x14:id>
        </ext>
      </extLst>
    </cfRule>
  </conditionalFormatting>
  <conditionalFormatting sqref="P18">
    <cfRule type="dataBar" priority="8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{5F0C79FF-121C-4EBF-ABF7-880192E899CB}</x14:id>
        </ext>
      </extLst>
    </cfRule>
  </conditionalFormatting>
  <conditionalFormatting sqref="D18:G18">
    <cfRule type="dataBar" priority="8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{86E2EB95-438C-42BE-8888-DE3CC92624F0}</x14:id>
        </ext>
      </extLst>
    </cfRule>
  </conditionalFormatting>
  <conditionalFormatting sqref="I18">
    <cfRule type="dataBar" priority="8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{BEA08F24-80DB-4E2F-B10E-87BFFBBFDE88}</x14:id>
        </ext>
      </extLst>
    </cfRule>
  </conditionalFormatting>
  <conditionalFormatting sqref="O18:AA18">
    <cfRule type="dataBar" priority="8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{E6EC5025-2790-468B-B966-52841972C04B}</x14:id>
        </ext>
      </extLst>
    </cfRule>
  </conditionalFormatting>
  <conditionalFormatting sqref="I18">
    <cfRule type="dataBar" priority="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{92C75BEB-8A64-432C-913B-E56EECE766FF}</x14:id>
        </ext>
      </extLst>
    </cfRule>
  </conditionalFormatting>
  <conditionalFormatting sqref="F18">
    <cfRule type="dataBar" priority="8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{1520CD8D-3461-4222-9C0D-CCCEDE3C0C17}</x14:id>
        </ext>
      </extLst>
    </cfRule>
  </conditionalFormatting>
  <conditionalFormatting sqref="G18">
    <cfRule type="dataBar" priority="8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{6D1185AA-4F15-4CCE-AA9F-DB0F57A68C8A}</x14:id>
        </ext>
      </extLst>
    </cfRule>
  </conditionalFormatting>
  <conditionalFormatting sqref="O18">
    <cfRule type="dataBar" priority="8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{55814E1E-6AAE-432D-AF78-0CEF37753E8A}</x14:id>
        </ext>
      </extLst>
    </cfRule>
  </conditionalFormatting>
  <conditionalFormatting sqref="P18">
    <cfRule type="dataBar" priority="8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{344CF23F-1678-4204-A9F3-7E8D2E89246A}</x14:id>
        </ext>
      </extLst>
    </cfRule>
  </conditionalFormatting>
  <conditionalFormatting sqref="D18">
    <cfRule type="dataBar" priority="8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{3CC42F7F-F842-4B29-939B-632622DE4499}</x14:id>
        </ext>
      </extLst>
    </cfRule>
  </conditionalFormatting>
  <conditionalFormatting sqref="E18">
    <cfRule type="dataBar" priority="8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{652C2DDB-D971-4DF1-8F83-4E2590323D4C}</x14:id>
        </ext>
      </extLst>
    </cfRule>
  </conditionalFormatting>
  <conditionalFormatting sqref="Q18">
    <cfRule type="dataBar" priority="8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{03EF4E9A-AC21-4BA3-8749-98A17FAA6F69}</x14:id>
        </ext>
      </extLst>
    </cfRule>
  </conditionalFormatting>
  <conditionalFormatting sqref="R18">
    <cfRule type="dataBar" priority="8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{D8EFCD6F-22EE-4B27-AA7A-36785FE19CB5}</x14:id>
        </ext>
      </extLst>
    </cfRule>
  </conditionalFormatting>
  <conditionalFormatting sqref="S18">
    <cfRule type="dataBar" priority="8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{ED9D0DCF-FC34-4607-9457-C624419F0111}</x14:id>
        </ext>
      </extLst>
    </cfRule>
  </conditionalFormatting>
  <conditionalFormatting sqref="T18">
    <cfRule type="dataBar" priority="8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{5B45AC90-1D1E-4EF4-85BA-088D577645F1}</x14:id>
        </ext>
      </extLst>
    </cfRule>
  </conditionalFormatting>
  <conditionalFormatting sqref="U18">
    <cfRule type="dataBar" priority="8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{127B1C85-FD2A-409D-B64D-65228BA4B859}</x14:id>
        </ext>
      </extLst>
    </cfRule>
  </conditionalFormatting>
  <conditionalFormatting sqref="V18">
    <cfRule type="dataBar" priority="8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{DDDAE914-26D1-444C-AE47-C02F46C02FD0}</x14:id>
        </ext>
      </extLst>
    </cfRule>
  </conditionalFormatting>
  <conditionalFormatting sqref="W18">
    <cfRule type="dataBar" priority="8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{064E2623-C488-4466-866C-A3B04EAFD070}</x14:id>
        </ext>
      </extLst>
    </cfRule>
  </conditionalFormatting>
  <conditionalFormatting sqref="X18">
    <cfRule type="dataBar" priority="8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{CB71E108-3239-4669-8610-937CBECEB2AB}</x14:id>
        </ext>
      </extLst>
    </cfRule>
  </conditionalFormatting>
  <conditionalFormatting sqref="Y18">
    <cfRule type="dataBar" priority="8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{54A28691-D030-486C-BAF9-607BA66B2451}</x14:id>
        </ext>
      </extLst>
    </cfRule>
  </conditionalFormatting>
  <conditionalFormatting sqref="Z18">
    <cfRule type="dataBar" priority="8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{B4441028-D144-484A-B635-060664CC61D4}</x14:id>
        </ext>
      </extLst>
    </cfRule>
  </conditionalFormatting>
  <conditionalFormatting sqref="AA18">
    <cfRule type="dataBar" priority="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{E66896BF-E55A-4B4F-B372-259460C2869F}</x14:id>
        </ext>
      </extLst>
    </cfRule>
  </conditionalFormatting>
  <conditionalFormatting sqref="AA19:AB19">
    <cfRule type="dataBar" priority="7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{5906D438-9977-4FC8-A982-E810246235F0}</x14:id>
        </ext>
      </extLst>
    </cfRule>
  </conditionalFormatting>
  <conditionalFormatting sqref="Q19:AB19">
    <cfRule type="dataBar" priority="7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{AC9F6E05-7741-4FC3-A086-1A5494B1332A}</x14:id>
        </ext>
      </extLst>
    </cfRule>
  </conditionalFormatting>
  <conditionalFormatting sqref="AA19:AB19">
    <cfRule type="dataBar" priority="7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{031E576F-A827-44EC-8489-743EBA10CE88}</x14:id>
        </ext>
      </extLst>
    </cfRule>
  </conditionalFormatting>
  <conditionalFormatting sqref="D19:E19">
    <cfRule type="dataBar" priority="7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{183C8B96-B634-4F29-BA98-CD8736A2F020}</x14:id>
        </ext>
      </extLst>
    </cfRule>
  </conditionalFormatting>
  <conditionalFormatting sqref="D19:E19">
    <cfRule type="dataBar" priority="7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{AA8BA6A8-3A8F-4629-8D9B-97D3F33FA903}</x14:id>
        </ext>
      </extLst>
    </cfRule>
  </conditionalFormatting>
  <conditionalFormatting sqref="D19:E19">
    <cfRule type="dataBar" priority="7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{BEDDDADB-D596-44E5-8A4C-B1EFAE516F20}</x14:id>
        </ext>
      </extLst>
    </cfRule>
  </conditionalFormatting>
  <conditionalFormatting sqref="D19:E19">
    <cfRule type="dataBar" priority="7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{28D02331-E603-4132-938B-2DE5770E5099}</x14:id>
        </ext>
      </extLst>
    </cfRule>
  </conditionalFormatting>
  <conditionalFormatting sqref="Q19:AA19">
    <cfRule type="dataBar" priority="7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{AED872DF-6227-4814-8160-200C57F0BD57}</x14:id>
        </ext>
      </extLst>
    </cfRule>
  </conditionalFormatting>
  <conditionalFormatting sqref="D19">
    <cfRule type="dataBar" priority="8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{D78E6C14-CCB7-4836-BD72-B8062EE40C3E}</x14:id>
        </ext>
      </extLst>
    </cfRule>
  </conditionalFormatting>
  <conditionalFormatting sqref="E19">
    <cfRule type="dataBar" priority="8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{4E6F232B-CF88-44A8-B96C-E3370F4548D1}</x14:id>
        </ext>
      </extLst>
    </cfRule>
  </conditionalFormatting>
  <conditionalFormatting sqref="Q19">
    <cfRule type="dataBar" priority="8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{9A9204E4-04AD-4888-AAC5-B0EB8FFB0503}</x14:id>
        </ext>
      </extLst>
    </cfRule>
  </conditionalFormatting>
  <conditionalFormatting sqref="R19">
    <cfRule type="dataBar" priority="8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{48EE646D-ADD3-4F9E-97F9-C7C9B531F131}</x14:id>
        </ext>
      </extLst>
    </cfRule>
  </conditionalFormatting>
  <conditionalFormatting sqref="S19">
    <cfRule type="dataBar" priority="8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{B464738F-F56D-4B7A-8FC7-050DAC243ED2}</x14:id>
        </ext>
      </extLst>
    </cfRule>
  </conditionalFormatting>
  <conditionalFormatting sqref="T19">
    <cfRule type="dataBar" priority="8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{F5AEEF76-3217-4AF3-9BA8-5155D26AE88E}</x14:id>
        </ext>
      </extLst>
    </cfRule>
  </conditionalFormatting>
  <conditionalFormatting sqref="U19">
    <cfRule type="dataBar" priority="8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{52B633DC-3E16-4CDA-9703-BCCA3483BD15}</x14:id>
        </ext>
      </extLst>
    </cfRule>
  </conditionalFormatting>
  <conditionalFormatting sqref="V19">
    <cfRule type="dataBar" priority="8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{30444DFA-1C7F-4E89-8DE3-B9B4B14EE697}</x14:id>
        </ext>
      </extLst>
    </cfRule>
  </conditionalFormatting>
  <conditionalFormatting sqref="W19">
    <cfRule type="dataBar" priority="8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{EB25549A-51E4-40CB-85B5-6CBA1C683774}</x14:id>
        </ext>
      </extLst>
    </cfRule>
  </conditionalFormatting>
  <conditionalFormatting sqref="X19">
    <cfRule type="dataBar" priority="8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{7274B7D7-224A-474C-AB4C-06CEB765D102}</x14:id>
        </ext>
      </extLst>
    </cfRule>
  </conditionalFormatting>
  <conditionalFormatting sqref="Y19">
    <cfRule type="dataBar" priority="8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{BC195DF8-E973-4C62-828B-563BE9854372}</x14:id>
        </ext>
      </extLst>
    </cfRule>
  </conditionalFormatting>
  <conditionalFormatting sqref="Z19">
    <cfRule type="dataBar" priority="8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{3F4048D7-81EE-4188-8FAB-688B1449B9FA}</x14:id>
        </ext>
      </extLst>
    </cfRule>
  </conditionalFormatting>
  <conditionalFormatting sqref="AA19">
    <cfRule type="dataBar" priority="8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{1337C7DF-2727-4DEE-9095-5323E5FD9587}</x14:id>
        </ext>
      </extLst>
    </cfRule>
  </conditionalFormatting>
  <conditionalFormatting sqref="AA17:AB17">
    <cfRule type="dataBar" priority="7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{86B30D46-1699-428F-899B-7266D3889110}</x14:id>
        </ext>
      </extLst>
    </cfRule>
  </conditionalFormatting>
  <conditionalFormatting sqref="Q17:AB17">
    <cfRule type="dataBar" priority="7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{74F3D33C-F7F1-43F1-90FC-BEB4751258D8}</x14:id>
        </ext>
      </extLst>
    </cfRule>
  </conditionalFormatting>
  <conditionalFormatting sqref="AA17:AB17">
    <cfRule type="dataBar" priority="7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{63CAFF8B-6B68-4FF1-860D-FA5E054F38BB}</x14:id>
        </ext>
      </extLst>
    </cfRule>
  </conditionalFormatting>
  <conditionalFormatting sqref="D17:E17">
    <cfRule type="dataBar" priority="7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{52108627-8FAF-43AB-8548-34B49707AEAC}</x14:id>
        </ext>
      </extLst>
    </cfRule>
  </conditionalFormatting>
  <conditionalFormatting sqref="D17:E17">
    <cfRule type="dataBar" priority="7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{B860AEA9-F040-4A81-B4E9-56D90B9538AF}</x14:id>
        </ext>
      </extLst>
    </cfRule>
  </conditionalFormatting>
  <conditionalFormatting sqref="D17:E17">
    <cfRule type="dataBar" priority="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{14F6D850-AB24-48EB-A984-F0C140C6479B}</x14:id>
        </ext>
      </extLst>
    </cfRule>
  </conditionalFormatting>
  <conditionalFormatting sqref="D17:E17">
    <cfRule type="dataBar" priority="7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{477919BA-A944-47A4-A26D-CA50E1BA96A2}</x14:id>
        </ext>
      </extLst>
    </cfRule>
  </conditionalFormatting>
  <conditionalFormatting sqref="Q17:AA17">
    <cfRule type="dataBar" priority="7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{A532FDA0-552B-496B-8ED1-1B8BAA33FF2D}</x14:id>
        </ext>
      </extLst>
    </cfRule>
  </conditionalFormatting>
  <conditionalFormatting sqref="D17">
    <cfRule type="dataBar" priority="7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{E1E9EFC2-3ED0-4F4F-9AF9-343D3CD88316}</x14:id>
        </ext>
      </extLst>
    </cfRule>
  </conditionalFormatting>
  <conditionalFormatting sqref="E17">
    <cfRule type="dataBar" priority="7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{F17ECB3D-AD5A-4E3B-A3F7-684303B6F371}</x14:id>
        </ext>
      </extLst>
    </cfRule>
  </conditionalFormatting>
  <conditionalFormatting sqref="Q17">
    <cfRule type="dataBar" priority="7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{40C3B887-EC76-485B-9703-7769109106C8}</x14:id>
        </ext>
      </extLst>
    </cfRule>
  </conditionalFormatting>
  <conditionalFormatting sqref="R17">
    <cfRule type="dataBar" priority="7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{860EAEB2-F163-4278-940D-D4A09FE4582C}</x14:id>
        </ext>
      </extLst>
    </cfRule>
  </conditionalFormatting>
  <conditionalFormatting sqref="S17">
    <cfRule type="dataBar" priority="7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{9C89D8FE-DAD6-45C9-A198-B24FAC13EA44}</x14:id>
        </ext>
      </extLst>
    </cfRule>
  </conditionalFormatting>
  <conditionalFormatting sqref="T17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{1DB9A396-E86E-40CE-B71E-E247E263D471}</x14:id>
        </ext>
      </extLst>
    </cfRule>
  </conditionalFormatting>
  <conditionalFormatting sqref="U17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{7A4A139E-56DC-43B1-B599-2D4744457A6D}</x14:id>
        </ext>
      </extLst>
    </cfRule>
  </conditionalFormatting>
  <conditionalFormatting sqref="V17">
    <cfRule type="dataBar" priority="7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{0245431A-7F21-4957-BC62-E549C8C0A6F0}</x14:id>
        </ext>
      </extLst>
    </cfRule>
  </conditionalFormatting>
  <conditionalFormatting sqref="W17">
    <cfRule type="dataBar" priority="7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{9619F79F-9535-4E90-A8D3-B78A0E482BAF}</x14:id>
        </ext>
      </extLst>
    </cfRule>
  </conditionalFormatting>
  <conditionalFormatting sqref="X17">
    <cfRule type="dataBar" priority="7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{DECCB278-7520-4556-B2A5-06DB87D50AE0}</x14:id>
        </ext>
      </extLst>
    </cfRule>
  </conditionalFormatting>
  <conditionalFormatting sqref="Y17">
    <cfRule type="dataBar" priority="7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{4D047857-2F62-4EFD-910F-D7525EAC2D5D}</x14:id>
        </ext>
      </extLst>
    </cfRule>
  </conditionalFormatting>
  <conditionalFormatting sqref="Z17">
    <cfRule type="dataBar" priority="7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{D7D53E11-EDB8-439E-A545-E4FA7F1A2D1B}</x14:id>
        </ext>
      </extLst>
    </cfRule>
  </conditionalFormatting>
  <conditionalFormatting sqref="AA17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{31B60A2C-9DBE-4C2A-95A9-86D84BC507E8}</x14:id>
        </ext>
      </extLst>
    </cfRule>
  </conditionalFormatting>
  <conditionalFormatting sqref="Q21:AB21">
    <cfRule type="dataBar" priority="6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{58F362A8-3C26-4C11-9618-124977AE9C5A}</x14:id>
        </ext>
      </extLst>
    </cfRule>
  </conditionalFormatting>
  <conditionalFormatting sqref="AA21:AB21">
    <cfRule type="dataBar" priority="6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{91FB30E4-173F-40DF-B35C-3680A431AC4F}</x14:id>
        </ext>
      </extLst>
    </cfRule>
  </conditionalFormatting>
  <conditionalFormatting sqref="AA21:AB21">
    <cfRule type="dataBar" priority="6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{06B4EE02-2A93-4345-8C51-72D46DB69B78}</x14:id>
        </ext>
      </extLst>
    </cfRule>
  </conditionalFormatting>
  <conditionalFormatting sqref="D21:E21">
    <cfRule type="dataBar" priority="6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{21C7DF74-5FA5-4C82-9D4E-6639E4BD34D1}</x14:id>
        </ext>
      </extLst>
    </cfRule>
  </conditionalFormatting>
  <conditionalFormatting sqref="D21:E21">
    <cfRule type="dataBar" priority="7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{5A5B18F2-87DC-44A1-83CF-2F0809D1FEF6}</x14:id>
        </ext>
      </extLst>
    </cfRule>
  </conditionalFormatting>
  <conditionalFormatting sqref="D21:E21">
    <cfRule type="dataBar" priority="7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{228C3932-7A6D-4A91-B2ED-9E16E279547C}</x14:id>
        </ext>
      </extLst>
    </cfRule>
  </conditionalFormatting>
  <conditionalFormatting sqref="D21:E21">
    <cfRule type="dataBar" priority="7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{539C4AB9-4AC1-475C-881E-881D4FAD7994}</x14:id>
        </ext>
      </extLst>
    </cfRule>
  </conditionalFormatting>
  <conditionalFormatting sqref="Q21:AA21">
    <cfRule type="dataBar" priority="7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{71224CE0-AF2D-43A2-ADF1-C23A7F2339DF}</x14:id>
        </ext>
      </extLst>
    </cfRule>
  </conditionalFormatting>
  <conditionalFormatting sqref="D21">
    <cfRule type="dataBar" priority="7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{21197471-CC43-4FBC-8A64-12120ED6EB20}</x14:id>
        </ext>
      </extLst>
    </cfRule>
  </conditionalFormatting>
  <conditionalFormatting sqref="E21">
    <cfRule type="dataBar" priority="7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{A288358D-5441-4CA7-B977-4E98DA256F28}</x14:id>
        </ext>
      </extLst>
    </cfRule>
  </conditionalFormatting>
  <conditionalFormatting sqref="Q21">
    <cfRule type="dataBar" priority="7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{458B6CFC-EA9E-4F1A-9C55-75FDFC13AE3D}</x14:id>
        </ext>
      </extLst>
    </cfRule>
  </conditionalFormatting>
  <conditionalFormatting sqref="R21">
    <cfRule type="dataBar" priority="7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{077242D1-AE52-41DA-B958-1A2900AD9DF5}</x14:id>
        </ext>
      </extLst>
    </cfRule>
  </conditionalFormatting>
  <conditionalFormatting sqref="S21">
    <cfRule type="dataBar" priority="7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{78F0B935-8F96-4FE0-8B81-49B5D9C55E37}</x14:id>
        </ext>
      </extLst>
    </cfRule>
  </conditionalFormatting>
  <conditionalFormatting sqref="T21">
    <cfRule type="dataBar" priority="7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{388774E8-74D2-4CFC-B59D-B59731B88B78}</x14:id>
        </ext>
      </extLst>
    </cfRule>
  </conditionalFormatting>
  <conditionalFormatting sqref="U21">
    <cfRule type="dataBar" priority="7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{5AA50F31-4040-4514-A6C2-8AF5051B57DB}</x14:id>
        </ext>
      </extLst>
    </cfRule>
  </conditionalFormatting>
  <conditionalFormatting sqref="V21">
    <cfRule type="dataBar" priority="7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{FB33D89D-AA85-4E75-AB73-923FAD45BAAD}</x14:id>
        </ext>
      </extLst>
    </cfRule>
  </conditionalFormatting>
  <conditionalFormatting sqref="W21">
    <cfRule type="dataBar" priority="7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{E1A71A87-F4C0-46EA-ABB5-5EBE0C760D65}</x14:id>
        </ext>
      </extLst>
    </cfRule>
  </conditionalFormatting>
  <conditionalFormatting sqref="X21">
    <cfRule type="dataBar" priority="7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{F84242DE-89F0-4583-9672-8FD9218B9904}</x14:id>
        </ext>
      </extLst>
    </cfRule>
  </conditionalFormatting>
  <conditionalFormatting sqref="Y21">
    <cfRule type="dataBar" priority="7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{55FB11BC-DEAD-4F64-8E36-DF18D1A15781}</x14:id>
        </ext>
      </extLst>
    </cfRule>
  </conditionalFormatting>
  <conditionalFormatting sqref="Z21">
    <cfRule type="dataBar" priority="7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{669B4D4C-27A7-4CC7-A94C-44F36EAE5BA0}</x14:id>
        </ext>
      </extLst>
    </cfRule>
  </conditionalFormatting>
  <conditionalFormatting sqref="AA21">
    <cfRule type="dataBar" priority="7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{18DBBA04-D2EE-41B2-8679-0A41E791F53F}</x14:id>
        </ext>
      </extLst>
    </cfRule>
  </conditionalFormatting>
  <conditionalFormatting sqref="Q22:AB22">
    <cfRule type="dataBar" priority="6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{E80027CA-1E16-4824-A9E0-AA95F79D749E}</x14:id>
        </ext>
      </extLst>
    </cfRule>
  </conditionalFormatting>
  <conditionalFormatting sqref="AA22:AB22">
    <cfRule type="dataBar" priority="6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{64C4D498-AE5C-4AA5-90AA-08C1587B68E4}</x14:id>
        </ext>
      </extLst>
    </cfRule>
  </conditionalFormatting>
  <conditionalFormatting sqref="AA22:AB22">
    <cfRule type="dataBar" priority="6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{E821F56C-FDA4-4F5F-9AEA-904A51B68C85}</x14:id>
        </ext>
      </extLst>
    </cfRule>
  </conditionalFormatting>
  <conditionalFormatting sqref="D22:E22">
    <cfRule type="dataBar" priority="6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{9E1215B6-D150-4453-B829-2440A9AD8466}</x14:id>
        </ext>
      </extLst>
    </cfRule>
  </conditionalFormatting>
  <conditionalFormatting sqref="D22:E22">
    <cfRule type="dataBar" priority="6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{DD320562-C9BA-40CA-B4A8-74C144DAEC07}</x14:id>
        </ext>
      </extLst>
    </cfRule>
  </conditionalFormatting>
  <conditionalFormatting sqref="D22:E22">
    <cfRule type="dataBar" priority="6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{55CA2A37-DDCB-4234-AEB6-9DF5C0D34441}</x14:id>
        </ext>
      </extLst>
    </cfRule>
  </conditionalFormatting>
  <conditionalFormatting sqref="D22:E22">
    <cfRule type="dataBar" priority="6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{64719EB7-3C03-4549-967A-8046E42A88FB}</x14:id>
        </ext>
      </extLst>
    </cfRule>
  </conditionalFormatting>
  <conditionalFormatting sqref="Q22:AA22">
    <cfRule type="dataBar" priority="6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{E919F81F-92FF-498B-9D45-BB156F6FD1F3}</x14:id>
        </ext>
      </extLst>
    </cfRule>
  </conditionalFormatting>
  <conditionalFormatting sqref="D22">
    <cfRule type="dataBar" priority="6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{7DF60414-5F78-4DB9-B267-B7AD767E47CC}</x14:id>
        </ext>
      </extLst>
    </cfRule>
  </conditionalFormatting>
  <conditionalFormatting sqref="E22">
    <cfRule type="dataBar" priority="6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{63B8078B-E2C6-4727-9783-D1473511F357}</x14:id>
        </ext>
      </extLst>
    </cfRule>
  </conditionalFormatting>
  <conditionalFormatting sqref="Q22">
    <cfRule type="dataBar" priority="6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{5023540D-640D-4383-909B-A2A99A048750}</x14:id>
        </ext>
      </extLst>
    </cfRule>
  </conditionalFormatting>
  <conditionalFormatting sqref="R22">
    <cfRule type="dataBar" priority="6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{BA945425-3774-4AA9-B6F8-7F7C80173293}</x14:id>
        </ext>
      </extLst>
    </cfRule>
  </conditionalFormatting>
  <conditionalFormatting sqref="S22">
    <cfRule type="dataBar" priority="6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{660C01B9-6866-444A-8AD0-1349CB5305F8}</x14:id>
        </ext>
      </extLst>
    </cfRule>
  </conditionalFormatting>
  <conditionalFormatting sqref="T22">
    <cfRule type="dataBar" priority="6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{1B02978A-E028-4F5B-899D-847CC5EACCEB}</x14:id>
        </ext>
      </extLst>
    </cfRule>
  </conditionalFormatting>
  <conditionalFormatting sqref="U22">
    <cfRule type="dataBar" priority="6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{09778889-EF11-4971-AA36-C95ABB920DB4}</x14:id>
        </ext>
      </extLst>
    </cfRule>
  </conditionalFormatting>
  <conditionalFormatting sqref="V22">
    <cfRule type="dataBar" priority="6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{9B089089-DC46-4E24-A070-A3F6A221AD58}</x14:id>
        </ext>
      </extLst>
    </cfRule>
  </conditionalFormatting>
  <conditionalFormatting sqref="W22">
    <cfRule type="dataBar" priority="6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{C304C300-D0F9-4A91-9E63-7673DA83677E}</x14:id>
        </ext>
      </extLst>
    </cfRule>
  </conditionalFormatting>
  <conditionalFormatting sqref="X22">
    <cfRule type="dataBar" priority="6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{AFFD64AB-D342-42F2-B26C-5CF3514AE1B0}</x14:id>
        </ext>
      </extLst>
    </cfRule>
  </conditionalFormatting>
  <conditionalFormatting sqref="Y22">
    <cfRule type="dataBar" priority="6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{CBBC5791-E1B8-40B5-9FC4-2350CEC997AD}</x14:id>
        </ext>
      </extLst>
    </cfRule>
  </conditionalFormatting>
  <conditionalFormatting sqref="Z22">
    <cfRule type="dataBar" priority="6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{96CA4137-BA77-465A-B561-20C0585AE407}</x14:id>
        </ext>
      </extLst>
    </cfRule>
  </conditionalFormatting>
  <conditionalFormatting sqref="AA22">
    <cfRule type="dataBar" priority="6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{AAE606EC-3B1F-4D79-8F97-2596375CAD02}</x14:id>
        </ext>
      </extLst>
    </cfRule>
  </conditionalFormatting>
  <conditionalFormatting sqref="O24:AB24">
    <cfRule type="dataBar" priority="6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{5E98F2B9-B352-4F17-BA3A-575CEA2AFD76}</x14:id>
        </ext>
      </extLst>
    </cfRule>
  </conditionalFormatting>
  <conditionalFormatting sqref="AA24:AB24">
    <cfRule type="dataBar" priority="6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{736FA5F2-1E93-49EA-89F4-D12CBA7F6AB3}</x14:id>
        </ext>
      </extLst>
    </cfRule>
  </conditionalFormatting>
  <conditionalFormatting sqref="I24">
    <cfRule type="dataBar" priority="6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{18A23BA7-5A46-49D3-8F16-57F299CD00E7}</x14:id>
        </ext>
      </extLst>
    </cfRule>
  </conditionalFormatting>
  <conditionalFormatting sqref="AA24:AB24">
    <cfRule type="dataBar" priority="6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{DB8EEC2F-23C9-450C-96F6-AA0004E48285}</x14:id>
        </ext>
      </extLst>
    </cfRule>
  </conditionalFormatting>
  <conditionalFormatting sqref="D24:G24">
    <cfRule type="dataBar" priority="6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{5A5C1085-342C-48A4-B432-6177ED5214EB}</x14:id>
        </ext>
      </extLst>
    </cfRule>
  </conditionalFormatting>
  <conditionalFormatting sqref="I24">
    <cfRule type="dataBar" priority="6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{A43F7217-001E-425A-8181-C5382EC51C43}</x14:id>
        </ext>
      </extLst>
    </cfRule>
  </conditionalFormatting>
  <conditionalFormatting sqref="F24">
    <cfRule type="dataBar" priority="6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{E5A73E41-A6E9-43FB-8731-27991E720DEE}</x14:id>
        </ext>
      </extLst>
    </cfRule>
  </conditionalFormatting>
  <conditionalFormatting sqref="G24">
    <cfRule type="dataBar" priority="6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{16A318E6-63BE-485A-A7D6-6987B8B7030F}</x14:id>
        </ext>
      </extLst>
    </cfRule>
  </conditionalFormatting>
  <conditionalFormatting sqref="I24">
    <cfRule type="dataBar" priority="6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{4448000F-7EF7-4314-8FC7-5C6C3F3A99B4}</x14:id>
        </ext>
      </extLst>
    </cfRule>
  </conditionalFormatting>
  <conditionalFormatting sqref="O24">
    <cfRule type="dataBar" priority="6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{43E033FA-7B75-4D9A-842A-5F512BD81348}</x14:id>
        </ext>
      </extLst>
    </cfRule>
  </conditionalFormatting>
  <conditionalFormatting sqref="P24">
    <cfRule type="dataBar" priority="6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{3DBFA090-2265-4886-A33E-9A9426EF6474}</x14:id>
        </ext>
      </extLst>
    </cfRule>
  </conditionalFormatting>
  <conditionalFormatting sqref="D24:G24">
    <cfRule type="dataBar" priority="6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{4F2BBA1A-B30D-4458-A4AC-948A9E3B6764}</x14:id>
        </ext>
      </extLst>
    </cfRule>
  </conditionalFormatting>
  <conditionalFormatting sqref="D24:G24">
    <cfRule type="dataBar" priority="6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{3529744E-CF1E-4DBE-ABC6-60D78EFC6DC4}</x14:id>
        </ext>
      </extLst>
    </cfRule>
  </conditionalFormatting>
  <conditionalFormatting sqref="I24">
    <cfRule type="dataBar" priority="6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{0E45F0A2-027F-4C32-A359-29984C6B5724}</x14:id>
        </ext>
      </extLst>
    </cfRule>
  </conditionalFormatting>
  <conditionalFormatting sqref="O24">
    <cfRule type="dataBar" priority="6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{AE814AA7-6182-4FB2-BD43-70CFAFCE4549}</x14:id>
        </ext>
      </extLst>
    </cfRule>
  </conditionalFormatting>
  <conditionalFormatting sqref="P24">
    <cfRule type="dataBar" priority="6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{19DCEF33-C5A0-48BF-A70A-50F7C3347169}</x14:id>
        </ext>
      </extLst>
    </cfRule>
  </conditionalFormatting>
  <conditionalFormatting sqref="D24:G24">
    <cfRule type="dataBar" priority="6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{61C94448-6D74-4F5B-89B1-413AA1A525C7}</x14:id>
        </ext>
      </extLst>
    </cfRule>
  </conditionalFormatting>
  <conditionalFormatting sqref="I24">
    <cfRule type="dataBar" priority="6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{D0212F3E-6488-4531-A4F5-0A17CF367564}</x14:id>
        </ext>
      </extLst>
    </cfRule>
  </conditionalFormatting>
  <conditionalFormatting sqref="O24:AA24">
    <cfRule type="dataBar" priority="6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{22743193-B217-4D76-B0AF-02C52B264D72}</x14:id>
        </ext>
      </extLst>
    </cfRule>
  </conditionalFormatting>
  <conditionalFormatting sqref="I24">
    <cfRule type="dataBar" priority="6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{42EB55AF-57B0-47DA-BD6B-A20EB0822666}</x14:id>
        </ext>
      </extLst>
    </cfRule>
  </conditionalFormatting>
  <conditionalFormatting sqref="F24">
    <cfRule type="dataBar" priority="6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{F07BE8B6-948D-4921-921E-D9C38DA9CC89}</x14:id>
        </ext>
      </extLst>
    </cfRule>
  </conditionalFormatting>
  <conditionalFormatting sqref="G24">
    <cfRule type="dataBar" priority="6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{681D0B18-FEB6-4E97-86ED-CBB8197C467D}</x14:id>
        </ext>
      </extLst>
    </cfRule>
  </conditionalFormatting>
  <conditionalFormatting sqref="O24">
    <cfRule type="dataBar" priority="6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{1E9677CE-B3B9-442F-8C1F-39B90C2F26FB}</x14:id>
        </ext>
      </extLst>
    </cfRule>
  </conditionalFormatting>
  <conditionalFormatting sqref="P24">
    <cfRule type="dataBar" priority="6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{856112C1-EC59-4E34-B7F3-DCF23532DC84}</x14:id>
        </ext>
      </extLst>
    </cfRule>
  </conditionalFormatting>
  <conditionalFormatting sqref="D24">
    <cfRule type="dataBar" priority="6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{68C53A4A-1C7C-498B-9E42-4205ECFFD6D4}</x14:id>
        </ext>
      </extLst>
    </cfRule>
  </conditionalFormatting>
  <conditionalFormatting sqref="E24">
    <cfRule type="dataBar" priority="6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{5CEF2B38-DCBD-46BE-AB73-A03DA600F312}</x14:id>
        </ext>
      </extLst>
    </cfRule>
  </conditionalFormatting>
  <conditionalFormatting sqref="Q24">
    <cfRule type="dataBar" priority="6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{7AD5CDBD-52C6-4D2C-91EF-DEE39EF9204D}</x14:id>
        </ext>
      </extLst>
    </cfRule>
  </conditionalFormatting>
  <conditionalFormatting sqref="R24">
    <cfRule type="dataBar" priority="6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{149525A5-B94F-43CE-84A0-71E9D40437C6}</x14:id>
        </ext>
      </extLst>
    </cfRule>
  </conditionalFormatting>
  <conditionalFormatting sqref="S24">
    <cfRule type="dataBar" priority="6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{D025473C-C88D-483B-953F-97B77457C786}</x14:id>
        </ext>
      </extLst>
    </cfRule>
  </conditionalFormatting>
  <conditionalFormatting sqref="T24">
    <cfRule type="dataBar" priority="6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{5AEA3673-68B5-4B5F-B9F3-002D80098F3A}</x14:id>
        </ext>
      </extLst>
    </cfRule>
  </conditionalFormatting>
  <conditionalFormatting sqref="U24">
    <cfRule type="dataBar" priority="6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{EF7865B4-809A-4BDC-BC1E-CCF5CCD06B4C}</x14:id>
        </ext>
      </extLst>
    </cfRule>
  </conditionalFormatting>
  <conditionalFormatting sqref="V24">
    <cfRule type="dataBar" priority="6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{E3360500-CA31-4CEF-95A1-719BDE8F6076}</x14:id>
        </ext>
      </extLst>
    </cfRule>
  </conditionalFormatting>
  <conditionalFormatting sqref="W24">
    <cfRule type="dataBar" priority="6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{BEBB06CA-98E9-40CB-A511-55879D54336C}</x14:id>
        </ext>
      </extLst>
    </cfRule>
  </conditionalFormatting>
  <conditionalFormatting sqref="X24">
    <cfRule type="dataBar" priority="6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{EA08DA1F-7C21-4954-89CE-F2873E9A4AAD}</x14:id>
        </ext>
      </extLst>
    </cfRule>
  </conditionalFormatting>
  <conditionalFormatting sqref="Y24">
    <cfRule type="dataBar" priority="6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{438AC262-C051-4523-9604-523BA40DE56A}</x14:id>
        </ext>
      </extLst>
    </cfRule>
  </conditionalFormatting>
  <conditionalFormatting sqref="Z24">
    <cfRule type="dataBar" priority="6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{52E57704-0ED0-4558-8C8B-4F2203E9104E}</x14:id>
        </ext>
      </extLst>
    </cfRule>
  </conditionalFormatting>
  <conditionalFormatting sqref="AA24">
    <cfRule type="dataBar" priority="6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{B54BF199-ECE9-409A-91FC-2FA41E84CEBE}</x14:id>
        </ext>
      </extLst>
    </cfRule>
  </conditionalFormatting>
  <conditionalFormatting sqref="O23:AB23">
    <cfRule type="dataBar" priority="6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{94F67269-F406-42ED-A1B2-7328BFB4ADF0}</x14:id>
        </ext>
      </extLst>
    </cfRule>
  </conditionalFormatting>
  <conditionalFormatting sqref="AA23:AB23">
    <cfRule type="dataBar" priority="6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{5FB5B278-B861-42F6-BA0E-3E43ACE04A60}</x14:id>
        </ext>
      </extLst>
    </cfRule>
  </conditionalFormatting>
  <conditionalFormatting sqref="AA23:AB23">
    <cfRule type="dataBar" priority="6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{4FA3F348-D2A4-4B07-98BE-412F21914B01}</x14:id>
        </ext>
      </extLst>
    </cfRule>
  </conditionalFormatting>
  <conditionalFormatting sqref="I23">
    <cfRule type="dataBar" priority="6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{3291AA20-25E6-43C2-9260-F70E1B555A95}</x14:id>
        </ext>
      </extLst>
    </cfRule>
  </conditionalFormatting>
  <conditionalFormatting sqref="D23:G23">
    <cfRule type="dataBar" priority="6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{10C5CCC3-7A6B-4FF2-A663-F56480959B19}</x14:id>
        </ext>
      </extLst>
    </cfRule>
  </conditionalFormatting>
  <conditionalFormatting sqref="I23">
    <cfRule type="dataBar" priority="6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{6DA26AAF-FF09-4B79-A55D-8FA867C558B3}</x14:id>
        </ext>
      </extLst>
    </cfRule>
  </conditionalFormatting>
  <conditionalFormatting sqref="F23">
    <cfRule type="dataBar" priority="6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{6F0721CC-9174-495E-905A-F1064EFFCDC4}</x14:id>
        </ext>
      </extLst>
    </cfRule>
  </conditionalFormatting>
  <conditionalFormatting sqref="G23">
    <cfRule type="dataBar" priority="6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{DC8B6D83-8EE4-436E-A7DD-E97AEE0ECE2C}</x14:id>
        </ext>
      </extLst>
    </cfRule>
  </conditionalFormatting>
  <conditionalFormatting sqref="I23">
    <cfRule type="dataBar" priority="6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{452AF317-86E2-4032-806F-2DBF56C88054}</x14:id>
        </ext>
      </extLst>
    </cfRule>
  </conditionalFormatting>
  <conditionalFormatting sqref="O23">
    <cfRule type="dataBar" priority="6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{410FC752-D5F2-46A3-AFD3-EF723D992EE5}</x14:id>
        </ext>
      </extLst>
    </cfRule>
  </conditionalFormatting>
  <conditionalFormatting sqref="P23">
    <cfRule type="dataBar" priority="6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{C8CB3CB1-2BDE-49A4-BCD9-33DB2A552C92}</x14:id>
        </ext>
      </extLst>
    </cfRule>
  </conditionalFormatting>
  <conditionalFormatting sqref="D23:G23">
    <cfRule type="dataBar" priority="6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{01E00201-3317-4648-A872-561768FADB37}</x14:id>
        </ext>
      </extLst>
    </cfRule>
  </conditionalFormatting>
  <conditionalFormatting sqref="D23:G23">
    <cfRule type="dataBar" priority="6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{A1C299EF-0BE2-4AE4-9311-DE7434635EC4}</x14:id>
        </ext>
      </extLst>
    </cfRule>
  </conditionalFormatting>
  <conditionalFormatting sqref="I23">
    <cfRule type="dataBar" priority="6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{02BDE477-7EFB-4DE9-B679-095E3835D76D}</x14:id>
        </ext>
      </extLst>
    </cfRule>
  </conditionalFormatting>
  <conditionalFormatting sqref="O23">
    <cfRule type="dataBar" priority="6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{F5C477EC-832F-4349-AE79-B1CEA6395D2C}</x14:id>
        </ext>
      </extLst>
    </cfRule>
  </conditionalFormatting>
  <conditionalFormatting sqref="P23">
    <cfRule type="dataBar" priority="6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{3E372AB1-7A71-445D-AB04-5AB60521586F}</x14:id>
        </ext>
      </extLst>
    </cfRule>
  </conditionalFormatting>
  <conditionalFormatting sqref="D23:G23">
    <cfRule type="dataBar" priority="6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{04CB251D-7CA8-4EFC-8E81-6E8F829D25C7}</x14:id>
        </ext>
      </extLst>
    </cfRule>
  </conditionalFormatting>
  <conditionalFormatting sqref="I23">
    <cfRule type="dataBar" priority="6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{CDF05BEE-877A-4D47-A854-52F627ACC920}</x14:id>
        </ext>
      </extLst>
    </cfRule>
  </conditionalFormatting>
  <conditionalFormatting sqref="O23:AA23">
    <cfRule type="dataBar" priority="6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{E2BE6296-0EA4-4333-89A2-E4B111AE8A35}</x14:id>
        </ext>
      </extLst>
    </cfRule>
  </conditionalFormatting>
  <conditionalFormatting sqref="I23">
    <cfRule type="dataBar" priority="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{3CACEF28-E3EC-4359-8E89-143C0369BC56}</x14:id>
        </ext>
      </extLst>
    </cfRule>
  </conditionalFormatting>
  <conditionalFormatting sqref="F23">
    <cfRule type="dataBar" priority="6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{7B52A54E-D53A-4A59-83FF-C95508B98C02}</x14:id>
        </ext>
      </extLst>
    </cfRule>
  </conditionalFormatting>
  <conditionalFormatting sqref="G23">
    <cfRule type="dataBar" priority="6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{F1765615-F7FE-477C-8114-B1D78DD38C1D}</x14:id>
        </ext>
      </extLst>
    </cfRule>
  </conditionalFormatting>
  <conditionalFormatting sqref="O23">
    <cfRule type="dataBar" priority="6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{57AA756F-EF43-40C7-8E5D-22BAC3442E7C}</x14:id>
        </ext>
      </extLst>
    </cfRule>
  </conditionalFormatting>
  <conditionalFormatting sqref="P23">
    <cfRule type="dataBar" priority="6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{0FC0E494-4659-4555-ACA9-CF24C7EC804B}</x14:id>
        </ext>
      </extLst>
    </cfRule>
  </conditionalFormatting>
  <conditionalFormatting sqref="D23">
    <cfRule type="dataBar" priority="6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{F1B0D074-4376-490B-97E6-49B793ADA612}</x14:id>
        </ext>
      </extLst>
    </cfRule>
  </conditionalFormatting>
  <conditionalFormatting sqref="E23">
    <cfRule type="dataBar" priority="6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{3069CB85-37C5-465A-AE02-763AFE387318}</x14:id>
        </ext>
      </extLst>
    </cfRule>
  </conditionalFormatting>
  <conditionalFormatting sqref="Q23">
    <cfRule type="dataBar" priority="6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{1095D5A8-DEF5-4E50-A81B-2D76D9C2D02B}</x14:id>
        </ext>
      </extLst>
    </cfRule>
  </conditionalFormatting>
  <conditionalFormatting sqref="R23">
    <cfRule type="dataBar" priority="6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{7BB36FE7-7592-4DA2-9962-6526223923D6}</x14:id>
        </ext>
      </extLst>
    </cfRule>
  </conditionalFormatting>
  <conditionalFormatting sqref="S23">
    <cfRule type="dataBar" priority="6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{CE23EC1E-F707-4DE8-8F61-EAE338610757}</x14:id>
        </ext>
      </extLst>
    </cfRule>
  </conditionalFormatting>
  <conditionalFormatting sqref="T23">
    <cfRule type="dataBar" priority="6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{CC8D0D8B-6B1D-4D94-A4E5-1C42D7A9C1C4}</x14:id>
        </ext>
      </extLst>
    </cfRule>
  </conditionalFormatting>
  <conditionalFormatting sqref="U23">
    <cfRule type="dataBar" priority="6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{2EA57CC2-C565-40FE-B048-95DDA940F6FC}</x14:id>
        </ext>
      </extLst>
    </cfRule>
  </conditionalFormatting>
  <conditionalFormatting sqref="V23">
    <cfRule type="dataBar" priority="6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{7BFF8514-65EA-47FF-9D40-6C4A1DA7CA4E}</x14:id>
        </ext>
      </extLst>
    </cfRule>
  </conditionalFormatting>
  <conditionalFormatting sqref="W23">
    <cfRule type="dataBar" priority="6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{68E42E66-BF45-40EF-AC60-AA15CC24D440}</x14:id>
        </ext>
      </extLst>
    </cfRule>
  </conditionalFormatting>
  <conditionalFormatting sqref="X23">
    <cfRule type="dataBar" priority="6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{CE950F05-F2CE-4343-9AED-BF1B659765C2}</x14:id>
        </ext>
      </extLst>
    </cfRule>
  </conditionalFormatting>
  <conditionalFormatting sqref="Y23">
    <cfRule type="dataBar" priority="6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{AA43C2BC-DA2C-4B55-AF84-571F1776DA25}</x14:id>
        </ext>
      </extLst>
    </cfRule>
  </conditionalFormatting>
  <conditionalFormatting sqref="Z23">
    <cfRule type="dataBar" priority="6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{BF481ABD-7553-4503-9389-9FBA9781C55F}</x14:id>
        </ext>
      </extLst>
    </cfRule>
  </conditionalFormatting>
  <conditionalFormatting sqref="AA23">
    <cfRule type="dataBar" priority="6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{B0798766-D79F-4FE9-A397-00819F17182B}</x14:id>
        </ext>
      </extLst>
    </cfRule>
  </conditionalFormatting>
  <conditionalFormatting sqref="G26">
    <cfRule type="dataBar" priority="5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{60A57804-3120-4212-B626-DF044E49D139}</x14:id>
        </ext>
      </extLst>
    </cfRule>
  </conditionalFormatting>
  <conditionalFormatting sqref="P26">
    <cfRule type="dataBar" priority="5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{337440C8-D5D8-49D2-B820-60AE493111EA}</x14:id>
        </ext>
      </extLst>
    </cfRule>
  </conditionalFormatting>
  <conditionalFormatting sqref="Q26">
    <cfRule type="dataBar" priority="5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{C1D4DED8-AA9D-49CD-81C3-C443016705B5}</x14:id>
        </ext>
      </extLst>
    </cfRule>
  </conditionalFormatting>
  <conditionalFormatting sqref="T26">
    <cfRule type="dataBar" priority="5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{2DF6FB65-D767-4F12-9DC7-D3FF0BD1E29B}</x14:id>
        </ext>
      </extLst>
    </cfRule>
  </conditionalFormatting>
  <conditionalFormatting sqref="W26">
    <cfRule type="dataBar" priority="5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{55341257-6C54-4EB0-9CFB-1337F7197517}</x14:id>
        </ext>
      </extLst>
    </cfRule>
  </conditionalFormatting>
  <conditionalFormatting sqref="X26">
    <cfRule type="dataBar" priority="5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{383C6C28-4861-47FF-AF0C-3288279B24A1}</x14:id>
        </ext>
      </extLst>
    </cfRule>
  </conditionalFormatting>
  <conditionalFormatting sqref="Y26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{CE3D8090-D1B5-4411-81F7-B4CE76C90356}</x14:id>
        </ext>
      </extLst>
    </cfRule>
  </conditionalFormatting>
  <conditionalFormatting sqref="Z26">
    <cfRule type="dataBar" priority="5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{C62B2F6D-D7D5-4193-9318-3AE53DEAC2FD}</x14:id>
        </ext>
      </extLst>
    </cfRule>
  </conditionalFormatting>
  <conditionalFormatting sqref="AA26">
    <cfRule type="dataBar" priority="5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{1263641D-16B8-45F6-9A91-F6F4D8919B80}</x14:id>
        </ext>
      </extLst>
    </cfRule>
  </conditionalFormatting>
  <conditionalFormatting sqref="R26">
    <cfRule type="dataBar" priority="5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{C0B9866B-3CEE-49E5-BE49-46D20F66DA58}</x14:id>
        </ext>
      </extLst>
    </cfRule>
  </conditionalFormatting>
  <conditionalFormatting sqref="S26">
    <cfRule type="dataBar" priority="5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{8331C55F-B092-49DF-B886-04C4563B4EFC}</x14:id>
        </ext>
      </extLst>
    </cfRule>
  </conditionalFormatting>
  <conditionalFormatting sqref="U26">
    <cfRule type="dataBar" priority="5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{7DB98729-34E5-496E-9B4F-2D28E19BBA50}</x14:id>
        </ext>
      </extLst>
    </cfRule>
  </conditionalFormatting>
  <conditionalFormatting sqref="I26">
    <cfRule type="dataBar" priority="5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{F4ED1644-377D-49C8-A550-7A453E7291C7}</x14:id>
        </ext>
      </extLst>
    </cfRule>
  </conditionalFormatting>
  <conditionalFormatting sqref="D26">
    <cfRule type="dataBar" priority="5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{09416C42-F2BA-465F-990A-2051A12C5FDA}</x14:id>
        </ext>
      </extLst>
    </cfRule>
  </conditionalFormatting>
  <conditionalFormatting sqref="E26">
    <cfRule type="dataBar" priority="5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{24CDBEE4-5E7C-419A-AB37-B52A24B37D94}</x14:id>
        </ext>
      </extLst>
    </cfRule>
  </conditionalFormatting>
  <conditionalFormatting sqref="F26">
    <cfRule type="dataBar" priority="5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{EDCA38D0-DD02-40D2-924D-32BF021364C9}</x14:id>
        </ext>
      </extLst>
    </cfRule>
  </conditionalFormatting>
  <conditionalFormatting sqref="G25 G27">
    <cfRule type="dataBar" priority="5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{0FE56795-DDC4-4A9D-B0AB-767AD63A8B37}</x14:id>
        </ext>
      </extLst>
    </cfRule>
  </conditionalFormatting>
  <conditionalFormatting sqref="P25 P27">
    <cfRule type="dataBar" priority="5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{B28B22A5-1123-42D9-B6B2-C62BE2BD6FAC}</x14:id>
        </ext>
      </extLst>
    </cfRule>
  </conditionalFormatting>
  <conditionalFormatting sqref="Q25 Q27">
    <cfRule type="dataBar" priority="5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{BD257B77-4112-408B-9015-D9528E0B0C62}</x14:id>
        </ext>
      </extLst>
    </cfRule>
  </conditionalFormatting>
  <conditionalFormatting sqref="T27 T25">
    <cfRule type="dataBar" priority="5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{42258FCF-F41A-4709-A304-26F2D14F2C23}</x14:id>
        </ext>
      </extLst>
    </cfRule>
  </conditionalFormatting>
  <conditionalFormatting sqref="W25 W27">
    <cfRule type="dataBar" priority="5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{3BE862B0-F129-491D-8682-F9B8A04213A3}</x14:id>
        </ext>
      </extLst>
    </cfRule>
  </conditionalFormatting>
  <conditionalFormatting sqref="X27 X25">
    <cfRule type="dataBar" priority="5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{9F80FE02-24CC-462C-B051-C57A254A7FD2}</x14:id>
        </ext>
      </extLst>
    </cfRule>
  </conditionalFormatting>
  <conditionalFormatting sqref="Y25 Y27">
    <cfRule type="dataBar" priority="5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{5258C885-96C9-4EAA-8051-ADA5555E0D47}</x14:id>
        </ext>
      </extLst>
    </cfRule>
  </conditionalFormatting>
  <conditionalFormatting sqref="Z27 Z25">
    <cfRule type="dataBar" priority="5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{891C45B9-BBC6-4568-9930-28B74024F285}</x14:id>
        </ext>
      </extLst>
    </cfRule>
  </conditionalFormatting>
  <conditionalFormatting sqref="AA27 AA25">
    <cfRule type="dataBar" priority="5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{8C6B0ACB-F529-4B8E-AEE5-F214CCA906FB}</x14:id>
        </ext>
      </extLst>
    </cfRule>
  </conditionalFormatting>
  <conditionalFormatting sqref="R25 R27">
    <cfRule type="dataBar" priority="5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{677AFD33-7648-4708-8AEE-972494092FF2}</x14:id>
        </ext>
      </extLst>
    </cfRule>
  </conditionalFormatting>
  <conditionalFormatting sqref="S25 S27">
    <cfRule type="dataBar" priority="5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{96ABA0C9-C8F3-4F35-A96D-D7A0B93A73B5}</x14:id>
        </ext>
      </extLst>
    </cfRule>
  </conditionalFormatting>
  <conditionalFormatting sqref="U25 U27">
    <cfRule type="dataBar" priority="5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{77E1B144-D22F-4C5F-9CEF-B29DF8720DAF}</x14:id>
        </ext>
      </extLst>
    </cfRule>
  </conditionalFormatting>
  <conditionalFormatting sqref="I25 I27">
    <cfRule type="dataBar" priority="5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{943FE55F-B628-4AD1-8FA6-80F651E5EA4D}</x14:id>
        </ext>
      </extLst>
    </cfRule>
  </conditionalFormatting>
  <conditionalFormatting sqref="D27 D25">
    <cfRule type="dataBar" priority="5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{D9404968-A67B-4DB0-AF47-193F43CEF923}</x14:id>
        </ext>
      </extLst>
    </cfRule>
  </conditionalFormatting>
  <conditionalFormatting sqref="E25 E27">
    <cfRule type="dataBar" priority="5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{7A0EA2FA-B89D-4575-97F1-5BF83296FE60}</x14:id>
        </ext>
      </extLst>
    </cfRule>
  </conditionalFormatting>
  <conditionalFormatting sqref="F25 F27">
    <cfRule type="dataBar" priority="5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{65E5C5B4-1AE7-4CB6-B8B2-4798BF4BA308}</x14:id>
        </ext>
      </extLst>
    </cfRule>
  </conditionalFormatting>
  <conditionalFormatting sqref="O25:AA27">
    <cfRule type="dataBar" priority="5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{74109CCD-3DEC-40A3-ABD7-8D8F3DB6857C}</x14:id>
        </ext>
      </extLst>
    </cfRule>
  </conditionalFormatting>
  <conditionalFormatting sqref="AA25:AA27">
    <cfRule type="dataBar" priority="5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{87762337-C10E-4A63-95A0-0D1CB2A3E0B7}</x14:id>
        </ext>
      </extLst>
    </cfRule>
  </conditionalFormatting>
  <conditionalFormatting sqref="AA25:AA27">
    <cfRule type="dataBar" priority="5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{D780DE12-57B4-460F-9921-43679FB57647}</x14:id>
        </ext>
      </extLst>
    </cfRule>
  </conditionalFormatting>
  <conditionalFormatting sqref="AB25:AB27">
    <cfRule type="dataBar" priority="5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{CD835AE8-1FE2-4EB1-9FDD-2B34AD5A3546}</x14:id>
        </ext>
      </extLst>
    </cfRule>
  </conditionalFormatting>
  <conditionalFormatting sqref="I25:I27">
    <cfRule type="dataBar" priority="5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{B6B12D4F-407C-4AAE-B87D-E2106A8876A9}</x14:id>
        </ext>
      </extLst>
    </cfRule>
  </conditionalFormatting>
  <conditionalFormatting sqref="D25:G27">
    <cfRule type="dataBar" priority="5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{20D7ADAD-577C-40D9-83C1-A3CEC42A4A6B}</x14:id>
        </ext>
      </extLst>
    </cfRule>
  </conditionalFormatting>
  <conditionalFormatting sqref="I25:I27">
    <cfRule type="dataBar" priority="5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{EB9440C6-5077-46BD-ABC8-AA639E647AF9}</x14:id>
        </ext>
      </extLst>
    </cfRule>
  </conditionalFormatting>
  <conditionalFormatting sqref="F25:F27">
    <cfRule type="dataBar" priority="5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{51DDC9E8-D76E-4AB0-9D09-EEE058F36E6A}</x14:id>
        </ext>
      </extLst>
    </cfRule>
  </conditionalFormatting>
  <conditionalFormatting sqref="G25:G27">
    <cfRule type="dataBar" priority="5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{80288816-E2B3-439A-9782-7743AA9CD9DE}</x14:id>
        </ext>
      </extLst>
    </cfRule>
  </conditionalFormatting>
  <conditionalFormatting sqref="I25:I27">
    <cfRule type="dataBar" priority="5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{5A509108-C54E-419B-BBC3-48BE0AA3D34C}</x14:id>
        </ext>
      </extLst>
    </cfRule>
  </conditionalFormatting>
  <conditionalFormatting sqref="O25:O27">
    <cfRule type="dataBar" priority="5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{D13F995A-0921-40FD-B1FB-128A04A5B6DA}</x14:id>
        </ext>
      </extLst>
    </cfRule>
  </conditionalFormatting>
  <conditionalFormatting sqref="P25:P27">
    <cfRule type="dataBar" priority="5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{50740F7B-E8AF-4FEC-A5FA-D97D97144E53}</x14:id>
        </ext>
      </extLst>
    </cfRule>
  </conditionalFormatting>
  <conditionalFormatting sqref="D25:G27">
    <cfRule type="dataBar" priority="5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{925C2E39-E22F-4798-8928-B63E132E71E7}</x14:id>
        </ext>
      </extLst>
    </cfRule>
  </conditionalFormatting>
  <conditionalFormatting sqref="D25:G27">
    <cfRule type="dataBar" priority="5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{5E75F441-101F-4085-842F-B05971F4D4AF}</x14:id>
        </ext>
      </extLst>
    </cfRule>
  </conditionalFormatting>
  <conditionalFormatting sqref="I25:I27">
    <cfRule type="dataBar" priority="5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{42CFFBA7-E46B-4B1F-8A6B-D29B309ADACF}</x14:id>
        </ext>
      </extLst>
    </cfRule>
  </conditionalFormatting>
  <conditionalFormatting sqref="O25:O27">
    <cfRule type="dataBar" priority="5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{7AEE299E-D5A5-486C-9D04-1913A80614BF}</x14:id>
        </ext>
      </extLst>
    </cfRule>
  </conditionalFormatting>
  <conditionalFormatting sqref="P25:P27">
    <cfRule type="dataBar" priority="5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{D78C1E41-7F7C-4E85-AF18-1CDFE33241EC}</x14:id>
        </ext>
      </extLst>
    </cfRule>
  </conditionalFormatting>
  <conditionalFormatting sqref="D25:G27">
    <cfRule type="dataBar" priority="5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{A5BF267D-75BA-4D94-98D6-3695EA358AA9}</x14:id>
        </ext>
      </extLst>
    </cfRule>
  </conditionalFormatting>
  <conditionalFormatting sqref="I25:I27">
    <cfRule type="dataBar" priority="5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{9B9B1272-4443-4D0A-8A23-80F0EEA80A2E}</x14:id>
        </ext>
      </extLst>
    </cfRule>
  </conditionalFormatting>
  <conditionalFormatting sqref="O25:AA27">
    <cfRule type="dataBar" priority="5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{81A95076-11D1-488E-8C31-A1E6995964AF}</x14:id>
        </ext>
      </extLst>
    </cfRule>
  </conditionalFormatting>
  <conditionalFormatting sqref="I25:I27">
    <cfRule type="dataBar" priority="5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{F6D74962-4A58-4E16-BEDD-8EF92A411374}</x14:id>
        </ext>
      </extLst>
    </cfRule>
  </conditionalFormatting>
  <conditionalFormatting sqref="F25:F27">
    <cfRule type="dataBar" priority="5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{BF7959B4-1E00-40D6-9B04-AC71802C65B6}</x14:id>
        </ext>
      </extLst>
    </cfRule>
  </conditionalFormatting>
  <conditionalFormatting sqref="G25:G27">
    <cfRule type="dataBar" priority="5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{229BB61E-A6C8-46F7-A8AD-F8C9758727AD}</x14:id>
        </ext>
      </extLst>
    </cfRule>
  </conditionalFormatting>
  <conditionalFormatting sqref="O25:O27">
    <cfRule type="dataBar" priority="5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{DA80EE1A-33FB-49DE-9326-4BB7B3700891}</x14:id>
        </ext>
      </extLst>
    </cfRule>
  </conditionalFormatting>
  <conditionalFormatting sqref="P25:P27">
    <cfRule type="dataBar" priority="5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{86F2BCE0-7F56-48D6-BF55-A35EEE43013D}</x14:id>
        </ext>
      </extLst>
    </cfRule>
  </conditionalFormatting>
  <conditionalFormatting sqref="D25:D27">
    <cfRule type="dataBar" priority="5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{7C02C875-39BC-4A76-9F9E-AE8C792BEAB3}</x14:id>
        </ext>
      </extLst>
    </cfRule>
  </conditionalFormatting>
  <conditionalFormatting sqref="E25:E27">
    <cfRule type="dataBar" priority="5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{1123B9E5-FDD4-452B-BDA2-6D26DD50B13F}</x14:id>
        </ext>
      </extLst>
    </cfRule>
  </conditionalFormatting>
  <conditionalFormatting sqref="Q25:Q27">
    <cfRule type="dataBar" priority="5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{ECA0F99A-C1F3-43D1-9B7D-5475123A2EFC}</x14:id>
        </ext>
      </extLst>
    </cfRule>
  </conditionalFormatting>
  <conditionalFormatting sqref="R25:R27">
    <cfRule type="dataBar" priority="5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{94718159-6D02-4CFA-96AD-30995BDBE76D}</x14:id>
        </ext>
      </extLst>
    </cfRule>
  </conditionalFormatting>
  <conditionalFormatting sqref="S25:S27">
    <cfRule type="dataBar" priority="5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{49CDBF59-45C7-43BC-B180-0EE58F6A9B88}</x14:id>
        </ext>
      </extLst>
    </cfRule>
  </conditionalFormatting>
  <conditionalFormatting sqref="T25:T27">
    <cfRule type="dataBar" priority="5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{84383926-8CB3-4FFE-A7C4-B92EC96CC67E}</x14:id>
        </ext>
      </extLst>
    </cfRule>
  </conditionalFormatting>
  <conditionalFormatting sqref="U25:U27">
    <cfRule type="dataBar" priority="5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{FC5B93C2-1B9D-4A4C-BEC1-E7AC8BE560DB}</x14:id>
        </ext>
      </extLst>
    </cfRule>
  </conditionalFormatting>
  <conditionalFormatting sqref="V25:V27">
    <cfRule type="dataBar" priority="5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{44ED25B0-CFBC-4D2C-ADED-6994BE5D09AF}</x14:id>
        </ext>
      </extLst>
    </cfRule>
  </conditionalFormatting>
  <conditionalFormatting sqref="W25:W27">
    <cfRule type="dataBar" priority="5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{C69A2E15-6831-4399-8BC4-A67B010DD482}</x14:id>
        </ext>
      </extLst>
    </cfRule>
  </conditionalFormatting>
  <conditionalFormatting sqref="X25:X27">
    <cfRule type="dataBar" priority="5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{159BEC47-FF0E-40FF-94AD-305DB50CFD74}</x14:id>
        </ext>
      </extLst>
    </cfRule>
  </conditionalFormatting>
  <conditionalFormatting sqref="Y25:Y27">
    <cfRule type="dataBar" priority="5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{E23130FA-0C4C-4DA5-8F34-2D9FED54D264}</x14:id>
        </ext>
      </extLst>
    </cfRule>
  </conditionalFormatting>
  <conditionalFormatting sqref="Z25:Z27">
    <cfRule type="dataBar" priority="5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{690929D5-A27D-48EB-ADD5-43633AC0E362}</x14:id>
        </ext>
      </extLst>
    </cfRule>
  </conditionalFormatting>
  <conditionalFormatting sqref="AA25:AA27">
    <cfRule type="dataBar" priority="6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{C5534B87-3FA8-4BDD-92E8-E20F5C082A25}</x14:id>
        </ext>
      </extLst>
    </cfRule>
  </conditionalFormatting>
  <conditionalFormatting sqref="Q29:AB29">
    <cfRule type="dataBar" priority="5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{DDFEDD15-65F1-48B5-8377-861EF660F196}</x14:id>
        </ext>
      </extLst>
    </cfRule>
  </conditionalFormatting>
  <conditionalFormatting sqref="AA29:AB29">
    <cfRule type="dataBar" priority="5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{81E4DA57-07F8-4D07-ADE3-8C837B21C736}</x14:id>
        </ext>
      </extLst>
    </cfRule>
  </conditionalFormatting>
  <conditionalFormatting sqref="AA29:AB29">
    <cfRule type="dataBar" priority="5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{9116D0F2-6112-4EAA-95F4-C10C1B10C27E}</x14:id>
        </ext>
      </extLst>
    </cfRule>
  </conditionalFormatting>
  <conditionalFormatting sqref="D29:E29">
    <cfRule type="dataBar" priority="5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{32A321A2-3182-4591-8C5D-2B10FAE633CC}</x14:id>
        </ext>
      </extLst>
    </cfRule>
  </conditionalFormatting>
  <conditionalFormatting sqref="D29:E29">
    <cfRule type="dataBar" priority="5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{19F5B49E-9A2B-4988-8DC9-8A236C5AED37}</x14:id>
        </ext>
      </extLst>
    </cfRule>
  </conditionalFormatting>
  <conditionalFormatting sqref="D29:E29">
    <cfRule type="dataBar" priority="5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{A1A406B4-F783-47A1-849E-380C82D99C19}</x14:id>
        </ext>
      </extLst>
    </cfRule>
  </conditionalFormatting>
  <conditionalFormatting sqref="D29:E29">
    <cfRule type="dataBar" priority="5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{BD9AFF94-4939-434C-B354-8436B374D9C0}</x14:id>
        </ext>
      </extLst>
    </cfRule>
  </conditionalFormatting>
  <conditionalFormatting sqref="Q29:AA29">
    <cfRule type="dataBar" priority="5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{29A2426B-1ACA-4DFA-AF0D-481DB8AFE370}</x14:id>
        </ext>
      </extLst>
    </cfRule>
  </conditionalFormatting>
  <conditionalFormatting sqref="D29">
    <cfRule type="dataBar" priority="5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{A90D3A9C-B751-4119-87A7-3CF4774E4E21}</x14:id>
        </ext>
      </extLst>
    </cfRule>
  </conditionalFormatting>
  <conditionalFormatting sqref="E29">
    <cfRule type="dataBar" priority="5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{C0F7C638-314C-4C60-B13D-FFC8C09CAB2D}</x14:id>
        </ext>
      </extLst>
    </cfRule>
  </conditionalFormatting>
  <conditionalFormatting sqref="Q29">
    <cfRule type="dataBar" priority="5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{DD6CA18F-401F-433B-BCB7-A1CE2DB8C1A4}</x14:id>
        </ext>
      </extLst>
    </cfRule>
  </conditionalFormatting>
  <conditionalFormatting sqref="R29">
    <cfRule type="dataBar" priority="5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{EAC9C2EA-C06A-4570-AB93-A6231C8A34BA}</x14:id>
        </ext>
      </extLst>
    </cfRule>
  </conditionalFormatting>
  <conditionalFormatting sqref="S29">
    <cfRule type="dataBar" priority="5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{84FF1D8E-4F9D-497C-8D79-2EF29767C079}</x14:id>
        </ext>
      </extLst>
    </cfRule>
  </conditionalFormatting>
  <conditionalFormatting sqref="T29">
    <cfRule type="dataBar" priority="5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{890E6A07-58A4-4687-8CED-E1A8B7DCB470}</x14:id>
        </ext>
      </extLst>
    </cfRule>
  </conditionalFormatting>
  <conditionalFormatting sqref="U29">
    <cfRule type="dataBar" priority="5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{5A8A043B-7A45-4413-99E7-07585F5A37DC}</x14:id>
        </ext>
      </extLst>
    </cfRule>
  </conditionalFormatting>
  <conditionalFormatting sqref="V29">
    <cfRule type="dataBar" priority="5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{FC40D9D6-C98B-498A-82D0-AC8430E265E2}</x14:id>
        </ext>
      </extLst>
    </cfRule>
  </conditionalFormatting>
  <conditionalFormatting sqref="W29">
    <cfRule type="dataBar" priority="5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{FA840246-966F-424E-9B84-F2F6B4EB6CD8}</x14:id>
        </ext>
      </extLst>
    </cfRule>
  </conditionalFormatting>
  <conditionalFormatting sqref="X29">
    <cfRule type="dataBar" priority="5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{42809BD2-2F3A-4CE1-B1EE-389CC30AF1B5}</x14:id>
        </ext>
      </extLst>
    </cfRule>
  </conditionalFormatting>
  <conditionalFormatting sqref="Y29">
    <cfRule type="dataBar" priority="5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{98F965C1-1DF7-4164-BF27-C91A4A9C0E7F}</x14:id>
        </ext>
      </extLst>
    </cfRule>
  </conditionalFormatting>
  <conditionalFormatting sqref="Z29">
    <cfRule type="dataBar" priority="5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{AD8B2595-06A6-4EFC-93E3-B24D78EDDA75}</x14:id>
        </ext>
      </extLst>
    </cfRule>
  </conditionalFormatting>
  <conditionalFormatting sqref="AA29">
    <cfRule type="dataBar" priority="5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{DB2D0EF8-6774-4523-A861-EF8251F58729}</x14:id>
        </ext>
      </extLst>
    </cfRule>
  </conditionalFormatting>
  <conditionalFormatting sqref="G35">
    <cfRule type="dataBar" priority="4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{22C24A05-C6A4-40F5-9015-EA16B7AF8F74}</x14:id>
        </ext>
      </extLst>
    </cfRule>
  </conditionalFormatting>
  <conditionalFormatting sqref="P35">
    <cfRule type="dataBar" priority="4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{6FBDD3F3-6943-4104-91B6-BD8617C3FA3E}</x14:id>
        </ext>
      </extLst>
    </cfRule>
  </conditionalFormatting>
  <conditionalFormatting sqref="Q35">
    <cfRule type="dataBar" priority="4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{AD965268-5DBB-4D01-8AF1-53C714971E11}</x14:id>
        </ext>
      </extLst>
    </cfRule>
  </conditionalFormatting>
  <conditionalFormatting sqref="T35">
    <cfRule type="dataBar" priority="4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{B31A01A1-6484-4D0C-8E2F-F1BEEEB8E53D}</x14:id>
        </ext>
      </extLst>
    </cfRule>
  </conditionalFormatting>
  <conditionalFormatting sqref="W35">
    <cfRule type="dataBar" priority="4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{03A64CE8-BBF8-4D24-99A6-33F8A9B6A619}</x14:id>
        </ext>
      </extLst>
    </cfRule>
  </conditionalFormatting>
  <conditionalFormatting sqref="X3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{60B1273A-5C68-4CB0-B777-18A9F0D5DDBE}</x14:id>
        </ext>
      </extLst>
    </cfRule>
  </conditionalFormatting>
  <conditionalFormatting sqref="Y35">
    <cfRule type="dataBar" priority="4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{BE4334FD-CB1F-4198-8BC2-B97607E83468}</x14:id>
        </ext>
      </extLst>
    </cfRule>
  </conditionalFormatting>
  <conditionalFormatting sqref="Z35">
    <cfRule type="dataBar" priority="4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{4EDE82CD-8B42-46FC-A93D-27B4B4015F68}</x14:id>
        </ext>
      </extLst>
    </cfRule>
  </conditionalFormatting>
  <conditionalFormatting sqref="AA35:AB35">
    <cfRule type="dataBar" priority="4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{E1BDB0D6-F280-41B9-836A-DD5222F21F50}</x14:id>
        </ext>
      </extLst>
    </cfRule>
  </conditionalFormatting>
  <conditionalFormatting sqref="R35">
    <cfRule type="dataBar" priority="4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{63D5367D-E974-448C-A5F3-66CB6FEF2038}</x14:id>
        </ext>
      </extLst>
    </cfRule>
  </conditionalFormatting>
  <conditionalFormatting sqref="S35">
    <cfRule type="dataBar" priority="4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{0DDC12FA-9C3D-4D12-9C56-EB15F75E89E1}</x14:id>
        </ext>
      </extLst>
    </cfRule>
  </conditionalFormatting>
  <conditionalFormatting sqref="U35">
    <cfRule type="dataBar" priority="4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{36D082D2-8FBC-4206-AF99-A1D6EA7801F6}</x14:id>
        </ext>
      </extLst>
    </cfRule>
  </conditionalFormatting>
  <conditionalFormatting sqref="I35">
    <cfRule type="dataBar" priority="4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{1FF5C3E6-5CF6-483F-8A2A-277B116ECE13}</x14:id>
        </ext>
      </extLst>
    </cfRule>
  </conditionalFormatting>
  <conditionalFormatting sqref="D35">
    <cfRule type="dataBar" priority="4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{52B96295-9C13-437D-8220-C768A2F9CBC6}</x14:id>
        </ext>
      </extLst>
    </cfRule>
  </conditionalFormatting>
  <conditionalFormatting sqref="E35">
    <cfRule type="dataBar" priority="4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{8159C7D5-2ED5-4393-898C-8597683A56F3}</x14:id>
        </ext>
      </extLst>
    </cfRule>
  </conditionalFormatting>
  <conditionalFormatting sqref="F35">
    <cfRule type="dataBar" priority="4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{10515500-44D9-46F6-A385-21510EA6823B}</x14:id>
        </ext>
      </extLst>
    </cfRule>
  </conditionalFormatting>
  <conditionalFormatting sqref="D35">
    <cfRule type="dataBar" priority="4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{0F01BE2A-0887-4880-8EAD-FCFAF65C52FC}</x14:id>
        </ext>
      </extLst>
    </cfRule>
  </conditionalFormatting>
  <conditionalFormatting sqref="E35">
    <cfRule type="dataBar" priority="4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{F915AE09-265E-41A0-AC8B-4D14687F2F9C}</x14:id>
        </ext>
      </extLst>
    </cfRule>
  </conditionalFormatting>
  <conditionalFormatting sqref="F35">
    <cfRule type="dataBar" priority="4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{45ABBDDB-F1A9-47EF-93E8-E333A661EE33}</x14:id>
        </ext>
      </extLst>
    </cfRule>
  </conditionalFormatting>
  <conditionalFormatting sqref="G35">
    <cfRule type="dataBar" priority="4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{997757D6-0AA1-4F8F-B848-ED5218B4C7EB}</x14:id>
        </ext>
      </extLst>
    </cfRule>
  </conditionalFormatting>
  <conditionalFormatting sqref="I35">
    <cfRule type="dataBar" priority="4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{6BE7C336-4417-4438-8CF4-DE0011887483}</x14:id>
        </ext>
      </extLst>
    </cfRule>
  </conditionalFormatting>
  <conditionalFormatting sqref="O35">
    <cfRule type="dataBar" priority="4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{A49148AA-2D87-4857-ADE1-B8E57514F82D}</x14:id>
        </ext>
      </extLst>
    </cfRule>
  </conditionalFormatting>
  <conditionalFormatting sqref="P35">
    <cfRule type="dataBar" priority="4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{8EBD8FFF-006B-4E52-B44D-B010CFBE6C05}</x14:id>
        </ext>
      </extLst>
    </cfRule>
  </conditionalFormatting>
  <conditionalFormatting sqref="Q35">
    <cfRule type="dataBar" priority="4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{7672A5C3-90CD-4713-BC26-A3A1B7FC938A}</x14:id>
        </ext>
      </extLst>
    </cfRule>
  </conditionalFormatting>
  <conditionalFormatting sqref="R35">
    <cfRule type="dataBar" priority="4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{CF254CD0-75E7-41F8-999D-3030894CC033}</x14:id>
        </ext>
      </extLst>
    </cfRule>
  </conditionalFormatting>
  <conditionalFormatting sqref="S35">
    <cfRule type="dataBar" priority="4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{7880D259-7728-4912-B3D7-D6108C3AB3FC}</x14:id>
        </ext>
      </extLst>
    </cfRule>
  </conditionalFormatting>
  <conditionalFormatting sqref="T35">
    <cfRule type="dataBar" priority="4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{2CA6E0C8-727F-4D7C-84A2-BE224613547F}</x14:id>
        </ext>
      </extLst>
    </cfRule>
  </conditionalFormatting>
  <conditionalFormatting sqref="U35">
    <cfRule type="dataBar" priority="4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{C828DF1C-D81F-4431-9108-47DCC8B31AD4}</x14:id>
        </ext>
      </extLst>
    </cfRule>
  </conditionalFormatting>
  <conditionalFormatting sqref="V35">
    <cfRule type="dataBar" priority="4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{6554AD9F-4A3E-4818-AA97-502860043C6A}</x14:id>
        </ext>
      </extLst>
    </cfRule>
  </conditionalFormatting>
  <conditionalFormatting sqref="W35">
    <cfRule type="dataBar" priority="4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{F411AE53-3ED6-4951-8491-5686C4E73763}</x14:id>
        </ext>
      </extLst>
    </cfRule>
  </conditionalFormatting>
  <conditionalFormatting sqref="X35">
    <cfRule type="dataBar" priority="4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{821B68C2-92A4-4809-9B08-6F2A185F9109}</x14:id>
        </ext>
      </extLst>
    </cfRule>
  </conditionalFormatting>
  <conditionalFormatting sqref="Y35">
    <cfRule type="dataBar" priority="4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{C1F5053A-2DE1-4CF8-874B-7BFFDA67F720}</x14:id>
        </ext>
      </extLst>
    </cfRule>
  </conditionalFormatting>
  <conditionalFormatting sqref="Z35">
    <cfRule type="dataBar" priority="4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{4C4EB3A8-A310-4223-8774-35B0302728F9}</x14:id>
        </ext>
      </extLst>
    </cfRule>
  </conditionalFormatting>
  <conditionalFormatting sqref="AA35:AB35">
    <cfRule type="dataBar" priority="4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{03B68180-2B04-446C-A2C9-AF5F69FE8E80}</x14:id>
        </ext>
      </extLst>
    </cfRule>
  </conditionalFormatting>
  <conditionalFormatting sqref="D35:G35">
    <cfRule type="dataBar" priority="4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{C85F0998-40D2-4765-B885-6C233C9299B1}</x14:id>
        </ext>
      </extLst>
    </cfRule>
  </conditionalFormatting>
  <conditionalFormatting sqref="I35">
    <cfRule type="dataBar" priority="4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{EF8585E3-C48A-481C-9447-99D1F20F56FF}</x14:id>
        </ext>
      </extLst>
    </cfRule>
  </conditionalFormatting>
  <conditionalFormatting sqref="I35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{3A4D7DB5-9BB2-47A6-8EE8-5F5AC014D7D5}</x14:id>
        </ext>
      </extLst>
    </cfRule>
  </conditionalFormatting>
  <conditionalFormatting sqref="D35:G35">
    <cfRule type="dataBar" priority="4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{D5AD38F3-6F9A-472B-80D7-A569760732E2}</x14:id>
        </ext>
      </extLst>
    </cfRule>
  </conditionalFormatting>
  <conditionalFormatting sqref="O35:AB35">
    <cfRule type="dataBar" priority="4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{F239A3F1-C06F-42C1-A729-A1A7CD30B5CD}</x14:id>
        </ext>
      </extLst>
    </cfRule>
  </conditionalFormatting>
  <conditionalFormatting sqref="AA35:AB35">
    <cfRule type="dataBar" priority="4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{3AA73CAA-25DA-4F2E-B346-9AED63CE18F9}</x14:id>
        </ext>
      </extLst>
    </cfRule>
  </conditionalFormatting>
  <conditionalFormatting sqref="I35">
    <cfRule type="dataBar" priority="4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{EE50F991-39FA-41FD-98AE-394B1AB5187F}</x14:id>
        </ext>
      </extLst>
    </cfRule>
  </conditionalFormatting>
  <conditionalFormatting sqref="O35">
    <cfRule type="dataBar" priority="4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{40431A68-9340-48AD-966A-EB73D01112AA}</x14:id>
        </ext>
      </extLst>
    </cfRule>
  </conditionalFormatting>
  <conditionalFormatting sqref="P35">
    <cfRule type="dataBar" priority="4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{481EF431-5B95-45E7-8CA7-966ED253C59C}</x14:id>
        </ext>
      </extLst>
    </cfRule>
  </conditionalFormatting>
  <conditionalFormatting sqref="D35:G35">
    <cfRule type="dataBar" priority="4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{BFCC954D-BCAF-4E0F-8CED-84D3D28BA0A6}</x14:id>
        </ext>
      </extLst>
    </cfRule>
  </conditionalFormatting>
  <conditionalFormatting sqref="D35:G35">
    <cfRule type="dataBar" priority="4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{550635E7-BD31-4472-98FC-B3DB772A5881}</x14:id>
        </ext>
      </extLst>
    </cfRule>
  </conditionalFormatting>
  <conditionalFormatting sqref="I35">
    <cfRule type="dataBar" priority="4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{C915AE4A-B343-4C73-B593-F85A18CB9882}</x14:id>
        </ext>
      </extLst>
    </cfRule>
  </conditionalFormatting>
  <conditionalFormatting sqref="O35:AA35">
    <cfRule type="dataBar" priority="4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{1EE276D2-5F15-4246-92E1-88B8A134EA20}</x14:id>
        </ext>
      </extLst>
    </cfRule>
  </conditionalFormatting>
  <conditionalFormatting sqref="I35">
    <cfRule type="dataBar" priority="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{4DFFA348-9C85-4B3B-B770-5FFEBBE65E89}</x14:id>
        </ext>
      </extLst>
    </cfRule>
  </conditionalFormatting>
  <conditionalFormatting sqref="F35">
    <cfRule type="dataBar" priority="4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{F7C37E71-E9B9-472B-B959-70A5A0596905}</x14:id>
        </ext>
      </extLst>
    </cfRule>
  </conditionalFormatting>
  <conditionalFormatting sqref="G35">
    <cfRule type="dataBar" priority="4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{9CE353D4-F40B-491F-BF49-ECFA48CDE434}</x14:id>
        </ext>
      </extLst>
    </cfRule>
  </conditionalFormatting>
  <conditionalFormatting sqref="O35">
    <cfRule type="dataBar" priority="4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{48910E17-9B74-4A27-9ED4-F7D7CAF0DDF6}</x14:id>
        </ext>
      </extLst>
    </cfRule>
  </conditionalFormatting>
  <conditionalFormatting sqref="P35">
    <cfRule type="dataBar" priority="4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{F26D7E93-F04E-4641-906F-2C07B5ABFDD6}</x14:id>
        </ext>
      </extLst>
    </cfRule>
  </conditionalFormatting>
  <conditionalFormatting sqref="AA35">
    <cfRule type="dataBar" priority="4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{D9D7AC1C-9223-4DD9-855E-516311E55A52}</x14:id>
        </ext>
      </extLst>
    </cfRule>
  </conditionalFormatting>
  <conditionalFormatting sqref="O42">
    <cfRule type="dataBar" priority="25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{49ACE36D-D0EC-4DCC-9C61-840AC656253F}</x14:id>
        </ext>
      </extLst>
    </cfRule>
  </conditionalFormatting>
  <conditionalFormatting sqref="V42">
    <cfRule type="dataBar" priority="25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{3ECB750D-FE1D-48C3-8B87-8EE8EFC03F54}</x14:id>
        </ext>
      </extLst>
    </cfRule>
  </conditionalFormatting>
  <conditionalFormatting sqref="D42:G42">
    <cfRule type="dataBar" priority="25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{B896493E-687A-4317-ADE9-7F831C8DFCF8}</x14:id>
        </ext>
      </extLst>
    </cfRule>
  </conditionalFormatting>
  <conditionalFormatting sqref="G31">
    <cfRule type="dataBar" priority="3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{4074E11B-7D94-4B75-9526-BAECDCC0A5A0}</x14:id>
        </ext>
      </extLst>
    </cfRule>
  </conditionalFormatting>
  <conditionalFormatting sqref="P31">
    <cfRule type="dataBar" priority="3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{7197D4E7-8B63-417C-9015-42213FB242AD}</x14:id>
        </ext>
      </extLst>
    </cfRule>
  </conditionalFormatting>
  <conditionalFormatting sqref="Q31">
    <cfRule type="dataBar" priority="3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{482C3C85-0B00-4F81-BB1E-EE8F963227A2}</x14:id>
        </ext>
      </extLst>
    </cfRule>
  </conditionalFormatting>
  <conditionalFormatting sqref="T31">
    <cfRule type="dataBar" priority="3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{12A59C1F-DBE2-4650-B57E-38FCBF94EC40}</x14:id>
        </ext>
      </extLst>
    </cfRule>
  </conditionalFormatting>
  <conditionalFormatting sqref="W31">
    <cfRule type="dataBar" priority="3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{887BA5EC-8A15-458E-8045-9B325462A75E}</x14:id>
        </ext>
      </extLst>
    </cfRule>
  </conditionalFormatting>
  <conditionalFormatting sqref="X31">
    <cfRule type="dataBar" priority="3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{19CE4A64-10EE-4F5E-94FF-373DD9E5B5C1}</x14:id>
        </ext>
      </extLst>
    </cfRule>
  </conditionalFormatting>
  <conditionalFormatting sqref="Y31">
    <cfRule type="dataBar" priority="3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{775C0283-ADFD-46F8-B6EA-78807A336FD8}</x14:id>
        </ext>
      </extLst>
    </cfRule>
  </conditionalFormatting>
  <conditionalFormatting sqref="Z31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{010BCCA8-5EED-4C2F-BFAB-602BA2F281DC}</x14:id>
        </ext>
      </extLst>
    </cfRule>
  </conditionalFormatting>
  <conditionalFormatting sqref="AA31">
    <cfRule type="dataBar" priority="3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{C4E57E73-F879-4C7F-AA85-DF05A7D1A0B0}</x14:id>
        </ext>
      </extLst>
    </cfRule>
  </conditionalFormatting>
  <conditionalFormatting sqref="R31">
    <cfRule type="dataBar" priority="3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{97634FE8-6CEB-49D0-8DA8-FC2D5BF59B61}</x14:id>
        </ext>
      </extLst>
    </cfRule>
  </conditionalFormatting>
  <conditionalFormatting sqref="S31">
    <cfRule type="dataBar" priority="3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{3B9D2CD7-8FCE-4FAC-9FA2-32AC9A95DC02}</x14:id>
        </ext>
      </extLst>
    </cfRule>
  </conditionalFormatting>
  <conditionalFormatting sqref="U31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{001E71A8-A6DF-4DB0-B981-2608B4F3CAB3}</x14:id>
        </ext>
      </extLst>
    </cfRule>
  </conditionalFormatting>
  <conditionalFormatting sqref="I31">
    <cfRule type="dataBar" priority="3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{2F42386A-5F69-4D2B-A970-D65C9DEF9C64}</x14:id>
        </ext>
      </extLst>
    </cfRule>
  </conditionalFormatting>
  <conditionalFormatting sqref="D31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{EAFE1506-10C9-49E3-A9DC-8C90F24362C8}</x14:id>
        </ext>
      </extLst>
    </cfRule>
  </conditionalFormatting>
  <conditionalFormatting sqref="E31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{79A8A405-8C74-4398-AD42-6224C58EC676}</x14:id>
        </ext>
      </extLst>
    </cfRule>
  </conditionalFormatting>
  <conditionalFormatting sqref="F31">
    <cfRule type="dataBar" priority="3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{7AF22633-DD15-420E-BE98-8ADC33025B99}</x14:id>
        </ext>
      </extLst>
    </cfRule>
  </conditionalFormatting>
  <conditionalFormatting sqref="AA31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{90627B47-9AED-46C4-8597-6009DF6FDD87}</x14:id>
        </ext>
      </extLst>
    </cfRule>
  </conditionalFormatting>
  <conditionalFormatting sqref="AB31">
    <cfRule type="dataBar" priority="3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{87F23A31-7A4E-4E08-81E6-A054EC1B38FA}</x14:id>
        </ext>
      </extLst>
    </cfRule>
  </conditionalFormatting>
  <conditionalFormatting sqref="I31">
    <cfRule type="dataBar" priority="3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{7D5C2C80-B3F8-47A5-BA16-6DEA4D8224B3}</x14:id>
        </ext>
      </extLst>
    </cfRule>
  </conditionalFormatting>
  <conditionalFormatting sqref="D31:G31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{985FDDEE-E473-4F20-BB94-BD7315D63B24}</x14:id>
        </ext>
      </extLst>
    </cfRule>
  </conditionalFormatting>
  <conditionalFormatting sqref="I31">
    <cfRule type="dataBar" priority="3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{A08F8C4F-E187-462F-9207-FDF3BABB21C3}</x14:id>
        </ext>
      </extLst>
    </cfRule>
  </conditionalFormatting>
  <conditionalFormatting sqref="F31">
    <cfRule type="dataBar" priority="3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{9640D59B-A32B-4714-B367-760BDFFA8AE8}</x14:id>
        </ext>
      </extLst>
    </cfRule>
  </conditionalFormatting>
  <conditionalFormatting sqref="G31">
    <cfRule type="dataBar" priority="3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{614AA02B-EC19-43F1-AF69-A23AE133BC76}</x14:id>
        </ext>
      </extLst>
    </cfRule>
  </conditionalFormatting>
  <conditionalFormatting sqref="I31">
    <cfRule type="dataBar" priority="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{4BDAE648-D7DE-43D5-9715-2CAF772BF10A}</x14:id>
        </ext>
      </extLst>
    </cfRule>
  </conditionalFormatting>
  <conditionalFormatting sqref="O31">
    <cfRule type="dataBar" priority="3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{6F51025F-9864-4DE8-81CD-0705A587BEDC}</x14:id>
        </ext>
      </extLst>
    </cfRule>
  </conditionalFormatting>
  <conditionalFormatting sqref="P31">
    <cfRule type="dataBar" priority="3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{BC963C80-C2FA-41D6-AB61-557239B6333F}</x14:id>
        </ext>
      </extLst>
    </cfRule>
  </conditionalFormatting>
  <conditionalFormatting sqref="D31:G31">
    <cfRule type="dataBar" priority="3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{09201E8F-0C8E-4504-A3D4-91A7A21BEEE6}</x14:id>
        </ext>
      </extLst>
    </cfRule>
  </conditionalFormatting>
  <conditionalFormatting sqref="D31">
    <cfRule type="dataBar" priority="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{0F4FBA9F-5EAF-4CA5-9477-0C9D0C5F0440}</x14:id>
        </ext>
      </extLst>
    </cfRule>
  </conditionalFormatting>
  <conditionalFormatting sqref="E31">
    <cfRule type="dataBar" priority="3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{8F388C34-3B1C-47C5-BC2F-995800A54A76}</x14:id>
        </ext>
      </extLst>
    </cfRule>
  </conditionalFormatting>
  <conditionalFormatting sqref="Q31">
    <cfRule type="dataBar" priority="3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{C96846AA-8933-476E-8837-CEF2D2E72C30}</x14:id>
        </ext>
      </extLst>
    </cfRule>
  </conditionalFormatting>
  <conditionalFormatting sqref="R31">
    <cfRule type="dataBar" priority="3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{5285730B-1C82-40B5-BBAB-C5501C5F7298}</x14:id>
        </ext>
      </extLst>
    </cfRule>
  </conditionalFormatting>
  <conditionalFormatting sqref="S31">
    <cfRule type="dataBar" priority="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{C1189784-9BAA-43FE-8F90-7DACA5772DA6}</x14:id>
        </ext>
      </extLst>
    </cfRule>
  </conditionalFormatting>
  <conditionalFormatting sqref="T31">
    <cfRule type="dataBar" priority="3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{D8FFA7FB-0BDC-48CD-BD87-C4BFC33C7FC3}</x14:id>
        </ext>
      </extLst>
    </cfRule>
  </conditionalFormatting>
  <conditionalFormatting sqref="U31">
    <cfRule type="dataBar" priority="3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{F5E28BCD-F233-43B3-9C91-564BE7688C54}</x14:id>
        </ext>
      </extLst>
    </cfRule>
  </conditionalFormatting>
  <conditionalFormatting sqref="V31">
    <cfRule type="dataBar" priority="4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{A816163A-7BEE-4492-B4F5-E8E927D01593}</x14:id>
        </ext>
      </extLst>
    </cfRule>
  </conditionalFormatting>
  <conditionalFormatting sqref="W31">
    <cfRule type="dataBar" priority="4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{81F505AF-A3B3-41E8-86E8-AF54C3CDD263}</x14:id>
        </ext>
      </extLst>
    </cfRule>
  </conditionalFormatting>
  <conditionalFormatting sqref="X31">
    <cfRule type="dataBar" priority="4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{FE758933-1707-40A0-A517-C796D172E57B}</x14:id>
        </ext>
      </extLst>
    </cfRule>
  </conditionalFormatting>
  <conditionalFormatting sqref="Y31">
    <cfRule type="dataBar" priority="4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{A1B3ACF5-5F87-474F-A4C9-3FD83196F6DD}</x14:id>
        </ext>
      </extLst>
    </cfRule>
  </conditionalFormatting>
  <conditionalFormatting sqref="Z31">
    <cfRule type="dataBar" priority="4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{2662BC12-762A-46F7-AE99-EAF595444CEA}</x14:id>
        </ext>
      </extLst>
    </cfRule>
  </conditionalFormatting>
  <conditionalFormatting sqref="O31:AA31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{A7439EB5-8B40-42E8-B335-39BDD83169A3}</x14:id>
        </ext>
      </extLst>
    </cfRule>
  </conditionalFormatting>
  <conditionalFormatting sqref="AA31">
    <cfRule type="dataBar" priority="4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{38E3AD2C-18B4-4579-BF68-52B0FD4CC964}</x14:id>
        </ext>
      </extLst>
    </cfRule>
  </conditionalFormatting>
  <conditionalFormatting sqref="I31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{2BA608B7-8886-42AC-BCAD-0681A8B95CFD}</x14:id>
        </ext>
      </extLst>
    </cfRule>
  </conditionalFormatting>
  <conditionalFormatting sqref="O31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{071D407B-8A97-4B59-8121-94CF458F3631}</x14:id>
        </ext>
      </extLst>
    </cfRule>
  </conditionalFormatting>
  <conditionalFormatting sqref="P31">
    <cfRule type="dataBar" priority="4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{9254D812-E3A4-4020-A57F-31278BDA3188}</x14:id>
        </ext>
      </extLst>
    </cfRule>
  </conditionalFormatting>
  <conditionalFormatting sqref="D31:G31">
    <cfRule type="dataBar" priority="4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{D19EFC52-DC88-4DC6-A233-894183F83884}</x14:id>
        </ext>
      </extLst>
    </cfRule>
  </conditionalFormatting>
  <conditionalFormatting sqref="D31:G31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{FEAA5878-AD1A-4259-A840-F832507588AD}</x14:id>
        </ext>
      </extLst>
    </cfRule>
  </conditionalFormatting>
  <conditionalFormatting sqref="I31">
    <cfRule type="dataBar" priority="4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{06547514-6C31-43AD-AAF7-DCBF185BD40A}</x14:id>
        </ext>
      </extLst>
    </cfRule>
  </conditionalFormatting>
  <conditionalFormatting sqref="O31:AA31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{42C8CF01-21E0-4725-AE44-58807615E144}</x14:id>
        </ext>
      </extLst>
    </cfRule>
  </conditionalFormatting>
  <conditionalFormatting sqref="I31">
    <cfRule type="dataBar" priority="4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{A59A41C3-1F50-45E1-93FB-D6745FE5BFDD}</x14:id>
        </ext>
      </extLst>
    </cfRule>
  </conditionalFormatting>
  <conditionalFormatting sqref="F31">
    <cfRule type="dataBar" priority="4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{60C9D342-C3A5-491C-A20B-0E7821518702}</x14:id>
        </ext>
      </extLst>
    </cfRule>
  </conditionalFormatting>
  <conditionalFormatting sqref="G31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{32F7B40E-282C-4A68-9634-10455052A696}</x14:id>
        </ext>
      </extLst>
    </cfRule>
  </conditionalFormatting>
  <conditionalFormatting sqref="O31">
    <cfRule type="dataBar" priority="4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{853754D4-8899-4148-87B2-50C0D47BBE99}</x14:id>
        </ext>
      </extLst>
    </cfRule>
  </conditionalFormatting>
  <conditionalFormatting sqref="P31">
    <cfRule type="dataBar" priority="4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{7DE72735-3314-49CC-8611-AB855EE63C1F}</x14:id>
        </ext>
      </extLst>
    </cfRule>
  </conditionalFormatting>
  <conditionalFormatting sqref="AA31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{6F465980-CB21-44AB-B8AF-C09831ECCE52}</x14:id>
        </ext>
      </extLst>
    </cfRule>
  </conditionalFormatting>
  <conditionalFormatting sqref="G51">
    <cfRule type="dataBar" priority="25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{9CAD6BDD-7FE6-45BF-932A-6F081BC86CE6}</x14:id>
        </ext>
      </extLst>
    </cfRule>
  </conditionalFormatting>
  <conditionalFormatting sqref="P51">
    <cfRule type="dataBar" priority="253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{0DDB8726-BF1F-41B1-9AC7-6AEF6798F40C}</x14:id>
        </ext>
      </extLst>
    </cfRule>
  </conditionalFormatting>
  <conditionalFormatting sqref="Q51">
    <cfRule type="dataBar" priority="253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{A03EA642-8DF4-4A02-B667-4D9D16B0BD91}</x14:id>
        </ext>
      </extLst>
    </cfRule>
  </conditionalFormatting>
  <conditionalFormatting sqref="T51">
    <cfRule type="dataBar" priority="25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{4190791B-4EDC-41EB-B29F-7C74C717DA94}</x14:id>
        </ext>
      </extLst>
    </cfRule>
  </conditionalFormatting>
  <conditionalFormatting sqref="W51">
    <cfRule type="dataBar" priority="25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{6F806C77-E4CA-43FC-B204-AEEE9D3C2571}</x14:id>
        </ext>
      </extLst>
    </cfRule>
  </conditionalFormatting>
  <conditionalFormatting sqref="X51">
    <cfRule type="dataBar" priority="25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{A755E61D-8E21-4017-A317-640B71353E8A}</x14:id>
        </ext>
      </extLst>
    </cfRule>
  </conditionalFormatting>
  <conditionalFormatting sqref="Y51">
    <cfRule type="dataBar" priority="25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{FB63F305-2BC9-45E1-86A8-66E8F4C71632}</x14:id>
        </ext>
      </extLst>
    </cfRule>
  </conditionalFormatting>
  <conditionalFormatting sqref="Z51">
    <cfRule type="dataBar" priority="25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{2BBF6B8E-9F23-47D2-8A48-8CE778A4A623}</x14:id>
        </ext>
      </extLst>
    </cfRule>
  </conditionalFormatting>
  <conditionalFormatting sqref="AA51:AB51">
    <cfRule type="dataBar" priority="25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{20A09FDB-39C0-406F-8784-0F5139AA6EF8}</x14:id>
        </ext>
      </extLst>
    </cfRule>
  </conditionalFormatting>
  <conditionalFormatting sqref="R51">
    <cfRule type="dataBar" priority="25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{1143BCD1-EBF6-4EAD-8861-E99D5CD5414E}</x14:id>
        </ext>
      </extLst>
    </cfRule>
  </conditionalFormatting>
  <conditionalFormatting sqref="S51">
    <cfRule type="dataBar" priority="25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{BBB0C946-5444-494E-A640-B50EF5A12C3E}</x14:id>
        </ext>
      </extLst>
    </cfRule>
  </conditionalFormatting>
  <conditionalFormatting sqref="U51">
    <cfRule type="dataBar" priority="25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{5C8D4270-AE9C-43C1-852A-028598F0E8F2}</x14:id>
        </ext>
      </extLst>
    </cfRule>
  </conditionalFormatting>
  <conditionalFormatting sqref="I51">
    <cfRule type="dataBar" priority="25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{F29FCCD2-4613-401E-AC68-51B932AE2547}</x14:id>
        </ext>
      </extLst>
    </cfRule>
  </conditionalFormatting>
  <conditionalFormatting sqref="D51">
    <cfRule type="dataBar" priority="25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{2F19FB1F-0404-466D-B198-5786AD731B90}</x14:id>
        </ext>
      </extLst>
    </cfRule>
  </conditionalFormatting>
  <conditionalFormatting sqref="E51">
    <cfRule type="dataBar" priority="25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{971715AF-9DCC-4173-B009-87037E13A70C}</x14:id>
        </ext>
      </extLst>
    </cfRule>
  </conditionalFormatting>
  <conditionalFormatting sqref="F51">
    <cfRule type="dataBar" priority="25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{39A7BB74-A4C1-4C21-8C06-44896E559069}</x14:id>
        </ext>
      </extLst>
    </cfRule>
  </conditionalFormatting>
  <conditionalFormatting sqref="I70:I73 I37 I67:I68 I40:I42 I6 I28 I46:I49 I51:I56 I58:I62">
    <cfRule type="dataBar" priority="253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{674356B9-0CBD-4D16-BE33-2F26C17A3E8F}</x14:id>
        </ext>
      </extLst>
    </cfRule>
  </conditionalFormatting>
  <conditionalFormatting sqref="O70:O73 O37 O67:O68 O40:O42 O6 O28 O46:O49 O51:O56 O58:O62">
    <cfRule type="dataBar" priority="253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{5A973DDB-5E25-40B2-9DD1-30A578025A06}</x14:id>
        </ext>
      </extLst>
    </cfRule>
  </conditionalFormatting>
  <conditionalFormatting sqref="P70:P73 P37 P67:P68 P40:P42 P6 P28 P46:P49 P51:P56 P58:P62">
    <cfRule type="dataBar" priority="253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{8BB347C8-A0B7-4486-94B2-4F4312088949}</x14:id>
        </ext>
      </extLst>
    </cfRule>
  </conditionalFormatting>
  <conditionalFormatting sqref="D32:E32">
    <cfRule type="dataBar" priority="3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{98352A3C-E1B9-43D6-ADE4-D4D17C353CE8}</x14:id>
        </ext>
      </extLst>
    </cfRule>
  </conditionalFormatting>
  <conditionalFormatting sqref="Q32:AB32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{9E3E49CC-6BD7-4D77-8E6A-0B9D16AFC9AB}</x14:id>
        </ext>
      </extLst>
    </cfRule>
  </conditionalFormatting>
  <conditionalFormatting sqref="AA32:AB32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{C90A8C49-4BAF-4C49-81F6-B39656708E37}</x14:id>
        </ext>
      </extLst>
    </cfRule>
  </conditionalFormatting>
  <conditionalFormatting sqref="AA32:AB32">
    <cfRule type="dataBar" priority="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{6B66888A-9E5A-4A95-A46A-8D444447FB2C}</x14:id>
        </ext>
      </extLst>
    </cfRule>
  </conditionalFormatting>
  <conditionalFormatting sqref="D32:E32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{4E816750-06C5-479C-9F64-08CEA8445EAC}</x14:id>
        </ext>
      </extLst>
    </cfRule>
  </conditionalFormatting>
  <conditionalFormatting sqref="D32:E32">
    <cfRule type="dataBar" priority="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{36B39DBD-FB9C-4D98-85D4-47E01D2CB9F9}</x14:id>
        </ext>
      </extLst>
    </cfRule>
  </conditionalFormatting>
  <conditionalFormatting sqref="D32">
    <cfRule type="dataBar" priority="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{2EF771E3-B8CE-4FBB-A1C6-84F616FC4830}</x14:id>
        </ext>
      </extLst>
    </cfRule>
  </conditionalFormatting>
  <conditionalFormatting sqref="E32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{23F461E9-2233-4632-8890-192C2699D791}</x14:id>
        </ext>
      </extLst>
    </cfRule>
  </conditionalFormatting>
  <conditionalFormatting sqref="Q32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{98F0C2EC-B7E4-48A8-97A5-ACD302096311}</x14:id>
        </ext>
      </extLst>
    </cfRule>
  </conditionalFormatting>
  <conditionalFormatting sqref="R32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{9B3C1309-7B82-44FA-BC62-25E85549BEE1}</x14:id>
        </ext>
      </extLst>
    </cfRule>
  </conditionalFormatting>
  <conditionalFormatting sqref="S32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{2C6FF051-9D6D-4A0C-9751-4A747E4FFD0D}</x14:id>
        </ext>
      </extLst>
    </cfRule>
  </conditionalFormatting>
  <conditionalFormatting sqref="T32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{3A32F29A-CA6B-4287-8BD4-E387413C11C6}</x14:id>
        </ext>
      </extLst>
    </cfRule>
  </conditionalFormatting>
  <conditionalFormatting sqref="U32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{3A426EBC-707C-4C0D-BB89-EDB31A225125}</x14:id>
        </ext>
      </extLst>
    </cfRule>
  </conditionalFormatting>
  <conditionalFormatting sqref="V32">
    <cfRule type="dataBar" priority="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{564D94E2-2C67-497A-B3F7-0BA053765FBD}</x14:id>
        </ext>
      </extLst>
    </cfRule>
  </conditionalFormatting>
  <conditionalFormatting sqref="W32">
    <cfRule type="dataBar" priority="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{55BDC075-0CDC-4DD1-849F-172036331FC6}</x14:id>
        </ext>
      </extLst>
    </cfRule>
  </conditionalFormatting>
  <conditionalFormatting sqref="X32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{E43C996A-A688-419E-8717-BDA48F7A142F}</x14:id>
        </ext>
      </extLst>
    </cfRule>
  </conditionalFormatting>
  <conditionalFormatting sqref="Y32">
    <cfRule type="dataBar" priority="3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{7F7DFF3D-B185-4E55-BAA3-5466E4CB6733}</x14:id>
        </ext>
      </extLst>
    </cfRule>
  </conditionalFormatting>
  <conditionalFormatting sqref="Z32">
    <cfRule type="dataBar" priority="3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{28A16E5A-2032-4062-9117-41DDE9F876C7}</x14:id>
        </ext>
      </extLst>
    </cfRule>
  </conditionalFormatting>
  <conditionalFormatting sqref="D32:E32">
    <cfRule type="dataBar" priority="3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{7ADD61B0-E1EE-4BFA-AF09-DFF9EF7F8955}</x14:id>
        </ext>
      </extLst>
    </cfRule>
  </conditionalFormatting>
  <conditionalFormatting sqref="Q32:AA32">
    <cfRule type="dataBar" priority="3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{054C7035-DC7D-46F6-8EE2-5C2FEADA36C4}</x14:id>
        </ext>
      </extLst>
    </cfRule>
  </conditionalFormatting>
  <conditionalFormatting sqref="AA32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{B915E63A-07A6-4C49-9E41-244EDFEF9D94}</x14:id>
        </ext>
      </extLst>
    </cfRule>
  </conditionalFormatting>
  <conditionalFormatting sqref="G38">
    <cfRule type="dataBar" priority="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{42C44098-A3E9-44DC-972D-CBB4FB4CB78A}</x14:id>
        </ext>
      </extLst>
    </cfRule>
  </conditionalFormatting>
  <conditionalFormatting sqref="P38">
    <cfRule type="dataBar" priority="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{32FBE9BF-6906-4414-9250-A09275475F4D}</x14:id>
        </ext>
      </extLst>
    </cfRule>
  </conditionalFormatting>
  <conditionalFormatting sqref="Q38">
    <cfRule type="dataBar" priority="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{9E45B61B-F9B3-4BB1-9CD0-BB4B9A182AF4}</x14:id>
        </ext>
      </extLst>
    </cfRule>
  </conditionalFormatting>
  <conditionalFormatting sqref="T38">
    <cfRule type="dataBar" priority="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{A4E80C1A-8E51-423A-A38A-E9112EE2707B}</x14:id>
        </ext>
      </extLst>
    </cfRule>
  </conditionalFormatting>
  <conditionalFormatting sqref="W38">
    <cfRule type="dataBar" priority="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{A1FF78C2-F2E5-4A3F-8697-0D008EAB4EFA}</x14:id>
        </ext>
      </extLst>
    </cfRule>
  </conditionalFormatting>
  <conditionalFormatting sqref="X38">
    <cfRule type="dataBar" priority="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{8DBFBECF-B91D-43CA-926E-FEBCC63D2A13}</x14:id>
        </ext>
      </extLst>
    </cfRule>
  </conditionalFormatting>
  <conditionalFormatting sqref="Y38">
    <cfRule type="dataBar" priority="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{449178FB-6C54-4EC1-8329-8BA4802E1425}</x14:id>
        </ext>
      </extLst>
    </cfRule>
  </conditionalFormatting>
  <conditionalFormatting sqref="Z38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{312EFF37-8EBB-4FC7-ACD4-D86D4CA7C663}</x14:id>
        </ext>
      </extLst>
    </cfRule>
  </conditionalFormatting>
  <conditionalFormatting sqref="AA38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{2CE2A5FE-98DC-423A-8402-5ED25AA2DE5F}</x14:id>
        </ext>
      </extLst>
    </cfRule>
  </conditionalFormatting>
  <conditionalFormatting sqref="R38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{21B7EBE1-A218-4675-9583-8E2A127EF642}</x14:id>
        </ext>
      </extLst>
    </cfRule>
  </conditionalFormatting>
  <conditionalFormatting sqref="S38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{BFDE94AB-1FFC-43DC-B006-A2345902B224}</x14:id>
        </ext>
      </extLst>
    </cfRule>
  </conditionalFormatting>
  <conditionalFormatting sqref="U38">
    <cfRule type="dataBar" priority="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{6C706F06-BF84-4D49-ADCE-0930E07D5A06}</x14:id>
        </ext>
      </extLst>
    </cfRule>
  </conditionalFormatting>
  <conditionalFormatting sqref="I38">
    <cfRule type="dataBar" priority="2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{0DA63BD2-EC66-4054-B375-DE0E2F14341A}</x14:id>
        </ext>
      </extLst>
    </cfRule>
  </conditionalFormatting>
  <conditionalFormatting sqref="D38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{384F40EA-5D0B-4C26-B5C0-2B25628BDE25}</x14:id>
        </ext>
      </extLst>
    </cfRule>
  </conditionalFormatting>
  <conditionalFormatting sqref="E38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{2D694084-AD57-46A0-ADE5-4FECA0BDCE37}</x14:id>
        </ext>
      </extLst>
    </cfRule>
  </conditionalFormatting>
  <conditionalFormatting sqref="F38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{1F2F4DAF-585D-4737-BFE9-634A9BF26CF2}</x14:id>
        </ext>
      </extLst>
    </cfRule>
  </conditionalFormatting>
  <conditionalFormatting sqref="D38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{46735BC9-803E-45F7-8708-98B86CE3883E}</x14:id>
        </ext>
      </extLst>
    </cfRule>
  </conditionalFormatting>
  <conditionalFormatting sqref="E38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{264CD45E-52E4-421C-B096-363ACBE6AB05}</x14:id>
        </ext>
      </extLst>
    </cfRule>
  </conditionalFormatting>
  <conditionalFormatting sqref="F38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{EBB75648-0913-4BA0-9271-ABBEA6E4A258}</x14:id>
        </ext>
      </extLst>
    </cfRule>
  </conditionalFormatting>
  <conditionalFormatting sqref="G38">
    <cfRule type="dataBar" priority="2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{3A865A8F-C114-4E0B-A467-F31530C65E5C}</x14:id>
        </ext>
      </extLst>
    </cfRule>
  </conditionalFormatting>
  <conditionalFormatting sqref="I38">
    <cfRule type="dataBar" priority="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{C77B83F9-A0B4-4997-AE32-535B3CC8A873}</x14:id>
        </ext>
      </extLst>
    </cfRule>
  </conditionalFormatting>
  <conditionalFormatting sqref="O38">
    <cfRule type="dataBar" priority="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{8C754632-4B0F-4842-A352-32EBE9B4087A}</x14:id>
        </ext>
      </extLst>
    </cfRule>
  </conditionalFormatting>
  <conditionalFormatting sqref="P38">
    <cfRule type="dataBar" priority="2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{27688D73-DF76-4A15-9C2F-B44ACF3A7456}</x14:id>
        </ext>
      </extLst>
    </cfRule>
  </conditionalFormatting>
  <conditionalFormatting sqref="Q38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{01E22EE8-FE92-4694-953A-C7D022796693}</x14:id>
        </ext>
      </extLst>
    </cfRule>
  </conditionalFormatting>
  <conditionalFormatting sqref="R38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{F6D4E1D4-7D3C-410D-AC72-2B435E02AC72}</x14:id>
        </ext>
      </extLst>
    </cfRule>
  </conditionalFormatting>
  <conditionalFormatting sqref="S38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{7EB35521-64DD-46D5-ABB5-FF21388ECEEF}</x14:id>
        </ext>
      </extLst>
    </cfRule>
  </conditionalFormatting>
  <conditionalFormatting sqref="T38">
    <cfRule type="dataBar" priority="2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{65110AD5-C431-4569-90C2-B269C773A3BD}</x14:id>
        </ext>
      </extLst>
    </cfRule>
  </conditionalFormatting>
  <conditionalFormatting sqref="U38">
    <cfRule type="dataBar" priority="2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{0DE8B7D0-B1CE-40DF-B8A4-82730F532015}</x14:id>
        </ext>
      </extLst>
    </cfRule>
  </conditionalFormatting>
  <conditionalFormatting sqref="V38">
    <cfRule type="dataBar" priority="3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{87C47EEF-F8AB-4A8A-8215-E238ADAD69F1}</x14:id>
        </ext>
      </extLst>
    </cfRule>
  </conditionalFormatting>
  <conditionalFormatting sqref="W38">
    <cfRule type="dataBar" priority="3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{4F944CEB-086E-47CB-825B-CEAFEAB6EEE8}</x14:id>
        </ext>
      </extLst>
    </cfRule>
  </conditionalFormatting>
  <conditionalFormatting sqref="X38">
    <cfRule type="dataBar" priority="3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{25C07EF0-E2B7-40DD-8D09-4580815EBE8D}</x14:id>
        </ext>
      </extLst>
    </cfRule>
  </conditionalFormatting>
  <conditionalFormatting sqref="Y38">
    <cfRule type="dataBar" priority="3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{53B23ED1-4571-4909-8904-8E08E7C85B80}</x14:id>
        </ext>
      </extLst>
    </cfRule>
  </conditionalFormatting>
  <conditionalFormatting sqref="Z38">
    <cfRule type="dataBar" priority="3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{82F94EF7-22E9-4F33-835C-C3D8A865BE1D}</x14:id>
        </ext>
      </extLst>
    </cfRule>
  </conditionalFormatting>
  <conditionalFormatting sqref="AA38">
    <cfRule type="dataBar" priority="3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{7EB0520D-765F-4EB8-BE56-4AF50C7637DA}</x14:id>
        </ext>
      </extLst>
    </cfRule>
  </conditionalFormatting>
  <conditionalFormatting sqref="D38:G38">
    <cfRule type="dataBar" priority="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{7A11E8A0-2562-4346-B397-19DBA5F5001A}</x14:id>
        </ext>
      </extLst>
    </cfRule>
  </conditionalFormatting>
  <conditionalFormatting sqref="I38">
    <cfRule type="dataBar" priority="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{44AE8D08-A11F-48C8-B088-8BB0CAF17FB5}</x14:id>
        </ext>
      </extLst>
    </cfRule>
  </conditionalFormatting>
  <conditionalFormatting sqref="I38">
    <cfRule type="dataBar" priority="3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{E58D25A5-F024-4D31-B2BE-3C6A2F17417B}</x14:id>
        </ext>
      </extLst>
    </cfRule>
  </conditionalFormatting>
  <conditionalFormatting sqref="I38">
    <cfRule type="dataBar" priority="3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{F5EE8A72-C9DD-4072-90E9-048ECD2EEA40}</x14:id>
        </ext>
      </extLst>
    </cfRule>
  </conditionalFormatting>
  <conditionalFormatting sqref="D38:G38">
    <cfRule type="dataBar" priority="3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{FEF2144D-7885-4E69-8EFF-A35D586ABCBA}</x14:id>
        </ext>
      </extLst>
    </cfRule>
  </conditionalFormatting>
  <conditionalFormatting sqref="O38:AA38">
    <cfRule type="dataBar" priority="3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{FC99CE38-26E3-45C1-8488-8C653D652EBD}</x14:id>
        </ext>
      </extLst>
    </cfRule>
  </conditionalFormatting>
  <conditionalFormatting sqref="AA38">
    <cfRule type="dataBar" priority="3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{EE1EB675-5F1E-474F-A224-3BB32D656332}</x14:id>
        </ext>
      </extLst>
    </cfRule>
  </conditionalFormatting>
  <conditionalFormatting sqref="AB38">
    <cfRule type="dataBar" priority="3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{CB557145-0486-4593-8D39-1F9AEA89FDF5}</x14:id>
        </ext>
      </extLst>
    </cfRule>
  </conditionalFormatting>
  <conditionalFormatting sqref="D38:G38">
    <cfRule type="dataBar" priority="3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{208CFD78-8ECB-4F1A-8D82-594B5D54DD17}</x14:id>
        </ext>
      </extLst>
    </cfRule>
  </conditionalFormatting>
  <conditionalFormatting sqref="O38">
    <cfRule type="dataBar" priority="3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{7EC77BA8-38E8-429D-B4DC-A275571AB892}</x14:id>
        </ext>
      </extLst>
    </cfRule>
  </conditionalFormatting>
  <conditionalFormatting sqref="P38">
    <cfRule type="dataBar" priority="3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{B2976330-B3E5-4E81-9377-77C592F22612}</x14:id>
        </ext>
      </extLst>
    </cfRule>
  </conditionalFormatting>
  <conditionalFormatting sqref="D38:G38">
    <cfRule type="dataBar" priority="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{7D82CC42-706A-486A-89E1-B83041563DA1}</x14:id>
        </ext>
      </extLst>
    </cfRule>
  </conditionalFormatting>
  <conditionalFormatting sqref="I38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{59AEEFDE-07B7-445E-BB04-18ACB2D573E5}</x14:id>
        </ext>
      </extLst>
    </cfRule>
  </conditionalFormatting>
  <conditionalFormatting sqref="O38:AA38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{98AAB785-F95E-40C5-B3BA-BC040FA2C060}</x14:id>
        </ext>
      </extLst>
    </cfRule>
  </conditionalFormatting>
  <conditionalFormatting sqref="I38">
    <cfRule type="dataBar" priority="3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{105056A8-8449-4A91-B66B-4D530B2274FD}</x14:id>
        </ext>
      </extLst>
    </cfRule>
  </conditionalFormatting>
  <conditionalFormatting sqref="F38">
    <cfRule type="dataBar" priority="3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{63E8D5B9-C8AE-46ED-AC74-D9A8EF028D25}</x14:id>
        </ext>
      </extLst>
    </cfRule>
  </conditionalFormatting>
  <conditionalFormatting sqref="G38">
    <cfRule type="dataBar" priority="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{5A814ED0-2460-4FEA-90FC-170D68B4A7CB}</x14:id>
        </ext>
      </extLst>
    </cfRule>
  </conditionalFormatting>
  <conditionalFormatting sqref="O3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{895AD929-D149-4386-8405-BCCCE324723D}</x14:id>
        </ext>
      </extLst>
    </cfRule>
  </conditionalFormatting>
  <conditionalFormatting sqref="P38"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{458A8E6C-48CF-46FF-BABC-FE9CEB921016}</x14:id>
        </ext>
      </extLst>
    </cfRule>
  </conditionalFormatting>
  <conditionalFormatting sqref="AA38"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{1730BABB-7412-44D8-A294-C10779A76B5E}</x14:id>
        </ext>
      </extLst>
    </cfRule>
  </conditionalFormatting>
  <conditionalFormatting sqref="D74:E74 D64:E66 D50:E50 D57:E57 D6:G6 D40:G42 D45:E45 D28:G28 D70:G73 D37:G37 D67:G68 D46:G49 D51:G56 D58:G62 D69:E69">
    <cfRule type="dataBar" priority="258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{CE2E4F94-92FF-41B8-8882-8A7F24CEF2CE}</x14:id>
        </ext>
      </extLst>
    </cfRule>
  </conditionalFormatting>
  <conditionalFormatting sqref="I34">
    <cfRule type="dataBar" priority="2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{59B876F8-77CA-4326-889E-7E935EAC0233}</x14:id>
        </ext>
      </extLst>
    </cfRule>
  </conditionalFormatting>
  <conditionalFormatting sqref="O34:AB34">
    <cfRule type="dataBar" priority="2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{D85FE56C-0CC7-4385-BD3F-7777C59D0920}</x14:id>
        </ext>
      </extLst>
    </cfRule>
  </conditionalFormatting>
  <conditionalFormatting sqref="AA34:AB34">
    <cfRule type="dataBar" priority="2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{2F51A106-1FD1-48A2-938F-BA9A9F695DC2}</x14:id>
        </ext>
      </extLst>
    </cfRule>
  </conditionalFormatting>
  <conditionalFormatting sqref="D34:G34">
    <cfRule type="dataBar" priority="2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{147331EB-5F1B-44E7-A215-D9D39357534C}</x14:id>
        </ext>
      </extLst>
    </cfRule>
  </conditionalFormatting>
  <conditionalFormatting sqref="I34">
    <cfRule type="dataBar" priority="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{095A06B4-C4E2-4D1B-BA7A-3789C48B277E}</x14:id>
        </ext>
      </extLst>
    </cfRule>
  </conditionalFormatting>
  <conditionalFormatting sqref="F34">
    <cfRule type="dataBar" priority="2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{966B563E-6135-44CF-B9DC-1B8FFCFA9338}</x14:id>
        </ext>
      </extLst>
    </cfRule>
  </conditionalFormatting>
  <conditionalFormatting sqref="G34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{2C6C67CB-70F6-4CDB-9D53-D191AD6FAE10}</x14:id>
        </ext>
      </extLst>
    </cfRule>
  </conditionalFormatting>
  <conditionalFormatting sqref="I34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{FCCB348A-F088-4BF9-A49A-8D38B3E85C83}</x14:id>
        </ext>
      </extLst>
    </cfRule>
  </conditionalFormatting>
  <conditionalFormatting sqref="O34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{A43B72F0-D517-419D-BC6D-2F20CCF7DA54}</x14:id>
        </ext>
      </extLst>
    </cfRule>
  </conditionalFormatting>
  <conditionalFormatting sqref="P34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{F8341658-D888-40A9-898D-7129D69268F3}</x14:id>
        </ext>
      </extLst>
    </cfRule>
  </conditionalFormatting>
  <conditionalFormatting sqref="D34:G34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{606F3650-1C37-4BB8-8A39-D90E5CF3FE47}</x14:id>
        </ext>
      </extLst>
    </cfRule>
  </conditionalFormatting>
  <conditionalFormatting sqref="AA34:AB34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{FC5533AE-6EE9-4658-B5AF-BCB95B5A05FE}</x14:id>
        </ext>
      </extLst>
    </cfRule>
  </conditionalFormatting>
  <conditionalFormatting sqref="D34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{85FECA8E-1359-4BB2-8DB8-DE005E54DB0D}</x14:id>
        </ext>
      </extLst>
    </cfRule>
  </conditionalFormatting>
  <conditionalFormatting sqref="E34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{4F80E68A-E091-47CA-A75B-294CA84DFA67}</x14:id>
        </ext>
      </extLst>
    </cfRule>
  </conditionalFormatting>
  <conditionalFormatting sqref="Q34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{FB3EFADC-C253-4164-A54D-174C3B497805}</x14:id>
        </ext>
      </extLst>
    </cfRule>
  </conditionalFormatting>
  <conditionalFormatting sqref="R34">
    <cfRule type="dataBar" priority="2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{FFA4E4AB-55D0-449D-8515-87F7833659F4}</x14:id>
        </ext>
      </extLst>
    </cfRule>
  </conditionalFormatting>
  <conditionalFormatting sqref="S34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{488B9B40-163C-4861-8ECB-DA856C1CB1B6}</x14:id>
        </ext>
      </extLst>
    </cfRule>
  </conditionalFormatting>
  <conditionalFormatting sqref="T34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{CD90AC94-CCE2-4D0B-9B79-91C4C5527EEC}</x14:id>
        </ext>
      </extLst>
    </cfRule>
  </conditionalFormatting>
  <conditionalFormatting sqref="U34">
    <cfRule type="dataBar" priority="2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{42F2647B-66C0-44AA-9A74-383317A3A8FE}</x14:id>
        </ext>
      </extLst>
    </cfRule>
  </conditionalFormatting>
  <conditionalFormatting sqref="V34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{0D609C88-211C-47D1-964C-F483A5181BBF}</x14:id>
        </ext>
      </extLst>
    </cfRule>
  </conditionalFormatting>
  <conditionalFormatting sqref="W34">
    <cfRule type="dataBar" priority="2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{7CCBFD67-8A85-4014-83C9-416306A993DA}</x14:id>
        </ext>
      </extLst>
    </cfRule>
  </conditionalFormatting>
  <conditionalFormatting sqref="X34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{CA2BDD4F-EA90-414B-A89F-52DD967AD04C}</x14:id>
        </ext>
      </extLst>
    </cfRule>
  </conditionalFormatting>
  <conditionalFormatting sqref="Y34">
    <cfRule type="dataBar" priority="2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{26251FA8-360E-4102-8BD7-4AA98B32B0FF}</x14:id>
        </ext>
      </extLst>
    </cfRule>
  </conditionalFormatting>
  <conditionalFormatting sqref="Z34">
    <cfRule type="dataBar" priority="2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{73109168-DE7E-4476-89CA-527B5A8A56C7}</x14:id>
        </ext>
      </extLst>
    </cfRule>
  </conditionalFormatting>
  <conditionalFormatting sqref="D34:G34">
    <cfRule type="dataBar" priority="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{5BC5ADC9-05CF-491A-AC83-9162291D71AA}</x14:id>
        </ext>
      </extLst>
    </cfRule>
  </conditionalFormatting>
  <conditionalFormatting sqref="O34">
    <cfRule type="dataBar" priority="2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{B957A1E1-DA4C-4C67-8084-8F74C164CD0D}</x14:id>
        </ext>
      </extLst>
    </cfRule>
  </conditionalFormatting>
  <conditionalFormatting sqref="P34">
    <cfRule type="dataBar" priority="2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{9811F633-D702-494F-8281-A5051D3C22A9}</x14:id>
        </ext>
      </extLst>
    </cfRule>
  </conditionalFormatting>
  <conditionalFormatting sqref="D34:G34">
    <cfRule type="dataBar" priority="2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{BCD649EA-3990-4FC8-ABC1-6EF70BF582E6}</x14:id>
        </ext>
      </extLst>
    </cfRule>
  </conditionalFormatting>
  <conditionalFormatting sqref="I34">
    <cfRule type="dataBar" priority="2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{878F4DB8-1A0F-419A-BCD2-A0DA799BED77}</x14:id>
        </ext>
      </extLst>
    </cfRule>
  </conditionalFormatting>
  <conditionalFormatting sqref="O34:AA34">
    <cfRule type="dataBar" priority="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{F3A1E073-3D0B-4081-815B-9D1A977C3767}</x14:id>
        </ext>
      </extLst>
    </cfRule>
  </conditionalFormatting>
  <conditionalFormatting sqref="I34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{F8B48E1F-DAD5-4323-8A2E-D450BBAFC075}</x14:id>
        </ext>
      </extLst>
    </cfRule>
  </conditionalFormatting>
  <conditionalFormatting sqref="F34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{C6436EF6-9500-4F36-8034-562C402C007B}</x14:id>
        </ext>
      </extLst>
    </cfRule>
  </conditionalFormatting>
  <conditionalFormatting sqref="G34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{D75E1D9A-87E4-4825-A161-CBA3D0976701}</x14:id>
        </ext>
      </extLst>
    </cfRule>
  </conditionalFormatting>
  <conditionalFormatting sqref="O34">
    <cfRule type="dataBar" priority="2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{3C0DE8A3-E64A-49AB-A266-580951754450}</x14:id>
        </ext>
      </extLst>
    </cfRule>
  </conditionalFormatting>
  <conditionalFormatting sqref="P34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{0DD38BE1-2499-42DA-90B6-E8DE0E178A7B}</x14:id>
        </ext>
      </extLst>
    </cfRule>
  </conditionalFormatting>
  <conditionalFormatting sqref="AA34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{57B72184-E477-4DB8-A62C-F4EAB7EF942A}</x14:id>
        </ext>
      </extLst>
    </cfRule>
  </conditionalFormatting>
  <conditionalFormatting sqref="D74:E74 D64:E66 D50:E50 D57:E57 D1:G1 D40:G41 D45:E45 D6:G6 D28:G28 D70:G73 D37:G37 D67:G68 D46:G49 D51:G56 D58:G62 D69:E69">
    <cfRule type="dataBar" priority="25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{0A6F7B29-9CD0-46F5-9A79-97505A44CE23}</x14:id>
        </ext>
      </extLst>
    </cfRule>
  </conditionalFormatting>
  <conditionalFormatting sqref="I70:I73 I37 I67:I68 I40:I41 I1 I6 I28 I46:I49 I51:I56 I58:I62">
    <cfRule type="dataBar" priority="259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{6C5A1AB3-CE78-4B71-86AE-2D1B546E1F28}</x14:id>
        </ext>
      </extLst>
    </cfRule>
  </conditionalFormatting>
  <conditionalFormatting sqref="F70:F73 F37 F67:F68 F40:F41 F6 F28 F46:F49 F51:F56 F58:F62">
    <cfRule type="dataBar" priority="259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{84CEB9D0-7C43-4E93-B546-006E6692DC32}</x14:id>
        </ext>
      </extLst>
    </cfRule>
  </conditionalFormatting>
  <conditionalFormatting sqref="G70:G73 G37 G67:G68 G40:G41 G6 G28 G46:G49 G51:G56 G58:G62">
    <cfRule type="dataBar" priority="25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{702CC5B8-2D40-43FF-811B-38C2099EC066}</x14:id>
        </ext>
      </extLst>
    </cfRule>
  </conditionalFormatting>
  <conditionalFormatting sqref="I70:I73 I37 I67:I68 I40:I41 I6 I28 I46:I49 I51:I56 I58:I62">
    <cfRule type="dataBar" priority="25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{06E5F22E-21A0-4176-98F5-1EB9B70551A4}</x14:id>
        </ext>
      </extLst>
    </cfRule>
  </conditionalFormatting>
  <conditionalFormatting sqref="O70:O73 O37 O67:O68 O40:O41 O6 O28 O46:O49 O51:O56 O58:O62">
    <cfRule type="dataBar" priority="260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{B5A5FBD1-8C26-42EB-B503-89A650FC045B}</x14:id>
        </ext>
      </extLst>
    </cfRule>
  </conditionalFormatting>
  <conditionalFormatting sqref="P70:P73 P37 P67:P68 P40:P41 P6 P28 P46:P49 P51:P56 P58:P62">
    <cfRule type="dataBar" priority="260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{B3811EDC-6694-4329-997D-1C1E0F753C90}</x14:id>
        </ext>
      </extLst>
    </cfRule>
  </conditionalFormatting>
  <conditionalFormatting sqref="AA6:AB6 AB63 AA40:AB42 AB36 AA28:AB28 AA45:AB62 AA64:AB74 AA37:AB37">
    <cfRule type="dataBar" priority="260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{4AD332D3-5791-4C7C-B0FE-C23A48B4121D}</x14:id>
        </ext>
      </extLst>
    </cfRule>
  </conditionalFormatting>
  <conditionalFormatting sqref="D74:E74 D64:E66 D50:E50 D57:E57 D6:G6 D40:G41 D45:E45 D28:G28 D70:G73 D37:G37 D67:G68 D46:G49 D51:G56 D58:G62 D69:E69">
    <cfRule type="dataBar" priority="260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{DE873575-D43C-44CE-B2EC-81460CF18E79}</x14:id>
        </ext>
      </extLst>
    </cfRule>
  </conditionalFormatting>
  <conditionalFormatting sqref="D74:E74 D64:E66 D50:E50 D57:E57 D6:G6 D40:G42 D45:E45 D28:G28 D70:G73 D37:G37 D67:G68 D46:G49 D51:G56 D58:G63 D69:E69">
    <cfRule type="dataBar" priority="26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{71F2849D-4F4B-4FB1-BCBC-72A3EFB1002F}</x14:id>
        </ext>
      </extLst>
    </cfRule>
  </conditionalFormatting>
  <conditionalFormatting sqref="I70:I73 I37 I67:I68 I40:I42 I6 I28 I46:I49 I51:I56 I58:I63">
    <cfRule type="dataBar" priority="26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{A096B291-A2A6-49F3-BFC1-DE65EC9DA771}</x14:id>
        </ext>
      </extLst>
    </cfRule>
  </conditionalFormatting>
  <conditionalFormatting sqref="Q74:AA74 Q64:AA66 Q50:AA50 Q57:AA57 O6:AA6 O40:AA42 Q45:AA45 O28:AA28 O70:AA73 O37:AA37 O67:AA68 O46:AA49 O51:AA56 O58:AA63 Q69:AA69">
    <cfRule type="dataBar" priority="26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{B23DC281-6236-4D7E-A995-AC44F6FD3501}</x14:id>
        </ext>
      </extLst>
    </cfRule>
  </conditionalFormatting>
  <conditionalFormatting sqref="I70:I73 I67:I68 I28 I6 I36:I37 I40:I43 I46:I49 I51:I56 I58:I63">
    <cfRule type="dataBar" priority="26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{84EE4595-F7B7-47E4-851B-49424698823D}</x14:id>
        </ext>
      </extLst>
    </cfRule>
  </conditionalFormatting>
  <conditionalFormatting sqref="F70:F73 F67:F68 F28 F6 F36:F37 F40:F43 F46:F49 F51:F56 F58:F63">
    <cfRule type="dataBar" priority="26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{7F312BF4-A984-46D8-81E7-17A3E583BB2B}</x14:id>
        </ext>
      </extLst>
    </cfRule>
  </conditionalFormatting>
  <conditionalFormatting sqref="G70:G73 G67:G68 G28 G6 G36:G37 G40:G43 G46:G49 G51:G56 G58:G63">
    <cfRule type="dataBar" priority="26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{5B4C5AC9-D6FC-43CB-ABF7-7F9FBBA4F527}</x14:id>
        </ext>
      </extLst>
    </cfRule>
  </conditionalFormatting>
  <conditionalFormatting sqref="O70:O73 O67:O68 O28 O6 O36:O37 O40:O43 O46:O49 O51:O56 O58:O63">
    <cfRule type="dataBar" priority="26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{14C117A8-1A15-4BF3-8472-540DB000F00F}</x14:id>
        </ext>
      </extLst>
    </cfRule>
  </conditionalFormatting>
  <conditionalFormatting sqref="P70:P73 P67:P68 P28 P6 P36:P37 P40:P43 P46:P49 P51:P56 P58:P63">
    <cfRule type="dataBar" priority="26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{BD92BA03-4E9C-4718-8DF1-9B5775925793}</x14:id>
        </ext>
      </extLst>
    </cfRule>
  </conditionalFormatting>
  <conditionalFormatting sqref="AA6:AB6 AB63 AA40:AB41 AB36 AA28:AB28 AA45:AB62 AA64:AB74 AA37:AB37">
    <cfRule type="dataBar" priority="26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{EF762924-5D54-4702-8363-930AE6E8A49F}</x14:id>
        </ext>
      </extLst>
    </cfRule>
  </conditionalFormatting>
  <conditionalFormatting sqref="D64:D74 D40:D41 D6 D28 D45:D62 D37">
    <cfRule type="dataBar" priority="26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{32C8FD0A-BD57-4E42-920E-7930C1813342}</x14:id>
        </ext>
      </extLst>
    </cfRule>
  </conditionalFormatting>
  <conditionalFormatting sqref="E64:E74 E40:E41 E6 E28 E45:E62 E37">
    <cfRule type="dataBar" priority="26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{AD522285-E66E-42F8-9E73-4E6A5A5EA708}</x14:id>
        </ext>
      </extLst>
    </cfRule>
  </conditionalFormatting>
  <conditionalFormatting sqref="Q64:Q74 Q40:Q41 Q6 Q28 Q45:Q62 Q37">
    <cfRule type="dataBar" priority="26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{A4792609-9AD8-407D-8502-D9F00CA4751F}</x14:id>
        </ext>
      </extLst>
    </cfRule>
  </conditionalFormatting>
  <conditionalFormatting sqref="R64:R74 R40:R41 R6 R28 R45:R62 R37">
    <cfRule type="dataBar" priority="262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{D7F8EC1C-D42A-4252-B56F-F178579D70B9}</x14:id>
        </ext>
      </extLst>
    </cfRule>
  </conditionalFormatting>
  <conditionalFormatting sqref="S64:S74 S40:S41 S6 S28 S45:S62 S37">
    <cfRule type="dataBar" priority="26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{CA6AC081-1848-4FC0-99EA-00769481E3A2}</x14:id>
        </ext>
      </extLst>
    </cfRule>
  </conditionalFormatting>
  <conditionalFormatting sqref="T64:T74 T40:T41 T6 T28 T45:T62 T37">
    <cfRule type="dataBar" priority="262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{719ACFC1-164B-46F9-99E9-A94999228226}</x14:id>
        </ext>
      </extLst>
    </cfRule>
  </conditionalFormatting>
  <conditionalFormatting sqref="U64:U74 U40:U41 U6 U28 U45:U62 U37">
    <cfRule type="dataBar" priority="26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{349C3635-969E-4D7B-B43E-09933831BB2D}</x14:id>
        </ext>
      </extLst>
    </cfRule>
  </conditionalFormatting>
  <conditionalFormatting sqref="V64:V74 V40:V41 V6 V28 V45:V62 V37">
    <cfRule type="dataBar" priority="26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{AEE0E441-53AC-4BAD-BA96-C5E268032BAD}</x14:id>
        </ext>
      </extLst>
    </cfRule>
  </conditionalFormatting>
  <conditionalFormatting sqref="W64:W74 W40:W41 W6 W28 W45:W62 W37">
    <cfRule type="dataBar" priority="26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{5FAABCEE-1923-4B84-8DC1-3F67BE9AAC38}</x14:id>
        </ext>
      </extLst>
    </cfRule>
  </conditionalFormatting>
  <conditionalFormatting sqref="X64:X74 X40:X41 X6 X28 X45:X62 X37">
    <cfRule type="dataBar" priority="262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{84A873D2-C941-42AD-9B5D-99153433FAF3}</x14:id>
        </ext>
      </extLst>
    </cfRule>
  </conditionalFormatting>
  <conditionalFormatting sqref="Y64:Y74 Y40:Y41 Y6 Y28 Y45:Y62 Y37">
    <cfRule type="dataBar" priority="262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{C6D75387-8D02-4477-BAC7-0242B9EF048E}</x14:id>
        </ext>
      </extLst>
    </cfRule>
  </conditionalFormatting>
  <conditionalFormatting sqref="Z64:Z74 Z40:Z41 Z6 Z28 Z45:Z62 Z37">
    <cfRule type="dataBar" priority="26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{35D28474-8A29-4A66-96F7-C2584A7D8D19}</x14:id>
        </ext>
      </extLst>
    </cfRule>
  </conditionalFormatting>
  <conditionalFormatting sqref="D44:G44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{75E19A89-1D5B-4F1C-8377-B0A40423736F}</x14:id>
        </ext>
      </extLst>
    </cfRule>
  </conditionalFormatting>
  <conditionalFormatting sqref="I44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{24839AD4-8364-4F95-92C7-DACB4E063780}</x14:id>
        </ext>
      </extLst>
    </cfRule>
  </conditionalFormatting>
  <conditionalFormatting sqref="I44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{B1536438-6F04-4BB0-A36D-71C83B5E9A80}</x14:id>
        </ext>
      </extLst>
    </cfRule>
  </conditionalFormatting>
  <conditionalFormatting sqref="G44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{7670955A-ED27-40BE-A8B3-42BD73A8A5B4}</x14:id>
        </ext>
      </extLst>
    </cfRule>
  </conditionalFormatting>
  <conditionalFormatting sqref="P44">
    <cfRule type="dataBar" priority="1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{17209C08-41B9-4000-ACB1-F08ACA3F364D}</x14:id>
        </ext>
      </extLst>
    </cfRule>
  </conditionalFormatting>
  <conditionalFormatting sqref="Q44">
    <cfRule type="dataBar" priority="1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{9838C4A4-9BB3-448C-9973-07C07F56AF44}</x14:id>
        </ext>
      </extLst>
    </cfRule>
  </conditionalFormatting>
  <conditionalFormatting sqref="T44">
    <cfRule type="dataBar" priority="1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{51C5D792-C20D-4AB4-BA15-1676776BC58A}</x14:id>
        </ext>
      </extLst>
    </cfRule>
  </conditionalFormatting>
  <conditionalFormatting sqref="W44">
    <cfRule type="dataBar" priority="1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{7345173C-41E5-42B8-A77A-EC93A38CEE91}</x14:id>
        </ext>
      </extLst>
    </cfRule>
  </conditionalFormatting>
  <conditionalFormatting sqref="X44">
    <cfRule type="dataBar" priority="1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{666B56D2-9D35-4CF5-A9FF-C5CACF8DFD8D}</x14:id>
        </ext>
      </extLst>
    </cfRule>
  </conditionalFormatting>
  <conditionalFormatting sqref="Y44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{232D66EB-8C0E-4AE4-9CCE-59020EE6CE31}</x14:id>
        </ext>
      </extLst>
    </cfRule>
  </conditionalFormatting>
  <conditionalFormatting sqref="Z44">
    <cfRule type="dataBar" priority="1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{87D9361B-86B7-4179-9511-1104222D62D5}</x14:id>
        </ext>
      </extLst>
    </cfRule>
  </conditionalFormatting>
  <conditionalFormatting sqref="AA44:AB44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{701E2AD6-AEAB-43E3-97E7-49D44DA1F9FA}</x14:id>
        </ext>
      </extLst>
    </cfRule>
  </conditionalFormatting>
  <conditionalFormatting sqref="R44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{51380EFF-328C-4986-BF85-EDEBAF583414}</x14:id>
        </ext>
      </extLst>
    </cfRule>
  </conditionalFormatting>
  <conditionalFormatting sqref="S44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{23AE70BE-5CB2-41FC-B922-05CC3E769400}</x14:id>
        </ext>
      </extLst>
    </cfRule>
  </conditionalFormatting>
  <conditionalFormatting sqref="U44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{7599F380-451C-4458-8215-DD2C6F59837F}</x14:id>
        </ext>
      </extLst>
    </cfRule>
  </conditionalFormatting>
  <conditionalFormatting sqref="I44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{A464D52F-6C3D-4440-B3D9-48CED7EC6284}</x14:id>
        </ext>
      </extLst>
    </cfRule>
  </conditionalFormatting>
  <conditionalFormatting sqref="D44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{F5BF07D8-7B0C-43C0-BA1E-A39133B328B2}</x14:id>
        </ext>
      </extLst>
    </cfRule>
  </conditionalFormatting>
  <conditionalFormatting sqref="E44">
    <cfRule type="dataBar" priority="1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{AE7F9699-8A28-4F53-8DAA-872FB013CCF4}</x14:id>
        </ext>
      </extLst>
    </cfRule>
  </conditionalFormatting>
  <conditionalFormatting sqref="F44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{2620935B-796E-441E-81BF-32B1DAEB5E77}</x14:id>
        </ext>
      </extLst>
    </cfRule>
  </conditionalFormatting>
  <conditionalFormatting sqref="D44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{7193D38B-2B4A-4DA8-A16A-E8E9A635768B}</x14:id>
        </ext>
      </extLst>
    </cfRule>
  </conditionalFormatting>
  <conditionalFormatting sqref="E44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{4BCC03F0-9994-4751-A75E-B89599F57701}</x14:id>
        </ext>
      </extLst>
    </cfRule>
  </conditionalFormatting>
  <conditionalFormatting sqref="F44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{49B28B26-400A-455F-8074-F2C3C46D1217}</x14:id>
        </ext>
      </extLst>
    </cfRule>
  </conditionalFormatting>
  <conditionalFormatting sqref="G44">
    <cfRule type="dataBar" priority="1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{060039C4-0ADE-438B-9E17-AA8B2419FC36}</x14:id>
        </ext>
      </extLst>
    </cfRule>
  </conditionalFormatting>
  <conditionalFormatting sqref="I44">
    <cfRule type="dataBar" priority="1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{2783CD20-0B4A-4A40-A766-27FFBA92F143}</x14:id>
        </ext>
      </extLst>
    </cfRule>
  </conditionalFormatting>
  <conditionalFormatting sqref="O44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{3D6E64E1-D8C2-4EE9-9709-2C504CD0B499}</x14:id>
        </ext>
      </extLst>
    </cfRule>
  </conditionalFormatting>
  <conditionalFormatting sqref="P44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{F3F0477D-B07E-4B30-99EF-0CA1C846B152}</x14:id>
        </ext>
      </extLst>
    </cfRule>
  </conditionalFormatting>
  <conditionalFormatting sqref="Q44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{62735BFF-96E2-49EE-9C92-349A6AEBAD21}</x14:id>
        </ext>
      </extLst>
    </cfRule>
  </conditionalFormatting>
  <conditionalFormatting sqref="R44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{03BFD1FA-8E28-404E-8D0D-25B26D518E1C}</x14:id>
        </ext>
      </extLst>
    </cfRule>
  </conditionalFormatting>
  <conditionalFormatting sqref="S44">
    <cfRule type="dataBar" priority="1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{59DCAF98-EAA1-405C-8471-E7961A5D7A17}</x14:id>
        </ext>
      </extLst>
    </cfRule>
  </conditionalFormatting>
  <conditionalFormatting sqref="T44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{9E7DD5D7-DA4F-446F-9067-8A0AB821A42C}</x14:id>
        </ext>
      </extLst>
    </cfRule>
  </conditionalFormatting>
  <conditionalFormatting sqref="U44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{5F798E8B-E7C0-4C2C-8B0B-10A8575060BA}</x14:id>
        </ext>
      </extLst>
    </cfRule>
  </conditionalFormatting>
  <conditionalFormatting sqref="V44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{0180CE5F-9028-4163-890E-00B2826CC3D5}</x14:id>
        </ext>
      </extLst>
    </cfRule>
  </conditionalFormatting>
  <conditionalFormatting sqref="W44">
    <cfRule type="dataBar" priority="1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{7744F65C-2200-451E-8BA6-AC56BB794A07}</x14:id>
        </ext>
      </extLst>
    </cfRule>
  </conditionalFormatting>
  <conditionalFormatting sqref="X44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{5F70F0FC-EC3A-466C-8828-51F184BAAE6E}</x14:id>
        </ext>
      </extLst>
    </cfRule>
  </conditionalFormatting>
  <conditionalFormatting sqref="Y44">
    <cfRule type="dataBar" priority="1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{8961AAD3-F6FF-426A-8AC0-7197BF6F8938}</x14:id>
        </ext>
      </extLst>
    </cfRule>
  </conditionalFormatting>
  <conditionalFormatting sqref="Z44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{4391EC87-CD4C-431D-8193-523B80DB0ACC}</x14:id>
        </ext>
      </extLst>
    </cfRule>
  </conditionalFormatting>
  <conditionalFormatting sqref="AA44:AB44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{0EA0481C-F0DB-4CA8-8D00-0D123C8FF0E3}</x14:id>
        </ext>
      </extLst>
    </cfRule>
  </conditionalFormatting>
  <conditionalFormatting sqref="D44:G44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{FED1A20C-D9DD-4A3E-84B8-EEEDCE9CD89B}</x14:id>
        </ext>
      </extLst>
    </cfRule>
  </conditionalFormatting>
  <conditionalFormatting sqref="D44:G44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{C3C240B6-8D44-41C3-9ED6-D827F68B2EED}</x14:id>
        </ext>
      </extLst>
    </cfRule>
  </conditionalFormatting>
  <conditionalFormatting sqref="I44">
    <cfRule type="dataBar" priority="1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{8C920EA4-30B8-4868-9F47-31FDFAC478B3}</x14:id>
        </ext>
      </extLst>
    </cfRule>
  </conditionalFormatting>
  <conditionalFormatting sqref="O44:AB44">
    <cfRule type="dataBar" priority="16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{11219DF5-946C-4D1C-A676-44AAF7AD5B77}</x14:id>
        </ext>
      </extLst>
    </cfRule>
  </conditionalFormatting>
  <conditionalFormatting sqref="O4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{47DF4252-6191-444D-84E7-5F23F8BA24D2}</x14:id>
        </ext>
      </extLst>
    </cfRule>
  </conditionalFormatting>
  <conditionalFormatting sqref="P44">
    <cfRule type="dataBar" priority="1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{F773B8A8-7DD6-460C-ACC1-1E345CB85B78}</x14:id>
        </ext>
      </extLst>
    </cfRule>
  </conditionalFormatting>
  <conditionalFormatting sqref="AA44:AB4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{F5700BF1-C7C6-411B-A979-4C31E9695F93}</x14:id>
        </ext>
      </extLst>
    </cfRule>
  </conditionalFormatting>
  <conditionalFormatting sqref="D44:G4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{F6528B5F-1CA4-4B25-9EBB-9786AB8FED70}</x14:id>
        </ext>
      </extLst>
    </cfRule>
  </conditionalFormatting>
  <conditionalFormatting sqref="I44">
    <cfRule type="dataBar" priority="1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{89EB6AF7-9EAB-4D2C-8A29-7EAEAC664B79}</x14:id>
        </ext>
      </extLst>
    </cfRule>
  </conditionalFormatting>
  <conditionalFormatting sqref="O44:AA4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{DF483286-5E6C-4225-9892-C699190CFD94}</x14:id>
        </ext>
      </extLst>
    </cfRule>
  </conditionalFormatting>
  <conditionalFormatting sqref="I44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{1BFDD240-542A-45C2-AA38-FFBE7F53E356}</x14:id>
        </ext>
      </extLst>
    </cfRule>
  </conditionalFormatting>
  <conditionalFormatting sqref="F44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{A9022A48-C23F-49E9-9F5C-32AA8931AC83}</x14:id>
        </ext>
      </extLst>
    </cfRule>
  </conditionalFormatting>
  <conditionalFormatting sqref="G44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{7EF618EF-77B3-40C8-951F-BE39743C5B08}</x14:id>
        </ext>
      </extLst>
    </cfRule>
  </conditionalFormatting>
  <conditionalFormatting sqref="O44">
    <cfRule type="dataBar" priority="1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{DAD053CC-8F07-46AC-88AC-A9C7F102A45C}</x14:id>
        </ext>
      </extLst>
    </cfRule>
  </conditionalFormatting>
  <conditionalFormatting sqref="P44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{AAB25451-9302-42D3-90B9-10DB0C483E91}</x14:id>
        </ext>
      </extLst>
    </cfRule>
  </conditionalFormatting>
  <conditionalFormatting sqref="AA4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{614794E4-F347-4435-840B-0A1BF6FB18F7}</x14:id>
        </ext>
      </extLst>
    </cfRule>
  </conditionalFormatting>
  <conditionalFormatting sqref="Q74:AB74 Q66:AB66 Q50:AB50 AB63:AB65 O6:AB6 O40:AB42 AB36 Q64:AA65 Q57:AB57 Q45:AB45 O28:AB28 O70:AB73 O37:AB37 O67:AB68 O46:AB49 O51:AB56 O58:AB62 Q69:AB69">
    <cfRule type="dataBar" priority="271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{1E4CCDF1-1B01-4DD6-9E18-AB8BE5512205}</x14:id>
        </ext>
      </extLst>
    </cfRule>
  </conditionalFormatting>
  <conditionalFormatting sqref="D75:E7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{83F2DE7D-1B80-49DF-B466-47471886284C}</x14:id>
        </ext>
      </extLst>
    </cfRule>
  </conditionalFormatting>
  <conditionalFormatting sqref="D75:E7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{E83A08A2-07A6-4FDA-9D4C-EB66EC91E1C3}</x14:id>
        </ext>
      </extLst>
    </cfRule>
  </conditionalFormatting>
  <conditionalFormatting sqref="AA75:AB76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{55E4546C-2BCF-4F06-847F-DC2D25FF795E}</x14:id>
        </ext>
      </extLst>
    </cfRule>
  </conditionalFormatting>
  <conditionalFormatting sqref="D75:E76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{2489C23E-1344-4139-9542-138191CE807E}</x14:id>
        </ext>
      </extLst>
    </cfRule>
  </conditionalFormatting>
  <conditionalFormatting sqref="D75:E76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{B928D960-E8E6-4D25-A40F-0F2B4084BC8C}</x14:id>
        </ext>
      </extLst>
    </cfRule>
  </conditionalFormatting>
  <conditionalFormatting sqref="Q75:AA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{8FF84251-1F9B-4F26-BD04-AF9A855B4CBA}</x14:id>
        </ext>
      </extLst>
    </cfRule>
  </conditionalFormatting>
  <conditionalFormatting sqref="AA75:AB76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{2D2A5991-BD36-48E8-ABBB-8F5217D94C55}</x14:id>
        </ext>
      </extLst>
    </cfRule>
  </conditionalFormatting>
  <conditionalFormatting sqref="D75:D76">
    <cfRule type="dataBar" priority="1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{5891F089-31AD-4832-A00D-9CC87D96ED68}</x14:id>
        </ext>
      </extLst>
    </cfRule>
  </conditionalFormatting>
  <conditionalFormatting sqref="E75:E76">
    <cfRule type="dataBar" priority="1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{80316A5E-0087-4C79-BD63-015BCFAB4273}</x14:id>
        </ext>
      </extLst>
    </cfRule>
  </conditionalFormatting>
  <conditionalFormatting sqref="Q75:Q76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{C1D020E2-CA30-4CDA-BFAF-616B5FB0BFB2}</x14:id>
        </ext>
      </extLst>
    </cfRule>
  </conditionalFormatting>
  <conditionalFormatting sqref="R75:R76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{4B1CA319-2532-4FBF-9ABB-AFA1CF7C0DE5}</x14:id>
        </ext>
      </extLst>
    </cfRule>
  </conditionalFormatting>
  <conditionalFormatting sqref="S75:S76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{B53253E6-C522-40E9-AC65-298628596859}</x14:id>
        </ext>
      </extLst>
    </cfRule>
  </conditionalFormatting>
  <conditionalFormatting sqref="T75:T76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{735485F1-4683-452A-92A3-3A4D38785EBA}</x14:id>
        </ext>
      </extLst>
    </cfRule>
  </conditionalFormatting>
  <conditionalFormatting sqref="U75:U76">
    <cfRule type="dataBar" priority="1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{9FD69892-AF00-48EC-8A0F-1932920D0BE7}</x14:id>
        </ext>
      </extLst>
    </cfRule>
  </conditionalFormatting>
  <conditionalFormatting sqref="V75:V76">
    <cfRule type="dataBar" priority="1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{5CEF63AD-A3BA-43E7-AB82-78CC1DF75352}</x14:id>
        </ext>
      </extLst>
    </cfRule>
  </conditionalFormatting>
  <conditionalFormatting sqref="W75:W76">
    <cfRule type="dataBar" priority="1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{7A4ED5AE-A282-4703-9565-604940444AA3}</x14:id>
        </ext>
      </extLst>
    </cfRule>
  </conditionalFormatting>
  <conditionalFormatting sqref="X75:X76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{94925FD6-2049-4A7D-AC16-26639E4FCE2E}</x14:id>
        </ext>
      </extLst>
    </cfRule>
  </conditionalFormatting>
  <conditionalFormatting sqref="Y75:Y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{BECA7C4D-1B78-42E3-877E-0D992A43ACAE}</x14:id>
        </ext>
      </extLst>
    </cfRule>
  </conditionalFormatting>
  <conditionalFormatting sqref="Z75:Z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{8698476E-4475-4C83-9178-088D53753198}</x14:id>
        </ext>
      </extLst>
    </cfRule>
  </conditionalFormatting>
  <conditionalFormatting sqref="AA75:AA76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{8DF3F9C1-E526-4986-AF3E-3F8CB446ABC9}</x14:id>
        </ext>
      </extLst>
    </cfRule>
  </conditionalFormatting>
  <conditionalFormatting sqref="Q75:AB76">
    <cfRule type="dataBar" priority="1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{89C1158A-0C01-4844-A33E-B3126D0A8B5E}</x14:id>
        </ext>
      </extLst>
    </cfRule>
  </conditionalFormatting>
  <conditionalFormatting sqref="D77:E77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{4A2518E3-1FF3-4A70-90CE-9382A6E1008D}</x14:id>
        </ext>
      </extLst>
    </cfRule>
  </conditionalFormatting>
  <conditionalFormatting sqref="D77:E77">
    <cfRule type="dataBar" priority="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{4666AC9D-653E-4B68-AB7D-898A5D0DA48F}</x14:id>
        </ext>
      </extLst>
    </cfRule>
  </conditionalFormatting>
  <conditionalFormatting sqref="AA77:AB77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{1E097358-B4CA-41D4-8477-977308A1D49F}</x14:id>
        </ext>
      </extLst>
    </cfRule>
  </conditionalFormatting>
  <conditionalFormatting sqref="D77:E77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{180BD5BE-F6CB-40EA-B8F3-00910281EBCE}</x14:id>
        </ext>
      </extLst>
    </cfRule>
  </conditionalFormatting>
  <conditionalFormatting sqref="D77:E77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{1325096C-D82C-42EB-823D-2D421619DD87}</x14:id>
        </ext>
      </extLst>
    </cfRule>
  </conditionalFormatting>
  <conditionalFormatting sqref="Q77:AA77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{AC6E4643-EECB-4314-926E-9EDF264E7969}</x14:id>
        </ext>
      </extLst>
    </cfRule>
  </conditionalFormatting>
  <conditionalFormatting sqref="AA77:AB77">
    <cfRule type="dataBar" priority="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{32A22E38-5013-42BC-9042-F0BE271D314A}</x14:id>
        </ext>
      </extLst>
    </cfRule>
  </conditionalFormatting>
  <conditionalFormatting sqref="D77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{25242555-1F0F-49E0-9747-65CE0921F41F}</x14:id>
        </ext>
      </extLst>
    </cfRule>
  </conditionalFormatting>
  <conditionalFormatting sqref="E77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{9F9FAEDF-1A00-4FFB-BEAC-83B91E90EAA3}</x14:id>
        </ext>
      </extLst>
    </cfRule>
  </conditionalFormatting>
  <conditionalFormatting sqref="Q77">
    <cfRule type="dataBar" priority="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{3E3691A0-5CB5-461C-B312-054B01087441}</x14:id>
        </ext>
      </extLst>
    </cfRule>
  </conditionalFormatting>
  <conditionalFormatting sqref="R77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{76F21C96-784F-43F1-B3E4-ED5F5266D202}</x14:id>
        </ext>
      </extLst>
    </cfRule>
  </conditionalFormatting>
  <conditionalFormatting sqref="S77">
    <cfRule type="dataBar" priority="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{4E1B9A1C-7495-4DB0-A25E-FA6C15215A42}</x14:id>
        </ext>
      </extLst>
    </cfRule>
  </conditionalFormatting>
  <conditionalFormatting sqref="T7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{FB9FE84B-6461-4784-8118-9425411DF7AF}</x14:id>
        </ext>
      </extLst>
    </cfRule>
  </conditionalFormatting>
  <conditionalFormatting sqref="U77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{988FB6C0-F2C1-4F14-8F18-99C737DB2A1B}</x14:id>
        </ext>
      </extLst>
    </cfRule>
  </conditionalFormatting>
  <conditionalFormatting sqref="V77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{3A2B2F45-9150-4608-9D5C-907C52FC638A}</x14:id>
        </ext>
      </extLst>
    </cfRule>
  </conditionalFormatting>
  <conditionalFormatting sqref="W77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{7ED4E84E-0360-4E6B-AE4A-03D80A64BAA2}</x14:id>
        </ext>
      </extLst>
    </cfRule>
  </conditionalFormatting>
  <conditionalFormatting sqref="X77">
    <cfRule type="dataBar" priority="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{DD52F1FE-C810-42BC-952A-5F6536F15DD0}</x14:id>
        </ext>
      </extLst>
    </cfRule>
  </conditionalFormatting>
  <conditionalFormatting sqref="Y77">
    <cfRule type="dataBar" priority="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{A4C53B91-1903-4DD8-8ACB-22377E3F5E25}</x14:id>
        </ext>
      </extLst>
    </cfRule>
  </conditionalFormatting>
  <conditionalFormatting sqref="Z77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{2FC6EEAE-079E-474C-96A7-E3C370C95D43}</x14:id>
        </ext>
      </extLst>
    </cfRule>
  </conditionalFormatting>
  <conditionalFormatting sqref="AA77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{7B79BEE6-7B9C-4A14-B63F-C4998F6A56AE}</x14:id>
        </ext>
      </extLst>
    </cfRule>
  </conditionalFormatting>
  <conditionalFormatting sqref="Q77:AB77">
    <cfRule type="dataBar" priority="1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{A452864B-F999-4F23-A47B-7240391F6D21}</x14:id>
        </ext>
      </extLst>
    </cfRule>
  </conditionalFormatting>
  <conditionalFormatting sqref="I7">
    <cfRule type="dataBar" priority="272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{DB795AEE-407F-4AED-A9CB-B553A0DE8928}</x14:id>
        </ext>
      </extLst>
    </cfRule>
  </conditionalFormatting>
  <conditionalFormatting sqref="D7:G7">
    <cfRule type="dataBar" priority="27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{3BBF8FF7-C754-4837-B0AE-A7B920D433C5}</x14:id>
        </ext>
      </extLst>
    </cfRule>
  </conditionalFormatting>
  <conditionalFormatting sqref="D7">
    <cfRule type="dataBar" priority="27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{05466EE2-676C-4639-BBAF-0985B753CAD7}</x14:id>
        </ext>
      </extLst>
    </cfRule>
  </conditionalFormatting>
  <conditionalFormatting sqref="E7">
    <cfRule type="dataBar" priority="27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{5AF46EBB-EF7C-4A1E-B142-5267CE0E4E7B}</x14:id>
        </ext>
      </extLst>
    </cfRule>
  </conditionalFormatting>
  <conditionalFormatting sqref="F7">
    <cfRule type="dataBar" priority="27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{1D3AC697-38D9-4738-883D-4454BD3855C4}</x14:id>
        </ext>
      </extLst>
    </cfRule>
  </conditionalFormatting>
  <conditionalFormatting sqref="G7">
    <cfRule type="dataBar" priority="27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{5951AED5-1F60-40CB-9724-A4FBF9C3709E}</x14:id>
        </ext>
      </extLst>
    </cfRule>
  </conditionalFormatting>
  <conditionalFormatting sqref="O7">
    <cfRule type="dataBar" priority="27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{9378BB63-9039-4686-93C5-0947398E882C}</x14:id>
        </ext>
      </extLst>
    </cfRule>
  </conditionalFormatting>
  <conditionalFormatting sqref="P7">
    <cfRule type="dataBar" priority="27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{EE18D43F-F284-48A2-B017-B4C2D192C38A}</x14:id>
        </ext>
      </extLst>
    </cfRule>
  </conditionalFormatting>
  <conditionalFormatting sqref="Q7">
    <cfRule type="dataBar" priority="272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{168CB273-8013-47AD-8D17-A0C17D443BD1}</x14:id>
        </ext>
      </extLst>
    </cfRule>
  </conditionalFormatting>
  <conditionalFormatting sqref="R7">
    <cfRule type="dataBar" priority="272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{D9B72CFD-3C79-454C-B4FA-877C5DD12895}</x14:id>
        </ext>
      </extLst>
    </cfRule>
  </conditionalFormatting>
  <conditionalFormatting sqref="S7">
    <cfRule type="dataBar" priority="27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{E8E12EE6-8943-4533-8283-7210534B5DDE}</x14:id>
        </ext>
      </extLst>
    </cfRule>
  </conditionalFormatting>
  <conditionalFormatting sqref="T7">
    <cfRule type="dataBar" priority="272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{C77FB011-3B6E-4EF7-BC92-E293331A9D9D}</x14:id>
        </ext>
      </extLst>
    </cfRule>
  </conditionalFormatting>
  <conditionalFormatting sqref="U7">
    <cfRule type="dataBar" priority="27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{AD612BB1-F626-49EC-87E2-4B849FE177FA}</x14:id>
        </ext>
      </extLst>
    </cfRule>
  </conditionalFormatting>
  <conditionalFormatting sqref="V7">
    <cfRule type="dataBar" priority="27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{6DE746BE-4BFC-4762-8A73-40DFC71ED5E9}</x14:id>
        </ext>
      </extLst>
    </cfRule>
  </conditionalFormatting>
  <conditionalFormatting sqref="W7">
    <cfRule type="dataBar" priority="272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{E29D8038-32C7-43EE-8F61-75EC189E11E2}</x14:id>
        </ext>
      </extLst>
    </cfRule>
  </conditionalFormatting>
  <conditionalFormatting sqref="X7">
    <cfRule type="dataBar" priority="27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{8C613A88-1CA2-4371-91F1-1C4CDE828E03}</x14:id>
        </ext>
      </extLst>
    </cfRule>
  </conditionalFormatting>
  <conditionalFormatting sqref="Y7">
    <cfRule type="dataBar" priority="272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{B3756632-0AD7-4371-AA4B-DA3CC0C84EF4}</x14:id>
        </ext>
      </extLst>
    </cfRule>
  </conditionalFormatting>
  <conditionalFormatting sqref="Z7">
    <cfRule type="dataBar" priority="27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{1238EA9F-1B72-45F7-86A0-66EB1AAD4757}</x14:id>
        </ext>
      </extLst>
    </cfRule>
  </conditionalFormatting>
  <conditionalFormatting sqref="AA7">
    <cfRule type="dataBar" priority="272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{F3EEE7AB-B977-49DF-A21A-30600B90E58C}</x14:id>
        </ext>
      </extLst>
    </cfRule>
  </conditionalFormatting>
  <conditionalFormatting sqref="O7:AA7">
    <cfRule type="dataBar" priority="272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{16BF84D5-2E35-459E-8DD2-5CCCCDCD2E00}</x14:id>
        </ext>
      </extLst>
    </cfRule>
  </conditionalFormatting>
  <conditionalFormatting sqref="AB7">
    <cfRule type="dataBar" priority="272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{A9A4921B-BB0F-421E-8335-4B56B981C2D2}</x14:id>
        </ext>
      </extLst>
    </cfRule>
  </conditionalFormatting>
  <conditionalFormatting sqref="I7">
    <cfRule type="dataBar" priority="27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{6C3A02A9-B15E-4BAE-A682-05CCCE1FC91A}</x14:id>
        </ext>
      </extLst>
    </cfRule>
  </conditionalFormatting>
  <conditionalFormatting sqref="F7">
    <cfRule type="dataBar" priority="272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{AFF8EBB3-9A66-40B7-90FB-3C3CA21B6C1B}</x14:id>
        </ext>
      </extLst>
    </cfRule>
  </conditionalFormatting>
  <conditionalFormatting sqref="G7">
    <cfRule type="dataBar" priority="272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{A325D755-2BE8-41B4-9E50-37402E5102EB}</x14:id>
        </ext>
      </extLst>
    </cfRule>
  </conditionalFormatting>
  <conditionalFormatting sqref="O7">
    <cfRule type="dataBar" priority="272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{55D72C4B-EB65-42E0-84FB-F15045622959}</x14:id>
        </ext>
      </extLst>
    </cfRule>
  </conditionalFormatting>
  <conditionalFormatting sqref="P7">
    <cfRule type="dataBar" priority="272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{85597489-7A1B-4FCA-923F-E3B0708C3507}</x14:id>
        </ext>
      </extLst>
    </cfRule>
  </conditionalFormatting>
  <conditionalFormatting sqref="AA7">
    <cfRule type="dataBar" priority="272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{F52BAE9F-0804-4E39-B9A3-9C7D111CCC52}</x14:id>
        </ext>
      </extLst>
    </cfRule>
  </conditionalFormatting>
  <conditionalFormatting sqref="D2:G7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{C30384E4-135C-437B-BF59-CC26E0DCB3C3}</x14:id>
        </ext>
      </extLst>
    </cfRule>
  </conditionalFormatting>
  <conditionalFormatting sqref="I2:I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{8845F51D-AA85-4DE9-BAFB-20575BEB1C5A}</x14:id>
        </ext>
      </extLst>
    </cfRule>
  </conditionalFormatting>
  <conditionalFormatting sqref="D8:G20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{7E9990BF-FFED-4F4E-9BA4-5F0BF282D5BB}</x14:id>
        </ext>
      </extLst>
    </cfRule>
  </conditionalFormatting>
  <conditionalFormatting sqref="I8:I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{962BDB5C-9A0B-4172-84B5-473D62DBA2D9}</x14:id>
        </ext>
      </extLst>
    </cfRule>
  </conditionalFormatting>
  <conditionalFormatting sqref="O8:W20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{D9A91A98-6F93-4860-964F-5F0F0541E060}</x14:id>
        </ext>
      </extLst>
    </cfRule>
  </conditionalFormatting>
  <conditionalFormatting sqref="AA2:AA20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{6732CA18-D0C1-426A-AB27-B57AF9A3D0D8}</x14:id>
        </ext>
      </extLst>
    </cfRule>
  </conditionalFormatting>
  <conditionalFormatting sqref="G20">
    <cfRule type="dataBar" priority="272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{F0D2C855-50BC-4ADE-90D4-EF28D8C90A80}</x14:id>
        </ext>
      </extLst>
    </cfRule>
  </conditionalFormatting>
  <conditionalFormatting sqref="P20">
    <cfRule type="dataBar" priority="272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{87D294F6-C902-4163-BE58-AC64A6F048A0}</x14:id>
        </ext>
      </extLst>
    </cfRule>
  </conditionalFormatting>
  <conditionalFormatting sqref="Q20">
    <cfRule type="dataBar" priority="272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{39B7023F-725B-4D34-8D25-6EC8D4DEEAEF}</x14:id>
        </ext>
      </extLst>
    </cfRule>
  </conditionalFormatting>
  <conditionalFormatting sqref="T20">
    <cfRule type="dataBar" priority="272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{3F9AF22D-8888-4C2C-A63C-3B01188FF775}</x14:id>
        </ext>
      </extLst>
    </cfRule>
  </conditionalFormatting>
  <conditionalFormatting sqref="W20">
    <cfRule type="dataBar" priority="272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{838F0B52-A11F-4101-A66F-FB199F1D653E}</x14:id>
        </ext>
      </extLst>
    </cfRule>
  </conditionalFormatting>
  <conditionalFormatting sqref="X20">
    <cfRule type="dataBar" priority="272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{7D9F4FA1-B2D5-4387-A668-D0CC93FA2A36}</x14:id>
        </ext>
      </extLst>
    </cfRule>
  </conditionalFormatting>
  <conditionalFormatting sqref="Y20">
    <cfRule type="dataBar" priority="272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{A0EC8386-8AA6-4266-B726-9AACF0B61B89}</x14:id>
        </ext>
      </extLst>
    </cfRule>
  </conditionalFormatting>
  <conditionalFormatting sqref="Z20">
    <cfRule type="dataBar" priority="272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{A3E46CB1-A09A-44F6-B1F9-A8C0854F9DC1}</x14:id>
        </ext>
      </extLst>
    </cfRule>
  </conditionalFormatting>
  <conditionalFormatting sqref="AA20">
    <cfRule type="dataBar" priority="272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{3CCA8B84-1697-4299-AD82-40E1A723D637}</x14:id>
        </ext>
      </extLst>
    </cfRule>
  </conditionalFormatting>
  <conditionalFormatting sqref="R20">
    <cfRule type="dataBar" priority="272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{C005FA77-55CA-49EF-84CE-23150AF37056}</x14:id>
        </ext>
      </extLst>
    </cfRule>
  </conditionalFormatting>
  <conditionalFormatting sqref="S20">
    <cfRule type="dataBar" priority="272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{193C55D8-D76A-45E7-B439-4BA192305CAC}</x14:id>
        </ext>
      </extLst>
    </cfRule>
  </conditionalFormatting>
  <conditionalFormatting sqref="U20">
    <cfRule type="dataBar" priority="272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{C070CA9E-51B0-4327-967C-B9C83B2811D9}</x14:id>
        </ext>
      </extLst>
    </cfRule>
  </conditionalFormatting>
  <conditionalFormatting sqref="I20">
    <cfRule type="dataBar" priority="272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{4A67C3CE-FD22-44BA-A82E-61F72DBDFD16}</x14:id>
        </ext>
      </extLst>
    </cfRule>
  </conditionalFormatting>
  <conditionalFormatting sqref="D20">
    <cfRule type="dataBar" priority="27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{ACC2466D-3964-48A9-BE45-6932AD5E0311}</x14:id>
        </ext>
      </extLst>
    </cfRule>
  </conditionalFormatting>
  <conditionalFormatting sqref="E20">
    <cfRule type="dataBar" priority="27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{25804447-2602-44E3-A443-B9DB75D2B1B3}</x14:id>
        </ext>
      </extLst>
    </cfRule>
  </conditionalFormatting>
  <conditionalFormatting sqref="F20">
    <cfRule type="dataBar" priority="27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{F98FC49B-5B82-414A-8137-82EFBFA44EEE}</x14:id>
        </ext>
      </extLst>
    </cfRule>
  </conditionalFormatting>
  <conditionalFormatting sqref="O20:AA20">
    <cfRule type="dataBar" priority="272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{5155F865-A8A1-4B82-9913-64B494A57E05}</x14:id>
        </ext>
      </extLst>
    </cfRule>
  </conditionalFormatting>
  <conditionalFormatting sqref="AB20">
    <cfRule type="dataBar" priority="27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{9C6818F2-169F-447A-BF09-067BE918D888}</x14:id>
        </ext>
      </extLst>
    </cfRule>
  </conditionalFormatting>
  <conditionalFormatting sqref="D20:G20">
    <cfRule type="dataBar" priority="27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{8D8A6FD7-730B-4762-95D9-6A439D0A0D1B}</x14:id>
        </ext>
      </extLst>
    </cfRule>
  </conditionalFormatting>
  <conditionalFormatting sqref="O20">
    <cfRule type="dataBar" priority="272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{9423AC53-6458-4F0F-8B83-08775CA875A1}</x14:id>
        </ext>
      </extLst>
    </cfRule>
  </conditionalFormatting>
  <conditionalFormatting sqref="I20">
    <cfRule type="dataBar" priority="27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{DDB6A841-A5BE-4570-AFC4-166BB76BF3FF}</x14:id>
        </ext>
      </extLst>
    </cfRule>
  </conditionalFormatting>
  <conditionalFormatting sqref="F20">
    <cfRule type="dataBar" priority="27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{D3E6F8F9-AB9D-4ACE-B156-F56EEA01EE39}</x14:id>
        </ext>
      </extLst>
    </cfRule>
  </conditionalFormatting>
  <conditionalFormatting sqref="G20">
    <cfRule type="dataBar" priority="27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{23454124-93DD-4863-8CAC-8C8E6F265B3F}</x14:id>
        </ext>
      </extLst>
    </cfRule>
  </conditionalFormatting>
  <conditionalFormatting sqref="O20">
    <cfRule type="dataBar" priority="27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{1EE5DF7F-346F-41A6-8F82-3060E75A9BFB}</x14:id>
        </ext>
      </extLst>
    </cfRule>
  </conditionalFormatting>
  <conditionalFormatting sqref="P20">
    <cfRule type="dataBar" priority="273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{D6549514-DDFE-4E9A-8F8A-E4FDE5780B98}</x14:id>
        </ext>
      </extLst>
    </cfRule>
  </conditionalFormatting>
  <conditionalFormatting sqref="V20">
    <cfRule type="dataBar" priority="273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{73DB6E9D-350B-4C0B-8A51-11A392990448}</x14:id>
        </ext>
      </extLst>
    </cfRule>
  </conditionalFormatting>
  <conditionalFormatting sqref="AA20">
    <cfRule type="dataBar" priority="273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{6DB0BAF7-14B3-454E-B84B-1AD613A7A515}</x14:id>
        </ext>
      </extLst>
    </cfRule>
  </conditionalFormatting>
  <conditionalFormatting sqref="D21:G28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{4EAAFECE-DA3F-4150-8AE9-31B04CE634F5}</x14:id>
        </ext>
      </extLst>
    </cfRule>
  </conditionalFormatting>
  <conditionalFormatting sqref="I21:I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{66D6DD92-D10B-4636-A5D6-12869B26E343}</x14:id>
        </ext>
      </extLst>
    </cfRule>
  </conditionalFormatting>
  <conditionalFormatting sqref="D29:G30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{469FBE8E-33F6-49B2-81A2-21D36EBC9878}</x14:id>
        </ext>
      </extLst>
    </cfRule>
  </conditionalFormatting>
  <conditionalFormatting sqref="I29:I3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{68B805E7-5DAB-4A76-A105-616C3513C771}</x14:id>
        </ext>
      </extLst>
    </cfRule>
  </conditionalFormatting>
  <conditionalFormatting sqref="O30:AB30">
    <cfRule type="dataBar" priority="279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{9274B98C-A835-4B5F-AD80-464D55852F0E}</x14:id>
        </ext>
      </extLst>
    </cfRule>
  </conditionalFormatting>
  <conditionalFormatting sqref="AA30:AB30">
    <cfRule type="dataBar" priority="279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{3D96EB0C-760E-4EC7-913E-35798B5AF8BC}</x14:id>
        </ext>
      </extLst>
    </cfRule>
  </conditionalFormatting>
  <conditionalFormatting sqref="I30">
    <cfRule type="dataBar" priority="279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{8DB3B444-CC8C-4041-B3EB-7A9128BDF3AE}</x14:id>
        </ext>
      </extLst>
    </cfRule>
  </conditionalFormatting>
  <conditionalFormatting sqref="O30">
    <cfRule type="dataBar" priority="279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{C8342E58-906A-4605-819A-FF03D3EEFC56}</x14:id>
        </ext>
      </extLst>
    </cfRule>
  </conditionalFormatting>
  <conditionalFormatting sqref="P30">
    <cfRule type="dataBar" priority="279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{E6BBF3EC-1436-466B-BB1B-123886F7145E}</x14:id>
        </ext>
      </extLst>
    </cfRule>
  </conditionalFormatting>
  <conditionalFormatting sqref="D30:G30">
    <cfRule type="dataBar" priority="279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{F57BE150-B6BC-4BE2-814D-645549B1C995}</x14:id>
        </ext>
      </extLst>
    </cfRule>
  </conditionalFormatting>
  <conditionalFormatting sqref="F30">
    <cfRule type="dataBar" priority="27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{6A0D3108-95FB-46B7-B369-5ABF1A194609}</x14:id>
        </ext>
      </extLst>
    </cfRule>
  </conditionalFormatting>
  <conditionalFormatting sqref="G30">
    <cfRule type="dataBar" priority="279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{0C065FBF-CE3E-46E3-B71A-27B19AED3E22}</x14:id>
        </ext>
      </extLst>
    </cfRule>
  </conditionalFormatting>
  <conditionalFormatting sqref="O30:AA30">
    <cfRule type="dataBar" priority="279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{FF5B8914-4851-4B2F-B1DC-A3099344A7FA}</x14:id>
        </ext>
      </extLst>
    </cfRule>
  </conditionalFormatting>
  <conditionalFormatting sqref="I30">
    <cfRule type="dataBar" priority="27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{E16551A5-0B11-4454-99CB-E4538D58DDCE}</x14:id>
        </ext>
      </extLst>
    </cfRule>
  </conditionalFormatting>
  <conditionalFormatting sqref="F30">
    <cfRule type="dataBar" priority="27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{7095F9D6-49C7-4A2C-BBEA-A62DA23D801D}</x14:id>
        </ext>
      </extLst>
    </cfRule>
  </conditionalFormatting>
  <conditionalFormatting sqref="G30">
    <cfRule type="dataBar" priority="279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{7B274737-FF5B-4C83-AB23-FFD73CE216D4}</x14:id>
        </ext>
      </extLst>
    </cfRule>
  </conditionalFormatting>
  <conditionalFormatting sqref="O30">
    <cfRule type="dataBar" priority="279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{2EA5D772-70E0-4243-B4D4-5D67D7F038E6}</x14:id>
        </ext>
      </extLst>
    </cfRule>
  </conditionalFormatting>
  <conditionalFormatting sqref="P30">
    <cfRule type="dataBar" priority="279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{0C6F4E76-EDB4-4E57-A624-4F13FD42578B}</x14:id>
        </ext>
      </extLst>
    </cfRule>
  </conditionalFormatting>
  <conditionalFormatting sqref="D30">
    <cfRule type="dataBar" priority="279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{AC85C2F7-69AD-4427-838A-579A83BDE481}</x14:id>
        </ext>
      </extLst>
    </cfRule>
  </conditionalFormatting>
  <conditionalFormatting sqref="E30">
    <cfRule type="dataBar" priority="279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{7AD4A463-2396-4256-8245-DC17D40D9A4E}</x14:id>
        </ext>
      </extLst>
    </cfRule>
  </conditionalFormatting>
  <conditionalFormatting sqref="Q30">
    <cfRule type="dataBar" priority="279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{883F13D3-D4D0-4916-A176-3F2BDE683719}</x14:id>
        </ext>
      </extLst>
    </cfRule>
  </conditionalFormatting>
  <conditionalFormatting sqref="R30">
    <cfRule type="dataBar" priority="279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{EBFA9021-6AEA-42FD-9DB1-4F5512D9DE09}</x14:id>
        </ext>
      </extLst>
    </cfRule>
  </conditionalFormatting>
  <conditionalFormatting sqref="S30">
    <cfRule type="dataBar" priority="279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{53CE8A3A-3B1D-4F78-B111-27515638B142}</x14:id>
        </ext>
      </extLst>
    </cfRule>
  </conditionalFormatting>
  <conditionalFormatting sqref="T30">
    <cfRule type="dataBar" priority="279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{2EA2E038-69C4-41B9-8527-A517E425B047}</x14:id>
        </ext>
      </extLst>
    </cfRule>
  </conditionalFormatting>
  <conditionalFormatting sqref="U30">
    <cfRule type="dataBar" priority="279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{2FD2BDCA-40C1-4B31-AB8B-3621169324E3}</x14:id>
        </ext>
      </extLst>
    </cfRule>
  </conditionalFormatting>
  <conditionalFormatting sqref="V30">
    <cfRule type="dataBar" priority="279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{43E93294-0D5F-4709-913F-86B1E09257AC}</x14:id>
        </ext>
      </extLst>
    </cfRule>
  </conditionalFormatting>
  <conditionalFormatting sqref="W30">
    <cfRule type="dataBar" priority="279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{D75435FF-ECAB-480D-BBE9-17DEF0C8EB03}</x14:id>
        </ext>
      </extLst>
    </cfRule>
  </conditionalFormatting>
  <conditionalFormatting sqref="X30">
    <cfRule type="dataBar" priority="279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{25555904-241A-4A05-A6FC-F873C0BF2912}</x14:id>
        </ext>
      </extLst>
    </cfRule>
  </conditionalFormatting>
  <conditionalFormatting sqref="Y30">
    <cfRule type="dataBar" priority="279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{15A9716F-632D-43C2-AD5A-D3D71274ACE8}</x14:id>
        </ext>
      </extLst>
    </cfRule>
  </conditionalFormatting>
  <conditionalFormatting sqref="Z30">
    <cfRule type="dataBar" priority="280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{BE3CA9CE-0564-4D25-BE09-3AD7E158011A}</x14:id>
        </ext>
      </extLst>
    </cfRule>
  </conditionalFormatting>
  <conditionalFormatting sqref="AA30">
    <cfRule type="dataBar" priority="280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{BA33451F-8720-4F2B-B101-D76511576EB5}</x14:id>
        </ext>
      </extLst>
    </cfRule>
  </conditionalFormatting>
  <conditionalFormatting sqref="D31:G33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{0DEBE8D4-578D-4E26-B812-34115F76770B}</x14:id>
        </ext>
      </extLst>
    </cfRule>
  </conditionalFormatting>
  <conditionalFormatting sqref="I31:I3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{BB84522F-0C76-442D-AFC0-F72138CCFBB5}</x14:id>
        </ext>
      </extLst>
    </cfRule>
  </conditionalFormatting>
  <conditionalFormatting sqref="D33:E33">
    <cfRule type="dataBar" priority="283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{B8405969-1643-48F9-917F-1BAB1D10230A}</x14:id>
        </ext>
      </extLst>
    </cfRule>
  </conditionalFormatting>
  <conditionalFormatting sqref="Q33:AB33">
    <cfRule type="dataBar" priority="283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{C5B84205-DDF8-4A69-A450-AD590ABB4256}</x14:id>
        </ext>
      </extLst>
    </cfRule>
  </conditionalFormatting>
  <conditionalFormatting sqref="AA33:AB33">
    <cfRule type="dataBar" priority="283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{28425657-F33E-4350-8B6A-4A27D09E2571}</x14:id>
        </ext>
      </extLst>
    </cfRule>
  </conditionalFormatting>
  <conditionalFormatting sqref="Q33:AA33">
    <cfRule type="dataBar" priority="28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{CE06C0E1-3B29-4CCB-9E50-78A5218A7805}</x14:id>
        </ext>
      </extLst>
    </cfRule>
  </conditionalFormatting>
  <conditionalFormatting sqref="D33">
    <cfRule type="dataBar" priority="283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{D9F2C42A-D233-4A5B-B23A-1BE6DDAAA52A}</x14:id>
        </ext>
      </extLst>
    </cfRule>
  </conditionalFormatting>
  <conditionalFormatting sqref="E33">
    <cfRule type="dataBar" priority="28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{AD713476-866E-4243-BA6D-1123C7950209}</x14:id>
        </ext>
      </extLst>
    </cfRule>
  </conditionalFormatting>
  <conditionalFormatting sqref="Q33">
    <cfRule type="dataBar" priority="283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{A7FF5721-E115-4E08-8590-A0346F84D851}</x14:id>
        </ext>
      </extLst>
    </cfRule>
  </conditionalFormatting>
  <conditionalFormatting sqref="R33">
    <cfRule type="dataBar" priority="283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{2F317D4E-D874-4B76-8222-E135EBAFE2C9}</x14:id>
        </ext>
      </extLst>
    </cfRule>
  </conditionalFormatting>
  <conditionalFormatting sqref="S33">
    <cfRule type="dataBar" priority="28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{8D25C000-3533-4A61-8BBE-DD4C3A3B8488}</x14:id>
        </ext>
      </extLst>
    </cfRule>
  </conditionalFormatting>
  <conditionalFormatting sqref="T33">
    <cfRule type="dataBar" priority="28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{8AFF5B17-B308-42DC-8614-DFEF76809999}</x14:id>
        </ext>
      </extLst>
    </cfRule>
  </conditionalFormatting>
  <conditionalFormatting sqref="U33">
    <cfRule type="dataBar" priority="28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{FF98EEBE-E4D4-42AE-BF14-AC0F394CD87A}</x14:id>
        </ext>
      </extLst>
    </cfRule>
  </conditionalFormatting>
  <conditionalFormatting sqref="V33">
    <cfRule type="dataBar" priority="28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{FB8C99FC-D796-49DA-A009-459DA0B8503E}</x14:id>
        </ext>
      </extLst>
    </cfRule>
  </conditionalFormatting>
  <conditionalFormatting sqref="W33">
    <cfRule type="dataBar" priority="28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{E54F9A6E-1F51-4462-BB74-FCD10FE48726}</x14:id>
        </ext>
      </extLst>
    </cfRule>
  </conditionalFormatting>
  <conditionalFormatting sqref="X33">
    <cfRule type="dataBar" priority="28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{85C4AE6E-D89E-4EBD-A870-604818367E73}</x14:id>
        </ext>
      </extLst>
    </cfRule>
  </conditionalFormatting>
  <conditionalFormatting sqref="Y33">
    <cfRule type="dataBar" priority="283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{6F825BBC-ABFB-4B0A-9032-FE8F063C201C}</x14:id>
        </ext>
      </extLst>
    </cfRule>
  </conditionalFormatting>
  <conditionalFormatting sqref="Z33">
    <cfRule type="dataBar" priority="283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{67E98C25-9F8F-4A22-81AC-663849521397}</x14:id>
        </ext>
      </extLst>
    </cfRule>
  </conditionalFormatting>
  <conditionalFormatting sqref="AA33">
    <cfRule type="dataBar" priority="28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{10AE5B9A-D025-4BB1-AD1C-CBB394161ACB}</x14:id>
        </ext>
      </extLst>
    </cfRule>
  </conditionalFormatting>
  <conditionalFormatting sqref="D34:G39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{D89CFD3F-00B7-44F2-AD6C-B78E5EC695D9}</x14:id>
        </ext>
      </extLst>
    </cfRule>
  </conditionalFormatting>
  <conditionalFormatting sqref="I34:I3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{F5FB1BCA-7E2C-447C-A748-426483A8961B}</x14:id>
        </ext>
      </extLst>
    </cfRule>
  </conditionalFormatting>
  <conditionalFormatting sqref="I39">
    <cfRule type="dataBar" priority="289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{5A789653-E2E5-4353-B7E6-17598D4EF720}</x14:id>
        </ext>
      </extLst>
    </cfRule>
  </conditionalFormatting>
  <conditionalFormatting sqref="O39">
    <cfRule type="dataBar" priority="289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{921F3201-5375-4D8C-B36C-F05829CC6631}</x14:id>
        </ext>
      </extLst>
    </cfRule>
  </conditionalFormatting>
  <conditionalFormatting sqref="P39">
    <cfRule type="dataBar" priority="289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{88308EE8-4A04-4E25-B57C-4ED165B03175}</x14:id>
        </ext>
      </extLst>
    </cfRule>
  </conditionalFormatting>
  <conditionalFormatting sqref="D39:G39">
    <cfRule type="dataBar" priority="289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{713338AA-883D-4863-98C3-FE955CC158EE}</x14:id>
        </ext>
      </extLst>
    </cfRule>
  </conditionalFormatting>
  <conditionalFormatting sqref="O39:AB39">
    <cfRule type="dataBar" priority="289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{9E41E585-EC81-4487-A932-E8330674E83D}</x14:id>
        </ext>
      </extLst>
    </cfRule>
  </conditionalFormatting>
  <conditionalFormatting sqref="F39">
    <cfRule type="dataBar" priority="289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{D4D1DB44-9A7C-4705-B321-EF427F40AC49}</x14:id>
        </ext>
      </extLst>
    </cfRule>
  </conditionalFormatting>
  <conditionalFormatting sqref="G39">
    <cfRule type="dataBar" priority="28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{43308C9A-F0C6-42FC-8872-EACF2694A44C}</x14:id>
        </ext>
      </extLst>
    </cfRule>
  </conditionalFormatting>
  <conditionalFormatting sqref="AA39:AB39">
    <cfRule type="dataBar" priority="289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{B27FE3A7-B296-40AE-9025-F47240D13957}</x14:id>
        </ext>
      </extLst>
    </cfRule>
  </conditionalFormatting>
  <conditionalFormatting sqref="O39:AA39">
    <cfRule type="dataBar" priority="289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{4C6D5940-5A82-464E-B231-E8CBF797BB31}</x14:id>
        </ext>
      </extLst>
    </cfRule>
  </conditionalFormatting>
  <conditionalFormatting sqref="I39">
    <cfRule type="dataBar" priority="28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{C8D707C4-CF0A-4CB3-85A6-BBA26FBA8CCE}</x14:id>
        </ext>
      </extLst>
    </cfRule>
  </conditionalFormatting>
  <conditionalFormatting sqref="F39">
    <cfRule type="dataBar" priority="289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{57D22D3D-D801-4C64-AEF1-F60CAED4277E}</x14:id>
        </ext>
      </extLst>
    </cfRule>
  </conditionalFormatting>
  <conditionalFormatting sqref="G39">
    <cfRule type="dataBar" priority="289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{89BBD0BE-093A-4ED4-90EC-EED60309AC7F}</x14:id>
        </ext>
      </extLst>
    </cfRule>
  </conditionalFormatting>
  <conditionalFormatting sqref="O39">
    <cfRule type="dataBar" priority="289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{622A3DA9-5B31-4196-A706-862AC4E8D408}</x14:id>
        </ext>
      </extLst>
    </cfRule>
  </conditionalFormatting>
  <conditionalFormatting sqref="P39">
    <cfRule type="dataBar" priority="289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{79796BCC-C444-422C-BE1D-FB5213BA845C}</x14:id>
        </ext>
      </extLst>
    </cfRule>
  </conditionalFormatting>
  <conditionalFormatting sqref="D39">
    <cfRule type="dataBar" priority="289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{5D0FA5D7-2216-4C99-98AB-C73F5C61BFB3}</x14:id>
        </ext>
      </extLst>
    </cfRule>
  </conditionalFormatting>
  <conditionalFormatting sqref="E39">
    <cfRule type="dataBar" priority="289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{E91E9E0D-3439-4588-A957-E35F35718A56}</x14:id>
        </ext>
      </extLst>
    </cfRule>
  </conditionalFormatting>
  <conditionalFormatting sqref="Q39">
    <cfRule type="dataBar" priority="2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{0D33E319-F15E-43BC-BC58-235319463C2F}</x14:id>
        </ext>
      </extLst>
    </cfRule>
  </conditionalFormatting>
  <conditionalFormatting sqref="R39">
    <cfRule type="dataBar" priority="289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{6C28EC7C-1CDA-4EFB-9963-73D3510B3505}</x14:id>
        </ext>
      </extLst>
    </cfRule>
  </conditionalFormatting>
  <conditionalFormatting sqref="S39">
    <cfRule type="dataBar" priority="28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{4130BB68-C95C-452C-B076-FEB8B2048A58}</x14:id>
        </ext>
      </extLst>
    </cfRule>
  </conditionalFormatting>
  <conditionalFormatting sqref="T39">
    <cfRule type="dataBar" priority="289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{3689CF3D-2303-4DE3-829A-865FA62F99ED}</x14:id>
        </ext>
      </extLst>
    </cfRule>
  </conditionalFormatting>
  <conditionalFormatting sqref="U39">
    <cfRule type="dataBar" priority="289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{6A20AB19-9EBD-41F5-9DE2-114DBFD30E97}</x14:id>
        </ext>
      </extLst>
    </cfRule>
  </conditionalFormatting>
  <conditionalFormatting sqref="V39">
    <cfRule type="dataBar" priority="289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{613246CB-E5B7-4AEA-BB83-BD4D686E066E}</x14:id>
        </ext>
      </extLst>
    </cfRule>
  </conditionalFormatting>
  <conditionalFormatting sqref="W39">
    <cfRule type="dataBar" priority="289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{63936D33-5871-4414-A9ED-BB3C317CB358}</x14:id>
        </ext>
      </extLst>
    </cfRule>
  </conditionalFormatting>
  <conditionalFormatting sqref="X39">
    <cfRule type="dataBar" priority="289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{965E0756-A6E1-4C8A-A26C-A0D4E3EEFEED}</x14:id>
        </ext>
      </extLst>
    </cfRule>
  </conditionalFormatting>
  <conditionalFormatting sqref="Y39">
    <cfRule type="dataBar" priority="28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{9CB9A45C-0D58-45D3-B609-32AF6FF2A90D}</x14:id>
        </ext>
      </extLst>
    </cfRule>
  </conditionalFormatting>
  <conditionalFormatting sqref="Z39">
    <cfRule type="dataBar" priority="28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{0E9CC175-5C95-4504-8DE1-917CA49F1F84}</x14:id>
        </ext>
      </extLst>
    </cfRule>
  </conditionalFormatting>
  <conditionalFormatting sqref="AA39">
    <cfRule type="dataBar" priority="28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{3CBAD09E-2A71-4C34-98B5-34C12953B58D}</x14:id>
        </ext>
      </extLst>
    </cfRule>
  </conditionalFormatting>
  <conditionalFormatting sqref="D45:G50">
    <cfRule type="dataBar" priority="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{17540924-E2A5-4089-A760-927BD60F516C}</x14:id>
        </ext>
      </extLst>
    </cfRule>
  </conditionalFormatting>
  <conditionalFormatting sqref="I45:I5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{FC74F449-58F5-47EC-B520-E72721C9CE05}</x14:id>
        </ext>
      </extLst>
    </cfRule>
  </conditionalFormatting>
  <conditionalFormatting sqref="AA45:AA74 AA40:AA43 AA28 AA6 AA36:AA37">
    <cfRule type="dataBar" priority="296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{1C6E5132-AA21-4093-9151-2DD4E56C181D}</x14:id>
        </ext>
      </extLst>
    </cfRule>
  </conditionalFormatting>
  <conditionalFormatting sqref="D51:G60">
    <cfRule type="dataBar" priority="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{B62D2888-A2BA-4A9E-A926-CF2815801BCD}</x14:id>
        </ext>
      </extLst>
    </cfRule>
  </conditionalFormatting>
  <conditionalFormatting sqref="I51:I6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{482351DA-6840-4A4D-8F30-30BE6AD3B756}</x14:id>
        </ext>
      </extLst>
    </cfRule>
  </conditionalFormatting>
  <conditionalFormatting sqref="D61:G67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{CFAFE1DA-B695-48A9-B028-02E71B5F5BCD}</x14:id>
        </ext>
      </extLst>
    </cfRule>
  </conditionalFormatting>
  <conditionalFormatting sqref="I61:I6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{7C2E34C3-694F-4247-8E5C-F3328483650F}</x14:id>
        </ext>
      </extLst>
    </cfRule>
  </conditionalFormatting>
  <conditionalFormatting sqref="D68:G70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{57029C2C-B2C0-46E3-8D32-ADF4AA093ED1}</x14:id>
        </ext>
      </extLst>
    </cfRule>
  </conditionalFormatting>
  <conditionalFormatting sqref="I68:I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{5F8FDFAC-3DD6-45EE-B477-4CE97C79E7E7}</x14:id>
        </ext>
      </extLst>
    </cfRule>
  </conditionalFormatting>
  <conditionalFormatting sqref="D74:G77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{DE17B77E-208B-470C-93BD-BD7786114111}</x14:id>
        </ext>
      </extLst>
    </cfRule>
  </conditionalFormatting>
  <conditionalFormatting sqref="I74:I7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{85C3C049-CDA4-4A74-97A9-71F86D94C1CF}</x14:id>
        </ext>
      </extLst>
    </cfRule>
  </conditionalFormatting>
  <conditionalFormatting sqref="D71:G73"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{D73E042D-E4CA-4576-8386-572550407CE5}</x14:id>
        </ext>
      </extLst>
    </cfRule>
  </conditionalFormatting>
  <conditionalFormatting sqref="I71:I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{A8D65EC6-0E7B-49DD-AF4B-28FAB67DF27B}</x14:id>
        </ext>
      </extLst>
    </cfRule>
  </conditionalFormatting>
  <conditionalFormatting sqref="D40:G44">
    <cfRule type="dataBar" priority="299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{4529CA43-8C1A-4D3E-9008-83A864BE8D11}</x14:id>
        </ext>
      </extLst>
    </cfRule>
  </conditionalFormatting>
  <conditionalFormatting sqref="I40:I4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{5B1C8DC8-706A-40CE-8CD6-3A569CB1E99C}</x14:id>
        </ext>
      </extLst>
    </cfRule>
  </conditionalFormatting>
  <conditionalFormatting sqref="O2:W77">
    <cfRule type="dataBar" priority="299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{BFAF1C30-379A-4D5E-8135-1F1CA1DBA1B2}</x14:id>
        </ext>
      </extLst>
    </cfRule>
  </conditionalFormatting>
  <conditionalFormatting sqref="AA2:AA77">
    <cfRule type="dataBar" priority="299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{FA03E09B-64FC-475C-ABB2-2403F234CED3}</x14:id>
        </ext>
      </extLst>
    </cfRule>
  </conditionalFormatting>
  <conditionalFormatting sqref="D2:G77">
    <cfRule type="dataBar" priority="299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{910E460A-A871-43D6-9923-50A22A2994DE}</x14:id>
        </ext>
      </extLst>
    </cfRule>
  </conditionalFormatting>
  <conditionalFormatting sqref="O1:O104857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{5D541E7E-7A15-4906-8EAE-218F47516130}</x14:id>
        </ext>
      </extLst>
    </cfRule>
  </conditionalFormatting>
  <conditionalFormatting sqref="P1:P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{BEB1DBE5-35A5-4B2C-9A48-6ABC285A9335}</x14:id>
        </ext>
      </extLst>
    </cfRule>
  </conditionalFormatting>
  <conditionalFormatting sqref="Q1:Q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{4C7D089A-10CA-4593-B018-280706D36FEF}</x14:id>
        </ext>
      </extLst>
    </cfRule>
  </conditionalFormatting>
  <conditionalFormatting sqref="R1:R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{5598EBE1-BB14-4201-966F-73352C707DC8}</x14:id>
        </ext>
      </extLst>
    </cfRule>
  </conditionalFormatting>
  <conditionalFormatting sqref="S1:S104857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{D833C95F-19E3-4BF2-8FAD-2F4E2EB6E252}</x14:id>
        </ext>
      </extLst>
    </cfRule>
  </conditionalFormatting>
  <conditionalFormatting sqref="T1:T104857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{862CECB7-FE2D-4E60-9FE0-F8652798A8A2}</x14:id>
        </ext>
      </extLst>
    </cfRule>
  </conditionalFormatting>
  <conditionalFormatting sqref="U1:U104857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{2C6BD230-6172-42AE-86F7-2AF90AD9055A}</x14:id>
        </ext>
      </extLst>
    </cfRule>
  </conditionalFormatting>
  <conditionalFormatting sqref="V1:V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{14A747CF-1FBE-4AA2-9F42-9B4AFB521577}</x14:id>
        </ext>
      </extLst>
    </cfRule>
  </conditionalFormatting>
  <conditionalFormatting sqref="W1:W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{B953CAD2-9BF7-4AA0-B76C-11BE40A8401B}</x14:id>
        </ext>
      </extLst>
    </cfRule>
  </conditionalFormatting>
  <conditionalFormatting sqref="X1:X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{0335087F-524D-4F09-8DB9-12BF34FBAC2F}</x14:id>
        </ext>
      </extLst>
    </cfRule>
  </conditionalFormatting>
  <conditionalFormatting sqref="Y1:Y104857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{B71DD469-76F0-4ECF-801D-55CD3A63E0A0}</x14:id>
        </ext>
      </extLst>
    </cfRule>
  </conditionalFormatting>
  <conditionalFormatting sqref="AA1:AA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{FBF7F4C4-5A51-4BC7-A3EF-F50F495D802B}</x14:id>
        </ext>
      </extLst>
    </cfRule>
  </conditionalFormatting>
  <conditionalFormatting sqref="D1:G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{62AEBC9A-BFF3-49D7-9F87-199C9B23C7CC}</x14:id>
        </ext>
      </extLst>
    </cfRule>
  </conditionalFormatting>
  <conditionalFormatting sqref="Z2:Z7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{826073CE-573C-4FAB-BFA7-A50B54EA2087}</x14:id>
        </ext>
      </extLst>
    </cfRule>
  </conditionalFormatting>
  <pageMargins left="0.25" right="0.25" top="0.75" bottom="0.75" header="0.3" footer="0.3"/>
  <pageSetup paperSize="8" scale="4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1C2E3A-6143-49FD-A735-6C5B733AA7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D47 D59</xm:sqref>
        </x14:conditionalFormatting>
        <x14:conditionalFormatting xmlns:xm="http://schemas.microsoft.com/office/excel/2006/main">
          <x14:cfRule type="dataBar" id="{E5B753BF-68BD-4F80-9C55-8F9D083031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E47 E59</xm:sqref>
        </x14:conditionalFormatting>
        <x14:conditionalFormatting xmlns:xm="http://schemas.microsoft.com/office/excel/2006/main">
          <x14:cfRule type="dataBar" id="{CDACE354-FEAE-4D8B-BF66-3745A856D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F47 F59</xm:sqref>
        </x14:conditionalFormatting>
        <x14:conditionalFormatting xmlns:xm="http://schemas.microsoft.com/office/excel/2006/main">
          <x14:cfRule type="dataBar" id="{7FE4F2EC-4FDD-43C4-9B4A-4908A731B0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G47 G59</xm:sqref>
        </x14:conditionalFormatting>
        <x14:conditionalFormatting xmlns:xm="http://schemas.microsoft.com/office/excel/2006/main">
          <x14:cfRule type="dataBar" id="{49B1BA99-9424-4C4A-B027-B08FD29A2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I47 I59</xm:sqref>
        </x14:conditionalFormatting>
        <x14:conditionalFormatting xmlns:xm="http://schemas.microsoft.com/office/excel/2006/main">
          <x14:cfRule type="dataBar" id="{92F6290B-A65B-4346-AA9E-D5360C49D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O47 O59</xm:sqref>
        </x14:conditionalFormatting>
        <x14:conditionalFormatting xmlns:xm="http://schemas.microsoft.com/office/excel/2006/main">
          <x14:cfRule type="dataBar" id="{4117B5C8-E815-4FD7-8D75-CCE5A469B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P47 P59</xm:sqref>
        </x14:conditionalFormatting>
        <x14:conditionalFormatting xmlns:xm="http://schemas.microsoft.com/office/excel/2006/main">
          <x14:cfRule type="dataBar" id="{68316DB4-FF55-4D77-A73F-F448151B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Q47 Q59</xm:sqref>
        </x14:conditionalFormatting>
        <x14:conditionalFormatting xmlns:xm="http://schemas.microsoft.com/office/excel/2006/main">
          <x14:cfRule type="dataBar" id="{CE73B41C-F65A-4311-955D-45300ECF4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R47 R59</xm:sqref>
        </x14:conditionalFormatting>
        <x14:conditionalFormatting xmlns:xm="http://schemas.microsoft.com/office/excel/2006/main">
          <x14:cfRule type="dataBar" id="{AAC5FCC9-8874-406D-A22D-7BD1E9B6DA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S47 S59</xm:sqref>
        </x14:conditionalFormatting>
        <x14:conditionalFormatting xmlns:xm="http://schemas.microsoft.com/office/excel/2006/main">
          <x14:cfRule type="dataBar" id="{5FDB4008-04B9-4781-9E23-714D648262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T47 T59</xm:sqref>
        </x14:conditionalFormatting>
        <x14:conditionalFormatting xmlns:xm="http://schemas.microsoft.com/office/excel/2006/main">
          <x14:cfRule type="dataBar" id="{E59400D0-B9DF-42EB-9810-BADF48CEC6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U47 U59</xm:sqref>
        </x14:conditionalFormatting>
        <x14:conditionalFormatting xmlns:xm="http://schemas.microsoft.com/office/excel/2006/main">
          <x14:cfRule type="dataBar" id="{D5B1567C-AA16-4913-A48A-2AA3185D5E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V47 V59</xm:sqref>
        </x14:conditionalFormatting>
        <x14:conditionalFormatting xmlns:xm="http://schemas.microsoft.com/office/excel/2006/main">
          <x14:cfRule type="dataBar" id="{1613F396-EAA4-4A32-92BF-7B5D8F2E0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W47 W59</xm:sqref>
        </x14:conditionalFormatting>
        <x14:conditionalFormatting xmlns:xm="http://schemas.microsoft.com/office/excel/2006/main">
          <x14:cfRule type="dataBar" id="{84182A9C-6C36-48F2-93B0-B579F3050F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X47 X59</xm:sqref>
        </x14:conditionalFormatting>
        <x14:conditionalFormatting xmlns:xm="http://schemas.microsoft.com/office/excel/2006/main">
          <x14:cfRule type="dataBar" id="{6B63572A-3660-4F38-B0CC-66C43CBA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Y47 Y59</xm:sqref>
        </x14:conditionalFormatting>
        <x14:conditionalFormatting xmlns:xm="http://schemas.microsoft.com/office/excel/2006/main">
          <x14:cfRule type="dataBar" id="{41B117B7-A231-4A7E-96B5-F5F7774646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Z47 Z59</xm:sqref>
        </x14:conditionalFormatting>
        <x14:conditionalFormatting xmlns:xm="http://schemas.microsoft.com/office/excel/2006/main">
          <x14:cfRule type="dataBar" id="{5AA25522-8750-4809-AB59-BBBA8E933B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AA59:AB59 AA47:AB47</xm:sqref>
        </x14:conditionalFormatting>
        <x14:conditionalFormatting xmlns:xm="http://schemas.microsoft.com/office/excel/2006/main">
          <x14:cfRule type="dataBar" id="{B8AEB6E2-C100-40B1-B209-F70D66B66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</xm:sqref>
        </x14:conditionalFormatting>
        <x14:conditionalFormatting xmlns:xm="http://schemas.microsoft.com/office/excel/2006/main">
          <x14:cfRule type="dataBar" id="{99F80D03-44AB-4578-8681-C2AA6BC945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E78</xm:sqref>
        </x14:conditionalFormatting>
        <x14:conditionalFormatting xmlns:xm="http://schemas.microsoft.com/office/excel/2006/main">
          <x14:cfRule type="dataBar" id="{D2162D01-89A0-4650-BC63-F9FFB50D44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F78</xm:sqref>
        </x14:conditionalFormatting>
        <x14:conditionalFormatting xmlns:xm="http://schemas.microsoft.com/office/excel/2006/main">
          <x14:cfRule type="dataBar" id="{006EF5FD-3D53-4097-89BC-86D017D1D2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G78</xm:sqref>
        </x14:conditionalFormatting>
        <x14:conditionalFormatting xmlns:xm="http://schemas.microsoft.com/office/excel/2006/main">
          <x14:cfRule type="dataBar" id="{FC501ACD-35DA-42CB-92F1-8F43EAEA6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6D58DD95-E21D-401C-9D67-32E649D690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90D847D5-01E5-45B1-97D3-3AD130786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9CDCB2B2-DDC1-44BC-95CD-2EDA8434DC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Q78</xm:sqref>
        </x14:conditionalFormatting>
        <x14:conditionalFormatting xmlns:xm="http://schemas.microsoft.com/office/excel/2006/main">
          <x14:cfRule type="dataBar" id="{977091AE-D460-4D9A-87AF-AB7A03DE43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D1D4C25-0D10-4556-9804-9B4A84CFC9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S78</xm:sqref>
        </x14:conditionalFormatting>
        <x14:conditionalFormatting xmlns:xm="http://schemas.microsoft.com/office/excel/2006/main">
          <x14:cfRule type="dataBar" id="{CA09B202-49D1-41F9-B11E-A13A41DBE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T78</xm:sqref>
        </x14:conditionalFormatting>
        <x14:conditionalFormatting xmlns:xm="http://schemas.microsoft.com/office/excel/2006/main">
          <x14:cfRule type="dataBar" id="{1EC63C6C-26CB-4463-8C17-C6AA880D8C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U78</xm:sqref>
        </x14:conditionalFormatting>
        <x14:conditionalFormatting xmlns:xm="http://schemas.microsoft.com/office/excel/2006/main">
          <x14:cfRule type="dataBar" id="{C3C73A47-6AF1-49F1-A5F7-B0589AAB08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V78</xm:sqref>
        </x14:conditionalFormatting>
        <x14:conditionalFormatting xmlns:xm="http://schemas.microsoft.com/office/excel/2006/main">
          <x14:cfRule type="dataBar" id="{65D25532-F512-4C26-8F46-8E0A77CE2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W78</xm:sqref>
        </x14:conditionalFormatting>
        <x14:conditionalFormatting xmlns:xm="http://schemas.microsoft.com/office/excel/2006/main">
          <x14:cfRule type="dataBar" id="{171EF88C-570C-46A6-8A6F-336329B04B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X78</xm:sqref>
        </x14:conditionalFormatting>
        <x14:conditionalFormatting xmlns:xm="http://schemas.microsoft.com/office/excel/2006/main">
          <x14:cfRule type="dataBar" id="{783B3944-CBEB-45D0-B706-1D03FC61A7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Y78</xm:sqref>
        </x14:conditionalFormatting>
        <x14:conditionalFormatting xmlns:xm="http://schemas.microsoft.com/office/excel/2006/main">
          <x14:cfRule type="dataBar" id="{5E46827E-FE41-42D0-B704-0B951FDFD7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Z78</xm:sqref>
        </x14:conditionalFormatting>
        <x14:conditionalFormatting xmlns:xm="http://schemas.microsoft.com/office/excel/2006/main">
          <x14:cfRule type="dataBar" id="{DF057747-530B-40F7-ACD2-6E3377AED7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AA78:AB78</xm:sqref>
        </x14:conditionalFormatting>
        <x14:conditionalFormatting xmlns:xm="http://schemas.microsoft.com/office/excel/2006/main">
          <x14:cfRule type="dataBar" id="{3A598585-CF8E-4E45-B6B0-310AE8217C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D78:G78</xm:sqref>
        </x14:conditionalFormatting>
        <x14:conditionalFormatting xmlns:xm="http://schemas.microsoft.com/office/excel/2006/main">
          <x14:cfRule type="dataBar" id="{91A3A05C-CA67-489F-9D56-05525F083D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I78</xm:sqref>
        </x14:conditionalFormatting>
        <x14:conditionalFormatting xmlns:xm="http://schemas.microsoft.com/office/excel/2006/main">
          <x14:cfRule type="dataBar" id="{92DE4CE6-AE74-41A9-B9BC-C178164B66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</xm:sqref>
        </x14:conditionalFormatting>
        <x14:conditionalFormatting xmlns:xm="http://schemas.microsoft.com/office/excel/2006/main">
          <x14:cfRule type="dataBar" id="{E31BC2E4-6926-4EC0-A037-AE8D80115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E79</xm:sqref>
        </x14:conditionalFormatting>
        <x14:conditionalFormatting xmlns:xm="http://schemas.microsoft.com/office/excel/2006/main">
          <x14:cfRule type="dataBar" id="{DE0593C3-DA73-4DD8-B51A-C16AC8985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F79</xm:sqref>
        </x14:conditionalFormatting>
        <x14:conditionalFormatting xmlns:xm="http://schemas.microsoft.com/office/excel/2006/main">
          <x14:cfRule type="dataBar" id="{2519D362-977F-48B7-88CD-F233D183BE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G79</xm:sqref>
        </x14:conditionalFormatting>
        <x14:conditionalFormatting xmlns:xm="http://schemas.microsoft.com/office/excel/2006/main">
          <x14:cfRule type="dataBar" id="{A4103FB3-52BF-4A9C-9A5C-25BC08BBF3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B5A9BE54-F28E-488D-9E81-30DE77AEF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O79</xm:sqref>
        </x14:conditionalFormatting>
        <x14:conditionalFormatting xmlns:xm="http://schemas.microsoft.com/office/excel/2006/main">
          <x14:cfRule type="dataBar" id="{35D86867-CED9-49C5-8AF9-3DE77EC713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P79</xm:sqref>
        </x14:conditionalFormatting>
        <x14:conditionalFormatting xmlns:xm="http://schemas.microsoft.com/office/excel/2006/main">
          <x14:cfRule type="dataBar" id="{CC4170E5-3657-4AF5-8F79-81EE6693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Q79</xm:sqref>
        </x14:conditionalFormatting>
        <x14:conditionalFormatting xmlns:xm="http://schemas.microsoft.com/office/excel/2006/main">
          <x14:cfRule type="dataBar" id="{432EBD34-E2DE-49A9-9813-4A599BA0FE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67DB8239-9C4E-41B1-BA66-204B3607E7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S79</xm:sqref>
        </x14:conditionalFormatting>
        <x14:conditionalFormatting xmlns:xm="http://schemas.microsoft.com/office/excel/2006/main">
          <x14:cfRule type="dataBar" id="{65888D2B-ECFD-4C07-9D6C-3A080EC887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T79</xm:sqref>
        </x14:conditionalFormatting>
        <x14:conditionalFormatting xmlns:xm="http://schemas.microsoft.com/office/excel/2006/main">
          <x14:cfRule type="dataBar" id="{90F8ABA2-A4EE-48B2-8980-EC503D351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U79</xm:sqref>
        </x14:conditionalFormatting>
        <x14:conditionalFormatting xmlns:xm="http://schemas.microsoft.com/office/excel/2006/main">
          <x14:cfRule type="dataBar" id="{7EC4B17F-D5EC-4FDC-BE16-A0BC60E199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V79</xm:sqref>
        </x14:conditionalFormatting>
        <x14:conditionalFormatting xmlns:xm="http://schemas.microsoft.com/office/excel/2006/main">
          <x14:cfRule type="dataBar" id="{0AA164F1-5D31-482F-951B-8EACEBFD24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W79</xm:sqref>
        </x14:conditionalFormatting>
        <x14:conditionalFormatting xmlns:xm="http://schemas.microsoft.com/office/excel/2006/main">
          <x14:cfRule type="dataBar" id="{706D6606-2FFD-45F2-9568-029A25BF96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X79</xm:sqref>
        </x14:conditionalFormatting>
        <x14:conditionalFormatting xmlns:xm="http://schemas.microsoft.com/office/excel/2006/main">
          <x14:cfRule type="dataBar" id="{9F3A7F24-ED6A-4BD9-8881-0B0982CDC1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Y79</xm:sqref>
        </x14:conditionalFormatting>
        <x14:conditionalFormatting xmlns:xm="http://schemas.microsoft.com/office/excel/2006/main">
          <x14:cfRule type="dataBar" id="{07315552-0DF0-4E60-A1F0-8270297C9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Z79</xm:sqref>
        </x14:conditionalFormatting>
        <x14:conditionalFormatting xmlns:xm="http://schemas.microsoft.com/office/excel/2006/main">
          <x14:cfRule type="dataBar" id="{945B6549-A0E0-470D-AB13-E09276E8EA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AA79:AB79</xm:sqref>
        </x14:conditionalFormatting>
        <x14:conditionalFormatting xmlns:xm="http://schemas.microsoft.com/office/excel/2006/main">
          <x14:cfRule type="dataBar" id="{153ADD4C-3907-4FF2-B009-E2CE4C402F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D79:G79</xm:sqref>
        </x14:conditionalFormatting>
        <x14:conditionalFormatting xmlns:xm="http://schemas.microsoft.com/office/excel/2006/main">
          <x14:cfRule type="dataBar" id="{89CA46A4-D2E7-4DED-9818-1545E2C200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I79</xm:sqref>
        </x14:conditionalFormatting>
        <x14:conditionalFormatting xmlns:xm="http://schemas.microsoft.com/office/excel/2006/main">
          <x14:cfRule type="dataBar" id="{94634BC5-E507-4C05-BC5F-07BFEE53BC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G42</xm:sqref>
        </x14:conditionalFormatting>
        <x14:conditionalFormatting xmlns:xm="http://schemas.microsoft.com/office/excel/2006/main">
          <x14:cfRule type="dataBar" id="{864CB70E-9726-4FCC-8DDD-EE2DBB8515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P42</xm:sqref>
        </x14:conditionalFormatting>
        <x14:conditionalFormatting xmlns:xm="http://schemas.microsoft.com/office/excel/2006/main">
          <x14:cfRule type="dataBar" id="{7CBC26A5-3C9B-4B2D-BA2D-54A33D9491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Q42</xm:sqref>
        </x14:conditionalFormatting>
        <x14:conditionalFormatting xmlns:xm="http://schemas.microsoft.com/office/excel/2006/main">
          <x14:cfRule type="dataBar" id="{F62ADA0D-43B6-49F0-B820-702221B683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T42</xm:sqref>
        </x14:conditionalFormatting>
        <x14:conditionalFormatting xmlns:xm="http://schemas.microsoft.com/office/excel/2006/main">
          <x14:cfRule type="dataBar" id="{12B23798-477B-445A-8AA1-16CAB55E5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W42</xm:sqref>
        </x14:conditionalFormatting>
        <x14:conditionalFormatting xmlns:xm="http://schemas.microsoft.com/office/excel/2006/main">
          <x14:cfRule type="dataBar" id="{F3E686AF-91F8-4C1D-8481-7F1409EFC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8AF29AFE-5424-4AA5-BE0A-C905FD4BAC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Y42</xm:sqref>
        </x14:conditionalFormatting>
        <x14:conditionalFormatting xmlns:xm="http://schemas.microsoft.com/office/excel/2006/main">
          <x14:cfRule type="dataBar" id="{F91F5200-60C2-4629-95EF-1E9D277BAC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Z42</xm:sqref>
        </x14:conditionalFormatting>
        <x14:conditionalFormatting xmlns:xm="http://schemas.microsoft.com/office/excel/2006/main">
          <x14:cfRule type="dataBar" id="{5A77932A-CE6F-4B60-B915-E2A00CE7DD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AA42:AB42</xm:sqref>
        </x14:conditionalFormatting>
        <x14:conditionalFormatting xmlns:xm="http://schemas.microsoft.com/office/excel/2006/main">
          <x14:cfRule type="dataBar" id="{04330E54-DA92-4134-9690-E87BB1E18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R42</xm:sqref>
        </x14:conditionalFormatting>
        <x14:conditionalFormatting xmlns:xm="http://schemas.microsoft.com/office/excel/2006/main">
          <x14:cfRule type="dataBar" id="{D1841BD3-64AA-4F1D-A03F-99B9560035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S42</xm:sqref>
        </x14:conditionalFormatting>
        <x14:conditionalFormatting xmlns:xm="http://schemas.microsoft.com/office/excel/2006/main">
          <x14:cfRule type="dataBar" id="{DD88960F-3AAD-47FA-90EE-4BE9AF55C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U42</xm:sqref>
        </x14:conditionalFormatting>
        <x14:conditionalFormatting xmlns:xm="http://schemas.microsoft.com/office/excel/2006/main">
          <x14:cfRule type="dataBar" id="{4844319F-3036-4601-92C9-36DCEB4C4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I42</xm:sqref>
        </x14:conditionalFormatting>
        <x14:conditionalFormatting xmlns:xm="http://schemas.microsoft.com/office/excel/2006/main">
          <x14:cfRule type="dataBar" id="{0C56E267-8E37-4DA3-AF5F-002941A075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</xm:sqref>
        </x14:conditionalFormatting>
        <x14:conditionalFormatting xmlns:xm="http://schemas.microsoft.com/office/excel/2006/main">
          <x14:cfRule type="dataBar" id="{BD1F24A1-9AEB-48E4-8807-0B797F872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4F5BE21A-931F-4ABA-A7CD-851704EA0A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C0883C95-266B-421B-B468-2883C4531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</xm:sqref>
        </x14:conditionalFormatting>
        <x14:conditionalFormatting xmlns:xm="http://schemas.microsoft.com/office/excel/2006/main">
          <x14:cfRule type="dataBar" id="{368085BC-92FF-46F9-B745-D7705E62F6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2D33F8C0-0A19-49FA-B730-1DD9F4E16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F63</xm:sqref>
        </x14:conditionalFormatting>
        <x14:conditionalFormatting xmlns:xm="http://schemas.microsoft.com/office/excel/2006/main">
          <x14:cfRule type="dataBar" id="{30CAC70F-398E-4BC0-91E2-2BBA713C8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G63</xm:sqref>
        </x14:conditionalFormatting>
        <x14:conditionalFormatting xmlns:xm="http://schemas.microsoft.com/office/excel/2006/main">
          <x14:cfRule type="dataBar" id="{88031E98-2419-4C86-994D-387FCD5110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F594D7F-4695-4B1E-9837-D8F9D9E60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029280A9-24B9-4C70-8387-17D8A90FA0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AA5383A6-C848-4F29-804F-7F5A40343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Q63</xm:sqref>
        </x14:conditionalFormatting>
        <x14:conditionalFormatting xmlns:xm="http://schemas.microsoft.com/office/excel/2006/main">
          <x14:cfRule type="dataBar" id="{03FE55C8-7409-4CBD-85C0-55A6DC6EB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DC6063FF-20B1-4B64-9C8B-C986A84A00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S63</xm:sqref>
        </x14:conditionalFormatting>
        <x14:conditionalFormatting xmlns:xm="http://schemas.microsoft.com/office/excel/2006/main">
          <x14:cfRule type="dataBar" id="{01B110C4-F2DD-4A34-9870-48C6078EF1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T63</xm:sqref>
        </x14:conditionalFormatting>
        <x14:conditionalFormatting xmlns:xm="http://schemas.microsoft.com/office/excel/2006/main">
          <x14:cfRule type="dataBar" id="{BBBC3C29-4CB6-403B-91E6-2704E41D32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U63</xm:sqref>
        </x14:conditionalFormatting>
        <x14:conditionalFormatting xmlns:xm="http://schemas.microsoft.com/office/excel/2006/main">
          <x14:cfRule type="dataBar" id="{3DD80CBD-A2FA-4186-A8BE-00018BA136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V63</xm:sqref>
        </x14:conditionalFormatting>
        <x14:conditionalFormatting xmlns:xm="http://schemas.microsoft.com/office/excel/2006/main">
          <x14:cfRule type="dataBar" id="{1204AA3A-E44F-4601-A378-D5C4A7E39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W63</xm:sqref>
        </x14:conditionalFormatting>
        <x14:conditionalFormatting xmlns:xm="http://schemas.microsoft.com/office/excel/2006/main">
          <x14:cfRule type="dataBar" id="{0B4F63C4-7BA3-4BA7-903B-D78675D1B6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83F089DC-0AFA-4E62-AB53-666B86A4FB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Y63</xm:sqref>
        </x14:conditionalFormatting>
        <x14:conditionalFormatting xmlns:xm="http://schemas.microsoft.com/office/excel/2006/main">
          <x14:cfRule type="dataBar" id="{AECFA5E1-9CE9-40E0-B6C5-5A7417CE2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Z63</xm:sqref>
        </x14:conditionalFormatting>
        <x14:conditionalFormatting xmlns:xm="http://schemas.microsoft.com/office/excel/2006/main">
          <x14:cfRule type="dataBar" id="{FA523C43-08EE-4045-8E6C-6969BECB9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C2290F5B-704C-4033-B8E7-13ADB1D9B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572207CE-EE83-49BD-AAF2-DAEFD646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67A8C800-CA64-4F39-97A2-8E182F7E62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046FC0B0-05F1-4387-86C0-6CF966796C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D1F63128-09B7-4A31-A2B8-EC66EC1A52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D63:G63</xm:sqref>
        </x14:conditionalFormatting>
        <x14:conditionalFormatting xmlns:xm="http://schemas.microsoft.com/office/excel/2006/main">
          <x14:cfRule type="dataBar" id="{42AB0FD4-C1DD-4160-B2B9-5C40D839B2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I63</xm:sqref>
        </x14:conditionalFormatting>
        <x14:conditionalFormatting xmlns:xm="http://schemas.microsoft.com/office/excel/2006/main">
          <x14:cfRule type="dataBar" id="{715DD97A-0BDD-4B79-B084-011E695972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O63:AB63</xm:sqref>
        </x14:conditionalFormatting>
        <x14:conditionalFormatting xmlns:xm="http://schemas.microsoft.com/office/excel/2006/main">
          <x14:cfRule type="dataBar" id="{62D90C15-D90A-4A2D-897F-7589E93D0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O63</xm:sqref>
        </x14:conditionalFormatting>
        <x14:conditionalFormatting xmlns:xm="http://schemas.microsoft.com/office/excel/2006/main">
          <x14:cfRule type="dataBar" id="{F9166350-D8E7-48B6-AB6D-DAC9FE0374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P63</xm:sqref>
        </x14:conditionalFormatting>
        <x14:conditionalFormatting xmlns:xm="http://schemas.microsoft.com/office/excel/2006/main">
          <x14:cfRule type="dataBar" id="{8A13817A-97FF-44FE-92AE-EC98716312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AA63:AB63</xm:sqref>
        </x14:conditionalFormatting>
        <x14:conditionalFormatting xmlns:xm="http://schemas.microsoft.com/office/excel/2006/main">
          <x14:cfRule type="dataBar" id="{D9C1A974-C8E1-4F14-B70B-7CCF90154C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6642C6A9-B901-44AB-8D55-2403F5C982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A4126841-8DF8-46EE-8252-F047E885D1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786232E8-33C4-4A5D-9F25-50EC1E2A32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</xm:sqref>
        </x14:conditionalFormatting>
        <x14:conditionalFormatting xmlns:xm="http://schemas.microsoft.com/office/excel/2006/main">
          <x14:cfRule type="dataBar" id="{3A9CB9AC-C1E8-4D3B-9858-4EC9817F6E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6B4DE612-196F-44B2-829C-55D821A3C8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F36</xm:sqref>
        </x14:conditionalFormatting>
        <x14:conditionalFormatting xmlns:xm="http://schemas.microsoft.com/office/excel/2006/main">
          <x14:cfRule type="dataBar" id="{869C688F-7EE3-4329-85EB-5F35BF63E4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G36</xm:sqref>
        </x14:conditionalFormatting>
        <x14:conditionalFormatting xmlns:xm="http://schemas.microsoft.com/office/excel/2006/main">
          <x14:cfRule type="dataBar" id="{F34B6241-8505-47DD-9CCD-4DCBA2495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DA48DDB5-AC95-434F-B6CF-99CCDCDDE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9B1C5D1A-A1C3-4E26-B931-67C614F73F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01C771AD-43BA-40CE-A4D5-BA2C8715E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Q36</xm:sqref>
        </x14:conditionalFormatting>
        <x14:conditionalFormatting xmlns:xm="http://schemas.microsoft.com/office/excel/2006/main">
          <x14:cfRule type="dataBar" id="{BB44D3F9-3D6E-4D46-BEED-5E69000DDF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R36</xm:sqref>
        </x14:conditionalFormatting>
        <x14:conditionalFormatting xmlns:xm="http://schemas.microsoft.com/office/excel/2006/main">
          <x14:cfRule type="dataBar" id="{1251046B-E20C-4813-84C8-8066424CA8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S36</xm:sqref>
        </x14:conditionalFormatting>
        <x14:conditionalFormatting xmlns:xm="http://schemas.microsoft.com/office/excel/2006/main">
          <x14:cfRule type="dataBar" id="{0ADA3476-35AA-4319-A95B-15811ABF94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T36</xm:sqref>
        </x14:conditionalFormatting>
        <x14:conditionalFormatting xmlns:xm="http://schemas.microsoft.com/office/excel/2006/main">
          <x14:cfRule type="dataBar" id="{C90BCA92-142B-4FBF-BC95-D3E47E47D4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U36</xm:sqref>
        </x14:conditionalFormatting>
        <x14:conditionalFormatting xmlns:xm="http://schemas.microsoft.com/office/excel/2006/main">
          <x14:cfRule type="dataBar" id="{017F680C-E2A0-4F24-9A64-048F6E6F4C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V36</xm:sqref>
        </x14:conditionalFormatting>
        <x14:conditionalFormatting xmlns:xm="http://schemas.microsoft.com/office/excel/2006/main">
          <x14:cfRule type="dataBar" id="{08E98F12-3493-42B5-8781-559058C20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W36</xm:sqref>
        </x14:conditionalFormatting>
        <x14:conditionalFormatting xmlns:xm="http://schemas.microsoft.com/office/excel/2006/main">
          <x14:cfRule type="dataBar" id="{F66F0AB9-2910-4918-B707-E5A6CC21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X36</xm:sqref>
        </x14:conditionalFormatting>
        <x14:conditionalFormatting xmlns:xm="http://schemas.microsoft.com/office/excel/2006/main">
          <x14:cfRule type="dataBar" id="{95BCB110-D632-492F-99EE-A0A136462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Y36</xm:sqref>
        </x14:conditionalFormatting>
        <x14:conditionalFormatting xmlns:xm="http://schemas.microsoft.com/office/excel/2006/main">
          <x14:cfRule type="dataBar" id="{117DA467-D7AD-4633-8A1F-CF6DADAB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Z36</xm:sqref>
        </x14:conditionalFormatting>
        <x14:conditionalFormatting xmlns:xm="http://schemas.microsoft.com/office/excel/2006/main">
          <x14:cfRule type="dataBar" id="{85FDE4FD-41DF-4BFC-AB32-21286CD0D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4E516152-2DAD-40C5-A694-53E8E71C8E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510EAE78-F20F-47EC-9B17-603A8D80C7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AAB7A41B-91E4-4A19-9C0B-8877FF886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0152D481-6736-457F-974E-337BF9494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O36:AB36</xm:sqref>
        </x14:conditionalFormatting>
        <x14:conditionalFormatting xmlns:xm="http://schemas.microsoft.com/office/excel/2006/main">
          <x14:cfRule type="dataBar" id="{B9E91BBC-52B0-48A9-9BC9-F6749B5B62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</xm:sqref>
        </x14:conditionalFormatting>
        <x14:conditionalFormatting xmlns:xm="http://schemas.microsoft.com/office/excel/2006/main">
          <x14:cfRule type="dataBar" id="{34E1BFC1-7F95-4AA2-9778-553FD9FE5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P36</xm:sqref>
        </x14:conditionalFormatting>
        <x14:conditionalFormatting xmlns:xm="http://schemas.microsoft.com/office/excel/2006/main">
          <x14:cfRule type="dataBar" id="{4501E1E3-36C6-4938-9DE6-6FAC2BED3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AA36:AB36</xm:sqref>
        </x14:conditionalFormatting>
        <x14:conditionalFormatting xmlns:xm="http://schemas.microsoft.com/office/excel/2006/main">
          <x14:cfRule type="dataBar" id="{6E981123-AA2C-4A07-A353-5E82A1289B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D36:G36</xm:sqref>
        </x14:conditionalFormatting>
        <x14:conditionalFormatting xmlns:xm="http://schemas.microsoft.com/office/excel/2006/main">
          <x14:cfRule type="dataBar" id="{95A2B957-2EA5-46DD-BF45-A5C22E6732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I36</xm:sqref>
        </x14:conditionalFormatting>
        <x14:conditionalFormatting xmlns:xm="http://schemas.microsoft.com/office/excel/2006/main">
          <x14:cfRule type="dataBar" id="{CE89326F-36E6-4A07-9008-6D7ECD4AC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O36:AA36</xm:sqref>
        </x14:conditionalFormatting>
        <x14:conditionalFormatting xmlns:xm="http://schemas.microsoft.com/office/excel/2006/main">
          <x14:cfRule type="dataBar" id="{4A37E843-965B-498B-9096-FB3B64DC04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DD62903E-57F2-4C8A-851A-F5C9B0C02D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9C1D8EFC-56B1-4F2D-AF62-3759AA7E5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B11FF317-FF13-4D7B-B9B7-0AF2FFBE6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5305F718-81F7-48FF-A08C-553B66B695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E9A3B1F3-BCBD-4347-AEE4-B21516FAA5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EEA8DB1C-A3C4-415E-A6C3-C894F9859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5913E6EB-27CA-4DFE-AA54-B343E9045D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AE037193-1ACF-4054-806F-DE00CDC519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2FAF86AC-B589-4F9C-9FAF-8F42C57DD5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B83C29D-9349-41AB-B250-A63C8E6023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B7079C89-D508-4A8E-91B6-4419E2D35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7DEFE514-4704-412C-9776-F6E24EAC0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B26BE20C-2E58-4729-AC8A-53699AE34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1C1F6F15-DD72-4D76-833A-EE5D45B7FE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5A0E2A9-40A7-424D-918B-B65D731CFC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3F87C7F1-1950-4A95-8698-D83E211EBF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9C5DA39B-1E98-4913-84EB-F99B1E8F5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589DAF9E-BBA9-461A-8924-D6DC70D15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BBD5E712-565C-4302-9715-EBC608275B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</xm:sqref>
        </x14:conditionalFormatting>
        <x14:conditionalFormatting xmlns:xm="http://schemas.microsoft.com/office/excel/2006/main">
          <x14:cfRule type="dataBar" id="{274CB1C8-9298-4219-A460-0B8E4C6BFE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E43</xm:sqref>
        </x14:conditionalFormatting>
        <x14:conditionalFormatting xmlns:xm="http://schemas.microsoft.com/office/excel/2006/main">
          <x14:cfRule type="dataBar" id="{9BD6A741-B8DA-4DDD-B2F8-FF8CB75C45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F43</xm:sqref>
        </x14:conditionalFormatting>
        <x14:conditionalFormatting xmlns:xm="http://schemas.microsoft.com/office/excel/2006/main">
          <x14:cfRule type="dataBar" id="{1485E23A-C064-417B-BED6-03C194792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G43</xm:sqref>
        </x14:conditionalFormatting>
        <x14:conditionalFormatting xmlns:xm="http://schemas.microsoft.com/office/excel/2006/main">
          <x14:cfRule type="dataBar" id="{0D07EEE8-D1B0-49EC-B29A-621366E07A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2A8084EB-E308-42AD-8D03-5C8231EDD9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C9D7C382-A0F0-4EDF-969C-5A7CD7BEDC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135CDBAD-8B90-41D2-AEB9-74893EE54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Q43</xm:sqref>
        </x14:conditionalFormatting>
        <x14:conditionalFormatting xmlns:xm="http://schemas.microsoft.com/office/excel/2006/main">
          <x14:cfRule type="dataBar" id="{AD042357-EFD4-4670-810C-452B50E24D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R43</xm:sqref>
        </x14:conditionalFormatting>
        <x14:conditionalFormatting xmlns:xm="http://schemas.microsoft.com/office/excel/2006/main">
          <x14:cfRule type="dataBar" id="{1BAACE3B-55B2-4AAF-9CB7-E11E3A2FB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S43</xm:sqref>
        </x14:conditionalFormatting>
        <x14:conditionalFormatting xmlns:xm="http://schemas.microsoft.com/office/excel/2006/main">
          <x14:cfRule type="dataBar" id="{A98108CA-66E2-47E6-AC8B-93BC4C151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T43</xm:sqref>
        </x14:conditionalFormatting>
        <x14:conditionalFormatting xmlns:xm="http://schemas.microsoft.com/office/excel/2006/main">
          <x14:cfRule type="dataBar" id="{DA2B679F-519A-4F00-B897-9B2604E2F0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U43</xm:sqref>
        </x14:conditionalFormatting>
        <x14:conditionalFormatting xmlns:xm="http://schemas.microsoft.com/office/excel/2006/main">
          <x14:cfRule type="dataBar" id="{0E261B67-5071-4E6A-8BE7-ACB2CA49FF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V43</xm:sqref>
        </x14:conditionalFormatting>
        <x14:conditionalFormatting xmlns:xm="http://schemas.microsoft.com/office/excel/2006/main">
          <x14:cfRule type="dataBar" id="{050757F8-D5AC-4B93-A97C-586FE1FEA1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W43</xm:sqref>
        </x14:conditionalFormatting>
        <x14:conditionalFormatting xmlns:xm="http://schemas.microsoft.com/office/excel/2006/main">
          <x14:cfRule type="dataBar" id="{50731536-E89E-437C-B9F2-2CD79B75E0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190CE093-7966-4A93-BA59-D78275F217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Y43</xm:sqref>
        </x14:conditionalFormatting>
        <x14:conditionalFormatting xmlns:xm="http://schemas.microsoft.com/office/excel/2006/main">
          <x14:cfRule type="dataBar" id="{831B63CF-68A0-46A1-8E3E-F0F5527467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Z43</xm:sqref>
        </x14:conditionalFormatting>
        <x14:conditionalFormatting xmlns:xm="http://schemas.microsoft.com/office/excel/2006/main">
          <x14:cfRule type="dataBar" id="{ADEF9BB7-9BF1-4A71-B229-A0D7E190CA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147B0F26-90C4-471A-8C54-D72BC9D9D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03DD3DE5-0878-4087-9E0F-8E70484E3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4D8F454F-8F13-4387-93EB-D7503D7DBB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09F90C26-F9B6-4034-B41E-57E0655FD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O43:AB43</xm:sqref>
        </x14:conditionalFormatting>
        <x14:conditionalFormatting xmlns:xm="http://schemas.microsoft.com/office/excel/2006/main">
          <x14:cfRule type="dataBar" id="{4320D210-0559-4EAD-BD5F-BFED8AC0A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</xm:sqref>
        </x14:conditionalFormatting>
        <x14:conditionalFormatting xmlns:xm="http://schemas.microsoft.com/office/excel/2006/main">
          <x14:cfRule type="dataBar" id="{0E6F1876-7778-4B87-9805-6FFB815A96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P43</xm:sqref>
        </x14:conditionalFormatting>
        <x14:conditionalFormatting xmlns:xm="http://schemas.microsoft.com/office/excel/2006/main">
          <x14:cfRule type="dataBar" id="{620D87A1-9B77-40F2-9A68-0A3DFF29D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AA43:AB43</xm:sqref>
        </x14:conditionalFormatting>
        <x14:conditionalFormatting xmlns:xm="http://schemas.microsoft.com/office/excel/2006/main">
          <x14:cfRule type="dataBar" id="{F83E5EF4-B96B-4368-9DC2-04A512401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D43:G43</xm:sqref>
        </x14:conditionalFormatting>
        <x14:conditionalFormatting xmlns:xm="http://schemas.microsoft.com/office/excel/2006/main">
          <x14:cfRule type="dataBar" id="{B315B53E-F931-4BC5-AC76-BB3B0E65CE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I43</xm:sqref>
        </x14:conditionalFormatting>
        <x14:conditionalFormatting xmlns:xm="http://schemas.microsoft.com/office/excel/2006/main">
          <x14:cfRule type="dataBar" id="{8212D341-9A6A-4F71-A7F5-A297869E2B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O43:AA43</xm:sqref>
        </x14:conditionalFormatting>
        <x14:conditionalFormatting xmlns:xm="http://schemas.microsoft.com/office/excel/2006/main">
          <x14:cfRule type="dataBar" id="{55BFEEA6-C5CB-4A52-AD98-3D8E74D4CF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F8C768C-6360-416E-83AD-469258EA67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7088894C-A040-4842-8EE6-A1664E87AA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7B43ACC-6D2B-4647-AE40-6FFC595C3A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  <x14:conditionalFormatting xmlns:xm="http://schemas.microsoft.com/office/excel/2006/main">
          <x14:cfRule type="dataBar" id="{9DBE13C0-2D01-477D-B913-82E5A8DFF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</xm:sqref>
        </x14:conditionalFormatting>
        <x14:conditionalFormatting xmlns:xm="http://schemas.microsoft.com/office/excel/2006/main">
          <x14:cfRule type="dataBar" id="{7F9CB863-E882-471E-AC20-6ECD35471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04588B3A-CDF3-422A-805B-BB74ADD71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5C220A9D-EF82-4DB0-AF59-47A8F10266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</xm:sqref>
        </x14:conditionalFormatting>
        <x14:conditionalFormatting xmlns:xm="http://schemas.microsoft.com/office/excel/2006/main">
          <x14:cfRule type="dataBar" id="{A26FDE4F-300C-429F-B04A-7D6E8BF1C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</xm:sqref>
        </x14:conditionalFormatting>
        <x14:conditionalFormatting xmlns:xm="http://schemas.microsoft.com/office/excel/2006/main">
          <x14:cfRule type="dataBar" id="{3784F588-7E76-4EF2-9286-8F452B8A60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</xm:sqref>
        </x14:conditionalFormatting>
        <x14:conditionalFormatting xmlns:xm="http://schemas.microsoft.com/office/excel/2006/main">
          <x14:cfRule type="dataBar" id="{A057C0D6-774B-4D9F-86ED-F10C5C764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53F8846F-0597-497E-B925-F0EEADF398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D87C15F4-1743-4206-8B7E-D5ACF1A8F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5743AECC-40D8-4B7C-A0B6-64C89D40E3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493F128-176B-4FD3-852F-1C9A7D215F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932C1517-4A85-4ECB-8BC8-FE3FB6A205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DE04BACF-D41A-4813-8B63-AF5491851B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Q2:AB2</xm:sqref>
        </x14:conditionalFormatting>
        <x14:conditionalFormatting xmlns:xm="http://schemas.microsoft.com/office/excel/2006/main">
          <x14:cfRule type="dataBar" id="{149FBC5A-58AC-47A4-85F5-E8AF91C89D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AA2:AB2</xm:sqref>
        </x14:conditionalFormatting>
        <x14:conditionalFormatting xmlns:xm="http://schemas.microsoft.com/office/excel/2006/main">
          <x14:cfRule type="dataBar" id="{925A1CD1-8AF1-43C7-92A0-186F82A75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D2:E2</xm:sqref>
        </x14:conditionalFormatting>
        <x14:conditionalFormatting xmlns:xm="http://schemas.microsoft.com/office/excel/2006/main">
          <x14:cfRule type="dataBar" id="{0C4D0190-076D-4FCD-91EF-05F29A798C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Q2:AA2</xm:sqref>
        </x14:conditionalFormatting>
        <x14:conditionalFormatting xmlns:xm="http://schemas.microsoft.com/office/excel/2006/main">
          <x14:cfRule type="dataBar" id="{51DC07A6-DF25-4809-890C-0E0573B67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</xm:sqref>
        </x14:conditionalFormatting>
        <x14:conditionalFormatting xmlns:xm="http://schemas.microsoft.com/office/excel/2006/main">
          <x14:cfRule type="dataBar" id="{B2F36608-0F0A-4EB3-A8F7-A1D21D4E57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F5B9E8E5-8158-4D2C-BAFC-877913D441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A8F147E-D124-47A8-A070-74DCDDE6B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C1CB080C-ACDC-4D7B-8878-297E92F121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</xm:sqref>
        </x14:conditionalFormatting>
        <x14:conditionalFormatting xmlns:xm="http://schemas.microsoft.com/office/excel/2006/main">
          <x14:cfRule type="dataBar" id="{1BA3F07C-7D73-43CA-B5F2-45709DAA7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</xm:sqref>
        </x14:conditionalFormatting>
        <x14:conditionalFormatting xmlns:xm="http://schemas.microsoft.com/office/excel/2006/main">
          <x14:cfRule type="dataBar" id="{D6FBD7ED-B092-4AA9-8108-C261CBBCF0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67F2925-3DB5-4933-BF2A-42A003D374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896586EF-3A81-4D5F-B88D-92ACE6517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7FD1FA39-B951-41DB-B20B-DB3BAE90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2E8245C-F253-4FC4-B474-AF4F7F93C2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577BD4B2-8F99-481C-BB44-6626748F8F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1A4F04BE-36ED-4EA3-BB50-7F7B63F8C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671D1BBC-7C44-4B10-82B3-10CEB8AD1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E483EF39-ECD7-4C45-8BE5-A808D7AC96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</xm:sqref>
        </x14:conditionalFormatting>
        <x14:conditionalFormatting xmlns:xm="http://schemas.microsoft.com/office/excel/2006/main">
          <x14:cfRule type="dataBar" id="{26C3783D-DF95-4160-8D57-0F5CF86D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</xm:sqref>
        </x14:conditionalFormatting>
        <x14:conditionalFormatting xmlns:xm="http://schemas.microsoft.com/office/excel/2006/main">
          <x14:cfRule type="dataBar" id="{8552E6B1-5B1B-4EFD-9FB2-42647DFB7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D2652163-3262-49A5-A1A3-1DB6CBC33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</xm:sqref>
        </x14:conditionalFormatting>
        <x14:conditionalFormatting xmlns:xm="http://schemas.microsoft.com/office/excel/2006/main">
          <x14:cfRule type="dataBar" id="{9BC24E82-8816-4D8E-9287-4617782C98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</xm:sqref>
        </x14:conditionalFormatting>
        <x14:conditionalFormatting xmlns:xm="http://schemas.microsoft.com/office/excel/2006/main">
          <x14:cfRule type="dataBar" id="{5F03CAA1-1168-443E-8B09-06D61AC31E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8C5342D3-D307-4DDF-851A-A58B101F7C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</xm:sqref>
        </x14:conditionalFormatting>
        <x14:conditionalFormatting xmlns:xm="http://schemas.microsoft.com/office/excel/2006/main">
          <x14:cfRule type="dataBar" id="{2639AAD1-B86D-478F-A18E-7BB75875D0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18CEA024-F318-44D8-A525-D417247C8F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85753F13-A97C-44D0-A438-ADCD0773D0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90A6684E-0904-415C-B63E-19F9B8569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815E619D-EF2F-48F9-87FC-798E093192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O3:AB3</xm:sqref>
        </x14:conditionalFormatting>
        <x14:conditionalFormatting xmlns:xm="http://schemas.microsoft.com/office/excel/2006/main">
          <x14:cfRule type="dataBar" id="{FAEA7B25-95D9-4B3E-9FA2-77EB6090C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2096555E-322A-480B-9048-969A809ABC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8CFF14FA-0DB0-40BB-9EAA-B2BF5EAC2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AA3:AB3</xm:sqref>
        </x14:conditionalFormatting>
        <x14:conditionalFormatting xmlns:xm="http://schemas.microsoft.com/office/excel/2006/main">
          <x14:cfRule type="dataBar" id="{4B31E594-3E28-463B-8523-3D746648E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D3:G3</xm:sqref>
        </x14:conditionalFormatting>
        <x14:conditionalFormatting xmlns:xm="http://schemas.microsoft.com/office/excel/2006/main">
          <x14:cfRule type="dataBar" id="{765B1359-938F-4097-ACA7-10765CB53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B65CF4A-A24E-468E-8B68-562687EF39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O3:AA3</xm:sqref>
        </x14:conditionalFormatting>
        <x14:conditionalFormatting xmlns:xm="http://schemas.microsoft.com/office/excel/2006/main">
          <x14:cfRule type="dataBar" id="{102FCD22-3C32-4610-A1B4-A74226DE6C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BCB14CE3-D880-4361-9EA6-DA3EF38CF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2E74B8C6-4F1A-42C6-9DFC-6E59DD0D7E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18467C09-0EF3-489A-AAA1-5D196E5032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C3BE8705-BBD9-44B7-AA35-7DB625C3B8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</xm:sqref>
        </x14:conditionalFormatting>
        <x14:conditionalFormatting xmlns:xm="http://schemas.microsoft.com/office/excel/2006/main">
          <x14:cfRule type="dataBar" id="{19D8C1E2-8657-47C9-A5D4-505D49DCB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</xm:sqref>
        </x14:conditionalFormatting>
        <x14:conditionalFormatting xmlns:xm="http://schemas.microsoft.com/office/excel/2006/main">
          <x14:cfRule type="dataBar" id="{BDE0B892-0663-44A2-818D-22DFB08E39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F46C33AC-B06D-45C5-B541-0F8214DA57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80FFC50-C094-4FC2-96F1-B1133CB35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CC839902-0CF0-4E37-AA7B-FD0899E458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</xm:sqref>
        </x14:conditionalFormatting>
        <x14:conditionalFormatting xmlns:xm="http://schemas.microsoft.com/office/excel/2006/main">
          <x14:cfRule type="dataBar" id="{795C3E0E-88E3-488C-957F-8C1D4ADF31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</xm:sqref>
        </x14:conditionalFormatting>
        <x14:conditionalFormatting xmlns:xm="http://schemas.microsoft.com/office/excel/2006/main">
          <x14:cfRule type="dataBar" id="{33A89102-6F8D-4ABB-BD9E-747BE01613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2F0E6964-CA40-4F88-91A1-265F5AC813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34AAA90E-4D78-42B5-9A8D-EEA6D1F45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9EC2A35-23A3-4CD6-A7F7-FC0681E46C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82174D47-CA57-4A75-BC88-847353CCE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FD01C3FA-E8B2-4A41-88D0-755137ECFF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57C05757-79B7-461F-B9F3-0B97F2C1C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45762D3-9541-4BCD-8C90-47567305C6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9667B38-B128-4BF5-9BE5-B3A94467A6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805A6198-26F5-444D-8D63-0A0C8B488C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BB2B070-0CBE-4950-8EBB-CE971D02F9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85E6C408-7F34-4525-8805-60CC396D3F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</xm:sqref>
        </x14:conditionalFormatting>
        <x14:conditionalFormatting xmlns:xm="http://schemas.microsoft.com/office/excel/2006/main">
          <x14:cfRule type="dataBar" id="{A2062E49-E004-47B0-AA22-2F24BD7044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</xm:sqref>
        </x14:conditionalFormatting>
        <x14:conditionalFormatting xmlns:xm="http://schemas.microsoft.com/office/excel/2006/main">
          <x14:cfRule type="dataBar" id="{CEF1A885-B9DB-4DE4-8572-52C2889369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4B0AB882-229C-4FEF-8CB9-A8C429D38B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</xm:sqref>
        </x14:conditionalFormatting>
        <x14:conditionalFormatting xmlns:xm="http://schemas.microsoft.com/office/excel/2006/main">
          <x14:cfRule type="dataBar" id="{63CCF495-F812-4CB8-8963-589226D241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09F05BA-AA91-4B62-A2AA-3FCE77400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CAE7D9F3-47E1-4FED-A916-E3FEFEA2D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A1B9AFE3-D8BD-41CA-BC1B-7E92F73524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BC71181-0376-4A6B-8BD1-CE316C1C77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O4:AB4</xm:sqref>
        </x14:conditionalFormatting>
        <x14:conditionalFormatting xmlns:xm="http://schemas.microsoft.com/office/excel/2006/main">
          <x14:cfRule type="dataBar" id="{C385180F-FC6B-4573-9FB7-2DB39B6C28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06DB24C4-6C5E-403F-BA4B-631EA39752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41DEBAD2-2118-4148-90FF-841D894C9D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AA4:AB4</xm:sqref>
        </x14:conditionalFormatting>
        <x14:conditionalFormatting xmlns:xm="http://schemas.microsoft.com/office/excel/2006/main">
          <x14:cfRule type="dataBar" id="{646874FB-D5B3-437F-92D9-6D777A1CA2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D4:G4</xm:sqref>
        </x14:conditionalFormatting>
        <x14:conditionalFormatting xmlns:xm="http://schemas.microsoft.com/office/excel/2006/main">
          <x14:cfRule type="dataBar" id="{E85CFB83-8AD4-46A8-B4DD-62A2FAC784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7DE054D6-BC2B-4BD6-AA08-7B933698C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O4:AA4</xm:sqref>
        </x14:conditionalFormatting>
        <x14:conditionalFormatting xmlns:xm="http://schemas.microsoft.com/office/excel/2006/main">
          <x14:cfRule type="dataBar" id="{5937B106-58BB-4D35-89FC-C535A85629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F3116565-7EDE-406F-95C5-22B211CAAA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FE17148E-2FA0-4ABE-85E7-5D82AC716A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B2F67859-75FA-45E4-ACFD-15959CCAF5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</xm:sqref>
        </x14:conditionalFormatting>
        <x14:conditionalFormatting xmlns:xm="http://schemas.microsoft.com/office/excel/2006/main">
          <x14:cfRule type="dataBar" id="{9748FD8F-ABC9-4339-92DD-CF92ACA7CF8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</xm:sqref>
        </x14:conditionalFormatting>
        <x14:conditionalFormatting xmlns:xm="http://schemas.microsoft.com/office/excel/2006/main">
          <x14:cfRule type="dataBar" id="{186E6F63-7485-401E-BFC0-A66D839212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</xm:sqref>
        </x14:conditionalFormatting>
        <x14:conditionalFormatting xmlns:xm="http://schemas.microsoft.com/office/excel/2006/main">
          <x14:cfRule type="dataBar" id="{A06B1537-D885-42FB-ADC1-79A3B951FC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943CB851-02CB-434D-9753-CEC45C72D3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50E7D99-FB3B-4710-854E-CC5C0E531A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741F39F1-C03F-40AA-903E-0F8B318D1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B4FEA7C6-3E84-430E-B5CC-BED6B97901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12F109F-105D-46DA-A7CC-C5D801D98A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73293D2-83C2-47F8-9FDD-950DC65C9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263B551D-4338-43FD-AA2C-44CBD3ACDC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3603D4C0-4FA7-43B3-B84E-6C268C25C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686C41FA-EEB2-4BB3-84C1-1A9C0A32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ACEB5BDC-51E9-4AE6-92C7-93D197E2A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09A1C112-3A28-4C01-B31F-2C4C9BE52D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</xm:sqref>
        </x14:conditionalFormatting>
        <x14:conditionalFormatting xmlns:xm="http://schemas.microsoft.com/office/excel/2006/main">
          <x14:cfRule type="dataBar" id="{05022D5A-B526-4C3B-995A-AEBDE592CC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73095BAE-09CF-45A5-B656-0492A82B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84A7693-9529-42E7-AA1C-A344E49EE1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933CF7E-5EEA-491B-A9B5-E98E4B8F4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6857C886-01B7-45A9-9BC8-AED104C6FA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</xm:sqref>
        </x14:conditionalFormatting>
        <x14:conditionalFormatting xmlns:xm="http://schemas.microsoft.com/office/excel/2006/main">
          <x14:cfRule type="dataBar" id="{893FCACC-000A-4C62-9D16-5D6D41902F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</xm:sqref>
        </x14:conditionalFormatting>
        <x14:conditionalFormatting xmlns:xm="http://schemas.microsoft.com/office/excel/2006/main">
          <x14:cfRule type="dataBar" id="{D173F982-B775-4E92-BF2F-CFEE4C8C3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</xm:sqref>
        </x14:conditionalFormatting>
        <x14:conditionalFormatting xmlns:xm="http://schemas.microsoft.com/office/excel/2006/main">
          <x14:cfRule type="dataBar" id="{45C3FE60-EFC3-4222-9699-1D96426239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</xm:sqref>
        </x14:conditionalFormatting>
        <x14:conditionalFormatting xmlns:xm="http://schemas.microsoft.com/office/excel/2006/main">
          <x14:cfRule type="dataBar" id="{B0A20A31-6E15-433E-A7C4-44010D4989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56931C2E-0AFA-4B43-B966-DBF6BC4DA3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FC062E5E-5749-4367-A8E5-8B57C9C80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31B31431-BBF3-41C0-A440-9581902DB6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FDFC7B6-3E21-4C65-A9EA-21FB66F58B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O5:AB5</xm:sqref>
        </x14:conditionalFormatting>
        <x14:conditionalFormatting xmlns:xm="http://schemas.microsoft.com/office/excel/2006/main">
          <x14:cfRule type="dataBar" id="{BB1064C1-E98E-4B3E-AEFC-376AA13D8F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2C1D4F17-822B-4E67-BCBE-1CA30CF310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94B49FF0-FE87-4791-8B9D-1B8699E9F2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AA5:AB5</xm:sqref>
        </x14:conditionalFormatting>
        <x14:conditionalFormatting xmlns:xm="http://schemas.microsoft.com/office/excel/2006/main">
          <x14:cfRule type="dataBar" id="{2FC36FA5-19F3-4A8A-90D9-AB8FD84C0A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D5:G5</xm:sqref>
        </x14:conditionalFormatting>
        <x14:conditionalFormatting xmlns:xm="http://schemas.microsoft.com/office/excel/2006/main">
          <x14:cfRule type="dataBar" id="{5F353EFD-B771-4540-9D75-C0274C0F4E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169BA345-3B0E-4A77-AFF9-85ECCA836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O5:AA5</xm:sqref>
        </x14:conditionalFormatting>
        <x14:conditionalFormatting xmlns:xm="http://schemas.microsoft.com/office/excel/2006/main">
          <x14:cfRule type="dataBar" id="{811C131D-5A5D-46C9-9CA6-62EDB5BE9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FE3FEC-89D4-456B-871F-1F60CFBC63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C0F3ACED-4045-40B0-91DB-0A2760CB20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066B7979-9A84-4363-87B3-73BA8EAD62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</xm:sqref>
        </x14:conditionalFormatting>
        <x14:conditionalFormatting xmlns:xm="http://schemas.microsoft.com/office/excel/2006/main">
          <x14:cfRule type="dataBar" id="{E429ADE7-7E30-4519-99B0-C3C1E6EC18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</xm:sqref>
        </x14:conditionalFormatting>
        <x14:conditionalFormatting xmlns:xm="http://schemas.microsoft.com/office/excel/2006/main">
          <x14:cfRule type="dataBar" id="{ED52114B-494D-4820-909B-9E01F15B41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</xm:sqref>
        </x14:conditionalFormatting>
        <x14:conditionalFormatting xmlns:xm="http://schemas.microsoft.com/office/excel/2006/main">
          <x14:cfRule type="dataBar" id="{27BCB964-2EE1-4D5D-B5B4-3B294A905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0F07682A-489A-4DD5-A116-75AF3461C5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9BA80920-1BF4-4D90-A86D-983BD8CA3C2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E8</xm:sqref>
        </x14:conditionalFormatting>
        <x14:conditionalFormatting xmlns:xm="http://schemas.microsoft.com/office/excel/2006/main">
          <x14:cfRule type="dataBar" id="{BDD13D41-7CF4-4EAA-910B-B3AF0EB83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</xm:sqref>
        </x14:conditionalFormatting>
        <x14:conditionalFormatting xmlns:xm="http://schemas.microsoft.com/office/excel/2006/main">
          <x14:cfRule type="dataBar" id="{ABE6B963-6618-4D9A-8465-9C1758125BA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R8</xm:sqref>
        </x14:conditionalFormatting>
        <x14:conditionalFormatting xmlns:xm="http://schemas.microsoft.com/office/excel/2006/main">
          <x14:cfRule type="dataBar" id="{8F4EA996-4A96-4949-87FC-D614CE310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S8</xm:sqref>
        </x14:conditionalFormatting>
        <x14:conditionalFormatting xmlns:xm="http://schemas.microsoft.com/office/excel/2006/main">
          <x14:cfRule type="dataBar" id="{338831B5-21DA-41E0-B1C2-9E86386C3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T8</xm:sqref>
        </x14:conditionalFormatting>
        <x14:conditionalFormatting xmlns:xm="http://schemas.microsoft.com/office/excel/2006/main">
          <x14:cfRule type="dataBar" id="{0A09E258-5178-4D8F-9F4E-372CDACC4A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U8</xm:sqref>
        </x14:conditionalFormatting>
        <x14:conditionalFormatting xmlns:xm="http://schemas.microsoft.com/office/excel/2006/main">
          <x14:cfRule type="dataBar" id="{5E9FF6D0-F3D1-4B5C-B294-C994D1C53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F0EB657-E4BA-438A-A259-13D890A37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06AE2899-F3DD-463F-83F9-FFC3F0A29A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</xm:sqref>
        </x14:conditionalFormatting>
        <x14:conditionalFormatting xmlns:xm="http://schemas.microsoft.com/office/excel/2006/main">
          <x14:cfRule type="dataBar" id="{8DEDBF62-2764-4682-BBD2-FF548B468B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Y8</xm:sqref>
        </x14:conditionalFormatting>
        <x14:conditionalFormatting xmlns:xm="http://schemas.microsoft.com/office/excel/2006/main">
          <x14:cfRule type="dataBar" id="{58B4814B-45F9-45AB-B8A9-F3EB30CFFB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</xm:sqref>
        </x14:conditionalFormatting>
        <x14:conditionalFormatting xmlns:xm="http://schemas.microsoft.com/office/excel/2006/main">
          <x14:cfRule type="dataBar" id="{55D151BA-DA2B-4594-9E03-CD3F8ECAC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D833F55F-8177-40E6-842E-B3C5835887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166C437-D6FF-45DB-8B8B-FE9F91FE0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F4165190-1B89-4958-8003-2327DB45D2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Q8:AB8</xm:sqref>
        </x14:conditionalFormatting>
        <x14:conditionalFormatting xmlns:xm="http://schemas.microsoft.com/office/excel/2006/main">
          <x14:cfRule type="dataBar" id="{282EB88C-CBB2-465D-B163-EBEABE3E78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AA8:AB8</xm:sqref>
        </x14:conditionalFormatting>
        <x14:conditionalFormatting xmlns:xm="http://schemas.microsoft.com/office/excel/2006/main">
          <x14:cfRule type="dataBar" id="{74682F76-9DEF-46A8-89CB-D4F1051AF6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D8:E8</xm:sqref>
        </x14:conditionalFormatting>
        <x14:conditionalFormatting xmlns:xm="http://schemas.microsoft.com/office/excel/2006/main">
          <x14:cfRule type="dataBar" id="{CA72B00D-4999-4918-9EF6-01AD10249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Q8:AA8</xm:sqref>
        </x14:conditionalFormatting>
        <x14:conditionalFormatting xmlns:xm="http://schemas.microsoft.com/office/excel/2006/main">
          <x14:cfRule type="dataBar" id="{5FACA732-033C-425E-9239-76A838D613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AA8</xm:sqref>
        </x14:conditionalFormatting>
        <x14:conditionalFormatting xmlns:xm="http://schemas.microsoft.com/office/excel/2006/main">
          <x14:cfRule type="dataBar" id="{B3730FB3-6FE0-4CF1-A5F0-53273DA32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4970BE9D-CCAF-4F32-88FE-33BF4A410E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C62CD078-96AC-4C38-AC47-D53DB6F44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520C51F-1911-4BFC-8F71-4B4DC1730F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2DAE52D-CE40-424D-BFE5-1F275A68B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15BCD5F2-3CA4-4BC8-8586-F32ADF121B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9EA2CD58-E9DD-411E-9159-AEE0284FE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B636EAC7-12D5-4588-878D-5D171C1432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7305C7B7-85CF-4566-960D-61890E1CDA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611DD6F3-62A6-4889-B417-563F50D117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DCF18977-5EB1-4D3E-9C32-DAF42C3C8A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F26F173C-CBEF-40E2-9FBC-7DCFB6185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E5E50AC2-9EE1-4079-9BED-187077449A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O9:AB9</xm:sqref>
        </x14:conditionalFormatting>
        <x14:conditionalFormatting xmlns:xm="http://schemas.microsoft.com/office/excel/2006/main">
          <x14:cfRule type="dataBar" id="{F9039DE0-07B9-461E-9772-DFE48D8769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A8813CBE-3A76-4843-85DD-8E6DCB1A0D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79FFF13-711B-4D0C-986A-9BAE670503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AA9:AB9</xm:sqref>
        </x14:conditionalFormatting>
        <x14:conditionalFormatting xmlns:xm="http://schemas.microsoft.com/office/excel/2006/main">
          <x14:cfRule type="dataBar" id="{C2EF04A4-3D21-492D-9611-04C9DD5E31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D9:G9</xm:sqref>
        </x14:conditionalFormatting>
        <x14:conditionalFormatting xmlns:xm="http://schemas.microsoft.com/office/excel/2006/main">
          <x14:cfRule type="dataBar" id="{05EDEB34-9E16-4587-9A8E-2089B3D4C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9B18B65-4361-4C29-9100-989E76B7DB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O9:AA9</xm:sqref>
        </x14:conditionalFormatting>
        <x14:conditionalFormatting xmlns:xm="http://schemas.microsoft.com/office/excel/2006/main">
          <x14:cfRule type="dataBar" id="{C4710D95-A7F8-4083-B8BB-536ED27474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A5AA762B-1891-49A8-A80A-7C03B3EBB4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B348A64-BCFD-4592-BC23-D60783A461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0F6C50A7-27B1-47BB-BE2B-6B3047A11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FE1F18EB-BD38-4F37-B21C-2419A9FF6D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P9</xm:sqref>
        </x14:conditionalFormatting>
        <x14:conditionalFormatting xmlns:xm="http://schemas.microsoft.com/office/excel/2006/main">
          <x14:cfRule type="dataBar" id="{11AAEE78-DC35-4979-8A86-69738F09FD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48850481-504A-45DD-ADC7-A10E385F83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A374E640-1FAF-4DAD-84C9-1C3F820673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Q9</xm:sqref>
        </x14:conditionalFormatting>
        <x14:conditionalFormatting xmlns:xm="http://schemas.microsoft.com/office/excel/2006/main">
          <x14:cfRule type="dataBar" id="{9DA587CE-64D4-4CFC-9623-58F9C3D51A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R9</xm:sqref>
        </x14:conditionalFormatting>
        <x14:conditionalFormatting xmlns:xm="http://schemas.microsoft.com/office/excel/2006/main">
          <x14:cfRule type="dataBar" id="{95C6B83D-6332-4E44-9756-C9452C3B83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S9</xm:sqref>
        </x14:conditionalFormatting>
        <x14:conditionalFormatting xmlns:xm="http://schemas.microsoft.com/office/excel/2006/main">
          <x14:cfRule type="dataBar" id="{C49A967A-E684-43B1-8C39-F0C3AF72F4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T9</xm:sqref>
        </x14:conditionalFormatting>
        <x14:conditionalFormatting xmlns:xm="http://schemas.microsoft.com/office/excel/2006/main">
          <x14:cfRule type="dataBar" id="{17C19C06-3737-4DE3-8C1D-788D6C4BC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U9</xm:sqref>
        </x14:conditionalFormatting>
        <x14:conditionalFormatting xmlns:xm="http://schemas.microsoft.com/office/excel/2006/main">
          <x14:cfRule type="dataBar" id="{BC990337-2718-4E37-972A-81648EC204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509A21EE-D507-4065-A280-81D34C4E4B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W9</xm:sqref>
        </x14:conditionalFormatting>
        <x14:conditionalFormatting xmlns:xm="http://schemas.microsoft.com/office/excel/2006/main">
          <x14:cfRule type="dataBar" id="{58FB06C1-F59B-46D6-8EC9-43C8778E9C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X9</xm:sqref>
        </x14:conditionalFormatting>
        <x14:conditionalFormatting xmlns:xm="http://schemas.microsoft.com/office/excel/2006/main">
          <x14:cfRule type="dataBar" id="{7E8C6065-F84B-4523-BD54-07E794F3D5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Y9</xm:sqref>
        </x14:conditionalFormatting>
        <x14:conditionalFormatting xmlns:xm="http://schemas.microsoft.com/office/excel/2006/main">
          <x14:cfRule type="dataBar" id="{95B7F448-F2D2-4FDC-BF37-33306EC5C8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Z9</xm:sqref>
        </x14:conditionalFormatting>
        <x14:conditionalFormatting xmlns:xm="http://schemas.microsoft.com/office/excel/2006/main">
          <x14:cfRule type="dataBar" id="{A78CBF28-4ECD-47FA-81E2-CBB157EF16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  <x14:conditionalFormatting xmlns:xm="http://schemas.microsoft.com/office/excel/2006/main">
          <x14:cfRule type="dataBar" id="{25509BA3-4334-49A3-B29E-C45146CB5B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610B6A33-BA45-4EF5-9ED5-B0A0D524E9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Q10:AB10</xm:sqref>
        </x14:conditionalFormatting>
        <x14:conditionalFormatting xmlns:xm="http://schemas.microsoft.com/office/excel/2006/main">
          <x14:cfRule type="dataBar" id="{591D2C42-1705-497B-B64F-226762C3FB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AA10:AB10</xm:sqref>
        </x14:conditionalFormatting>
        <x14:conditionalFormatting xmlns:xm="http://schemas.microsoft.com/office/excel/2006/main">
          <x14:cfRule type="dataBar" id="{416BE0B6-DDD0-481D-9813-106C0697C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F1CA788D-ACEB-411B-8140-03330AE6B8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64468754-B7B8-4FDF-B920-2038652416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956B382-515D-4ACE-BF5E-0D2AC4895E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D10:E10</xm:sqref>
        </x14:conditionalFormatting>
        <x14:conditionalFormatting xmlns:xm="http://schemas.microsoft.com/office/excel/2006/main">
          <x14:cfRule type="dataBar" id="{5D59C3E1-9B03-4AD1-A0CC-F91443538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Q10:AA10</xm:sqref>
        </x14:conditionalFormatting>
        <x14:conditionalFormatting xmlns:xm="http://schemas.microsoft.com/office/excel/2006/main">
          <x14:cfRule type="dataBar" id="{50087712-B213-4BC5-B2CD-A1C9992471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0895B330-B279-40A5-9FFC-0EA97853A2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ADB468EA-16A1-49CB-A979-DE164495A3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Q10</xm:sqref>
        </x14:conditionalFormatting>
        <x14:conditionalFormatting xmlns:xm="http://schemas.microsoft.com/office/excel/2006/main">
          <x14:cfRule type="dataBar" id="{A2E88C61-5AD2-4382-A7DC-CF3ADC7D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R10</xm:sqref>
        </x14:conditionalFormatting>
        <x14:conditionalFormatting xmlns:xm="http://schemas.microsoft.com/office/excel/2006/main">
          <x14:cfRule type="dataBar" id="{246B64AA-0D29-42E7-A5CE-186647A2EC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S10</xm:sqref>
        </x14:conditionalFormatting>
        <x14:conditionalFormatting xmlns:xm="http://schemas.microsoft.com/office/excel/2006/main">
          <x14:cfRule type="dataBar" id="{3FD00092-4CFE-4BB7-8F91-6EFDB8DC7C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F112D73-322E-481E-92A6-F7EA62370E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33D8BC92-C0A2-4513-8D60-F682EEA70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40D99EC5-F05F-4F90-98D0-49895DD5E6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W10</xm:sqref>
        </x14:conditionalFormatting>
        <x14:conditionalFormatting xmlns:xm="http://schemas.microsoft.com/office/excel/2006/main">
          <x14:cfRule type="dataBar" id="{0D769AD7-3B0E-4A56-81B2-CD7E50DBAD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X10</xm:sqref>
        </x14:conditionalFormatting>
        <x14:conditionalFormatting xmlns:xm="http://schemas.microsoft.com/office/excel/2006/main">
          <x14:cfRule type="dataBar" id="{36AF5AA1-D0A7-41E8-847E-471AD9FAA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Y10</xm:sqref>
        </x14:conditionalFormatting>
        <x14:conditionalFormatting xmlns:xm="http://schemas.microsoft.com/office/excel/2006/main">
          <x14:cfRule type="dataBar" id="{63B6F80A-FB13-4E28-9164-05B1568266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Z10</xm:sqref>
        </x14:conditionalFormatting>
        <x14:conditionalFormatting xmlns:xm="http://schemas.microsoft.com/office/excel/2006/main">
          <x14:cfRule type="dataBar" id="{110F84D7-CD74-488B-A42E-7BC61EF875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AA10</xm:sqref>
        </x14:conditionalFormatting>
        <x14:conditionalFormatting xmlns:xm="http://schemas.microsoft.com/office/excel/2006/main">
          <x14:cfRule type="dataBar" id="{9D34ED3A-E6CB-4CD2-BC7A-EB73A4642C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DFC3F296-AE1D-4F94-A528-F2E6F3DF4F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Q11:AB11</xm:sqref>
        </x14:conditionalFormatting>
        <x14:conditionalFormatting xmlns:xm="http://schemas.microsoft.com/office/excel/2006/main">
          <x14:cfRule type="dataBar" id="{4539BA78-511A-437B-872F-11058963F5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3740FD6D-F221-4673-8C6E-B8A3A73DC3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7A6EFDA1-D620-479F-B690-06C4CCE828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BDA98D3-A28F-4349-8308-241D880A53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535B690D-F24B-460A-B492-B454619817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D11:E11</xm:sqref>
        </x14:conditionalFormatting>
        <x14:conditionalFormatting xmlns:xm="http://schemas.microsoft.com/office/excel/2006/main">
          <x14:cfRule type="dataBar" id="{EDEF349C-20A6-4769-A325-C233E4D701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Q11:AA11</xm:sqref>
        </x14:conditionalFormatting>
        <x14:conditionalFormatting xmlns:xm="http://schemas.microsoft.com/office/excel/2006/main">
          <x14:cfRule type="dataBar" id="{3C740BA9-1B86-4481-BCB1-78682802B7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D11</xm:sqref>
        </x14:conditionalFormatting>
        <x14:conditionalFormatting xmlns:xm="http://schemas.microsoft.com/office/excel/2006/main">
          <x14:cfRule type="dataBar" id="{4DBDFBA2-0926-42C8-9EF6-37DF3D874C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11F54433-1BCB-481D-BFF4-C8E7D34BE7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Q11</xm:sqref>
        </x14:conditionalFormatting>
        <x14:conditionalFormatting xmlns:xm="http://schemas.microsoft.com/office/excel/2006/main">
          <x14:cfRule type="dataBar" id="{F6653CD7-285C-43B1-ADFA-5D155E122E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R11</xm:sqref>
        </x14:conditionalFormatting>
        <x14:conditionalFormatting xmlns:xm="http://schemas.microsoft.com/office/excel/2006/main">
          <x14:cfRule type="dataBar" id="{2196D122-E2A8-451B-9767-F83537DF42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</xm:sqref>
        </x14:conditionalFormatting>
        <x14:conditionalFormatting xmlns:xm="http://schemas.microsoft.com/office/excel/2006/main">
          <x14:cfRule type="dataBar" id="{864D12F1-A687-44E1-8790-C109D5A6CA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3D4DA58-4352-404F-85A9-E28DF8323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18AF1BF2-111D-4738-AAF8-AB99031660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V11</xm:sqref>
        </x14:conditionalFormatting>
        <x14:conditionalFormatting xmlns:xm="http://schemas.microsoft.com/office/excel/2006/main">
          <x14:cfRule type="dataBar" id="{12057B93-C65A-45E6-8FD5-9403A28E77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W11</xm:sqref>
        </x14:conditionalFormatting>
        <x14:conditionalFormatting xmlns:xm="http://schemas.microsoft.com/office/excel/2006/main">
          <x14:cfRule type="dataBar" id="{48559B1D-E476-4F2E-8857-DAEDCECE17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4C797900-541B-4226-8EA8-2F495C78DE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Y11</xm:sqref>
        </x14:conditionalFormatting>
        <x14:conditionalFormatting xmlns:xm="http://schemas.microsoft.com/office/excel/2006/main">
          <x14:cfRule type="dataBar" id="{A2C50872-65BC-46E1-AC51-7555CC0A7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Z11</xm:sqref>
        </x14:conditionalFormatting>
        <x14:conditionalFormatting xmlns:xm="http://schemas.microsoft.com/office/excel/2006/main">
          <x14:cfRule type="dataBar" id="{63C0E9BA-66CF-4BCD-8BD3-4169227084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AA11</xm:sqref>
        </x14:conditionalFormatting>
        <x14:conditionalFormatting xmlns:xm="http://schemas.microsoft.com/office/excel/2006/main">
          <x14:cfRule type="dataBar" id="{DCF3C248-0722-433B-BF0F-EA4B618B2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130C0C02-83A7-4CED-9BDF-00B25CF3A6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Q13:AB13</xm:sqref>
        </x14:conditionalFormatting>
        <x14:conditionalFormatting xmlns:xm="http://schemas.microsoft.com/office/excel/2006/main">
          <x14:cfRule type="dataBar" id="{68510B6B-D4A1-46BE-86C5-4CA08F0807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AA13:AB13</xm:sqref>
        </x14:conditionalFormatting>
        <x14:conditionalFormatting xmlns:xm="http://schemas.microsoft.com/office/excel/2006/main">
          <x14:cfRule type="dataBar" id="{693DDAF6-2AD7-4127-B059-C521260934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DD8F8ACA-78B0-40AD-A8E9-EA21F8A81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3A1346AA-0758-4CA1-8CDE-EFFF1322F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FCEAF70A-5788-48B2-B014-B20F5B646B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D13:E13</xm:sqref>
        </x14:conditionalFormatting>
        <x14:conditionalFormatting xmlns:xm="http://schemas.microsoft.com/office/excel/2006/main">
          <x14:cfRule type="dataBar" id="{AEC24BE9-8BDC-4C6A-92FB-6173D5B54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Q13:AA13</xm:sqref>
        </x14:conditionalFormatting>
        <x14:conditionalFormatting xmlns:xm="http://schemas.microsoft.com/office/excel/2006/main">
          <x14:cfRule type="dataBar" id="{24B24232-D542-4702-B287-8CA6E4009C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DF417CB8-E9BD-4113-B2E5-3B5E80D682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</xm:sqref>
        </x14:conditionalFormatting>
        <x14:conditionalFormatting xmlns:xm="http://schemas.microsoft.com/office/excel/2006/main">
          <x14:cfRule type="dataBar" id="{85F2E075-2A26-4C1E-97B2-BD7157ECAE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Q13</xm:sqref>
        </x14:conditionalFormatting>
        <x14:conditionalFormatting xmlns:xm="http://schemas.microsoft.com/office/excel/2006/main">
          <x14:cfRule type="dataBar" id="{DC560417-69EF-424D-B3E8-6B4FD9B023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104D6D7-7A02-4435-9933-C668E2C963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S13</xm:sqref>
        </x14:conditionalFormatting>
        <x14:conditionalFormatting xmlns:xm="http://schemas.microsoft.com/office/excel/2006/main">
          <x14:cfRule type="dataBar" id="{29EB8678-EE6A-462D-9999-91FD9827D0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T13</xm:sqref>
        </x14:conditionalFormatting>
        <x14:conditionalFormatting xmlns:xm="http://schemas.microsoft.com/office/excel/2006/main">
          <x14:cfRule type="dataBar" id="{C0FD6285-2EC0-45D7-90AC-27D9AEFC73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U13</xm:sqref>
        </x14:conditionalFormatting>
        <x14:conditionalFormatting xmlns:xm="http://schemas.microsoft.com/office/excel/2006/main">
          <x14:cfRule type="dataBar" id="{4354AC7E-735A-406C-84D8-97AAF7B4C4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V13</xm:sqref>
        </x14:conditionalFormatting>
        <x14:conditionalFormatting xmlns:xm="http://schemas.microsoft.com/office/excel/2006/main">
          <x14:cfRule type="dataBar" id="{775BB4E1-B3B6-4ACE-8A64-A6839EC5AD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W13</xm:sqref>
        </x14:conditionalFormatting>
        <x14:conditionalFormatting xmlns:xm="http://schemas.microsoft.com/office/excel/2006/main">
          <x14:cfRule type="dataBar" id="{0EE08D90-E7AD-40B9-966B-F0B08B1506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BE2CFCF3-A1B4-4DB3-B8A7-07EE10387C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Y13</xm:sqref>
        </x14:conditionalFormatting>
        <x14:conditionalFormatting xmlns:xm="http://schemas.microsoft.com/office/excel/2006/main">
          <x14:cfRule type="dataBar" id="{14FF5759-8AF4-44BA-94B0-4C0C1A69F9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Z13</xm:sqref>
        </x14:conditionalFormatting>
        <x14:conditionalFormatting xmlns:xm="http://schemas.microsoft.com/office/excel/2006/main">
          <x14:cfRule type="dataBar" id="{0FF12043-2219-4C42-9D77-7C6C9FCE81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AA13</xm:sqref>
        </x14:conditionalFormatting>
        <x14:conditionalFormatting xmlns:xm="http://schemas.microsoft.com/office/excel/2006/main">
          <x14:cfRule type="dataBar" id="{2083CA3B-1FA7-49C8-AB58-93F3B8808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F994C298-2140-415F-9689-ED9F70204F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2DDF4E50-4FE1-4D88-B69C-029D2B5271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O12:AB12</xm:sqref>
        </x14:conditionalFormatting>
        <x14:conditionalFormatting xmlns:xm="http://schemas.microsoft.com/office/excel/2006/main">
          <x14:cfRule type="dataBar" id="{13B9F320-25A7-4C3E-B136-41D3635F4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AA12:AB12</xm:sqref>
        </x14:conditionalFormatting>
        <x14:conditionalFormatting xmlns:xm="http://schemas.microsoft.com/office/excel/2006/main">
          <x14:cfRule type="dataBar" id="{3BF41F15-ABCF-48B8-BAF1-36F658471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8F83C258-66C7-4546-9A2F-2BBD25E5D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3BEF16BD-436B-423C-9FCC-12A29720B1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0B13AC31-E2DB-4EE0-9E99-FEACE25C3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32CE988F-156D-4305-8EF6-CEC1C55C2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80754895-92E1-4BD2-B12E-E974B98492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7393AFE1-4701-4DB8-B0DF-1D7621BE1A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E887B879-212A-403C-8B90-7EE51AF42F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F0C217F0-7799-47FC-948E-56B24871B8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C47BA05E-4C92-4B59-A962-F5737E8667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CC523EAC-096D-413A-A141-5F387E7670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3E3BE183-6048-499A-BBB0-43F789FA21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5F277D65-3182-46C6-A39B-358384749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D12:G12</xm:sqref>
        </x14:conditionalFormatting>
        <x14:conditionalFormatting xmlns:xm="http://schemas.microsoft.com/office/excel/2006/main">
          <x14:cfRule type="dataBar" id="{DDC2D0AB-5B36-4BB7-B043-8ECCC97AC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EB1A230E-1F56-4D14-B6D6-5AB8BB957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O12:AA12</xm:sqref>
        </x14:conditionalFormatting>
        <x14:conditionalFormatting xmlns:xm="http://schemas.microsoft.com/office/excel/2006/main">
          <x14:cfRule type="dataBar" id="{85593A6B-CF6A-4C61-9D86-12F230B06D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</xm:sqref>
        </x14:conditionalFormatting>
        <x14:conditionalFormatting xmlns:xm="http://schemas.microsoft.com/office/excel/2006/main">
          <x14:cfRule type="dataBar" id="{42BA4E76-E7A2-4679-8025-744FDE586B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DD68CF4B-004A-4BB3-8893-9B3BC8C444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4389CCA-B3DD-421C-A9F6-9D61D89E9A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O12</xm:sqref>
        </x14:conditionalFormatting>
        <x14:conditionalFormatting xmlns:xm="http://schemas.microsoft.com/office/excel/2006/main">
          <x14:cfRule type="dataBar" id="{5FBB6E0D-52C8-4125-AEA8-E639F0087E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P12</xm:sqref>
        </x14:conditionalFormatting>
        <x14:conditionalFormatting xmlns:xm="http://schemas.microsoft.com/office/excel/2006/main">
          <x14:cfRule type="dataBar" id="{0810F306-C173-46D2-A7E9-8D07636D22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D61377E-CD56-4B12-B154-CEA419C9EC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103CFC89-7201-4F37-A6EB-9D50167C4A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Q12</xm:sqref>
        </x14:conditionalFormatting>
        <x14:conditionalFormatting xmlns:xm="http://schemas.microsoft.com/office/excel/2006/main">
          <x14:cfRule type="dataBar" id="{E0177A4C-1A82-438E-81F5-75FDC0C1C9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R12</xm:sqref>
        </x14:conditionalFormatting>
        <x14:conditionalFormatting xmlns:xm="http://schemas.microsoft.com/office/excel/2006/main">
          <x14:cfRule type="dataBar" id="{C6855CCF-DF20-4D77-8855-573EF7D6E0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S12</xm:sqref>
        </x14:conditionalFormatting>
        <x14:conditionalFormatting xmlns:xm="http://schemas.microsoft.com/office/excel/2006/main">
          <x14:cfRule type="dataBar" id="{FCAA38B8-A227-4FBB-8EBC-B6980080D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T12</xm:sqref>
        </x14:conditionalFormatting>
        <x14:conditionalFormatting xmlns:xm="http://schemas.microsoft.com/office/excel/2006/main">
          <x14:cfRule type="dataBar" id="{B1BCB5CD-F897-47BC-BF71-8CDCD9419B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U12</xm:sqref>
        </x14:conditionalFormatting>
        <x14:conditionalFormatting xmlns:xm="http://schemas.microsoft.com/office/excel/2006/main">
          <x14:cfRule type="dataBar" id="{313C5324-2FFA-4E3B-9D98-AAF5C201D2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V12</xm:sqref>
        </x14:conditionalFormatting>
        <x14:conditionalFormatting xmlns:xm="http://schemas.microsoft.com/office/excel/2006/main">
          <x14:cfRule type="dataBar" id="{4BC09FBD-20AD-430C-9920-6EE3C5F69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W12</xm:sqref>
        </x14:conditionalFormatting>
        <x14:conditionalFormatting xmlns:xm="http://schemas.microsoft.com/office/excel/2006/main">
          <x14:cfRule type="dataBar" id="{FAB87A53-38BF-4F19-BE93-8A2AFFF348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4043B9AA-922E-47FA-94AD-43771FD1E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Y12</xm:sqref>
        </x14:conditionalFormatting>
        <x14:conditionalFormatting xmlns:xm="http://schemas.microsoft.com/office/excel/2006/main">
          <x14:cfRule type="dataBar" id="{D6ED4871-E54C-4D22-B102-9BB9667DA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Z12</xm:sqref>
        </x14:conditionalFormatting>
        <x14:conditionalFormatting xmlns:xm="http://schemas.microsoft.com/office/excel/2006/main">
          <x14:cfRule type="dataBar" id="{0450D20C-8BED-4989-BAF9-C73E70DDA6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AA12</xm:sqref>
        </x14:conditionalFormatting>
        <x14:conditionalFormatting xmlns:xm="http://schemas.microsoft.com/office/excel/2006/main">
          <x14:cfRule type="dataBar" id="{7FC68E5C-50DE-49F7-80E1-B05136AA6E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532CC341-45C1-4550-81B9-C1EC9C1B72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O14:AB14</xm:sqref>
        </x14:conditionalFormatting>
        <x14:conditionalFormatting xmlns:xm="http://schemas.microsoft.com/office/excel/2006/main">
          <x14:cfRule type="dataBar" id="{20F19980-1482-4A12-AA8E-CFBBDA12F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AA14:AB14</xm:sqref>
        </x14:conditionalFormatting>
        <x14:conditionalFormatting xmlns:xm="http://schemas.microsoft.com/office/excel/2006/main">
          <x14:cfRule type="dataBar" id="{C4237647-0033-44DF-816D-13B28F0AC0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58BE101B-5970-4675-B6BF-91B2C5FE34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234E2B7B-B7CB-4C21-BEA8-AD8EE8CA5D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B6260EF-B591-4016-9A19-69053E2150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BF3A7A0D-5E40-4BB8-A91A-E4719CDA4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00486BAB-7BE3-4F96-A184-D0423A84A7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A5663CE-7814-45D7-9042-C1FE7AC68F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EEFE186A-D682-4A76-AF8B-682C878F1E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0A755D8F-FB1A-4274-823E-9ABEDEEC5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9CAE945F-2E91-4D67-B687-6B135C2DA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F36F6F6E-6430-4E9B-800D-42829DCB45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9F01BA6C-2C38-4494-B0EE-D2DA25716A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4C62F99A-E1A6-4625-9458-2A0278BF89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B8D435F1-8BF1-4ED8-AB47-1773C9F796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D14:G14</xm:sqref>
        </x14:conditionalFormatting>
        <x14:conditionalFormatting xmlns:xm="http://schemas.microsoft.com/office/excel/2006/main">
          <x14:cfRule type="dataBar" id="{EDA3B025-8BA2-4735-84AE-45D0EF43C6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B6405C4C-8DF6-49E9-A4C5-0E1EF86CA6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O14:AA14</xm:sqref>
        </x14:conditionalFormatting>
        <x14:conditionalFormatting xmlns:xm="http://schemas.microsoft.com/office/excel/2006/main">
          <x14:cfRule type="dataBar" id="{8DB8059B-B47E-461E-831B-8DCF6A313D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I14</xm:sqref>
        </x14:conditionalFormatting>
        <x14:conditionalFormatting xmlns:xm="http://schemas.microsoft.com/office/excel/2006/main">
          <x14:cfRule type="dataBar" id="{69DBB2FF-776B-4A9C-B988-EA08CCBE1B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7FBFF7BA-CCE2-4C07-85D7-BA5296F87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DC673A3B-C8F4-49FA-960C-DF18BB7888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O14</xm:sqref>
        </x14:conditionalFormatting>
        <x14:conditionalFormatting xmlns:xm="http://schemas.microsoft.com/office/excel/2006/main">
          <x14:cfRule type="dataBar" id="{3E99D102-B9D1-433A-B6E7-A11D92C953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P14</xm:sqref>
        </x14:conditionalFormatting>
        <x14:conditionalFormatting xmlns:xm="http://schemas.microsoft.com/office/excel/2006/main">
          <x14:cfRule type="dataBar" id="{D18DC21A-27F7-41F2-9CEC-7635B12D46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  <x14:conditionalFormatting xmlns:xm="http://schemas.microsoft.com/office/excel/2006/main">
          <x14:cfRule type="dataBar" id="{09F970B7-3990-42A8-B581-9F807C938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E14</xm:sqref>
        </x14:conditionalFormatting>
        <x14:conditionalFormatting xmlns:xm="http://schemas.microsoft.com/office/excel/2006/main">
          <x14:cfRule type="dataBar" id="{F2D5F57D-5F82-4D8F-9774-861334D160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Q14</xm:sqref>
        </x14:conditionalFormatting>
        <x14:conditionalFormatting xmlns:xm="http://schemas.microsoft.com/office/excel/2006/main">
          <x14:cfRule type="dataBar" id="{4DEB3F36-3A3D-4D30-9D72-F5B41BEF0A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R14</xm:sqref>
        </x14:conditionalFormatting>
        <x14:conditionalFormatting xmlns:xm="http://schemas.microsoft.com/office/excel/2006/main">
          <x14:cfRule type="dataBar" id="{245C76D9-702C-4BCA-BAC9-2ECF6AD5C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F6189F5E-D9A1-4B8E-8D27-8B4080FCF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871898DE-5419-4530-B5B8-CBDAF076C3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U14</xm:sqref>
        </x14:conditionalFormatting>
        <x14:conditionalFormatting xmlns:xm="http://schemas.microsoft.com/office/excel/2006/main">
          <x14:cfRule type="dataBar" id="{50DA5684-EC41-4931-9E02-43E9BC95B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V14</xm:sqref>
        </x14:conditionalFormatting>
        <x14:conditionalFormatting xmlns:xm="http://schemas.microsoft.com/office/excel/2006/main">
          <x14:cfRule type="dataBar" id="{31D3DF65-A0D2-45A5-937B-9FE2972457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ADBBB8E3-D29D-49EE-8F2E-02181D448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0E197128-CFD6-45B1-A848-52E6803B5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318D823D-880B-4C38-8792-6529B4EF4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D413701D-75E5-4369-B24A-E00D38C5DD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AA14</xm:sqref>
        </x14:conditionalFormatting>
        <x14:conditionalFormatting xmlns:xm="http://schemas.microsoft.com/office/excel/2006/main">
          <x14:cfRule type="dataBar" id="{252F1777-DBFC-47F2-ACEB-6DB14693C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F50E1F5-C5B1-4828-9699-9EB1738B98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O15:AB15</xm:sqref>
        </x14:conditionalFormatting>
        <x14:conditionalFormatting xmlns:xm="http://schemas.microsoft.com/office/excel/2006/main">
          <x14:cfRule type="dataBar" id="{5E06B57A-2861-4D44-9844-D3FD2093C8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AA15:AB15</xm:sqref>
        </x14:conditionalFormatting>
        <x14:conditionalFormatting xmlns:xm="http://schemas.microsoft.com/office/excel/2006/main">
          <x14:cfRule type="dataBar" id="{88DE6740-08BA-4CD0-9D5E-89EFB09815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D233BB4-7A71-4BC7-9EE6-01960D3C53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081D43-9F56-4469-9426-2425F1616F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E7EE87F0-A42B-44FD-B88F-2496EF496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E82D4DED-C37B-48AD-932B-7F2162D90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48B31EB8-F686-47AF-B5C5-DF6EA520D9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3B2B0B44-245E-4D96-83A7-EEAD0B721E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3089D13-0F80-4BAD-9D43-56D09DB83B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257786FA-D4D4-420C-8410-2C3BB867F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C6DDD0F-22B1-4450-B819-5AD3F04BD3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066497AA-46A7-4F04-B3EE-C3979809EA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62CE6F7E-8E85-4EA2-9562-18721E2C2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AA7FF30E-D715-4D65-AB9C-A2F5FA7252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51940C8C-DAF0-4368-B78F-36F86800E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D15:G15</xm:sqref>
        </x14:conditionalFormatting>
        <x14:conditionalFormatting xmlns:xm="http://schemas.microsoft.com/office/excel/2006/main">
          <x14:cfRule type="dataBar" id="{384A370F-851D-4D2A-B474-7151AB4EE4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AF995D8B-7682-4563-A365-B25AA6B93B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O15:AA15</xm:sqref>
        </x14:conditionalFormatting>
        <x14:conditionalFormatting xmlns:xm="http://schemas.microsoft.com/office/excel/2006/main">
          <x14:cfRule type="dataBar" id="{E893AC99-E765-4004-ACC4-BA7F998DBA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2DC24F8A-ED5D-438D-82DB-D19EAE67F1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6F710BC0-586C-414D-9401-F6C9A17BC4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F7F47268-E6E1-429F-B3D7-D6901C4CAF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O15</xm:sqref>
        </x14:conditionalFormatting>
        <x14:conditionalFormatting xmlns:xm="http://schemas.microsoft.com/office/excel/2006/main">
          <x14:cfRule type="dataBar" id="{EF73C1C7-795C-4B25-9B45-EB1840EFA4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P15</xm:sqref>
        </x14:conditionalFormatting>
        <x14:conditionalFormatting xmlns:xm="http://schemas.microsoft.com/office/excel/2006/main">
          <x14:cfRule type="dataBar" id="{0C948DB4-184E-4389-96CB-0E32759F42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67CC24D-3C60-4D73-B38B-DE17D51CB5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E15</xm:sqref>
        </x14:conditionalFormatting>
        <x14:conditionalFormatting xmlns:xm="http://schemas.microsoft.com/office/excel/2006/main">
          <x14:cfRule type="dataBar" id="{E9231FE8-4FBD-411F-AE0B-B6887274BC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Q15</xm:sqref>
        </x14:conditionalFormatting>
        <x14:conditionalFormatting xmlns:xm="http://schemas.microsoft.com/office/excel/2006/main">
          <x14:cfRule type="dataBar" id="{2E488495-D019-45DC-BEC7-822E1AB277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R15</xm:sqref>
        </x14:conditionalFormatting>
        <x14:conditionalFormatting xmlns:xm="http://schemas.microsoft.com/office/excel/2006/main">
          <x14:cfRule type="dataBar" id="{65C948FC-14E7-4A85-8CA7-B780602E34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S15</xm:sqref>
        </x14:conditionalFormatting>
        <x14:conditionalFormatting xmlns:xm="http://schemas.microsoft.com/office/excel/2006/main">
          <x14:cfRule type="dataBar" id="{2556AAD6-ECF1-4F06-9832-92E6286CDE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T15</xm:sqref>
        </x14:conditionalFormatting>
        <x14:conditionalFormatting xmlns:xm="http://schemas.microsoft.com/office/excel/2006/main">
          <x14:cfRule type="dataBar" id="{41FBE2C5-92AC-40B9-8531-C9E3939C4B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U15</xm:sqref>
        </x14:conditionalFormatting>
        <x14:conditionalFormatting xmlns:xm="http://schemas.microsoft.com/office/excel/2006/main">
          <x14:cfRule type="dataBar" id="{50C8B307-A593-44D6-9514-90DA9FCB2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B6EF8092-69A6-431F-9BCC-2A2247526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W15</xm:sqref>
        </x14:conditionalFormatting>
        <x14:conditionalFormatting xmlns:xm="http://schemas.microsoft.com/office/excel/2006/main">
          <x14:cfRule type="dataBar" id="{DC546049-D43F-4BA3-861C-05B70A5ED2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X15</xm:sqref>
        </x14:conditionalFormatting>
        <x14:conditionalFormatting xmlns:xm="http://schemas.microsoft.com/office/excel/2006/main">
          <x14:cfRule type="dataBar" id="{265C8A35-E3BF-4668-A8FD-6E8F2DFC3D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Y15</xm:sqref>
        </x14:conditionalFormatting>
        <x14:conditionalFormatting xmlns:xm="http://schemas.microsoft.com/office/excel/2006/main">
          <x14:cfRule type="dataBar" id="{18B20084-A428-467F-8E57-44E5B45058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Z15</xm:sqref>
        </x14:conditionalFormatting>
        <x14:conditionalFormatting xmlns:xm="http://schemas.microsoft.com/office/excel/2006/main">
          <x14:cfRule type="dataBar" id="{2EA101CA-EBE7-40E4-A784-0C7A091E9D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AA15</xm:sqref>
        </x14:conditionalFormatting>
        <x14:conditionalFormatting xmlns:xm="http://schemas.microsoft.com/office/excel/2006/main">
          <x14:cfRule type="dataBar" id="{E6290B6D-B037-4ED1-B768-058996C288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8C6DD835-69B5-4F5E-B300-EDCCBE609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O16:AB16</xm:sqref>
        </x14:conditionalFormatting>
        <x14:conditionalFormatting xmlns:xm="http://schemas.microsoft.com/office/excel/2006/main">
          <x14:cfRule type="dataBar" id="{B19650B9-6ED6-4324-9967-2853D5CD4D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AA16:AB16</xm:sqref>
        </x14:conditionalFormatting>
        <x14:conditionalFormatting xmlns:xm="http://schemas.microsoft.com/office/excel/2006/main">
          <x14:cfRule type="dataBar" id="{44F01EDC-83A8-4FDA-9994-D0C27D071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9F825B5-50B0-48B7-9276-3D0CF9768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9B6E4CC5-7D6D-454B-A997-F22E7F81B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1E438B07-022F-49A5-B28F-ADDA8D286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0ACB4870-9504-4140-86BC-1B1DD6C3E4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46BD2D4B-68C0-4E24-BF09-61C7CD5E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4C8209F0-6ED1-4D56-8225-017FCA6776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8FF67EA0-F9D6-4C5E-BBA6-B9F62501C1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B09D6B2-FED5-4F66-85FE-BC5E298BC7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3C18B704-3D52-4BFA-B294-527E789A86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8777F6AA-3441-434E-B423-3B87E78D6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ACDB96FA-B880-4E2C-A634-B18599BA4F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677439CF-28E5-4A3A-BF2F-73F248881B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C976DCF6-63E0-417D-9E7A-8344CCE1BF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D16:G16</xm:sqref>
        </x14:conditionalFormatting>
        <x14:conditionalFormatting xmlns:xm="http://schemas.microsoft.com/office/excel/2006/main">
          <x14:cfRule type="dataBar" id="{1C9E69F7-9092-4504-ADF6-0BDEF002A5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F575981E-59F7-43F9-AD25-0746A4BE7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O16:AA16</xm:sqref>
        </x14:conditionalFormatting>
        <x14:conditionalFormatting xmlns:xm="http://schemas.microsoft.com/office/excel/2006/main">
          <x14:cfRule type="dataBar" id="{787133C2-7113-4EB7-B9C7-603F04F7C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6CAA07D-F217-4A82-BEDE-5903FA79F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3F175210-F0D6-4529-90F6-0590243454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69350702-1BF6-444A-A349-D66CA4FA6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</xm:sqref>
        </x14:conditionalFormatting>
        <x14:conditionalFormatting xmlns:xm="http://schemas.microsoft.com/office/excel/2006/main">
          <x14:cfRule type="dataBar" id="{BCD8C6CB-D6B3-41AE-9E6D-65BE754291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P16</xm:sqref>
        </x14:conditionalFormatting>
        <x14:conditionalFormatting xmlns:xm="http://schemas.microsoft.com/office/excel/2006/main">
          <x14:cfRule type="dataBar" id="{A86F9487-BDA1-4462-9F06-58E2655767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5E29C2F3-8B2A-45EC-AB05-CF01057DC2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E16</xm:sqref>
        </x14:conditionalFormatting>
        <x14:conditionalFormatting xmlns:xm="http://schemas.microsoft.com/office/excel/2006/main">
          <x14:cfRule type="dataBar" id="{BEA9184C-88B4-46E0-80D9-DD013FCA9B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Q16</xm:sqref>
        </x14:conditionalFormatting>
        <x14:conditionalFormatting xmlns:xm="http://schemas.microsoft.com/office/excel/2006/main">
          <x14:cfRule type="dataBar" id="{9ACED7CD-47D4-47EA-BC00-3131C6FE7C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R16</xm:sqref>
        </x14:conditionalFormatting>
        <x14:conditionalFormatting xmlns:xm="http://schemas.microsoft.com/office/excel/2006/main">
          <x14:cfRule type="dataBar" id="{B9382BD8-C147-4495-96F0-587908DAA9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S16</xm:sqref>
        </x14:conditionalFormatting>
        <x14:conditionalFormatting xmlns:xm="http://schemas.microsoft.com/office/excel/2006/main">
          <x14:cfRule type="dataBar" id="{A2683CC1-D7E0-497D-9E60-629A85DC76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T16</xm:sqref>
        </x14:conditionalFormatting>
        <x14:conditionalFormatting xmlns:xm="http://schemas.microsoft.com/office/excel/2006/main">
          <x14:cfRule type="dataBar" id="{708FD3AB-5332-4975-95A4-E814AB7AF9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94419C55-3116-4BC0-B331-0B33AF8FAB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9E6D1C6-5577-41E6-BC85-3A76903AE1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W16</xm:sqref>
        </x14:conditionalFormatting>
        <x14:conditionalFormatting xmlns:xm="http://schemas.microsoft.com/office/excel/2006/main">
          <x14:cfRule type="dataBar" id="{D226E456-D6AB-4AC7-9D8C-C0538CC7F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X16</xm:sqref>
        </x14:conditionalFormatting>
        <x14:conditionalFormatting xmlns:xm="http://schemas.microsoft.com/office/excel/2006/main">
          <x14:cfRule type="dataBar" id="{A30554F7-7541-4329-8AB1-C1C19F01D5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Y16</xm:sqref>
        </x14:conditionalFormatting>
        <x14:conditionalFormatting xmlns:xm="http://schemas.microsoft.com/office/excel/2006/main">
          <x14:cfRule type="dataBar" id="{3122A89E-119D-4555-BBFB-11978D0C1B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AF87CA4E-E987-479E-AD99-223D8945F8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AA16</xm:sqref>
        </x14:conditionalFormatting>
        <x14:conditionalFormatting xmlns:xm="http://schemas.microsoft.com/office/excel/2006/main">
          <x14:cfRule type="dataBar" id="{1EEB8927-C645-4A35-84E8-F08F563E0F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D2913F8B-D28B-4358-BA17-5E57AFFC0E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O18:AB18</xm:sqref>
        </x14:conditionalFormatting>
        <x14:conditionalFormatting xmlns:xm="http://schemas.microsoft.com/office/excel/2006/main">
          <x14:cfRule type="dataBar" id="{804024BD-7258-4813-9EA2-C9E30B697E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AA18:AB18</xm:sqref>
        </x14:conditionalFormatting>
        <x14:conditionalFormatting xmlns:xm="http://schemas.microsoft.com/office/excel/2006/main">
          <x14:cfRule type="dataBar" id="{C329C999-12DB-4B1C-B7B0-9FAFEB4595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C27EA288-4A42-4DB2-A8A2-96EDFFB0B5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C97DB6BE-115E-4FCF-8AEC-301863F4D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615544BB-7E55-40E7-B0A7-D0F81029A2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248238C2-1722-4994-9777-B62C40C885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90415FC-7B38-4CEF-9A8A-100A64A3B4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8A7ADC85-5DB7-4445-9C1F-1AC129F92C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2A96E609-A0C0-4ABF-ACB0-622A3DE4F4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DF54FE73-B546-4C4A-BEF4-F810550B8C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9EE86D82-0DA1-4301-A2D2-D880D105F8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6DF5CF6-2AD4-4AF3-8F12-836C2767A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5A5F721E-6AA1-4376-BF56-143C8375EA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5F0C79FF-121C-4EBF-ABF7-880192E899C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86E2EB95-438C-42BE-8888-DE3CC92624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D18:G18</xm:sqref>
        </x14:conditionalFormatting>
        <x14:conditionalFormatting xmlns:xm="http://schemas.microsoft.com/office/excel/2006/main">
          <x14:cfRule type="dataBar" id="{BEA08F24-80DB-4E2F-B10E-87BFFBBFD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E6EC5025-2790-468B-B966-52841972C0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O18:AA18</xm:sqref>
        </x14:conditionalFormatting>
        <x14:conditionalFormatting xmlns:xm="http://schemas.microsoft.com/office/excel/2006/main">
          <x14:cfRule type="dataBar" id="{92C75BEB-8A64-432C-913B-E56EECE76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</xm:sqref>
        </x14:conditionalFormatting>
        <x14:conditionalFormatting xmlns:xm="http://schemas.microsoft.com/office/excel/2006/main">
          <x14:cfRule type="dataBar" id="{1520CD8D-3461-4222-9C0D-CCCEDE3C0C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6D1185AA-4F15-4CCE-AA9F-DB0F57A68C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55814E1E-6AAE-432D-AF78-0CEF37753E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</xm:sqref>
        </x14:conditionalFormatting>
        <x14:conditionalFormatting xmlns:xm="http://schemas.microsoft.com/office/excel/2006/main">
          <x14:cfRule type="dataBar" id="{344CF23F-1678-4204-A9F3-7E8D2E8924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P18</xm:sqref>
        </x14:conditionalFormatting>
        <x14:conditionalFormatting xmlns:xm="http://schemas.microsoft.com/office/excel/2006/main">
          <x14:cfRule type="dataBar" id="{3CC42F7F-F842-4B29-939B-632622DE4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652C2DDB-D971-4DF1-8F83-4E2590323D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E18</xm:sqref>
        </x14:conditionalFormatting>
        <x14:conditionalFormatting xmlns:xm="http://schemas.microsoft.com/office/excel/2006/main">
          <x14:cfRule type="dataBar" id="{03EF4E9A-AC21-4BA3-8749-98A17FAA6F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Q18</xm:sqref>
        </x14:conditionalFormatting>
        <x14:conditionalFormatting xmlns:xm="http://schemas.microsoft.com/office/excel/2006/main">
          <x14:cfRule type="dataBar" id="{D8EFCD6F-22EE-4B27-AA7A-36785FE19C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R18</xm:sqref>
        </x14:conditionalFormatting>
        <x14:conditionalFormatting xmlns:xm="http://schemas.microsoft.com/office/excel/2006/main">
          <x14:cfRule type="dataBar" id="{ED9D0DCF-FC34-4607-9457-C624419F0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S18</xm:sqref>
        </x14:conditionalFormatting>
        <x14:conditionalFormatting xmlns:xm="http://schemas.microsoft.com/office/excel/2006/main">
          <x14:cfRule type="dataBar" id="{5B45AC90-1D1E-4EF4-85BA-088D577645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T18</xm:sqref>
        </x14:conditionalFormatting>
        <x14:conditionalFormatting xmlns:xm="http://schemas.microsoft.com/office/excel/2006/main">
          <x14:cfRule type="dataBar" id="{127B1C85-FD2A-409D-B64D-65228BA4B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U18</xm:sqref>
        </x14:conditionalFormatting>
        <x14:conditionalFormatting xmlns:xm="http://schemas.microsoft.com/office/excel/2006/main">
          <x14:cfRule type="dataBar" id="{DDDAE914-26D1-444C-AE47-C02F46C02F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V18</xm:sqref>
        </x14:conditionalFormatting>
        <x14:conditionalFormatting xmlns:xm="http://schemas.microsoft.com/office/excel/2006/main">
          <x14:cfRule type="dataBar" id="{064E2623-C488-4466-866C-A3B04EAFD0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W18</xm:sqref>
        </x14:conditionalFormatting>
        <x14:conditionalFormatting xmlns:xm="http://schemas.microsoft.com/office/excel/2006/main">
          <x14:cfRule type="dataBar" id="{CB71E108-3239-4669-8610-937CBECEB2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54A28691-D030-486C-BAF9-607BA66B24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Y18</xm:sqref>
        </x14:conditionalFormatting>
        <x14:conditionalFormatting xmlns:xm="http://schemas.microsoft.com/office/excel/2006/main">
          <x14:cfRule type="dataBar" id="{B4441028-D144-484A-B635-060664CC61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Z18</xm:sqref>
        </x14:conditionalFormatting>
        <x14:conditionalFormatting xmlns:xm="http://schemas.microsoft.com/office/excel/2006/main">
          <x14:cfRule type="dataBar" id="{E66896BF-E55A-4B4F-B372-259460C28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5906D438-9977-4FC8-A982-E810246235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AC9F6E05-7741-4FC3-A086-1A5494B133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Q19:AB19</xm:sqref>
        </x14:conditionalFormatting>
        <x14:conditionalFormatting xmlns:xm="http://schemas.microsoft.com/office/excel/2006/main">
          <x14:cfRule type="dataBar" id="{031E576F-A827-44EC-8489-743EBA10CE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AA19:AB19</xm:sqref>
        </x14:conditionalFormatting>
        <x14:conditionalFormatting xmlns:xm="http://schemas.microsoft.com/office/excel/2006/main">
          <x14:cfRule type="dataBar" id="{183C8B96-B634-4F29-BA98-CD8736A2F0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A8BA6A8-3A8F-4629-8D9B-97D3F33FA9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BEDDDADB-D596-44E5-8A4C-B1EFAE516F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28D02331-E603-4132-938B-2DE5770E50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D19:E19</xm:sqref>
        </x14:conditionalFormatting>
        <x14:conditionalFormatting xmlns:xm="http://schemas.microsoft.com/office/excel/2006/main">
          <x14:cfRule type="dataBar" id="{AED872DF-6227-4814-8160-200C57F0BD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Q19:AA19</xm:sqref>
        </x14:conditionalFormatting>
        <x14:conditionalFormatting xmlns:xm="http://schemas.microsoft.com/office/excel/2006/main">
          <x14:cfRule type="dataBar" id="{D78E6C14-CCB7-4836-BD72-B8062EE40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D19</xm:sqref>
        </x14:conditionalFormatting>
        <x14:conditionalFormatting xmlns:xm="http://schemas.microsoft.com/office/excel/2006/main">
          <x14:cfRule type="dataBar" id="{4E6F232B-CF88-44A8-B96C-E3370F4548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E19</xm:sqref>
        </x14:conditionalFormatting>
        <x14:conditionalFormatting xmlns:xm="http://schemas.microsoft.com/office/excel/2006/main">
          <x14:cfRule type="dataBar" id="{9A9204E4-04AD-4888-AAC5-B0EB8FFB05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Q19</xm:sqref>
        </x14:conditionalFormatting>
        <x14:conditionalFormatting xmlns:xm="http://schemas.microsoft.com/office/excel/2006/main">
          <x14:cfRule type="dataBar" id="{48EE646D-ADD3-4F9E-97F9-C7C9B531F1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R19</xm:sqref>
        </x14:conditionalFormatting>
        <x14:conditionalFormatting xmlns:xm="http://schemas.microsoft.com/office/excel/2006/main">
          <x14:cfRule type="dataBar" id="{B464738F-F56D-4B7A-8FC7-050DAC243E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S19</xm:sqref>
        </x14:conditionalFormatting>
        <x14:conditionalFormatting xmlns:xm="http://schemas.microsoft.com/office/excel/2006/main">
          <x14:cfRule type="dataBar" id="{F5AEEF76-3217-4AF3-9BA8-5155D26AE8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T19</xm:sqref>
        </x14:conditionalFormatting>
        <x14:conditionalFormatting xmlns:xm="http://schemas.microsoft.com/office/excel/2006/main">
          <x14:cfRule type="dataBar" id="{52B633DC-3E16-4CDA-9703-BCCA3483BD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U19</xm:sqref>
        </x14:conditionalFormatting>
        <x14:conditionalFormatting xmlns:xm="http://schemas.microsoft.com/office/excel/2006/main">
          <x14:cfRule type="dataBar" id="{30444DFA-1C7F-4E89-8DE3-B9B4B14EE6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V19</xm:sqref>
        </x14:conditionalFormatting>
        <x14:conditionalFormatting xmlns:xm="http://schemas.microsoft.com/office/excel/2006/main">
          <x14:cfRule type="dataBar" id="{EB25549A-51E4-40CB-85B5-6CBA1C6837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W19</xm:sqref>
        </x14:conditionalFormatting>
        <x14:conditionalFormatting xmlns:xm="http://schemas.microsoft.com/office/excel/2006/main">
          <x14:cfRule type="dataBar" id="{7274B7D7-224A-474C-AB4C-06CEB765D1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X19</xm:sqref>
        </x14:conditionalFormatting>
        <x14:conditionalFormatting xmlns:xm="http://schemas.microsoft.com/office/excel/2006/main">
          <x14:cfRule type="dataBar" id="{BC195DF8-E973-4C62-828B-563BE98543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Y19</xm:sqref>
        </x14:conditionalFormatting>
        <x14:conditionalFormatting xmlns:xm="http://schemas.microsoft.com/office/excel/2006/main">
          <x14:cfRule type="dataBar" id="{3F4048D7-81EE-4188-8FAB-688B1449B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1337C7DF-2727-4DEE-9095-5323E5FD95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AA19</xm:sqref>
        </x14:conditionalFormatting>
        <x14:conditionalFormatting xmlns:xm="http://schemas.microsoft.com/office/excel/2006/main">
          <x14:cfRule type="dataBar" id="{86B30D46-1699-428F-899B-7266D38891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74F3D33C-F7F1-43F1-90FC-BEB4751258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Q17:AB17</xm:sqref>
        </x14:conditionalFormatting>
        <x14:conditionalFormatting xmlns:xm="http://schemas.microsoft.com/office/excel/2006/main">
          <x14:cfRule type="dataBar" id="{63CAFF8B-6B68-4FF1-860D-FA5E054F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AA17:AB17</xm:sqref>
        </x14:conditionalFormatting>
        <x14:conditionalFormatting xmlns:xm="http://schemas.microsoft.com/office/excel/2006/main">
          <x14:cfRule type="dataBar" id="{52108627-8FAF-43AB-8548-34B49707A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B860AEA9-F040-4A81-B4E9-56D90B9538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14F6D850-AB24-48EB-A984-F0C140C647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477919BA-A944-47A4-A26D-CA50E1BA96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D17:E17</xm:sqref>
        </x14:conditionalFormatting>
        <x14:conditionalFormatting xmlns:xm="http://schemas.microsoft.com/office/excel/2006/main">
          <x14:cfRule type="dataBar" id="{A532FDA0-552B-496B-8ED1-1B8BAA33FF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Q17:AA17</xm:sqref>
        </x14:conditionalFormatting>
        <x14:conditionalFormatting xmlns:xm="http://schemas.microsoft.com/office/excel/2006/main">
          <x14:cfRule type="dataBar" id="{E1E9EFC2-3ED0-4F4F-9AF9-343D3CD883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D17</xm:sqref>
        </x14:conditionalFormatting>
        <x14:conditionalFormatting xmlns:xm="http://schemas.microsoft.com/office/excel/2006/main">
          <x14:cfRule type="dataBar" id="{F17ECB3D-AD5A-4E3B-A3F7-684303B6F3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E17</xm:sqref>
        </x14:conditionalFormatting>
        <x14:conditionalFormatting xmlns:xm="http://schemas.microsoft.com/office/excel/2006/main">
          <x14:cfRule type="dataBar" id="{40C3B887-EC76-485B-9703-7769109106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Q17</xm:sqref>
        </x14:conditionalFormatting>
        <x14:conditionalFormatting xmlns:xm="http://schemas.microsoft.com/office/excel/2006/main">
          <x14:cfRule type="dataBar" id="{860EAEB2-F163-4278-940D-D4A09FE45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R17</xm:sqref>
        </x14:conditionalFormatting>
        <x14:conditionalFormatting xmlns:xm="http://schemas.microsoft.com/office/excel/2006/main">
          <x14:cfRule type="dataBar" id="{9C89D8FE-DAD6-45C9-A198-B24FAC13EA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S17</xm:sqref>
        </x14:conditionalFormatting>
        <x14:conditionalFormatting xmlns:xm="http://schemas.microsoft.com/office/excel/2006/main">
          <x14:cfRule type="dataBar" id="{1DB9A396-E86E-40CE-B71E-E247E263D4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T17</xm:sqref>
        </x14:conditionalFormatting>
        <x14:conditionalFormatting xmlns:xm="http://schemas.microsoft.com/office/excel/2006/main">
          <x14:cfRule type="dataBar" id="{7A4A139E-56DC-43B1-B599-2D4744457A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U17</xm:sqref>
        </x14:conditionalFormatting>
        <x14:conditionalFormatting xmlns:xm="http://schemas.microsoft.com/office/excel/2006/main">
          <x14:cfRule type="dataBar" id="{0245431A-7F21-4957-BC62-E549C8C0A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V17</xm:sqref>
        </x14:conditionalFormatting>
        <x14:conditionalFormatting xmlns:xm="http://schemas.microsoft.com/office/excel/2006/main">
          <x14:cfRule type="dataBar" id="{9619F79F-9535-4E90-A8D3-B78A0E482B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W17</xm:sqref>
        </x14:conditionalFormatting>
        <x14:conditionalFormatting xmlns:xm="http://schemas.microsoft.com/office/excel/2006/main">
          <x14:cfRule type="dataBar" id="{DECCB278-7520-4556-B2A5-06DB87D50AE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X17</xm:sqref>
        </x14:conditionalFormatting>
        <x14:conditionalFormatting xmlns:xm="http://schemas.microsoft.com/office/excel/2006/main">
          <x14:cfRule type="dataBar" id="{4D047857-2F62-4EFD-910F-D7525EAC2D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Y17</xm:sqref>
        </x14:conditionalFormatting>
        <x14:conditionalFormatting xmlns:xm="http://schemas.microsoft.com/office/excel/2006/main">
          <x14:cfRule type="dataBar" id="{D7D53E11-EDB8-439E-A545-E4FA7F1A2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Z17</xm:sqref>
        </x14:conditionalFormatting>
        <x14:conditionalFormatting xmlns:xm="http://schemas.microsoft.com/office/excel/2006/main">
          <x14:cfRule type="dataBar" id="{31B60A2C-9DBE-4C2A-95A9-86D84BC507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AA17</xm:sqref>
        </x14:conditionalFormatting>
        <x14:conditionalFormatting xmlns:xm="http://schemas.microsoft.com/office/excel/2006/main">
          <x14:cfRule type="dataBar" id="{58F362A8-3C26-4C11-9618-124977AE9C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Q21:AB21</xm:sqref>
        </x14:conditionalFormatting>
        <x14:conditionalFormatting xmlns:xm="http://schemas.microsoft.com/office/excel/2006/main">
          <x14:cfRule type="dataBar" id="{91FB30E4-173F-40DF-B35C-3680A431AC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06B4EE02-2A93-4345-8C51-72D46DB69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AA21:AB21</xm:sqref>
        </x14:conditionalFormatting>
        <x14:conditionalFormatting xmlns:xm="http://schemas.microsoft.com/office/excel/2006/main">
          <x14:cfRule type="dataBar" id="{21C7DF74-5FA5-4C82-9D4E-6639E4BD34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A5B18F2-87DC-44A1-83CF-2F0809D1FE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228C3932-7A6D-4A91-B2ED-9E16E27954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539C4AB9-4AC1-475C-881E-881D4FAD79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D21:E21</xm:sqref>
        </x14:conditionalFormatting>
        <x14:conditionalFormatting xmlns:xm="http://schemas.microsoft.com/office/excel/2006/main">
          <x14:cfRule type="dataBar" id="{71224CE0-AF2D-43A2-ADF1-C23A7F2339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Q21:AA21</xm:sqref>
        </x14:conditionalFormatting>
        <x14:conditionalFormatting xmlns:xm="http://schemas.microsoft.com/office/excel/2006/main">
          <x14:cfRule type="dataBar" id="{21197471-CC43-4FBC-8A64-12120ED6EB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</xm:sqref>
        </x14:conditionalFormatting>
        <x14:conditionalFormatting xmlns:xm="http://schemas.microsoft.com/office/excel/2006/main">
          <x14:cfRule type="dataBar" id="{A288358D-5441-4CA7-B977-4E98DA256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458B6CFC-EA9E-4F1A-9C55-75FDFC13AE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Q21</xm:sqref>
        </x14:conditionalFormatting>
        <x14:conditionalFormatting xmlns:xm="http://schemas.microsoft.com/office/excel/2006/main">
          <x14:cfRule type="dataBar" id="{077242D1-AE52-41DA-B958-1A2900AD9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R21</xm:sqref>
        </x14:conditionalFormatting>
        <x14:conditionalFormatting xmlns:xm="http://schemas.microsoft.com/office/excel/2006/main">
          <x14:cfRule type="dataBar" id="{78F0B935-8F96-4FE0-8B81-49B5D9C55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S21</xm:sqref>
        </x14:conditionalFormatting>
        <x14:conditionalFormatting xmlns:xm="http://schemas.microsoft.com/office/excel/2006/main">
          <x14:cfRule type="dataBar" id="{388774E8-74D2-4CFC-B59D-B59731B88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T21</xm:sqref>
        </x14:conditionalFormatting>
        <x14:conditionalFormatting xmlns:xm="http://schemas.microsoft.com/office/excel/2006/main">
          <x14:cfRule type="dataBar" id="{5AA50F31-4040-4514-A6C2-8AF5051B57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U21</xm:sqref>
        </x14:conditionalFormatting>
        <x14:conditionalFormatting xmlns:xm="http://schemas.microsoft.com/office/excel/2006/main">
          <x14:cfRule type="dataBar" id="{FB33D89D-AA85-4E75-AB73-923FAD45B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V21</xm:sqref>
        </x14:conditionalFormatting>
        <x14:conditionalFormatting xmlns:xm="http://schemas.microsoft.com/office/excel/2006/main">
          <x14:cfRule type="dataBar" id="{E1A71A87-F4C0-46EA-ABB5-5EBE0C760D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W21</xm:sqref>
        </x14:conditionalFormatting>
        <x14:conditionalFormatting xmlns:xm="http://schemas.microsoft.com/office/excel/2006/main">
          <x14:cfRule type="dataBar" id="{F84242DE-89F0-4583-9672-8FD9218B990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X21</xm:sqref>
        </x14:conditionalFormatting>
        <x14:conditionalFormatting xmlns:xm="http://schemas.microsoft.com/office/excel/2006/main">
          <x14:cfRule type="dataBar" id="{55FB11BC-DEAD-4F64-8E36-DF18D1A157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Y21</xm:sqref>
        </x14:conditionalFormatting>
        <x14:conditionalFormatting xmlns:xm="http://schemas.microsoft.com/office/excel/2006/main">
          <x14:cfRule type="dataBar" id="{669B4D4C-27A7-4CC7-A94C-44F36EAE5B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Z21</xm:sqref>
        </x14:conditionalFormatting>
        <x14:conditionalFormatting xmlns:xm="http://schemas.microsoft.com/office/excel/2006/main">
          <x14:cfRule type="dataBar" id="{18DBBA04-D2EE-41B2-8679-0A41E791F5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AA21</xm:sqref>
        </x14:conditionalFormatting>
        <x14:conditionalFormatting xmlns:xm="http://schemas.microsoft.com/office/excel/2006/main">
          <x14:cfRule type="dataBar" id="{E80027CA-1E16-4824-A9E0-AA95F79D74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Q22:AB22</xm:sqref>
        </x14:conditionalFormatting>
        <x14:conditionalFormatting xmlns:xm="http://schemas.microsoft.com/office/excel/2006/main">
          <x14:cfRule type="dataBar" id="{64C4D498-AE5C-4AA5-90AA-08C1587B68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E821F56C-FDA4-4F5F-9AEA-904A51B68C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AA22:AB22</xm:sqref>
        </x14:conditionalFormatting>
        <x14:conditionalFormatting xmlns:xm="http://schemas.microsoft.com/office/excel/2006/main">
          <x14:cfRule type="dataBar" id="{9E1215B6-D150-4453-B829-2440A9AD84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DD320562-C9BA-40CA-B4A8-74C144DAEC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55CA2A37-DDCB-4234-AEB6-9DF5C0D34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64719EB7-3C03-4549-967A-8046E42A88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D22:E22</xm:sqref>
        </x14:conditionalFormatting>
        <x14:conditionalFormatting xmlns:xm="http://schemas.microsoft.com/office/excel/2006/main">
          <x14:cfRule type="dataBar" id="{E919F81F-92FF-498B-9D45-BB156F6FD1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Q22:AA22</xm:sqref>
        </x14:conditionalFormatting>
        <x14:conditionalFormatting xmlns:xm="http://schemas.microsoft.com/office/excel/2006/main">
          <x14:cfRule type="dataBar" id="{7DF60414-5F78-4DB9-B267-B7AD767E47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63B8078B-E2C6-4727-9783-D1473511F3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5023540D-640D-4383-909B-A2A99A0487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Q22</xm:sqref>
        </x14:conditionalFormatting>
        <x14:conditionalFormatting xmlns:xm="http://schemas.microsoft.com/office/excel/2006/main">
          <x14:cfRule type="dataBar" id="{BA945425-3774-4AA9-B6F8-7F7C801732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R22</xm:sqref>
        </x14:conditionalFormatting>
        <x14:conditionalFormatting xmlns:xm="http://schemas.microsoft.com/office/excel/2006/main">
          <x14:cfRule type="dataBar" id="{660C01B9-6866-444A-8AD0-1349CB5305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S22</xm:sqref>
        </x14:conditionalFormatting>
        <x14:conditionalFormatting xmlns:xm="http://schemas.microsoft.com/office/excel/2006/main">
          <x14:cfRule type="dataBar" id="{1B02978A-E028-4F5B-899D-847CC5EAC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T22</xm:sqref>
        </x14:conditionalFormatting>
        <x14:conditionalFormatting xmlns:xm="http://schemas.microsoft.com/office/excel/2006/main">
          <x14:cfRule type="dataBar" id="{09778889-EF11-4971-AA36-C95ABB920D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U22</xm:sqref>
        </x14:conditionalFormatting>
        <x14:conditionalFormatting xmlns:xm="http://schemas.microsoft.com/office/excel/2006/main">
          <x14:cfRule type="dataBar" id="{9B089089-DC46-4E24-A070-A3F6A221AD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V22</xm:sqref>
        </x14:conditionalFormatting>
        <x14:conditionalFormatting xmlns:xm="http://schemas.microsoft.com/office/excel/2006/main">
          <x14:cfRule type="dataBar" id="{C304C300-D0F9-4A91-9E63-7673DA836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</xm:sqref>
        </x14:conditionalFormatting>
        <x14:conditionalFormatting xmlns:xm="http://schemas.microsoft.com/office/excel/2006/main">
          <x14:cfRule type="dataBar" id="{AFFD64AB-D342-42F2-B26C-5CF3514AE1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X22</xm:sqref>
        </x14:conditionalFormatting>
        <x14:conditionalFormatting xmlns:xm="http://schemas.microsoft.com/office/excel/2006/main">
          <x14:cfRule type="dataBar" id="{CBBC5791-E1B8-40B5-9FC4-2350CEC997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Y22</xm:sqref>
        </x14:conditionalFormatting>
        <x14:conditionalFormatting xmlns:xm="http://schemas.microsoft.com/office/excel/2006/main">
          <x14:cfRule type="dataBar" id="{96CA4137-BA77-465A-B561-20C0585AE4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Z22</xm:sqref>
        </x14:conditionalFormatting>
        <x14:conditionalFormatting xmlns:xm="http://schemas.microsoft.com/office/excel/2006/main">
          <x14:cfRule type="dataBar" id="{AAE606EC-3B1F-4D79-8F97-2596375CA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AA22</xm:sqref>
        </x14:conditionalFormatting>
        <x14:conditionalFormatting xmlns:xm="http://schemas.microsoft.com/office/excel/2006/main">
          <x14:cfRule type="dataBar" id="{5E98F2B9-B352-4F17-BA3A-575CEA2AFD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O24:AB24</xm:sqref>
        </x14:conditionalFormatting>
        <x14:conditionalFormatting xmlns:xm="http://schemas.microsoft.com/office/excel/2006/main">
          <x14:cfRule type="dataBar" id="{736FA5F2-1E93-49EA-89F4-D12CBA7F6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18A23BA7-5A46-49D3-8F16-57F299CD00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DB8EEC2F-23C9-450C-96F6-AA0004E48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AA24:AB24</xm:sqref>
        </x14:conditionalFormatting>
        <x14:conditionalFormatting xmlns:xm="http://schemas.microsoft.com/office/excel/2006/main">
          <x14:cfRule type="dataBar" id="{5A5C1085-342C-48A4-B432-6177ED5214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A43F7217-001E-425A-8181-C5382EC51C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E5A73E41-A6E9-43FB-8731-27991E720D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16A318E6-63BE-485A-A7D6-6987B8B7030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4448000F-7EF7-4314-8FC7-5C6C3F3A9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43E033FA-7B75-4D9A-842A-5F512BD813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3DBFA090-2265-4886-A33E-9A9426EF64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4F2BBA1A-B30D-4458-A4AC-948A9E3B67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3529744E-CF1E-4DBE-ABC6-60D78EFC6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0E45F0A2-027F-4C32-A359-29984C6B57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AE814AA7-6182-4FB2-BD43-70CFAFCE45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19DCEF33-C5A0-48BF-A70A-50F7C33471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1C94448-6D74-4F5B-89B1-413AA1A5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D24:G24</xm:sqref>
        </x14:conditionalFormatting>
        <x14:conditionalFormatting xmlns:xm="http://schemas.microsoft.com/office/excel/2006/main">
          <x14:cfRule type="dataBar" id="{D0212F3E-6488-4531-A4F5-0A17CF3675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22743193-B217-4D76-B0AF-02C52B264D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O24:AA24</xm:sqref>
        </x14:conditionalFormatting>
        <x14:conditionalFormatting xmlns:xm="http://schemas.microsoft.com/office/excel/2006/main">
          <x14:cfRule type="dataBar" id="{42EB55AF-57B0-47DA-BD6B-A20EB08226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</xm:sqref>
        </x14:conditionalFormatting>
        <x14:conditionalFormatting xmlns:xm="http://schemas.microsoft.com/office/excel/2006/main">
          <x14:cfRule type="dataBar" id="{F07BE8B6-948D-4921-921E-D9C38DA9CC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681D0B18-FEB6-4E97-86ED-CBB8197C46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1E9677CE-B3B9-442F-8C1F-39B90C2F26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O24</xm:sqref>
        </x14:conditionalFormatting>
        <x14:conditionalFormatting xmlns:xm="http://schemas.microsoft.com/office/excel/2006/main">
          <x14:cfRule type="dataBar" id="{856112C1-EC59-4E34-B7F3-DCF23532DC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P24</xm:sqref>
        </x14:conditionalFormatting>
        <x14:conditionalFormatting xmlns:xm="http://schemas.microsoft.com/office/excel/2006/main">
          <x14:cfRule type="dataBar" id="{68C53A4A-1C7C-498B-9E42-4205ECFFD6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5CEF2B38-DCBD-46BE-AB73-A03DA600F3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7AD5CDBD-52C6-4D2C-91EF-DEE39EF920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Q24</xm:sqref>
        </x14:conditionalFormatting>
        <x14:conditionalFormatting xmlns:xm="http://schemas.microsoft.com/office/excel/2006/main">
          <x14:cfRule type="dataBar" id="{149525A5-B94F-43CE-84A0-71E9D4043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R24</xm:sqref>
        </x14:conditionalFormatting>
        <x14:conditionalFormatting xmlns:xm="http://schemas.microsoft.com/office/excel/2006/main">
          <x14:cfRule type="dataBar" id="{D025473C-C88D-483B-953F-97B77457C7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S24</xm:sqref>
        </x14:conditionalFormatting>
        <x14:conditionalFormatting xmlns:xm="http://schemas.microsoft.com/office/excel/2006/main">
          <x14:cfRule type="dataBar" id="{5AEA3673-68B5-4B5F-B9F3-002D80098F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T24</xm:sqref>
        </x14:conditionalFormatting>
        <x14:conditionalFormatting xmlns:xm="http://schemas.microsoft.com/office/excel/2006/main">
          <x14:cfRule type="dataBar" id="{EF7865B4-809A-4BDC-BC1E-CCF5CCD06B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U24</xm:sqref>
        </x14:conditionalFormatting>
        <x14:conditionalFormatting xmlns:xm="http://schemas.microsoft.com/office/excel/2006/main">
          <x14:cfRule type="dataBar" id="{E3360500-CA31-4CEF-95A1-719BDE8F60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V24</xm:sqref>
        </x14:conditionalFormatting>
        <x14:conditionalFormatting xmlns:xm="http://schemas.microsoft.com/office/excel/2006/main">
          <x14:cfRule type="dataBar" id="{BEBB06CA-98E9-40CB-A511-55879D5433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W24</xm:sqref>
        </x14:conditionalFormatting>
        <x14:conditionalFormatting xmlns:xm="http://schemas.microsoft.com/office/excel/2006/main">
          <x14:cfRule type="dataBar" id="{EA08DA1F-7C21-4954-89CE-F2873E9A4A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438AC262-C051-4523-9604-523BA40DE5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Y24</xm:sqref>
        </x14:conditionalFormatting>
        <x14:conditionalFormatting xmlns:xm="http://schemas.microsoft.com/office/excel/2006/main">
          <x14:cfRule type="dataBar" id="{52E57704-0ED0-4558-8C8B-4F2203E910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  <x14:conditionalFormatting xmlns:xm="http://schemas.microsoft.com/office/excel/2006/main">
          <x14:cfRule type="dataBar" id="{B54BF199-ECE9-409A-91FC-2FA41E84C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94F67269-F406-42ED-A1B2-7328BFB4A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O23:AB23</xm:sqref>
        </x14:conditionalFormatting>
        <x14:conditionalFormatting xmlns:xm="http://schemas.microsoft.com/office/excel/2006/main">
          <x14:cfRule type="dataBar" id="{5FB5B278-B861-42F6-BA0E-3E43ACE04A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4FA3F348-D2A4-4B07-98BE-412F21914B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AA23:AB23</xm:sqref>
        </x14:conditionalFormatting>
        <x14:conditionalFormatting xmlns:xm="http://schemas.microsoft.com/office/excel/2006/main">
          <x14:cfRule type="dataBar" id="{3291AA20-25E6-43C2-9260-F70E1B555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10C5CCC3-7A6B-4FF2-A663-F56480959B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6DA26AAF-FF09-4B79-A55D-8FA867C55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6F0721CC-9174-495E-905A-F1064EFFCD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DC8B6D83-8EE4-436E-A7DD-E97AEE0ECE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452AF317-86E2-4032-806F-2DBF56C880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410FC752-D5F2-46A3-AFD3-EF723D992E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C8CB3CB1-2BDE-49A4-BCD9-33DB2A552C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1E00201-3317-4648-A872-561768FAD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A1C299EF-0BE2-4AE4-9311-DE7434635E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02BDE477-7EFB-4DE9-B679-095E3835D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F5C477EC-832F-4349-AE79-B1CEA6395D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3E372AB1-7A71-445D-AB04-5AB6052158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04CB251D-7CA8-4EFC-8E81-6E8F829D25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D23:G23</xm:sqref>
        </x14:conditionalFormatting>
        <x14:conditionalFormatting xmlns:xm="http://schemas.microsoft.com/office/excel/2006/main">
          <x14:cfRule type="dataBar" id="{CDF05BEE-877A-4D47-A854-52F627ACC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E2BE6296-0EA4-4333-89A2-E4B111AE8A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O23:AA23</xm:sqref>
        </x14:conditionalFormatting>
        <x14:conditionalFormatting xmlns:xm="http://schemas.microsoft.com/office/excel/2006/main">
          <x14:cfRule type="dataBar" id="{3CACEF28-E3EC-4359-8E89-143C0369BC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B52A54E-D53A-4A59-83FF-C95508B98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F1765615-F7FE-477C-8114-B1D78DD38C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57AA756F-EF43-40C7-8E5D-22BAC3442E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O23</xm:sqref>
        </x14:conditionalFormatting>
        <x14:conditionalFormatting xmlns:xm="http://schemas.microsoft.com/office/excel/2006/main">
          <x14:cfRule type="dataBar" id="{0FC0E494-4659-4555-ACA9-CF24C7EC80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P23</xm:sqref>
        </x14:conditionalFormatting>
        <x14:conditionalFormatting xmlns:xm="http://schemas.microsoft.com/office/excel/2006/main">
          <x14:cfRule type="dataBar" id="{F1B0D074-4376-490B-97E6-49B793ADA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3069CB85-37C5-465A-AE02-763AFE38731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1095D5A8-DEF5-4E50-A81B-2D76D9C2D0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Q23</xm:sqref>
        </x14:conditionalFormatting>
        <x14:conditionalFormatting xmlns:xm="http://schemas.microsoft.com/office/excel/2006/main">
          <x14:cfRule type="dataBar" id="{7BB36FE7-7592-4DA2-9962-6526223923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R23</xm:sqref>
        </x14:conditionalFormatting>
        <x14:conditionalFormatting xmlns:xm="http://schemas.microsoft.com/office/excel/2006/main">
          <x14:cfRule type="dataBar" id="{CE23EC1E-F707-4DE8-8F61-EAE338610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S23</xm:sqref>
        </x14:conditionalFormatting>
        <x14:conditionalFormatting xmlns:xm="http://schemas.microsoft.com/office/excel/2006/main">
          <x14:cfRule type="dataBar" id="{CC8D0D8B-6B1D-4D94-A4E5-1C42D7A9C1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T23</xm:sqref>
        </x14:conditionalFormatting>
        <x14:conditionalFormatting xmlns:xm="http://schemas.microsoft.com/office/excel/2006/main">
          <x14:cfRule type="dataBar" id="{2EA57CC2-C565-40FE-B048-95DDA940F6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U23</xm:sqref>
        </x14:conditionalFormatting>
        <x14:conditionalFormatting xmlns:xm="http://schemas.microsoft.com/office/excel/2006/main">
          <x14:cfRule type="dataBar" id="{7BFF8514-65EA-47FF-9D40-6C4A1DA7C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V23</xm:sqref>
        </x14:conditionalFormatting>
        <x14:conditionalFormatting xmlns:xm="http://schemas.microsoft.com/office/excel/2006/main">
          <x14:cfRule type="dataBar" id="{68E42E66-BF45-40EF-AC60-AA15CC24D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W23</xm:sqref>
        </x14:conditionalFormatting>
        <x14:conditionalFormatting xmlns:xm="http://schemas.microsoft.com/office/excel/2006/main">
          <x14:cfRule type="dataBar" id="{CE950F05-F2CE-4343-9AED-BF1B65976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X23</xm:sqref>
        </x14:conditionalFormatting>
        <x14:conditionalFormatting xmlns:xm="http://schemas.microsoft.com/office/excel/2006/main">
          <x14:cfRule type="dataBar" id="{AA43C2BC-DA2C-4B55-AF84-571F1776DA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Y23</xm:sqref>
        </x14:conditionalFormatting>
        <x14:conditionalFormatting xmlns:xm="http://schemas.microsoft.com/office/excel/2006/main">
          <x14:cfRule type="dataBar" id="{BF481ABD-7553-4503-9389-9FBA9781C5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Z23</xm:sqref>
        </x14:conditionalFormatting>
        <x14:conditionalFormatting xmlns:xm="http://schemas.microsoft.com/office/excel/2006/main">
          <x14:cfRule type="dataBar" id="{B0798766-D79F-4FE9-A397-00819F1718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AA23</xm:sqref>
        </x14:conditionalFormatting>
        <x14:conditionalFormatting xmlns:xm="http://schemas.microsoft.com/office/excel/2006/main">
          <x14:cfRule type="dataBar" id="{60A57804-3120-4212-B626-DF044E49D1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337440C8-D5D8-49D2-B820-60AE493111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C1D4DED8-AA9D-49CD-81C3-C443016705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Q26</xm:sqref>
        </x14:conditionalFormatting>
        <x14:conditionalFormatting xmlns:xm="http://schemas.microsoft.com/office/excel/2006/main">
          <x14:cfRule type="dataBar" id="{2DF6FB65-D767-4F12-9DC7-D3FF0BD1E2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T26</xm:sqref>
        </x14:conditionalFormatting>
        <x14:conditionalFormatting xmlns:xm="http://schemas.microsoft.com/office/excel/2006/main">
          <x14:cfRule type="dataBar" id="{55341257-6C54-4EB0-9CFB-1337F71975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W26</xm:sqref>
        </x14:conditionalFormatting>
        <x14:conditionalFormatting xmlns:xm="http://schemas.microsoft.com/office/excel/2006/main">
          <x14:cfRule type="dataBar" id="{383C6C28-4861-47FF-AF0C-3288279B24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X26</xm:sqref>
        </x14:conditionalFormatting>
        <x14:conditionalFormatting xmlns:xm="http://schemas.microsoft.com/office/excel/2006/main">
          <x14:cfRule type="dataBar" id="{CE3D8090-D1B5-4411-81F7-B4CE76C903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Y26</xm:sqref>
        </x14:conditionalFormatting>
        <x14:conditionalFormatting xmlns:xm="http://schemas.microsoft.com/office/excel/2006/main">
          <x14:cfRule type="dataBar" id="{C62B2F6D-D7D5-4193-9318-3AE53DEAC2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Z26</xm:sqref>
        </x14:conditionalFormatting>
        <x14:conditionalFormatting xmlns:xm="http://schemas.microsoft.com/office/excel/2006/main">
          <x14:cfRule type="dataBar" id="{1263641D-16B8-45F6-9A91-F6F4D8919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AA26</xm:sqref>
        </x14:conditionalFormatting>
        <x14:conditionalFormatting xmlns:xm="http://schemas.microsoft.com/office/excel/2006/main">
          <x14:cfRule type="dataBar" id="{C0B9866B-3CEE-49E5-BE49-46D20F66D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R26</xm:sqref>
        </x14:conditionalFormatting>
        <x14:conditionalFormatting xmlns:xm="http://schemas.microsoft.com/office/excel/2006/main">
          <x14:cfRule type="dataBar" id="{8331C55F-B092-49DF-B886-04C4563B4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S26</xm:sqref>
        </x14:conditionalFormatting>
        <x14:conditionalFormatting xmlns:xm="http://schemas.microsoft.com/office/excel/2006/main">
          <x14:cfRule type="dataBar" id="{7DB98729-34E5-496E-9B4F-2D28E19BBA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F4ED1644-377D-49C8-A550-7A453E729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09416C42-F2BA-465F-990A-2051A12C5F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24CDBEE4-5E7C-419A-AB37-B52A24B37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EDCA38D0-DD02-40D2-924D-32BF021364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0FE56795-DDC4-4A9D-B0AB-767AD63A8B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 G27</xm:sqref>
        </x14:conditionalFormatting>
        <x14:conditionalFormatting xmlns:xm="http://schemas.microsoft.com/office/excel/2006/main">
          <x14:cfRule type="dataBar" id="{B28B22A5-1123-42D9-B6B2-C62BE2BD6F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 P27</xm:sqref>
        </x14:conditionalFormatting>
        <x14:conditionalFormatting xmlns:xm="http://schemas.microsoft.com/office/excel/2006/main">
          <x14:cfRule type="dataBar" id="{BD257B77-4112-408B-9015-D9528E0B0C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 Q27</xm:sqref>
        </x14:conditionalFormatting>
        <x14:conditionalFormatting xmlns:xm="http://schemas.microsoft.com/office/excel/2006/main">
          <x14:cfRule type="dataBar" id="{42258FCF-F41A-4709-A304-26F2D14F2C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T27 T25</xm:sqref>
        </x14:conditionalFormatting>
        <x14:conditionalFormatting xmlns:xm="http://schemas.microsoft.com/office/excel/2006/main">
          <x14:cfRule type="dataBar" id="{3BE862B0-F129-491D-8682-F9B8A04213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 W27</xm:sqref>
        </x14:conditionalFormatting>
        <x14:conditionalFormatting xmlns:xm="http://schemas.microsoft.com/office/excel/2006/main">
          <x14:cfRule type="dataBar" id="{9F80FE02-24CC-462C-B051-C57A254A7F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X27 X25</xm:sqref>
        </x14:conditionalFormatting>
        <x14:conditionalFormatting xmlns:xm="http://schemas.microsoft.com/office/excel/2006/main">
          <x14:cfRule type="dataBar" id="{5258C885-96C9-4EAA-8051-ADA5555E0D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 Y27</xm:sqref>
        </x14:conditionalFormatting>
        <x14:conditionalFormatting xmlns:xm="http://schemas.microsoft.com/office/excel/2006/main">
          <x14:cfRule type="dataBar" id="{891C45B9-BBC6-4568-9930-28B74024F2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Z27 Z25</xm:sqref>
        </x14:conditionalFormatting>
        <x14:conditionalFormatting xmlns:xm="http://schemas.microsoft.com/office/excel/2006/main">
          <x14:cfRule type="dataBar" id="{8C6B0ACB-F529-4B8E-AEE5-F214CCA906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AA27 AA25</xm:sqref>
        </x14:conditionalFormatting>
        <x14:conditionalFormatting xmlns:xm="http://schemas.microsoft.com/office/excel/2006/main">
          <x14:cfRule type="dataBar" id="{677AFD33-7648-4708-8AEE-972494092F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 R27</xm:sqref>
        </x14:conditionalFormatting>
        <x14:conditionalFormatting xmlns:xm="http://schemas.microsoft.com/office/excel/2006/main">
          <x14:cfRule type="dataBar" id="{96ABA0C9-C8F3-4F35-A96D-D7A0B93A73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 S27</xm:sqref>
        </x14:conditionalFormatting>
        <x14:conditionalFormatting xmlns:xm="http://schemas.microsoft.com/office/excel/2006/main">
          <x14:cfRule type="dataBar" id="{77E1B144-D22F-4C5F-9CEF-B29DF8720D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 U27</xm:sqref>
        </x14:conditionalFormatting>
        <x14:conditionalFormatting xmlns:xm="http://schemas.microsoft.com/office/excel/2006/main">
          <x14:cfRule type="dataBar" id="{943FE55F-B628-4AD1-8FA6-80F651E5EA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 I27</xm:sqref>
        </x14:conditionalFormatting>
        <x14:conditionalFormatting xmlns:xm="http://schemas.microsoft.com/office/excel/2006/main">
          <x14:cfRule type="dataBar" id="{D9404968-A67B-4DB0-AF47-193F43CEF9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 D25</xm:sqref>
        </x14:conditionalFormatting>
        <x14:conditionalFormatting xmlns:xm="http://schemas.microsoft.com/office/excel/2006/main">
          <x14:cfRule type="dataBar" id="{7A0EA2FA-B89D-4575-97F1-5BF83296FE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 E27</xm:sqref>
        </x14:conditionalFormatting>
        <x14:conditionalFormatting xmlns:xm="http://schemas.microsoft.com/office/excel/2006/main">
          <x14:cfRule type="dataBar" id="{65E5C5B4-1AE7-4CB6-B8B2-4798BF4BA3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 F27</xm:sqref>
        </x14:conditionalFormatting>
        <x14:conditionalFormatting xmlns:xm="http://schemas.microsoft.com/office/excel/2006/main">
          <x14:cfRule type="dataBar" id="{74109CCD-3DEC-40A3-ABD7-8D8F3DB685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87762337-C10E-4A63-95A0-0D1CB2A3E0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780DE12-57B4-460F-9921-43679FB576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CD835AE8-1FE2-4EB1-9FDD-2B34AD5A35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AB25:AB27</xm:sqref>
        </x14:conditionalFormatting>
        <x14:conditionalFormatting xmlns:xm="http://schemas.microsoft.com/office/excel/2006/main">
          <x14:cfRule type="dataBar" id="{B6B12D4F-407C-4AAE-B87D-E2106A8876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20D7ADAD-577C-40D9-83C1-A3CEC42A4A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EB9440C6-5077-46BD-ABC8-AA639E647A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51DDC9E8-D76E-4AB0-9D09-EEE058F36E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80288816-E2B3-439A-9782-7743AA9CD9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5A509108-C54E-419B-BBC3-48BE0AA3D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D13F995A-0921-40FD-B1FB-128A04A5B6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50740F7B-E8AF-4FEC-A5FA-D97D97144E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925C2E39-E22F-4798-8928-B63E132E71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5E75F441-101F-4085-842F-B05971F4D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42CFFBA7-E46B-4B1F-8A6B-D29B309ADA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7AEE299E-D5A5-486C-9D04-1913A80614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D78C1E41-7F7C-4E85-AF18-1CDFE33241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A5BF267D-75BA-4D94-98D6-3695EA358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D25:G27</xm:sqref>
        </x14:conditionalFormatting>
        <x14:conditionalFormatting xmlns:xm="http://schemas.microsoft.com/office/excel/2006/main">
          <x14:cfRule type="dataBar" id="{9B9B1272-4443-4D0A-8A23-80F0EEA80A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81A95076-11D1-488E-8C31-A1E699596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O25:AA27</xm:sqref>
        </x14:conditionalFormatting>
        <x14:conditionalFormatting xmlns:xm="http://schemas.microsoft.com/office/excel/2006/main">
          <x14:cfRule type="dataBar" id="{F6D74962-4A58-4E16-BEDD-8EF92A4113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I25:I27</xm:sqref>
        </x14:conditionalFormatting>
        <x14:conditionalFormatting xmlns:xm="http://schemas.microsoft.com/office/excel/2006/main">
          <x14:cfRule type="dataBar" id="{BF7959B4-1E00-40D6-9B04-AC71802C65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F25:F27</xm:sqref>
        </x14:conditionalFormatting>
        <x14:conditionalFormatting xmlns:xm="http://schemas.microsoft.com/office/excel/2006/main">
          <x14:cfRule type="dataBar" id="{229BB61E-A6C8-46F7-A8AD-F8C9758727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G25:G27</xm:sqref>
        </x14:conditionalFormatting>
        <x14:conditionalFormatting xmlns:xm="http://schemas.microsoft.com/office/excel/2006/main">
          <x14:cfRule type="dataBar" id="{DA80EE1A-33FB-49DE-9326-4BB7B37008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O25:O27</xm:sqref>
        </x14:conditionalFormatting>
        <x14:conditionalFormatting xmlns:xm="http://schemas.microsoft.com/office/excel/2006/main">
          <x14:cfRule type="dataBar" id="{86F2BCE0-7F56-48D6-BF55-A35EEE4301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P25:P27</xm:sqref>
        </x14:conditionalFormatting>
        <x14:conditionalFormatting xmlns:xm="http://schemas.microsoft.com/office/excel/2006/main">
          <x14:cfRule type="dataBar" id="{7C02C875-39BC-4A76-9F9E-AE8C792BE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D25:D27</xm:sqref>
        </x14:conditionalFormatting>
        <x14:conditionalFormatting xmlns:xm="http://schemas.microsoft.com/office/excel/2006/main">
          <x14:cfRule type="dataBar" id="{1123B9E5-FDD4-452B-BDA2-6D26DD50B1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E25:E27</xm:sqref>
        </x14:conditionalFormatting>
        <x14:conditionalFormatting xmlns:xm="http://schemas.microsoft.com/office/excel/2006/main">
          <x14:cfRule type="dataBar" id="{ECA0F99A-C1F3-43D1-9B7D-5475123A2E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Q25:Q27</xm:sqref>
        </x14:conditionalFormatting>
        <x14:conditionalFormatting xmlns:xm="http://schemas.microsoft.com/office/excel/2006/main">
          <x14:cfRule type="dataBar" id="{94718159-6D02-4CFA-96AD-30995BDBE7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R25:R27</xm:sqref>
        </x14:conditionalFormatting>
        <x14:conditionalFormatting xmlns:xm="http://schemas.microsoft.com/office/excel/2006/main">
          <x14:cfRule type="dataBar" id="{49CDBF59-45C7-43BC-B180-0EE58F6A9B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S25:S27</xm:sqref>
        </x14:conditionalFormatting>
        <x14:conditionalFormatting xmlns:xm="http://schemas.microsoft.com/office/excel/2006/main">
          <x14:cfRule type="dataBar" id="{84383926-8CB3-4FFE-A7C4-B92EC96CC6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T25:T27</xm:sqref>
        </x14:conditionalFormatting>
        <x14:conditionalFormatting xmlns:xm="http://schemas.microsoft.com/office/excel/2006/main">
          <x14:cfRule type="dataBar" id="{FC5B93C2-1B9D-4A4C-BEC1-E7AC8BE560D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U25:U27</xm:sqref>
        </x14:conditionalFormatting>
        <x14:conditionalFormatting xmlns:xm="http://schemas.microsoft.com/office/excel/2006/main">
          <x14:cfRule type="dataBar" id="{44ED25B0-CFBC-4D2C-ADED-6994BE5D09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V25:V27</xm:sqref>
        </x14:conditionalFormatting>
        <x14:conditionalFormatting xmlns:xm="http://schemas.microsoft.com/office/excel/2006/main">
          <x14:cfRule type="dataBar" id="{C69A2E15-6831-4399-8BC4-A67B010DD4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W25:W27</xm:sqref>
        </x14:conditionalFormatting>
        <x14:conditionalFormatting xmlns:xm="http://schemas.microsoft.com/office/excel/2006/main">
          <x14:cfRule type="dataBar" id="{159BEC47-FF0E-40FF-94AD-305DB50CFD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X25:X27</xm:sqref>
        </x14:conditionalFormatting>
        <x14:conditionalFormatting xmlns:xm="http://schemas.microsoft.com/office/excel/2006/main">
          <x14:cfRule type="dataBar" id="{E23130FA-0C4C-4DA5-8F34-2D9FED54D2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Y25:Y27</xm:sqref>
        </x14:conditionalFormatting>
        <x14:conditionalFormatting xmlns:xm="http://schemas.microsoft.com/office/excel/2006/main">
          <x14:cfRule type="dataBar" id="{690929D5-A27D-48EB-ADD5-43633AC0E3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Z25:Z27</xm:sqref>
        </x14:conditionalFormatting>
        <x14:conditionalFormatting xmlns:xm="http://schemas.microsoft.com/office/excel/2006/main">
          <x14:cfRule type="dataBar" id="{C5534B87-3FA8-4BDD-92E8-E20F5C082A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AA25:AA27</xm:sqref>
        </x14:conditionalFormatting>
        <x14:conditionalFormatting xmlns:xm="http://schemas.microsoft.com/office/excel/2006/main">
          <x14:cfRule type="dataBar" id="{DDFEDD15-65F1-48B5-8377-861EF660F1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Q29:AB29</xm:sqref>
        </x14:conditionalFormatting>
        <x14:conditionalFormatting xmlns:xm="http://schemas.microsoft.com/office/excel/2006/main">
          <x14:cfRule type="dataBar" id="{81E4DA57-07F8-4D07-ADE3-8C837B21C7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9116D0F2-6112-4EAA-95F4-C10C1B10C2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AA29:AB29</xm:sqref>
        </x14:conditionalFormatting>
        <x14:conditionalFormatting xmlns:xm="http://schemas.microsoft.com/office/excel/2006/main">
          <x14:cfRule type="dataBar" id="{32A321A2-3182-4591-8C5D-2B10FAE633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19F5B49E-9A2B-4988-8DC9-8A236C5AE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A1A406B4-F783-47A1-849E-380C82D99C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BD9AFF94-4939-434C-B354-8436B374D9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D29:E29</xm:sqref>
        </x14:conditionalFormatting>
        <x14:conditionalFormatting xmlns:xm="http://schemas.microsoft.com/office/excel/2006/main">
          <x14:cfRule type="dataBar" id="{29A2426B-1ACA-4DFA-AF0D-481DB8AFE3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Q29:AA29</xm:sqref>
        </x14:conditionalFormatting>
        <x14:conditionalFormatting xmlns:xm="http://schemas.microsoft.com/office/excel/2006/main">
          <x14:cfRule type="dataBar" id="{A90D3A9C-B751-4119-87A7-3CF4774E4E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C0F7C638-314C-4C60-B13D-FFC8C09CA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DD6CA18F-401F-433B-BCB7-A1CE2DB8C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EAC9C2EA-C06A-4570-AB93-A6231C8A34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R29</xm:sqref>
        </x14:conditionalFormatting>
        <x14:conditionalFormatting xmlns:xm="http://schemas.microsoft.com/office/excel/2006/main">
          <x14:cfRule type="dataBar" id="{84FF1D8E-4F9D-497C-8D79-2EF29767C0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S29</xm:sqref>
        </x14:conditionalFormatting>
        <x14:conditionalFormatting xmlns:xm="http://schemas.microsoft.com/office/excel/2006/main">
          <x14:cfRule type="dataBar" id="{890E6A07-58A4-4687-8CED-E1A8B7DCB4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T29</xm:sqref>
        </x14:conditionalFormatting>
        <x14:conditionalFormatting xmlns:xm="http://schemas.microsoft.com/office/excel/2006/main">
          <x14:cfRule type="dataBar" id="{5A8A043B-7A45-4413-99E7-07585F5A3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U29</xm:sqref>
        </x14:conditionalFormatting>
        <x14:conditionalFormatting xmlns:xm="http://schemas.microsoft.com/office/excel/2006/main">
          <x14:cfRule type="dataBar" id="{FC40D9D6-C98B-498A-82D0-AC8430E265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V29</xm:sqref>
        </x14:conditionalFormatting>
        <x14:conditionalFormatting xmlns:xm="http://schemas.microsoft.com/office/excel/2006/main">
          <x14:cfRule type="dataBar" id="{FA840246-966F-424E-9B84-F2F6B4EB6C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W29</xm:sqref>
        </x14:conditionalFormatting>
        <x14:conditionalFormatting xmlns:xm="http://schemas.microsoft.com/office/excel/2006/main">
          <x14:cfRule type="dataBar" id="{42809BD2-2F3A-4CE1-B1EE-389CC30AF1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X29</xm:sqref>
        </x14:conditionalFormatting>
        <x14:conditionalFormatting xmlns:xm="http://schemas.microsoft.com/office/excel/2006/main">
          <x14:cfRule type="dataBar" id="{98F965C1-1DF7-4164-BF27-C91A4A9C0E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Y29</xm:sqref>
        </x14:conditionalFormatting>
        <x14:conditionalFormatting xmlns:xm="http://schemas.microsoft.com/office/excel/2006/main">
          <x14:cfRule type="dataBar" id="{AD8B2595-06A6-4EFC-93E3-B24D78EDD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Z29</xm:sqref>
        </x14:conditionalFormatting>
        <x14:conditionalFormatting xmlns:xm="http://schemas.microsoft.com/office/excel/2006/main">
          <x14:cfRule type="dataBar" id="{DB2D0EF8-6774-4523-A861-EF8251F587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AA29</xm:sqref>
        </x14:conditionalFormatting>
        <x14:conditionalFormatting xmlns:xm="http://schemas.microsoft.com/office/excel/2006/main">
          <x14:cfRule type="dataBar" id="{22C24A05-C6A4-40F5-9015-EA16B7AF8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FBDD3F3-6943-4104-91B6-BD8617C3FA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AD965268-5DBB-4D01-8AF1-53C714971E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B31A01A1-6484-4D0C-8E2F-F1BEEEB8E5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03A64CE8-BBF8-4D24-99A6-33F8A9B6A6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60B1273A-5C68-4CB0-B777-18A9F0D5DD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BE4334FD-CB1F-4198-8BC2-B97607E83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EDE82CD-8B42-46FC-A93D-27B4B4015F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E1BDB0D6-F280-41B9-836A-DD5222F21F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63D5367D-E974-448C-A5F3-66CB6FEF20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0DDC12FA-9C3D-4D12-9C56-EB15F75E8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36D082D2-8FBC-4206-AF99-A1D6EA7801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1FF5C3E6-5CF6-483F-8A2A-277B116ECE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52B96295-9C13-437D-8220-C768A2F9CB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8159C7D5-2ED5-4393-898C-8597683A56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10515500-44D9-46F6-A385-21510EA68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0F01BE2A-0887-4880-8EAD-FCFAF65C52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</xm:sqref>
        </x14:conditionalFormatting>
        <x14:conditionalFormatting xmlns:xm="http://schemas.microsoft.com/office/excel/2006/main">
          <x14:cfRule type="dataBar" id="{F915AE09-265E-41A0-AC8B-4D14687F2F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5ABBDDB-F1A9-47EF-93E8-E333A661EE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97757D6-0AA1-4F8F-B848-ED5218B4C7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6BE7C336-4417-4438-8CF4-DE00118874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A49148AA-2D87-4857-ADE1-B8E57514F8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8EBD8FFF-006B-4E52-B44D-B010CFBE6C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7672A5C3-90CD-4713-BC26-A3A1B7FC9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Q35</xm:sqref>
        </x14:conditionalFormatting>
        <x14:conditionalFormatting xmlns:xm="http://schemas.microsoft.com/office/excel/2006/main">
          <x14:cfRule type="dataBar" id="{CF254CD0-75E7-41F8-999D-3030894CC0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880D259-7728-4912-B3D7-D6108C3AB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S35</xm:sqref>
        </x14:conditionalFormatting>
        <x14:conditionalFormatting xmlns:xm="http://schemas.microsoft.com/office/excel/2006/main">
          <x14:cfRule type="dataBar" id="{2CA6E0C8-727F-4D7C-84A2-BE22461354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T35</xm:sqref>
        </x14:conditionalFormatting>
        <x14:conditionalFormatting xmlns:xm="http://schemas.microsoft.com/office/excel/2006/main">
          <x14:cfRule type="dataBar" id="{C828DF1C-D81F-4431-9108-47DCC8B31A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U35</xm:sqref>
        </x14:conditionalFormatting>
        <x14:conditionalFormatting xmlns:xm="http://schemas.microsoft.com/office/excel/2006/main">
          <x14:cfRule type="dataBar" id="{6554AD9F-4A3E-4818-AA97-502860043C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V35</xm:sqref>
        </x14:conditionalFormatting>
        <x14:conditionalFormatting xmlns:xm="http://schemas.microsoft.com/office/excel/2006/main">
          <x14:cfRule type="dataBar" id="{F411AE53-3ED6-4951-8491-5686C4E737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821B68C2-92A4-4809-9B08-6F2A185F91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X35</xm:sqref>
        </x14:conditionalFormatting>
        <x14:conditionalFormatting xmlns:xm="http://schemas.microsoft.com/office/excel/2006/main">
          <x14:cfRule type="dataBar" id="{C1F5053A-2DE1-4CF8-874B-7BFFDA67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Y35</xm:sqref>
        </x14:conditionalFormatting>
        <x14:conditionalFormatting xmlns:xm="http://schemas.microsoft.com/office/excel/2006/main">
          <x14:cfRule type="dataBar" id="{4C4EB3A8-A310-4223-8774-35B030272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Z35</xm:sqref>
        </x14:conditionalFormatting>
        <x14:conditionalFormatting xmlns:xm="http://schemas.microsoft.com/office/excel/2006/main">
          <x14:cfRule type="dataBar" id="{03B68180-2B04-446C-A2C9-AF5F69FE8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C85F0998-40D2-4765-B885-6C233C9299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EF8585E3-C48A-481C-9447-99D1F20F5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3A4D7DB5-9BB2-47A6-8EE8-5F5AC014D7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D5AD38F3-6F9A-472B-80D7-A569760732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F239A3F1-C06F-42C1-A729-A1A7CD30B5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O35:AB35</xm:sqref>
        </x14:conditionalFormatting>
        <x14:conditionalFormatting xmlns:xm="http://schemas.microsoft.com/office/excel/2006/main">
          <x14:cfRule type="dataBar" id="{3AA73CAA-25DA-4F2E-B346-9AED63CE18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AA35:AB35</xm:sqref>
        </x14:conditionalFormatting>
        <x14:conditionalFormatting xmlns:xm="http://schemas.microsoft.com/office/excel/2006/main">
          <x14:cfRule type="dataBar" id="{EE50F991-39FA-41FD-98AE-394B1AB518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40431A68-9340-48AD-966A-EB73D01112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481EF431-5B95-45E7-8CA7-966ED253C59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BFCC954D-BCAF-4E0F-8CED-84D3D28BA0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550635E7-BD31-4472-98FC-B3DB772A58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D35:G35</xm:sqref>
        </x14:conditionalFormatting>
        <x14:conditionalFormatting xmlns:xm="http://schemas.microsoft.com/office/excel/2006/main">
          <x14:cfRule type="dataBar" id="{C915AE4A-B343-4C73-B593-F85A18CB98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1EE276D2-5F15-4246-92E1-88B8A134EA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O35:AA35</xm:sqref>
        </x14:conditionalFormatting>
        <x14:conditionalFormatting xmlns:xm="http://schemas.microsoft.com/office/excel/2006/main">
          <x14:cfRule type="dataBar" id="{4DFFA348-9C85-4B3B-B770-5FFEBBE65E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I35</xm:sqref>
        </x14:conditionalFormatting>
        <x14:conditionalFormatting xmlns:xm="http://schemas.microsoft.com/office/excel/2006/main">
          <x14:cfRule type="dataBar" id="{F7C37E71-E9B9-472B-B959-70A5A05969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</xm:sqref>
        </x14:conditionalFormatting>
        <x14:conditionalFormatting xmlns:xm="http://schemas.microsoft.com/office/excel/2006/main">
          <x14:cfRule type="dataBar" id="{9CE353D4-F40B-491F-BF49-ECFA48CDE4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G35</xm:sqref>
        </x14:conditionalFormatting>
        <x14:conditionalFormatting xmlns:xm="http://schemas.microsoft.com/office/excel/2006/main">
          <x14:cfRule type="dataBar" id="{48910E17-9B74-4A27-9ED4-F7D7CAF0DD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O35</xm:sqref>
        </x14:conditionalFormatting>
        <x14:conditionalFormatting xmlns:xm="http://schemas.microsoft.com/office/excel/2006/main">
          <x14:cfRule type="dataBar" id="{F26D7E93-F04E-4641-906F-2C07B5ABFD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P35</xm:sqref>
        </x14:conditionalFormatting>
        <x14:conditionalFormatting xmlns:xm="http://schemas.microsoft.com/office/excel/2006/main">
          <x14:cfRule type="dataBar" id="{D9D7AC1C-9223-4DD9-855E-516311E55A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AA35</xm:sqref>
        </x14:conditionalFormatting>
        <x14:conditionalFormatting xmlns:xm="http://schemas.microsoft.com/office/excel/2006/main">
          <x14:cfRule type="dataBar" id="{49ACE36D-D0EC-4DCC-9C61-840AC65625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O42</xm:sqref>
        </x14:conditionalFormatting>
        <x14:conditionalFormatting xmlns:xm="http://schemas.microsoft.com/office/excel/2006/main">
          <x14:cfRule type="dataBar" id="{3ECB750D-FE1D-48C3-8B87-8EE8EFC03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V42</xm:sqref>
        </x14:conditionalFormatting>
        <x14:conditionalFormatting xmlns:xm="http://schemas.microsoft.com/office/excel/2006/main">
          <x14:cfRule type="dataBar" id="{B896493E-687A-4317-ADE9-7F831C8DFC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D42:G42</xm:sqref>
        </x14:conditionalFormatting>
        <x14:conditionalFormatting xmlns:xm="http://schemas.microsoft.com/office/excel/2006/main">
          <x14:cfRule type="dataBar" id="{4074E11B-7D94-4B75-9526-BAECDCC0A5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7197D4E7-8B63-417C-9015-42213FB242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482C3C85-0B00-4F81-BB1E-EE8F963227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12A59C1F-DBE2-4650-B57E-38FCBF94EC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887BA5EC-8A15-458E-8045-9B325462A7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19CE4A64-10EE-4F5E-94FF-373DD9E5B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775C0283-ADFD-46F8-B6EA-78807A336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010BCCA8-5EED-4C2F-BFAB-602BA2F281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C4E57E73-F879-4C7F-AA85-DF05A7D1A0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7634FE8-6CEB-49D0-8DA8-FC2D5BF59B6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3B9D2CD7-8FCE-4FAC-9FA2-32AC9A95D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001E71A8-A6DF-4DB0-B981-2608B4F3CA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2F42386A-5F69-4D2B-A970-D65C9DEF9C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EAFE1506-10C9-49E3-A9DC-8C90F24362C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79A8A405-8C74-4398-AD42-6224C58EC6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AF22633-DD15-420E-BE98-8ADC33025B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90627B47-9AED-46C4-8597-6009DF6F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87F23A31-7A4E-4E08-81E6-A054EC1B3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AB31</xm:sqref>
        </x14:conditionalFormatting>
        <x14:conditionalFormatting xmlns:xm="http://schemas.microsoft.com/office/excel/2006/main">
          <x14:cfRule type="dataBar" id="{7D5C2C80-B3F8-47A5-BA16-6DEA4D8224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85FDDEE-E473-4F20-BB94-BD7315D63B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A08F8C4F-E187-462F-9207-FDF3BABB2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9640D59B-A32B-4714-B367-760BDFFA8A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614AA02B-EC19-43F1-AF69-A23AE133BC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4BDAE648-D7DE-43D5-9715-2CAF772BF1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F51025F-9864-4DE8-81CD-0705A587BE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BC963C80-C2FA-41D6-AB61-557239B633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09201E8F-0C8E-4504-A3D4-91A7A21BEE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F4FBA9F-5EAF-4CA5-9477-0C9D0C5F04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</xm:sqref>
        </x14:conditionalFormatting>
        <x14:conditionalFormatting xmlns:xm="http://schemas.microsoft.com/office/excel/2006/main">
          <x14:cfRule type="dataBar" id="{8F388C34-3B1C-47C5-BC2F-995800A54A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C96846AA-8933-476E-8837-CEF2D2E72C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Q31</xm:sqref>
        </x14:conditionalFormatting>
        <x14:conditionalFormatting xmlns:xm="http://schemas.microsoft.com/office/excel/2006/main">
          <x14:cfRule type="dataBar" id="{5285730B-1C82-40B5-BBAB-C5501C5F7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R31</xm:sqref>
        </x14:conditionalFormatting>
        <x14:conditionalFormatting xmlns:xm="http://schemas.microsoft.com/office/excel/2006/main">
          <x14:cfRule type="dataBar" id="{C1189784-9BAA-43FE-8F90-7DACA5772DA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S31</xm:sqref>
        </x14:conditionalFormatting>
        <x14:conditionalFormatting xmlns:xm="http://schemas.microsoft.com/office/excel/2006/main">
          <x14:cfRule type="dataBar" id="{D8FFA7FB-0BDC-48CD-BD87-C4BFC33C7F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T31</xm:sqref>
        </x14:conditionalFormatting>
        <x14:conditionalFormatting xmlns:xm="http://schemas.microsoft.com/office/excel/2006/main">
          <x14:cfRule type="dataBar" id="{F5E28BCD-F233-43B3-9C91-564BE7688C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U31</xm:sqref>
        </x14:conditionalFormatting>
        <x14:conditionalFormatting xmlns:xm="http://schemas.microsoft.com/office/excel/2006/main">
          <x14:cfRule type="dataBar" id="{A816163A-7BEE-4492-B4F5-E8E927D015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V31</xm:sqref>
        </x14:conditionalFormatting>
        <x14:conditionalFormatting xmlns:xm="http://schemas.microsoft.com/office/excel/2006/main">
          <x14:cfRule type="dataBar" id="{81F505AF-A3B3-41E8-86E8-AF54C3CDD2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W31</xm:sqref>
        </x14:conditionalFormatting>
        <x14:conditionalFormatting xmlns:xm="http://schemas.microsoft.com/office/excel/2006/main">
          <x14:cfRule type="dataBar" id="{FE758933-1707-40A0-A517-C796D172E5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X31</xm:sqref>
        </x14:conditionalFormatting>
        <x14:conditionalFormatting xmlns:xm="http://schemas.microsoft.com/office/excel/2006/main">
          <x14:cfRule type="dataBar" id="{A1B3ACF5-5F87-474F-A4C9-3FD83196F6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Y31</xm:sqref>
        </x14:conditionalFormatting>
        <x14:conditionalFormatting xmlns:xm="http://schemas.microsoft.com/office/excel/2006/main">
          <x14:cfRule type="dataBar" id="{2662BC12-762A-46F7-AE99-EAF595444C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Z31</xm:sqref>
        </x14:conditionalFormatting>
        <x14:conditionalFormatting xmlns:xm="http://schemas.microsoft.com/office/excel/2006/main">
          <x14:cfRule type="dataBar" id="{A7439EB5-8B40-42E8-B335-39BDD83169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38E3AD2C-18B4-4579-BF68-52B0FD4CC96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2BA608B7-8886-42AC-BCAD-0681A8B95C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071D407B-8A97-4B59-8121-94CF458F3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9254D812-E3A4-4020-A57F-31278BDA31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D19EFC52-DC88-4DC6-A233-894183F838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FEAA5878-AD1A-4259-A840-F83250758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D31:G31</xm:sqref>
        </x14:conditionalFormatting>
        <x14:conditionalFormatting xmlns:xm="http://schemas.microsoft.com/office/excel/2006/main">
          <x14:cfRule type="dataBar" id="{06547514-6C31-43AD-AAF7-DCBF185BD4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42C8CF01-21E0-4725-AE44-58807615E1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O31:AA31</xm:sqref>
        </x14:conditionalFormatting>
        <x14:conditionalFormatting xmlns:xm="http://schemas.microsoft.com/office/excel/2006/main">
          <x14:cfRule type="dataBar" id="{A59A41C3-1F50-45E1-93FB-D6745FE5BF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  <x14:conditionalFormatting xmlns:xm="http://schemas.microsoft.com/office/excel/2006/main">
          <x14:cfRule type="dataBar" id="{60C9D342-C3A5-491C-A20B-0E78215187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F31</xm:sqref>
        </x14:conditionalFormatting>
        <x14:conditionalFormatting xmlns:xm="http://schemas.microsoft.com/office/excel/2006/main">
          <x14:cfRule type="dataBar" id="{32F7B40E-282C-4A68-9634-10455052A6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G31</xm:sqref>
        </x14:conditionalFormatting>
        <x14:conditionalFormatting xmlns:xm="http://schemas.microsoft.com/office/excel/2006/main">
          <x14:cfRule type="dataBar" id="{853754D4-8899-4148-87B2-50C0D47BBE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O31</xm:sqref>
        </x14:conditionalFormatting>
        <x14:conditionalFormatting xmlns:xm="http://schemas.microsoft.com/office/excel/2006/main">
          <x14:cfRule type="dataBar" id="{7DE72735-3314-49CC-8611-AB855EE63C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P31</xm:sqref>
        </x14:conditionalFormatting>
        <x14:conditionalFormatting xmlns:xm="http://schemas.microsoft.com/office/excel/2006/main">
          <x14:cfRule type="dataBar" id="{6F465980-CB21-44AB-B8AF-C09831ECC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AA31</xm:sqref>
        </x14:conditionalFormatting>
        <x14:conditionalFormatting xmlns:xm="http://schemas.microsoft.com/office/excel/2006/main">
          <x14:cfRule type="dataBar" id="{9CAD6BDD-7FE6-45BF-932A-6F081BC86C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G51</xm:sqref>
        </x14:conditionalFormatting>
        <x14:conditionalFormatting xmlns:xm="http://schemas.microsoft.com/office/excel/2006/main">
          <x14:cfRule type="dataBar" id="{0DDB8726-BF1F-41B1-9AC7-6AEF6798F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P51</xm:sqref>
        </x14:conditionalFormatting>
        <x14:conditionalFormatting xmlns:xm="http://schemas.microsoft.com/office/excel/2006/main">
          <x14:cfRule type="dataBar" id="{A03EA642-8DF4-4A02-B667-4D9D16B0B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Q51</xm:sqref>
        </x14:conditionalFormatting>
        <x14:conditionalFormatting xmlns:xm="http://schemas.microsoft.com/office/excel/2006/main">
          <x14:cfRule type="dataBar" id="{4190791B-4EDC-41EB-B29F-7C74C717DA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T51</xm:sqref>
        </x14:conditionalFormatting>
        <x14:conditionalFormatting xmlns:xm="http://schemas.microsoft.com/office/excel/2006/main">
          <x14:cfRule type="dataBar" id="{6F806C77-E4CA-43FC-B204-AEEE9D3C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755E61D-8E21-4017-A317-640B71353E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X51</xm:sqref>
        </x14:conditionalFormatting>
        <x14:conditionalFormatting xmlns:xm="http://schemas.microsoft.com/office/excel/2006/main">
          <x14:cfRule type="dataBar" id="{FB63F305-2BC9-45E1-86A8-66E8F4C716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Y51</xm:sqref>
        </x14:conditionalFormatting>
        <x14:conditionalFormatting xmlns:xm="http://schemas.microsoft.com/office/excel/2006/main">
          <x14:cfRule type="dataBar" id="{2BBF6B8E-9F23-47D2-8A48-8CE778A4A6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Z51</xm:sqref>
        </x14:conditionalFormatting>
        <x14:conditionalFormatting xmlns:xm="http://schemas.microsoft.com/office/excel/2006/main">
          <x14:cfRule type="dataBar" id="{20A09FDB-39C0-406F-8784-0F5139AA6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AA51:AB51</xm:sqref>
        </x14:conditionalFormatting>
        <x14:conditionalFormatting xmlns:xm="http://schemas.microsoft.com/office/excel/2006/main">
          <x14:cfRule type="dataBar" id="{1143BCD1-EBF6-4EAD-8861-E99D5CD541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BBB0C946-5444-494E-A640-B50EF5A12C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S51</xm:sqref>
        </x14:conditionalFormatting>
        <x14:conditionalFormatting xmlns:xm="http://schemas.microsoft.com/office/excel/2006/main">
          <x14:cfRule type="dataBar" id="{5C8D4270-AE9C-43C1-852A-028598F0E8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F29FCCD2-4613-401E-AC68-51B932AE25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I51</xm:sqref>
        </x14:conditionalFormatting>
        <x14:conditionalFormatting xmlns:xm="http://schemas.microsoft.com/office/excel/2006/main">
          <x14:cfRule type="dataBar" id="{2F19FB1F-0404-466D-B198-5786AD731B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</xm:sqref>
        </x14:conditionalFormatting>
        <x14:conditionalFormatting xmlns:xm="http://schemas.microsoft.com/office/excel/2006/main">
          <x14:cfRule type="dataBar" id="{971715AF-9DCC-4173-B009-87037E13A7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E51</xm:sqref>
        </x14:conditionalFormatting>
        <x14:conditionalFormatting xmlns:xm="http://schemas.microsoft.com/office/excel/2006/main">
          <x14:cfRule type="dataBar" id="{39A7BB74-A4C1-4C21-8C06-44896E5590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F51</xm:sqref>
        </x14:conditionalFormatting>
        <x14:conditionalFormatting xmlns:xm="http://schemas.microsoft.com/office/excel/2006/main">
          <x14:cfRule type="dataBar" id="{674356B9-0CBD-4D16-BE33-2F26C17A3E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I58:I62</xm:sqref>
        </x14:conditionalFormatting>
        <x14:conditionalFormatting xmlns:xm="http://schemas.microsoft.com/office/excel/2006/main">
          <x14:cfRule type="dataBar" id="{5A973DDB-5E25-40B2-9DD1-30A57802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O40:O42 O6 O28 O46:O49 O51:O56 O58:O62</xm:sqref>
        </x14:conditionalFormatting>
        <x14:conditionalFormatting xmlns:xm="http://schemas.microsoft.com/office/excel/2006/main">
          <x14:cfRule type="dataBar" id="{8BB347C8-A0B7-4486-94B2-4F43120889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P40:P42 P6 P28 P46:P49 P51:P56 P58:P62</xm:sqref>
        </x14:conditionalFormatting>
        <x14:conditionalFormatting xmlns:xm="http://schemas.microsoft.com/office/excel/2006/main">
          <x14:cfRule type="dataBar" id="{98352A3C-E1B9-43D6-ADE4-D4D17C353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9E3E49CC-6BD7-4D77-8E6A-0B9D16AFC9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Q32:AB32</xm:sqref>
        </x14:conditionalFormatting>
        <x14:conditionalFormatting xmlns:xm="http://schemas.microsoft.com/office/excel/2006/main">
          <x14:cfRule type="dataBar" id="{C90A8C49-4BAF-4C49-81F6-B39656708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6B66888A-9E5A-4A95-A46A-8D444447FB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AA32:AB32</xm:sqref>
        </x14:conditionalFormatting>
        <x14:conditionalFormatting xmlns:xm="http://schemas.microsoft.com/office/excel/2006/main">
          <x14:cfRule type="dataBar" id="{4E816750-06C5-479C-9F64-08CEA8445E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36B39DBD-FB9C-4D98-85D4-47E01D2CB9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2EF771E3-B8CE-4FBB-A1C6-84F616FC483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</xm:sqref>
        </x14:conditionalFormatting>
        <x14:conditionalFormatting xmlns:xm="http://schemas.microsoft.com/office/excel/2006/main">
          <x14:cfRule type="dataBar" id="{23F461E9-2233-4632-8890-192C2699D7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E32</xm:sqref>
        </x14:conditionalFormatting>
        <x14:conditionalFormatting xmlns:xm="http://schemas.microsoft.com/office/excel/2006/main">
          <x14:cfRule type="dataBar" id="{98F0C2EC-B7E4-48A8-97A5-ACD302096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</xm:sqref>
        </x14:conditionalFormatting>
        <x14:conditionalFormatting xmlns:xm="http://schemas.microsoft.com/office/excel/2006/main">
          <x14:cfRule type="dataBar" id="{9B3C1309-7B82-44FA-BC62-25E85549BE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R32</xm:sqref>
        </x14:conditionalFormatting>
        <x14:conditionalFormatting xmlns:xm="http://schemas.microsoft.com/office/excel/2006/main">
          <x14:cfRule type="dataBar" id="{2C6FF051-9D6D-4A0C-9751-4A747E4FF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S32</xm:sqref>
        </x14:conditionalFormatting>
        <x14:conditionalFormatting xmlns:xm="http://schemas.microsoft.com/office/excel/2006/main">
          <x14:cfRule type="dataBar" id="{3A32F29A-CA6B-4287-8BD4-E387413C11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T32</xm:sqref>
        </x14:conditionalFormatting>
        <x14:conditionalFormatting xmlns:xm="http://schemas.microsoft.com/office/excel/2006/main">
          <x14:cfRule type="dataBar" id="{3A426EBC-707C-4C0D-BB89-EDB31A2251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U32</xm:sqref>
        </x14:conditionalFormatting>
        <x14:conditionalFormatting xmlns:xm="http://schemas.microsoft.com/office/excel/2006/main">
          <x14:cfRule type="dataBar" id="{564D94E2-2C67-497A-B3F7-0BA053765F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V32</xm:sqref>
        </x14:conditionalFormatting>
        <x14:conditionalFormatting xmlns:xm="http://schemas.microsoft.com/office/excel/2006/main">
          <x14:cfRule type="dataBar" id="{55BDC075-0CDC-4DD1-849F-172036331F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W32</xm:sqref>
        </x14:conditionalFormatting>
        <x14:conditionalFormatting xmlns:xm="http://schemas.microsoft.com/office/excel/2006/main">
          <x14:cfRule type="dataBar" id="{E43C996A-A688-419E-8717-BDA48F7A14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X32</xm:sqref>
        </x14:conditionalFormatting>
        <x14:conditionalFormatting xmlns:xm="http://schemas.microsoft.com/office/excel/2006/main">
          <x14:cfRule type="dataBar" id="{7F7DFF3D-B185-4E55-BAA3-5466E4CB67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Y32</xm:sqref>
        </x14:conditionalFormatting>
        <x14:conditionalFormatting xmlns:xm="http://schemas.microsoft.com/office/excel/2006/main">
          <x14:cfRule type="dataBar" id="{28A16E5A-2032-4062-9117-41DDE9F87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Z32</xm:sqref>
        </x14:conditionalFormatting>
        <x14:conditionalFormatting xmlns:xm="http://schemas.microsoft.com/office/excel/2006/main">
          <x14:cfRule type="dataBar" id="{7ADD61B0-E1EE-4BFA-AF09-DFF9EF7F89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D32:E32</xm:sqref>
        </x14:conditionalFormatting>
        <x14:conditionalFormatting xmlns:xm="http://schemas.microsoft.com/office/excel/2006/main">
          <x14:cfRule type="dataBar" id="{054C7035-DC7D-46F6-8EE2-5C2FEADA3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Q32:AA32</xm:sqref>
        </x14:conditionalFormatting>
        <x14:conditionalFormatting xmlns:xm="http://schemas.microsoft.com/office/excel/2006/main">
          <x14:cfRule type="dataBar" id="{B915E63A-07A6-4C49-9E41-244EDFEF9D9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AA32</xm:sqref>
        </x14:conditionalFormatting>
        <x14:conditionalFormatting xmlns:xm="http://schemas.microsoft.com/office/excel/2006/main">
          <x14:cfRule type="dataBar" id="{42C44098-A3E9-44DC-972D-CBB4FB4CB7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32FBE9BF-6906-4414-9250-A09275475F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9E45B61B-F9B3-4BB1-9CD0-BB4B9A182A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A4E80C1A-8E51-423A-A38A-E9112EE270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A1FF78C2-F2E5-4A3F-8697-0D008EAB4E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8DBFBECF-B91D-43CA-926E-FEBCC63D2A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449178FB-6C54-4EC1-8329-8BA4802E14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312EFF37-8EBB-4FC7-ACD4-D86D4CA7C6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2CE2A5FE-98DC-423A-8402-5ED25AA2DE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21B7EBE1-A218-4675-9583-8E2A127EF6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BFDE94AB-1FFC-43DC-B006-A2345902B2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C706F06-BF84-4D49-ADCE-0930E07D5A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0DA63BD2-EC66-4054-B375-DE0E2F1434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384F40EA-5D0B-4C26-B5C0-2B25628BD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D694084-AD57-46A0-ADE5-4FECA0BDCE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1F2F4DAF-585D-4737-BFE9-634A9BF26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46735BC9-803E-45F7-8708-98B86CE388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</xm:sqref>
        </x14:conditionalFormatting>
        <x14:conditionalFormatting xmlns:xm="http://schemas.microsoft.com/office/excel/2006/main">
          <x14:cfRule type="dataBar" id="{264CD45E-52E4-421C-B096-363ACBE6AB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E38</xm:sqref>
        </x14:conditionalFormatting>
        <x14:conditionalFormatting xmlns:xm="http://schemas.microsoft.com/office/excel/2006/main">
          <x14:cfRule type="dataBar" id="{EBB75648-0913-4BA0-9271-ABBEA6E4A2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3A865A8F-C114-4E0B-A467-F31530C65E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C77B83F9-A0B4-4997-AE32-535B3CC8A8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8C754632-4B0F-4842-A352-32EBE9B40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27688D73-DF76-4A15-9C2F-B44ACF3A74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01E22EE8-FE92-4694-953A-C7D0227966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Q38</xm:sqref>
        </x14:conditionalFormatting>
        <x14:conditionalFormatting xmlns:xm="http://schemas.microsoft.com/office/excel/2006/main">
          <x14:cfRule type="dataBar" id="{F6D4E1D4-7D3C-410D-AC72-2B435E02AC7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R38</xm:sqref>
        </x14:conditionalFormatting>
        <x14:conditionalFormatting xmlns:xm="http://schemas.microsoft.com/office/excel/2006/main">
          <x14:cfRule type="dataBar" id="{7EB35521-64DD-46D5-ABB5-FF21388ECE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S38</xm:sqref>
        </x14:conditionalFormatting>
        <x14:conditionalFormatting xmlns:xm="http://schemas.microsoft.com/office/excel/2006/main">
          <x14:cfRule type="dataBar" id="{65110AD5-C431-4569-90C2-B269C773A3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T38</xm:sqref>
        </x14:conditionalFormatting>
        <x14:conditionalFormatting xmlns:xm="http://schemas.microsoft.com/office/excel/2006/main">
          <x14:cfRule type="dataBar" id="{0DE8B7D0-B1CE-40DF-B8A4-82730F5320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U38</xm:sqref>
        </x14:conditionalFormatting>
        <x14:conditionalFormatting xmlns:xm="http://schemas.microsoft.com/office/excel/2006/main">
          <x14:cfRule type="dataBar" id="{87C47EEF-F8AB-4A8A-8215-E238ADAD69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V38</xm:sqref>
        </x14:conditionalFormatting>
        <x14:conditionalFormatting xmlns:xm="http://schemas.microsoft.com/office/excel/2006/main">
          <x14:cfRule type="dataBar" id="{4F944CEB-086E-47CB-825B-CEAFEAB6EE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W38</xm:sqref>
        </x14:conditionalFormatting>
        <x14:conditionalFormatting xmlns:xm="http://schemas.microsoft.com/office/excel/2006/main">
          <x14:cfRule type="dataBar" id="{25C07EF0-E2B7-40DD-8D09-4580815EBE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53B23ED1-4571-4909-8904-8E08E7C85B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Y38</xm:sqref>
        </x14:conditionalFormatting>
        <x14:conditionalFormatting xmlns:xm="http://schemas.microsoft.com/office/excel/2006/main">
          <x14:cfRule type="dataBar" id="{82F94EF7-22E9-4F33-835C-C3D8A865BE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Z38</xm:sqref>
        </x14:conditionalFormatting>
        <x14:conditionalFormatting xmlns:xm="http://schemas.microsoft.com/office/excel/2006/main">
          <x14:cfRule type="dataBar" id="{7EB0520D-765F-4EB8-BE56-4AF50C7637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7A11E8A0-2562-4346-B397-19DBA5F500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44AE8D08-A11F-48C8-B088-8BB0CAF17F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E58D25A5-F024-4D31-B2BE-3C6A2F1741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5EE8A72-C9DD-4072-90E9-048ECD2EEA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FEF2144D-7885-4E69-8EFF-A35D586AB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FC99CE38-26E3-45C1-8488-8C653D652E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EE1EB675-5F1E-474F-A224-3BB32D6563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B557145-0486-4593-8D39-1F9AEA89FD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AB38</xm:sqref>
        </x14:conditionalFormatting>
        <x14:conditionalFormatting xmlns:xm="http://schemas.microsoft.com/office/excel/2006/main">
          <x14:cfRule type="dataBar" id="{208CFD78-8ECB-4F1A-8D82-594B5D54DD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7EC77BA8-38E8-429D-B4DC-A275571AB8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B2976330-B3E5-4E81-9377-77C592F226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7D82CC42-706A-486A-89E1-B83041563D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D38:G38</xm:sqref>
        </x14:conditionalFormatting>
        <x14:conditionalFormatting xmlns:xm="http://schemas.microsoft.com/office/excel/2006/main">
          <x14:cfRule type="dataBar" id="{59AEEFDE-07B7-445E-BB04-18ACB2D573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98AAB785-F95E-40C5-B3BA-BC040FA2C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O38:AA38</xm:sqref>
        </x14:conditionalFormatting>
        <x14:conditionalFormatting xmlns:xm="http://schemas.microsoft.com/office/excel/2006/main">
          <x14:cfRule type="dataBar" id="{105056A8-8449-4A91-B66B-4D530B22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I38</xm:sqref>
        </x14:conditionalFormatting>
        <x14:conditionalFormatting xmlns:xm="http://schemas.microsoft.com/office/excel/2006/main">
          <x14:cfRule type="dataBar" id="{63E8D5B9-C8AE-46ED-AC74-D9A8EF028D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F38</xm:sqref>
        </x14:conditionalFormatting>
        <x14:conditionalFormatting xmlns:xm="http://schemas.microsoft.com/office/excel/2006/main">
          <x14:cfRule type="dataBar" id="{5A814ED0-2460-4FEA-90FC-170D68B4A7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G38</xm:sqref>
        </x14:conditionalFormatting>
        <x14:conditionalFormatting xmlns:xm="http://schemas.microsoft.com/office/excel/2006/main">
          <x14:cfRule type="dataBar" id="{895AD929-D149-4386-8405-BCCCE3247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O38</xm:sqref>
        </x14:conditionalFormatting>
        <x14:conditionalFormatting xmlns:xm="http://schemas.microsoft.com/office/excel/2006/main">
          <x14:cfRule type="dataBar" id="{458A8E6C-48CF-46FF-BABC-FE9CEB9210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</xm:sqref>
        </x14:conditionalFormatting>
        <x14:conditionalFormatting xmlns:xm="http://schemas.microsoft.com/office/excel/2006/main">
          <x14:cfRule type="dataBar" id="{1730BABB-7412-44D8-A294-C10779A76B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E2E4F94-92FF-41B8-8882-8A7F24CEF2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D58:G62 D69:E69</xm:sqref>
        </x14:conditionalFormatting>
        <x14:conditionalFormatting xmlns:xm="http://schemas.microsoft.com/office/excel/2006/main">
          <x14:cfRule type="dataBar" id="{59B876F8-77CA-4326-889E-7E935EAC02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D85FE56C-0CC7-4385-BD3F-7777C59D09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O34:AB34</xm:sqref>
        </x14:conditionalFormatting>
        <x14:conditionalFormatting xmlns:xm="http://schemas.microsoft.com/office/excel/2006/main">
          <x14:cfRule type="dataBar" id="{2F51A106-1FD1-48A2-938F-BA9A9F695D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147331EB-5F1B-44E7-A215-D9D3935753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095A06B4-C4E2-4D1B-BA7A-3789C48B27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966B563E-6135-44CF-B9DC-1B8FFCFA93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2C6C67CB-70F6-4CDB-9D53-D191AD6FAE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FCCB348A-F088-4BF9-A49A-8D38B3E85C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A43B72F0-D517-419D-BC6D-2F20CCF7DA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F8341658-D888-40A9-898D-7129D69268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606F3650-1C37-4BB8-8A39-D90E5CF3F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FC5533AE-6EE9-4658-B5AF-BCB95B5A05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AA34:AB34</xm:sqref>
        </x14:conditionalFormatting>
        <x14:conditionalFormatting xmlns:xm="http://schemas.microsoft.com/office/excel/2006/main">
          <x14:cfRule type="dataBar" id="{85FECA8E-1359-4BB2-8DB8-DE005E54DB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</xm:sqref>
        </x14:conditionalFormatting>
        <x14:conditionalFormatting xmlns:xm="http://schemas.microsoft.com/office/excel/2006/main">
          <x14:cfRule type="dataBar" id="{4F80E68A-E091-47CA-A75B-294CA84DFA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E34</xm:sqref>
        </x14:conditionalFormatting>
        <x14:conditionalFormatting xmlns:xm="http://schemas.microsoft.com/office/excel/2006/main">
          <x14:cfRule type="dataBar" id="{FB3EFADC-C253-4164-A54D-174C3B49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Q34</xm:sqref>
        </x14:conditionalFormatting>
        <x14:conditionalFormatting xmlns:xm="http://schemas.microsoft.com/office/excel/2006/main">
          <x14:cfRule type="dataBar" id="{FFA4E4AB-55D0-449D-8515-87F7833659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R34</xm:sqref>
        </x14:conditionalFormatting>
        <x14:conditionalFormatting xmlns:xm="http://schemas.microsoft.com/office/excel/2006/main">
          <x14:cfRule type="dataBar" id="{488B9B40-163C-4861-8ECB-DA856C1CB1B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S34</xm:sqref>
        </x14:conditionalFormatting>
        <x14:conditionalFormatting xmlns:xm="http://schemas.microsoft.com/office/excel/2006/main">
          <x14:cfRule type="dataBar" id="{CD90AC94-CCE2-4D0B-9B79-91C4C5527E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T34</xm:sqref>
        </x14:conditionalFormatting>
        <x14:conditionalFormatting xmlns:xm="http://schemas.microsoft.com/office/excel/2006/main">
          <x14:cfRule type="dataBar" id="{42F2647B-66C0-44AA-9A74-383317A3A8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U34</xm:sqref>
        </x14:conditionalFormatting>
        <x14:conditionalFormatting xmlns:xm="http://schemas.microsoft.com/office/excel/2006/main">
          <x14:cfRule type="dataBar" id="{0D609C88-211C-47D1-964C-F483A5181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</xm:sqref>
        </x14:conditionalFormatting>
        <x14:conditionalFormatting xmlns:xm="http://schemas.microsoft.com/office/excel/2006/main">
          <x14:cfRule type="dataBar" id="{7CCBFD67-8A85-4014-83C9-416306A993D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W34</xm:sqref>
        </x14:conditionalFormatting>
        <x14:conditionalFormatting xmlns:xm="http://schemas.microsoft.com/office/excel/2006/main">
          <x14:cfRule type="dataBar" id="{CA2BDD4F-EA90-414B-A89F-52DD967AD0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X34</xm:sqref>
        </x14:conditionalFormatting>
        <x14:conditionalFormatting xmlns:xm="http://schemas.microsoft.com/office/excel/2006/main">
          <x14:cfRule type="dataBar" id="{26251FA8-360E-4102-8BD7-4AA98B32B0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Y34</xm:sqref>
        </x14:conditionalFormatting>
        <x14:conditionalFormatting xmlns:xm="http://schemas.microsoft.com/office/excel/2006/main">
          <x14:cfRule type="dataBar" id="{73109168-DE7E-4476-89CA-527B5A8A56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Z34</xm:sqref>
        </x14:conditionalFormatting>
        <x14:conditionalFormatting xmlns:xm="http://schemas.microsoft.com/office/excel/2006/main">
          <x14:cfRule type="dataBar" id="{5BC5ADC9-05CF-491A-AC83-9162291D71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B957A1E1-DA4C-4C67-8084-8F74C164CD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9811F633-D702-494F-8281-A5051D3C22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BCD649EA-3990-4FC8-ABC1-6EF70BF582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D34:G34</xm:sqref>
        </x14:conditionalFormatting>
        <x14:conditionalFormatting xmlns:xm="http://schemas.microsoft.com/office/excel/2006/main">
          <x14:cfRule type="dataBar" id="{878F4DB8-1A0F-419A-BCD2-A0DA799BED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F3A1E073-3D0B-4081-815B-9D1A977C3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O34:AA34</xm:sqref>
        </x14:conditionalFormatting>
        <x14:conditionalFormatting xmlns:xm="http://schemas.microsoft.com/office/excel/2006/main">
          <x14:cfRule type="dataBar" id="{F8B48E1F-DAD5-4323-8A2E-D450BBAFC0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C6436EF6-9500-4F36-8034-562C402C00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D75E1D9A-87E4-4825-A161-CBA3D0976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3C0DE8A3-E64A-49AB-A266-5809517544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</xm:sqref>
        </x14:conditionalFormatting>
        <x14:conditionalFormatting xmlns:xm="http://schemas.microsoft.com/office/excel/2006/main">
          <x14:cfRule type="dataBar" id="{0DD38BE1-2499-42DA-90B6-E8DE0E178A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P34</xm:sqref>
        </x14:conditionalFormatting>
        <x14:conditionalFormatting xmlns:xm="http://schemas.microsoft.com/office/excel/2006/main">
          <x14:cfRule type="dataBar" id="{57B72184-E477-4DB8-A62C-F4EAB7EF94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AA34</xm:sqref>
        </x14:conditionalFormatting>
        <x14:conditionalFormatting xmlns:xm="http://schemas.microsoft.com/office/excel/2006/main">
          <x14:cfRule type="dataBar" id="{0A6F7B29-9CD0-46F5-9A79-97505A44CE2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D1:G1 D40:G41 D45:E45 D6:G6 D28:G28 D70:G73 D37:G37 D67:G68 D46:G49 D51:G56 D58:G62 D69:E69</xm:sqref>
        </x14:conditionalFormatting>
        <x14:conditionalFormatting xmlns:xm="http://schemas.microsoft.com/office/excel/2006/main">
          <x14:cfRule type="dataBar" id="{6C5A1AB3-CE78-4B71-86AE-2D1B546E1F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I1 I6 I28 I46:I49 I51:I56 I58:I62</xm:sqref>
        </x14:conditionalFormatting>
        <x14:conditionalFormatting xmlns:xm="http://schemas.microsoft.com/office/excel/2006/main">
          <x14:cfRule type="dataBar" id="{84CEB9D0-7C43-4E93-B546-006E6692DC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F70:F73 F37 F67:F68 F40:F41 F6 F28 F46:F49 F51:F56 F58:F62</xm:sqref>
        </x14:conditionalFormatting>
        <x14:conditionalFormatting xmlns:xm="http://schemas.microsoft.com/office/excel/2006/main">
          <x14:cfRule type="dataBar" id="{702CC5B8-2D40-43FF-811B-38C2099EC0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G70:G73 G37 G67:G68 G40:G41 G6 G28 G46:G49 G51:G56 G58:G62</xm:sqref>
        </x14:conditionalFormatting>
        <x14:conditionalFormatting xmlns:xm="http://schemas.microsoft.com/office/excel/2006/main">
          <x14:cfRule type="dataBar" id="{06E5F22E-21A0-4176-98F5-1EB9B70551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I40:I41 I6 I28 I46:I49 I51:I56 I58:I62</xm:sqref>
        </x14:conditionalFormatting>
        <x14:conditionalFormatting xmlns:xm="http://schemas.microsoft.com/office/excel/2006/main">
          <x14:cfRule type="dataBar" id="{B5A5FBD1-8C26-42EB-B503-89A650FC0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O70:O73 O37 O67:O68 O40:O41 O6 O28 O46:O49 O51:O56 O58:O62</xm:sqref>
        </x14:conditionalFormatting>
        <x14:conditionalFormatting xmlns:xm="http://schemas.microsoft.com/office/excel/2006/main">
          <x14:cfRule type="dataBar" id="{B3811EDC-6694-4329-997D-1C1E0F753C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P70:P73 P37 P67:P68 P40:P41 P6 P28 P46:P49 P51:P56 P58:P62</xm:sqref>
        </x14:conditionalFormatting>
        <x14:conditionalFormatting xmlns:xm="http://schemas.microsoft.com/office/excel/2006/main">
          <x14:cfRule type="dataBar" id="{4AD332D3-5791-4C7C-B0FE-C23A48B412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AA40:AB42 AB36 AA28:AB28 AA45:AB62 AA64:AB74 AA37:AB37</xm:sqref>
        </x14:conditionalFormatting>
        <x14:conditionalFormatting xmlns:xm="http://schemas.microsoft.com/office/excel/2006/main">
          <x14:cfRule type="dataBar" id="{DE873575-D43C-44CE-B2EC-81460CF18E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D40:G41 D45:E45 D28:G28 D70:G73 D37:G37 D67:G68 D46:G49 D51:G56 D58:G62 D69:E69</xm:sqref>
        </x14:conditionalFormatting>
        <x14:conditionalFormatting xmlns:xm="http://schemas.microsoft.com/office/excel/2006/main">
          <x14:cfRule type="dataBar" id="{71F2849D-4F4B-4FB1-BCBC-72A3EFB100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D74:E74 D64:E66 D50:E50 D57:E57 D6:G6 D40:G42 D45:E45 D28:G28 D70:G73 D37:G37 D67:G68 D46:G49 D51:G56 D58:G63 D69:E69</xm:sqref>
        </x14:conditionalFormatting>
        <x14:conditionalFormatting xmlns:xm="http://schemas.microsoft.com/office/excel/2006/main">
          <x14:cfRule type="dataBar" id="{A096B291-A2A6-49F3-BFC1-DE65EC9DA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I70:I73 I37 I67:I68 I40:I42 I6 I28 I46:I49 I51:I56 I58:I63</xm:sqref>
        </x14:conditionalFormatting>
        <x14:conditionalFormatting xmlns:xm="http://schemas.microsoft.com/office/excel/2006/main">
          <x14:cfRule type="dataBar" id="{B23DC281-6236-4D7E-A995-AC44F6FD35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Q74:AA74 Q64:AA66 Q50:AA50 Q57:AA57 O6:AA6 O40:AA42 Q45:AA45 O28:AA28 O70:AA73 O37:AA37 O67:AA68 O46:AA49 O51:AA56 O58:AA63 Q69:AA69</xm:sqref>
        </x14:conditionalFormatting>
        <x14:conditionalFormatting xmlns:xm="http://schemas.microsoft.com/office/excel/2006/main">
          <x14:cfRule type="dataBar" id="{84EE4595-F7B7-47E4-851B-4942469882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I70:I73 I67:I68 I28 I6 I36:I37 I40:I43 I46:I49 I51:I56 I58:I63</xm:sqref>
        </x14:conditionalFormatting>
        <x14:conditionalFormatting xmlns:xm="http://schemas.microsoft.com/office/excel/2006/main">
          <x14:cfRule type="dataBar" id="{7F312BF4-A984-46D8-81E7-17A3E583BB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F70:F73 F67:F68 F28 F6 F36:F37 F40:F43 F46:F49 F51:F56 F58:F63</xm:sqref>
        </x14:conditionalFormatting>
        <x14:conditionalFormatting xmlns:xm="http://schemas.microsoft.com/office/excel/2006/main">
          <x14:cfRule type="dataBar" id="{5B4C5AC9-D6FC-43CB-ABF7-7F9FBBA4F5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G70:G73 G67:G68 G28 G6 G36:G37 G40:G43 G46:G49 G51:G56 G58:G63</xm:sqref>
        </x14:conditionalFormatting>
        <x14:conditionalFormatting xmlns:xm="http://schemas.microsoft.com/office/excel/2006/main">
          <x14:cfRule type="dataBar" id="{14C117A8-1A15-4BF3-8472-540DB000F0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O70:O73 O67:O68 O28 O6 O36:O37 O40:O43 O46:O49 O51:O56 O58:O63</xm:sqref>
        </x14:conditionalFormatting>
        <x14:conditionalFormatting xmlns:xm="http://schemas.microsoft.com/office/excel/2006/main">
          <x14:cfRule type="dataBar" id="{BD92BA03-4E9C-4718-8DF1-9B57759257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P70:P73 P67:P68 P28 P6 P36:P37 P40:P43 P46:P49 P51:P56 P58:P63</xm:sqref>
        </x14:conditionalFormatting>
        <x14:conditionalFormatting xmlns:xm="http://schemas.microsoft.com/office/excel/2006/main">
          <x14:cfRule type="dataBar" id="{EF762924-5D54-4702-8363-930AE6E8A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AA6:AB6 AB63 AA40:AB41 AB36 AA28:AB28 AA45:AB62 AA64:AB74 AA37:AB37</xm:sqref>
        </x14:conditionalFormatting>
        <x14:conditionalFormatting xmlns:xm="http://schemas.microsoft.com/office/excel/2006/main">
          <x14:cfRule type="dataBar" id="{32C8FD0A-BD57-4E42-920E-7930C18133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D64:D74 D40:D41 D6 D28 D45:D62 D37</xm:sqref>
        </x14:conditionalFormatting>
        <x14:conditionalFormatting xmlns:xm="http://schemas.microsoft.com/office/excel/2006/main">
          <x14:cfRule type="dataBar" id="{AD522285-E66E-42F8-9E73-4E6A5A5EA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E64:E74 E40:E41 E6 E28 E45:E62 E37</xm:sqref>
        </x14:conditionalFormatting>
        <x14:conditionalFormatting xmlns:xm="http://schemas.microsoft.com/office/excel/2006/main">
          <x14:cfRule type="dataBar" id="{A4792609-9AD8-407D-8502-D9F00CA475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Q64:Q74 Q40:Q41 Q6 Q28 Q45:Q62 Q37</xm:sqref>
        </x14:conditionalFormatting>
        <x14:conditionalFormatting xmlns:xm="http://schemas.microsoft.com/office/excel/2006/main">
          <x14:cfRule type="dataBar" id="{D7F8EC1C-D42A-4252-B56F-F178579D70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R64:R74 R40:R41 R6 R28 R45:R62 R37</xm:sqref>
        </x14:conditionalFormatting>
        <x14:conditionalFormatting xmlns:xm="http://schemas.microsoft.com/office/excel/2006/main">
          <x14:cfRule type="dataBar" id="{CA6AC081-1848-4FC0-99EA-00769481E3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S64:S74 S40:S41 S6 S28 S45:S62 S37</xm:sqref>
        </x14:conditionalFormatting>
        <x14:conditionalFormatting xmlns:xm="http://schemas.microsoft.com/office/excel/2006/main">
          <x14:cfRule type="dataBar" id="{719ACFC1-164B-46F9-99E9-A949992282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T64:T74 T40:T41 T6 T28 T45:T62 T37</xm:sqref>
        </x14:conditionalFormatting>
        <x14:conditionalFormatting xmlns:xm="http://schemas.microsoft.com/office/excel/2006/main">
          <x14:cfRule type="dataBar" id="{349C3635-969E-4D7B-B43E-09933831BB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U64:U74 U40:U41 U6 U28 U45:U62 U37</xm:sqref>
        </x14:conditionalFormatting>
        <x14:conditionalFormatting xmlns:xm="http://schemas.microsoft.com/office/excel/2006/main">
          <x14:cfRule type="dataBar" id="{AEE0E441-53AC-4BAD-BA96-C5E268032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V64:V74 V40:V41 V6 V28 V45:V62 V37</xm:sqref>
        </x14:conditionalFormatting>
        <x14:conditionalFormatting xmlns:xm="http://schemas.microsoft.com/office/excel/2006/main">
          <x14:cfRule type="dataBar" id="{5FAABCEE-1923-4B84-8DC1-3F67BE9AAC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W64:W74 W40:W41 W6 W28 W45:W62 W37</xm:sqref>
        </x14:conditionalFormatting>
        <x14:conditionalFormatting xmlns:xm="http://schemas.microsoft.com/office/excel/2006/main">
          <x14:cfRule type="dataBar" id="{84A873D2-C941-42AD-9B5D-99153433FAF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X64:X74 X40:X41 X6 X28 X45:X62 X37</xm:sqref>
        </x14:conditionalFormatting>
        <x14:conditionalFormatting xmlns:xm="http://schemas.microsoft.com/office/excel/2006/main">
          <x14:cfRule type="dataBar" id="{C6D75387-8D02-4477-BAC7-0242B9EF04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Y64:Y74 Y40:Y41 Y6 Y28 Y45:Y62 Y37</xm:sqref>
        </x14:conditionalFormatting>
        <x14:conditionalFormatting xmlns:xm="http://schemas.microsoft.com/office/excel/2006/main">
          <x14:cfRule type="dataBar" id="{35D28474-8A29-4A66-96F7-C2584A7D8D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Z64:Z74 Z40:Z41 Z6 Z28 Z45:Z62 Z37</xm:sqref>
        </x14:conditionalFormatting>
        <x14:conditionalFormatting xmlns:xm="http://schemas.microsoft.com/office/excel/2006/main">
          <x14:cfRule type="dataBar" id="{75E19A89-1D5B-4F1C-8377-B0A40423736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24839AD4-8364-4F95-92C7-DACB4E0637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B1536438-6F04-4BB0-A36D-71C83B5E9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7670955A-ED27-40BE-A8B3-42BD73A8A5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17209C08-41B9-4000-ACB1-F08ACA3F36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9838C4A4-9BB3-448C-9973-07C07F56AF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51C5D792-C20D-4AB4-BA15-1676776BC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7345173C-41E5-42B8-A77A-EC93A38CEE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666B56D2-9D35-4CF5-A9FF-C5CACF8DFD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232D66EB-8C0E-4AE4-9CCE-59020EE6CE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87D9361B-86B7-4179-9511-1104222D62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701E2AD6-AEAB-43E3-97E7-49D44DA1F9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51380EFF-328C-4986-BF85-EDEBAF5834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23AE70BE-5CB2-41FC-B922-05CC3E7694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7599F380-451C-4458-8215-DD2C6F5983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A464D52F-6C3D-4440-B3D9-48CED7EC62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F5BF07D8-7B0C-43C0-BA1E-A39133B328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AE7F9699-8A28-4F53-8DAA-872FB013CC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2620935B-796E-441E-81BF-32B1DAEB5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193D38B-2B4A-4DA8-A16A-E8E9A6357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</xm:sqref>
        </x14:conditionalFormatting>
        <x14:conditionalFormatting xmlns:xm="http://schemas.microsoft.com/office/excel/2006/main">
          <x14:cfRule type="dataBar" id="{4BCC03F0-9994-4751-A75E-B89599F577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E44</xm:sqref>
        </x14:conditionalFormatting>
        <x14:conditionalFormatting xmlns:xm="http://schemas.microsoft.com/office/excel/2006/main">
          <x14:cfRule type="dataBar" id="{49B28B26-400A-455F-8074-F2C3C46D12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060039C4-0ADE-438B-9E17-AA8B2419FC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2783CD20-0B4A-4A40-A766-27FFBA92F1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3D6E64E1-D8C2-4EE9-9709-2C504CD0B4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3F0477D-B07E-4B30-99EF-0CA1C846B1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2735BFF-96E2-49EE-9C92-349A6AEBA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3BFD1FA-8E28-404E-8D0D-25B26D518E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R44</xm:sqref>
        </x14:conditionalFormatting>
        <x14:conditionalFormatting xmlns:xm="http://schemas.microsoft.com/office/excel/2006/main">
          <x14:cfRule type="dataBar" id="{59DCAF98-EAA1-405C-8471-E7961A5D7A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S44</xm:sqref>
        </x14:conditionalFormatting>
        <x14:conditionalFormatting xmlns:xm="http://schemas.microsoft.com/office/excel/2006/main">
          <x14:cfRule type="dataBar" id="{9E7DD5D7-DA4F-446F-9067-8A0AB821A4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T44</xm:sqref>
        </x14:conditionalFormatting>
        <x14:conditionalFormatting xmlns:xm="http://schemas.microsoft.com/office/excel/2006/main">
          <x14:cfRule type="dataBar" id="{5F798E8B-E7C0-4C2C-8B0B-10A857506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U44</xm:sqref>
        </x14:conditionalFormatting>
        <x14:conditionalFormatting xmlns:xm="http://schemas.microsoft.com/office/excel/2006/main">
          <x14:cfRule type="dataBar" id="{0180CE5F-9028-4163-890E-00B2826CC3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V44</xm:sqref>
        </x14:conditionalFormatting>
        <x14:conditionalFormatting xmlns:xm="http://schemas.microsoft.com/office/excel/2006/main">
          <x14:cfRule type="dataBar" id="{7744F65C-2200-451E-8BA6-AC56BB794A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W44</xm:sqref>
        </x14:conditionalFormatting>
        <x14:conditionalFormatting xmlns:xm="http://schemas.microsoft.com/office/excel/2006/main">
          <x14:cfRule type="dataBar" id="{5F70F0FC-EC3A-466C-8828-51F184BAAE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X44</xm:sqref>
        </x14:conditionalFormatting>
        <x14:conditionalFormatting xmlns:xm="http://schemas.microsoft.com/office/excel/2006/main">
          <x14:cfRule type="dataBar" id="{8961AAD3-F6FF-426A-8AC0-7197BF6F893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Y44</xm:sqref>
        </x14:conditionalFormatting>
        <x14:conditionalFormatting xmlns:xm="http://schemas.microsoft.com/office/excel/2006/main">
          <x14:cfRule type="dataBar" id="{4391EC87-CD4C-431D-8193-523B80DB0A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Z44</xm:sqref>
        </x14:conditionalFormatting>
        <x14:conditionalFormatting xmlns:xm="http://schemas.microsoft.com/office/excel/2006/main">
          <x14:cfRule type="dataBar" id="{0EA0481C-F0DB-4CA8-8D00-0D123C8FF0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ED1A20C-D9DD-4A3E-84B8-EEEDCE9CD89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C3C240B6-8D44-41C3-9ED6-D827F68B2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C920EA4-30B8-4868-9F47-31FDFAC478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11219DF5-946C-4D1C-A676-44AAF7AD5B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O44:AB44</xm:sqref>
        </x14:conditionalFormatting>
        <x14:conditionalFormatting xmlns:xm="http://schemas.microsoft.com/office/excel/2006/main">
          <x14:cfRule type="dataBar" id="{47DF4252-6191-444D-84E7-5F23F8BA24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F773B8A8-7DD6-460C-ACC1-1E345CB85B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F5700BF1-C7C6-411B-A979-4C31E9695F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AA44:AB44</xm:sqref>
        </x14:conditionalFormatting>
        <x14:conditionalFormatting xmlns:xm="http://schemas.microsoft.com/office/excel/2006/main">
          <x14:cfRule type="dataBar" id="{F6528B5F-1CA4-4B25-9EBB-9786AB8FED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D44:G44</xm:sqref>
        </x14:conditionalFormatting>
        <x14:conditionalFormatting xmlns:xm="http://schemas.microsoft.com/office/excel/2006/main">
          <x14:cfRule type="dataBar" id="{89EB6AF7-9EAB-4D2C-8A29-7EAEAC664B7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DF483286-5E6C-4225-9892-C699190CFD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O44:AA44</xm:sqref>
        </x14:conditionalFormatting>
        <x14:conditionalFormatting xmlns:xm="http://schemas.microsoft.com/office/excel/2006/main">
          <x14:cfRule type="dataBar" id="{1BFDD240-542A-45C2-AA38-FFBE7F53E3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I44</xm:sqref>
        </x14:conditionalFormatting>
        <x14:conditionalFormatting xmlns:xm="http://schemas.microsoft.com/office/excel/2006/main">
          <x14:cfRule type="dataBar" id="{A9022A48-C23F-49E9-9F5C-32AA8931AC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F44</xm:sqref>
        </x14:conditionalFormatting>
        <x14:conditionalFormatting xmlns:xm="http://schemas.microsoft.com/office/excel/2006/main">
          <x14:cfRule type="dataBar" id="{7EF618EF-77B3-40C8-951F-BE39743C5B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G44</xm:sqref>
        </x14:conditionalFormatting>
        <x14:conditionalFormatting xmlns:xm="http://schemas.microsoft.com/office/excel/2006/main">
          <x14:cfRule type="dataBar" id="{DAD053CC-8F07-46AC-88AC-A9C7F102A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</xm:sqref>
        </x14:conditionalFormatting>
        <x14:conditionalFormatting xmlns:xm="http://schemas.microsoft.com/office/excel/2006/main">
          <x14:cfRule type="dataBar" id="{AAB25451-9302-42D3-90B9-10DB0C483E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</xm:sqref>
        </x14:conditionalFormatting>
        <x14:conditionalFormatting xmlns:xm="http://schemas.microsoft.com/office/excel/2006/main">
          <x14:cfRule type="dataBar" id="{614794E4-F347-4435-840B-0A1BF6FB18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AA44</xm:sqref>
        </x14:conditionalFormatting>
        <x14:conditionalFormatting xmlns:xm="http://schemas.microsoft.com/office/excel/2006/main">
          <x14:cfRule type="dataBar" id="{1E4CCDF1-1B01-4DD6-9E18-AB8BE55122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Q74:AB74 Q66:AB66 Q50:AB50 AB63:AB65 O6:AB6 O40:AB42 AB36 Q64:AA65 Q57:AB57 Q45:AB45 O28:AB28 O70:AB73 O37:AB37 O67:AB68 O46:AB49 O51:AB56 O58:AB62 Q69:AB69</xm:sqref>
        </x14:conditionalFormatting>
        <x14:conditionalFormatting xmlns:xm="http://schemas.microsoft.com/office/excel/2006/main">
          <x14:cfRule type="dataBar" id="{83F2DE7D-1B80-49DF-B466-4747188628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E83A08A2-07A6-4FDA-9D4C-EB66EC91E1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55E4546C-2BCF-4F06-847F-DC2D25FF79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2489C23E-1344-4139-9542-138191CE8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B928D960-E8E6-4D25-A40F-0F2B4084BC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D75:E76</xm:sqref>
        </x14:conditionalFormatting>
        <x14:conditionalFormatting xmlns:xm="http://schemas.microsoft.com/office/excel/2006/main">
          <x14:cfRule type="dataBar" id="{8FF84251-1F9B-4F26-BD04-AF9A855B4C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Q75:AA76</xm:sqref>
        </x14:conditionalFormatting>
        <x14:conditionalFormatting xmlns:xm="http://schemas.microsoft.com/office/excel/2006/main">
          <x14:cfRule type="dataBar" id="{2D2A5991-BD36-48E8-ABBB-8F5217D94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AA75:AB76</xm:sqref>
        </x14:conditionalFormatting>
        <x14:conditionalFormatting xmlns:xm="http://schemas.microsoft.com/office/excel/2006/main">
          <x14:cfRule type="dataBar" id="{5891F089-31AD-4832-A00D-9CC87D96ED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D75:D76</xm:sqref>
        </x14:conditionalFormatting>
        <x14:conditionalFormatting xmlns:xm="http://schemas.microsoft.com/office/excel/2006/main">
          <x14:cfRule type="dataBar" id="{80316A5E-0087-4C79-BD63-015BCFAB42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E75:E76</xm:sqref>
        </x14:conditionalFormatting>
        <x14:conditionalFormatting xmlns:xm="http://schemas.microsoft.com/office/excel/2006/main">
          <x14:cfRule type="dataBar" id="{C1D020E2-CA30-4CDA-BFAF-616B5FB0BF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Q75:Q76</xm:sqref>
        </x14:conditionalFormatting>
        <x14:conditionalFormatting xmlns:xm="http://schemas.microsoft.com/office/excel/2006/main">
          <x14:cfRule type="dataBar" id="{4B1CA319-2532-4FBF-9ABB-AFA1CF7C0D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R75:R76</xm:sqref>
        </x14:conditionalFormatting>
        <x14:conditionalFormatting xmlns:xm="http://schemas.microsoft.com/office/excel/2006/main">
          <x14:cfRule type="dataBar" id="{B53253E6-C522-40E9-AC65-2986285968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S75:S76</xm:sqref>
        </x14:conditionalFormatting>
        <x14:conditionalFormatting xmlns:xm="http://schemas.microsoft.com/office/excel/2006/main">
          <x14:cfRule type="dataBar" id="{735485F1-4683-452A-92A3-3A4D38785E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T75:T76</xm:sqref>
        </x14:conditionalFormatting>
        <x14:conditionalFormatting xmlns:xm="http://schemas.microsoft.com/office/excel/2006/main">
          <x14:cfRule type="dataBar" id="{9FD69892-AF00-48EC-8A0F-1932920D0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U75:U76</xm:sqref>
        </x14:conditionalFormatting>
        <x14:conditionalFormatting xmlns:xm="http://schemas.microsoft.com/office/excel/2006/main">
          <x14:cfRule type="dataBar" id="{5CEF63AD-A3BA-43E7-AB82-78CC1DF753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V75:V76</xm:sqref>
        </x14:conditionalFormatting>
        <x14:conditionalFormatting xmlns:xm="http://schemas.microsoft.com/office/excel/2006/main">
          <x14:cfRule type="dataBar" id="{7A4ED5AE-A282-4703-9565-604940444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W75:W76</xm:sqref>
        </x14:conditionalFormatting>
        <x14:conditionalFormatting xmlns:xm="http://schemas.microsoft.com/office/excel/2006/main">
          <x14:cfRule type="dataBar" id="{94925FD6-2049-4A7D-AC16-26639E4FCE2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X75:X76</xm:sqref>
        </x14:conditionalFormatting>
        <x14:conditionalFormatting xmlns:xm="http://schemas.microsoft.com/office/excel/2006/main">
          <x14:cfRule type="dataBar" id="{BECA7C4D-1B78-42E3-877E-0D992A43AC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Y75:Y76</xm:sqref>
        </x14:conditionalFormatting>
        <x14:conditionalFormatting xmlns:xm="http://schemas.microsoft.com/office/excel/2006/main">
          <x14:cfRule type="dataBar" id="{8698476E-4475-4C83-9178-088D537531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Z75:Z76</xm:sqref>
        </x14:conditionalFormatting>
        <x14:conditionalFormatting xmlns:xm="http://schemas.microsoft.com/office/excel/2006/main">
          <x14:cfRule type="dataBar" id="{8DF3F9C1-E526-4986-AF3E-3F8CB446AB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AA75:AA76</xm:sqref>
        </x14:conditionalFormatting>
        <x14:conditionalFormatting xmlns:xm="http://schemas.microsoft.com/office/excel/2006/main">
          <x14:cfRule type="dataBar" id="{89C1158A-0C01-4844-A33E-B3126D0A8B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Q75:AB76</xm:sqref>
        </x14:conditionalFormatting>
        <x14:conditionalFormatting xmlns:xm="http://schemas.microsoft.com/office/excel/2006/main">
          <x14:cfRule type="dataBar" id="{4A2518E3-1FF3-4A70-90CE-9382A6E100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4666AC9D-653E-4B68-AB7D-898A5D0DA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E097358-B4CA-41D4-8477-977308A1D4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180BD5BE-F6CB-40EA-B8F3-00910281EB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1325096C-D82C-42EB-823D-2D421619DD8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D77:E77</xm:sqref>
        </x14:conditionalFormatting>
        <x14:conditionalFormatting xmlns:xm="http://schemas.microsoft.com/office/excel/2006/main">
          <x14:cfRule type="dataBar" id="{AC6E4643-EECB-4314-926E-9EDF264E796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Q77:AA77</xm:sqref>
        </x14:conditionalFormatting>
        <x14:conditionalFormatting xmlns:xm="http://schemas.microsoft.com/office/excel/2006/main">
          <x14:cfRule type="dataBar" id="{32A22E38-5013-42BC-9042-F0BE271D314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AA77:AB77</xm:sqref>
        </x14:conditionalFormatting>
        <x14:conditionalFormatting xmlns:xm="http://schemas.microsoft.com/office/excel/2006/main">
          <x14:cfRule type="dataBar" id="{25242555-1F0F-49E0-9747-65CE0921F41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D77</xm:sqref>
        </x14:conditionalFormatting>
        <x14:conditionalFormatting xmlns:xm="http://schemas.microsoft.com/office/excel/2006/main">
          <x14:cfRule type="dataBar" id="{9F9FAEDF-1A00-4FFB-BEAC-83B91E90EA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E77</xm:sqref>
        </x14:conditionalFormatting>
        <x14:conditionalFormatting xmlns:xm="http://schemas.microsoft.com/office/excel/2006/main">
          <x14:cfRule type="dataBar" id="{3E3691A0-5CB5-461C-B312-054B010874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</xm:sqref>
        </x14:conditionalFormatting>
        <x14:conditionalFormatting xmlns:xm="http://schemas.microsoft.com/office/excel/2006/main">
          <x14:cfRule type="dataBar" id="{76F21C96-784F-43F1-B3E4-ED5F5266D2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4E1B9A1C-7495-4DB0-A25E-FA6C15215A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S77</xm:sqref>
        </x14:conditionalFormatting>
        <x14:conditionalFormatting xmlns:xm="http://schemas.microsoft.com/office/excel/2006/main">
          <x14:cfRule type="dataBar" id="{FB9FE84B-6461-4784-8118-9425411DF7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T77</xm:sqref>
        </x14:conditionalFormatting>
        <x14:conditionalFormatting xmlns:xm="http://schemas.microsoft.com/office/excel/2006/main">
          <x14:cfRule type="dataBar" id="{988FB6C0-F2C1-4F14-8F18-99C737DB2A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U77</xm:sqref>
        </x14:conditionalFormatting>
        <x14:conditionalFormatting xmlns:xm="http://schemas.microsoft.com/office/excel/2006/main">
          <x14:cfRule type="dataBar" id="{3A2B2F45-9150-4608-9D5C-907C52FC6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7ED4E84E-0360-4E6B-AE4A-03D80A64B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W77</xm:sqref>
        </x14:conditionalFormatting>
        <x14:conditionalFormatting xmlns:xm="http://schemas.microsoft.com/office/excel/2006/main">
          <x14:cfRule type="dataBar" id="{DD52F1FE-C810-42BC-952A-5F6536F15D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X77</xm:sqref>
        </x14:conditionalFormatting>
        <x14:conditionalFormatting xmlns:xm="http://schemas.microsoft.com/office/excel/2006/main">
          <x14:cfRule type="dataBar" id="{A4C53B91-1903-4DD8-8ACB-22377E3F5E2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Y77</xm:sqref>
        </x14:conditionalFormatting>
        <x14:conditionalFormatting xmlns:xm="http://schemas.microsoft.com/office/excel/2006/main">
          <x14:cfRule type="dataBar" id="{2FC6EEAE-079E-474C-96A7-E3C370C95D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Z77</xm:sqref>
        </x14:conditionalFormatting>
        <x14:conditionalFormatting xmlns:xm="http://schemas.microsoft.com/office/excel/2006/main">
          <x14:cfRule type="dataBar" id="{7B79BEE6-7B9C-4A14-B63F-C4998F6A5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AA77</xm:sqref>
        </x14:conditionalFormatting>
        <x14:conditionalFormatting xmlns:xm="http://schemas.microsoft.com/office/excel/2006/main">
          <x14:cfRule type="dataBar" id="{A452864B-F999-4F23-A47B-7240391F6D2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Q77:AB77</xm:sqref>
        </x14:conditionalFormatting>
        <x14:conditionalFormatting xmlns:xm="http://schemas.microsoft.com/office/excel/2006/main">
          <x14:cfRule type="dataBar" id="{DB795AEE-407F-4AED-A9CB-B553A0DE89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3BBF8FF7-C754-4837-B0AE-A7B920D433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D7:G7</xm:sqref>
        </x14:conditionalFormatting>
        <x14:conditionalFormatting xmlns:xm="http://schemas.microsoft.com/office/excel/2006/main">
          <x14:cfRule type="dataBar" id="{05466EE2-676C-4639-BBAF-0985B753CA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5AF46EBB-EF7C-4A1E-B142-5267CE0E4E7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1D3AC697-38D9-4738-883D-4454BD3855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5951AED5-1F60-40CB-9724-A4FBF9C370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9378BB63-9039-4686-93C5-0947398E882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EE18D43F-F284-48A2-B017-B4C2D192C3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168CB273-8013-47AD-8D17-A0C17D443B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Q7</xm:sqref>
        </x14:conditionalFormatting>
        <x14:conditionalFormatting xmlns:xm="http://schemas.microsoft.com/office/excel/2006/main">
          <x14:cfRule type="dataBar" id="{D9B72CFD-3C79-454C-B4FA-877C5DD128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E8E12EE6-8943-4533-8283-7210534B5D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S7</xm:sqref>
        </x14:conditionalFormatting>
        <x14:conditionalFormatting xmlns:xm="http://schemas.microsoft.com/office/excel/2006/main">
          <x14:cfRule type="dataBar" id="{C77FB011-3B6E-4EF7-BC92-E293331A9D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D612BB1-F626-49EC-87E2-4B849FE17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6DE746BE-4BFC-4762-8A73-40DFC71ED5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E29D8038-32C7-43EE-8F61-75EC189E11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W7</xm:sqref>
        </x14:conditionalFormatting>
        <x14:conditionalFormatting xmlns:xm="http://schemas.microsoft.com/office/excel/2006/main">
          <x14:cfRule type="dataBar" id="{8C613A88-1CA2-4371-91F1-1C4CDE828E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X7</xm:sqref>
        </x14:conditionalFormatting>
        <x14:conditionalFormatting xmlns:xm="http://schemas.microsoft.com/office/excel/2006/main">
          <x14:cfRule type="dataBar" id="{B3756632-0AD7-4371-AA4B-DA3CC0C84E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Y7</xm:sqref>
        </x14:conditionalFormatting>
        <x14:conditionalFormatting xmlns:xm="http://schemas.microsoft.com/office/excel/2006/main">
          <x14:cfRule type="dataBar" id="{1238EA9F-1B72-45F7-86A0-66EB1AAD47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Z7</xm:sqref>
        </x14:conditionalFormatting>
        <x14:conditionalFormatting xmlns:xm="http://schemas.microsoft.com/office/excel/2006/main">
          <x14:cfRule type="dataBar" id="{F3EEE7AB-B977-49DF-A21A-30600B90E5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16BF84D5-2E35-459E-8DD2-5CCCCDCD2E0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O7:AA7</xm:sqref>
        </x14:conditionalFormatting>
        <x14:conditionalFormatting xmlns:xm="http://schemas.microsoft.com/office/excel/2006/main">
          <x14:cfRule type="dataBar" id="{A9A4921B-BB0F-421E-8335-4B56B981C2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AB7</xm:sqref>
        </x14:conditionalFormatting>
        <x14:conditionalFormatting xmlns:xm="http://schemas.microsoft.com/office/excel/2006/main">
          <x14:cfRule type="dataBar" id="{6C3A02A9-B15E-4BAE-A682-05CCCE1FC9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FF8EBB3-9A66-40B7-90FB-3C3CA21B6C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A325D755-2BE8-41B4-9E50-37402E5102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55D72C4B-EB65-42E0-84FB-F150456229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85597489-7A1B-4FCA-923F-E3B0708C35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P7</xm:sqref>
        </x14:conditionalFormatting>
        <x14:conditionalFormatting xmlns:xm="http://schemas.microsoft.com/office/excel/2006/main">
          <x14:cfRule type="dataBar" id="{F52BAE9F-0804-4E39-B9A3-9C7D111CC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AA7</xm:sqref>
        </x14:conditionalFormatting>
        <x14:conditionalFormatting xmlns:xm="http://schemas.microsoft.com/office/excel/2006/main">
          <x14:cfRule type="dataBar" id="{C30384E4-135C-437B-BF59-CC26E0DCB3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</xm:sqref>
        </x14:conditionalFormatting>
        <x14:conditionalFormatting xmlns:xm="http://schemas.microsoft.com/office/excel/2006/main">
          <x14:cfRule type="dataBar" id="{8845F51D-AA85-4DE9-BAFB-20575BEB1C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I2:I7</xm:sqref>
        </x14:conditionalFormatting>
        <x14:conditionalFormatting xmlns:xm="http://schemas.microsoft.com/office/excel/2006/main">
          <x14:cfRule type="dataBar" id="{7E9990BF-FFED-4F4E-9BA4-5F0BF282D5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D8:G20</xm:sqref>
        </x14:conditionalFormatting>
        <x14:conditionalFormatting xmlns:xm="http://schemas.microsoft.com/office/excel/2006/main">
          <x14:cfRule type="dataBar" id="{962BDB5C-9A0B-4172-84B5-473D62DBA2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I8:I20</xm:sqref>
        </x14:conditionalFormatting>
        <x14:conditionalFormatting xmlns:xm="http://schemas.microsoft.com/office/excel/2006/main">
          <x14:cfRule type="dataBar" id="{D9A91A98-6F93-4860-964F-5F0F0541E06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O8:W20</xm:sqref>
        </x14:conditionalFormatting>
        <x14:conditionalFormatting xmlns:xm="http://schemas.microsoft.com/office/excel/2006/main">
          <x14:cfRule type="dataBar" id="{6732CA18-D0C1-426A-AB27-B57AF9A3D0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AA2:AA20</xm:sqref>
        </x14:conditionalFormatting>
        <x14:conditionalFormatting xmlns:xm="http://schemas.microsoft.com/office/excel/2006/main">
          <x14:cfRule type="dataBar" id="{F0D2C855-50BC-4ADE-90D4-EF28D8C90A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87D294F6-C902-4163-BE58-AC64A6F048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39B7023F-725B-4D34-8D25-6EC8D4DEEA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Q20</xm:sqref>
        </x14:conditionalFormatting>
        <x14:conditionalFormatting xmlns:xm="http://schemas.microsoft.com/office/excel/2006/main">
          <x14:cfRule type="dataBar" id="{3F9AF22D-8888-4C2C-A63C-3B01188FF7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T20</xm:sqref>
        </x14:conditionalFormatting>
        <x14:conditionalFormatting xmlns:xm="http://schemas.microsoft.com/office/excel/2006/main">
          <x14:cfRule type="dataBar" id="{838F0B52-A11F-4101-A66F-FB199F1D65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W20</xm:sqref>
        </x14:conditionalFormatting>
        <x14:conditionalFormatting xmlns:xm="http://schemas.microsoft.com/office/excel/2006/main">
          <x14:cfRule type="dataBar" id="{7D9F4FA1-B2D5-4387-A668-D0CC93FA2A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X20</xm:sqref>
        </x14:conditionalFormatting>
        <x14:conditionalFormatting xmlns:xm="http://schemas.microsoft.com/office/excel/2006/main">
          <x14:cfRule type="dataBar" id="{A0EC8386-8AA6-4266-B726-9AACF0B61B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Y20</xm:sqref>
        </x14:conditionalFormatting>
        <x14:conditionalFormatting xmlns:xm="http://schemas.microsoft.com/office/excel/2006/main">
          <x14:cfRule type="dataBar" id="{A3E46CB1-A09A-44F6-B1F9-A8C0854F9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Z20</xm:sqref>
        </x14:conditionalFormatting>
        <x14:conditionalFormatting xmlns:xm="http://schemas.microsoft.com/office/excel/2006/main">
          <x14:cfRule type="dataBar" id="{3CCA8B84-1697-4299-AD82-40E1A723D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C005FA77-55CA-49EF-84CE-23150AF370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R20</xm:sqref>
        </x14:conditionalFormatting>
        <x14:conditionalFormatting xmlns:xm="http://schemas.microsoft.com/office/excel/2006/main">
          <x14:cfRule type="dataBar" id="{193C55D8-D76A-45E7-B439-4BA192305C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  <x14:conditionalFormatting xmlns:xm="http://schemas.microsoft.com/office/excel/2006/main">
          <x14:cfRule type="dataBar" id="{C070CA9E-51B0-4327-967C-B9C83B2811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4A67C3CE-FD22-44BA-A82E-61F72DBDF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ACC2466D-3964-48A9-BE45-6932AD5E03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25804447-2602-44E3-A443-B9DB75D2B1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F98FC49B-5B82-414A-8137-82EFBFA44E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5155F865-A8A1-4B82-9913-64B494A57E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O20:AA20</xm:sqref>
        </x14:conditionalFormatting>
        <x14:conditionalFormatting xmlns:xm="http://schemas.microsoft.com/office/excel/2006/main">
          <x14:cfRule type="dataBar" id="{9C6818F2-169F-447A-BF09-067BE918D8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AB20</xm:sqref>
        </x14:conditionalFormatting>
        <x14:conditionalFormatting xmlns:xm="http://schemas.microsoft.com/office/excel/2006/main">
          <x14:cfRule type="dataBar" id="{8D8A6FD7-730B-4762-95D9-6A439D0A0D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D20:G20</xm:sqref>
        </x14:conditionalFormatting>
        <x14:conditionalFormatting xmlns:xm="http://schemas.microsoft.com/office/excel/2006/main">
          <x14:cfRule type="dataBar" id="{9423AC53-6458-4F0F-8B83-08775CA875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DB6A841-A5BE-4570-AFC4-166BB76BF3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D3E6F8F9-AB9D-4ACE-B156-F56EEA01EE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23454124-93DD-4863-8CAC-8C8E6F265B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1EE5DF7F-346F-41A6-8F82-3060E75A9B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O20</xm:sqref>
        </x14:conditionalFormatting>
        <x14:conditionalFormatting xmlns:xm="http://schemas.microsoft.com/office/excel/2006/main">
          <x14:cfRule type="dataBar" id="{D6549514-DDFE-4E9A-8F8A-E4FDE5780B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P20</xm:sqref>
        </x14:conditionalFormatting>
        <x14:conditionalFormatting xmlns:xm="http://schemas.microsoft.com/office/excel/2006/main">
          <x14:cfRule type="dataBar" id="{73DB6E9D-350B-4C0B-8A51-11A3929904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V20</xm:sqref>
        </x14:conditionalFormatting>
        <x14:conditionalFormatting xmlns:xm="http://schemas.microsoft.com/office/excel/2006/main">
          <x14:cfRule type="dataBar" id="{6DB0BAF7-14B3-454E-B84B-1AD613A7A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AA20</xm:sqref>
        </x14:conditionalFormatting>
        <x14:conditionalFormatting xmlns:xm="http://schemas.microsoft.com/office/excel/2006/main">
          <x14:cfRule type="dataBar" id="{4EAAFECE-DA3F-4150-8AE9-31B04CE634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D21:G28</xm:sqref>
        </x14:conditionalFormatting>
        <x14:conditionalFormatting xmlns:xm="http://schemas.microsoft.com/office/excel/2006/main">
          <x14:cfRule type="dataBar" id="{66D6DD92-D10B-4636-A5D6-12869B26E3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I21:I28</xm:sqref>
        </x14:conditionalFormatting>
        <x14:conditionalFormatting xmlns:xm="http://schemas.microsoft.com/office/excel/2006/main">
          <x14:cfRule type="dataBar" id="{469FBE8E-33F6-49B2-81A2-21D36EBC98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D29:G30</xm:sqref>
        </x14:conditionalFormatting>
        <x14:conditionalFormatting xmlns:xm="http://schemas.microsoft.com/office/excel/2006/main">
          <x14:cfRule type="dataBar" id="{68B805E7-5DAB-4A76-A105-616C3513C7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9274B98C-A835-4B5F-AD80-464D55852F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O30:AB30</xm:sqref>
        </x14:conditionalFormatting>
        <x14:conditionalFormatting xmlns:xm="http://schemas.microsoft.com/office/excel/2006/main">
          <x14:cfRule type="dataBar" id="{3D96EB0C-760E-4EC7-913E-35798B5AF8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AA30:AB30</xm:sqref>
        </x14:conditionalFormatting>
        <x14:conditionalFormatting xmlns:xm="http://schemas.microsoft.com/office/excel/2006/main">
          <x14:cfRule type="dataBar" id="{8DB3B444-CC8C-4041-B3EB-7A9128BDF3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C8342E58-906A-4605-819A-FF03D3EEFC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E6BBF3EC-1436-466B-BB1B-123886F714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F57BE150-B6BC-4BE2-814D-645549B1C9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D30:G30</xm:sqref>
        </x14:conditionalFormatting>
        <x14:conditionalFormatting xmlns:xm="http://schemas.microsoft.com/office/excel/2006/main">
          <x14:cfRule type="dataBar" id="{6A0D3108-95FB-46B7-B369-5ABF1A1946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0C065FBF-CE3E-46E3-B71A-27B19AED3E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FF5B8914-4851-4B2F-B1DC-A3099344A7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O30:AA30</xm:sqref>
        </x14:conditionalFormatting>
        <x14:conditionalFormatting xmlns:xm="http://schemas.microsoft.com/office/excel/2006/main">
          <x14:cfRule type="dataBar" id="{E16551A5-0B11-4454-99CB-E4538D58D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7095F9D6-49C7-4A2C-BBEA-A62DA23D80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7B274737-FF5B-4C83-AB23-FFD73CE216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2EA5D772-70E0-4243-B4D4-5D67D7F038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O30</xm:sqref>
        </x14:conditionalFormatting>
        <x14:conditionalFormatting xmlns:xm="http://schemas.microsoft.com/office/excel/2006/main">
          <x14:cfRule type="dataBar" id="{0C6F4E76-EDB4-4E57-A624-4F13FD4257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P30</xm:sqref>
        </x14:conditionalFormatting>
        <x14:conditionalFormatting xmlns:xm="http://schemas.microsoft.com/office/excel/2006/main">
          <x14:cfRule type="dataBar" id="{AC85C2F7-69AD-4427-838A-579A83BDE4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7AD4A463-2396-4256-8245-DC17D40D9A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E30</xm:sqref>
        </x14:conditionalFormatting>
        <x14:conditionalFormatting xmlns:xm="http://schemas.microsoft.com/office/excel/2006/main">
          <x14:cfRule type="dataBar" id="{883F13D3-D4D0-4916-A176-3F2BDE6837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Q30</xm:sqref>
        </x14:conditionalFormatting>
        <x14:conditionalFormatting xmlns:xm="http://schemas.microsoft.com/office/excel/2006/main">
          <x14:cfRule type="dataBar" id="{EBFA9021-6AEA-42FD-9DB1-4F5512D9DE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R30</xm:sqref>
        </x14:conditionalFormatting>
        <x14:conditionalFormatting xmlns:xm="http://schemas.microsoft.com/office/excel/2006/main">
          <x14:cfRule type="dataBar" id="{53CE8A3A-3B1D-4F78-B111-27515638B1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S30</xm:sqref>
        </x14:conditionalFormatting>
        <x14:conditionalFormatting xmlns:xm="http://schemas.microsoft.com/office/excel/2006/main">
          <x14:cfRule type="dataBar" id="{2EA2E038-69C4-41B9-8527-A517E425B0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T30</xm:sqref>
        </x14:conditionalFormatting>
        <x14:conditionalFormatting xmlns:xm="http://schemas.microsoft.com/office/excel/2006/main">
          <x14:cfRule type="dataBar" id="{2FD2BDCA-40C1-4B31-AB8B-3621169324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43E93294-0D5F-4709-913F-86B1E09257A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V30</xm:sqref>
        </x14:conditionalFormatting>
        <x14:conditionalFormatting xmlns:xm="http://schemas.microsoft.com/office/excel/2006/main">
          <x14:cfRule type="dataBar" id="{D75435FF-ECAB-480D-BBE9-17DEF0C8EB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W30</xm:sqref>
        </x14:conditionalFormatting>
        <x14:conditionalFormatting xmlns:xm="http://schemas.microsoft.com/office/excel/2006/main">
          <x14:cfRule type="dataBar" id="{25555904-241A-4A05-A6FC-F873C0BF29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X30</xm:sqref>
        </x14:conditionalFormatting>
        <x14:conditionalFormatting xmlns:xm="http://schemas.microsoft.com/office/excel/2006/main">
          <x14:cfRule type="dataBar" id="{15A9716F-632D-43C2-AD5A-D3D71274AC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Y30</xm:sqref>
        </x14:conditionalFormatting>
        <x14:conditionalFormatting xmlns:xm="http://schemas.microsoft.com/office/excel/2006/main">
          <x14:cfRule type="dataBar" id="{BE3CA9CE-0564-4D25-BE09-3AD7E15801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Z30</xm:sqref>
        </x14:conditionalFormatting>
        <x14:conditionalFormatting xmlns:xm="http://schemas.microsoft.com/office/excel/2006/main">
          <x14:cfRule type="dataBar" id="{BA33451F-8720-4F2B-B101-D76511576E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AA30</xm:sqref>
        </x14:conditionalFormatting>
        <x14:conditionalFormatting xmlns:xm="http://schemas.microsoft.com/office/excel/2006/main">
          <x14:cfRule type="dataBar" id="{0DEBE8D4-578D-4E26-B812-34115F7677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D31:G33</xm:sqref>
        </x14:conditionalFormatting>
        <x14:conditionalFormatting xmlns:xm="http://schemas.microsoft.com/office/excel/2006/main">
          <x14:cfRule type="dataBar" id="{BB84522F-0C76-442D-AFC0-F72138CCFB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I31:I33</xm:sqref>
        </x14:conditionalFormatting>
        <x14:conditionalFormatting xmlns:xm="http://schemas.microsoft.com/office/excel/2006/main">
          <x14:cfRule type="dataBar" id="{B8405969-1643-48F9-917F-1BAB1D1023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D33:E33</xm:sqref>
        </x14:conditionalFormatting>
        <x14:conditionalFormatting xmlns:xm="http://schemas.microsoft.com/office/excel/2006/main">
          <x14:cfRule type="dataBar" id="{C5B84205-DDF8-4A69-A450-AD590ABB4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Q33:AB33</xm:sqref>
        </x14:conditionalFormatting>
        <x14:conditionalFormatting xmlns:xm="http://schemas.microsoft.com/office/excel/2006/main">
          <x14:cfRule type="dataBar" id="{28425657-F33E-4350-8B6A-4A27D09E25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AA33:AB33</xm:sqref>
        </x14:conditionalFormatting>
        <x14:conditionalFormatting xmlns:xm="http://schemas.microsoft.com/office/excel/2006/main">
          <x14:cfRule type="dataBar" id="{CE06C0E1-3B29-4CCB-9E50-78A5218A78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Q33:AA33</xm:sqref>
        </x14:conditionalFormatting>
        <x14:conditionalFormatting xmlns:xm="http://schemas.microsoft.com/office/excel/2006/main">
          <x14:cfRule type="dataBar" id="{D9F2C42A-D233-4A5B-B23A-1BE6DDAAA52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</xm:sqref>
        </x14:conditionalFormatting>
        <x14:conditionalFormatting xmlns:xm="http://schemas.microsoft.com/office/excel/2006/main">
          <x14:cfRule type="dataBar" id="{AD713476-866E-4243-BA6D-1123C79502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A7FF5721-E115-4E08-8590-A0346F84D8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Q33</xm:sqref>
        </x14:conditionalFormatting>
        <x14:conditionalFormatting xmlns:xm="http://schemas.microsoft.com/office/excel/2006/main">
          <x14:cfRule type="dataBar" id="{2F317D4E-D874-4B76-8222-E135EBAFE2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R33</xm:sqref>
        </x14:conditionalFormatting>
        <x14:conditionalFormatting xmlns:xm="http://schemas.microsoft.com/office/excel/2006/main">
          <x14:cfRule type="dataBar" id="{8D25C000-3533-4A61-8BBE-DD4C3A3B848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S33</xm:sqref>
        </x14:conditionalFormatting>
        <x14:conditionalFormatting xmlns:xm="http://schemas.microsoft.com/office/excel/2006/main">
          <x14:cfRule type="dataBar" id="{8AFF5B17-B308-42DC-8614-DFEF7680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T33</xm:sqref>
        </x14:conditionalFormatting>
        <x14:conditionalFormatting xmlns:xm="http://schemas.microsoft.com/office/excel/2006/main">
          <x14:cfRule type="dataBar" id="{FF98EEBE-E4D4-42AE-BF14-AC0F394CD8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U33</xm:sqref>
        </x14:conditionalFormatting>
        <x14:conditionalFormatting xmlns:xm="http://schemas.microsoft.com/office/excel/2006/main">
          <x14:cfRule type="dataBar" id="{FB8C99FC-D796-49DA-A009-459DA0B8503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V33</xm:sqref>
        </x14:conditionalFormatting>
        <x14:conditionalFormatting xmlns:xm="http://schemas.microsoft.com/office/excel/2006/main">
          <x14:cfRule type="dataBar" id="{E54F9A6E-1F51-4462-BB74-FCD10FE487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W33</xm:sqref>
        </x14:conditionalFormatting>
        <x14:conditionalFormatting xmlns:xm="http://schemas.microsoft.com/office/excel/2006/main">
          <x14:cfRule type="dataBar" id="{85C4AE6E-D89E-4EBD-A870-604818367E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X33</xm:sqref>
        </x14:conditionalFormatting>
        <x14:conditionalFormatting xmlns:xm="http://schemas.microsoft.com/office/excel/2006/main">
          <x14:cfRule type="dataBar" id="{6F825BBC-ABFB-4B0A-9032-FE8F063C20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Y33</xm:sqref>
        </x14:conditionalFormatting>
        <x14:conditionalFormatting xmlns:xm="http://schemas.microsoft.com/office/excel/2006/main">
          <x14:cfRule type="dataBar" id="{67E98C25-9F8F-4A22-81AC-6638495213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10AE5B9A-D025-4BB1-AD1C-CBB394161A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AA33</xm:sqref>
        </x14:conditionalFormatting>
        <x14:conditionalFormatting xmlns:xm="http://schemas.microsoft.com/office/excel/2006/main">
          <x14:cfRule type="dataBar" id="{D89CFD3F-00B7-44F2-AD6C-B78E5EC695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D34:G39</xm:sqref>
        </x14:conditionalFormatting>
        <x14:conditionalFormatting xmlns:xm="http://schemas.microsoft.com/office/excel/2006/main">
          <x14:cfRule type="dataBar" id="{F5FB1BCA-7E2C-447C-A748-426483A896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I34:I39</xm:sqref>
        </x14:conditionalFormatting>
        <x14:conditionalFormatting xmlns:xm="http://schemas.microsoft.com/office/excel/2006/main">
          <x14:cfRule type="dataBar" id="{5A789653-E2E5-4353-B7E6-17598D4EF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921F3201-5375-4D8C-B36C-F05829CC66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88308EE8-4A04-4E25-B57C-4ED165B031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713338AA-883D-4863-98C3-FE955CC158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D39:G39</xm:sqref>
        </x14:conditionalFormatting>
        <x14:conditionalFormatting xmlns:xm="http://schemas.microsoft.com/office/excel/2006/main">
          <x14:cfRule type="dataBar" id="{9E41E585-EC81-4487-A932-E8330674E8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O39:AB39</xm:sqref>
        </x14:conditionalFormatting>
        <x14:conditionalFormatting xmlns:xm="http://schemas.microsoft.com/office/excel/2006/main">
          <x14:cfRule type="dataBar" id="{D4D1DB44-9A7C-4705-B321-EF427F40AC4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43308C9A-F0C6-42FC-8872-EACF2694A4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B27FE3A7-B296-40AE-9025-F47240D13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AA39:AB39</xm:sqref>
        </x14:conditionalFormatting>
        <x14:conditionalFormatting xmlns:xm="http://schemas.microsoft.com/office/excel/2006/main">
          <x14:cfRule type="dataBar" id="{4C6D5940-5A82-464E-B231-E8CBF797BB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O39:AA39</xm:sqref>
        </x14:conditionalFormatting>
        <x14:conditionalFormatting xmlns:xm="http://schemas.microsoft.com/office/excel/2006/main">
          <x14:cfRule type="dataBar" id="{C8D707C4-CF0A-4CB3-85A6-BBA26FBA8C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I39</xm:sqref>
        </x14:conditionalFormatting>
        <x14:conditionalFormatting xmlns:xm="http://schemas.microsoft.com/office/excel/2006/main">
          <x14:cfRule type="dataBar" id="{57D22D3D-D801-4C64-AEF1-F60CAED42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F39</xm:sqref>
        </x14:conditionalFormatting>
        <x14:conditionalFormatting xmlns:xm="http://schemas.microsoft.com/office/excel/2006/main">
          <x14:cfRule type="dataBar" id="{89BBD0BE-093A-4ED4-90EC-EED60309AC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G39</xm:sqref>
        </x14:conditionalFormatting>
        <x14:conditionalFormatting xmlns:xm="http://schemas.microsoft.com/office/excel/2006/main">
          <x14:cfRule type="dataBar" id="{622A3DA9-5B31-4196-A706-862AC4E8D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O39</xm:sqref>
        </x14:conditionalFormatting>
        <x14:conditionalFormatting xmlns:xm="http://schemas.microsoft.com/office/excel/2006/main">
          <x14:cfRule type="dataBar" id="{79796BCC-C444-422C-BE1D-FB5213BA8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P39</xm:sqref>
        </x14:conditionalFormatting>
        <x14:conditionalFormatting xmlns:xm="http://schemas.microsoft.com/office/excel/2006/main">
          <x14:cfRule type="dataBar" id="{5D0FA5D7-2216-4C99-98AB-C73F5C61BF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D39</xm:sqref>
        </x14:conditionalFormatting>
        <x14:conditionalFormatting xmlns:xm="http://schemas.microsoft.com/office/excel/2006/main">
          <x14:cfRule type="dataBar" id="{E91E9E0D-3439-4588-A957-E35F35718A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E39</xm:sqref>
        </x14:conditionalFormatting>
        <x14:conditionalFormatting xmlns:xm="http://schemas.microsoft.com/office/excel/2006/main">
          <x14:cfRule type="dataBar" id="{0D33E319-F15E-43BC-BC58-235319463C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Q39</xm:sqref>
        </x14:conditionalFormatting>
        <x14:conditionalFormatting xmlns:xm="http://schemas.microsoft.com/office/excel/2006/main">
          <x14:cfRule type="dataBar" id="{6C28EC7C-1CDA-4EFB-9963-73D3510B35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R39</xm:sqref>
        </x14:conditionalFormatting>
        <x14:conditionalFormatting xmlns:xm="http://schemas.microsoft.com/office/excel/2006/main">
          <x14:cfRule type="dataBar" id="{4130BB68-C95C-452C-B076-FEB8B2048A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S39</xm:sqref>
        </x14:conditionalFormatting>
        <x14:conditionalFormatting xmlns:xm="http://schemas.microsoft.com/office/excel/2006/main">
          <x14:cfRule type="dataBar" id="{3689CF3D-2303-4DE3-829A-865FA62F99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T39</xm:sqref>
        </x14:conditionalFormatting>
        <x14:conditionalFormatting xmlns:xm="http://schemas.microsoft.com/office/excel/2006/main">
          <x14:cfRule type="dataBar" id="{6A20AB19-9EBD-41F5-9DE2-114DBFD30E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U39</xm:sqref>
        </x14:conditionalFormatting>
        <x14:conditionalFormatting xmlns:xm="http://schemas.microsoft.com/office/excel/2006/main">
          <x14:cfRule type="dataBar" id="{613246CB-E5B7-4AEA-BB83-BD4D686E06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V39</xm:sqref>
        </x14:conditionalFormatting>
        <x14:conditionalFormatting xmlns:xm="http://schemas.microsoft.com/office/excel/2006/main">
          <x14:cfRule type="dataBar" id="{63936D33-5871-4414-A9ED-BB3C317CB3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965E0756-A6E1-4C8A-A26C-A0D4E3EEFE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X39</xm:sqref>
        </x14:conditionalFormatting>
        <x14:conditionalFormatting xmlns:xm="http://schemas.microsoft.com/office/excel/2006/main">
          <x14:cfRule type="dataBar" id="{9CB9A45C-0D58-45D3-B609-32AF6FF2A9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Y39</xm:sqref>
        </x14:conditionalFormatting>
        <x14:conditionalFormatting xmlns:xm="http://schemas.microsoft.com/office/excel/2006/main">
          <x14:cfRule type="dataBar" id="{0E9CC175-5C95-4504-8DE1-917CA49F1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Z39</xm:sqref>
        </x14:conditionalFormatting>
        <x14:conditionalFormatting xmlns:xm="http://schemas.microsoft.com/office/excel/2006/main">
          <x14:cfRule type="dataBar" id="{3CBAD09E-2A71-4C34-98B5-34C12953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AA39</xm:sqref>
        </x14:conditionalFormatting>
        <x14:conditionalFormatting xmlns:xm="http://schemas.microsoft.com/office/excel/2006/main">
          <x14:cfRule type="dataBar" id="{17540924-E2A5-4089-A760-927BD60F5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D45:G50</xm:sqref>
        </x14:conditionalFormatting>
        <x14:conditionalFormatting xmlns:xm="http://schemas.microsoft.com/office/excel/2006/main">
          <x14:cfRule type="dataBar" id="{FC74F449-58F5-47EC-B520-E72721C9CE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I45:I50</xm:sqref>
        </x14:conditionalFormatting>
        <x14:conditionalFormatting xmlns:xm="http://schemas.microsoft.com/office/excel/2006/main">
          <x14:cfRule type="dataBar" id="{1C6E5132-AA21-4093-9151-2DD4E56C18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AA45:AA74 AA40:AA43 AA28 AA6 AA36:AA37</xm:sqref>
        </x14:conditionalFormatting>
        <x14:conditionalFormatting xmlns:xm="http://schemas.microsoft.com/office/excel/2006/main">
          <x14:cfRule type="dataBar" id="{B62D2888-A2BA-4A9E-A926-CF2815801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D51:G60</xm:sqref>
        </x14:conditionalFormatting>
        <x14:conditionalFormatting xmlns:xm="http://schemas.microsoft.com/office/excel/2006/main">
          <x14:cfRule type="dataBar" id="{482351DA-6840-4A4D-8F30-30BE6AD3B7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I51:I60</xm:sqref>
        </x14:conditionalFormatting>
        <x14:conditionalFormatting xmlns:xm="http://schemas.microsoft.com/office/excel/2006/main">
          <x14:cfRule type="dataBar" id="{CFAFE1DA-B695-48A9-B028-02E71B5F5B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D61:G67</xm:sqref>
        </x14:conditionalFormatting>
        <x14:conditionalFormatting xmlns:xm="http://schemas.microsoft.com/office/excel/2006/main">
          <x14:cfRule type="dataBar" id="{7C2E34C3-694F-4247-8E5C-F332848365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I61:I67</xm:sqref>
        </x14:conditionalFormatting>
        <x14:conditionalFormatting xmlns:xm="http://schemas.microsoft.com/office/excel/2006/main">
          <x14:cfRule type="dataBar" id="{57029C2C-B2C0-46E3-8D32-ADF4AA093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D68:G70</xm:sqref>
        </x14:conditionalFormatting>
        <x14:conditionalFormatting xmlns:xm="http://schemas.microsoft.com/office/excel/2006/main">
          <x14:cfRule type="dataBar" id="{5F8FDFAC-3DD6-45EE-B477-4CE97C79E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I68:I70</xm:sqref>
        </x14:conditionalFormatting>
        <x14:conditionalFormatting xmlns:xm="http://schemas.microsoft.com/office/excel/2006/main">
          <x14:cfRule type="dataBar" id="{DE17B77E-208B-470C-93BD-BD77861141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D74:G77</xm:sqref>
        </x14:conditionalFormatting>
        <x14:conditionalFormatting xmlns:xm="http://schemas.microsoft.com/office/excel/2006/main">
          <x14:cfRule type="dataBar" id="{85C3C049-CDA4-4A74-97A9-71F86D94C1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I74:I77</xm:sqref>
        </x14:conditionalFormatting>
        <x14:conditionalFormatting xmlns:xm="http://schemas.microsoft.com/office/excel/2006/main">
          <x14:cfRule type="dataBar" id="{D73E042D-E4CA-4576-8386-572550407C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D71:G73</xm:sqref>
        </x14:conditionalFormatting>
        <x14:conditionalFormatting xmlns:xm="http://schemas.microsoft.com/office/excel/2006/main">
          <x14:cfRule type="dataBar" id="{A8D65EC6-0E7B-49DD-AF4B-28FAB67DF2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I71:I73</xm:sqref>
        </x14:conditionalFormatting>
        <x14:conditionalFormatting xmlns:xm="http://schemas.microsoft.com/office/excel/2006/main">
          <x14:cfRule type="dataBar" id="{4529CA43-8C1A-4D3E-9008-83A864BE8D1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D40:G44</xm:sqref>
        </x14:conditionalFormatting>
        <x14:conditionalFormatting xmlns:xm="http://schemas.microsoft.com/office/excel/2006/main">
          <x14:cfRule type="dataBar" id="{5B1C8DC8-706A-40CE-8CD6-3A569CB1E9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I40:I44</xm:sqref>
        </x14:conditionalFormatting>
        <x14:conditionalFormatting xmlns:xm="http://schemas.microsoft.com/office/excel/2006/main">
          <x14:cfRule type="dataBar" id="{BFAF1C30-379A-4D5E-8135-1F1CA1DBA1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O2:W77</xm:sqref>
        </x14:conditionalFormatting>
        <x14:conditionalFormatting xmlns:xm="http://schemas.microsoft.com/office/excel/2006/main">
          <x14:cfRule type="dataBar" id="{FA03E09B-64FC-475C-ABB2-2403F234C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AA2:AA77</xm:sqref>
        </x14:conditionalFormatting>
        <x14:conditionalFormatting xmlns:xm="http://schemas.microsoft.com/office/excel/2006/main">
          <x14:cfRule type="dataBar" id="{910E460A-A871-43D6-9923-50A22A2994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D2:G77</xm:sqref>
        </x14:conditionalFormatting>
        <x14:conditionalFormatting xmlns:xm="http://schemas.microsoft.com/office/excel/2006/main">
          <x14:cfRule type="dataBar" id="{5D541E7E-7A15-4906-8EAE-218F475161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BEB1DBE5-35A5-4B2C-9A48-6ABC285A93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4C7D089A-10CA-4593-B018-280706D36F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5598EBE1-BB14-4201-966F-73352C707D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D833C95F-19E3-4BF2-8FAD-2F4E2EB6E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62CECB7-FE2D-4E60-9FE0-F8652798A8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2C6BD230-6172-42AE-86F7-2AF90AD90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14A747CF-1FBE-4AA2-9F42-9B4AFB521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B953CAD2-9BF7-4AA0-B76C-11BE40A840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0335087F-524D-4F09-8DB9-12BF34FBA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71DD469-76F0-4ECF-801D-55CD3A63E0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BF7F4C4-5A51-4BC7-A3EF-F50F495D80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2AEBC9A-BFF3-49D7-9F87-199C9B23C7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D1:G1048576</xm:sqref>
        </x14:conditionalFormatting>
        <x14:conditionalFormatting xmlns:xm="http://schemas.microsoft.com/office/excel/2006/main">
          <x14:cfRule type="dataBar" id="{826073CE-573C-4FAB-BFA7-A50B54EA20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Z2:Z77</xm:sqref>
        </x14:conditionalFormatting>
        <x14:conditionalFormatting xmlns:xm="http://schemas.microsoft.com/office/excel/2006/main">
          <x14:cfRule type="iconSet" priority="22" id="{44A589B1-636A-435F-9C8F-5232FBC59A5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AC2:AC77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Enter</vt:lpstr>
      <vt:lpstr>secs</vt:lpstr>
      <vt:lpstr>Arena</vt:lpstr>
      <vt:lpstr>KDBSF</vt:lpstr>
      <vt:lpstr>PYUMF</vt:lpstr>
      <vt:lpstr>Тараба_TADPF</vt:lpstr>
      <vt:lpstr>Рыбкин_RWVQF_old</vt:lpstr>
      <vt:lpstr>Рыбкин_RWVQF</vt:lpstr>
      <vt:lpstr>Дергачева_DACFF</vt:lpstr>
      <vt:lpstr>Смирнов_XFLQF (2)</vt:lpstr>
      <vt:lpstr>Смирнов_XFLQF</vt:lpstr>
      <vt:lpstr>Кравцов_KDCTF</vt:lpstr>
      <vt:lpstr>Дащинский DADSF</vt:lpstr>
      <vt:lpstr>&lt;Верный_VADZF</vt:lpstr>
      <vt:lpstr>Тюрикова TADFF XGZQF</vt:lpstr>
      <vt:lpstr>&lt;Богданов BBKEF</vt:lpstr>
      <vt:lpstr>Кудряшев KDBEF</vt:lpstr>
      <vt:lpstr>VADYF</vt:lpstr>
      <vt:lpstr>VADTF</vt:lpstr>
      <vt:lpstr>LABKS</vt:lpstr>
      <vt:lpstr>AQLON1</vt:lpstr>
      <vt:lpstr>ELLQF_RUB</vt:lpstr>
      <vt:lpstr>ELLQF_USD</vt:lpstr>
      <vt:lpstr>ELLQF</vt:lpstr>
      <vt:lpstr>INFLE</vt:lpstr>
      <vt:lpstr>madun2</vt:lpstr>
      <vt:lpstr>AANDF</vt:lpstr>
      <vt:lpstr>AKTOS</vt:lpstr>
      <vt:lpstr>BBJSF_BBJUF</vt:lpstr>
      <vt:lpstr>HOQQF</vt:lpstr>
      <vt:lpstr>KDDHF</vt:lpstr>
      <vt:lpstr>OGKQF</vt:lpstr>
      <vt:lpstr>PYUFF</vt:lpstr>
      <vt:lpstr>XFEQF</vt:lpstr>
      <vt:lpstr>XGAQF</vt:lpstr>
      <vt:lpstr>XGKQF</vt:lpstr>
      <vt:lpstr>XGNQF</vt:lpstr>
      <vt:lpstr>STHUF</vt:lpstr>
      <vt:lpstr>VADAF</vt:lpstr>
      <vt:lpstr>FOOQF</vt:lpstr>
      <vt:lpstr>EMIQF</vt:lpstr>
      <vt:lpstr>EMIQF1</vt:lpstr>
      <vt:lpstr>Data</vt:lpstr>
      <vt:lpstr>Table</vt:lpstr>
      <vt:lpstr>Base all $ 3 Duration</vt:lpstr>
      <vt:lpstr>Sheet3</vt:lpstr>
      <vt:lpstr>Model Portfolio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master</cp:lastModifiedBy>
  <cp:lastPrinted>2017-08-30T11:25:30Z</cp:lastPrinted>
  <dcterms:created xsi:type="dcterms:W3CDTF">2014-04-29T04:58:58Z</dcterms:created>
  <dcterms:modified xsi:type="dcterms:W3CDTF">2017-08-30T11:51:42Z</dcterms:modified>
</cp:coreProperties>
</file>